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tables/table2.xml" ContentType="application/vnd.openxmlformats-officedocument.spreadsheetml.table+xml"/>
  <Override PartName="/xl/comments7.xml" ContentType="application/vnd.openxmlformats-officedocument.spreadsheetml.comments+xml"/>
  <Override PartName="/xl/threadedComments/threadedComment1.xml" ContentType="application/vnd.ms-excel.threadedcomments+xml"/>
  <Override PartName="/xl/tables/table3.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xl/tables/table5.xml" ContentType="application/vnd.openxmlformats-officedocument.spreadsheetml.table+xml"/>
  <Override PartName="/xl/comments8.xml" ContentType="application/vnd.openxmlformats-officedocument.spreadsheetml.comments+xml"/>
  <Override PartName="/xl/tables/table6.xml" ContentType="application/vnd.openxmlformats-officedocument.spreadsheetml.table+xml"/>
  <Override PartName="/xl/comments9.xml" ContentType="application/vnd.openxmlformats-officedocument.spreadsheetml.comments+xml"/>
  <Override PartName="/xl/tables/table7.xml" ContentType="application/vnd.openxmlformats-officedocument.spreadsheetml.table+xml"/>
  <Override PartName="/xl/comments10.xml" ContentType="application/vnd.openxmlformats-officedocument.spreadsheetml.comments+xml"/>
  <Override PartName="/xl/tables/table8.xml" ContentType="application/vnd.openxmlformats-officedocument.spreadsheetml.table+xml"/>
  <Override PartName="/xl/comments11.xml" ContentType="application/vnd.openxmlformats-officedocument.spreadsheetml.comments+xml"/>
  <Override PartName="/xl/tables/table9.xml" ContentType="application/vnd.openxmlformats-officedocument.spreadsheetml.table+xml"/>
  <Override PartName="/xl/comments12.xml" ContentType="application/vnd.openxmlformats-officedocument.spreadsheetml.comments+xml"/>
  <Override PartName="/xl/tables/table10.xml" ContentType="application/vnd.openxmlformats-officedocument.spreadsheetml.table+xml"/>
  <Override PartName="/xl/comments13.xml" ContentType="application/vnd.openxmlformats-officedocument.spreadsheetml.comments+xml"/>
  <Override PartName="/xl/tables/table11.xml" ContentType="application/vnd.openxmlformats-officedocument.spreadsheetml.table+xml"/>
  <Override PartName="/xl/comments14.xml" ContentType="application/vnd.openxmlformats-officedocument.spreadsheetml.comments+xml"/>
  <Override PartName="/xl/tables/table12.xml" ContentType="application/vnd.openxmlformats-officedocument.spreadsheetml.table+xml"/>
  <Override PartName="/xl/comments15.xml" ContentType="application/vnd.openxmlformats-officedocument.spreadsheetml.comments+xml"/>
  <Override PartName="/xl/tables/table13.xml" ContentType="application/vnd.openxmlformats-officedocument.spreadsheetml.table+xml"/>
  <Override PartName="/xl/comments16.xml" ContentType="application/vnd.openxmlformats-officedocument.spreadsheetml.comments+xml"/>
  <Override PartName="/xl/tables/table14.xml" ContentType="application/vnd.openxmlformats-officedocument.spreadsheetml.table+xml"/>
  <Override PartName="/xl/comments17.xml" ContentType="application/vnd.openxmlformats-officedocument.spreadsheetml.comments+xml"/>
  <Override PartName="/xl/tables/table15.xml" ContentType="application/vnd.openxmlformats-officedocument.spreadsheetml.table+xml"/>
  <Override PartName="/xl/comments18.xml" ContentType="application/vnd.openxmlformats-officedocument.spreadsheetml.comments+xml"/>
  <Override PartName="/xl/tables/table16.xml" ContentType="application/vnd.openxmlformats-officedocument.spreadsheetml.table+xml"/>
  <Override PartName="/xl/comments19.xml" ContentType="application/vnd.openxmlformats-officedocument.spreadsheetml.comments+xml"/>
  <Override PartName="/xl/tables/table17.xml" ContentType="application/vnd.openxmlformats-officedocument.spreadsheetml.table+xml"/>
  <Override PartName="/xl/comments20.xml" ContentType="application/vnd.openxmlformats-officedocument.spreadsheetml.comments+xml"/>
  <Override PartName="/xl/tables/table18.xml" ContentType="application/vnd.openxmlformats-officedocument.spreadsheetml.table+xml"/>
  <Override PartName="/xl/comments21.xml" ContentType="application/vnd.openxmlformats-officedocument.spreadsheetml.comments+xml"/>
  <Override PartName="/xl/tables/table19.xml" ContentType="application/vnd.openxmlformats-officedocument.spreadsheetml.table+xml"/>
  <Override PartName="/xl/comments22.xml" ContentType="application/vnd.openxmlformats-officedocument.spreadsheetml.comments+xml"/>
  <Override PartName="/xl/tables/table20.xml" ContentType="application/vnd.openxmlformats-officedocument.spreadsheetml.table+xml"/>
  <Override PartName="/xl/comments23.xml" ContentType="application/vnd.openxmlformats-officedocument.spreadsheetml.comments+xml"/>
  <Override PartName="/xl/tables/table21.xml" ContentType="application/vnd.openxmlformats-officedocument.spreadsheetml.table+xml"/>
  <Override PartName="/xl/comments24.xml" ContentType="application/vnd.openxmlformats-officedocument.spreadsheetml.comments+xml"/>
  <Override PartName="/xl/tables/table22.xml" ContentType="application/vnd.openxmlformats-officedocument.spreadsheetml.table+xml"/>
  <Override PartName="/xl/comments25.xml" ContentType="application/vnd.openxmlformats-officedocument.spreadsheetml.comments+xml"/>
  <Override PartName="/xl/tables/table23.xml" ContentType="application/vnd.openxmlformats-officedocument.spreadsheetml.table+xml"/>
  <Override PartName="/xl/comments26.xml" ContentType="application/vnd.openxmlformats-officedocument.spreadsheetml.comments+xml"/>
  <Override PartName="/xl/tables/table24.xml" ContentType="application/vnd.openxmlformats-officedocument.spreadsheetml.table+xml"/>
  <Override PartName="/xl/comments27.xml" ContentType="application/vnd.openxmlformats-officedocument.spreadsheetml.comments+xml"/>
  <Override PartName="/xl/tables/table25.xml" ContentType="application/vnd.openxmlformats-officedocument.spreadsheetml.table+xml"/>
  <Override PartName="/xl/comments28.xml" ContentType="application/vnd.openxmlformats-officedocument.spreadsheetml.comments+xml"/>
  <Override PartName="/xl/tables/table26.xml" ContentType="application/vnd.openxmlformats-officedocument.spreadsheetml.table+xml"/>
  <Override PartName="/xl/comments29.xml" ContentType="application/vnd.openxmlformats-officedocument.spreadsheetml.comments+xml"/>
  <Override PartName="/xl/tables/table27.xml" ContentType="application/vnd.openxmlformats-officedocument.spreadsheetml.table+xml"/>
  <Override PartName="/xl/comments30.xml" ContentType="application/vnd.openxmlformats-officedocument.spreadsheetml.comments+xml"/>
  <Override PartName="/xl/tables/table28.xml" ContentType="application/vnd.openxmlformats-officedocument.spreadsheetml.table+xml"/>
  <Override PartName="/xl/comments31.xml" ContentType="application/vnd.openxmlformats-officedocument.spreadsheetml.comments+xml"/>
  <Override PartName="/xl/tables/table29.xml" ContentType="application/vnd.openxmlformats-officedocument.spreadsheetml.table+xml"/>
  <Override PartName="/xl/comments32.xml" ContentType="application/vnd.openxmlformats-officedocument.spreadsheetml.comments+xml"/>
  <Override PartName="/xl/tables/table30.xml" ContentType="application/vnd.openxmlformats-officedocument.spreadsheetml.table+xml"/>
  <Override PartName="/xl/comments33.xml" ContentType="application/vnd.openxmlformats-officedocument.spreadsheetml.comments+xml"/>
  <Override PartName="/xl/tables/table31.xml" ContentType="application/vnd.openxmlformats-officedocument.spreadsheetml.table+xml"/>
  <Override PartName="/xl/comments34.xml" ContentType="application/vnd.openxmlformats-officedocument.spreadsheetml.comments+xml"/>
  <Override PartName="/xl/tables/table32.xml" ContentType="application/vnd.openxmlformats-officedocument.spreadsheetml.table+xml"/>
  <Override PartName="/xl/comments35.xml" ContentType="application/vnd.openxmlformats-officedocument.spreadsheetml.comments+xml"/>
  <Override PartName="/xl/tables/table33.xml" ContentType="application/vnd.openxmlformats-officedocument.spreadsheetml.table+xml"/>
  <Override PartName="/xl/comments36.xml" ContentType="application/vnd.openxmlformats-officedocument.spreadsheetml.comments+xml"/>
  <Override PartName="/xl/tables/table34.xml" ContentType="application/vnd.openxmlformats-officedocument.spreadsheetml.table+xml"/>
  <Override PartName="/xl/comments37.xml" ContentType="application/vnd.openxmlformats-officedocument.spreadsheetml.comments+xml"/>
  <Override PartName="/xl/tables/table35.xml" ContentType="application/vnd.openxmlformats-officedocument.spreadsheetml.table+xml"/>
  <Override PartName="/xl/comments38.xml" ContentType="application/vnd.openxmlformats-officedocument.spreadsheetml.comments+xml"/>
  <Override PartName="/xl/tables/table36.xml" ContentType="application/vnd.openxmlformats-officedocument.spreadsheetml.table+xml"/>
  <Override PartName="/xl/comments39.xml" ContentType="application/vnd.openxmlformats-officedocument.spreadsheetml.comments+xml"/>
  <Override PartName="/xl/tables/table37.xml" ContentType="application/vnd.openxmlformats-officedocument.spreadsheetml.table+xml"/>
  <Override PartName="/xl/comments40.xml" ContentType="application/vnd.openxmlformats-officedocument.spreadsheetml.comments+xml"/>
  <Override PartName="/xl/tables/table38.xml" ContentType="application/vnd.openxmlformats-officedocument.spreadsheetml.table+xml"/>
  <Override PartName="/xl/comments41.xml" ContentType="application/vnd.openxmlformats-officedocument.spreadsheetml.comments+xml"/>
  <Override PartName="/xl/tables/table39.xml" ContentType="application/vnd.openxmlformats-officedocument.spreadsheetml.table+xml"/>
  <Override PartName="/xl/comments42.xml" ContentType="application/vnd.openxmlformats-officedocument.spreadsheetml.comments+xml"/>
  <Override PartName="/xl/tables/table40.xml" ContentType="application/vnd.openxmlformats-officedocument.spreadsheetml.table+xml"/>
  <Override PartName="/xl/comments43.xml" ContentType="application/vnd.openxmlformats-officedocument.spreadsheetml.comments+xml"/>
  <Override PartName="/xl/tables/table41.xml" ContentType="application/vnd.openxmlformats-officedocument.spreadsheetml.table+xml"/>
  <Override PartName="/xl/comments44.xml" ContentType="application/vnd.openxmlformats-officedocument.spreadsheetml.comments+xml"/>
  <Override PartName="/xl/tables/table42.xml" ContentType="application/vnd.openxmlformats-officedocument.spreadsheetml.table+xml"/>
  <Override PartName="/xl/comments45.xml" ContentType="application/vnd.openxmlformats-officedocument.spreadsheetml.comments+xml"/>
  <Override PartName="/xl/tables/table43.xml" ContentType="application/vnd.openxmlformats-officedocument.spreadsheetml.table+xml"/>
  <Override PartName="/xl/comments46.xml" ContentType="application/vnd.openxmlformats-officedocument.spreadsheetml.comments+xml"/>
  <Override PartName="/xl/tables/table44.xml" ContentType="application/vnd.openxmlformats-officedocument.spreadsheetml.table+xml"/>
  <Override PartName="/xl/comments47.xml" ContentType="application/vnd.openxmlformats-officedocument.spreadsheetml.comments+xml"/>
  <Override PartName="/xl/tables/table45.xml" ContentType="application/vnd.openxmlformats-officedocument.spreadsheetml.table+xml"/>
  <Override PartName="/xl/comments48.xml" ContentType="application/vnd.openxmlformats-officedocument.spreadsheetml.comments+xml"/>
  <Override PartName="/xl/tables/table46.xml" ContentType="application/vnd.openxmlformats-officedocument.spreadsheetml.table+xml"/>
  <Override PartName="/xl/comments49.xml" ContentType="application/vnd.openxmlformats-officedocument.spreadsheetml.comments+xml"/>
  <Override PartName="/xl/tables/table47.xml" ContentType="application/vnd.openxmlformats-officedocument.spreadsheetml.table+xml"/>
  <Override PartName="/xl/comments50.xml" ContentType="application/vnd.openxmlformats-officedocument.spreadsheetml.comments+xml"/>
  <Override PartName="/xl/tables/table48.xml" ContentType="application/vnd.openxmlformats-officedocument.spreadsheetml.table+xml"/>
  <Override PartName="/xl/comments51.xml" ContentType="application/vnd.openxmlformats-officedocument.spreadsheetml.comments+xml"/>
  <Override PartName="/xl/tables/table49.xml" ContentType="application/vnd.openxmlformats-officedocument.spreadsheetml.table+xml"/>
  <Override PartName="/xl/comments52.xml" ContentType="application/vnd.openxmlformats-officedocument.spreadsheetml.comments+xml"/>
  <Override PartName="/xl/tables/table50.xml" ContentType="application/vnd.openxmlformats-officedocument.spreadsheetml.table+xml"/>
  <Override PartName="/xl/comments53.xml" ContentType="application/vnd.openxmlformats-officedocument.spreadsheetml.comments+xml"/>
  <Override PartName="/xl/tables/table51.xml" ContentType="application/vnd.openxmlformats-officedocument.spreadsheetml.table+xml"/>
  <Override PartName="/xl/comments54.xml" ContentType="application/vnd.openxmlformats-officedocument.spreadsheetml.comments+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comments55.xml" ContentType="application/vnd.openxmlformats-officedocument.spreadsheetml.comments+xml"/>
  <Override PartName="/xl/tables/table56.xml" ContentType="application/vnd.openxmlformats-officedocument.spreadsheetml.table+xml"/>
  <Override PartName="/xl/tables/table57.xml" ContentType="application/vnd.openxmlformats-officedocument.spreadsheetml.table+xml"/>
  <Override PartName="/xl/comments56.xml" ContentType="application/vnd.openxmlformats-officedocument.spreadsheetml.comments+xml"/>
  <Override PartName="/xl/tables/table58.xml" ContentType="application/vnd.openxmlformats-officedocument.spreadsheetml.table+xml"/>
  <Override PartName="/xl/tables/table59.xml" ContentType="application/vnd.openxmlformats-officedocument.spreadsheetml.table+xml"/>
  <Override PartName="/xl/comments57.xml" ContentType="application/vnd.openxmlformats-officedocument.spreadsheetml.comments+xml"/>
  <Override PartName="/xl/tables/table60.xml" ContentType="application/vnd.openxmlformats-officedocument.spreadsheetml.table+xml"/>
  <Override PartName="/xl/comments58.xml" ContentType="application/vnd.openxmlformats-officedocument.spreadsheetml.comments+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comments59.xml" ContentType="application/vnd.openxmlformats-officedocument.spreadsheetml.comments+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comments60.xml" ContentType="application/vnd.openxmlformats-officedocument.spreadsheetml.comments+xml"/>
  <Override PartName="/xl/tables/table68.xml" ContentType="application/vnd.openxmlformats-officedocument.spreadsheetml.table+xml"/>
  <Override PartName="/xl/comments61.xml" ContentType="application/vnd.openxmlformats-officedocument.spreadsheetml.comments+xml"/>
  <Override PartName="/xl/tables/table69.xml" ContentType="application/vnd.openxmlformats-officedocument.spreadsheetml.table+xml"/>
  <Override PartName="/xl/comments62.xml" ContentType="application/vnd.openxmlformats-officedocument.spreadsheetml.comments+xml"/>
  <Override PartName="/xl/tables/table70.xml" ContentType="application/vnd.openxmlformats-officedocument.spreadsheetml.table+xml"/>
  <Override PartName="/xl/comments63.xml" ContentType="application/vnd.openxmlformats-officedocument.spreadsheetml.comments+xml"/>
  <Override PartName="/xl/tables/table71.xml" ContentType="application/vnd.openxmlformats-officedocument.spreadsheetml.table+xml"/>
  <Override PartName="/xl/comments64.xml" ContentType="application/vnd.openxmlformats-officedocument.spreadsheetml.comments+xml"/>
  <Override PartName="/xl/tables/table72.xml" ContentType="application/vnd.openxmlformats-officedocument.spreadsheetml.table+xml"/>
  <Override PartName="/xl/comments65.xml" ContentType="application/vnd.openxmlformats-officedocument.spreadsheetml.comments+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comments66.xml" ContentType="application/vnd.openxmlformats-officedocument.spreadsheetml.comments+xml"/>
  <Override PartName="/xl/tables/table77.xml" ContentType="application/vnd.openxmlformats-officedocument.spreadsheetml.table+xml"/>
  <Override PartName="/xl/comments67.xml" ContentType="application/vnd.openxmlformats-officedocument.spreadsheetml.comments+xml"/>
  <Override PartName="/xl/tables/table78.xml" ContentType="application/vnd.openxmlformats-officedocument.spreadsheetml.table+xml"/>
  <Override PartName="/xl/comments68.xml" ContentType="application/vnd.openxmlformats-officedocument.spreadsheetml.comments+xml"/>
  <Override PartName="/xl/tables/table79.xml" ContentType="application/vnd.openxmlformats-officedocument.spreadsheetml.table+xml"/>
  <Override PartName="/xl/comments69.xml" ContentType="application/vnd.openxmlformats-officedocument.spreadsheetml.comments+xml"/>
  <Override PartName="/xl/tables/table80.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codeName="ThisWorkbook" hidePivotFieldList="1" defaultThemeVersion="166925"/>
  <mc:AlternateContent xmlns:mc="http://schemas.openxmlformats.org/markup-compatibility/2006">
    <mc:Choice Requires="x15">
      <x15ac:absPath xmlns:x15ac="http://schemas.microsoft.com/office/spreadsheetml/2010/11/ac" url="https://unioxfordnexus-my.sharepoint.com/personal/mans3170_ox_ac_uk/Documents/RA - Aaron Graham (Jamaica)/"/>
    </mc:Choice>
  </mc:AlternateContent>
  <xr:revisionPtr revIDLastSave="18746" documentId="8_{5CD12FAC-A9E2-42FF-9D00-34DDC3999522}" xr6:coauthVersionLast="47" xr6:coauthVersionMax="47" xr10:uidLastSave="{31346777-44E5-48C3-AD9B-DA5D367D0CC2}"/>
  <bookViews>
    <workbookView xWindow="-120" yWindow="-120" windowWidth="20730" windowHeight="11760" tabRatio="785" xr2:uid="{8755D77E-BEC1-4B2E-9235-89E19F7565E7}"/>
  </bookViews>
  <sheets>
    <sheet name="Summary" sheetId="119" r:id="rId1"/>
    <sheet name="Database" sheetId="111" r:id="rId2"/>
    <sheet name="Ref List" sheetId="9" r:id="rId3"/>
    <sheet name="Term List" sheetId="1" r:id="rId4"/>
    <sheet name="Unit Calc" sheetId="10" r:id="rId5"/>
    <sheet name="Lookup" sheetId="174" r:id="rId6"/>
    <sheet name="Sample Import" sheetId="178" r:id="rId7"/>
    <sheet name="Sample Export" sheetId="176" r:id="rId8"/>
    <sheet name="Imports (1815-45)" sheetId="182" r:id="rId9"/>
    <sheet name="table E (1771-1845)" sheetId="184" r:id="rId10"/>
    <sheet name="Exports (1771-1845)" sheetId="179" r:id="rId11"/>
    <sheet name="1838-9 (E)" sheetId="108" r:id="rId12"/>
    <sheet name="1838-9 (I)" sheetId="99" r:id="rId13"/>
    <sheet name="1837-8 (E)" sheetId="98" r:id="rId14"/>
    <sheet name="1837-8 (I)" sheetId="97" r:id="rId15"/>
    <sheet name="1836-7 (E)" sheetId="96" r:id="rId16"/>
    <sheet name="1836-7 (I)" sheetId="95" r:id="rId17"/>
    <sheet name="1835-6 (E)" sheetId="94" r:id="rId18"/>
    <sheet name="1835-6 (I)" sheetId="93" r:id="rId19"/>
    <sheet name="1834-5 (E)" sheetId="92" r:id="rId20"/>
    <sheet name="1834-5 (I)" sheetId="91" r:id="rId21"/>
    <sheet name="1833-4 (E)" sheetId="90" r:id="rId22"/>
    <sheet name="1833-4 (I)" sheetId="89" r:id="rId23"/>
    <sheet name="1831-2 (E)" sheetId="88" r:id="rId24"/>
    <sheet name="1831-2 (I)" sheetId="87" r:id="rId25"/>
    <sheet name="1828-9 (E)" sheetId="85" r:id="rId26"/>
    <sheet name="1828-9 (I)" sheetId="84" r:id="rId27"/>
    <sheet name="1827-8 (E)" sheetId="83" r:id="rId28"/>
    <sheet name="1827-8 (I)" sheetId="82" r:id="rId29"/>
    <sheet name="1825-6 (E)" sheetId="81" r:id="rId30"/>
    <sheet name="1825-6 (I)" sheetId="80" r:id="rId31"/>
    <sheet name="1824-5 (E)" sheetId="79" r:id="rId32"/>
    <sheet name="1824-5 (I)" sheetId="78" r:id="rId33"/>
    <sheet name="1823-4 (E)" sheetId="77" r:id="rId34"/>
    <sheet name="1823-4 (I)" sheetId="76" r:id="rId35"/>
    <sheet name="1822-3 (E)" sheetId="75" r:id="rId36"/>
    <sheet name="1822-3 (I)" sheetId="74" r:id="rId37"/>
    <sheet name="1821-2 (E)" sheetId="73" r:id="rId38"/>
    <sheet name="1821-2 (I)" sheetId="72" r:id="rId39"/>
    <sheet name="1820-21 (E)" sheetId="71" r:id="rId40"/>
    <sheet name="1820-21 (I)" sheetId="70" r:id="rId41"/>
    <sheet name="1819-20 (E)" sheetId="110" r:id="rId42"/>
    <sheet name="1819-20 (I)" sheetId="109" r:id="rId43"/>
    <sheet name="1818-19 (E)" sheetId="69" r:id="rId44"/>
    <sheet name="1818-19 (I)" sheetId="68" r:id="rId45"/>
    <sheet name="1817-18 (E)" sheetId="67" r:id="rId46"/>
    <sheet name="1817-18 (I)" sheetId="66" r:id="rId47"/>
    <sheet name="1816-17 (E)" sheetId="65" r:id="rId48"/>
    <sheet name="1816-17 (I)" sheetId="64" r:id="rId49"/>
    <sheet name="1815-16 (E)" sheetId="63" r:id="rId50"/>
    <sheet name="1815-16 (I)" sheetId="62" r:id="rId51"/>
    <sheet name="1814-15 (E)" sheetId="61" r:id="rId52"/>
    <sheet name="1814-15 (I)" sheetId="60" r:id="rId53"/>
    <sheet name="1813-14 (E)" sheetId="59" r:id="rId54"/>
    <sheet name="1813-14 (I)" sheetId="58" r:id="rId55"/>
    <sheet name="1812-13 (E)" sheetId="57" r:id="rId56"/>
    <sheet name="1812-13 (I)" sheetId="56" r:id="rId57"/>
    <sheet name="1811-12 (E)" sheetId="55" r:id="rId58"/>
    <sheet name="1811-12 (I)" sheetId="53" r:id="rId59"/>
    <sheet name="1810-11 (E)" sheetId="52" r:id="rId60"/>
    <sheet name="1810-11 (I)" sheetId="51" r:id="rId61"/>
    <sheet name="1809-10 (E)" sheetId="50" r:id="rId62"/>
    <sheet name="1809-10 (I)" sheetId="49" r:id="rId63"/>
    <sheet name="1808-9 (E)" sheetId="48" r:id="rId64"/>
    <sheet name="1808-9 (I)" sheetId="47" r:id="rId65"/>
    <sheet name="1807-8 (E)" sheetId="46" r:id="rId66"/>
    <sheet name="1807-8 (I)" sheetId="45" r:id="rId67"/>
    <sheet name="1806-7 (E)" sheetId="44" r:id="rId68"/>
    <sheet name="1806-7 (I)" sheetId="43" r:id="rId69"/>
    <sheet name="1805-6 (E)" sheetId="41" r:id="rId70"/>
    <sheet name="1805-6 (I)" sheetId="40" r:id="rId71"/>
    <sheet name="1804-5 (E)" sheetId="39" r:id="rId72"/>
    <sheet name="1804-5 (I)" sheetId="38" r:id="rId73"/>
    <sheet name="1803-4 (E)" sheetId="36" r:id="rId74"/>
    <sheet name="1803-4 (I)" sheetId="37" r:id="rId75"/>
    <sheet name="1802-3 (E)" sheetId="34" r:id="rId76"/>
    <sheet name="1802-3 (I)" sheetId="35" r:id="rId77"/>
    <sheet name="1801-2 (E)" sheetId="32" r:id="rId78"/>
    <sheet name="1801-2 (I)" sheetId="33" r:id="rId79"/>
    <sheet name="1800-01 (E)" sheetId="24" r:id="rId80"/>
    <sheet name="1800-01 (I)" sheetId="107" r:id="rId81"/>
    <sheet name="1799-1800 (E)" sheetId="21" r:id="rId82"/>
    <sheet name="1799-1801 (I)" sheetId="23" r:id="rId83"/>
    <sheet name="1797-98 (E_J)" sheetId="31" r:id="rId84"/>
    <sheet name="1796-97 (E_WI)" sheetId="19" r:id="rId85"/>
    <sheet name="1796-97 (E_J)" sheetId="18" r:id="rId86"/>
    <sheet name="1771-73 (I_WI)" sheetId="8" r:id="rId87"/>
  </sheets>
  <definedNames>
    <definedName name="_xlnm._FilterDatabase" localSheetId="1">Database!$A$1:$G$12940</definedName>
    <definedName name="_xlnm._FilterDatabase" localSheetId="2" hidden="1">'Ref List'!$A$1:$I$187</definedName>
    <definedName name="_xlnm._FilterDatabase" localSheetId="3" hidden="1">'Term List'!$A$1:$A$197</definedName>
    <definedName name="commodities">Summary!$B$4:$B$169</definedName>
    <definedName name="exports">'Term List'!$A$133:$A$197</definedName>
    <definedName name="ExternalData_1" localSheetId="1" hidden="1">Database!#REF!</definedName>
    <definedName name="ExternalData_1" localSheetId="9" hidden="1">'table E (1771-1845)'!$A$1:$C$10</definedName>
    <definedName name="fromlist">'Term List'!$F$2:$F$12</definedName>
    <definedName name="imports">'Term List'!$A$2:$A$132</definedName>
    <definedName name="tofrom">'Term List'!$E$2:$E$23</definedName>
    <definedName name="tolist">'Term List'!$G$2:$G$11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11" l="1"/>
  <c r="C13115" i="111"/>
  <c r="C13114" i="111"/>
  <c r="C13113" i="111"/>
  <c r="C13089" i="111"/>
  <c r="A13089" i="111"/>
  <c r="E6" i="174"/>
  <c r="F6" i="174"/>
  <c r="G6" i="174"/>
  <c r="H6" i="174"/>
  <c r="I6" i="174"/>
  <c r="J6" i="174"/>
  <c r="K6" i="174"/>
  <c r="L6" i="174"/>
  <c r="M6" i="174"/>
  <c r="N6" i="174"/>
  <c r="O6" i="174"/>
  <c r="P6" i="174"/>
  <c r="Q6" i="174"/>
  <c r="R6" i="174"/>
  <c r="S6" i="174"/>
  <c r="T6" i="174"/>
  <c r="U6" i="174"/>
  <c r="V6" i="174"/>
  <c r="W6" i="174"/>
  <c r="X6" i="174"/>
  <c r="Y6" i="174"/>
  <c r="Z6" i="174"/>
  <c r="AA6" i="174"/>
  <c r="AB6" i="174"/>
  <c r="AC6" i="174"/>
  <c r="AD6" i="174"/>
  <c r="AE6" i="174"/>
  <c r="AF6" i="174"/>
  <c r="E7" i="174"/>
  <c r="F7" i="174"/>
  <c r="G7" i="174"/>
  <c r="H7" i="174"/>
  <c r="I7" i="174"/>
  <c r="J7" i="174"/>
  <c r="K7" i="174"/>
  <c r="L7" i="174"/>
  <c r="M7" i="174"/>
  <c r="N7" i="174"/>
  <c r="O7" i="174"/>
  <c r="P7" i="174"/>
  <c r="Q7" i="174"/>
  <c r="R7" i="174"/>
  <c r="S7" i="174"/>
  <c r="T7" i="174"/>
  <c r="U7" i="174"/>
  <c r="V7" i="174"/>
  <c r="W7" i="174"/>
  <c r="X7" i="174"/>
  <c r="Y7" i="174"/>
  <c r="Z7" i="174"/>
  <c r="AA7" i="174"/>
  <c r="AB7" i="174"/>
  <c r="AC7" i="174"/>
  <c r="AD7" i="174"/>
  <c r="AE7" i="174"/>
  <c r="AF7" i="174"/>
  <c r="E8" i="174"/>
  <c r="F8" i="174"/>
  <c r="G8" i="174"/>
  <c r="H8" i="174"/>
  <c r="I8" i="174"/>
  <c r="J8" i="174"/>
  <c r="K8" i="174"/>
  <c r="L8" i="174"/>
  <c r="M8" i="174"/>
  <c r="N8" i="174"/>
  <c r="O8" i="174"/>
  <c r="P8" i="174"/>
  <c r="Q8" i="174"/>
  <c r="R8" i="174"/>
  <c r="S8" i="174"/>
  <c r="T8" i="174"/>
  <c r="U8" i="174"/>
  <c r="V8" i="174"/>
  <c r="W8" i="174"/>
  <c r="X8" i="174"/>
  <c r="Y8" i="174"/>
  <c r="Z8" i="174"/>
  <c r="AA8" i="174"/>
  <c r="AB8" i="174"/>
  <c r="AC8" i="174"/>
  <c r="AD8" i="174"/>
  <c r="AE8" i="174"/>
  <c r="AF8" i="174"/>
  <c r="E9" i="174"/>
  <c r="F9" i="174"/>
  <c r="G9" i="174"/>
  <c r="H9" i="174"/>
  <c r="I9" i="174"/>
  <c r="J9" i="174"/>
  <c r="K9" i="174"/>
  <c r="L9" i="174"/>
  <c r="M9" i="174"/>
  <c r="N9" i="174"/>
  <c r="O9" i="174"/>
  <c r="P9" i="174"/>
  <c r="Q9" i="174"/>
  <c r="R9" i="174"/>
  <c r="S9" i="174"/>
  <c r="T9" i="174"/>
  <c r="U9" i="174"/>
  <c r="V9" i="174"/>
  <c r="W9" i="174"/>
  <c r="X9" i="174"/>
  <c r="Y9" i="174"/>
  <c r="Z9" i="174"/>
  <c r="AA9" i="174"/>
  <c r="AB9" i="174"/>
  <c r="AC9" i="174"/>
  <c r="AD9" i="174"/>
  <c r="AE9" i="174"/>
  <c r="AF9" i="174"/>
  <c r="E10" i="174"/>
  <c r="F10" i="174"/>
  <c r="G10" i="174"/>
  <c r="H10" i="174"/>
  <c r="I10" i="174"/>
  <c r="J10" i="174"/>
  <c r="K10" i="174"/>
  <c r="L10" i="174"/>
  <c r="M10" i="174"/>
  <c r="N10" i="174"/>
  <c r="O10" i="174"/>
  <c r="P10" i="174"/>
  <c r="Q10" i="174"/>
  <c r="R10" i="174"/>
  <c r="S10" i="174"/>
  <c r="T10" i="174"/>
  <c r="U10" i="174"/>
  <c r="V10" i="174"/>
  <c r="W10" i="174"/>
  <c r="X10" i="174"/>
  <c r="Y10" i="174"/>
  <c r="Z10" i="174"/>
  <c r="AA10" i="174"/>
  <c r="AB10" i="174"/>
  <c r="AC10" i="174"/>
  <c r="AD10" i="174"/>
  <c r="AE10" i="174"/>
  <c r="AF10" i="174"/>
  <c r="E11" i="174"/>
  <c r="F11" i="174"/>
  <c r="G11" i="174"/>
  <c r="H11" i="174"/>
  <c r="I11" i="174"/>
  <c r="J11" i="174"/>
  <c r="K11" i="174"/>
  <c r="L11" i="174"/>
  <c r="M11" i="174"/>
  <c r="N11" i="174"/>
  <c r="O11" i="174"/>
  <c r="P11" i="174"/>
  <c r="Q11" i="174"/>
  <c r="R11" i="174"/>
  <c r="S11" i="174"/>
  <c r="T11" i="174"/>
  <c r="U11" i="174"/>
  <c r="V11" i="174"/>
  <c r="W11" i="174"/>
  <c r="X11" i="174"/>
  <c r="Y11" i="174"/>
  <c r="Z11" i="174"/>
  <c r="AA11" i="174"/>
  <c r="AB11" i="174"/>
  <c r="AC11" i="174"/>
  <c r="AD11" i="174"/>
  <c r="AE11" i="174"/>
  <c r="AF11" i="174"/>
  <c r="E12" i="174"/>
  <c r="F12" i="174"/>
  <c r="G12" i="174"/>
  <c r="H12" i="174"/>
  <c r="I12" i="174"/>
  <c r="J12" i="174"/>
  <c r="K12" i="174"/>
  <c r="L12" i="174"/>
  <c r="M12" i="174"/>
  <c r="N12" i="174"/>
  <c r="O12" i="174"/>
  <c r="P12" i="174"/>
  <c r="Q12" i="174"/>
  <c r="R12" i="174"/>
  <c r="S12" i="174"/>
  <c r="T12" i="174"/>
  <c r="U12" i="174"/>
  <c r="V12" i="174"/>
  <c r="W12" i="174"/>
  <c r="X12" i="174"/>
  <c r="Y12" i="174"/>
  <c r="Z12" i="174"/>
  <c r="AA12" i="174"/>
  <c r="AB12" i="174"/>
  <c r="AC12" i="174"/>
  <c r="AD12" i="174"/>
  <c r="AE12" i="174"/>
  <c r="AF12" i="174"/>
  <c r="E13" i="174"/>
  <c r="F13" i="174"/>
  <c r="G13" i="174"/>
  <c r="H13" i="174"/>
  <c r="I13" i="174"/>
  <c r="J13" i="174"/>
  <c r="K13" i="174"/>
  <c r="L13" i="174"/>
  <c r="M13" i="174"/>
  <c r="N13" i="174"/>
  <c r="O13" i="174"/>
  <c r="P13" i="174"/>
  <c r="Q13" i="174"/>
  <c r="R13" i="174"/>
  <c r="S13" i="174"/>
  <c r="T13" i="174"/>
  <c r="U13" i="174"/>
  <c r="V13" i="174"/>
  <c r="W13" i="174"/>
  <c r="X13" i="174"/>
  <c r="Y13" i="174"/>
  <c r="Z13" i="174"/>
  <c r="AA13" i="174"/>
  <c r="AB13" i="174"/>
  <c r="AC13" i="174"/>
  <c r="AD13" i="174"/>
  <c r="AE13" i="174"/>
  <c r="AF13" i="174"/>
  <c r="E14" i="174"/>
  <c r="F14" i="174"/>
  <c r="G14" i="174"/>
  <c r="H14" i="174"/>
  <c r="I14" i="174"/>
  <c r="J14" i="174"/>
  <c r="K14" i="174"/>
  <c r="L14" i="174"/>
  <c r="M14" i="174"/>
  <c r="N14" i="174"/>
  <c r="O14" i="174"/>
  <c r="P14" i="174"/>
  <c r="Q14" i="174"/>
  <c r="R14" i="174"/>
  <c r="S14" i="174"/>
  <c r="T14" i="174"/>
  <c r="U14" i="174"/>
  <c r="V14" i="174"/>
  <c r="W14" i="174"/>
  <c r="X14" i="174"/>
  <c r="Y14" i="174"/>
  <c r="Z14" i="174"/>
  <c r="AA14" i="174"/>
  <c r="AB14" i="174"/>
  <c r="AC14" i="174"/>
  <c r="AD14" i="174"/>
  <c r="AE14" i="174"/>
  <c r="AF14" i="174"/>
  <c r="E15" i="174"/>
  <c r="F15" i="174"/>
  <c r="G15" i="174"/>
  <c r="H15" i="174"/>
  <c r="I15" i="174"/>
  <c r="J15" i="174"/>
  <c r="K15" i="174"/>
  <c r="L15" i="174"/>
  <c r="M15" i="174"/>
  <c r="N15" i="174"/>
  <c r="O15" i="174"/>
  <c r="P15" i="174"/>
  <c r="Q15" i="174"/>
  <c r="R15" i="174"/>
  <c r="S15" i="174"/>
  <c r="T15" i="174"/>
  <c r="U15" i="174"/>
  <c r="V15" i="174"/>
  <c r="W15" i="174"/>
  <c r="X15" i="174"/>
  <c r="Y15" i="174"/>
  <c r="Z15" i="174"/>
  <c r="AA15" i="174"/>
  <c r="AB15" i="174"/>
  <c r="AC15" i="174"/>
  <c r="AD15" i="174"/>
  <c r="AE15" i="174"/>
  <c r="AF15" i="174"/>
  <c r="E16" i="174"/>
  <c r="F16" i="174"/>
  <c r="G16" i="174"/>
  <c r="H16" i="174"/>
  <c r="I16" i="174"/>
  <c r="J16" i="174"/>
  <c r="K16" i="174"/>
  <c r="L16" i="174"/>
  <c r="M16" i="174"/>
  <c r="N16" i="174"/>
  <c r="O16" i="174"/>
  <c r="P16" i="174"/>
  <c r="Q16" i="174"/>
  <c r="R16" i="174"/>
  <c r="S16" i="174"/>
  <c r="T16" i="174"/>
  <c r="U16" i="174"/>
  <c r="V16" i="174"/>
  <c r="W16" i="174"/>
  <c r="X16" i="174"/>
  <c r="Y16" i="174"/>
  <c r="Z16" i="174"/>
  <c r="AA16" i="174"/>
  <c r="AB16" i="174"/>
  <c r="AC16" i="174"/>
  <c r="AD16" i="174"/>
  <c r="AE16" i="174"/>
  <c r="AF16" i="174"/>
  <c r="E17" i="174"/>
  <c r="F17" i="174"/>
  <c r="G17" i="174"/>
  <c r="H17" i="174"/>
  <c r="I17" i="174"/>
  <c r="J17" i="174"/>
  <c r="K17" i="174"/>
  <c r="L17" i="174"/>
  <c r="M17" i="174"/>
  <c r="N17" i="174"/>
  <c r="O17" i="174"/>
  <c r="P17" i="174"/>
  <c r="Q17" i="174"/>
  <c r="R17" i="174"/>
  <c r="S17" i="174"/>
  <c r="T17" i="174"/>
  <c r="U17" i="174"/>
  <c r="V17" i="174"/>
  <c r="W17" i="174"/>
  <c r="X17" i="174"/>
  <c r="Y17" i="174"/>
  <c r="Z17" i="174"/>
  <c r="AA17" i="174"/>
  <c r="AB17" i="174"/>
  <c r="AC17" i="174"/>
  <c r="AD17" i="174"/>
  <c r="AE17" i="174"/>
  <c r="AF17" i="174"/>
  <c r="E18" i="174"/>
  <c r="F18" i="174"/>
  <c r="G18" i="174"/>
  <c r="H18" i="174"/>
  <c r="I18" i="174"/>
  <c r="J18" i="174"/>
  <c r="K18" i="174"/>
  <c r="L18" i="174"/>
  <c r="M18" i="174"/>
  <c r="N18" i="174"/>
  <c r="O18" i="174"/>
  <c r="P18" i="174"/>
  <c r="Q18" i="174"/>
  <c r="R18" i="174"/>
  <c r="S18" i="174"/>
  <c r="T18" i="174"/>
  <c r="U18" i="174"/>
  <c r="V18" i="174"/>
  <c r="W18" i="174"/>
  <c r="X18" i="174"/>
  <c r="Y18" i="174"/>
  <c r="Z18" i="174"/>
  <c r="AA18" i="174"/>
  <c r="AB18" i="174"/>
  <c r="AC18" i="174"/>
  <c r="AD18" i="174"/>
  <c r="AE18" i="174"/>
  <c r="AF18" i="174"/>
  <c r="E19" i="174"/>
  <c r="F19" i="174"/>
  <c r="G19" i="174"/>
  <c r="H19" i="174"/>
  <c r="I19" i="174"/>
  <c r="J19" i="174"/>
  <c r="K19" i="174"/>
  <c r="L19" i="174"/>
  <c r="M19" i="174"/>
  <c r="N19" i="174"/>
  <c r="O19" i="174"/>
  <c r="P19" i="174"/>
  <c r="Q19" i="174"/>
  <c r="R19" i="174"/>
  <c r="S19" i="174"/>
  <c r="T19" i="174"/>
  <c r="U19" i="174"/>
  <c r="V19" i="174"/>
  <c r="W19" i="174"/>
  <c r="X19" i="174"/>
  <c r="Y19" i="174"/>
  <c r="Z19" i="174"/>
  <c r="AA19" i="174"/>
  <c r="AB19" i="174"/>
  <c r="AC19" i="174"/>
  <c r="AD19" i="174"/>
  <c r="AE19" i="174"/>
  <c r="AF19" i="174"/>
  <c r="E20" i="174"/>
  <c r="F20" i="174"/>
  <c r="G20" i="174"/>
  <c r="H20" i="174"/>
  <c r="I20" i="174"/>
  <c r="J20" i="174"/>
  <c r="K20" i="174"/>
  <c r="L20" i="174"/>
  <c r="M20" i="174"/>
  <c r="N20" i="174"/>
  <c r="O20" i="174"/>
  <c r="P20" i="174"/>
  <c r="Q20" i="174"/>
  <c r="R20" i="174"/>
  <c r="S20" i="174"/>
  <c r="T20" i="174"/>
  <c r="U20" i="174"/>
  <c r="V20" i="174"/>
  <c r="W20" i="174"/>
  <c r="X20" i="174"/>
  <c r="Y20" i="174"/>
  <c r="Z20" i="174"/>
  <c r="AA20" i="174"/>
  <c r="AB20" i="174"/>
  <c r="AC20" i="174"/>
  <c r="AD20" i="174"/>
  <c r="AE20" i="174"/>
  <c r="AF20" i="174"/>
  <c r="E21" i="174"/>
  <c r="F21" i="174"/>
  <c r="G21" i="174"/>
  <c r="H21" i="174"/>
  <c r="I21" i="174"/>
  <c r="J21" i="174"/>
  <c r="K21" i="174"/>
  <c r="L21" i="174"/>
  <c r="M21" i="174"/>
  <c r="N21" i="174"/>
  <c r="O21" i="174"/>
  <c r="P21" i="174"/>
  <c r="Q21" i="174"/>
  <c r="R21" i="174"/>
  <c r="S21" i="174"/>
  <c r="T21" i="174"/>
  <c r="U21" i="174"/>
  <c r="V21" i="174"/>
  <c r="W21" i="174"/>
  <c r="X21" i="174"/>
  <c r="Y21" i="174"/>
  <c r="Z21" i="174"/>
  <c r="AA21" i="174"/>
  <c r="AB21" i="174"/>
  <c r="AC21" i="174"/>
  <c r="AD21" i="174"/>
  <c r="AE21" i="174"/>
  <c r="AF21" i="174"/>
  <c r="E22" i="174"/>
  <c r="F22" i="174"/>
  <c r="G22" i="174"/>
  <c r="H22" i="174"/>
  <c r="I22" i="174"/>
  <c r="J22" i="174"/>
  <c r="K22" i="174"/>
  <c r="L22" i="174"/>
  <c r="M22" i="174"/>
  <c r="N22" i="174"/>
  <c r="O22" i="174"/>
  <c r="P22" i="174"/>
  <c r="Q22" i="174"/>
  <c r="R22" i="174"/>
  <c r="S22" i="174"/>
  <c r="T22" i="174"/>
  <c r="U22" i="174"/>
  <c r="V22" i="174"/>
  <c r="W22" i="174"/>
  <c r="X22" i="174"/>
  <c r="Y22" i="174"/>
  <c r="Z22" i="174"/>
  <c r="AA22" i="174"/>
  <c r="AB22" i="174"/>
  <c r="AC22" i="174"/>
  <c r="AD22" i="174"/>
  <c r="AE22" i="174"/>
  <c r="AF22" i="174"/>
  <c r="E23" i="174"/>
  <c r="F23" i="174"/>
  <c r="G23" i="174"/>
  <c r="H23" i="174"/>
  <c r="I23" i="174"/>
  <c r="J23" i="174"/>
  <c r="K23" i="174"/>
  <c r="L23" i="174"/>
  <c r="M23" i="174"/>
  <c r="N23" i="174"/>
  <c r="O23" i="174"/>
  <c r="P23" i="174"/>
  <c r="Q23" i="174"/>
  <c r="R23" i="174"/>
  <c r="S23" i="174"/>
  <c r="T23" i="174"/>
  <c r="U23" i="174"/>
  <c r="V23" i="174"/>
  <c r="W23" i="174"/>
  <c r="X23" i="174"/>
  <c r="Y23" i="174"/>
  <c r="Z23" i="174"/>
  <c r="AA23" i="174"/>
  <c r="AB23" i="174"/>
  <c r="AC23" i="174"/>
  <c r="AD23" i="174"/>
  <c r="AE23" i="174"/>
  <c r="AF23" i="174"/>
  <c r="E24" i="174"/>
  <c r="F24" i="174"/>
  <c r="G24" i="174"/>
  <c r="H24" i="174"/>
  <c r="I24" i="174"/>
  <c r="J24" i="174"/>
  <c r="K24" i="174"/>
  <c r="L24" i="174"/>
  <c r="M24" i="174"/>
  <c r="N24" i="174"/>
  <c r="O24" i="174"/>
  <c r="P24" i="174"/>
  <c r="Q24" i="174"/>
  <c r="R24" i="174"/>
  <c r="S24" i="174"/>
  <c r="T24" i="174"/>
  <c r="U24" i="174"/>
  <c r="V24" i="174"/>
  <c r="W24" i="174"/>
  <c r="X24" i="174"/>
  <c r="Y24" i="174"/>
  <c r="Z24" i="174"/>
  <c r="AA24" i="174"/>
  <c r="AB24" i="174"/>
  <c r="AC24" i="174"/>
  <c r="AD24" i="174"/>
  <c r="AE24" i="174"/>
  <c r="AF24" i="174"/>
  <c r="E25" i="174"/>
  <c r="F25" i="174"/>
  <c r="G25" i="174"/>
  <c r="H25" i="174"/>
  <c r="I25" i="174"/>
  <c r="J25" i="174"/>
  <c r="K25" i="174"/>
  <c r="L25" i="174"/>
  <c r="M25" i="174"/>
  <c r="N25" i="174"/>
  <c r="O25" i="174"/>
  <c r="P25" i="174"/>
  <c r="Q25" i="174"/>
  <c r="R25" i="174"/>
  <c r="S25" i="174"/>
  <c r="T25" i="174"/>
  <c r="U25" i="174"/>
  <c r="V25" i="174"/>
  <c r="W25" i="174"/>
  <c r="X25" i="174"/>
  <c r="Y25" i="174"/>
  <c r="Z25" i="174"/>
  <c r="AA25" i="174"/>
  <c r="AB25" i="174"/>
  <c r="AC25" i="174"/>
  <c r="AD25" i="174"/>
  <c r="AE25" i="174"/>
  <c r="AF25" i="174"/>
  <c r="E26" i="174"/>
  <c r="F26" i="174"/>
  <c r="G26" i="174"/>
  <c r="H26" i="174"/>
  <c r="I26" i="174"/>
  <c r="J26" i="174"/>
  <c r="K26" i="174"/>
  <c r="L26" i="174"/>
  <c r="M26" i="174"/>
  <c r="N26" i="174"/>
  <c r="O26" i="174"/>
  <c r="P26" i="174"/>
  <c r="Q26" i="174"/>
  <c r="R26" i="174"/>
  <c r="S26" i="174"/>
  <c r="T26" i="174"/>
  <c r="U26" i="174"/>
  <c r="V26" i="174"/>
  <c r="W26" i="174"/>
  <c r="X26" i="174"/>
  <c r="Y26" i="174"/>
  <c r="Z26" i="174"/>
  <c r="AA26" i="174"/>
  <c r="AB26" i="174"/>
  <c r="AC26" i="174"/>
  <c r="AD26" i="174"/>
  <c r="AE26" i="174"/>
  <c r="AF26" i="174"/>
  <c r="E27" i="174"/>
  <c r="F27" i="174"/>
  <c r="G27" i="174"/>
  <c r="H27" i="174"/>
  <c r="I27" i="174"/>
  <c r="J27" i="174"/>
  <c r="K27" i="174"/>
  <c r="L27" i="174"/>
  <c r="M27" i="174"/>
  <c r="N27" i="174"/>
  <c r="O27" i="174"/>
  <c r="P27" i="174"/>
  <c r="Q27" i="174"/>
  <c r="R27" i="174"/>
  <c r="S27" i="174"/>
  <c r="T27" i="174"/>
  <c r="U27" i="174"/>
  <c r="V27" i="174"/>
  <c r="W27" i="174"/>
  <c r="X27" i="174"/>
  <c r="Y27" i="174"/>
  <c r="Z27" i="174"/>
  <c r="AA27" i="174"/>
  <c r="AB27" i="174"/>
  <c r="AC27" i="174"/>
  <c r="AD27" i="174"/>
  <c r="AE27" i="174"/>
  <c r="AF27" i="174"/>
  <c r="CS6" i="174"/>
  <c r="CT6" i="174"/>
  <c r="CU6" i="174"/>
  <c r="CV6" i="174"/>
  <c r="CS7" i="174"/>
  <c r="CT7" i="174"/>
  <c r="CU7" i="174"/>
  <c r="CV7" i="174"/>
  <c r="CS8" i="174"/>
  <c r="CT8" i="174"/>
  <c r="CU8" i="174"/>
  <c r="CV8" i="174"/>
  <c r="CS9" i="174"/>
  <c r="CT9" i="174"/>
  <c r="CU9" i="174"/>
  <c r="CV9" i="174"/>
  <c r="CS10" i="174"/>
  <c r="CT10" i="174"/>
  <c r="CU10" i="174"/>
  <c r="CV10" i="174"/>
  <c r="CS11" i="174"/>
  <c r="CT11" i="174"/>
  <c r="CU11" i="174"/>
  <c r="CV11" i="174"/>
  <c r="CS12" i="174"/>
  <c r="CT12" i="174"/>
  <c r="CU12" i="174"/>
  <c r="CV12" i="174"/>
  <c r="CS13" i="174"/>
  <c r="CT13" i="174"/>
  <c r="CU13" i="174"/>
  <c r="CV13" i="174"/>
  <c r="CS14" i="174"/>
  <c r="CT14" i="174"/>
  <c r="CU14" i="174"/>
  <c r="CV14" i="174"/>
  <c r="CS15" i="174"/>
  <c r="CT15" i="174"/>
  <c r="CU15" i="174"/>
  <c r="CV15" i="174"/>
  <c r="CS16" i="174"/>
  <c r="CT16" i="174"/>
  <c r="CU16" i="174"/>
  <c r="CV16" i="174"/>
  <c r="CS17" i="174"/>
  <c r="CT17" i="174"/>
  <c r="CU17" i="174"/>
  <c r="CV17" i="174"/>
  <c r="CS18" i="174"/>
  <c r="CT18" i="174"/>
  <c r="CU18" i="174"/>
  <c r="CV18" i="174"/>
  <c r="CS19" i="174"/>
  <c r="CT19" i="174"/>
  <c r="CU19" i="174"/>
  <c r="CV19" i="174"/>
  <c r="CS20" i="174"/>
  <c r="CT20" i="174"/>
  <c r="CU20" i="174"/>
  <c r="CV20" i="174"/>
  <c r="CS21" i="174"/>
  <c r="CT21" i="174"/>
  <c r="CU21" i="174"/>
  <c r="CV21" i="174"/>
  <c r="CS22" i="174"/>
  <c r="CT22" i="174"/>
  <c r="CU22" i="174"/>
  <c r="CV22" i="174"/>
  <c r="CS23" i="174"/>
  <c r="CT23" i="174"/>
  <c r="CU23" i="174"/>
  <c r="CV23" i="174"/>
  <c r="CS24" i="174"/>
  <c r="CT24" i="174"/>
  <c r="CU24" i="174"/>
  <c r="CV24" i="174"/>
  <c r="CS25" i="174"/>
  <c r="CT25" i="174"/>
  <c r="CU25" i="174"/>
  <c r="CV25" i="174"/>
  <c r="CS26" i="174"/>
  <c r="CT26" i="174"/>
  <c r="CU26" i="174"/>
  <c r="CV26" i="174"/>
  <c r="CS27" i="174"/>
  <c r="CT27" i="174"/>
  <c r="CU27" i="174"/>
  <c r="CV27" i="174"/>
  <c r="BV6" i="174"/>
  <c r="BW6" i="174"/>
  <c r="BX6" i="174"/>
  <c r="BY6" i="174"/>
  <c r="BZ6" i="174"/>
  <c r="CA6" i="174"/>
  <c r="CB6" i="174"/>
  <c r="CC6" i="174"/>
  <c r="CD6" i="174"/>
  <c r="CE6" i="174"/>
  <c r="CF6" i="174"/>
  <c r="CG6" i="174"/>
  <c r="CH6" i="174"/>
  <c r="CI6" i="174"/>
  <c r="CJ6" i="174"/>
  <c r="CK6" i="174"/>
  <c r="CL6" i="174"/>
  <c r="CM6" i="174"/>
  <c r="CN6" i="174"/>
  <c r="CO6" i="174"/>
  <c r="CP6" i="174"/>
  <c r="CQ6" i="174"/>
  <c r="CR6" i="174"/>
  <c r="BV7" i="174"/>
  <c r="BW7" i="174"/>
  <c r="BX7" i="174"/>
  <c r="BY7" i="174"/>
  <c r="BZ7" i="174"/>
  <c r="CA7" i="174"/>
  <c r="CB7" i="174"/>
  <c r="CC7" i="174"/>
  <c r="CD7" i="174"/>
  <c r="CE7" i="174"/>
  <c r="CF7" i="174"/>
  <c r="CG7" i="174"/>
  <c r="CH7" i="174"/>
  <c r="CI7" i="174"/>
  <c r="CJ7" i="174"/>
  <c r="CK7" i="174"/>
  <c r="CL7" i="174"/>
  <c r="CM7" i="174"/>
  <c r="CN7" i="174"/>
  <c r="CO7" i="174"/>
  <c r="CP7" i="174"/>
  <c r="CQ7" i="174"/>
  <c r="CR7" i="174"/>
  <c r="BV8" i="174"/>
  <c r="BW8" i="174"/>
  <c r="BX8" i="174"/>
  <c r="BY8" i="174"/>
  <c r="BZ8" i="174"/>
  <c r="CA8" i="174"/>
  <c r="CB8" i="174"/>
  <c r="CC8" i="174"/>
  <c r="CD8" i="174"/>
  <c r="CE8" i="174"/>
  <c r="CF8" i="174"/>
  <c r="CG8" i="174"/>
  <c r="CH8" i="174"/>
  <c r="CI8" i="174"/>
  <c r="CJ8" i="174"/>
  <c r="CK8" i="174"/>
  <c r="CL8" i="174"/>
  <c r="CM8" i="174"/>
  <c r="CN8" i="174"/>
  <c r="CO8" i="174"/>
  <c r="CP8" i="174"/>
  <c r="CQ8" i="174"/>
  <c r="CR8" i="174"/>
  <c r="BV9" i="174"/>
  <c r="BW9" i="174"/>
  <c r="BX9" i="174"/>
  <c r="BY9" i="174"/>
  <c r="BZ9" i="174"/>
  <c r="CA9" i="174"/>
  <c r="CB9" i="174"/>
  <c r="CC9" i="174"/>
  <c r="CD9" i="174"/>
  <c r="CE9" i="174"/>
  <c r="CF9" i="174"/>
  <c r="CG9" i="174"/>
  <c r="CH9" i="174"/>
  <c r="CI9" i="174"/>
  <c r="CJ9" i="174"/>
  <c r="CK9" i="174"/>
  <c r="CL9" i="174"/>
  <c r="CM9" i="174"/>
  <c r="CN9" i="174"/>
  <c r="CO9" i="174"/>
  <c r="CP9" i="174"/>
  <c r="CQ9" i="174"/>
  <c r="CR9" i="174"/>
  <c r="BV10" i="174"/>
  <c r="BW10" i="174"/>
  <c r="BX10" i="174"/>
  <c r="BY10" i="174"/>
  <c r="BZ10" i="174"/>
  <c r="CA10" i="174"/>
  <c r="CB10" i="174"/>
  <c r="CC10" i="174"/>
  <c r="CD10" i="174"/>
  <c r="CE10" i="174"/>
  <c r="CF10" i="174"/>
  <c r="CG10" i="174"/>
  <c r="CH10" i="174"/>
  <c r="CI10" i="174"/>
  <c r="CJ10" i="174"/>
  <c r="CK10" i="174"/>
  <c r="CL10" i="174"/>
  <c r="CM10" i="174"/>
  <c r="CN10" i="174"/>
  <c r="CO10" i="174"/>
  <c r="CP10" i="174"/>
  <c r="CQ10" i="174"/>
  <c r="CR10" i="174"/>
  <c r="BV11" i="174"/>
  <c r="BW11" i="174"/>
  <c r="BX11" i="174"/>
  <c r="BY11" i="174"/>
  <c r="BZ11" i="174"/>
  <c r="CA11" i="174"/>
  <c r="CB11" i="174"/>
  <c r="CC11" i="174"/>
  <c r="CD11" i="174"/>
  <c r="CE11" i="174"/>
  <c r="CF11" i="174"/>
  <c r="CG11" i="174"/>
  <c r="CH11" i="174"/>
  <c r="CI11" i="174"/>
  <c r="CJ11" i="174"/>
  <c r="CK11" i="174"/>
  <c r="CL11" i="174"/>
  <c r="CM11" i="174"/>
  <c r="CN11" i="174"/>
  <c r="CO11" i="174"/>
  <c r="CP11" i="174"/>
  <c r="CQ11" i="174"/>
  <c r="CR11" i="174"/>
  <c r="BV12" i="174"/>
  <c r="BW12" i="174"/>
  <c r="BX12" i="174"/>
  <c r="BY12" i="174"/>
  <c r="BZ12" i="174"/>
  <c r="CA12" i="174"/>
  <c r="CB12" i="174"/>
  <c r="CC12" i="174"/>
  <c r="CD12" i="174"/>
  <c r="CE12" i="174"/>
  <c r="CF12" i="174"/>
  <c r="CG12" i="174"/>
  <c r="CH12" i="174"/>
  <c r="CI12" i="174"/>
  <c r="CJ12" i="174"/>
  <c r="CK12" i="174"/>
  <c r="CL12" i="174"/>
  <c r="CM12" i="174"/>
  <c r="CN12" i="174"/>
  <c r="CO12" i="174"/>
  <c r="CP12" i="174"/>
  <c r="CQ12" i="174"/>
  <c r="CR12" i="174"/>
  <c r="BV13" i="174"/>
  <c r="BW13" i="174"/>
  <c r="BX13" i="174"/>
  <c r="BY13" i="174"/>
  <c r="BZ13" i="174"/>
  <c r="CA13" i="174"/>
  <c r="CB13" i="174"/>
  <c r="CC13" i="174"/>
  <c r="CD13" i="174"/>
  <c r="CE13" i="174"/>
  <c r="CF13" i="174"/>
  <c r="CG13" i="174"/>
  <c r="CH13" i="174"/>
  <c r="CI13" i="174"/>
  <c r="CJ13" i="174"/>
  <c r="CK13" i="174"/>
  <c r="CL13" i="174"/>
  <c r="CM13" i="174"/>
  <c r="CN13" i="174"/>
  <c r="CO13" i="174"/>
  <c r="CP13" i="174"/>
  <c r="CQ13" i="174"/>
  <c r="CR13" i="174"/>
  <c r="BV14" i="174"/>
  <c r="BW14" i="174"/>
  <c r="BX14" i="174"/>
  <c r="BY14" i="174"/>
  <c r="BZ14" i="174"/>
  <c r="CA14" i="174"/>
  <c r="CB14" i="174"/>
  <c r="CC14" i="174"/>
  <c r="CD14" i="174"/>
  <c r="CE14" i="174"/>
  <c r="CF14" i="174"/>
  <c r="CG14" i="174"/>
  <c r="CH14" i="174"/>
  <c r="CI14" i="174"/>
  <c r="CJ14" i="174"/>
  <c r="CK14" i="174"/>
  <c r="CL14" i="174"/>
  <c r="CM14" i="174"/>
  <c r="CN14" i="174"/>
  <c r="CO14" i="174"/>
  <c r="CP14" i="174"/>
  <c r="CQ14" i="174"/>
  <c r="CR14" i="174"/>
  <c r="BV15" i="174"/>
  <c r="BW15" i="174"/>
  <c r="BX15" i="174"/>
  <c r="BY15" i="174"/>
  <c r="BZ15" i="174"/>
  <c r="CA15" i="174"/>
  <c r="CB15" i="174"/>
  <c r="CC15" i="174"/>
  <c r="CD15" i="174"/>
  <c r="CE15" i="174"/>
  <c r="CF15" i="174"/>
  <c r="CG15" i="174"/>
  <c r="CH15" i="174"/>
  <c r="CI15" i="174"/>
  <c r="CJ15" i="174"/>
  <c r="CK15" i="174"/>
  <c r="CL15" i="174"/>
  <c r="CM15" i="174"/>
  <c r="CN15" i="174"/>
  <c r="CO15" i="174"/>
  <c r="CP15" i="174"/>
  <c r="CQ15" i="174"/>
  <c r="CR15" i="174"/>
  <c r="BV16" i="174"/>
  <c r="BW16" i="174"/>
  <c r="BX16" i="174"/>
  <c r="BY16" i="174"/>
  <c r="BZ16" i="174"/>
  <c r="CA16" i="174"/>
  <c r="CB16" i="174"/>
  <c r="CC16" i="174"/>
  <c r="CD16" i="174"/>
  <c r="CE16" i="174"/>
  <c r="CF16" i="174"/>
  <c r="CG16" i="174"/>
  <c r="CH16" i="174"/>
  <c r="CI16" i="174"/>
  <c r="CJ16" i="174"/>
  <c r="CK16" i="174"/>
  <c r="CL16" i="174"/>
  <c r="CM16" i="174"/>
  <c r="CN16" i="174"/>
  <c r="CO16" i="174"/>
  <c r="CP16" i="174"/>
  <c r="CQ16" i="174"/>
  <c r="CR16" i="174"/>
  <c r="BV17" i="174"/>
  <c r="BW17" i="174"/>
  <c r="BX17" i="174"/>
  <c r="BY17" i="174"/>
  <c r="BZ17" i="174"/>
  <c r="CA17" i="174"/>
  <c r="CB17" i="174"/>
  <c r="CC17" i="174"/>
  <c r="CD17" i="174"/>
  <c r="CE17" i="174"/>
  <c r="CF17" i="174"/>
  <c r="CG17" i="174"/>
  <c r="CH17" i="174"/>
  <c r="CI17" i="174"/>
  <c r="CJ17" i="174"/>
  <c r="CK17" i="174"/>
  <c r="CL17" i="174"/>
  <c r="CM17" i="174"/>
  <c r="CN17" i="174"/>
  <c r="CO17" i="174"/>
  <c r="CP17" i="174"/>
  <c r="CQ17" i="174"/>
  <c r="CR17" i="174"/>
  <c r="BV18" i="174"/>
  <c r="BW18" i="174"/>
  <c r="BX18" i="174"/>
  <c r="BY18" i="174"/>
  <c r="BZ18" i="174"/>
  <c r="CA18" i="174"/>
  <c r="CB18" i="174"/>
  <c r="CC18" i="174"/>
  <c r="CD18" i="174"/>
  <c r="CE18" i="174"/>
  <c r="CF18" i="174"/>
  <c r="CG18" i="174"/>
  <c r="CH18" i="174"/>
  <c r="CI18" i="174"/>
  <c r="CJ18" i="174"/>
  <c r="CK18" i="174"/>
  <c r="CL18" i="174"/>
  <c r="CM18" i="174"/>
  <c r="CN18" i="174"/>
  <c r="CO18" i="174"/>
  <c r="CP18" i="174"/>
  <c r="CQ18" i="174"/>
  <c r="CR18" i="174"/>
  <c r="BV19" i="174"/>
  <c r="BW19" i="174"/>
  <c r="BX19" i="174"/>
  <c r="BY19" i="174"/>
  <c r="BZ19" i="174"/>
  <c r="CA19" i="174"/>
  <c r="CB19" i="174"/>
  <c r="CC19" i="174"/>
  <c r="CD19" i="174"/>
  <c r="CE19" i="174"/>
  <c r="CF19" i="174"/>
  <c r="CG19" i="174"/>
  <c r="CH19" i="174"/>
  <c r="CI19" i="174"/>
  <c r="CJ19" i="174"/>
  <c r="CK19" i="174"/>
  <c r="CL19" i="174"/>
  <c r="CM19" i="174"/>
  <c r="CN19" i="174"/>
  <c r="CO19" i="174"/>
  <c r="CP19" i="174"/>
  <c r="CQ19" i="174"/>
  <c r="CR19" i="174"/>
  <c r="BV20" i="174"/>
  <c r="BW20" i="174"/>
  <c r="BX20" i="174"/>
  <c r="BY20" i="174"/>
  <c r="BZ20" i="174"/>
  <c r="CA20" i="174"/>
  <c r="CB20" i="174"/>
  <c r="CC20" i="174"/>
  <c r="CD20" i="174"/>
  <c r="CE20" i="174"/>
  <c r="CF20" i="174"/>
  <c r="CG20" i="174"/>
  <c r="CH20" i="174"/>
  <c r="CI20" i="174"/>
  <c r="CJ20" i="174"/>
  <c r="CK20" i="174"/>
  <c r="CL20" i="174"/>
  <c r="CM20" i="174"/>
  <c r="CN20" i="174"/>
  <c r="CO20" i="174"/>
  <c r="CP20" i="174"/>
  <c r="CQ20" i="174"/>
  <c r="CR20" i="174"/>
  <c r="BV21" i="174"/>
  <c r="BW21" i="174"/>
  <c r="BX21" i="174"/>
  <c r="BY21" i="174"/>
  <c r="BZ21" i="174"/>
  <c r="CA21" i="174"/>
  <c r="CB21" i="174"/>
  <c r="CC21" i="174"/>
  <c r="CD21" i="174"/>
  <c r="CE21" i="174"/>
  <c r="CF21" i="174"/>
  <c r="CG21" i="174"/>
  <c r="CH21" i="174"/>
  <c r="CI21" i="174"/>
  <c r="CJ21" i="174"/>
  <c r="CK21" i="174"/>
  <c r="CL21" i="174"/>
  <c r="CM21" i="174"/>
  <c r="CN21" i="174"/>
  <c r="CO21" i="174"/>
  <c r="CP21" i="174"/>
  <c r="CQ21" i="174"/>
  <c r="CR21" i="174"/>
  <c r="BV22" i="174"/>
  <c r="BW22" i="174"/>
  <c r="BX22" i="174"/>
  <c r="BY22" i="174"/>
  <c r="BZ22" i="174"/>
  <c r="CA22" i="174"/>
  <c r="CB22" i="174"/>
  <c r="CC22" i="174"/>
  <c r="CD22" i="174"/>
  <c r="CE22" i="174"/>
  <c r="CF22" i="174"/>
  <c r="CG22" i="174"/>
  <c r="CH22" i="174"/>
  <c r="CI22" i="174"/>
  <c r="CJ22" i="174"/>
  <c r="CK22" i="174"/>
  <c r="CL22" i="174"/>
  <c r="CM22" i="174"/>
  <c r="CN22" i="174"/>
  <c r="CO22" i="174"/>
  <c r="CP22" i="174"/>
  <c r="CQ22" i="174"/>
  <c r="CR22" i="174"/>
  <c r="BV23" i="174"/>
  <c r="BW23" i="174"/>
  <c r="BX23" i="174"/>
  <c r="BY23" i="174"/>
  <c r="BZ23" i="174"/>
  <c r="CA23" i="174"/>
  <c r="CB23" i="174"/>
  <c r="CC23" i="174"/>
  <c r="CD23" i="174"/>
  <c r="CE23" i="174"/>
  <c r="CF23" i="174"/>
  <c r="CG23" i="174"/>
  <c r="CH23" i="174"/>
  <c r="CI23" i="174"/>
  <c r="CJ23" i="174"/>
  <c r="CK23" i="174"/>
  <c r="CL23" i="174"/>
  <c r="CM23" i="174"/>
  <c r="CN23" i="174"/>
  <c r="CO23" i="174"/>
  <c r="CP23" i="174"/>
  <c r="CQ23" i="174"/>
  <c r="CR23" i="174"/>
  <c r="BV24" i="174"/>
  <c r="BW24" i="174"/>
  <c r="BX24" i="174"/>
  <c r="BY24" i="174"/>
  <c r="BZ24" i="174"/>
  <c r="CA24" i="174"/>
  <c r="CB24" i="174"/>
  <c r="CC24" i="174"/>
  <c r="CD24" i="174"/>
  <c r="CE24" i="174"/>
  <c r="CF24" i="174"/>
  <c r="CG24" i="174"/>
  <c r="CH24" i="174"/>
  <c r="CI24" i="174"/>
  <c r="CJ24" i="174"/>
  <c r="CK24" i="174"/>
  <c r="CL24" i="174"/>
  <c r="CM24" i="174"/>
  <c r="CN24" i="174"/>
  <c r="CO24" i="174"/>
  <c r="CP24" i="174"/>
  <c r="CQ24" i="174"/>
  <c r="CR24" i="174"/>
  <c r="BV25" i="174"/>
  <c r="BW25" i="174"/>
  <c r="BX25" i="174"/>
  <c r="BY25" i="174"/>
  <c r="BZ25" i="174"/>
  <c r="CA25" i="174"/>
  <c r="CB25" i="174"/>
  <c r="CC25" i="174"/>
  <c r="CD25" i="174"/>
  <c r="CE25" i="174"/>
  <c r="CF25" i="174"/>
  <c r="CG25" i="174"/>
  <c r="CH25" i="174"/>
  <c r="CI25" i="174"/>
  <c r="CJ25" i="174"/>
  <c r="CK25" i="174"/>
  <c r="CL25" i="174"/>
  <c r="CM25" i="174"/>
  <c r="CN25" i="174"/>
  <c r="CO25" i="174"/>
  <c r="CP25" i="174"/>
  <c r="CQ25" i="174"/>
  <c r="CR25" i="174"/>
  <c r="BV26" i="174"/>
  <c r="BW26" i="174"/>
  <c r="BX26" i="174"/>
  <c r="BY26" i="174"/>
  <c r="BZ26" i="174"/>
  <c r="CA26" i="174"/>
  <c r="CB26" i="174"/>
  <c r="CC26" i="174"/>
  <c r="CD26" i="174"/>
  <c r="CE26" i="174"/>
  <c r="CF26" i="174"/>
  <c r="CG26" i="174"/>
  <c r="CH26" i="174"/>
  <c r="CI26" i="174"/>
  <c r="CJ26" i="174"/>
  <c r="CK26" i="174"/>
  <c r="CL26" i="174"/>
  <c r="CM26" i="174"/>
  <c r="CN26" i="174"/>
  <c r="CO26" i="174"/>
  <c r="CP26" i="174"/>
  <c r="CQ26" i="174"/>
  <c r="CR26" i="174"/>
  <c r="BV27" i="174"/>
  <c r="BW27" i="174"/>
  <c r="BX27" i="174"/>
  <c r="BY27" i="174"/>
  <c r="BZ27" i="174"/>
  <c r="CA27" i="174"/>
  <c r="CB27" i="174"/>
  <c r="CC27" i="174"/>
  <c r="CD27" i="174"/>
  <c r="CE27" i="174"/>
  <c r="CF27" i="174"/>
  <c r="CG27" i="174"/>
  <c r="CH27" i="174"/>
  <c r="CI27" i="174"/>
  <c r="CJ27" i="174"/>
  <c r="CK27" i="174"/>
  <c r="CL27" i="174"/>
  <c r="CM27" i="174"/>
  <c r="CN27" i="174"/>
  <c r="CO27" i="174"/>
  <c r="CP27" i="174"/>
  <c r="CQ27" i="174"/>
  <c r="CR27" i="174"/>
  <c r="AG6" i="174"/>
  <c r="AG7" i="174"/>
  <c r="AG8" i="174"/>
  <c r="AG9" i="174"/>
  <c r="AG10" i="174"/>
  <c r="AG11" i="174"/>
  <c r="AG12" i="174"/>
  <c r="AG13" i="174"/>
  <c r="AG14" i="174"/>
  <c r="AG15" i="174"/>
  <c r="AG16" i="174"/>
  <c r="AG17" i="174"/>
  <c r="AG18" i="174"/>
  <c r="AG19" i="174"/>
  <c r="AG20" i="174"/>
  <c r="AG21" i="174"/>
  <c r="AG22" i="174"/>
  <c r="AG23" i="174"/>
  <c r="AG24" i="174"/>
  <c r="AG25" i="174"/>
  <c r="AG26" i="174"/>
  <c r="AG27" i="174"/>
  <c r="B9" i="178"/>
  <c r="C9" i="178"/>
  <c r="D9" i="178"/>
  <c r="E9" i="178"/>
  <c r="B17" i="178"/>
  <c r="C17" i="178"/>
  <c r="D17" i="178"/>
  <c r="D18" i="178" s="1"/>
  <c r="E17" i="178"/>
  <c r="E18" i="178" s="1"/>
  <c r="B18" i="178"/>
  <c r="BU111" i="119"/>
  <c r="BV111" i="119"/>
  <c r="BW111" i="119"/>
  <c r="BX111" i="119"/>
  <c r="BY111" i="119"/>
  <c r="BZ111" i="119"/>
  <c r="CA111" i="119"/>
  <c r="CB111" i="119"/>
  <c r="CC111" i="119"/>
  <c r="CD111" i="119"/>
  <c r="CE111" i="119"/>
  <c r="CF111" i="119"/>
  <c r="CG111" i="119"/>
  <c r="CH111" i="119"/>
  <c r="CI111" i="119"/>
  <c r="CJ111" i="119"/>
  <c r="CK111" i="119"/>
  <c r="CL111" i="119"/>
  <c r="CM111" i="119"/>
  <c r="CN111" i="119"/>
  <c r="CO111" i="119"/>
  <c r="CP111" i="119"/>
  <c r="CQ111" i="119"/>
  <c r="CR111" i="119"/>
  <c r="CS111" i="119"/>
  <c r="CT111" i="119"/>
  <c r="CU111" i="119"/>
  <c r="BU112" i="119"/>
  <c r="BV112" i="119"/>
  <c r="BW112" i="119"/>
  <c r="BX112" i="119"/>
  <c r="BY112" i="119"/>
  <c r="BZ112" i="119"/>
  <c r="CA112" i="119"/>
  <c r="CB112" i="119"/>
  <c r="CC112" i="119"/>
  <c r="CD112" i="119"/>
  <c r="CE112" i="119"/>
  <c r="CF112" i="119"/>
  <c r="CG112" i="119"/>
  <c r="CH112" i="119"/>
  <c r="CI112" i="119"/>
  <c r="CJ112" i="119"/>
  <c r="CK112" i="119"/>
  <c r="CL112" i="119"/>
  <c r="CM112" i="119"/>
  <c r="CN112" i="119"/>
  <c r="CO112" i="119"/>
  <c r="CP112" i="119"/>
  <c r="CQ112" i="119"/>
  <c r="CR112" i="119"/>
  <c r="CS112" i="119"/>
  <c r="CT112" i="119"/>
  <c r="CU112" i="119"/>
  <c r="BU113" i="119"/>
  <c r="BV113" i="119"/>
  <c r="BW113" i="119"/>
  <c r="BX113" i="119"/>
  <c r="BY113" i="119"/>
  <c r="BZ113" i="119"/>
  <c r="CA113" i="119"/>
  <c r="CB113" i="119"/>
  <c r="CC113" i="119"/>
  <c r="CD113" i="119"/>
  <c r="CE113" i="119"/>
  <c r="CF113" i="119"/>
  <c r="CG113" i="119"/>
  <c r="CH113" i="119"/>
  <c r="CI113" i="119"/>
  <c r="CJ113" i="119"/>
  <c r="CK113" i="119"/>
  <c r="CL113" i="119"/>
  <c r="CM113" i="119"/>
  <c r="CN113" i="119"/>
  <c r="CO113" i="119"/>
  <c r="CP113" i="119"/>
  <c r="CQ113" i="119"/>
  <c r="CR113" i="119"/>
  <c r="CS113" i="119"/>
  <c r="CT113" i="119"/>
  <c r="CU113" i="119"/>
  <c r="BU114" i="119"/>
  <c r="BV114" i="119"/>
  <c r="BW114" i="119"/>
  <c r="BX114" i="119"/>
  <c r="BY114" i="119"/>
  <c r="BZ114" i="119"/>
  <c r="CA114" i="119"/>
  <c r="CB114" i="119"/>
  <c r="CC114" i="119"/>
  <c r="CD114" i="119"/>
  <c r="CE114" i="119"/>
  <c r="CF114" i="119"/>
  <c r="CG114" i="119"/>
  <c r="CH114" i="119"/>
  <c r="CI114" i="119"/>
  <c r="CJ114" i="119"/>
  <c r="CK114" i="119"/>
  <c r="CL114" i="119"/>
  <c r="CM114" i="119"/>
  <c r="CN114" i="119"/>
  <c r="CO114" i="119"/>
  <c r="CP114" i="119"/>
  <c r="CQ114" i="119"/>
  <c r="CR114" i="119"/>
  <c r="CS114" i="119"/>
  <c r="CT114" i="119"/>
  <c r="CU114" i="119"/>
  <c r="BU115" i="119"/>
  <c r="BV115" i="119"/>
  <c r="BW115" i="119"/>
  <c r="BX115" i="119"/>
  <c r="BY115" i="119"/>
  <c r="BZ115" i="119"/>
  <c r="CA115" i="119"/>
  <c r="CB115" i="119"/>
  <c r="CC115" i="119"/>
  <c r="CD115" i="119"/>
  <c r="CE115" i="119"/>
  <c r="CF115" i="119"/>
  <c r="CG115" i="119"/>
  <c r="CH115" i="119"/>
  <c r="CI115" i="119"/>
  <c r="CJ115" i="119"/>
  <c r="CK115" i="119"/>
  <c r="CL115" i="119"/>
  <c r="CM115" i="119"/>
  <c r="CN115" i="119"/>
  <c r="CO115" i="119"/>
  <c r="CP115" i="119"/>
  <c r="CQ115" i="119"/>
  <c r="CR115" i="119"/>
  <c r="CS115" i="119"/>
  <c r="CT115" i="119"/>
  <c r="CU115" i="119"/>
  <c r="BU116" i="119"/>
  <c r="BV116" i="119"/>
  <c r="BW116" i="119"/>
  <c r="BX116" i="119"/>
  <c r="BY116" i="119"/>
  <c r="BZ116" i="119"/>
  <c r="CA116" i="119"/>
  <c r="CB116" i="119"/>
  <c r="CC116" i="119"/>
  <c r="CD116" i="119"/>
  <c r="CE116" i="119"/>
  <c r="CF116" i="119"/>
  <c r="CG116" i="119"/>
  <c r="CH116" i="119"/>
  <c r="CI116" i="119"/>
  <c r="CJ116" i="119"/>
  <c r="CK116" i="119"/>
  <c r="CL116" i="119"/>
  <c r="CM116" i="119"/>
  <c r="CN116" i="119"/>
  <c r="CO116" i="119"/>
  <c r="CP116" i="119"/>
  <c r="CQ116" i="119"/>
  <c r="CR116" i="119"/>
  <c r="CS116" i="119"/>
  <c r="CT116" i="119"/>
  <c r="CU116" i="119"/>
  <c r="BU117" i="119"/>
  <c r="BV117" i="119"/>
  <c r="BW117" i="119"/>
  <c r="BX117" i="119"/>
  <c r="BY117" i="119"/>
  <c r="BZ117" i="119"/>
  <c r="CA117" i="119"/>
  <c r="CB117" i="119"/>
  <c r="CC117" i="119"/>
  <c r="CD117" i="119"/>
  <c r="CE117" i="119"/>
  <c r="CF117" i="119"/>
  <c r="CG117" i="119"/>
  <c r="CH117" i="119"/>
  <c r="CI117" i="119"/>
  <c r="CJ117" i="119"/>
  <c r="CK117" i="119"/>
  <c r="CL117" i="119"/>
  <c r="CM117" i="119"/>
  <c r="CN117" i="119"/>
  <c r="CO117" i="119"/>
  <c r="CP117" i="119"/>
  <c r="CQ117" i="119"/>
  <c r="CR117" i="119"/>
  <c r="CS117" i="119"/>
  <c r="CT117" i="119"/>
  <c r="CU117" i="119"/>
  <c r="BU118" i="119"/>
  <c r="BV118" i="119"/>
  <c r="BW118" i="119"/>
  <c r="BX118" i="119"/>
  <c r="BY118" i="119"/>
  <c r="BZ118" i="119"/>
  <c r="CA118" i="119"/>
  <c r="CB118" i="119"/>
  <c r="CC118" i="119"/>
  <c r="CD118" i="119"/>
  <c r="CE118" i="119"/>
  <c r="CF118" i="119"/>
  <c r="CG118" i="119"/>
  <c r="CH118" i="119"/>
  <c r="CI118" i="119"/>
  <c r="CJ118" i="119"/>
  <c r="CK118" i="119"/>
  <c r="CL118" i="119"/>
  <c r="CM118" i="119"/>
  <c r="CN118" i="119"/>
  <c r="CO118" i="119"/>
  <c r="CP118" i="119"/>
  <c r="CQ118" i="119"/>
  <c r="CR118" i="119"/>
  <c r="CS118" i="119"/>
  <c r="CT118" i="119"/>
  <c r="CU118" i="119"/>
  <c r="BU119" i="119"/>
  <c r="BV119" i="119"/>
  <c r="BW119" i="119"/>
  <c r="BX119" i="119"/>
  <c r="BY119" i="119"/>
  <c r="BZ119" i="119"/>
  <c r="CA119" i="119"/>
  <c r="CB119" i="119"/>
  <c r="CC119" i="119"/>
  <c r="CD119" i="119"/>
  <c r="CE119" i="119"/>
  <c r="CF119" i="119"/>
  <c r="CG119" i="119"/>
  <c r="CH119" i="119"/>
  <c r="CI119" i="119"/>
  <c r="CJ119" i="119"/>
  <c r="CK119" i="119"/>
  <c r="CL119" i="119"/>
  <c r="CM119" i="119"/>
  <c r="CN119" i="119"/>
  <c r="CO119" i="119"/>
  <c r="CP119" i="119"/>
  <c r="CQ119" i="119"/>
  <c r="CR119" i="119"/>
  <c r="CS119" i="119"/>
  <c r="CT119" i="119"/>
  <c r="CU119" i="119"/>
  <c r="BU120" i="119"/>
  <c r="BV120" i="119"/>
  <c r="BW120" i="119"/>
  <c r="BX120" i="119"/>
  <c r="BY120" i="119"/>
  <c r="BZ120" i="119"/>
  <c r="CA120" i="119"/>
  <c r="CB120" i="119"/>
  <c r="CC120" i="119"/>
  <c r="CD120" i="119"/>
  <c r="CE120" i="119"/>
  <c r="CF120" i="119"/>
  <c r="CG120" i="119"/>
  <c r="CH120" i="119"/>
  <c r="CI120" i="119"/>
  <c r="CJ120" i="119"/>
  <c r="CK120" i="119"/>
  <c r="CL120" i="119"/>
  <c r="CM120" i="119"/>
  <c r="CN120" i="119"/>
  <c r="CO120" i="119"/>
  <c r="CP120" i="119"/>
  <c r="CQ120" i="119"/>
  <c r="CR120" i="119"/>
  <c r="CS120" i="119"/>
  <c r="CT120" i="119"/>
  <c r="CU120" i="119"/>
  <c r="BU121" i="119"/>
  <c r="BV121" i="119"/>
  <c r="BW121" i="119"/>
  <c r="BX121" i="119"/>
  <c r="BY121" i="119"/>
  <c r="BZ121" i="119"/>
  <c r="CA121" i="119"/>
  <c r="CB121" i="119"/>
  <c r="CC121" i="119"/>
  <c r="CD121" i="119"/>
  <c r="CE121" i="119"/>
  <c r="CF121" i="119"/>
  <c r="CG121" i="119"/>
  <c r="CH121" i="119"/>
  <c r="CI121" i="119"/>
  <c r="CJ121" i="119"/>
  <c r="CK121" i="119"/>
  <c r="CL121" i="119"/>
  <c r="CM121" i="119"/>
  <c r="CN121" i="119"/>
  <c r="CO121" i="119"/>
  <c r="CP121" i="119"/>
  <c r="CQ121" i="119"/>
  <c r="CR121" i="119"/>
  <c r="CS121" i="119"/>
  <c r="CT121" i="119"/>
  <c r="CU121" i="119"/>
  <c r="BU122" i="119"/>
  <c r="BV122" i="119"/>
  <c r="BW122" i="119"/>
  <c r="BX122" i="119"/>
  <c r="BY122" i="119"/>
  <c r="BZ122" i="119"/>
  <c r="CA122" i="119"/>
  <c r="CB122" i="119"/>
  <c r="CC122" i="119"/>
  <c r="CD122" i="119"/>
  <c r="CE122" i="119"/>
  <c r="CF122" i="119"/>
  <c r="CG122" i="119"/>
  <c r="CH122" i="119"/>
  <c r="CI122" i="119"/>
  <c r="CJ122" i="119"/>
  <c r="CK122" i="119"/>
  <c r="CL122" i="119"/>
  <c r="CM122" i="119"/>
  <c r="CN122" i="119"/>
  <c r="CO122" i="119"/>
  <c r="CP122" i="119"/>
  <c r="CQ122" i="119"/>
  <c r="CR122" i="119"/>
  <c r="CS122" i="119"/>
  <c r="CT122" i="119"/>
  <c r="CU122" i="119"/>
  <c r="BU123" i="119"/>
  <c r="BV123" i="119"/>
  <c r="BW123" i="119"/>
  <c r="BX123" i="119"/>
  <c r="BY123" i="119"/>
  <c r="BZ123" i="119"/>
  <c r="CA123" i="119"/>
  <c r="CB123" i="119"/>
  <c r="CC123" i="119"/>
  <c r="CD123" i="119"/>
  <c r="CE123" i="119"/>
  <c r="CF123" i="119"/>
  <c r="CG123" i="119"/>
  <c r="CH123" i="119"/>
  <c r="CI123" i="119"/>
  <c r="CJ123" i="119"/>
  <c r="CK123" i="119"/>
  <c r="CL123" i="119"/>
  <c r="CM123" i="119"/>
  <c r="CN123" i="119"/>
  <c r="CO123" i="119"/>
  <c r="CP123" i="119"/>
  <c r="CQ123" i="119"/>
  <c r="CR123" i="119"/>
  <c r="CS123" i="119"/>
  <c r="CT123" i="119"/>
  <c r="CU123" i="119"/>
  <c r="BU124" i="119"/>
  <c r="BV124" i="119"/>
  <c r="BW124" i="119"/>
  <c r="BX124" i="119"/>
  <c r="BY124" i="119"/>
  <c r="BZ124" i="119"/>
  <c r="CA124" i="119"/>
  <c r="CB124" i="119"/>
  <c r="CC124" i="119"/>
  <c r="CD124" i="119"/>
  <c r="CE124" i="119"/>
  <c r="CF124" i="119"/>
  <c r="CG124" i="119"/>
  <c r="CH124" i="119"/>
  <c r="CI124" i="119"/>
  <c r="CJ124" i="119"/>
  <c r="CK124" i="119"/>
  <c r="CL124" i="119"/>
  <c r="CM124" i="119"/>
  <c r="CN124" i="119"/>
  <c r="CO124" i="119"/>
  <c r="CP124" i="119"/>
  <c r="CQ124" i="119"/>
  <c r="CR124" i="119"/>
  <c r="CS124" i="119"/>
  <c r="CT124" i="119"/>
  <c r="CU124" i="119"/>
  <c r="BU125" i="119"/>
  <c r="BV125" i="119"/>
  <c r="BW125" i="119"/>
  <c r="BX125" i="119"/>
  <c r="BY125" i="119"/>
  <c r="BZ125" i="119"/>
  <c r="CA125" i="119"/>
  <c r="CB125" i="119"/>
  <c r="CC125" i="119"/>
  <c r="CD125" i="119"/>
  <c r="CE125" i="119"/>
  <c r="CF125" i="119"/>
  <c r="CG125" i="119"/>
  <c r="CH125" i="119"/>
  <c r="CI125" i="119"/>
  <c r="CJ125" i="119"/>
  <c r="CK125" i="119"/>
  <c r="CL125" i="119"/>
  <c r="CM125" i="119"/>
  <c r="CN125" i="119"/>
  <c r="CO125" i="119"/>
  <c r="CP125" i="119"/>
  <c r="CQ125" i="119"/>
  <c r="CR125" i="119"/>
  <c r="CS125" i="119"/>
  <c r="CT125" i="119"/>
  <c r="CU125" i="119"/>
  <c r="BU126" i="119"/>
  <c r="BV126" i="119"/>
  <c r="BW126" i="119"/>
  <c r="BX126" i="119"/>
  <c r="BY126" i="119"/>
  <c r="BZ126" i="119"/>
  <c r="CA126" i="119"/>
  <c r="CB126" i="119"/>
  <c r="CC126" i="119"/>
  <c r="CD126" i="119"/>
  <c r="CE126" i="119"/>
  <c r="CF126" i="119"/>
  <c r="CG126" i="119"/>
  <c r="CH126" i="119"/>
  <c r="CI126" i="119"/>
  <c r="CJ126" i="119"/>
  <c r="CK126" i="119"/>
  <c r="CL126" i="119"/>
  <c r="CM126" i="119"/>
  <c r="CN126" i="119"/>
  <c r="CO126" i="119"/>
  <c r="CP126" i="119"/>
  <c r="CQ126" i="119"/>
  <c r="CR126" i="119"/>
  <c r="CS126" i="119"/>
  <c r="CT126" i="119"/>
  <c r="CU126" i="119"/>
  <c r="BU127" i="119"/>
  <c r="BV127" i="119"/>
  <c r="BW127" i="119"/>
  <c r="BX127" i="119"/>
  <c r="BY127" i="119"/>
  <c r="BZ127" i="119"/>
  <c r="CA127" i="119"/>
  <c r="CB127" i="119"/>
  <c r="CC127" i="119"/>
  <c r="CD127" i="119"/>
  <c r="CE127" i="119"/>
  <c r="CF127" i="119"/>
  <c r="CG127" i="119"/>
  <c r="CH127" i="119"/>
  <c r="CI127" i="119"/>
  <c r="CJ127" i="119"/>
  <c r="CK127" i="119"/>
  <c r="CL127" i="119"/>
  <c r="CM127" i="119"/>
  <c r="CN127" i="119"/>
  <c r="CO127" i="119"/>
  <c r="CP127" i="119"/>
  <c r="CQ127" i="119"/>
  <c r="CR127" i="119"/>
  <c r="CS127" i="119"/>
  <c r="CT127" i="119"/>
  <c r="CU127" i="119"/>
  <c r="BU128" i="119"/>
  <c r="BV128" i="119"/>
  <c r="BW128" i="119"/>
  <c r="BX128" i="119"/>
  <c r="BY128" i="119"/>
  <c r="BZ128" i="119"/>
  <c r="CA128" i="119"/>
  <c r="CB128" i="119"/>
  <c r="CC128" i="119"/>
  <c r="CD128" i="119"/>
  <c r="CE128" i="119"/>
  <c r="CF128" i="119"/>
  <c r="CG128" i="119"/>
  <c r="CH128" i="119"/>
  <c r="CI128" i="119"/>
  <c r="CJ128" i="119"/>
  <c r="CK128" i="119"/>
  <c r="CL128" i="119"/>
  <c r="CM128" i="119"/>
  <c r="CN128" i="119"/>
  <c r="CO128" i="119"/>
  <c r="CP128" i="119"/>
  <c r="CQ128" i="119"/>
  <c r="CR128" i="119"/>
  <c r="CS128" i="119"/>
  <c r="CT128" i="119"/>
  <c r="CU128" i="119"/>
  <c r="BU129" i="119"/>
  <c r="BV129" i="119"/>
  <c r="BW129" i="119"/>
  <c r="BX129" i="119"/>
  <c r="BY129" i="119"/>
  <c r="BZ129" i="119"/>
  <c r="CA129" i="119"/>
  <c r="CB129" i="119"/>
  <c r="CC129" i="119"/>
  <c r="CD129" i="119"/>
  <c r="CE129" i="119"/>
  <c r="CF129" i="119"/>
  <c r="CG129" i="119"/>
  <c r="CH129" i="119"/>
  <c r="CI129" i="119"/>
  <c r="CJ129" i="119"/>
  <c r="CK129" i="119"/>
  <c r="CL129" i="119"/>
  <c r="CM129" i="119"/>
  <c r="CN129" i="119"/>
  <c r="CO129" i="119"/>
  <c r="CP129" i="119"/>
  <c r="CQ129" i="119"/>
  <c r="CR129" i="119"/>
  <c r="CS129" i="119"/>
  <c r="CT129" i="119"/>
  <c r="CU129" i="119"/>
  <c r="BU130" i="119"/>
  <c r="BV130" i="119"/>
  <c r="BW130" i="119"/>
  <c r="BX130" i="119"/>
  <c r="BY130" i="119"/>
  <c r="BZ130" i="119"/>
  <c r="CA130" i="119"/>
  <c r="CB130" i="119"/>
  <c r="CC130" i="119"/>
  <c r="CD130" i="119"/>
  <c r="CE130" i="119"/>
  <c r="CF130" i="119"/>
  <c r="CG130" i="119"/>
  <c r="CH130" i="119"/>
  <c r="CI130" i="119"/>
  <c r="CJ130" i="119"/>
  <c r="CK130" i="119"/>
  <c r="CL130" i="119"/>
  <c r="CM130" i="119"/>
  <c r="CN130" i="119"/>
  <c r="CO130" i="119"/>
  <c r="CP130" i="119"/>
  <c r="CQ130" i="119"/>
  <c r="CR130" i="119"/>
  <c r="CS130" i="119"/>
  <c r="CT130" i="119"/>
  <c r="CU130" i="119"/>
  <c r="BU131" i="119"/>
  <c r="BV131" i="119"/>
  <c r="BW131" i="119"/>
  <c r="BX131" i="119"/>
  <c r="BY131" i="119"/>
  <c r="BZ131" i="119"/>
  <c r="CA131" i="119"/>
  <c r="CB131" i="119"/>
  <c r="CC131" i="119"/>
  <c r="CD131" i="119"/>
  <c r="CE131" i="119"/>
  <c r="CF131" i="119"/>
  <c r="CG131" i="119"/>
  <c r="CH131" i="119"/>
  <c r="CI131" i="119"/>
  <c r="CJ131" i="119"/>
  <c r="CK131" i="119"/>
  <c r="CL131" i="119"/>
  <c r="CM131" i="119"/>
  <c r="CN131" i="119"/>
  <c r="CO131" i="119"/>
  <c r="CP131" i="119"/>
  <c r="CQ131" i="119"/>
  <c r="CR131" i="119"/>
  <c r="CS131" i="119"/>
  <c r="CT131" i="119"/>
  <c r="CU131" i="119"/>
  <c r="BU132" i="119"/>
  <c r="BV132" i="119"/>
  <c r="BW132" i="119"/>
  <c r="BX132" i="119"/>
  <c r="BY132" i="119"/>
  <c r="BZ132" i="119"/>
  <c r="CA132" i="119"/>
  <c r="CB132" i="119"/>
  <c r="CC132" i="119"/>
  <c r="CD132" i="119"/>
  <c r="CE132" i="119"/>
  <c r="CF132" i="119"/>
  <c r="CG132" i="119"/>
  <c r="CH132" i="119"/>
  <c r="CI132" i="119"/>
  <c r="CJ132" i="119"/>
  <c r="CK132" i="119"/>
  <c r="CL132" i="119"/>
  <c r="CM132" i="119"/>
  <c r="CN132" i="119"/>
  <c r="CO132" i="119"/>
  <c r="CP132" i="119"/>
  <c r="CQ132" i="119"/>
  <c r="CR132" i="119"/>
  <c r="CS132" i="119"/>
  <c r="CT132" i="119"/>
  <c r="CU132" i="119"/>
  <c r="BU133" i="119"/>
  <c r="BV133" i="119"/>
  <c r="BW133" i="119"/>
  <c r="BX133" i="119"/>
  <c r="BY133" i="119"/>
  <c r="BZ133" i="119"/>
  <c r="CA133" i="119"/>
  <c r="CB133" i="119"/>
  <c r="CC133" i="119"/>
  <c r="CD133" i="119"/>
  <c r="CE133" i="119"/>
  <c r="CF133" i="119"/>
  <c r="CG133" i="119"/>
  <c r="CH133" i="119"/>
  <c r="CI133" i="119"/>
  <c r="CJ133" i="119"/>
  <c r="CK133" i="119"/>
  <c r="CL133" i="119"/>
  <c r="CM133" i="119"/>
  <c r="CN133" i="119"/>
  <c r="CO133" i="119"/>
  <c r="CP133" i="119"/>
  <c r="CQ133" i="119"/>
  <c r="CR133" i="119"/>
  <c r="CS133" i="119"/>
  <c r="CT133" i="119"/>
  <c r="CU133" i="119"/>
  <c r="BU134" i="119"/>
  <c r="BV134" i="119"/>
  <c r="BW134" i="119"/>
  <c r="BX134" i="119"/>
  <c r="BY134" i="119"/>
  <c r="BZ134" i="119"/>
  <c r="CA134" i="119"/>
  <c r="CB134" i="119"/>
  <c r="CC134" i="119"/>
  <c r="CD134" i="119"/>
  <c r="CE134" i="119"/>
  <c r="CF134" i="119"/>
  <c r="CG134" i="119"/>
  <c r="CH134" i="119"/>
  <c r="CI134" i="119"/>
  <c r="CJ134" i="119"/>
  <c r="CK134" i="119"/>
  <c r="CL134" i="119"/>
  <c r="CM134" i="119"/>
  <c r="CN134" i="119"/>
  <c r="CO134" i="119"/>
  <c r="CP134" i="119"/>
  <c r="CQ134" i="119"/>
  <c r="CR134" i="119"/>
  <c r="CS134" i="119"/>
  <c r="CT134" i="119"/>
  <c r="CU134" i="119"/>
  <c r="BU135" i="119"/>
  <c r="BV135" i="119"/>
  <c r="BW135" i="119"/>
  <c r="BX135" i="119"/>
  <c r="BY135" i="119"/>
  <c r="BZ135" i="119"/>
  <c r="CA135" i="119"/>
  <c r="CB135" i="119"/>
  <c r="CC135" i="119"/>
  <c r="CD135" i="119"/>
  <c r="CE135" i="119"/>
  <c r="CF135" i="119"/>
  <c r="CG135" i="119"/>
  <c r="CH135" i="119"/>
  <c r="CI135" i="119"/>
  <c r="CJ135" i="119"/>
  <c r="CK135" i="119"/>
  <c r="CL135" i="119"/>
  <c r="CM135" i="119"/>
  <c r="CN135" i="119"/>
  <c r="CO135" i="119"/>
  <c r="CP135" i="119"/>
  <c r="CQ135" i="119"/>
  <c r="CR135" i="119"/>
  <c r="CS135" i="119"/>
  <c r="CT135" i="119"/>
  <c r="CU135" i="119"/>
  <c r="BU136" i="119"/>
  <c r="BV136" i="119"/>
  <c r="BW136" i="119"/>
  <c r="BX136" i="119"/>
  <c r="BY136" i="119"/>
  <c r="BZ136" i="119"/>
  <c r="CA136" i="119"/>
  <c r="CB136" i="119"/>
  <c r="CC136" i="119"/>
  <c r="CD136" i="119"/>
  <c r="CE136" i="119"/>
  <c r="CF136" i="119"/>
  <c r="CG136" i="119"/>
  <c r="CH136" i="119"/>
  <c r="CI136" i="119"/>
  <c r="CJ136" i="119"/>
  <c r="CK136" i="119"/>
  <c r="CL136" i="119"/>
  <c r="CM136" i="119"/>
  <c r="CN136" i="119"/>
  <c r="CO136" i="119"/>
  <c r="CP136" i="119"/>
  <c r="CQ136" i="119"/>
  <c r="CR136" i="119"/>
  <c r="CS136" i="119"/>
  <c r="CT136" i="119"/>
  <c r="CU136" i="119"/>
  <c r="BU137" i="119"/>
  <c r="BV137" i="119"/>
  <c r="BW137" i="119"/>
  <c r="BX137" i="119"/>
  <c r="BY137" i="119"/>
  <c r="BZ137" i="119"/>
  <c r="CA137" i="119"/>
  <c r="CB137" i="119"/>
  <c r="CC137" i="119"/>
  <c r="CD137" i="119"/>
  <c r="CE137" i="119"/>
  <c r="CF137" i="119"/>
  <c r="CG137" i="119"/>
  <c r="CH137" i="119"/>
  <c r="CI137" i="119"/>
  <c r="CJ137" i="119"/>
  <c r="CK137" i="119"/>
  <c r="CL137" i="119"/>
  <c r="CM137" i="119"/>
  <c r="CN137" i="119"/>
  <c r="CO137" i="119"/>
  <c r="CP137" i="119"/>
  <c r="CQ137" i="119"/>
  <c r="CR137" i="119"/>
  <c r="CS137" i="119"/>
  <c r="CT137" i="119"/>
  <c r="CU137" i="119"/>
  <c r="BU138" i="119"/>
  <c r="BV138" i="119"/>
  <c r="BW138" i="119"/>
  <c r="BX138" i="119"/>
  <c r="BY138" i="119"/>
  <c r="BZ138" i="119"/>
  <c r="CA138" i="119"/>
  <c r="CB138" i="119"/>
  <c r="CC138" i="119"/>
  <c r="CD138" i="119"/>
  <c r="CE138" i="119"/>
  <c r="CF138" i="119"/>
  <c r="CG138" i="119"/>
  <c r="CH138" i="119"/>
  <c r="CI138" i="119"/>
  <c r="CJ138" i="119"/>
  <c r="CK138" i="119"/>
  <c r="CL138" i="119"/>
  <c r="CM138" i="119"/>
  <c r="CN138" i="119"/>
  <c r="CO138" i="119"/>
  <c r="CP138" i="119"/>
  <c r="CQ138" i="119"/>
  <c r="CR138" i="119"/>
  <c r="CS138" i="119"/>
  <c r="CT138" i="119"/>
  <c r="CU138" i="119"/>
  <c r="BU139" i="119"/>
  <c r="BV139" i="119"/>
  <c r="BW139" i="119"/>
  <c r="BX139" i="119"/>
  <c r="BY139" i="119"/>
  <c r="BZ139" i="119"/>
  <c r="CA139" i="119"/>
  <c r="CB139" i="119"/>
  <c r="CC139" i="119"/>
  <c r="CD139" i="119"/>
  <c r="CE139" i="119"/>
  <c r="CF139" i="119"/>
  <c r="CG139" i="119"/>
  <c r="CH139" i="119"/>
  <c r="CI139" i="119"/>
  <c r="CJ139" i="119"/>
  <c r="CK139" i="119"/>
  <c r="CL139" i="119"/>
  <c r="CM139" i="119"/>
  <c r="CN139" i="119"/>
  <c r="CO139" i="119"/>
  <c r="CP139" i="119"/>
  <c r="CQ139" i="119"/>
  <c r="CR139" i="119"/>
  <c r="CS139" i="119"/>
  <c r="CT139" i="119"/>
  <c r="CU139" i="119"/>
  <c r="BU140" i="119"/>
  <c r="BV140" i="119"/>
  <c r="BW140" i="119"/>
  <c r="BX140" i="119"/>
  <c r="BY140" i="119"/>
  <c r="BZ140" i="119"/>
  <c r="CA140" i="119"/>
  <c r="CB140" i="119"/>
  <c r="CC140" i="119"/>
  <c r="CD140" i="119"/>
  <c r="CE140" i="119"/>
  <c r="CF140" i="119"/>
  <c r="CG140" i="119"/>
  <c r="CH140" i="119"/>
  <c r="CI140" i="119"/>
  <c r="CJ140" i="119"/>
  <c r="CK140" i="119"/>
  <c r="CL140" i="119"/>
  <c r="CM140" i="119"/>
  <c r="CN140" i="119"/>
  <c r="CO140" i="119"/>
  <c r="CP140" i="119"/>
  <c r="CQ140" i="119"/>
  <c r="CR140" i="119"/>
  <c r="CS140" i="119"/>
  <c r="CT140" i="119"/>
  <c r="CU140" i="119"/>
  <c r="BU141" i="119"/>
  <c r="BV141" i="119"/>
  <c r="BW141" i="119"/>
  <c r="BX141" i="119"/>
  <c r="BY141" i="119"/>
  <c r="BZ141" i="119"/>
  <c r="CA141" i="119"/>
  <c r="CB141" i="119"/>
  <c r="CC141" i="119"/>
  <c r="CD141" i="119"/>
  <c r="CE141" i="119"/>
  <c r="CF141" i="119"/>
  <c r="CG141" i="119"/>
  <c r="CH141" i="119"/>
  <c r="CI141" i="119"/>
  <c r="CJ141" i="119"/>
  <c r="CK141" i="119"/>
  <c r="CL141" i="119"/>
  <c r="CM141" i="119"/>
  <c r="CN141" i="119"/>
  <c r="CO141" i="119"/>
  <c r="CP141" i="119"/>
  <c r="CQ141" i="119"/>
  <c r="CR141" i="119"/>
  <c r="CS141" i="119"/>
  <c r="CT141" i="119"/>
  <c r="CU141" i="119"/>
  <c r="BU142" i="119"/>
  <c r="BV142" i="119"/>
  <c r="BW142" i="119"/>
  <c r="BX142" i="119"/>
  <c r="BY142" i="119"/>
  <c r="BZ142" i="119"/>
  <c r="CA142" i="119"/>
  <c r="CB142" i="119"/>
  <c r="CC142" i="119"/>
  <c r="CD142" i="119"/>
  <c r="CE142" i="119"/>
  <c r="CF142" i="119"/>
  <c r="CG142" i="119"/>
  <c r="CH142" i="119"/>
  <c r="CI142" i="119"/>
  <c r="CJ142" i="119"/>
  <c r="CK142" i="119"/>
  <c r="CL142" i="119"/>
  <c r="CM142" i="119"/>
  <c r="CN142" i="119"/>
  <c r="CO142" i="119"/>
  <c r="CP142" i="119"/>
  <c r="CQ142" i="119"/>
  <c r="CR142" i="119"/>
  <c r="CS142" i="119"/>
  <c r="CT142" i="119"/>
  <c r="CU142" i="119"/>
  <c r="BU143" i="119"/>
  <c r="BV143" i="119"/>
  <c r="BW143" i="119"/>
  <c r="BX143" i="119"/>
  <c r="BY143" i="119"/>
  <c r="BZ143" i="119"/>
  <c r="CA143" i="119"/>
  <c r="CB143" i="119"/>
  <c r="CC143" i="119"/>
  <c r="CD143" i="119"/>
  <c r="CE143" i="119"/>
  <c r="CF143" i="119"/>
  <c r="CG143" i="119"/>
  <c r="CH143" i="119"/>
  <c r="CI143" i="119"/>
  <c r="CJ143" i="119"/>
  <c r="CK143" i="119"/>
  <c r="CL143" i="119"/>
  <c r="CM143" i="119"/>
  <c r="CN143" i="119"/>
  <c r="CO143" i="119"/>
  <c r="CP143" i="119"/>
  <c r="CQ143" i="119"/>
  <c r="CR143" i="119"/>
  <c r="CS143" i="119"/>
  <c r="CT143" i="119"/>
  <c r="CU143" i="119"/>
  <c r="BU144" i="119"/>
  <c r="BV144" i="119"/>
  <c r="BW144" i="119"/>
  <c r="BX144" i="119"/>
  <c r="BY144" i="119"/>
  <c r="BZ144" i="119"/>
  <c r="CA144" i="119"/>
  <c r="CB144" i="119"/>
  <c r="CC144" i="119"/>
  <c r="CD144" i="119"/>
  <c r="CE144" i="119"/>
  <c r="CF144" i="119"/>
  <c r="CG144" i="119"/>
  <c r="CH144" i="119"/>
  <c r="CI144" i="119"/>
  <c r="CJ144" i="119"/>
  <c r="CK144" i="119"/>
  <c r="CL144" i="119"/>
  <c r="CM144" i="119"/>
  <c r="CN144" i="119"/>
  <c r="CO144" i="119"/>
  <c r="CP144" i="119"/>
  <c r="CQ144" i="119"/>
  <c r="CR144" i="119"/>
  <c r="CS144" i="119"/>
  <c r="CT144" i="119"/>
  <c r="CU144" i="119"/>
  <c r="BU145" i="119"/>
  <c r="BV145" i="119"/>
  <c r="BW145" i="119"/>
  <c r="BX145" i="119"/>
  <c r="BY145" i="119"/>
  <c r="BZ145" i="119"/>
  <c r="CA145" i="119"/>
  <c r="CB145" i="119"/>
  <c r="CC145" i="119"/>
  <c r="CD145" i="119"/>
  <c r="CE145" i="119"/>
  <c r="CF145" i="119"/>
  <c r="CG145" i="119"/>
  <c r="CH145" i="119"/>
  <c r="CI145" i="119"/>
  <c r="CJ145" i="119"/>
  <c r="CK145" i="119"/>
  <c r="CL145" i="119"/>
  <c r="CM145" i="119"/>
  <c r="CN145" i="119"/>
  <c r="CO145" i="119"/>
  <c r="CP145" i="119"/>
  <c r="CQ145" i="119"/>
  <c r="CR145" i="119"/>
  <c r="CS145" i="119"/>
  <c r="CT145" i="119"/>
  <c r="CU145" i="119"/>
  <c r="BU146" i="119"/>
  <c r="BV146" i="119"/>
  <c r="BW146" i="119"/>
  <c r="BX146" i="119"/>
  <c r="BY146" i="119"/>
  <c r="BZ146" i="119"/>
  <c r="CA146" i="119"/>
  <c r="CB146" i="119"/>
  <c r="CC146" i="119"/>
  <c r="CD146" i="119"/>
  <c r="CE146" i="119"/>
  <c r="CF146" i="119"/>
  <c r="CG146" i="119"/>
  <c r="CH146" i="119"/>
  <c r="CI146" i="119"/>
  <c r="CJ146" i="119"/>
  <c r="CK146" i="119"/>
  <c r="CL146" i="119"/>
  <c r="CM146" i="119"/>
  <c r="CN146" i="119"/>
  <c r="CO146" i="119"/>
  <c r="CP146" i="119"/>
  <c r="CQ146" i="119"/>
  <c r="CR146" i="119"/>
  <c r="CS146" i="119"/>
  <c r="CT146" i="119"/>
  <c r="CU146" i="119"/>
  <c r="BU147" i="119"/>
  <c r="BV147" i="119"/>
  <c r="BW147" i="119"/>
  <c r="BX147" i="119"/>
  <c r="BY147" i="119"/>
  <c r="BZ147" i="119"/>
  <c r="CA147" i="119"/>
  <c r="CB147" i="119"/>
  <c r="CC147" i="119"/>
  <c r="CD147" i="119"/>
  <c r="CE147" i="119"/>
  <c r="CF147" i="119"/>
  <c r="CG147" i="119"/>
  <c r="CH147" i="119"/>
  <c r="CI147" i="119"/>
  <c r="CJ147" i="119"/>
  <c r="CK147" i="119"/>
  <c r="CL147" i="119"/>
  <c r="CM147" i="119"/>
  <c r="CN147" i="119"/>
  <c r="CO147" i="119"/>
  <c r="CP147" i="119"/>
  <c r="CQ147" i="119"/>
  <c r="CR147" i="119"/>
  <c r="CS147" i="119"/>
  <c r="CT147" i="119"/>
  <c r="CU147" i="119"/>
  <c r="BU148" i="119"/>
  <c r="BV148" i="119"/>
  <c r="BW148" i="119"/>
  <c r="BX148" i="119"/>
  <c r="BY148" i="119"/>
  <c r="BZ148" i="119"/>
  <c r="CA148" i="119"/>
  <c r="CB148" i="119"/>
  <c r="CC148" i="119"/>
  <c r="CD148" i="119"/>
  <c r="CE148" i="119"/>
  <c r="CF148" i="119"/>
  <c r="CG148" i="119"/>
  <c r="CH148" i="119"/>
  <c r="CI148" i="119"/>
  <c r="CJ148" i="119"/>
  <c r="CK148" i="119"/>
  <c r="CL148" i="119"/>
  <c r="CM148" i="119"/>
  <c r="CN148" i="119"/>
  <c r="CO148" i="119"/>
  <c r="CP148" i="119"/>
  <c r="CQ148" i="119"/>
  <c r="CR148" i="119"/>
  <c r="CS148" i="119"/>
  <c r="CT148" i="119"/>
  <c r="CU148" i="119"/>
  <c r="BU149" i="119"/>
  <c r="BV149" i="119"/>
  <c r="BW149" i="119"/>
  <c r="BX149" i="119"/>
  <c r="BY149" i="119"/>
  <c r="BZ149" i="119"/>
  <c r="CA149" i="119"/>
  <c r="CB149" i="119"/>
  <c r="CC149" i="119"/>
  <c r="CD149" i="119"/>
  <c r="CE149" i="119"/>
  <c r="CF149" i="119"/>
  <c r="CG149" i="119"/>
  <c r="CH149" i="119"/>
  <c r="CI149" i="119"/>
  <c r="CJ149" i="119"/>
  <c r="CK149" i="119"/>
  <c r="CL149" i="119"/>
  <c r="CM149" i="119"/>
  <c r="CN149" i="119"/>
  <c r="CO149" i="119"/>
  <c r="CP149" i="119"/>
  <c r="CQ149" i="119"/>
  <c r="CR149" i="119"/>
  <c r="CS149" i="119"/>
  <c r="CT149" i="119"/>
  <c r="CU149" i="119"/>
  <c r="BU150" i="119"/>
  <c r="BV150" i="119"/>
  <c r="BW150" i="119"/>
  <c r="BX150" i="119"/>
  <c r="BY150" i="119"/>
  <c r="BZ150" i="119"/>
  <c r="CA150" i="119"/>
  <c r="CB150" i="119"/>
  <c r="CC150" i="119"/>
  <c r="CD150" i="119"/>
  <c r="CE150" i="119"/>
  <c r="CF150" i="119"/>
  <c r="CG150" i="119"/>
  <c r="CH150" i="119"/>
  <c r="CI150" i="119"/>
  <c r="CJ150" i="119"/>
  <c r="CK150" i="119"/>
  <c r="CL150" i="119"/>
  <c r="CM150" i="119"/>
  <c r="CN150" i="119"/>
  <c r="CO150" i="119"/>
  <c r="CP150" i="119"/>
  <c r="CQ150" i="119"/>
  <c r="CR150" i="119"/>
  <c r="CS150" i="119"/>
  <c r="CT150" i="119"/>
  <c r="CU150" i="119"/>
  <c r="BU151" i="119"/>
  <c r="BV151" i="119"/>
  <c r="BW151" i="119"/>
  <c r="BX151" i="119"/>
  <c r="BY151" i="119"/>
  <c r="BZ151" i="119"/>
  <c r="CA151" i="119"/>
  <c r="CB151" i="119"/>
  <c r="CC151" i="119"/>
  <c r="CD151" i="119"/>
  <c r="CE151" i="119"/>
  <c r="CF151" i="119"/>
  <c r="CG151" i="119"/>
  <c r="CH151" i="119"/>
  <c r="CI151" i="119"/>
  <c r="CJ151" i="119"/>
  <c r="CK151" i="119"/>
  <c r="CL151" i="119"/>
  <c r="CM151" i="119"/>
  <c r="CN151" i="119"/>
  <c r="CO151" i="119"/>
  <c r="CP151" i="119"/>
  <c r="CQ151" i="119"/>
  <c r="CR151" i="119"/>
  <c r="CS151" i="119"/>
  <c r="CT151" i="119"/>
  <c r="CU151" i="119"/>
  <c r="BU152" i="119"/>
  <c r="BV152" i="119"/>
  <c r="BW152" i="119"/>
  <c r="BX152" i="119"/>
  <c r="BY152" i="119"/>
  <c r="BZ152" i="119"/>
  <c r="CA152" i="119"/>
  <c r="CB152" i="119"/>
  <c r="CC152" i="119"/>
  <c r="CD152" i="119"/>
  <c r="CE152" i="119"/>
  <c r="CF152" i="119"/>
  <c r="CG152" i="119"/>
  <c r="CH152" i="119"/>
  <c r="CI152" i="119"/>
  <c r="CJ152" i="119"/>
  <c r="CK152" i="119"/>
  <c r="CL152" i="119"/>
  <c r="CM152" i="119"/>
  <c r="CN152" i="119"/>
  <c r="CO152" i="119"/>
  <c r="CP152" i="119"/>
  <c r="CQ152" i="119"/>
  <c r="CR152" i="119"/>
  <c r="CS152" i="119"/>
  <c r="CT152" i="119"/>
  <c r="CU152" i="119"/>
  <c r="BU153" i="119"/>
  <c r="BV153" i="119"/>
  <c r="BW153" i="119"/>
  <c r="BX153" i="119"/>
  <c r="BY153" i="119"/>
  <c r="BZ153" i="119"/>
  <c r="CA153" i="119"/>
  <c r="CB153" i="119"/>
  <c r="CC153" i="119"/>
  <c r="CD153" i="119"/>
  <c r="CE153" i="119"/>
  <c r="CF153" i="119"/>
  <c r="CG153" i="119"/>
  <c r="CH153" i="119"/>
  <c r="CI153" i="119"/>
  <c r="CJ153" i="119"/>
  <c r="CK153" i="119"/>
  <c r="CL153" i="119"/>
  <c r="CM153" i="119"/>
  <c r="CN153" i="119"/>
  <c r="CO153" i="119"/>
  <c r="CP153" i="119"/>
  <c r="CQ153" i="119"/>
  <c r="CR153" i="119"/>
  <c r="CS153" i="119"/>
  <c r="CT153" i="119"/>
  <c r="CU153" i="119"/>
  <c r="BU154" i="119"/>
  <c r="BV154" i="119"/>
  <c r="BW154" i="119"/>
  <c r="BX154" i="119"/>
  <c r="BY154" i="119"/>
  <c r="BZ154" i="119"/>
  <c r="CA154" i="119"/>
  <c r="CB154" i="119"/>
  <c r="CC154" i="119"/>
  <c r="CD154" i="119"/>
  <c r="CE154" i="119"/>
  <c r="CF154" i="119"/>
  <c r="CG154" i="119"/>
  <c r="CH154" i="119"/>
  <c r="CI154" i="119"/>
  <c r="CJ154" i="119"/>
  <c r="CK154" i="119"/>
  <c r="CL154" i="119"/>
  <c r="CM154" i="119"/>
  <c r="CN154" i="119"/>
  <c r="CO154" i="119"/>
  <c r="CP154" i="119"/>
  <c r="CQ154" i="119"/>
  <c r="CR154" i="119"/>
  <c r="CS154" i="119"/>
  <c r="CT154" i="119"/>
  <c r="CU154" i="119"/>
  <c r="BU155" i="119"/>
  <c r="BV155" i="119"/>
  <c r="BW155" i="119"/>
  <c r="BX155" i="119"/>
  <c r="BY155" i="119"/>
  <c r="BZ155" i="119"/>
  <c r="CA155" i="119"/>
  <c r="CB155" i="119"/>
  <c r="CC155" i="119"/>
  <c r="CD155" i="119"/>
  <c r="CE155" i="119"/>
  <c r="CF155" i="119"/>
  <c r="CG155" i="119"/>
  <c r="CH155" i="119"/>
  <c r="CI155" i="119"/>
  <c r="CJ155" i="119"/>
  <c r="CK155" i="119"/>
  <c r="CL155" i="119"/>
  <c r="CM155" i="119"/>
  <c r="CN155" i="119"/>
  <c r="CO155" i="119"/>
  <c r="CP155" i="119"/>
  <c r="CQ155" i="119"/>
  <c r="CR155" i="119"/>
  <c r="CS155" i="119"/>
  <c r="CT155" i="119"/>
  <c r="CU155" i="119"/>
  <c r="BU156" i="119"/>
  <c r="BV156" i="119"/>
  <c r="BW156" i="119"/>
  <c r="BX156" i="119"/>
  <c r="BY156" i="119"/>
  <c r="BZ156" i="119"/>
  <c r="CA156" i="119"/>
  <c r="CB156" i="119"/>
  <c r="CC156" i="119"/>
  <c r="CD156" i="119"/>
  <c r="CE156" i="119"/>
  <c r="CF156" i="119"/>
  <c r="CG156" i="119"/>
  <c r="CH156" i="119"/>
  <c r="CI156" i="119"/>
  <c r="CJ156" i="119"/>
  <c r="CK156" i="119"/>
  <c r="CL156" i="119"/>
  <c r="CM156" i="119"/>
  <c r="CN156" i="119"/>
  <c r="CO156" i="119"/>
  <c r="CP156" i="119"/>
  <c r="CQ156" i="119"/>
  <c r="CR156" i="119"/>
  <c r="CS156" i="119"/>
  <c r="CT156" i="119"/>
  <c r="CU156" i="119"/>
  <c r="BU157" i="119"/>
  <c r="BV157" i="119"/>
  <c r="BW157" i="119"/>
  <c r="BX157" i="119"/>
  <c r="BY157" i="119"/>
  <c r="BZ157" i="119"/>
  <c r="CA157" i="119"/>
  <c r="CB157" i="119"/>
  <c r="CC157" i="119"/>
  <c r="CD157" i="119"/>
  <c r="CE157" i="119"/>
  <c r="CF157" i="119"/>
  <c r="CG157" i="119"/>
  <c r="CH157" i="119"/>
  <c r="CI157" i="119"/>
  <c r="CJ157" i="119"/>
  <c r="CK157" i="119"/>
  <c r="CL157" i="119"/>
  <c r="CM157" i="119"/>
  <c r="CN157" i="119"/>
  <c r="CO157" i="119"/>
  <c r="CP157" i="119"/>
  <c r="CQ157" i="119"/>
  <c r="CR157" i="119"/>
  <c r="CS157" i="119"/>
  <c r="CT157" i="119"/>
  <c r="CU157" i="119"/>
  <c r="BU158" i="119"/>
  <c r="BV158" i="119"/>
  <c r="BW158" i="119"/>
  <c r="BX158" i="119"/>
  <c r="BY158" i="119"/>
  <c r="BZ158" i="119"/>
  <c r="CA158" i="119"/>
  <c r="CB158" i="119"/>
  <c r="CC158" i="119"/>
  <c r="CD158" i="119"/>
  <c r="CE158" i="119"/>
  <c r="CF158" i="119"/>
  <c r="CG158" i="119"/>
  <c r="CH158" i="119"/>
  <c r="CI158" i="119"/>
  <c r="CJ158" i="119"/>
  <c r="CK158" i="119"/>
  <c r="CL158" i="119"/>
  <c r="CM158" i="119"/>
  <c r="CN158" i="119"/>
  <c r="CO158" i="119"/>
  <c r="CP158" i="119"/>
  <c r="CQ158" i="119"/>
  <c r="CR158" i="119"/>
  <c r="CS158" i="119"/>
  <c r="CT158" i="119"/>
  <c r="CU158" i="119"/>
  <c r="BU159" i="119"/>
  <c r="BV159" i="119"/>
  <c r="BW159" i="119"/>
  <c r="BX159" i="119"/>
  <c r="BY159" i="119"/>
  <c r="BZ159" i="119"/>
  <c r="CA159" i="119"/>
  <c r="CB159" i="119"/>
  <c r="CC159" i="119"/>
  <c r="CD159" i="119"/>
  <c r="CE159" i="119"/>
  <c r="CF159" i="119"/>
  <c r="CG159" i="119"/>
  <c r="CH159" i="119"/>
  <c r="CI159" i="119"/>
  <c r="CJ159" i="119"/>
  <c r="CK159" i="119"/>
  <c r="CL159" i="119"/>
  <c r="CM159" i="119"/>
  <c r="CN159" i="119"/>
  <c r="CO159" i="119"/>
  <c r="CP159" i="119"/>
  <c r="CQ159" i="119"/>
  <c r="CR159" i="119"/>
  <c r="CS159" i="119"/>
  <c r="CT159" i="119"/>
  <c r="CU159" i="119"/>
  <c r="BU160" i="119"/>
  <c r="BV160" i="119"/>
  <c r="BW160" i="119"/>
  <c r="BX160" i="119"/>
  <c r="BY160" i="119"/>
  <c r="BZ160" i="119"/>
  <c r="CA160" i="119"/>
  <c r="CB160" i="119"/>
  <c r="CC160" i="119"/>
  <c r="CD160" i="119"/>
  <c r="CE160" i="119"/>
  <c r="CF160" i="119"/>
  <c r="CG160" i="119"/>
  <c r="CH160" i="119"/>
  <c r="CI160" i="119"/>
  <c r="CJ160" i="119"/>
  <c r="CK160" i="119"/>
  <c r="CL160" i="119"/>
  <c r="CM160" i="119"/>
  <c r="CN160" i="119"/>
  <c r="CO160" i="119"/>
  <c r="CP160" i="119"/>
  <c r="CQ160" i="119"/>
  <c r="CR160" i="119"/>
  <c r="CS160" i="119"/>
  <c r="CT160" i="119"/>
  <c r="CU160" i="119"/>
  <c r="BU161" i="119"/>
  <c r="BV161" i="119"/>
  <c r="BW161" i="119"/>
  <c r="BX161" i="119"/>
  <c r="BY161" i="119"/>
  <c r="BZ161" i="119"/>
  <c r="CA161" i="119"/>
  <c r="CB161" i="119"/>
  <c r="CC161" i="119"/>
  <c r="CD161" i="119"/>
  <c r="CE161" i="119"/>
  <c r="CF161" i="119"/>
  <c r="CG161" i="119"/>
  <c r="CH161" i="119"/>
  <c r="CI161" i="119"/>
  <c r="CJ161" i="119"/>
  <c r="CK161" i="119"/>
  <c r="CL161" i="119"/>
  <c r="CM161" i="119"/>
  <c r="CN161" i="119"/>
  <c r="CO161" i="119"/>
  <c r="CP161" i="119"/>
  <c r="CQ161" i="119"/>
  <c r="CR161" i="119"/>
  <c r="CS161" i="119"/>
  <c r="CT161" i="119"/>
  <c r="CU161" i="119"/>
  <c r="BU162" i="119"/>
  <c r="BV162" i="119"/>
  <c r="BW162" i="119"/>
  <c r="BX162" i="119"/>
  <c r="BY162" i="119"/>
  <c r="BZ162" i="119"/>
  <c r="CA162" i="119"/>
  <c r="CB162" i="119"/>
  <c r="CC162" i="119"/>
  <c r="CD162" i="119"/>
  <c r="CE162" i="119"/>
  <c r="CF162" i="119"/>
  <c r="CG162" i="119"/>
  <c r="CH162" i="119"/>
  <c r="CI162" i="119"/>
  <c r="CJ162" i="119"/>
  <c r="CK162" i="119"/>
  <c r="CL162" i="119"/>
  <c r="CM162" i="119"/>
  <c r="CN162" i="119"/>
  <c r="CO162" i="119"/>
  <c r="CP162" i="119"/>
  <c r="CQ162" i="119"/>
  <c r="CR162" i="119"/>
  <c r="CS162" i="119"/>
  <c r="CT162" i="119"/>
  <c r="CU162" i="119"/>
  <c r="BU163" i="119"/>
  <c r="BV163" i="119"/>
  <c r="BW163" i="119"/>
  <c r="BX163" i="119"/>
  <c r="BY163" i="119"/>
  <c r="BZ163" i="119"/>
  <c r="CA163" i="119"/>
  <c r="CB163" i="119"/>
  <c r="CC163" i="119"/>
  <c r="CD163" i="119"/>
  <c r="CE163" i="119"/>
  <c r="CF163" i="119"/>
  <c r="CG163" i="119"/>
  <c r="CH163" i="119"/>
  <c r="CI163" i="119"/>
  <c r="CJ163" i="119"/>
  <c r="CK163" i="119"/>
  <c r="CL163" i="119"/>
  <c r="CM163" i="119"/>
  <c r="CN163" i="119"/>
  <c r="CO163" i="119"/>
  <c r="CP163" i="119"/>
  <c r="CQ163" i="119"/>
  <c r="CR163" i="119"/>
  <c r="CS163" i="119"/>
  <c r="CT163" i="119"/>
  <c r="CU163" i="119"/>
  <c r="BU164" i="119"/>
  <c r="BV164" i="119"/>
  <c r="BW164" i="119"/>
  <c r="BX164" i="119"/>
  <c r="BY164" i="119"/>
  <c r="BZ164" i="119"/>
  <c r="CA164" i="119"/>
  <c r="CB164" i="119"/>
  <c r="CC164" i="119"/>
  <c r="CD164" i="119"/>
  <c r="CE164" i="119"/>
  <c r="CF164" i="119"/>
  <c r="CG164" i="119"/>
  <c r="CH164" i="119"/>
  <c r="CI164" i="119"/>
  <c r="CJ164" i="119"/>
  <c r="CK164" i="119"/>
  <c r="CL164" i="119"/>
  <c r="CM164" i="119"/>
  <c r="CN164" i="119"/>
  <c r="CO164" i="119"/>
  <c r="CP164" i="119"/>
  <c r="CQ164" i="119"/>
  <c r="CR164" i="119"/>
  <c r="CS164" i="119"/>
  <c r="CT164" i="119"/>
  <c r="CU164" i="119"/>
  <c r="BU165" i="119"/>
  <c r="BV165" i="119"/>
  <c r="BW165" i="119"/>
  <c r="BX165" i="119"/>
  <c r="BY165" i="119"/>
  <c r="BZ165" i="119"/>
  <c r="CA165" i="119"/>
  <c r="CB165" i="119"/>
  <c r="CC165" i="119"/>
  <c r="CD165" i="119"/>
  <c r="CE165" i="119"/>
  <c r="CF165" i="119"/>
  <c r="CG165" i="119"/>
  <c r="CH165" i="119"/>
  <c r="CI165" i="119"/>
  <c r="CJ165" i="119"/>
  <c r="CK165" i="119"/>
  <c r="CL165" i="119"/>
  <c r="CM165" i="119"/>
  <c r="CN165" i="119"/>
  <c r="CO165" i="119"/>
  <c r="CP165" i="119"/>
  <c r="CQ165" i="119"/>
  <c r="CR165" i="119"/>
  <c r="CS165" i="119"/>
  <c r="CT165" i="119"/>
  <c r="CU165" i="119"/>
  <c r="BU166" i="119"/>
  <c r="BV166" i="119"/>
  <c r="BW166" i="119"/>
  <c r="BX166" i="119"/>
  <c r="BY166" i="119"/>
  <c r="BZ166" i="119"/>
  <c r="CA166" i="119"/>
  <c r="CB166" i="119"/>
  <c r="CC166" i="119"/>
  <c r="CD166" i="119"/>
  <c r="CE166" i="119"/>
  <c r="CF166" i="119"/>
  <c r="CG166" i="119"/>
  <c r="CH166" i="119"/>
  <c r="CI166" i="119"/>
  <c r="CJ166" i="119"/>
  <c r="CK166" i="119"/>
  <c r="CL166" i="119"/>
  <c r="CM166" i="119"/>
  <c r="CN166" i="119"/>
  <c r="CO166" i="119"/>
  <c r="CP166" i="119"/>
  <c r="CQ166" i="119"/>
  <c r="CR166" i="119"/>
  <c r="CS166" i="119"/>
  <c r="CT166" i="119"/>
  <c r="CU166" i="119"/>
  <c r="BU167" i="119"/>
  <c r="BV167" i="119"/>
  <c r="BW167" i="119"/>
  <c r="BX167" i="119"/>
  <c r="BY167" i="119"/>
  <c r="BZ167" i="119"/>
  <c r="CA167" i="119"/>
  <c r="CB167" i="119"/>
  <c r="CC167" i="119"/>
  <c r="CD167" i="119"/>
  <c r="CE167" i="119"/>
  <c r="CF167" i="119"/>
  <c r="CG167" i="119"/>
  <c r="CH167" i="119"/>
  <c r="CI167" i="119"/>
  <c r="CJ167" i="119"/>
  <c r="CK167" i="119"/>
  <c r="CL167" i="119"/>
  <c r="CM167" i="119"/>
  <c r="CN167" i="119"/>
  <c r="CO167" i="119"/>
  <c r="CP167" i="119"/>
  <c r="CQ167" i="119"/>
  <c r="CR167" i="119"/>
  <c r="CS167" i="119"/>
  <c r="CT167" i="119"/>
  <c r="CU167" i="119"/>
  <c r="BU168" i="119"/>
  <c r="BV168" i="119"/>
  <c r="BW168" i="119"/>
  <c r="BX168" i="119"/>
  <c r="BY168" i="119"/>
  <c r="BZ168" i="119"/>
  <c r="CA168" i="119"/>
  <c r="CB168" i="119"/>
  <c r="CC168" i="119"/>
  <c r="CD168" i="119"/>
  <c r="CE168" i="119"/>
  <c r="CF168" i="119"/>
  <c r="CG168" i="119"/>
  <c r="CH168" i="119"/>
  <c r="CI168" i="119"/>
  <c r="CJ168" i="119"/>
  <c r="CK168" i="119"/>
  <c r="CL168" i="119"/>
  <c r="CM168" i="119"/>
  <c r="CN168" i="119"/>
  <c r="CO168" i="119"/>
  <c r="CP168" i="119"/>
  <c r="CQ168" i="119"/>
  <c r="CR168" i="119"/>
  <c r="CS168" i="119"/>
  <c r="CT168" i="119"/>
  <c r="CU168" i="119"/>
  <c r="BU169" i="119"/>
  <c r="BV169" i="119"/>
  <c r="BW169" i="119"/>
  <c r="BX169" i="119"/>
  <c r="BY169" i="119"/>
  <c r="BZ169" i="119"/>
  <c r="CA169" i="119"/>
  <c r="CB169" i="119"/>
  <c r="CC169" i="119"/>
  <c r="CD169" i="119"/>
  <c r="CE169" i="119"/>
  <c r="CF169" i="119"/>
  <c r="CG169" i="119"/>
  <c r="CH169" i="119"/>
  <c r="CI169" i="119"/>
  <c r="CJ169" i="119"/>
  <c r="CK169" i="119"/>
  <c r="CL169" i="119"/>
  <c r="CM169" i="119"/>
  <c r="CN169" i="119"/>
  <c r="CO169" i="119"/>
  <c r="CP169" i="119"/>
  <c r="CQ169" i="119"/>
  <c r="CR169" i="119"/>
  <c r="CS169" i="119"/>
  <c r="CT169" i="119"/>
  <c r="CU169" i="119"/>
  <c r="BV110" i="119"/>
  <c r="BW110" i="119"/>
  <c r="BX110" i="119"/>
  <c r="BY110" i="119"/>
  <c r="BZ110" i="119"/>
  <c r="CA110" i="119"/>
  <c r="CB110" i="119"/>
  <c r="CC110" i="119"/>
  <c r="CD110" i="119"/>
  <c r="CE110" i="119"/>
  <c r="CF110" i="119"/>
  <c r="CG110" i="119"/>
  <c r="CH110" i="119"/>
  <c r="CI110" i="119"/>
  <c r="CJ110" i="119"/>
  <c r="CK110" i="119"/>
  <c r="CL110" i="119"/>
  <c r="CM110" i="119"/>
  <c r="CN110" i="119"/>
  <c r="CO110" i="119"/>
  <c r="CP110" i="119"/>
  <c r="CQ110" i="119"/>
  <c r="CR110" i="119"/>
  <c r="CS110" i="119"/>
  <c r="CT110" i="119"/>
  <c r="CU110" i="119"/>
  <c r="BV109" i="119"/>
  <c r="BW109" i="119"/>
  <c r="BX109" i="119"/>
  <c r="BY109" i="119"/>
  <c r="BZ109" i="119"/>
  <c r="CA109" i="119"/>
  <c r="CB109" i="119"/>
  <c r="CC109" i="119"/>
  <c r="CD109" i="119"/>
  <c r="CE109" i="119"/>
  <c r="CF109" i="119"/>
  <c r="CG109" i="119"/>
  <c r="CH109" i="119"/>
  <c r="CI109" i="119"/>
  <c r="CJ109" i="119"/>
  <c r="CK109" i="119"/>
  <c r="CL109" i="119"/>
  <c r="CM109" i="119"/>
  <c r="CN109" i="119"/>
  <c r="CO109" i="119"/>
  <c r="CP109" i="119"/>
  <c r="CQ109" i="119"/>
  <c r="CR109" i="119"/>
  <c r="CS109" i="119"/>
  <c r="CT109" i="119"/>
  <c r="CU109" i="119"/>
  <c r="BU8" i="119"/>
  <c r="BV8" i="119"/>
  <c r="BW8" i="119"/>
  <c r="BX8" i="119"/>
  <c r="BY8" i="119"/>
  <c r="BZ8" i="119"/>
  <c r="CA8" i="119"/>
  <c r="CB8" i="119"/>
  <c r="CC8" i="119"/>
  <c r="CD8" i="119"/>
  <c r="CE8" i="119"/>
  <c r="CF8" i="119"/>
  <c r="CG8" i="119"/>
  <c r="CH8" i="119"/>
  <c r="CI8" i="119"/>
  <c r="CJ8" i="119"/>
  <c r="CK8" i="119"/>
  <c r="CL8" i="119"/>
  <c r="CM8" i="119"/>
  <c r="CN8" i="119"/>
  <c r="CO8" i="119"/>
  <c r="CP8" i="119"/>
  <c r="CQ8" i="119"/>
  <c r="CR8" i="119"/>
  <c r="CS8" i="119"/>
  <c r="CT8" i="119"/>
  <c r="CU8" i="119"/>
  <c r="BU9" i="119"/>
  <c r="BV9" i="119"/>
  <c r="BW9" i="119"/>
  <c r="BX9" i="119"/>
  <c r="BY9" i="119"/>
  <c r="BZ9" i="119"/>
  <c r="CA9" i="119"/>
  <c r="CB9" i="119"/>
  <c r="CC9" i="119"/>
  <c r="CD9" i="119"/>
  <c r="CE9" i="119"/>
  <c r="CF9" i="119"/>
  <c r="CG9" i="119"/>
  <c r="CH9" i="119"/>
  <c r="CI9" i="119"/>
  <c r="CJ9" i="119"/>
  <c r="CK9" i="119"/>
  <c r="CL9" i="119"/>
  <c r="CM9" i="119"/>
  <c r="CN9" i="119"/>
  <c r="CO9" i="119"/>
  <c r="CP9" i="119"/>
  <c r="CQ9" i="119"/>
  <c r="CR9" i="119"/>
  <c r="CS9" i="119"/>
  <c r="CT9" i="119"/>
  <c r="CU9" i="119"/>
  <c r="BU10" i="119"/>
  <c r="BV10" i="119"/>
  <c r="BW10" i="119"/>
  <c r="BX10" i="119"/>
  <c r="BY10" i="119"/>
  <c r="BZ10" i="119"/>
  <c r="CA10" i="119"/>
  <c r="CB10" i="119"/>
  <c r="CC10" i="119"/>
  <c r="CD10" i="119"/>
  <c r="CE10" i="119"/>
  <c r="CF10" i="119"/>
  <c r="CG10" i="119"/>
  <c r="CH10" i="119"/>
  <c r="CI10" i="119"/>
  <c r="CJ10" i="119"/>
  <c r="CK10" i="119"/>
  <c r="CL10" i="119"/>
  <c r="CM10" i="119"/>
  <c r="CN10" i="119"/>
  <c r="CO10" i="119"/>
  <c r="CP10" i="119"/>
  <c r="CQ10" i="119"/>
  <c r="CR10" i="119"/>
  <c r="CS10" i="119"/>
  <c r="CT10" i="119"/>
  <c r="CU10" i="119"/>
  <c r="BU11" i="119"/>
  <c r="BV11" i="119"/>
  <c r="BW11" i="119"/>
  <c r="BX11" i="119"/>
  <c r="BY11" i="119"/>
  <c r="BZ11" i="119"/>
  <c r="CA11" i="119"/>
  <c r="CB11" i="119"/>
  <c r="CC11" i="119"/>
  <c r="CD11" i="119"/>
  <c r="CE11" i="119"/>
  <c r="CF11" i="119"/>
  <c r="CG11" i="119"/>
  <c r="CH11" i="119"/>
  <c r="CI11" i="119"/>
  <c r="CJ11" i="119"/>
  <c r="CK11" i="119"/>
  <c r="CL11" i="119"/>
  <c r="CM11" i="119"/>
  <c r="CN11" i="119"/>
  <c r="CO11" i="119"/>
  <c r="CP11" i="119"/>
  <c r="CQ11" i="119"/>
  <c r="CR11" i="119"/>
  <c r="CS11" i="119"/>
  <c r="CT11" i="119"/>
  <c r="CU11" i="119"/>
  <c r="BU12" i="119"/>
  <c r="BV12" i="119"/>
  <c r="BW12" i="119"/>
  <c r="BX12" i="119"/>
  <c r="BY12" i="119"/>
  <c r="BZ12" i="119"/>
  <c r="CA12" i="119"/>
  <c r="CB12" i="119"/>
  <c r="CC12" i="119"/>
  <c r="CD12" i="119"/>
  <c r="CE12" i="119"/>
  <c r="CF12" i="119"/>
  <c r="CG12" i="119"/>
  <c r="CH12" i="119"/>
  <c r="CI12" i="119"/>
  <c r="CJ12" i="119"/>
  <c r="CK12" i="119"/>
  <c r="CL12" i="119"/>
  <c r="CM12" i="119"/>
  <c r="CN12" i="119"/>
  <c r="CO12" i="119"/>
  <c r="CP12" i="119"/>
  <c r="CQ12" i="119"/>
  <c r="CR12" i="119"/>
  <c r="CS12" i="119"/>
  <c r="CT12" i="119"/>
  <c r="CU12" i="119"/>
  <c r="BU13" i="119"/>
  <c r="BV13" i="119"/>
  <c r="BW13" i="119"/>
  <c r="BX13" i="119"/>
  <c r="BY13" i="119"/>
  <c r="BZ13" i="119"/>
  <c r="CA13" i="119"/>
  <c r="CB13" i="119"/>
  <c r="CC13" i="119"/>
  <c r="CD13" i="119"/>
  <c r="CE13" i="119"/>
  <c r="CF13" i="119"/>
  <c r="CG13" i="119"/>
  <c r="CH13" i="119"/>
  <c r="CI13" i="119"/>
  <c r="CJ13" i="119"/>
  <c r="CK13" i="119"/>
  <c r="CL13" i="119"/>
  <c r="CM13" i="119"/>
  <c r="CN13" i="119"/>
  <c r="CO13" i="119"/>
  <c r="CP13" i="119"/>
  <c r="CQ13" i="119"/>
  <c r="CR13" i="119"/>
  <c r="CS13" i="119"/>
  <c r="CT13" i="119"/>
  <c r="CU13" i="119"/>
  <c r="BU14" i="119"/>
  <c r="BV14" i="119"/>
  <c r="BW14" i="119"/>
  <c r="BX14" i="119"/>
  <c r="BY14" i="119"/>
  <c r="BZ14" i="119"/>
  <c r="CA14" i="119"/>
  <c r="CB14" i="119"/>
  <c r="CC14" i="119"/>
  <c r="CD14" i="119"/>
  <c r="CE14" i="119"/>
  <c r="CF14" i="119"/>
  <c r="CG14" i="119"/>
  <c r="CH14" i="119"/>
  <c r="CI14" i="119"/>
  <c r="CJ14" i="119"/>
  <c r="CK14" i="119"/>
  <c r="CL14" i="119"/>
  <c r="CM14" i="119"/>
  <c r="CN14" i="119"/>
  <c r="CO14" i="119"/>
  <c r="CP14" i="119"/>
  <c r="CQ14" i="119"/>
  <c r="CR14" i="119"/>
  <c r="CS14" i="119"/>
  <c r="CT14" i="119"/>
  <c r="CU14" i="119"/>
  <c r="BU15" i="119"/>
  <c r="BV15" i="119"/>
  <c r="BW15" i="119"/>
  <c r="BX15" i="119"/>
  <c r="BY15" i="119"/>
  <c r="BZ15" i="119"/>
  <c r="CA15" i="119"/>
  <c r="CB15" i="119"/>
  <c r="CC15" i="119"/>
  <c r="CD15" i="119"/>
  <c r="CE15" i="119"/>
  <c r="CF15" i="119"/>
  <c r="CG15" i="119"/>
  <c r="CH15" i="119"/>
  <c r="CI15" i="119"/>
  <c r="CJ15" i="119"/>
  <c r="CK15" i="119"/>
  <c r="CL15" i="119"/>
  <c r="CM15" i="119"/>
  <c r="CN15" i="119"/>
  <c r="CO15" i="119"/>
  <c r="CP15" i="119"/>
  <c r="CQ15" i="119"/>
  <c r="CR15" i="119"/>
  <c r="CS15" i="119"/>
  <c r="CT15" i="119"/>
  <c r="CU15" i="119"/>
  <c r="BU16" i="119"/>
  <c r="BV16" i="119"/>
  <c r="BW16" i="119"/>
  <c r="BX16" i="119"/>
  <c r="BY16" i="119"/>
  <c r="BZ16" i="119"/>
  <c r="CA16" i="119"/>
  <c r="CB16" i="119"/>
  <c r="CC16" i="119"/>
  <c r="CD16" i="119"/>
  <c r="CE16" i="119"/>
  <c r="CF16" i="119"/>
  <c r="CG16" i="119"/>
  <c r="CH16" i="119"/>
  <c r="CI16" i="119"/>
  <c r="CJ16" i="119"/>
  <c r="CK16" i="119"/>
  <c r="CL16" i="119"/>
  <c r="CM16" i="119"/>
  <c r="CN16" i="119"/>
  <c r="CO16" i="119"/>
  <c r="CP16" i="119"/>
  <c r="CQ16" i="119"/>
  <c r="CR16" i="119"/>
  <c r="CS16" i="119"/>
  <c r="CT16" i="119"/>
  <c r="CU16" i="119"/>
  <c r="BU17" i="119"/>
  <c r="BV17" i="119"/>
  <c r="BW17" i="119"/>
  <c r="BX17" i="119"/>
  <c r="BY17" i="119"/>
  <c r="BZ17" i="119"/>
  <c r="CA17" i="119"/>
  <c r="CB17" i="119"/>
  <c r="CC17" i="119"/>
  <c r="CD17" i="119"/>
  <c r="CE17" i="119"/>
  <c r="CF17" i="119"/>
  <c r="CG17" i="119"/>
  <c r="CH17" i="119"/>
  <c r="CI17" i="119"/>
  <c r="CJ17" i="119"/>
  <c r="CK17" i="119"/>
  <c r="CL17" i="119"/>
  <c r="CM17" i="119"/>
  <c r="CN17" i="119"/>
  <c r="CO17" i="119"/>
  <c r="CP17" i="119"/>
  <c r="CQ17" i="119"/>
  <c r="CR17" i="119"/>
  <c r="CS17" i="119"/>
  <c r="CT17" i="119"/>
  <c r="CU17" i="119"/>
  <c r="BU18" i="119"/>
  <c r="BV18" i="119"/>
  <c r="BW18" i="119"/>
  <c r="BX18" i="119"/>
  <c r="BY18" i="119"/>
  <c r="BZ18" i="119"/>
  <c r="CA18" i="119"/>
  <c r="CB18" i="119"/>
  <c r="CC18" i="119"/>
  <c r="CD18" i="119"/>
  <c r="CE18" i="119"/>
  <c r="CF18" i="119"/>
  <c r="CG18" i="119"/>
  <c r="CH18" i="119"/>
  <c r="CI18" i="119"/>
  <c r="CJ18" i="119"/>
  <c r="CK18" i="119"/>
  <c r="CL18" i="119"/>
  <c r="CM18" i="119"/>
  <c r="CN18" i="119"/>
  <c r="CO18" i="119"/>
  <c r="CP18" i="119"/>
  <c r="CQ18" i="119"/>
  <c r="CR18" i="119"/>
  <c r="CS18" i="119"/>
  <c r="CT18" i="119"/>
  <c r="CU18" i="119"/>
  <c r="BU19" i="119"/>
  <c r="BV19" i="119"/>
  <c r="BW19" i="119"/>
  <c r="BX19" i="119"/>
  <c r="BY19" i="119"/>
  <c r="BZ19" i="119"/>
  <c r="CA19" i="119"/>
  <c r="CB19" i="119"/>
  <c r="CC19" i="119"/>
  <c r="CD19" i="119"/>
  <c r="CE19" i="119"/>
  <c r="CF19" i="119"/>
  <c r="CG19" i="119"/>
  <c r="CH19" i="119"/>
  <c r="CI19" i="119"/>
  <c r="CJ19" i="119"/>
  <c r="CK19" i="119"/>
  <c r="CL19" i="119"/>
  <c r="CM19" i="119"/>
  <c r="CN19" i="119"/>
  <c r="CO19" i="119"/>
  <c r="CP19" i="119"/>
  <c r="CQ19" i="119"/>
  <c r="CR19" i="119"/>
  <c r="CS19" i="119"/>
  <c r="CT19" i="119"/>
  <c r="CU19" i="119"/>
  <c r="BU20" i="119"/>
  <c r="BV20" i="119"/>
  <c r="BW20" i="119"/>
  <c r="BX20" i="119"/>
  <c r="BY20" i="119"/>
  <c r="BZ20" i="119"/>
  <c r="CA20" i="119"/>
  <c r="CB20" i="119"/>
  <c r="CC20" i="119"/>
  <c r="CD20" i="119"/>
  <c r="CE20" i="119"/>
  <c r="CF20" i="119"/>
  <c r="CG20" i="119"/>
  <c r="CH20" i="119"/>
  <c r="CI20" i="119"/>
  <c r="CJ20" i="119"/>
  <c r="CK20" i="119"/>
  <c r="CL20" i="119"/>
  <c r="CM20" i="119"/>
  <c r="CN20" i="119"/>
  <c r="CO20" i="119"/>
  <c r="CP20" i="119"/>
  <c r="CQ20" i="119"/>
  <c r="CR20" i="119"/>
  <c r="CS20" i="119"/>
  <c r="CT20" i="119"/>
  <c r="CU20" i="119"/>
  <c r="BU21" i="119"/>
  <c r="BV21" i="119"/>
  <c r="BW21" i="119"/>
  <c r="BX21" i="119"/>
  <c r="BY21" i="119"/>
  <c r="BZ21" i="119"/>
  <c r="CA21" i="119"/>
  <c r="CB21" i="119"/>
  <c r="CC21" i="119"/>
  <c r="CD21" i="119"/>
  <c r="CE21" i="119"/>
  <c r="CF21" i="119"/>
  <c r="CG21" i="119"/>
  <c r="CH21" i="119"/>
  <c r="CI21" i="119"/>
  <c r="CJ21" i="119"/>
  <c r="CK21" i="119"/>
  <c r="CL21" i="119"/>
  <c r="CM21" i="119"/>
  <c r="CN21" i="119"/>
  <c r="CO21" i="119"/>
  <c r="CP21" i="119"/>
  <c r="CQ21" i="119"/>
  <c r="CR21" i="119"/>
  <c r="CS21" i="119"/>
  <c r="CT21" i="119"/>
  <c r="CU21" i="119"/>
  <c r="BU22" i="119"/>
  <c r="BV22" i="119"/>
  <c r="BW22" i="119"/>
  <c r="BX22" i="119"/>
  <c r="BY22" i="119"/>
  <c r="BZ22" i="119"/>
  <c r="CA22" i="119"/>
  <c r="CB22" i="119"/>
  <c r="CC22" i="119"/>
  <c r="CD22" i="119"/>
  <c r="CE22" i="119"/>
  <c r="CF22" i="119"/>
  <c r="CG22" i="119"/>
  <c r="CH22" i="119"/>
  <c r="CI22" i="119"/>
  <c r="CJ22" i="119"/>
  <c r="CK22" i="119"/>
  <c r="CL22" i="119"/>
  <c r="CM22" i="119"/>
  <c r="CN22" i="119"/>
  <c r="CO22" i="119"/>
  <c r="CP22" i="119"/>
  <c r="CQ22" i="119"/>
  <c r="CR22" i="119"/>
  <c r="CS22" i="119"/>
  <c r="CT22" i="119"/>
  <c r="CU22" i="119"/>
  <c r="BU23" i="119"/>
  <c r="BV23" i="119"/>
  <c r="BW23" i="119"/>
  <c r="BX23" i="119"/>
  <c r="BY23" i="119"/>
  <c r="BZ23" i="119"/>
  <c r="CA23" i="119"/>
  <c r="CB23" i="119"/>
  <c r="CC23" i="119"/>
  <c r="CD23" i="119"/>
  <c r="CE23" i="119"/>
  <c r="CF23" i="119"/>
  <c r="CG23" i="119"/>
  <c r="CH23" i="119"/>
  <c r="CI23" i="119"/>
  <c r="CJ23" i="119"/>
  <c r="CK23" i="119"/>
  <c r="CL23" i="119"/>
  <c r="CM23" i="119"/>
  <c r="CN23" i="119"/>
  <c r="CO23" i="119"/>
  <c r="CP23" i="119"/>
  <c r="CQ23" i="119"/>
  <c r="CR23" i="119"/>
  <c r="CS23" i="119"/>
  <c r="CT23" i="119"/>
  <c r="CU23" i="119"/>
  <c r="BU24" i="119"/>
  <c r="BV24" i="119"/>
  <c r="BW24" i="119"/>
  <c r="BX24" i="119"/>
  <c r="BY24" i="119"/>
  <c r="BZ24" i="119"/>
  <c r="CA24" i="119"/>
  <c r="CB24" i="119"/>
  <c r="CC24" i="119"/>
  <c r="CD24" i="119"/>
  <c r="CE24" i="119"/>
  <c r="CF24" i="119"/>
  <c r="CG24" i="119"/>
  <c r="CH24" i="119"/>
  <c r="CI24" i="119"/>
  <c r="CJ24" i="119"/>
  <c r="CK24" i="119"/>
  <c r="CL24" i="119"/>
  <c r="CM24" i="119"/>
  <c r="CN24" i="119"/>
  <c r="CO24" i="119"/>
  <c r="CP24" i="119"/>
  <c r="CQ24" i="119"/>
  <c r="CR24" i="119"/>
  <c r="CS24" i="119"/>
  <c r="CT24" i="119"/>
  <c r="CU24" i="119"/>
  <c r="BU25" i="119"/>
  <c r="BV25" i="119"/>
  <c r="BW25" i="119"/>
  <c r="BX25" i="119"/>
  <c r="BY25" i="119"/>
  <c r="BZ25" i="119"/>
  <c r="CA25" i="119"/>
  <c r="CB25" i="119"/>
  <c r="CC25" i="119"/>
  <c r="CD25" i="119"/>
  <c r="CE25" i="119"/>
  <c r="CF25" i="119"/>
  <c r="CG25" i="119"/>
  <c r="CH25" i="119"/>
  <c r="CI25" i="119"/>
  <c r="CJ25" i="119"/>
  <c r="CK25" i="119"/>
  <c r="CL25" i="119"/>
  <c r="CM25" i="119"/>
  <c r="CN25" i="119"/>
  <c r="CO25" i="119"/>
  <c r="CP25" i="119"/>
  <c r="CQ25" i="119"/>
  <c r="CR25" i="119"/>
  <c r="CS25" i="119"/>
  <c r="CT25" i="119"/>
  <c r="CU25" i="119"/>
  <c r="BU26" i="119"/>
  <c r="BV26" i="119"/>
  <c r="BW26" i="119"/>
  <c r="BX26" i="119"/>
  <c r="BY26" i="119"/>
  <c r="BZ26" i="119"/>
  <c r="CA26" i="119"/>
  <c r="CB26" i="119"/>
  <c r="CC26" i="119"/>
  <c r="CD26" i="119"/>
  <c r="CE26" i="119"/>
  <c r="CF26" i="119"/>
  <c r="CG26" i="119"/>
  <c r="CH26" i="119"/>
  <c r="CI26" i="119"/>
  <c r="CJ26" i="119"/>
  <c r="CK26" i="119"/>
  <c r="CL26" i="119"/>
  <c r="CM26" i="119"/>
  <c r="CN26" i="119"/>
  <c r="CO26" i="119"/>
  <c r="CP26" i="119"/>
  <c r="CQ26" i="119"/>
  <c r="CR26" i="119"/>
  <c r="CS26" i="119"/>
  <c r="CT26" i="119"/>
  <c r="CU26" i="119"/>
  <c r="BU27" i="119"/>
  <c r="BV27" i="119"/>
  <c r="BW27" i="119"/>
  <c r="BX27" i="119"/>
  <c r="BY27" i="119"/>
  <c r="BZ27" i="119"/>
  <c r="CA27" i="119"/>
  <c r="CB27" i="119"/>
  <c r="CC27" i="119"/>
  <c r="CD27" i="119"/>
  <c r="CE27" i="119"/>
  <c r="CF27" i="119"/>
  <c r="CG27" i="119"/>
  <c r="CH27" i="119"/>
  <c r="CI27" i="119"/>
  <c r="CJ27" i="119"/>
  <c r="CK27" i="119"/>
  <c r="CL27" i="119"/>
  <c r="CM27" i="119"/>
  <c r="CN27" i="119"/>
  <c r="CO27" i="119"/>
  <c r="CP27" i="119"/>
  <c r="CQ27" i="119"/>
  <c r="CR27" i="119"/>
  <c r="CS27" i="119"/>
  <c r="CT27" i="119"/>
  <c r="CU27" i="119"/>
  <c r="BU28" i="119"/>
  <c r="BV28" i="119"/>
  <c r="BW28" i="119"/>
  <c r="BX28" i="119"/>
  <c r="BY28" i="119"/>
  <c r="BZ28" i="119"/>
  <c r="CA28" i="119"/>
  <c r="CB28" i="119"/>
  <c r="CC28" i="119"/>
  <c r="CD28" i="119"/>
  <c r="CE28" i="119"/>
  <c r="CF28" i="119"/>
  <c r="CG28" i="119"/>
  <c r="CH28" i="119"/>
  <c r="CI28" i="119"/>
  <c r="CJ28" i="119"/>
  <c r="CK28" i="119"/>
  <c r="CL28" i="119"/>
  <c r="CM28" i="119"/>
  <c r="CN28" i="119"/>
  <c r="CO28" i="119"/>
  <c r="CP28" i="119"/>
  <c r="CQ28" i="119"/>
  <c r="CR28" i="119"/>
  <c r="CS28" i="119"/>
  <c r="CT28" i="119"/>
  <c r="CU28" i="119"/>
  <c r="BU29" i="119"/>
  <c r="BV29" i="119"/>
  <c r="BW29" i="119"/>
  <c r="BX29" i="119"/>
  <c r="BY29" i="119"/>
  <c r="BZ29" i="119"/>
  <c r="CA29" i="119"/>
  <c r="CB29" i="119"/>
  <c r="CC29" i="119"/>
  <c r="CD29" i="119"/>
  <c r="CE29" i="119"/>
  <c r="CF29" i="119"/>
  <c r="CG29" i="119"/>
  <c r="CH29" i="119"/>
  <c r="CI29" i="119"/>
  <c r="CJ29" i="119"/>
  <c r="CK29" i="119"/>
  <c r="CL29" i="119"/>
  <c r="CM29" i="119"/>
  <c r="CN29" i="119"/>
  <c r="CO29" i="119"/>
  <c r="CP29" i="119"/>
  <c r="CQ29" i="119"/>
  <c r="CR29" i="119"/>
  <c r="CS29" i="119"/>
  <c r="CT29" i="119"/>
  <c r="CU29" i="119"/>
  <c r="BU30" i="119"/>
  <c r="BV30" i="119"/>
  <c r="BW30" i="119"/>
  <c r="BX30" i="119"/>
  <c r="BY30" i="119"/>
  <c r="BZ30" i="119"/>
  <c r="CA30" i="119"/>
  <c r="CB30" i="119"/>
  <c r="CC30" i="119"/>
  <c r="CD30" i="119"/>
  <c r="CE30" i="119"/>
  <c r="CF30" i="119"/>
  <c r="CG30" i="119"/>
  <c r="CH30" i="119"/>
  <c r="CI30" i="119"/>
  <c r="CJ30" i="119"/>
  <c r="CK30" i="119"/>
  <c r="CL30" i="119"/>
  <c r="CM30" i="119"/>
  <c r="CN30" i="119"/>
  <c r="CO30" i="119"/>
  <c r="CP30" i="119"/>
  <c r="CQ30" i="119"/>
  <c r="CR30" i="119"/>
  <c r="CS30" i="119"/>
  <c r="CT30" i="119"/>
  <c r="CU30" i="119"/>
  <c r="BU31" i="119"/>
  <c r="BV31" i="119"/>
  <c r="BW31" i="119"/>
  <c r="BX31" i="119"/>
  <c r="BY31" i="119"/>
  <c r="BZ31" i="119"/>
  <c r="CA31" i="119"/>
  <c r="CB31" i="119"/>
  <c r="CC31" i="119"/>
  <c r="CD31" i="119"/>
  <c r="CE31" i="119"/>
  <c r="CF31" i="119"/>
  <c r="CG31" i="119"/>
  <c r="CH31" i="119"/>
  <c r="CI31" i="119"/>
  <c r="CJ31" i="119"/>
  <c r="CK31" i="119"/>
  <c r="CL31" i="119"/>
  <c r="CM31" i="119"/>
  <c r="CN31" i="119"/>
  <c r="CO31" i="119"/>
  <c r="CP31" i="119"/>
  <c r="CQ31" i="119"/>
  <c r="CR31" i="119"/>
  <c r="CS31" i="119"/>
  <c r="CT31" i="119"/>
  <c r="CU31" i="119"/>
  <c r="BU32" i="119"/>
  <c r="BV32" i="119"/>
  <c r="BW32" i="119"/>
  <c r="BX32" i="119"/>
  <c r="BY32" i="119"/>
  <c r="BZ32" i="119"/>
  <c r="CA32" i="119"/>
  <c r="CB32" i="119"/>
  <c r="CC32" i="119"/>
  <c r="CD32" i="119"/>
  <c r="CE32" i="119"/>
  <c r="CF32" i="119"/>
  <c r="CG32" i="119"/>
  <c r="CH32" i="119"/>
  <c r="CI32" i="119"/>
  <c r="CJ32" i="119"/>
  <c r="CK32" i="119"/>
  <c r="CL32" i="119"/>
  <c r="CM32" i="119"/>
  <c r="CN32" i="119"/>
  <c r="CO32" i="119"/>
  <c r="CP32" i="119"/>
  <c r="CQ32" i="119"/>
  <c r="CR32" i="119"/>
  <c r="CS32" i="119"/>
  <c r="CT32" i="119"/>
  <c r="CU32" i="119"/>
  <c r="BU33" i="119"/>
  <c r="BV33" i="119"/>
  <c r="BW33" i="119"/>
  <c r="BX33" i="119"/>
  <c r="BY33" i="119"/>
  <c r="BZ33" i="119"/>
  <c r="CA33" i="119"/>
  <c r="CB33" i="119"/>
  <c r="CC33" i="119"/>
  <c r="CD33" i="119"/>
  <c r="CE33" i="119"/>
  <c r="CF33" i="119"/>
  <c r="CG33" i="119"/>
  <c r="CH33" i="119"/>
  <c r="CI33" i="119"/>
  <c r="CJ33" i="119"/>
  <c r="CK33" i="119"/>
  <c r="CL33" i="119"/>
  <c r="CM33" i="119"/>
  <c r="CN33" i="119"/>
  <c r="CO33" i="119"/>
  <c r="CP33" i="119"/>
  <c r="CQ33" i="119"/>
  <c r="CR33" i="119"/>
  <c r="CS33" i="119"/>
  <c r="CT33" i="119"/>
  <c r="CU33" i="119"/>
  <c r="BU34" i="119"/>
  <c r="BV34" i="119"/>
  <c r="BW34" i="119"/>
  <c r="BX34" i="119"/>
  <c r="BY34" i="119"/>
  <c r="BZ34" i="119"/>
  <c r="CA34" i="119"/>
  <c r="CB34" i="119"/>
  <c r="CC34" i="119"/>
  <c r="CD34" i="119"/>
  <c r="CE34" i="119"/>
  <c r="CF34" i="119"/>
  <c r="CG34" i="119"/>
  <c r="CH34" i="119"/>
  <c r="CI34" i="119"/>
  <c r="CJ34" i="119"/>
  <c r="CK34" i="119"/>
  <c r="CL34" i="119"/>
  <c r="CM34" i="119"/>
  <c r="CN34" i="119"/>
  <c r="CO34" i="119"/>
  <c r="CP34" i="119"/>
  <c r="CQ34" i="119"/>
  <c r="CR34" i="119"/>
  <c r="CS34" i="119"/>
  <c r="CT34" i="119"/>
  <c r="CU34" i="119"/>
  <c r="BU35" i="119"/>
  <c r="BV35" i="119"/>
  <c r="BW35" i="119"/>
  <c r="BX35" i="119"/>
  <c r="BY35" i="119"/>
  <c r="BZ35" i="119"/>
  <c r="CA35" i="119"/>
  <c r="CB35" i="119"/>
  <c r="CC35" i="119"/>
  <c r="CD35" i="119"/>
  <c r="CE35" i="119"/>
  <c r="CF35" i="119"/>
  <c r="CG35" i="119"/>
  <c r="CH35" i="119"/>
  <c r="CI35" i="119"/>
  <c r="CJ35" i="119"/>
  <c r="CK35" i="119"/>
  <c r="CL35" i="119"/>
  <c r="CM35" i="119"/>
  <c r="CN35" i="119"/>
  <c r="CO35" i="119"/>
  <c r="CP35" i="119"/>
  <c r="CQ35" i="119"/>
  <c r="CR35" i="119"/>
  <c r="CS35" i="119"/>
  <c r="CT35" i="119"/>
  <c r="CU35" i="119"/>
  <c r="BU36" i="119"/>
  <c r="BV36" i="119"/>
  <c r="BW36" i="119"/>
  <c r="BX36" i="119"/>
  <c r="BY36" i="119"/>
  <c r="BZ36" i="119"/>
  <c r="CA36" i="119"/>
  <c r="CB36" i="119"/>
  <c r="CC36" i="119"/>
  <c r="CD36" i="119"/>
  <c r="CE36" i="119"/>
  <c r="CF36" i="119"/>
  <c r="CG36" i="119"/>
  <c r="CH36" i="119"/>
  <c r="CI36" i="119"/>
  <c r="CJ36" i="119"/>
  <c r="CK36" i="119"/>
  <c r="CL36" i="119"/>
  <c r="CM36" i="119"/>
  <c r="CN36" i="119"/>
  <c r="CO36" i="119"/>
  <c r="CP36" i="119"/>
  <c r="CQ36" i="119"/>
  <c r="CR36" i="119"/>
  <c r="CS36" i="119"/>
  <c r="CT36" i="119"/>
  <c r="CU36" i="119"/>
  <c r="BU37" i="119"/>
  <c r="BV37" i="119"/>
  <c r="BW37" i="119"/>
  <c r="BX37" i="119"/>
  <c r="BY37" i="119"/>
  <c r="BZ37" i="119"/>
  <c r="CA37" i="119"/>
  <c r="CB37" i="119"/>
  <c r="CC37" i="119"/>
  <c r="CD37" i="119"/>
  <c r="CE37" i="119"/>
  <c r="CF37" i="119"/>
  <c r="CG37" i="119"/>
  <c r="CH37" i="119"/>
  <c r="CI37" i="119"/>
  <c r="CJ37" i="119"/>
  <c r="CK37" i="119"/>
  <c r="CL37" i="119"/>
  <c r="CM37" i="119"/>
  <c r="CN37" i="119"/>
  <c r="CO37" i="119"/>
  <c r="CP37" i="119"/>
  <c r="CQ37" i="119"/>
  <c r="CR37" i="119"/>
  <c r="CS37" i="119"/>
  <c r="CT37" i="119"/>
  <c r="CU37" i="119"/>
  <c r="BU38" i="119"/>
  <c r="BV38" i="119"/>
  <c r="BW38" i="119"/>
  <c r="BX38" i="119"/>
  <c r="BY38" i="119"/>
  <c r="BZ38" i="119"/>
  <c r="CA38" i="119"/>
  <c r="CB38" i="119"/>
  <c r="CC38" i="119"/>
  <c r="CD38" i="119"/>
  <c r="CE38" i="119"/>
  <c r="CF38" i="119"/>
  <c r="CG38" i="119"/>
  <c r="CH38" i="119"/>
  <c r="CI38" i="119"/>
  <c r="CJ38" i="119"/>
  <c r="CK38" i="119"/>
  <c r="CL38" i="119"/>
  <c r="CM38" i="119"/>
  <c r="CN38" i="119"/>
  <c r="CO38" i="119"/>
  <c r="CP38" i="119"/>
  <c r="CQ38" i="119"/>
  <c r="CR38" i="119"/>
  <c r="CS38" i="119"/>
  <c r="CT38" i="119"/>
  <c r="CU38" i="119"/>
  <c r="BU39" i="119"/>
  <c r="BV39" i="119"/>
  <c r="BW39" i="119"/>
  <c r="BX39" i="119"/>
  <c r="BY39" i="119"/>
  <c r="BZ39" i="119"/>
  <c r="CA39" i="119"/>
  <c r="CB39" i="119"/>
  <c r="CC39" i="119"/>
  <c r="CD39" i="119"/>
  <c r="CE39" i="119"/>
  <c r="CF39" i="119"/>
  <c r="CG39" i="119"/>
  <c r="CH39" i="119"/>
  <c r="CI39" i="119"/>
  <c r="CJ39" i="119"/>
  <c r="CK39" i="119"/>
  <c r="CL39" i="119"/>
  <c r="CM39" i="119"/>
  <c r="CN39" i="119"/>
  <c r="CO39" i="119"/>
  <c r="CP39" i="119"/>
  <c r="CQ39" i="119"/>
  <c r="CR39" i="119"/>
  <c r="CS39" i="119"/>
  <c r="CT39" i="119"/>
  <c r="CU39" i="119"/>
  <c r="BU40" i="119"/>
  <c r="BV40" i="119"/>
  <c r="BW40" i="119"/>
  <c r="BX40" i="119"/>
  <c r="BY40" i="119"/>
  <c r="BZ40" i="119"/>
  <c r="CA40" i="119"/>
  <c r="CB40" i="119"/>
  <c r="CC40" i="119"/>
  <c r="CD40" i="119"/>
  <c r="CE40" i="119"/>
  <c r="CF40" i="119"/>
  <c r="CG40" i="119"/>
  <c r="CH40" i="119"/>
  <c r="CI40" i="119"/>
  <c r="CJ40" i="119"/>
  <c r="CK40" i="119"/>
  <c r="CL40" i="119"/>
  <c r="CM40" i="119"/>
  <c r="CN40" i="119"/>
  <c r="CO40" i="119"/>
  <c r="CP40" i="119"/>
  <c r="CQ40" i="119"/>
  <c r="CR40" i="119"/>
  <c r="CS40" i="119"/>
  <c r="CT40" i="119"/>
  <c r="CU40" i="119"/>
  <c r="BU41" i="119"/>
  <c r="BV41" i="119"/>
  <c r="BW41" i="119"/>
  <c r="BX41" i="119"/>
  <c r="BY41" i="119"/>
  <c r="BZ41" i="119"/>
  <c r="CA41" i="119"/>
  <c r="CB41" i="119"/>
  <c r="CC41" i="119"/>
  <c r="CD41" i="119"/>
  <c r="CE41" i="119"/>
  <c r="CF41" i="119"/>
  <c r="CG41" i="119"/>
  <c r="CH41" i="119"/>
  <c r="CI41" i="119"/>
  <c r="CJ41" i="119"/>
  <c r="CK41" i="119"/>
  <c r="CL41" i="119"/>
  <c r="CM41" i="119"/>
  <c r="CN41" i="119"/>
  <c r="CO41" i="119"/>
  <c r="CP41" i="119"/>
  <c r="CQ41" i="119"/>
  <c r="CR41" i="119"/>
  <c r="CS41" i="119"/>
  <c r="CT41" i="119"/>
  <c r="CU41" i="119"/>
  <c r="BU42" i="119"/>
  <c r="BV42" i="119"/>
  <c r="BW42" i="119"/>
  <c r="BX42" i="119"/>
  <c r="BY42" i="119"/>
  <c r="BZ42" i="119"/>
  <c r="CA42" i="119"/>
  <c r="CB42" i="119"/>
  <c r="CC42" i="119"/>
  <c r="CD42" i="119"/>
  <c r="CE42" i="119"/>
  <c r="CF42" i="119"/>
  <c r="CG42" i="119"/>
  <c r="CH42" i="119"/>
  <c r="CI42" i="119"/>
  <c r="CJ42" i="119"/>
  <c r="CK42" i="119"/>
  <c r="CL42" i="119"/>
  <c r="CM42" i="119"/>
  <c r="CN42" i="119"/>
  <c r="CO42" i="119"/>
  <c r="CP42" i="119"/>
  <c r="CQ42" i="119"/>
  <c r="CR42" i="119"/>
  <c r="CS42" i="119"/>
  <c r="CT42" i="119"/>
  <c r="CU42" i="119"/>
  <c r="BU43" i="119"/>
  <c r="BV43" i="119"/>
  <c r="BW43" i="119"/>
  <c r="BX43" i="119"/>
  <c r="BY43" i="119"/>
  <c r="BZ43" i="119"/>
  <c r="CA43" i="119"/>
  <c r="CB43" i="119"/>
  <c r="CC43" i="119"/>
  <c r="CD43" i="119"/>
  <c r="CE43" i="119"/>
  <c r="CF43" i="119"/>
  <c r="CG43" i="119"/>
  <c r="CH43" i="119"/>
  <c r="CI43" i="119"/>
  <c r="CJ43" i="119"/>
  <c r="CK43" i="119"/>
  <c r="CL43" i="119"/>
  <c r="CM43" i="119"/>
  <c r="CN43" i="119"/>
  <c r="CO43" i="119"/>
  <c r="CP43" i="119"/>
  <c r="CQ43" i="119"/>
  <c r="CR43" i="119"/>
  <c r="CS43" i="119"/>
  <c r="CT43" i="119"/>
  <c r="CU43" i="119"/>
  <c r="BU44" i="119"/>
  <c r="BV44" i="119"/>
  <c r="BW44" i="119"/>
  <c r="BX44" i="119"/>
  <c r="BY44" i="119"/>
  <c r="BZ44" i="119"/>
  <c r="CA44" i="119"/>
  <c r="CB44" i="119"/>
  <c r="CC44" i="119"/>
  <c r="CD44" i="119"/>
  <c r="CE44" i="119"/>
  <c r="CF44" i="119"/>
  <c r="CG44" i="119"/>
  <c r="CH44" i="119"/>
  <c r="CI44" i="119"/>
  <c r="CJ44" i="119"/>
  <c r="CK44" i="119"/>
  <c r="CL44" i="119"/>
  <c r="CM44" i="119"/>
  <c r="CN44" i="119"/>
  <c r="CO44" i="119"/>
  <c r="CP44" i="119"/>
  <c r="CQ44" i="119"/>
  <c r="CR44" i="119"/>
  <c r="CS44" i="119"/>
  <c r="CT44" i="119"/>
  <c r="CU44" i="119"/>
  <c r="BU45" i="119"/>
  <c r="BV45" i="119"/>
  <c r="BW45" i="119"/>
  <c r="BX45" i="119"/>
  <c r="BY45" i="119"/>
  <c r="BZ45" i="119"/>
  <c r="CA45" i="119"/>
  <c r="CB45" i="119"/>
  <c r="CC45" i="119"/>
  <c r="CD45" i="119"/>
  <c r="CE45" i="119"/>
  <c r="CF45" i="119"/>
  <c r="CG45" i="119"/>
  <c r="CH45" i="119"/>
  <c r="CI45" i="119"/>
  <c r="CJ45" i="119"/>
  <c r="CK45" i="119"/>
  <c r="CL45" i="119"/>
  <c r="CM45" i="119"/>
  <c r="CN45" i="119"/>
  <c r="CO45" i="119"/>
  <c r="CP45" i="119"/>
  <c r="CQ45" i="119"/>
  <c r="CR45" i="119"/>
  <c r="CS45" i="119"/>
  <c r="CT45" i="119"/>
  <c r="CU45" i="119"/>
  <c r="BU46" i="119"/>
  <c r="BV46" i="119"/>
  <c r="BW46" i="119"/>
  <c r="BX46" i="119"/>
  <c r="BY46" i="119"/>
  <c r="BZ46" i="119"/>
  <c r="CA46" i="119"/>
  <c r="CB46" i="119"/>
  <c r="CC46" i="119"/>
  <c r="CD46" i="119"/>
  <c r="CE46" i="119"/>
  <c r="CF46" i="119"/>
  <c r="CG46" i="119"/>
  <c r="CH46" i="119"/>
  <c r="CI46" i="119"/>
  <c r="CJ46" i="119"/>
  <c r="CK46" i="119"/>
  <c r="CL46" i="119"/>
  <c r="CM46" i="119"/>
  <c r="CN46" i="119"/>
  <c r="CO46" i="119"/>
  <c r="CP46" i="119"/>
  <c r="CQ46" i="119"/>
  <c r="CR46" i="119"/>
  <c r="CS46" i="119"/>
  <c r="CT46" i="119"/>
  <c r="CU46" i="119"/>
  <c r="BU47" i="119"/>
  <c r="BV47" i="119"/>
  <c r="BW47" i="119"/>
  <c r="BX47" i="119"/>
  <c r="BY47" i="119"/>
  <c r="BZ47" i="119"/>
  <c r="CA47" i="119"/>
  <c r="CB47" i="119"/>
  <c r="CC47" i="119"/>
  <c r="CD47" i="119"/>
  <c r="CE47" i="119"/>
  <c r="CF47" i="119"/>
  <c r="CG47" i="119"/>
  <c r="CH47" i="119"/>
  <c r="CI47" i="119"/>
  <c r="CJ47" i="119"/>
  <c r="CK47" i="119"/>
  <c r="CL47" i="119"/>
  <c r="CM47" i="119"/>
  <c r="CN47" i="119"/>
  <c r="CO47" i="119"/>
  <c r="CP47" i="119"/>
  <c r="CQ47" i="119"/>
  <c r="CR47" i="119"/>
  <c r="CS47" i="119"/>
  <c r="CT47" i="119"/>
  <c r="CU47" i="119"/>
  <c r="BU48" i="119"/>
  <c r="BV48" i="119"/>
  <c r="BW48" i="119"/>
  <c r="BX48" i="119"/>
  <c r="BY48" i="119"/>
  <c r="BZ48" i="119"/>
  <c r="CA48" i="119"/>
  <c r="CB48" i="119"/>
  <c r="CC48" i="119"/>
  <c r="CD48" i="119"/>
  <c r="CE48" i="119"/>
  <c r="CF48" i="119"/>
  <c r="CG48" i="119"/>
  <c r="CH48" i="119"/>
  <c r="CI48" i="119"/>
  <c r="CJ48" i="119"/>
  <c r="CK48" i="119"/>
  <c r="CL48" i="119"/>
  <c r="CM48" i="119"/>
  <c r="CN48" i="119"/>
  <c r="CO48" i="119"/>
  <c r="CP48" i="119"/>
  <c r="CQ48" i="119"/>
  <c r="CR48" i="119"/>
  <c r="CS48" i="119"/>
  <c r="CT48" i="119"/>
  <c r="CU48" i="119"/>
  <c r="BU49" i="119"/>
  <c r="BV49" i="119"/>
  <c r="BW49" i="119"/>
  <c r="BX49" i="119"/>
  <c r="BY49" i="119"/>
  <c r="BZ49" i="119"/>
  <c r="CA49" i="119"/>
  <c r="CB49" i="119"/>
  <c r="CC49" i="119"/>
  <c r="CD49" i="119"/>
  <c r="CE49" i="119"/>
  <c r="CF49" i="119"/>
  <c r="CG49" i="119"/>
  <c r="CH49" i="119"/>
  <c r="CI49" i="119"/>
  <c r="CJ49" i="119"/>
  <c r="CK49" i="119"/>
  <c r="CL49" i="119"/>
  <c r="CM49" i="119"/>
  <c r="CN49" i="119"/>
  <c r="CO49" i="119"/>
  <c r="CP49" i="119"/>
  <c r="CQ49" i="119"/>
  <c r="CR49" i="119"/>
  <c r="CS49" i="119"/>
  <c r="CT49" i="119"/>
  <c r="CU49" i="119"/>
  <c r="BU50" i="119"/>
  <c r="BV50" i="119"/>
  <c r="BW50" i="119"/>
  <c r="BX50" i="119"/>
  <c r="BY50" i="119"/>
  <c r="BZ50" i="119"/>
  <c r="CA50" i="119"/>
  <c r="CB50" i="119"/>
  <c r="CC50" i="119"/>
  <c r="CD50" i="119"/>
  <c r="CE50" i="119"/>
  <c r="CF50" i="119"/>
  <c r="CG50" i="119"/>
  <c r="CH50" i="119"/>
  <c r="CI50" i="119"/>
  <c r="CJ50" i="119"/>
  <c r="CK50" i="119"/>
  <c r="CL50" i="119"/>
  <c r="CM50" i="119"/>
  <c r="CN50" i="119"/>
  <c r="CO50" i="119"/>
  <c r="CP50" i="119"/>
  <c r="CQ50" i="119"/>
  <c r="CR50" i="119"/>
  <c r="CS50" i="119"/>
  <c r="CT50" i="119"/>
  <c r="CU50" i="119"/>
  <c r="BU51" i="119"/>
  <c r="BV51" i="119"/>
  <c r="BW51" i="119"/>
  <c r="BX51" i="119"/>
  <c r="BY51" i="119"/>
  <c r="BZ51" i="119"/>
  <c r="CA51" i="119"/>
  <c r="CB51" i="119"/>
  <c r="CC51" i="119"/>
  <c r="CD51" i="119"/>
  <c r="CE51" i="119"/>
  <c r="CF51" i="119"/>
  <c r="CG51" i="119"/>
  <c r="CH51" i="119"/>
  <c r="CI51" i="119"/>
  <c r="CJ51" i="119"/>
  <c r="CK51" i="119"/>
  <c r="CL51" i="119"/>
  <c r="CM51" i="119"/>
  <c r="CN51" i="119"/>
  <c r="CO51" i="119"/>
  <c r="CP51" i="119"/>
  <c r="CQ51" i="119"/>
  <c r="CR51" i="119"/>
  <c r="CS51" i="119"/>
  <c r="CT51" i="119"/>
  <c r="CU51" i="119"/>
  <c r="BU52" i="119"/>
  <c r="BV52" i="119"/>
  <c r="BW52" i="119"/>
  <c r="BX52" i="119"/>
  <c r="BY52" i="119"/>
  <c r="BZ52" i="119"/>
  <c r="CA52" i="119"/>
  <c r="CB52" i="119"/>
  <c r="CC52" i="119"/>
  <c r="CD52" i="119"/>
  <c r="CE52" i="119"/>
  <c r="CF52" i="119"/>
  <c r="CG52" i="119"/>
  <c r="CH52" i="119"/>
  <c r="CI52" i="119"/>
  <c r="CJ52" i="119"/>
  <c r="CK52" i="119"/>
  <c r="CL52" i="119"/>
  <c r="CM52" i="119"/>
  <c r="CN52" i="119"/>
  <c r="CO52" i="119"/>
  <c r="CP52" i="119"/>
  <c r="CQ52" i="119"/>
  <c r="CR52" i="119"/>
  <c r="CS52" i="119"/>
  <c r="CT52" i="119"/>
  <c r="CU52" i="119"/>
  <c r="BU53" i="119"/>
  <c r="BV53" i="119"/>
  <c r="BW53" i="119"/>
  <c r="BX53" i="119"/>
  <c r="BY53" i="119"/>
  <c r="BZ53" i="119"/>
  <c r="CA53" i="119"/>
  <c r="CB53" i="119"/>
  <c r="CC53" i="119"/>
  <c r="CD53" i="119"/>
  <c r="CE53" i="119"/>
  <c r="CF53" i="119"/>
  <c r="CG53" i="119"/>
  <c r="CH53" i="119"/>
  <c r="CI53" i="119"/>
  <c r="CJ53" i="119"/>
  <c r="CK53" i="119"/>
  <c r="CL53" i="119"/>
  <c r="CM53" i="119"/>
  <c r="CN53" i="119"/>
  <c r="CO53" i="119"/>
  <c r="CP53" i="119"/>
  <c r="CQ53" i="119"/>
  <c r="CR53" i="119"/>
  <c r="CS53" i="119"/>
  <c r="CT53" i="119"/>
  <c r="CU53" i="119"/>
  <c r="BU54" i="119"/>
  <c r="BV54" i="119"/>
  <c r="BW54" i="119"/>
  <c r="BX54" i="119"/>
  <c r="BY54" i="119"/>
  <c r="BZ54" i="119"/>
  <c r="CA54" i="119"/>
  <c r="CB54" i="119"/>
  <c r="CC54" i="119"/>
  <c r="CD54" i="119"/>
  <c r="CE54" i="119"/>
  <c r="CF54" i="119"/>
  <c r="CG54" i="119"/>
  <c r="CH54" i="119"/>
  <c r="CI54" i="119"/>
  <c r="CJ54" i="119"/>
  <c r="CK54" i="119"/>
  <c r="CL54" i="119"/>
  <c r="CM54" i="119"/>
  <c r="CN54" i="119"/>
  <c r="CO54" i="119"/>
  <c r="CP54" i="119"/>
  <c r="CQ54" i="119"/>
  <c r="CR54" i="119"/>
  <c r="CS54" i="119"/>
  <c r="CT54" i="119"/>
  <c r="CU54" i="119"/>
  <c r="BU55" i="119"/>
  <c r="BV55" i="119"/>
  <c r="BW55" i="119"/>
  <c r="BX55" i="119"/>
  <c r="BY55" i="119"/>
  <c r="BZ55" i="119"/>
  <c r="CA55" i="119"/>
  <c r="CB55" i="119"/>
  <c r="CC55" i="119"/>
  <c r="CD55" i="119"/>
  <c r="CE55" i="119"/>
  <c r="CF55" i="119"/>
  <c r="CG55" i="119"/>
  <c r="CH55" i="119"/>
  <c r="CI55" i="119"/>
  <c r="CJ55" i="119"/>
  <c r="CK55" i="119"/>
  <c r="CL55" i="119"/>
  <c r="CM55" i="119"/>
  <c r="CN55" i="119"/>
  <c r="CO55" i="119"/>
  <c r="CP55" i="119"/>
  <c r="CQ55" i="119"/>
  <c r="CR55" i="119"/>
  <c r="CS55" i="119"/>
  <c r="CT55" i="119"/>
  <c r="CU55" i="119"/>
  <c r="BU56" i="119"/>
  <c r="BV56" i="119"/>
  <c r="BW56" i="119"/>
  <c r="BX56" i="119"/>
  <c r="BY56" i="119"/>
  <c r="BZ56" i="119"/>
  <c r="CA56" i="119"/>
  <c r="CB56" i="119"/>
  <c r="CC56" i="119"/>
  <c r="CD56" i="119"/>
  <c r="CE56" i="119"/>
  <c r="CF56" i="119"/>
  <c r="CG56" i="119"/>
  <c r="CH56" i="119"/>
  <c r="CI56" i="119"/>
  <c r="CJ56" i="119"/>
  <c r="CK56" i="119"/>
  <c r="CL56" i="119"/>
  <c r="CM56" i="119"/>
  <c r="CN56" i="119"/>
  <c r="CO56" i="119"/>
  <c r="CP56" i="119"/>
  <c r="CQ56" i="119"/>
  <c r="CR56" i="119"/>
  <c r="CS56" i="119"/>
  <c r="CT56" i="119"/>
  <c r="CU56" i="119"/>
  <c r="BU57" i="119"/>
  <c r="BV57" i="119"/>
  <c r="BW57" i="119"/>
  <c r="BX57" i="119"/>
  <c r="BY57" i="119"/>
  <c r="BZ57" i="119"/>
  <c r="CA57" i="119"/>
  <c r="CB57" i="119"/>
  <c r="CC57" i="119"/>
  <c r="CD57" i="119"/>
  <c r="CE57" i="119"/>
  <c r="CF57" i="119"/>
  <c r="CG57" i="119"/>
  <c r="CH57" i="119"/>
  <c r="CI57" i="119"/>
  <c r="CJ57" i="119"/>
  <c r="CK57" i="119"/>
  <c r="CL57" i="119"/>
  <c r="CM57" i="119"/>
  <c r="CN57" i="119"/>
  <c r="CO57" i="119"/>
  <c r="CP57" i="119"/>
  <c r="CQ57" i="119"/>
  <c r="CR57" i="119"/>
  <c r="CS57" i="119"/>
  <c r="CT57" i="119"/>
  <c r="CU57" i="119"/>
  <c r="BU58" i="119"/>
  <c r="BV58" i="119"/>
  <c r="BW58" i="119"/>
  <c r="BX58" i="119"/>
  <c r="BY58" i="119"/>
  <c r="BZ58" i="119"/>
  <c r="CA58" i="119"/>
  <c r="CB58" i="119"/>
  <c r="CC58" i="119"/>
  <c r="CD58" i="119"/>
  <c r="CE58" i="119"/>
  <c r="CF58" i="119"/>
  <c r="CG58" i="119"/>
  <c r="CH58" i="119"/>
  <c r="CI58" i="119"/>
  <c r="CJ58" i="119"/>
  <c r="CK58" i="119"/>
  <c r="CL58" i="119"/>
  <c r="CM58" i="119"/>
  <c r="CN58" i="119"/>
  <c r="CO58" i="119"/>
  <c r="CP58" i="119"/>
  <c r="CQ58" i="119"/>
  <c r="CR58" i="119"/>
  <c r="CS58" i="119"/>
  <c r="CT58" i="119"/>
  <c r="CU58" i="119"/>
  <c r="BU60" i="119"/>
  <c r="BV60" i="119"/>
  <c r="BW60" i="119"/>
  <c r="BX60" i="119"/>
  <c r="BY60" i="119"/>
  <c r="BZ60" i="119"/>
  <c r="CA60" i="119"/>
  <c r="CB60" i="119"/>
  <c r="CC60" i="119"/>
  <c r="CD60" i="119"/>
  <c r="CE60" i="119"/>
  <c r="CF60" i="119"/>
  <c r="CG60" i="119"/>
  <c r="CH60" i="119"/>
  <c r="CI60" i="119"/>
  <c r="CJ60" i="119"/>
  <c r="CK60" i="119"/>
  <c r="CL60" i="119"/>
  <c r="CM60" i="119"/>
  <c r="CN60" i="119"/>
  <c r="CO60" i="119"/>
  <c r="CP60" i="119"/>
  <c r="CQ60" i="119"/>
  <c r="CR60" i="119"/>
  <c r="CS60" i="119"/>
  <c r="CT60" i="119"/>
  <c r="CU60" i="119"/>
  <c r="BU61" i="119"/>
  <c r="BV61" i="119"/>
  <c r="BW61" i="119"/>
  <c r="BX61" i="119"/>
  <c r="BY61" i="119"/>
  <c r="BZ61" i="119"/>
  <c r="CA61" i="119"/>
  <c r="CB61" i="119"/>
  <c r="CC61" i="119"/>
  <c r="CD61" i="119"/>
  <c r="CE61" i="119"/>
  <c r="CF61" i="119"/>
  <c r="CG61" i="119"/>
  <c r="CH61" i="119"/>
  <c r="CI61" i="119"/>
  <c r="CJ61" i="119"/>
  <c r="CK61" i="119"/>
  <c r="CL61" i="119"/>
  <c r="CM61" i="119"/>
  <c r="CN61" i="119"/>
  <c r="CO61" i="119"/>
  <c r="CP61" i="119"/>
  <c r="CQ61" i="119"/>
  <c r="CR61" i="119"/>
  <c r="CS61" i="119"/>
  <c r="CT61" i="119"/>
  <c r="CU61" i="119"/>
  <c r="BU62" i="119"/>
  <c r="BV62" i="119"/>
  <c r="BW62" i="119"/>
  <c r="BX62" i="119"/>
  <c r="BY62" i="119"/>
  <c r="BZ62" i="119"/>
  <c r="CA62" i="119"/>
  <c r="CB62" i="119"/>
  <c r="CC62" i="119"/>
  <c r="CD62" i="119"/>
  <c r="CE62" i="119"/>
  <c r="CF62" i="119"/>
  <c r="CG62" i="119"/>
  <c r="CH62" i="119"/>
  <c r="CI62" i="119"/>
  <c r="CJ62" i="119"/>
  <c r="CK62" i="119"/>
  <c r="CL62" i="119"/>
  <c r="CM62" i="119"/>
  <c r="CN62" i="119"/>
  <c r="CO62" i="119"/>
  <c r="CP62" i="119"/>
  <c r="CQ62" i="119"/>
  <c r="CR62" i="119"/>
  <c r="CS62" i="119"/>
  <c r="CT62" i="119"/>
  <c r="CU62" i="119"/>
  <c r="BU63" i="119"/>
  <c r="BV63" i="119"/>
  <c r="BW63" i="119"/>
  <c r="BX63" i="119"/>
  <c r="BY63" i="119"/>
  <c r="BZ63" i="119"/>
  <c r="CA63" i="119"/>
  <c r="CB63" i="119"/>
  <c r="CC63" i="119"/>
  <c r="CD63" i="119"/>
  <c r="CE63" i="119"/>
  <c r="CF63" i="119"/>
  <c r="CG63" i="119"/>
  <c r="CH63" i="119"/>
  <c r="CI63" i="119"/>
  <c r="CJ63" i="119"/>
  <c r="CK63" i="119"/>
  <c r="CL63" i="119"/>
  <c r="CM63" i="119"/>
  <c r="CN63" i="119"/>
  <c r="CO63" i="119"/>
  <c r="CP63" i="119"/>
  <c r="CQ63" i="119"/>
  <c r="CR63" i="119"/>
  <c r="CS63" i="119"/>
  <c r="CT63" i="119"/>
  <c r="CU63" i="119"/>
  <c r="BU64" i="119"/>
  <c r="BV64" i="119"/>
  <c r="BW64" i="119"/>
  <c r="BX64" i="119"/>
  <c r="BY64" i="119"/>
  <c r="BZ64" i="119"/>
  <c r="CA64" i="119"/>
  <c r="CB64" i="119"/>
  <c r="CC64" i="119"/>
  <c r="CD64" i="119"/>
  <c r="CE64" i="119"/>
  <c r="CF64" i="119"/>
  <c r="CG64" i="119"/>
  <c r="CH64" i="119"/>
  <c r="CI64" i="119"/>
  <c r="CJ64" i="119"/>
  <c r="CK64" i="119"/>
  <c r="CL64" i="119"/>
  <c r="CM64" i="119"/>
  <c r="CN64" i="119"/>
  <c r="CO64" i="119"/>
  <c r="CP64" i="119"/>
  <c r="CQ64" i="119"/>
  <c r="CR64" i="119"/>
  <c r="CS64" i="119"/>
  <c r="CT64" i="119"/>
  <c r="CU64" i="119"/>
  <c r="BU65" i="119"/>
  <c r="BV65" i="119"/>
  <c r="BW65" i="119"/>
  <c r="BX65" i="119"/>
  <c r="BY65" i="119"/>
  <c r="BZ65" i="119"/>
  <c r="CA65" i="119"/>
  <c r="CB65" i="119"/>
  <c r="CC65" i="119"/>
  <c r="CD65" i="119"/>
  <c r="CE65" i="119"/>
  <c r="CF65" i="119"/>
  <c r="CG65" i="119"/>
  <c r="CH65" i="119"/>
  <c r="CI65" i="119"/>
  <c r="CJ65" i="119"/>
  <c r="CK65" i="119"/>
  <c r="CL65" i="119"/>
  <c r="CM65" i="119"/>
  <c r="CN65" i="119"/>
  <c r="CO65" i="119"/>
  <c r="CP65" i="119"/>
  <c r="CQ65" i="119"/>
  <c r="CR65" i="119"/>
  <c r="CS65" i="119"/>
  <c r="CT65" i="119"/>
  <c r="CU65" i="119"/>
  <c r="BU66" i="119"/>
  <c r="BV66" i="119"/>
  <c r="BW66" i="119"/>
  <c r="BX66" i="119"/>
  <c r="BY66" i="119"/>
  <c r="BZ66" i="119"/>
  <c r="CA66" i="119"/>
  <c r="CB66" i="119"/>
  <c r="CC66" i="119"/>
  <c r="CD66" i="119"/>
  <c r="CE66" i="119"/>
  <c r="CF66" i="119"/>
  <c r="CG66" i="119"/>
  <c r="CH66" i="119"/>
  <c r="CI66" i="119"/>
  <c r="CJ66" i="119"/>
  <c r="CK66" i="119"/>
  <c r="CL66" i="119"/>
  <c r="CM66" i="119"/>
  <c r="CN66" i="119"/>
  <c r="CO66" i="119"/>
  <c r="CP66" i="119"/>
  <c r="CQ66" i="119"/>
  <c r="CR66" i="119"/>
  <c r="CS66" i="119"/>
  <c r="CT66" i="119"/>
  <c r="CU66" i="119"/>
  <c r="BU67" i="119"/>
  <c r="BV67" i="119"/>
  <c r="BW67" i="119"/>
  <c r="BX67" i="119"/>
  <c r="BY67" i="119"/>
  <c r="BZ67" i="119"/>
  <c r="CA67" i="119"/>
  <c r="CB67" i="119"/>
  <c r="CC67" i="119"/>
  <c r="CD67" i="119"/>
  <c r="CE67" i="119"/>
  <c r="CF67" i="119"/>
  <c r="CG67" i="119"/>
  <c r="CH67" i="119"/>
  <c r="CI67" i="119"/>
  <c r="CJ67" i="119"/>
  <c r="CK67" i="119"/>
  <c r="CL67" i="119"/>
  <c r="CM67" i="119"/>
  <c r="CN67" i="119"/>
  <c r="CO67" i="119"/>
  <c r="CP67" i="119"/>
  <c r="CQ67" i="119"/>
  <c r="CR67" i="119"/>
  <c r="CS67" i="119"/>
  <c r="CT67" i="119"/>
  <c r="CU67" i="119"/>
  <c r="BU68" i="119"/>
  <c r="BV68" i="119"/>
  <c r="BW68" i="119"/>
  <c r="BX68" i="119"/>
  <c r="BY68" i="119"/>
  <c r="BZ68" i="119"/>
  <c r="CA68" i="119"/>
  <c r="CB68" i="119"/>
  <c r="CC68" i="119"/>
  <c r="CD68" i="119"/>
  <c r="CE68" i="119"/>
  <c r="CF68" i="119"/>
  <c r="CG68" i="119"/>
  <c r="CH68" i="119"/>
  <c r="CI68" i="119"/>
  <c r="CJ68" i="119"/>
  <c r="CK68" i="119"/>
  <c r="CL68" i="119"/>
  <c r="CM68" i="119"/>
  <c r="CN68" i="119"/>
  <c r="CO68" i="119"/>
  <c r="CP68" i="119"/>
  <c r="CQ68" i="119"/>
  <c r="CR68" i="119"/>
  <c r="CS68" i="119"/>
  <c r="CT68" i="119"/>
  <c r="CU68" i="119"/>
  <c r="BU69" i="119"/>
  <c r="BV69" i="119"/>
  <c r="BW69" i="119"/>
  <c r="BX69" i="119"/>
  <c r="BY69" i="119"/>
  <c r="BZ69" i="119"/>
  <c r="CA69" i="119"/>
  <c r="CB69" i="119"/>
  <c r="CC69" i="119"/>
  <c r="CD69" i="119"/>
  <c r="CE69" i="119"/>
  <c r="CF69" i="119"/>
  <c r="CG69" i="119"/>
  <c r="CH69" i="119"/>
  <c r="CI69" i="119"/>
  <c r="CJ69" i="119"/>
  <c r="CK69" i="119"/>
  <c r="CL69" i="119"/>
  <c r="CM69" i="119"/>
  <c r="CN69" i="119"/>
  <c r="CO69" i="119"/>
  <c r="CP69" i="119"/>
  <c r="CQ69" i="119"/>
  <c r="CR69" i="119"/>
  <c r="CS69" i="119"/>
  <c r="CT69" i="119"/>
  <c r="CU69" i="119"/>
  <c r="BU70" i="119"/>
  <c r="BV70" i="119"/>
  <c r="BW70" i="119"/>
  <c r="BX70" i="119"/>
  <c r="BY70" i="119"/>
  <c r="BZ70" i="119"/>
  <c r="CA70" i="119"/>
  <c r="CB70" i="119"/>
  <c r="CC70" i="119"/>
  <c r="CD70" i="119"/>
  <c r="CE70" i="119"/>
  <c r="CF70" i="119"/>
  <c r="CG70" i="119"/>
  <c r="CH70" i="119"/>
  <c r="CI70" i="119"/>
  <c r="CJ70" i="119"/>
  <c r="CK70" i="119"/>
  <c r="CL70" i="119"/>
  <c r="CM70" i="119"/>
  <c r="CN70" i="119"/>
  <c r="CO70" i="119"/>
  <c r="CP70" i="119"/>
  <c r="CQ70" i="119"/>
  <c r="CR70" i="119"/>
  <c r="CS70" i="119"/>
  <c r="CT70" i="119"/>
  <c r="CU70" i="119"/>
  <c r="BU71" i="119"/>
  <c r="BV71" i="119"/>
  <c r="BW71" i="119"/>
  <c r="BX71" i="119"/>
  <c r="BY71" i="119"/>
  <c r="BZ71" i="119"/>
  <c r="CA71" i="119"/>
  <c r="CB71" i="119"/>
  <c r="CC71" i="119"/>
  <c r="CD71" i="119"/>
  <c r="CE71" i="119"/>
  <c r="CF71" i="119"/>
  <c r="CG71" i="119"/>
  <c r="CH71" i="119"/>
  <c r="CI71" i="119"/>
  <c r="CJ71" i="119"/>
  <c r="CK71" i="119"/>
  <c r="CL71" i="119"/>
  <c r="CM71" i="119"/>
  <c r="CN71" i="119"/>
  <c r="CO71" i="119"/>
  <c r="CP71" i="119"/>
  <c r="CQ71" i="119"/>
  <c r="CR71" i="119"/>
  <c r="CS71" i="119"/>
  <c r="CT71" i="119"/>
  <c r="CU71" i="119"/>
  <c r="BU72" i="119"/>
  <c r="BV72" i="119"/>
  <c r="BW72" i="119"/>
  <c r="BX72" i="119"/>
  <c r="BY72" i="119"/>
  <c r="BZ72" i="119"/>
  <c r="CA72" i="119"/>
  <c r="CB72" i="119"/>
  <c r="CC72" i="119"/>
  <c r="CD72" i="119"/>
  <c r="CE72" i="119"/>
  <c r="CF72" i="119"/>
  <c r="CG72" i="119"/>
  <c r="CH72" i="119"/>
  <c r="CI72" i="119"/>
  <c r="CJ72" i="119"/>
  <c r="CK72" i="119"/>
  <c r="CL72" i="119"/>
  <c r="CM72" i="119"/>
  <c r="CN72" i="119"/>
  <c r="CO72" i="119"/>
  <c r="CP72" i="119"/>
  <c r="CQ72" i="119"/>
  <c r="CR72" i="119"/>
  <c r="CS72" i="119"/>
  <c r="CT72" i="119"/>
  <c r="CU72" i="119"/>
  <c r="BU73" i="119"/>
  <c r="BV73" i="119"/>
  <c r="BW73" i="119"/>
  <c r="BX73" i="119"/>
  <c r="BY73" i="119"/>
  <c r="BZ73" i="119"/>
  <c r="CA73" i="119"/>
  <c r="CB73" i="119"/>
  <c r="CC73" i="119"/>
  <c r="CD73" i="119"/>
  <c r="CE73" i="119"/>
  <c r="CF73" i="119"/>
  <c r="CG73" i="119"/>
  <c r="CH73" i="119"/>
  <c r="CI73" i="119"/>
  <c r="CJ73" i="119"/>
  <c r="CK73" i="119"/>
  <c r="CL73" i="119"/>
  <c r="CM73" i="119"/>
  <c r="CN73" i="119"/>
  <c r="CO73" i="119"/>
  <c r="CP73" i="119"/>
  <c r="CQ73" i="119"/>
  <c r="CR73" i="119"/>
  <c r="CS73" i="119"/>
  <c r="CT73" i="119"/>
  <c r="CU73" i="119"/>
  <c r="BU74" i="119"/>
  <c r="BV74" i="119"/>
  <c r="BW74" i="119"/>
  <c r="BX74" i="119"/>
  <c r="BY74" i="119"/>
  <c r="BZ74" i="119"/>
  <c r="CA74" i="119"/>
  <c r="CB74" i="119"/>
  <c r="CC74" i="119"/>
  <c r="CD74" i="119"/>
  <c r="CE74" i="119"/>
  <c r="CF74" i="119"/>
  <c r="CG74" i="119"/>
  <c r="CH74" i="119"/>
  <c r="CI74" i="119"/>
  <c r="CJ74" i="119"/>
  <c r="CK74" i="119"/>
  <c r="CL74" i="119"/>
  <c r="CM74" i="119"/>
  <c r="CN74" i="119"/>
  <c r="CO74" i="119"/>
  <c r="CP74" i="119"/>
  <c r="CQ74" i="119"/>
  <c r="CR74" i="119"/>
  <c r="CS74" i="119"/>
  <c r="CT74" i="119"/>
  <c r="CU74" i="119"/>
  <c r="BU75" i="119"/>
  <c r="BV75" i="119"/>
  <c r="BW75" i="119"/>
  <c r="BX75" i="119"/>
  <c r="BY75" i="119"/>
  <c r="BZ75" i="119"/>
  <c r="CA75" i="119"/>
  <c r="CB75" i="119"/>
  <c r="CC75" i="119"/>
  <c r="CD75" i="119"/>
  <c r="CE75" i="119"/>
  <c r="CF75" i="119"/>
  <c r="CG75" i="119"/>
  <c r="CH75" i="119"/>
  <c r="CI75" i="119"/>
  <c r="CJ75" i="119"/>
  <c r="CK75" i="119"/>
  <c r="CL75" i="119"/>
  <c r="CM75" i="119"/>
  <c r="CN75" i="119"/>
  <c r="CO75" i="119"/>
  <c r="CP75" i="119"/>
  <c r="CQ75" i="119"/>
  <c r="CR75" i="119"/>
  <c r="CS75" i="119"/>
  <c r="CT75" i="119"/>
  <c r="CU75" i="119"/>
  <c r="BU76" i="119"/>
  <c r="BV76" i="119"/>
  <c r="BW76" i="119"/>
  <c r="BX76" i="119"/>
  <c r="BY76" i="119"/>
  <c r="BZ76" i="119"/>
  <c r="CA76" i="119"/>
  <c r="CB76" i="119"/>
  <c r="CC76" i="119"/>
  <c r="CD76" i="119"/>
  <c r="CE76" i="119"/>
  <c r="CF76" i="119"/>
  <c r="CG76" i="119"/>
  <c r="CH76" i="119"/>
  <c r="CI76" i="119"/>
  <c r="CJ76" i="119"/>
  <c r="CK76" i="119"/>
  <c r="CL76" i="119"/>
  <c r="CM76" i="119"/>
  <c r="CN76" i="119"/>
  <c r="CO76" i="119"/>
  <c r="CP76" i="119"/>
  <c r="CQ76" i="119"/>
  <c r="CR76" i="119"/>
  <c r="CS76" i="119"/>
  <c r="CT76" i="119"/>
  <c r="CU76" i="119"/>
  <c r="BU77" i="119"/>
  <c r="BV77" i="119"/>
  <c r="BW77" i="119"/>
  <c r="BX77" i="119"/>
  <c r="BY77" i="119"/>
  <c r="BZ77" i="119"/>
  <c r="CA77" i="119"/>
  <c r="CB77" i="119"/>
  <c r="CC77" i="119"/>
  <c r="CD77" i="119"/>
  <c r="CE77" i="119"/>
  <c r="CF77" i="119"/>
  <c r="CG77" i="119"/>
  <c r="CH77" i="119"/>
  <c r="CI77" i="119"/>
  <c r="CJ77" i="119"/>
  <c r="CK77" i="119"/>
  <c r="CL77" i="119"/>
  <c r="CM77" i="119"/>
  <c r="CN77" i="119"/>
  <c r="CO77" i="119"/>
  <c r="CP77" i="119"/>
  <c r="CQ77" i="119"/>
  <c r="CR77" i="119"/>
  <c r="CS77" i="119"/>
  <c r="CT77" i="119"/>
  <c r="CU77" i="119"/>
  <c r="BU78" i="119"/>
  <c r="BV78" i="119"/>
  <c r="BW78" i="119"/>
  <c r="BX78" i="119"/>
  <c r="BY78" i="119"/>
  <c r="BZ78" i="119"/>
  <c r="CA78" i="119"/>
  <c r="CB78" i="119"/>
  <c r="CC78" i="119"/>
  <c r="CD78" i="119"/>
  <c r="CE78" i="119"/>
  <c r="CF78" i="119"/>
  <c r="CG78" i="119"/>
  <c r="CH78" i="119"/>
  <c r="CI78" i="119"/>
  <c r="CJ78" i="119"/>
  <c r="CK78" i="119"/>
  <c r="CL78" i="119"/>
  <c r="CM78" i="119"/>
  <c r="CN78" i="119"/>
  <c r="CO78" i="119"/>
  <c r="CP78" i="119"/>
  <c r="CQ78" i="119"/>
  <c r="CR78" i="119"/>
  <c r="CS78" i="119"/>
  <c r="CT78" i="119"/>
  <c r="CU78" i="119"/>
  <c r="BU79" i="119"/>
  <c r="BV79" i="119"/>
  <c r="BW79" i="119"/>
  <c r="BX79" i="119"/>
  <c r="BY79" i="119"/>
  <c r="BZ79" i="119"/>
  <c r="CA79" i="119"/>
  <c r="CB79" i="119"/>
  <c r="CC79" i="119"/>
  <c r="CD79" i="119"/>
  <c r="CE79" i="119"/>
  <c r="CF79" i="119"/>
  <c r="CG79" i="119"/>
  <c r="CH79" i="119"/>
  <c r="CI79" i="119"/>
  <c r="CJ79" i="119"/>
  <c r="CK79" i="119"/>
  <c r="CL79" i="119"/>
  <c r="CM79" i="119"/>
  <c r="CN79" i="119"/>
  <c r="CO79" i="119"/>
  <c r="CP79" i="119"/>
  <c r="CQ79" i="119"/>
  <c r="CR79" i="119"/>
  <c r="CS79" i="119"/>
  <c r="CT79" i="119"/>
  <c r="CU79" i="119"/>
  <c r="BU80" i="119"/>
  <c r="BV80" i="119"/>
  <c r="BW80" i="119"/>
  <c r="BX80" i="119"/>
  <c r="BY80" i="119"/>
  <c r="BZ80" i="119"/>
  <c r="CA80" i="119"/>
  <c r="CB80" i="119"/>
  <c r="CC80" i="119"/>
  <c r="CD80" i="119"/>
  <c r="CE80" i="119"/>
  <c r="CF80" i="119"/>
  <c r="CG80" i="119"/>
  <c r="CH80" i="119"/>
  <c r="CI80" i="119"/>
  <c r="CJ80" i="119"/>
  <c r="CK80" i="119"/>
  <c r="CL80" i="119"/>
  <c r="CM80" i="119"/>
  <c r="CN80" i="119"/>
  <c r="CO80" i="119"/>
  <c r="CP80" i="119"/>
  <c r="CQ80" i="119"/>
  <c r="CR80" i="119"/>
  <c r="CS80" i="119"/>
  <c r="CT80" i="119"/>
  <c r="CU80" i="119"/>
  <c r="BU81" i="119"/>
  <c r="BV81" i="119"/>
  <c r="BW81" i="119"/>
  <c r="BX81" i="119"/>
  <c r="BY81" i="119"/>
  <c r="BZ81" i="119"/>
  <c r="CA81" i="119"/>
  <c r="CB81" i="119"/>
  <c r="CC81" i="119"/>
  <c r="CD81" i="119"/>
  <c r="CE81" i="119"/>
  <c r="CF81" i="119"/>
  <c r="CG81" i="119"/>
  <c r="CH81" i="119"/>
  <c r="CI81" i="119"/>
  <c r="CJ81" i="119"/>
  <c r="CK81" i="119"/>
  <c r="CL81" i="119"/>
  <c r="CM81" i="119"/>
  <c r="CN81" i="119"/>
  <c r="CO81" i="119"/>
  <c r="CP81" i="119"/>
  <c r="CQ81" i="119"/>
  <c r="CR81" i="119"/>
  <c r="CS81" i="119"/>
  <c r="CT81" i="119"/>
  <c r="CU81" i="119"/>
  <c r="BU82" i="119"/>
  <c r="BV82" i="119"/>
  <c r="BW82" i="119"/>
  <c r="BX82" i="119"/>
  <c r="BY82" i="119"/>
  <c r="BZ82" i="119"/>
  <c r="CA82" i="119"/>
  <c r="CB82" i="119"/>
  <c r="CC82" i="119"/>
  <c r="CD82" i="119"/>
  <c r="CE82" i="119"/>
  <c r="CF82" i="119"/>
  <c r="CG82" i="119"/>
  <c r="CH82" i="119"/>
  <c r="CI82" i="119"/>
  <c r="CJ82" i="119"/>
  <c r="CK82" i="119"/>
  <c r="CL82" i="119"/>
  <c r="CM82" i="119"/>
  <c r="CN82" i="119"/>
  <c r="CO82" i="119"/>
  <c r="CP82" i="119"/>
  <c r="CQ82" i="119"/>
  <c r="CR82" i="119"/>
  <c r="CS82" i="119"/>
  <c r="CT82" i="119"/>
  <c r="CU82" i="119"/>
  <c r="BU83" i="119"/>
  <c r="BV83" i="119"/>
  <c r="BW83" i="119"/>
  <c r="BX83" i="119"/>
  <c r="BY83" i="119"/>
  <c r="BZ83" i="119"/>
  <c r="CA83" i="119"/>
  <c r="CB83" i="119"/>
  <c r="CC83" i="119"/>
  <c r="CD83" i="119"/>
  <c r="CE83" i="119"/>
  <c r="CF83" i="119"/>
  <c r="CG83" i="119"/>
  <c r="CH83" i="119"/>
  <c r="CI83" i="119"/>
  <c r="CJ83" i="119"/>
  <c r="CK83" i="119"/>
  <c r="CL83" i="119"/>
  <c r="CM83" i="119"/>
  <c r="CN83" i="119"/>
  <c r="CO83" i="119"/>
  <c r="CP83" i="119"/>
  <c r="CQ83" i="119"/>
  <c r="CR83" i="119"/>
  <c r="CS83" i="119"/>
  <c r="CT83" i="119"/>
  <c r="CU83" i="119"/>
  <c r="BU84" i="119"/>
  <c r="BV84" i="119"/>
  <c r="BW84" i="119"/>
  <c r="BX84" i="119"/>
  <c r="BY84" i="119"/>
  <c r="BZ84" i="119"/>
  <c r="CA84" i="119"/>
  <c r="CB84" i="119"/>
  <c r="CC84" i="119"/>
  <c r="CD84" i="119"/>
  <c r="CE84" i="119"/>
  <c r="CF84" i="119"/>
  <c r="CG84" i="119"/>
  <c r="CH84" i="119"/>
  <c r="CI84" i="119"/>
  <c r="CJ84" i="119"/>
  <c r="CK84" i="119"/>
  <c r="CL84" i="119"/>
  <c r="CM84" i="119"/>
  <c r="CN84" i="119"/>
  <c r="CO84" i="119"/>
  <c r="CP84" i="119"/>
  <c r="CQ84" i="119"/>
  <c r="CR84" i="119"/>
  <c r="CS84" i="119"/>
  <c r="CT84" i="119"/>
  <c r="CU84" i="119"/>
  <c r="BU85" i="119"/>
  <c r="BV85" i="119"/>
  <c r="BW85" i="119"/>
  <c r="BX85" i="119"/>
  <c r="BY85" i="119"/>
  <c r="BZ85" i="119"/>
  <c r="CA85" i="119"/>
  <c r="CB85" i="119"/>
  <c r="CC85" i="119"/>
  <c r="CD85" i="119"/>
  <c r="CE85" i="119"/>
  <c r="CF85" i="119"/>
  <c r="CG85" i="119"/>
  <c r="CH85" i="119"/>
  <c r="CI85" i="119"/>
  <c r="CJ85" i="119"/>
  <c r="CK85" i="119"/>
  <c r="CL85" i="119"/>
  <c r="CM85" i="119"/>
  <c r="CN85" i="119"/>
  <c r="CO85" i="119"/>
  <c r="CP85" i="119"/>
  <c r="CQ85" i="119"/>
  <c r="CR85" i="119"/>
  <c r="CS85" i="119"/>
  <c r="CT85" i="119"/>
  <c r="CU85" i="119"/>
  <c r="BU86" i="119"/>
  <c r="BV86" i="119"/>
  <c r="BW86" i="119"/>
  <c r="BX86" i="119"/>
  <c r="BY86" i="119"/>
  <c r="BZ86" i="119"/>
  <c r="CA86" i="119"/>
  <c r="CB86" i="119"/>
  <c r="CC86" i="119"/>
  <c r="CD86" i="119"/>
  <c r="CE86" i="119"/>
  <c r="CF86" i="119"/>
  <c r="CG86" i="119"/>
  <c r="CH86" i="119"/>
  <c r="CI86" i="119"/>
  <c r="CJ86" i="119"/>
  <c r="CK86" i="119"/>
  <c r="CL86" i="119"/>
  <c r="CM86" i="119"/>
  <c r="CN86" i="119"/>
  <c r="CO86" i="119"/>
  <c r="CP86" i="119"/>
  <c r="CQ86" i="119"/>
  <c r="CR86" i="119"/>
  <c r="CS86" i="119"/>
  <c r="CT86" i="119"/>
  <c r="CU86" i="119"/>
  <c r="BU87" i="119"/>
  <c r="BV87" i="119"/>
  <c r="BW87" i="119"/>
  <c r="BX87" i="119"/>
  <c r="BY87" i="119"/>
  <c r="BZ87" i="119"/>
  <c r="CA87" i="119"/>
  <c r="CB87" i="119"/>
  <c r="CC87" i="119"/>
  <c r="CD87" i="119"/>
  <c r="CE87" i="119"/>
  <c r="CF87" i="119"/>
  <c r="CG87" i="119"/>
  <c r="CH87" i="119"/>
  <c r="CI87" i="119"/>
  <c r="CJ87" i="119"/>
  <c r="CK87" i="119"/>
  <c r="CL87" i="119"/>
  <c r="CM87" i="119"/>
  <c r="CN87" i="119"/>
  <c r="CO87" i="119"/>
  <c r="CP87" i="119"/>
  <c r="CQ87" i="119"/>
  <c r="CR87" i="119"/>
  <c r="CS87" i="119"/>
  <c r="CT87" i="119"/>
  <c r="CU87" i="119"/>
  <c r="BU88" i="119"/>
  <c r="BV88" i="119"/>
  <c r="BW88" i="119"/>
  <c r="BX88" i="119"/>
  <c r="BY88" i="119"/>
  <c r="BZ88" i="119"/>
  <c r="CA88" i="119"/>
  <c r="CB88" i="119"/>
  <c r="CC88" i="119"/>
  <c r="CD88" i="119"/>
  <c r="CE88" i="119"/>
  <c r="CF88" i="119"/>
  <c r="CG88" i="119"/>
  <c r="CH88" i="119"/>
  <c r="CI88" i="119"/>
  <c r="CJ88" i="119"/>
  <c r="CK88" i="119"/>
  <c r="CL88" i="119"/>
  <c r="CM88" i="119"/>
  <c r="CN88" i="119"/>
  <c r="CO88" i="119"/>
  <c r="CP88" i="119"/>
  <c r="CQ88" i="119"/>
  <c r="CR88" i="119"/>
  <c r="CS88" i="119"/>
  <c r="CT88" i="119"/>
  <c r="CU88" i="119"/>
  <c r="BU89" i="119"/>
  <c r="BV89" i="119"/>
  <c r="BW89" i="119"/>
  <c r="BX89" i="119"/>
  <c r="BY89" i="119"/>
  <c r="BZ89" i="119"/>
  <c r="CA89" i="119"/>
  <c r="CB89" i="119"/>
  <c r="CC89" i="119"/>
  <c r="CD89" i="119"/>
  <c r="CE89" i="119"/>
  <c r="CF89" i="119"/>
  <c r="CG89" i="119"/>
  <c r="CH89" i="119"/>
  <c r="CI89" i="119"/>
  <c r="CJ89" i="119"/>
  <c r="CK89" i="119"/>
  <c r="CL89" i="119"/>
  <c r="CM89" i="119"/>
  <c r="CN89" i="119"/>
  <c r="CO89" i="119"/>
  <c r="CP89" i="119"/>
  <c r="CQ89" i="119"/>
  <c r="CR89" i="119"/>
  <c r="CS89" i="119"/>
  <c r="CT89" i="119"/>
  <c r="CU89" i="119"/>
  <c r="BU90" i="119"/>
  <c r="BV90" i="119"/>
  <c r="BW90" i="119"/>
  <c r="BX90" i="119"/>
  <c r="BY90" i="119"/>
  <c r="BZ90" i="119"/>
  <c r="CA90" i="119"/>
  <c r="CB90" i="119"/>
  <c r="CC90" i="119"/>
  <c r="CD90" i="119"/>
  <c r="CE90" i="119"/>
  <c r="CF90" i="119"/>
  <c r="CG90" i="119"/>
  <c r="CH90" i="119"/>
  <c r="CI90" i="119"/>
  <c r="CJ90" i="119"/>
  <c r="CK90" i="119"/>
  <c r="CL90" i="119"/>
  <c r="CM90" i="119"/>
  <c r="CN90" i="119"/>
  <c r="CO90" i="119"/>
  <c r="CP90" i="119"/>
  <c r="CQ90" i="119"/>
  <c r="CR90" i="119"/>
  <c r="CS90" i="119"/>
  <c r="CT90" i="119"/>
  <c r="CU90" i="119"/>
  <c r="BU91" i="119"/>
  <c r="BV91" i="119"/>
  <c r="BW91" i="119"/>
  <c r="BX91" i="119"/>
  <c r="BY91" i="119"/>
  <c r="BZ91" i="119"/>
  <c r="CA91" i="119"/>
  <c r="CB91" i="119"/>
  <c r="CC91" i="119"/>
  <c r="CD91" i="119"/>
  <c r="CE91" i="119"/>
  <c r="CF91" i="119"/>
  <c r="CG91" i="119"/>
  <c r="CH91" i="119"/>
  <c r="CI91" i="119"/>
  <c r="CJ91" i="119"/>
  <c r="CK91" i="119"/>
  <c r="CL91" i="119"/>
  <c r="CM91" i="119"/>
  <c r="CN91" i="119"/>
  <c r="CO91" i="119"/>
  <c r="CP91" i="119"/>
  <c r="CQ91" i="119"/>
  <c r="CR91" i="119"/>
  <c r="CS91" i="119"/>
  <c r="CT91" i="119"/>
  <c r="CU91" i="119"/>
  <c r="BU92" i="119"/>
  <c r="BV92" i="119"/>
  <c r="BW92" i="119"/>
  <c r="BX92" i="119"/>
  <c r="BY92" i="119"/>
  <c r="BZ92" i="119"/>
  <c r="CA92" i="119"/>
  <c r="CB92" i="119"/>
  <c r="CC92" i="119"/>
  <c r="CD92" i="119"/>
  <c r="CE92" i="119"/>
  <c r="CF92" i="119"/>
  <c r="CG92" i="119"/>
  <c r="CH92" i="119"/>
  <c r="CI92" i="119"/>
  <c r="CJ92" i="119"/>
  <c r="CK92" i="119"/>
  <c r="CL92" i="119"/>
  <c r="CM92" i="119"/>
  <c r="CN92" i="119"/>
  <c r="CO92" i="119"/>
  <c r="CP92" i="119"/>
  <c r="CQ92" i="119"/>
  <c r="CR92" i="119"/>
  <c r="CS92" i="119"/>
  <c r="CT92" i="119"/>
  <c r="CU92" i="119"/>
  <c r="BU93" i="119"/>
  <c r="BV93" i="119"/>
  <c r="BW93" i="119"/>
  <c r="BX93" i="119"/>
  <c r="BY93" i="119"/>
  <c r="BZ93" i="119"/>
  <c r="CA93" i="119"/>
  <c r="CB93" i="119"/>
  <c r="CC93" i="119"/>
  <c r="CD93" i="119"/>
  <c r="CE93" i="119"/>
  <c r="CF93" i="119"/>
  <c r="CG93" i="119"/>
  <c r="CH93" i="119"/>
  <c r="CI93" i="119"/>
  <c r="CJ93" i="119"/>
  <c r="CK93" i="119"/>
  <c r="CL93" i="119"/>
  <c r="CM93" i="119"/>
  <c r="CN93" i="119"/>
  <c r="CO93" i="119"/>
  <c r="CP93" i="119"/>
  <c r="CQ93" i="119"/>
  <c r="CR93" i="119"/>
  <c r="CS93" i="119"/>
  <c r="CT93" i="119"/>
  <c r="CU93" i="119"/>
  <c r="BU94" i="119"/>
  <c r="BV94" i="119"/>
  <c r="BW94" i="119"/>
  <c r="BX94" i="119"/>
  <c r="BY94" i="119"/>
  <c r="BZ94" i="119"/>
  <c r="CA94" i="119"/>
  <c r="CB94" i="119"/>
  <c r="CC94" i="119"/>
  <c r="CD94" i="119"/>
  <c r="CE94" i="119"/>
  <c r="CF94" i="119"/>
  <c r="CG94" i="119"/>
  <c r="CH94" i="119"/>
  <c r="CI94" i="119"/>
  <c r="CJ94" i="119"/>
  <c r="CK94" i="119"/>
  <c r="CL94" i="119"/>
  <c r="CM94" i="119"/>
  <c r="CN94" i="119"/>
  <c r="CO94" i="119"/>
  <c r="CP94" i="119"/>
  <c r="CQ94" i="119"/>
  <c r="CR94" i="119"/>
  <c r="CS94" i="119"/>
  <c r="CT94" i="119"/>
  <c r="CU94" i="119"/>
  <c r="BU95" i="119"/>
  <c r="BV95" i="119"/>
  <c r="BW95" i="119"/>
  <c r="BX95" i="119"/>
  <c r="BY95" i="119"/>
  <c r="BZ95" i="119"/>
  <c r="CA95" i="119"/>
  <c r="CB95" i="119"/>
  <c r="CC95" i="119"/>
  <c r="CD95" i="119"/>
  <c r="CE95" i="119"/>
  <c r="CF95" i="119"/>
  <c r="CG95" i="119"/>
  <c r="CH95" i="119"/>
  <c r="CI95" i="119"/>
  <c r="CJ95" i="119"/>
  <c r="CK95" i="119"/>
  <c r="CL95" i="119"/>
  <c r="CM95" i="119"/>
  <c r="CN95" i="119"/>
  <c r="CO95" i="119"/>
  <c r="CP95" i="119"/>
  <c r="CQ95" i="119"/>
  <c r="CR95" i="119"/>
  <c r="CS95" i="119"/>
  <c r="CT95" i="119"/>
  <c r="CU95" i="119"/>
  <c r="BU96" i="119"/>
  <c r="BV96" i="119"/>
  <c r="BW96" i="119"/>
  <c r="BX96" i="119"/>
  <c r="BY96" i="119"/>
  <c r="BZ96" i="119"/>
  <c r="CA96" i="119"/>
  <c r="CB96" i="119"/>
  <c r="CC96" i="119"/>
  <c r="CD96" i="119"/>
  <c r="CE96" i="119"/>
  <c r="CF96" i="119"/>
  <c r="CG96" i="119"/>
  <c r="CH96" i="119"/>
  <c r="CI96" i="119"/>
  <c r="CJ96" i="119"/>
  <c r="CK96" i="119"/>
  <c r="CL96" i="119"/>
  <c r="CM96" i="119"/>
  <c r="CN96" i="119"/>
  <c r="CO96" i="119"/>
  <c r="CP96" i="119"/>
  <c r="CQ96" i="119"/>
  <c r="CR96" i="119"/>
  <c r="CS96" i="119"/>
  <c r="CT96" i="119"/>
  <c r="CU96" i="119"/>
  <c r="BU97" i="119"/>
  <c r="BV97" i="119"/>
  <c r="BW97" i="119"/>
  <c r="BX97" i="119"/>
  <c r="BY97" i="119"/>
  <c r="BZ97" i="119"/>
  <c r="CA97" i="119"/>
  <c r="CB97" i="119"/>
  <c r="CC97" i="119"/>
  <c r="CD97" i="119"/>
  <c r="CE97" i="119"/>
  <c r="CF97" i="119"/>
  <c r="CG97" i="119"/>
  <c r="CH97" i="119"/>
  <c r="CI97" i="119"/>
  <c r="CJ97" i="119"/>
  <c r="CK97" i="119"/>
  <c r="CL97" i="119"/>
  <c r="CM97" i="119"/>
  <c r="CN97" i="119"/>
  <c r="CO97" i="119"/>
  <c r="CP97" i="119"/>
  <c r="CQ97" i="119"/>
  <c r="CR97" i="119"/>
  <c r="CS97" i="119"/>
  <c r="CT97" i="119"/>
  <c r="CU97" i="119"/>
  <c r="BU98" i="119"/>
  <c r="BV98" i="119"/>
  <c r="BW98" i="119"/>
  <c r="BX98" i="119"/>
  <c r="BY98" i="119"/>
  <c r="BZ98" i="119"/>
  <c r="CA98" i="119"/>
  <c r="CB98" i="119"/>
  <c r="CC98" i="119"/>
  <c r="CD98" i="119"/>
  <c r="CE98" i="119"/>
  <c r="CF98" i="119"/>
  <c r="CG98" i="119"/>
  <c r="CH98" i="119"/>
  <c r="CI98" i="119"/>
  <c r="CJ98" i="119"/>
  <c r="CK98" i="119"/>
  <c r="CL98" i="119"/>
  <c r="CM98" i="119"/>
  <c r="CN98" i="119"/>
  <c r="CO98" i="119"/>
  <c r="CP98" i="119"/>
  <c r="CQ98" i="119"/>
  <c r="CR98" i="119"/>
  <c r="CS98" i="119"/>
  <c r="CT98" i="119"/>
  <c r="CU98" i="119"/>
  <c r="BU99" i="119"/>
  <c r="BV99" i="119"/>
  <c r="BW99" i="119"/>
  <c r="BX99" i="119"/>
  <c r="BY99" i="119"/>
  <c r="BZ99" i="119"/>
  <c r="CA99" i="119"/>
  <c r="CB99" i="119"/>
  <c r="CC99" i="119"/>
  <c r="CD99" i="119"/>
  <c r="CE99" i="119"/>
  <c r="CF99" i="119"/>
  <c r="CG99" i="119"/>
  <c r="CH99" i="119"/>
  <c r="CI99" i="119"/>
  <c r="CJ99" i="119"/>
  <c r="CK99" i="119"/>
  <c r="CL99" i="119"/>
  <c r="CM99" i="119"/>
  <c r="CN99" i="119"/>
  <c r="CO99" i="119"/>
  <c r="CP99" i="119"/>
  <c r="CQ99" i="119"/>
  <c r="CR99" i="119"/>
  <c r="CS99" i="119"/>
  <c r="CT99" i="119"/>
  <c r="CU99" i="119"/>
  <c r="BU100" i="119"/>
  <c r="BV100" i="119"/>
  <c r="BW100" i="119"/>
  <c r="BX100" i="119"/>
  <c r="BY100" i="119"/>
  <c r="BZ100" i="119"/>
  <c r="CA100" i="119"/>
  <c r="CB100" i="119"/>
  <c r="CC100" i="119"/>
  <c r="CD100" i="119"/>
  <c r="CE100" i="119"/>
  <c r="CF100" i="119"/>
  <c r="CG100" i="119"/>
  <c r="CH100" i="119"/>
  <c r="CI100" i="119"/>
  <c r="CJ100" i="119"/>
  <c r="CK100" i="119"/>
  <c r="CL100" i="119"/>
  <c r="CM100" i="119"/>
  <c r="CN100" i="119"/>
  <c r="CO100" i="119"/>
  <c r="CP100" i="119"/>
  <c r="CQ100" i="119"/>
  <c r="CR100" i="119"/>
  <c r="CS100" i="119"/>
  <c r="CT100" i="119"/>
  <c r="CU100" i="119"/>
  <c r="BU101" i="119"/>
  <c r="BV101" i="119"/>
  <c r="BW101" i="119"/>
  <c r="BX101" i="119"/>
  <c r="BY101" i="119"/>
  <c r="BZ101" i="119"/>
  <c r="CA101" i="119"/>
  <c r="CB101" i="119"/>
  <c r="CC101" i="119"/>
  <c r="CD101" i="119"/>
  <c r="CE101" i="119"/>
  <c r="CF101" i="119"/>
  <c r="CG101" i="119"/>
  <c r="CH101" i="119"/>
  <c r="CI101" i="119"/>
  <c r="CJ101" i="119"/>
  <c r="CK101" i="119"/>
  <c r="CL101" i="119"/>
  <c r="CM101" i="119"/>
  <c r="CN101" i="119"/>
  <c r="CO101" i="119"/>
  <c r="CP101" i="119"/>
  <c r="CQ101" i="119"/>
  <c r="CR101" i="119"/>
  <c r="CS101" i="119"/>
  <c r="CT101" i="119"/>
  <c r="CU101" i="119"/>
  <c r="BU102" i="119"/>
  <c r="BV102" i="119"/>
  <c r="BW102" i="119"/>
  <c r="BX102" i="119"/>
  <c r="BY102" i="119"/>
  <c r="BZ102" i="119"/>
  <c r="CA102" i="119"/>
  <c r="CB102" i="119"/>
  <c r="CC102" i="119"/>
  <c r="CD102" i="119"/>
  <c r="CE102" i="119"/>
  <c r="CF102" i="119"/>
  <c r="CG102" i="119"/>
  <c r="CH102" i="119"/>
  <c r="CI102" i="119"/>
  <c r="CJ102" i="119"/>
  <c r="CK102" i="119"/>
  <c r="CL102" i="119"/>
  <c r="CM102" i="119"/>
  <c r="CN102" i="119"/>
  <c r="CO102" i="119"/>
  <c r="CP102" i="119"/>
  <c r="CQ102" i="119"/>
  <c r="CR102" i="119"/>
  <c r="CS102" i="119"/>
  <c r="CT102" i="119"/>
  <c r="CU102" i="119"/>
  <c r="BU103" i="119"/>
  <c r="BV103" i="119"/>
  <c r="BW103" i="119"/>
  <c r="BX103" i="119"/>
  <c r="BY103" i="119"/>
  <c r="BZ103" i="119"/>
  <c r="CA103" i="119"/>
  <c r="CB103" i="119"/>
  <c r="CC103" i="119"/>
  <c r="CD103" i="119"/>
  <c r="CE103" i="119"/>
  <c r="CF103" i="119"/>
  <c r="CG103" i="119"/>
  <c r="CH103" i="119"/>
  <c r="CI103" i="119"/>
  <c r="CJ103" i="119"/>
  <c r="CK103" i="119"/>
  <c r="CL103" i="119"/>
  <c r="CM103" i="119"/>
  <c r="CN103" i="119"/>
  <c r="CO103" i="119"/>
  <c r="CP103" i="119"/>
  <c r="CQ103" i="119"/>
  <c r="CR103" i="119"/>
  <c r="CS103" i="119"/>
  <c r="CT103" i="119"/>
  <c r="CU103" i="119"/>
  <c r="BU104" i="119"/>
  <c r="BV104" i="119"/>
  <c r="BW104" i="119"/>
  <c r="BX104" i="119"/>
  <c r="BY104" i="119"/>
  <c r="BZ104" i="119"/>
  <c r="CA104" i="119"/>
  <c r="CB104" i="119"/>
  <c r="CC104" i="119"/>
  <c r="CD104" i="119"/>
  <c r="CE104" i="119"/>
  <c r="CF104" i="119"/>
  <c r="CG104" i="119"/>
  <c r="CH104" i="119"/>
  <c r="CI104" i="119"/>
  <c r="CJ104" i="119"/>
  <c r="CK104" i="119"/>
  <c r="CL104" i="119"/>
  <c r="CM104" i="119"/>
  <c r="CN104" i="119"/>
  <c r="CO104" i="119"/>
  <c r="CP104" i="119"/>
  <c r="CQ104" i="119"/>
  <c r="CR104" i="119"/>
  <c r="CS104" i="119"/>
  <c r="CT104" i="119"/>
  <c r="CU104" i="119"/>
  <c r="BU105" i="119"/>
  <c r="BV105" i="119"/>
  <c r="BW105" i="119"/>
  <c r="BX105" i="119"/>
  <c r="BY105" i="119"/>
  <c r="BZ105" i="119"/>
  <c r="CA105" i="119"/>
  <c r="CB105" i="119"/>
  <c r="CC105" i="119"/>
  <c r="CD105" i="119"/>
  <c r="CE105" i="119"/>
  <c r="CF105" i="119"/>
  <c r="CG105" i="119"/>
  <c r="CH105" i="119"/>
  <c r="CI105" i="119"/>
  <c r="CJ105" i="119"/>
  <c r="CK105" i="119"/>
  <c r="CL105" i="119"/>
  <c r="CM105" i="119"/>
  <c r="CN105" i="119"/>
  <c r="CO105" i="119"/>
  <c r="CP105" i="119"/>
  <c r="CQ105" i="119"/>
  <c r="CR105" i="119"/>
  <c r="CS105" i="119"/>
  <c r="CT105" i="119"/>
  <c r="CU105" i="119"/>
  <c r="BU106" i="119"/>
  <c r="BV106" i="119"/>
  <c r="BW106" i="119"/>
  <c r="BX106" i="119"/>
  <c r="BY106" i="119"/>
  <c r="BZ106" i="119"/>
  <c r="CA106" i="119"/>
  <c r="CB106" i="119"/>
  <c r="CC106" i="119"/>
  <c r="CD106" i="119"/>
  <c r="CE106" i="119"/>
  <c r="CF106" i="119"/>
  <c r="CG106" i="119"/>
  <c r="CH106" i="119"/>
  <c r="CI106" i="119"/>
  <c r="CJ106" i="119"/>
  <c r="CK106" i="119"/>
  <c r="CL106" i="119"/>
  <c r="CM106" i="119"/>
  <c r="CN106" i="119"/>
  <c r="CO106" i="119"/>
  <c r="CP106" i="119"/>
  <c r="CQ106" i="119"/>
  <c r="CR106" i="119"/>
  <c r="CS106" i="119"/>
  <c r="CT106" i="119"/>
  <c r="CU106" i="119"/>
  <c r="BU107" i="119"/>
  <c r="BV107" i="119"/>
  <c r="BW107" i="119"/>
  <c r="BX107" i="119"/>
  <c r="BY107" i="119"/>
  <c r="BZ107" i="119"/>
  <c r="CA107" i="119"/>
  <c r="CB107" i="119"/>
  <c r="CC107" i="119"/>
  <c r="CD107" i="119"/>
  <c r="CE107" i="119"/>
  <c r="CF107" i="119"/>
  <c r="CG107" i="119"/>
  <c r="CH107" i="119"/>
  <c r="CI107" i="119"/>
  <c r="CJ107" i="119"/>
  <c r="CK107" i="119"/>
  <c r="CL107" i="119"/>
  <c r="CM107" i="119"/>
  <c r="CN107" i="119"/>
  <c r="CO107" i="119"/>
  <c r="CP107" i="119"/>
  <c r="CQ107" i="119"/>
  <c r="CR107" i="119"/>
  <c r="CS107" i="119"/>
  <c r="CT107" i="119"/>
  <c r="CU107" i="119"/>
  <c r="BU108" i="119"/>
  <c r="BV108" i="119"/>
  <c r="BW108" i="119"/>
  <c r="BX108" i="119"/>
  <c r="BY108" i="119"/>
  <c r="BZ108" i="119"/>
  <c r="CA108" i="119"/>
  <c r="CB108" i="119"/>
  <c r="CC108" i="119"/>
  <c r="CD108" i="119"/>
  <c r="CE108" i="119"/>
  <c r="CF108" i="119"/>
  <c r="CG108" i="119"/>
  <c r="CH108" i="119"/>
  <c r="CI108" i="119"/>
  <c r="CJ108" i="119"/>
  <c r="CK108" i="119"/>
  <c r="CL108" i="119"/>
  <c r="CM108" i="119"/>
  <c r="CN108" i="119"/>
  <c r="CO108" i="119"/>
  <c r="CP108" i="119"/>
  <c r="CQ108" i="119"/>
  <c r="CR108" i="119"/>
  <c r="CS108" i="119"/>
  <c r="CT108" i="119"/>
  <c r="CU108" i="119"/>
  <c r="C111" i="119"/>
  <c r="D111" i="119"/>
  <c r="E111" i="119"/>
  <c r="F111" i="119"/>
  <c r="G111" i="119"/>
  <c r="H111" i="119"/>
  <c r="I111" i="119"/>
  <c r="J111" i="119"/>
  <c r="K111" i="119"/>
  <c r="L111" i="119"/>
  <c r="M111" i="119"/>
  <c r="N111" i="119"/>
  <c r="O111" i="119"/>
  <c r="P111" i="119"/>
  <c r="Q111" i="119"/>
  <c r="R111" i="119"/>
  <c r="S111" i="119"/>
  <c r="T111" i="119"/>
  <c r="U111" i="119"/>
  <c r="V111" i="119"/>
  <c r="W111" i="119"/>
  <c r="X111" i="119"/>
  <c r="Y111" i="119"/>
  <c r="Z111" i="119"/>
  <c r="AA111" i="119"/>
  <c r="AB111" i="119"/>
  <c r="AC111" i="119"/>
  <c r="AD111" i="119"/>
  <c r="AE111" i="119"/>
  <c r="C112" i="119"/>
  <c r="D112" i="119"/>
  <c r="E112" i="119"/>
  <c r="F112" i="119"/>
  <c r="G112" i="119"/>
  <c r="H112" i="119"/>
  <c r="I112" i="119"/>
  <c r="J112" i="119"/>
  <c r="K112" i="119"/>
  <c r="L112" i="119"/>
  <c r="M112" i="119"/>
  <c r="N112" i="119"/>
  <c r="O112" i="119"/>
  <c r="P112" i="119"/>
  <c r="Q112" i="119"/>
  <c r="R112" i="119"/>
  <c r="S112" i="119"/>
  <c r="T112" i="119"/>
  <c r="U112" i="119"/>
  <c r="V112" i="119"/>
  <c r="W112" i="119"/>
  <c r="X112" i="119"/>
  <c r="Y112" i="119"/>
  <c r="Z112" i="119"/>
  <c r="AA112" i="119"/>
  <c r="AB112" i="119"/>
  <c r="AC112" i="119"/>
  <c r="AD112" i="119"/>
  <c r="AE112" i="119"/>
  <c r="C113" i="119"/>
  <c r="D113" i="119"/>
  <c r="E113" i="119"/>
  <c r="F113" i="119"/>
  <c r="G113" i="119"/>
  <c r="H113" i="119"/>
  <c r="I113" i="119"/>
  <c r="J113" i="119"/>
  <c r="K113" i="119"/>
  <c r="L113" i="119"/>
  <c r="M113" i="119"/>
  <c r="N113" i="119"/>
  <c r="O113" i="119"/>
  <c r="P113" i="119"/>
  <c r="Q113" i="119"/>
  <c r="R113" i="119"/>
  <c r="S113" i="119"/>
  <c r="T113" i="119"/>
  <c r="U113" i="119"/>
  <c r="V113" i="119"/>
  <c r="W113" i="119"/>
  <c r="X113" i="119"/>
  <c r="Y113" i="119"/>
  <c r="Z113" i="119"/>
  <c r="AA113" i="119"/>
  <c r="AB113" i="119"/>
  <c r="AC113" i="119"/>
  <c r="AD113" i="119"/>
  <c r="AE113" i="119"/>
  <c r="C114" i="119"/>
  <c r="D114" i="119"/>
  <c r="E114" i="119"/>
  <c r="F114" i="119"/>
  <c r="G114" i="119"/>
  <c r="H114" i="119"/>
  <c r="I114" i="119"/>
  <c r="J114" i="119"/>
  <c r="K114" i="119"/>
  <c r="L114" i="119"/>
  <c r="M114" i="119"/>
  <c r="N114" i="119"/>
  <c r="O114" i="119"/>
  <c r="P114" i="119"/>
  <c r="Q114" i="119"/>
  <c r="R114" i="119"/>
  <c r="S114" i="119"/>
  <c r="T114" i="119"/>
  <c r="U114" i="119"/>
  <c r="V114" i="119"/>
  <c r="W114" i="119"/>
  <c r="X114" i="119"/>
  <c r="Y114" i="119"/>
  <c r="Z114" i="119"/>
  <c r="AA114" i="119"/>
  <c r="AB114" i="119"/>
  <c r="AC114" i="119"/>
  <c r="AD114" i="119"/>
  <c r="AE114" i="119"/>
  <c r="C115" i="119"/>
  <c r="D115" i="119"/>
  <c r="E115" i="119"/>
  <c r="F115" i="119"/>
  <c r="G115" i="119"/>
  <c r="H115" i="119"/>
  <c r="I115" i="119"/>
  <c r="J115" i="119"/>
  <c r="K115" i="119"/>
  <c r="L115" i="119"/>
  <c r="M115" i="119"/>
  <c r="N115" i="119"/>
  <c r="O115" i="119"/>
  <c r="P115" i="119"/>
  <c r="Q115" i="119"/>
  <c r="R115" i="119"/>
  <c r="S115" i="119"/>
  <c r="T115" i="119"/>
  <c r="U115" i="119"/>
  <c r="V115" i="119"/>
  <c r="W115" i="119"/>
  <c r="X115" i="119"/>
  <c r="Y115" i="119"/>
  <c r="Z115" i="119"/>
  <c r="AA115" i="119"/>
  <c r="AB115" i="119"/>
  <c r="AC115" i="119"/>
  <c r="AD115" i="119"/>
  <c r="AE115" i="119"/>
  <c r="C116" i="119"/>
  <c r="D116" i="119"/>
  <c r="E116" i="119"/>
  <c r="F116" i="119"/>
  <c r="G116" i="119"/>
  <c r="H116" i="119"/>
  <c r="I116" i="119"/>
  <c r="J116" i="119"/>
  <c r="K116" i="119"/>
  <c r="L116" i="119"/>
  <c r="M116" i="119"/>
  <c r="N116" i="119"/>
  <c r="O116" i="119"/>
  <c r="P116" i="119"/>
  <c r="Q116" i="119"/>
  <c r="R116" i="119"/>
  <c r="S116" i="119"/>
  <c r="T116" i="119"/>
  <c r="U116" i="119"/>
  <c r="V116" i="119"/>
  <c r="W116" i="119"/>
  <c r="X116" i="119"/>
  <c r="Y116" i="119"/>
  <c r="Z116" i="119"/>
  <c r="AA116" i="119"/>
  <c r="AB116" i="119"/>
  <c r="AC116" i="119"/>
  <c r="AD116" i="119"/>
  <c r="AE116" i="119"/>
  <c r="C117" i="119"/>
  <c r="D117" i="119"/>
  <c r="E117" i="119"/>
  <c r="F117" i="119"/>
  <c r="G117" i="119"/>
  <c r="H117" i="119"/>
  <c r="I117" i="119"/>
  <c r="J117" i="119"/>
  <c r="K117" i="119"/>
  <c r="L117" i="119"/>
  <c r="M117" i="119"/>
  <c r="N117" i="119"/>
  <c r="O117" i="119"/>
  <c r="P117" i="119"/>
  <c r="Q117" i="119"/>
  <c r="R117" i="119"/>
  <c r="S117" i="119"/>
  <c r="T117" i="119"/>
  <c r="U117" i="119"/>
  <c r="V117" i="119"/>
  <c r="W117" i="119"/>
  <c r="X117" i="119"/>
  <c r="Y117" i="119"/>
  <c r="Z117" i="119"/>
  <c r="AA117" i="119"/>
  <c r="AB117" i="119"/>
  <c r="AC117" i="119"/>
  <c r="AD117" i="119"/>
  <c r="AE117" i="119"/>
  <c r="C118" i="119"/>
  <c r="D118" i="119"/>
  <c r="E118" i="119"/>
  <c r="F118" i="119"/>
  <c r="G118" i="119"/>
  <c r="H118" i="119"/>
  <c r="I118" i="119"/>
  <c r="J118" i="119"/>
  <c r="K118" i="119"/>
  <c r="L118" i="119"/>
  <c r="M118" i="119"/>
  <c r="N118" i="119"/>
  <c r="O118" i="119"/>
  <c r="P118" i="119"/>
  <c r="Q118" i="119"/>
  <c r="R118" i="119"/>
  <c r="S118" i="119"/>
  <c r="T118" i="119"/>
  <c r="U118" i="119"/>
  <c r="V118" i="119"/>
  <c r="W118" i="119"/>
  <c r="X118" i="119"/>
  <c r="Y118" i="119"/>
  <c r="Z118" i="119"/>
  <c r="AA118" i="119"/>
  <c r="AB118" i="119"/>
  <c r="AC118" i="119"/>
  <c r="AD118" i="119"/>
  <c r="AE118" i="119"/>
  <c r="C119" i="119"/>
  <c r="D119" i="119"/>
  <c r="E119" i="119"/>
  <c r="F119" i="119"/>
  <c r="G119" i="119"/>
  <c r="H119" i="119"/>
  <c r="I119" i="119"/>
  <c r="J119" i="119"/>
  <c r="K119" i="119"/>
  <c r="L119" i="119"/>
  <c r="M119" i="119"/>
  <c r="N119" i="119"/>
  <c r="O119" i="119"/>
  <c r="P119" i="119"/>
  <c r="Q119" i="119"/>
  <c r="R119" i="119"/>
  <c r="S119" i="119"/>
  <c r="T119" i="119"/>
  <c r="U119" i="119"/>
  <c r="V119" i="119"/>
  <c r="W119" i="119"/>
  <c r="X119" i="119"/>
  <c r="Y119" i="119"/>
  <c r="Z119" i="119"/>
  <c r="AA119" i="119"/>
  <c r="AB119" i="119"/>
  <c r="AC119" i="119"/>
  <c r="AD119" i="119"/>
  <c r="AE119" i="119"/>
  <c r="C120" i="119"/>
  <c r="D120" i="119"/>
  <c r="E120" i="119"/>
  <c r="F120" i="119"/>
  <c r="G120" i="119"/>
  <c r="H120" i="119"/>
  <c r="I120" i="119"/>
  <c r="J120" i="119"/>
  <c r="K120" i="119"/>
  <c r="L120" i="119"/>
  <c r="M120" i="119"/>
  <c r="N120" i="119"/>
  <c r="O120" i="119"/>
  <c r="P120" i="119"/>
  <c r="Q120" i="119"/>
  <c r="R120" i="119"/>
  <c r="S120" i="119"/>
  <c r="T120" i="119"/>
  <c r="U120" i="119"/>
  <c r="V120" i="119"/>
  <c r="W120" i="119"/>
  <c r="X120" i="119"/>
  <c r="Y120" i="119"/>
  <c r="Z120" i="119"/>
  <c r="AA120" i="119"/>
  <c r="AB120" i="119"/>
  <c r="AC120" i="119"/>
  <c r="AD120" i="119"/>
  <c r="AE120" i="119"/>
  <c r="C121" i="119"/>
  <c r="D121" i="119"/>
  <c r="E121" i="119"/>
  <c r="F121" i="119"/>
  <c r="G121" i="119"/>
  <c r="H121" i="119"/>
  <c r="I121" i="119"/>
  <c r="J121" i="119"/>
  <c r="K121" i="119"/>
  <c r="L121" i="119"/>
  <c r="M121" i="119"/>
  <c r="N121" i="119"/>
  <c r="O121" i="119"/>
  <c r="P121" i="119"/>
  <c r="Q121" i="119"/>
  <c r="R121" i="119"/>
  <c r="S121" i="119"/>
  <c r="T121" i="119"/>
  <c r="U121" i="119"/>
  <c r="V121" i="119"/>
  <c r="W121" i="119"/>
  <c r="X121" i="119"/>
  <c r="Y121" i="119"/>
  <c r="Z121" i="119"/>
  <c r="AA121" i="119"/>
  <c r="AB121" i="119"/>
  <c r="AC121" i="119"/>
  <c r="AD121" i="119"/>
  <c r="AE121" i="119"/>
  <c r="C122" i="119"/>
  <c r="D122" i="119"/>
  <c r="E122" i="119"/>
  <c r="F122" i="119"/>
  <c r="G122" i="119"/>
  <c r="H122" i="119"/>
  <c r="I122" i="119"/>
  <c r="J122" i="119"/>
  <c r="K122" i="119"/>
  <c r="L122" i="119"/>
  <c r="M122" i="119"/>
  <c r="N122" i="119"/>
  <c r="O122" i="119"/>
  <c r="P122" i="119"/>
  <c r="Q122" i="119"/>
  <c r="R122" i="119"/>
  <c r="S122" i="119"/>
  <c r="T122" i="119"/>
  <c r="U122" i="119"/>
  <c r="V122" i="119"/>
  <c r="W122" i="119"/>
  <c r="X122" i="119"/>
  <c r="Y122" i="119"/>
  <c r="Z122" i="119"/>
  <c r="AA122" i="119"/>
  <c r="AB122" i="119"/>
  <c r="AC122" i="119"/>
  <c r="AD122" i="119"/>
  <c r="AE122" i="119"/>
  <c r="C123" i="119"/>
  <c r="D123" i="119"/>
  <c r="E123" i="119"/>
  <c r="F123" i="119"/>
  <c r="G123" i="119"/>
  <c r="H123" i="119"/>
  <c r="I123" i="119"/>
  <c r="J123" i="119"/>
  <c r="K123" i="119"/>
  <c r="L123" i="119"/>
  <c r="M123" i="119"/>
  <c r="N123" i="119"/>
  <c r="O123" i="119"/>
  <c r="P123" i="119"/>
  <c r="Q123" i="119"/>
  <c r="R123" i="119"/>
  <c r="S123" i="119"/>
  <c r="T123" i="119"/>
  <c r="U123" i="119"/>
  <c r="V123" i="119"/>
  <c r="W123" i="119"/>
  <c r="X123" i="119"/>
  <c r="Y123" i="119"/>
  <c r="Z123" i="119"/>
  <c r="AA123" i="119"/>
  <c r="AB123" i="119"/>
  <c r="AC123" i="119"/>
  <c r="AD123" i="119"/>
  <c r="AE123" i="119"/>
  <c r="C124" i="119"/>
  <c r="D124" i="119"/>
  <c r="E124" i="119"/>
  <c r="F124" i="119"/>
  <c r="G124" i="119"/>
  <c r="H124" i="119"/>
  <c r="I124" i="119"/>
  <c r="J124" i="119"/>
  <c r="K124" i="119"/>
  <c r="L124" i="119"/>
  <c r="M124" i="119"/>
  <c r="N124" i="119"/>
  <c r="O124" i="119"/>
  <c r="P124" i="119"/>
  <c r="Q124" i="119"/>
  <c r="R124" i="119"/>
  <c r="S124" i="119"/>
  <c r="T124" i="119"/>
  <c r="U124" i="119"/>
  <c r="V124" i="119"/>
  <c r="W124" i="119"/>
  <c r="X124" i="119"/>
  <c r="Y124" i="119"/>
  <c r="Z124" i="119"/>
  <c r="AA124" i="119"/>
  <c r="AB124" i="119"/>
  <c r="AC124" i="119"/>
  <c r="AD124" i="119"/>
  <c r="AE124" i="119"/>
  <c r="C125" i="119"/>
  <c r="D125" i="119"/>
  <c r="E125" i="119"/>
  <c r="F125" i="119"/>
  <c r="G125" i="119"/>
  <c r="H125" i="119"/>
  <c r="I125" i="119"/>
  <c r="J125" i="119"/>
  <c r="K125" i="119"/>
  <c r="L125" i="119"/>
  <c r="M125" i="119"/>
  <c r="N125" i="119"/>
  <c r="O125" i="119"/>
  <c r="P125" i="119"/>
  <c r="Q125" i="119"/>
  <c r="R125" i="119"/>
  <c r="S125" i="119"/>
  <c r="T125" i="119"/>
  <c r="U125" i="119"/>
  <c r="V125" i="119"/>
  <c r="W125" i="119"/>
  <c r="X125" i="119"/>
  <c r="Y125" i="119"/>
  <c r="Z125" i="119"/>
  <c r="AA125" i="119"/>
  <c r="AB125" i="119"/>
  <c r="AC125" i="119"/>
  <c r="AD125" i="119"/>
  <c r="AE125" i="119"/>
  <c r="C126" i="119"/>
  <c r="D126" i="119"/>
  <c r="E126" i="119"/>
  <c r="F126" i="119"/>
  <c r="G126" i="119"/>
  <c r="H126" i="119"/>
  <c r="I126" i="119"/>
  <c r="J126" i="119"/>
  <c r="K126" i="119"/>
  <c r="L126" i="119"/>
  <c r="M126" i="119"/>
  <c r="N126" i="119"/>
  <c r="O126" i="119"/>
  <c r="P126" i="119"/>
  <c r="Q126" i="119"/>
  <c r="R126" i="119"/>
  <c r="S126" i="119"/>
  <c r="T126" i="119"/>
  <c r="U126" i="119"/>
  <c r="V126" i="119"/>
  <c r="W126" i="119"/>
  <c r="X126" i="119"/>
  <c r="Y126" i="119"/>
  <c r="Z126" i="119"/>
  <c r="AA126" i="119"/>
  <c r="AB126" i="119"/>
  <c r="AC126" i="119"/>
  <c r="AD126" i="119"/>
  <c r="AE126" i="119"/>
  <c r="C127" i="119"/>
  <c r="D127" i="119"/>
  <c r="E127" i="119"/>
  <c r="F127" i="119"/>
  <c r="G127" i="119"/>
  <c r="H127" i="119"/>
  <c r="I127" i="119"/>
  <c r="J127" i="119"/>
  <c r="K127" i="119"/>
  <c r="L127" i="119"/>
  <c r="M127" i="119"/>
  <c r="N127" i="119"/>
  <c r="O127" i="119"/>
  <c r="P127" i="119"/>
  <c r="Q127" i="119"/>
  <c r="R127" i="119"/>
  <c r="S127" i="119"/>
  <c r="T127" i="119"/>
  <c r="U127" i="119"/>
  <c r="V127" i="119"/>
  <c r="W127" i="119"/>
  <c r="X127" i="119"/>
  <c r="Y127" i="119"/>
  <c r="Z127" i="119"/>
  <c r="AA127" i="119"/>
  <c r="AB127" i="119"/>
  <c r="AC127" i="119"/>
  <c r="AD127" i="119"/>
  <c r="AE127" i="119"/>
  <c r="C128" i="119"/>
  <c r="D128" i="119"/>
  <c r="E128" i="119"/>
  <c r="F128" i="119"/>
  <c r="G128" i="119"/>
  <c r="H128" i="119"/>
  <c r="I128" i="119"/>
  <c r="J128" i="119"/>
  <c r="K128" i="119"/>
  <c r="L128" i="119"/>
  <c r="M128" i="119"/>
  <c r="N128" i="119"/>
  <c r="O128" i="119"/>
  <c r="P128" i="119"/>
  <c r="Q128" i="119"/>
  <c r="R128" i="119"/>
  <c r="S128" i="119"/>
  <c r="T128" i="119"/>
  <c r="U128" i="119"/>
  <c r="V128" i="119"/>
  <c r="W128" i="119"/>
  <c r="X128" i="119"/>
  <c r="Y128" i="119"/>
  <c r="Z128" i="119"/>
  <c r="AA128" i="119"/>
  <c r="AB128" i="119"/>
  <c r="AC128" i="119"/>
  <c r="AD128" i="119"/>
  <c r="AE128" i="119"/>
  <c r="C129" i="119"/>
  <c r="D129" i="119"/>
  <c r="E129" i="119"/>
  <c r="F129" i="119"/>
  <c r="G129" i="119"/>
  <c r="H129" i="119"/>
  <c r="I129" i="119"/>
  <c r="J129" i="119"/>
  <c r="K129" i="119"/>
  <c r="L129" i="119"/>
  <c r="M129" i="119"/>
  <c r="N129" i="119"/>
  <c r="O129" i="119"/>
  <c r="P129" i="119"/>
  <c r="Q129" i="119"/>
  <c r="R129" i="119"/>
  <c r="S129" i="119"/>
  <c r="T129" i="119"/>
  <c r="U129" i="119"/>
  <c r="V129" i="119"/>
  <c r="W129" i="119"/>
  <c r="X129" i="119"/>
  <c r="Y129" i="119"/>
  <c r="Z129" i="119"/>
  <c r="AA129" i="119"/>
  <c r="AB129" i="119"/>
  <c r="AC129" i="119"/>
  <c r="AD129" i="119"/>
  <c r="AE129" i="119"/>
  <c r="C130" i="119"/>
  <c r="D130" i="119"/>
  <c r="E130" i="119"/>
  <c r="F130" i="119"/>
  <c r="G130" i="119"/>
  <c r="H130" i="119"/>
  <c r="I130" i="119"/>
  <c r="J130" i="119"/>
  <c r="K130" i="119"/>
  <c r="L130" i="119"/>
  <c r="M130" i="119"/>
  <c r="N130" i="119"/>
  <c r="O130" i="119"/>
  <c r="P130" i="119"/>
  <c r="Q130" i="119"/>
  <c r="R130" i="119"/>
  <c r="S130" i="119"/>
  <c r="T130" i="119"/>
  <c r="U130" i="119"/>
  <c r="V130" i="119"/>
  <c r="W130" i="119"/>
  <c r="X130" i="119"/>
  <c r="Y130" i="119"/>
  <c r="Z130" i="119"/>
  <c r="AA130" i="119"/>
  <c r="AB130" i="119"/>
  <c r="AC130" i="119"/>
  <c r="AD130" i="119"/>
  <c r="AE130" i="119"/>
  <c r="C131" i="119"/>
  <c r="D131" i="119"/>
  <c r="E131" i="119"/>
  <c r="F131" i="119"/>
  <c r="G131" i="119"/>
  <c r="H131" i="119"/>
  <c r="I131" i="119"/>
  <c r="J131" i="119"/>
  <c r="K131" i="119"/>
  <c r="L131" i="119"/>
  <c r="M131" i="119"/>
  <c r="N131" i="119"/>
  <c r="O131" i="119"/>
  <c r="P131" i="119"/>
  <c r="Q131" i="119"/>
  <c r="R131" i="119"/>
  <c r="S131" i="119"/>
  <c r="T131" i="119"/>
  <c r="U131" i="119"/>
  <c r="V131" i="119"/>
  <c r="W131" i="119"/>
  <c r="X131" i="119"/>
  <c r="Y131" i="119"/>
  <c r="Z131" i="119"/>
  <c r="AA131" i="119"/>
  <c r="AB131" i="119"/>
  <c r="AC131" i="119"/>
  <c r="AD131" i="119"/>
  <c r="AE131" i="119"/>
  <c r="C132" i="119"/>
  <c r="D132" i="119"/>
  <c r="E132" i="119"/>
  <c r="F132" i="119"/>
  <c r="G132" i="119"/>
  <c r="H132" i="119"/>
  <c r="I132" i="119"/>
  <c r="J132" i="119"/>
  <c r="K132" i="119"/>
  <c r="L132" i="119"/>
  <c r="M132" i="119"/>
  <c r="N132" i="119"/>
  <c r="O132" i="119"/>
  <c r="P132" i="119"/>
  <c r="Q132" i="119"/>
  <c r="R132" i="119"/>
  <c r="S132" i="119"/>
  <c r="T132" i="119"/>
  <c r="U132" i="119"/>
  <c r="V132" i="119"/>
  <c r="W132" i="119"/>
  <c r="X132" i="119"/>
  <c r="Y132" i="119"/>
  <c r="Z132" i="119"/>
  <c r="AA132" i="119"/>
  <c r="AB132" i="119"/>
  <c r="AC132" i="119"/>
  <c r="AD132" i="119"/>
  <c r="AE132" i="119"/>
  <c r="C133" i="119"/>
  <c r="D133" i="119"/>
  <c r="E133" i="119"/>
  <c r="F133" i="119"/>
  <c r="G133" i="119"/>
  <c r="H133" i="119"/>
  <c r="I133" i="119"/>
  <c r="J133" i="119"/>
  <c r="K133" i="119"/>
  <c r="L133" i="119"/>
  <c r="M133" i="119"/>
  <c r="N133" i="119"/>
  <c r="O133" i="119"/>
  <c r="P133" i="119"/>
  <c r="Q133" i="119"/>
  <c r="R133" i="119"/>
  <c r="S133" i="119"/>
  <c r="T133" i="119"/>
  <c r="U133" i="119"/>
  <c r="V133" i="119"/>
  <c r="W133" i="119"/>
  <c r="X133" i="119"/>
  <c r="Y133" i="119"/>
  <c r="Z133" i="119"/>
  <c r="AA133" i="119"/>
  <c r="AB133" i="119"/>
  <c r="AC133" i="119"/>
  <c r="AD133" i="119"/>
  <c r="AE133" i="119"/>
  <c r="C134" i="119"/>
  <c r="D134" i="119"/>
  <c r="E134" i="119"/>
  <c r="F134" i="119"/>
  <c r="G134" i="119"/>
  <c r="H134" i="119"/>
  <c r="I134" i="119"/>
  <c r="J134" i="119"/>
  <c r="K134" i="119"/>
  <c r="L134" i="119"/>
  <c r="M134" i="119"/>
  <c r="N134" i="119"/>
  <c r="O134" i="119"/>
  <c r="P134" i="119"/>
  <c r="Q134" i="119"/>
  <c r="R134" i="119"/>
  <c r="S134" i="119"/>
  <c r="T134" i="119"/>
  <c r="U134" i="119"/>
  <c r="V134" i="119"/>
  <c r="W134" i="119"/>
  <c r="X134" i="119"/>
  <c r="Y134" i="119"/>
  <c r="Z134" i="119"/>
  <c r="AA134" i="119"/>
  <c r="AB134" i="119"/>
  <c r="AC134" i="119"/>
  <c r="AD134" i="119"/>
  <c r="AE134" i="119"/>
  <c r="C135" i="119"/>
  <c r="D135" i="119"/>
  <c r="E135" i="119"/>
  <c r="F135" i="119"/>
  <c r="G135" i="119"/>
  <c r="H135" i="119"/>
  <c r="I135" i="119"/>
  <c r="J135" i="119"/>
  <c r="K135" i="119"/>
  <c r="L135" i="119"/>
  <c r="M135" i="119"/>
  <c r="N135" i="119"/>
  <c r="O135" i="119"/>
  <c r="P135" i="119"/>
  <c r="Q135" i="119"/>
  <c r="R135" i="119"/>
  <c r="S135" i="119"/>
  <c r="T135" i="119"/>
  <c r="U135" i="119"/>
  <c r="V135" i="119"/>
  <c r="W135" i="119"/>
  <c r="X135" i="119"/>
  <c r="Y135" i="119"/>
  <c r="Z135" i="119"/>
  <c r="AA135" i="119"/>
  <c r="AB135" i="119"/>
  <c r="AC135" i="119"/>
  <c r="AD135" i="119"/>
  <c r="AE135" i="119"/>
  <c r="C136" i="119"/>
  <c r="D136" i="119"/>
  <c r="E136" i="119"/>
  <c r="F136" i="119"/>
  <c r="G136" i="119"/>
  <c r="H136" i="119"/>
  <c r="I136" i="119"/>
  <c r="J136" i="119"/>
  <c r="K136" i="119"/>
  <c r="L136" i="119"/>
  <c r="M136" i="119"/>
  <c r="N136" i="119"/>
  <c r="O136" i="119"/>
  <c r="P136" i="119"/>
  <c r="Q136" i="119"/>
  <c r="R136" i="119"/>
  <c r="S136" i="119"/>
  <c r="T136" i="119"/>
  <c r="U136" i="119"/>
  <c r="V136" i="119"/>
  <c r="W136" i="119"/>
  <c r="X136" i="119"/>
  <c r="Y136" i="119"/>
  <c r="Z136" i="119"/>
  <c r="AA136" i="119"/>
  <c r="AB136" i="119"/>
  <c r="AC136" i="119"/>
  <c r="AD136" i="119"/>
  <c r="AE136" i="119"/>
  <c r="C137" i="119"/>
  <c r="D137" i="119"/>
  <c r="E137" i="119"/>
  <c r="F137" i="119"/>
  <c r="G137" i="119"/>
  <c r="H137" i="119"/>
  <c r="I137" i="119"/>
  <c r="J137" i="119"/>
  <c r="K137" i="119"/>
  <c r="L137" i="119"/>
  <c r="M137" i="119"/>
  <c r="N137" i="119"/>
  <c r="O137" i="119"/>
  <c r="P137" i="119"/>
  <c r="Q137" i="119"/>
  <c r="R137" i="119"/>
  <c r="S137" i="119"/>
  <c r="T137" i="119"/>
  <c r="U137" i="119"/>
  <c r="V137" i="119"/>
  <c r="W137" i="119"/>
  <c r="X137" i="119"/>
  <c r="Y137" i="119"/>
  <c r="Z137" i="119"/>
  <c r="AA137" i="119"/>
  <c r="AB137" i="119"/>
  <c r="AC137" i="119"/>
  <c r="AD137" i="119"/>
  <c r="AE137" i="119"/>
  <c r="C138" i="119"/>
  <c r="D138" i="119"/>
  <c r="E138" i="119"/>
  <c r="F138" i="119"/>
  <c r="G138" i="119"/>
  <c r="H138" i="119"/>
  <c r="I138" i="119"/>
  <c r="J138" i="119"/>
  <c r="K138" i="119"/>
  <c r="L138" i="119"/>
  <c r="M138" i="119"/>
  <c r="N138" i="119"/>
  <c r="O138" i="119"/>
  <c r="P138" i="119"/>
  <c r="Q138" i="119"/>
  <c r="R138" i="119"/>
  <c r="S138" i="119"/>
  <c r="T138" i="119"/>
  <c r="U138" i="119"/>
  <c r="V138" i="119"/>
  <c r="W138" i="119"/>
  <c r="X138" i="119"/>
  <c r="Y138" i="119"/>
  <c r="Z138" i="119"/>
  <c r="AA138" i="119"/>
  <c r="AB138" i="119"/>
  <c r="AC138" i="119"/>
  <c r="AD138" i="119"/>
  <c r="AE138" i="119"/>
  <c r="C139" i="119"/>
  <c r="D139" i="119"/>
  <c r="E139" i="119"/>
  <c r="F139" i="119"/>
  <c r="G139" i="119"/>
  <c r="H139" i="119"/>
  <c r="I139" i="119"/>
  <c r="J139" i="119"/>
  <c r="K139" i="119"/>
  <c r="L139" i="119"/>
  <c r="M139" i="119"/>
  <c r="N139" i="119"/>
  <c r="O139" i="119"/>
  <c r="P139" i="119"/>
  <c r="Q139" i="119"/>
  <c r="R139" i="119"/>
  <c r="S139" i="119"/>
  <c r="T139" i="119"/>
  <c r="U139" i="119"/>
  <c r="V139" i="119"/>
  <c r="W139" i="119"/>
  <c r="X139" i="119"/>
  <c r="Y139" i="119"/>
  <c r="Z139" i="119"/>
  <c r="AA139" i="119"/>
  <c r="AB139" i="119"/>
  <c r="AC139" i="119"/>
  <c r="AD139" i="119"/>
  <c r="AE139" i="119"/>
  <c r="C140" i="119"/>
  <c r="D140" i="119"/>
  <c r="E140" i="119"/>
  <c r="F140" i="119"/>
  <c r="G140" i="119"/>
  <c r="H140" i="119"/>
  <c r="I140" i="119"/>
  <c r="J140" i="119"/>
  <c r="K140" i="119"/>
  <c r="L140" i="119"/>
  <c r="M140" i="119"/>
  <c r="N140" i="119"/>
  <c r="O140" i="119"/>
  <c r="P140" i="119"/>
  <c r="Q140" i="119"/>
  <c r="R140" i="119"/>
  <c r="S140" i="119"/>
  <c r="T140" i="119"/>
  <c r="U140" i="119"/>
  <c r="V140" i="119"/>
  <c r="W140" i="119"/>
  <c r="X140" i="119"/>
  <c r="Y140" i="119"/>
  <c r="Z140" i="119"/>
  <c r="AA140" i="119"/>
  <c r="AB140" i="119"/>
  <c r="AC140" i="119"/>
  <c r="AD140" i="119"/>
  <c r="AE140" i="119"/>
  <c r="C141" i="119"/>
  <c r="D141" i="119"/>
  <c r="E141" i="119"/>
  <c r="F141" i="119"/>
  <c r="G141" i="119"/>
  <c r="H141" i="119"/>
  <c r="I141" i="119"/>
  <c r="J141" i="119"/>
  <c r="K141" i="119"/>
  <c r="L141" i="119"/>
  <c r="M141" i="119"/>
  <c r="N141" i="119"/>
  <c r="O141" i="119"/>
  <c r="P141" i="119"/>
  <c r="Q141" i="119"/>
  <c r="R141" i="119"/>
  <c r="S141" i="119"/>
  <c r="T141" i="119"/>
  <c r="U141" i="119"/>
  <c r="V141" i="119"/>
  <c r="W141" i="119"/>
  <c r="X141" i="119"/>
  <c r="Y141" i="119"/>
  <c r="Z141" i="119"/>
  <c r="AA141" i="119"/>
  <c r="AB141" i="119"/>
  <c r="AC141" i="119"/>
  <c r="AD141" i="119"/>
  <c r="AE141" i="119"/>
  <c r="C142" i="119"/>
  <c r="D142" i="119"/>
  <c r="E142" i="119"/>
  <c r="F142" i="119"/>
  <c r="G142" i="119"/>
  <c r="H142" i="119"/>
  <c r="I142" i="119"/>
  <c r="J142" i="119"/>
  <c r="K142" i="119"/>
  <c r="L142" i="119"/>
  <c r="M142" i="119"/>
  <c r="N142" i="119"/>
  <c r="O142" i="119"/>
  <c r="P142" i="119"/>
  <c r="Q142" i="119"/>
  <c r="R142" i="119"/>
  <c r="S142" i="119"/>
  <c r="T142" i="119"/>
  <c r="U142" i="119"/>
  <c r="V142" i="119"/>
  <c r="W142" i="119"/>
  <c r="X142" i="119"/>
  <c r="Y142" i="119"/>
  <c r="Z142" i="119"/>
  <c r="AA142" i="119"/>
  <c r="AB142" i="119"/>
  <c r="AC142" i="119"/>
  <c r="AD142" i="119"/>
  <c r="AE142" i="119"/>
  <c r="C143" i="119"/>
  <c r="D143" i="119"/>
  <c r="E143" i="119"/>
  <c r="F143" i="119"/>
  <c r="G143" i="119"/>
  <c r="H143" i="119"/>
  <c r="I143" i="119"/>
  <c r="J143" i="119"/>
  <c r="K143" i="119"/>
  <c r="L143" i="119"/>
  <c r="M143" i="119"/>
  <c r="N143" i="119"/>
  <c r="O143" i="119"/>
  <c r="P143" i="119"/>
  <c r="Q143" i="119"/>
  <c r="R143" i="119"/>
  <c r="S143" i="119"/>
  <c r="T143" i="119"/>
  <c r="U143" i="119"/>
  <c r="V143" i="119"/>
  <c r="W143" i="119"/>
  <c r="X143" i="119"/>
  <c r="Y143" i="119"/>
  <c r="Z143" i="119"/>
  <c r="AA143" i="119"/>
  <c r="AB143" i="119"/>
  <c r="AC143" i="119"/>
  <c r="AD143" i="119"/>
  <c r="AE143" i="119"/>
  <c r="C144" i="119"/>
  <c r="D144" i="119"/>
  <c r="E144" i="119"/>
  <c r="F144" i="119"/>
  <c r="G144" i="119"/>
  <c r="H144" i="119"/>
  <c r="I144" i="119"/>
  <c r="J144" i="119"/>
  <c r="K144" i="119"/>
  <c r="L144" i="119"/>
  <c r="M144" i="119"/>
  <c r="N144" i="119"/>
  <c r="O144" i="119"/>
  <c r="P144" i="119"/>
  <c r="Q144" i="119"/>
  <c r="R144" i="119"/>
  <c r="S144" i="119"/>
  <c r="T144" i="119"/>
  <c r="U144" i="119"/>
  <c r="V144" i="119"/>
  <c r="W144" i="119"/>
  <c r="X144" i="119"/>
  <c r="Y144" i="119"/>
  <c r="Z144" i="119"/>
  <c r="AA144" i="119"/>
  <c r="AB144" i="119"/>
  <c r="AC144" i="119"/>
  <c r="AD144" i="119"/>
  <c r="AE144" i="119"/>
  <c r="C145" i="119"/>
  <c r="D145" i="119"/>
  <c r="E145" i="119"/>
  <c r="F145" i="119"/>
  <c r="G145" i="119"/>
  <c r="H145" i="119"/>
  <c r="I145" i="119"/>
  <c r="J145" i="119"/>
  <c r="K145" i="119"/>
  <c r="L145" i="119"/>
  <c r="M145" i="119"/>
  <c r="N145" i="119"/>
  <c r="O145" i="119"/>
  <c r="P145" i="119"/>
  <c r="Q145" i="119"/>
  <c r="R145" i="119"/>
  <c r="S145" i="119"/>
  <c r="T145" i="119"/>
  <c r="U145" i="119"/>
  <c r="V145" i="119"/>
  <c r="W145" i="119"/>
  <c r="X145" i="119"/>
  <c r="Y145" i="119"/>
  <c r="Z145" i="119"/>
  <c r="AA145" i="119"/>
  <c r="AB145" i="119"/>
  <c r="AC145" i="119"/>
  <c r="AD145" i="119"/>
  <c r="AE145" i="119"/>
  <c r="C146" i="119"/>
  <c r="D146" i="119"/>
  <c r="E146" i="119"/>
  <c r="F146" i="119"/>
  <c r="G146" i="119"/>
  <c r="H146" i="119"/>
  <c r="I146" i="119"/>
  <c r="J146" i="119"/>
  <c r="K146" i="119"/>
  <c r="L146" i="119"/>
  <c r="M146" i="119"/>
  <c r="N146" i="119"/>
  <c r="O146" i="119"/>
  <c r="P146" i="119"/>
  <c r="Q146" i="119"/>
  <c r="R146" i="119"/>
  <c r="S146" i="119"/>
  <c r="T146" i="119"/>
  <c r="U146" i="119"/>
  <c r="V146" i="119"/>
  <c r="W146" i="119"/>
  <c r="X146" i="119"/>
  <c r="Y146" i="119"/>
  <c r="Z146" i="119"/>
  <c r="AA146" i="119"/>
  <c r="AB146" i="119"/>
  <c r="AC146" i="119"/>
  <c r="AD146" i="119"/>
  <c r="AE146" i="119"/>
  <c r="C147" i="119"/>
  <c r="D147" i="119"/>
  <c r="E147" i="119"/>
  <c r="F147" i="119"/>
  <c r="G147" i="119"/>
  <c r="H147" i="119"/>
  <c r="I147" i="119"/>
  <c r="J147" i="119"/>
  <c r="K147" i="119"/>
  <c r="L147" i="119"/>
  <c r="M147" i="119"/>
  <c r="N147" i="119"/>
  <c r="O147" i="119"/>
  <c r="P147" i="119"/>
  <c r="Q147" i="119"/>
  <c r="R147" i="119"/>
  <c r="S147" i="119"/>
  <c r="T147" i="119"/>
  <c r="U147" i="119"/>
  <c r="V147" i="119"/>
  <c r="W147" i="119"/>
  <c r="X147" i="119"/>
  <c r="Y147" i="119"/>
  <c r="Z147" i="119"/>
  <c r="AA147" i="119"/>
  <c r="AB147" i="119"/>
  <c r="AC147" i="119"/>
  <c r="AD147" i="119"/>
  <c r="AE147" i="119"/>
  <c r="C148" i="119"/>
  <c r="D148" i="119"/>
  <c r="E148" i="119"/>
  <c r="F148" i="119"/>
  <c r="G148" i="119"/>
  <c r="H148" i="119"/>
  <c r="I148" i="119"/>
  <c r="J148" i="119"/>
  <c r="K148" i="119"/>
  <c r="L148" i="119"/>
  <c r="M148" i="119"/>
  <c r="N148" i="119"/>
  <c r="O148" i="119"/>
  <c r="P148" i="119"/>
  <c r="Q148" i="119"/>
  <c r="R148" i="119"/>
  <c r="S148" i="119"/>
  <c r="T148" i="119"/>
  <c r="U148" i="119"/>
  <c r="V148" i="119"/>
  <c r="W148" i="119"/>
  <c r="X148" i="119"/>
  <c r="Y148" i="119"/>
  <c r="Z148" i="119"/>
  <c r="AA148" i="119"/>
  <c r="AB148" i="119"/>
  <c r="AC148" i="119"/>
  <c r="AD148" i="119"/>
  <c r="AE148" i="119"/>
  <c r="C149" i="119"/>
  <c r="D149" i="119"/>
  <c r="E149" i="119"/>
  <c r="F149" i="119"/>
  <c r="G149" i="119"/>
  <c r="H149" i="119"/>
  <c r="I149" i="119"/>
  <c r="J149" i="119"/>
  <c r="K149" i="119"/>
  <c r="L149" i="119"/>
  <c r="M149" i="119"/>
  <c r="N149" i="119"/>
  <c r="O149" i="119"/>
  <c r="P149" i="119"/>
  <c r="Q149" i="119"/>
  <c r="R149" i="119"/>
  <c r="S149" i="119"/>
  <c r="T149" i="119"/>
  <c r="U149" i="119"/>
  <c r="V149" i="119"/>
  <c r="W149" i="119"/>
  <c r="X149" i="119"/>
  <c r="Y149" i="119"/>
  <c r="Z149" i="119"/>
  <c r="AA149" i="119"/>
  <c r="AB149" i="119"/>
  <c r="AC149" i="119"/>
  <c r="AD149" i="119"/>
  <c r="AE149" i="119"/>
  <c r="C150" i="119"/>
  <c r="D150" i="119"/>
  <c r="E150" i="119"/>
  <c r="F150" i="119"/>
  <c r="G150" i="119"/>
  <c r="H150" i="119"/>
  <c r="I150" i="119"/>
  <c r="J150" i="119"/>
  <c r="K150" i="119"/>
  <c r="L150" i="119"/>
  <c r="M150" i="119"/>
  <c r="N150" i="119"/>
  <c r="O150" i="119"/>
  <c r="P150" i="119"/>
  <c r="Q150" i="119"/>
  <c r="R150" i="119"/>
  <c r="S150" i="119"/>
  <c r="T150" i="119"/>
  <c r="U150" i="119"/>
  <c r="V150" i="119"/>
  <c r="W150" i="119"/>
  <c r="X150" i="119"/>
  <c r="Y150" i="119"/>
  <c r="Z150" i="119"/>
  <c r="AA150" i="119"/>
  <c r="AB150" i="119"/>
  <c r="AC150" i="119"/>
  <c r="AD150" i="119"/>
  <c r="AE150" i="119"/>
  <c r="C151" i="119"/>
  <c r="D151" i="119"/>
  <c r="E151" i="119"/>
  <c r="F151" i="119"/>
  <c r="G151" i="119"/>
  <c r="H151" i="119"/>
  <c r="I151" i="119"/>
  <c r="J151" i="119"/>
  <c r="K151" i="119"/>
  <c r="L151" i="119"/>
  <c r="M151" i="119"/>
  <c r="N151" i="119"/>
  <c r="O151" i="119"/>
  <c r="P151" i="119"/>
  <c r="Q151" i="119"/>
  <c r="R151" i="119"/>
  <c r="S151" i="119"/>
  <c r="T151" i="119"/>
  <c r="U151" i="119"/>
  <c r="V151" i="119"/>
  <c r="W151" i="119"/>
  <c r="X151" i="119"/>
  <c r="Y151" i="119"/>
  <c r="Z151" i="119"/>
  <c r="AA151" i="119"/>
  <c r="AB151" i="119"/>
  <c r="AC151" i="119"/>
  <c r="AD151" i="119"/>
  <c r="AE151" i="119"/>
  <c r="C152" i="119"/>
  <c r="D152" i="119"/>
  <c r="E152" i="119"/>
  <c r="F152" i="119"/>
  <c r="G152" i="119"/>
  <c r="H152" i="119"/>
  <c r="I152" i="119"/>
  <c r="J152" i="119"/>
  <c r="K152" i="119"/>
  <c r="L152" i="119"/>
  <c r="M152" i="119"/>
  <c r="N152" i="119"/>
  <c r="O152" i="119"/>
  <c r="P152" i="119"/>
  <c r="Q152" i="119"/>
  <c r="R152" i="119"/>
  <c r="S152" i="119"/>
  <c r="T152" i="119"/>
  <c r="U152" i="119"/>
  <c r="V152" i="119"/>
  <c r="W152" i="119"/>
  <c r="X152" i="119"/>
  <c r="Y152" i="119"/>
  <c r="Z152" i="119"/>
  <c r="AA152" i="119"/>
  <c r="AB152" i="119"/>
  <c r="AC152" i="119"/>
  <c r="AD152" i="119"/>
  <c r="AE152" i="119"/>
  <c r="C153" i="119"/>
  <c r="D153" i="119"/>
  <c r="E153" i="119"/>
  <c r="F153" i="119"/>
  <c r="G153" i="119"/>
  <c r="H153" i="119"/>
  <c r="I153" i="119"/>
  <c r="J153" i="119"/>
  <c r="K153" i="119"/>
  <c r="L153" i="119"/>
  <c r="M153" i="119"/>
  <c r="N153" i="119"/>
  <c r="O153" i="119"/>
  <c r="P153" i="119"/>
  <c r="Q153" i="119"/>
  <c r="R153" i="119"/>
  <c r="S153" i="119"/>
  <c r="T153" i="119"/>
  <c r="U153" i="119"/>
  <c r="V153" i="119"/>
  <c r="W153" i="119"/>
  <c r="X153" i="119"/>
  <c r="Y153" i="119"/>
  <c r="Z153" i="119"/>
  <c r="AA153" i="119"/>
  <c r="AB153" i="119"/>
  <c r="AC153" i="119"/>
  <c r="AD153" i="119"/>
  <c r="AE153" i="119"/>
  <c r="C154" i="119"/>
  <c r="D154" i="119"/>
  <c r="E154" i="119"/>
  <c r="F154" i="119"/>
  <c r="G154" i="119"/>
  <c r="H154" i="119"/>
  <c r="I154" i="119"/>
  <c r="J154" i="119"/>
  <c r="K154" i="119"/>
  <c r="L154" i="119"/>
  <c r="M154" i="119"/>
  <c r="N154" i="119"/>
  <c r="O154" i="119"/>
  <c r="P154" i="119"/>
  <c r="Q154" i="119"/>
  <c r="R154" i="119"/>
  <c r="S154" i="119"/>
  <c r="T154" i="119"/>
  <c r="U154" i="119"/>
  <c r="V154" i="119"/>
  <c r="W154" i="119"/>
  <c r="X154" i="119"/>
  <c r="Y154" i="119"/>
  <c r="Z154" i="119"/>
  <c r="AA154" i="119"/>
  <c r="AB154" i="119"/>
  <c r="AC154" i="119"/>
  <c r="AD154" i="119"/>
  <c r="AE154" i="119"/>
  <c r="C155" i="119"/>
  <c r="D155" i="119"/>
  <c r="E155" i="119"/>
  <c r="F155" i="119"/>
  <c r="G155" i="119"/>
  <c r="H155" i="119"/>
  <c r="I155" i="119"/>
  <c r="J155" i="119"/>
  <c r="K155" i="119"/>
  <c r="L155" i="119"/>
  <c r="M155" i="119"/>
  <c r="N155" i="119"/>
  <c r="O155" i="119"/>
  <c r="P155" i="119"/>
  <c r="Q155" i="119"/>
  <c r="R155" i="119"/>
  <c r="S155" i="119"/>
  <c r="T155" i="119"/>
  <c r="U155" i="119"/>
  <c r="V155" i="119"/>
  <c r="W155" i="119"/>
  <c r="X155" i="119"/>
  <c r="Y155" i="119"/>
  <c r="Z155" i="119"/>
  <c r="AA155" i="119"/>
  <c r="AB155" i="119"/>
  <c r="AC155" i="119"/>
  <c r="AD155" i="119"/>
  <c r="AE155" i="119"/>
  <c r="C156" i="119"/>
  <c r="D156" i="119"/>
  <c r="E156" i="119"/>
  <c r="F156" i="119"/>
  <c r="G156" i="119"/>
  <c r="H156" i="119"/>
  <c r="I156" i="119"/>
  <c r="J156" i="119"/>
  <c r="K156" i="119"/>
  <c r="L156" i="119"/>
  <c r="M156" i="119"/>
  <c r="N156" i="119"/>
  <c r="O156" i="119"/>
  <c r="P156" i="119"/>
  <c r="Q156" i="119"/>
  <c r="R156" i="119"/>
  <c r="S156" i="119"/>
  <c r="T156" i="119"/>
  <c r="U156" i="119"/>
  <c r="V156" i="119"/>
  <c r="W156" i="119"/>
  <c r="X156" i="119"/>
  <c r="Y156" i="119"/>
  <c r="Z156" i="119"/>
  <c r="AA156" i="119"/>
  <c r="AB156" i="119"/>
  <c r="AC156" i="119"/>
  <c r="AD156" i="119"/>
  <c r="AE156" i="119"/>
  <c r="C157" i="119"/>
  <c r="D157" i="119"/>
  <c r="E157" i="119"/>
  <c r="F157" i="119"/>
  <c r="G157" i="119"/>
  <c r="H157" i="119"/>
  <c r="I157" i="119"/>
  <c r="J157" i="119"/>
  <c r="K157" i="119"/>
  <c r="L157" i="119"/>
  <c r="M157" i="119"/>
  <c r="N157" i="119"/>
  <c r="O157" i="119"/>
  <c r="P157" i="119"/>
  <c r="Q157" i="119"/>
  <c r="R157" i="119"/>
  <c r="S157" i="119"/>
  <c r="T157" i="119"/>
  <c r="U157" i="119"/>
  <c r="V157" i="119"/>
  <c r="W157" i="119"/>
  <c r="X157" i="119"/>
  <c r="Y157" i="119"/>
  <c r="Z157" i="119"/>
  <c r="AA157" i="119"/>
  <c r="AB157" i="119"/>
  <c r="AC157" i="119"/>
  <c r="AD157" i="119"/>
  <c r="AE157" i="119"/>
  <c r="C158" i="119"/>
  <c r="D158" i="119"/>
  <c r="E158" i="119"/>
  <c r="F158" i="119"/>
  <c r="G158" i="119"/>
  <c r="H158" i="119"/>
  <c r="I158" i="119"/>
  <c r="J158" i="119"/>
  <c r="K158" i="119"/>
  <c r="L158" i="119"/>
  <c r="M158" i="119"/>
  <c r="N158" i="119"/>
  <c r="O158" i="119"/>
  <c r="P158" i="119"/>
  <c r="Q158" i="119"/>
  <c r="R158" i="119"/>
  <c r="S158" i="119"/>
  <c r="T158" i="119"/>
  <c r="U158" i="119"/>
  <c r="V158" i="119"/>
  <c r="W158" i="119"/>
  <c r="X158" i="119"/>
  <c r="Y158" i="119"/>
  <c r="Z158" i="119"/>
  <c r="AA158" i="119"/>
  <c r="AB158" i="119"/>
  <c r="AC158" i="119"/>
  <c r="AD158" i="119"/>
  <c r="AE158" i="119"/>
  <c r="C159" i="119"/>
  <c r="D159" i="119"/>
  <c r="E159" i="119"/>
  <c r="F159" i="119"/>
  <c r="G159" i="119"/>
  <c r="H159" i="119"/>
  <c r="I159" i="119"/>
  <c r="J159" i="119"/>
  <c r="K159" i="119"/>
  <c r="L159" i="119"/>
  <c r="M159" i="119"/>
  <c r="N159" i="119"/>
  <c r="O159" i="119"/>
  <c r="P159" i="119"/>
  <c r="Q159" i="119"/>
  <c r="R159" i="119"/>
  <c r="S159" i="119"/>
  <c r="T159" i="119"/>
  <c r="U159" i="119"/>
  <c r="V159" i="119"/>
  <c r="W159" i="119"/>
  <c r="X159" i="119"/>
  <c r="Y159" i="119"/>
  <c r="Z159" i="119"/>
  <c r="AA159" i="119"/>
  <c r="AB159" i="119"/>
  <c r="AC159" i="119"/>
  <c r="AD159" i="119"/>
  <c r="AE159" i="119"/>
  <c r="C160" i="119"/>
  <c r="D160" i="119"/>
  <c r="E160" i="119"/>
  <c r="F160" i="119"/>
  <c r="G160" i="119"/>
  <c r="H160" i="119"/>
  <c r="I160" i="119"/>
  <c r="J160" i="119"/>
  <c r="K160" i="119"/>
  <c r="L160" i="119"/>
  <c r="M160" i="119"/>
  <c r="N160" i="119"/>
  <c r="O160" i="119"/>
  <c r="P160" i="119"/>
  <c r="Q160" i="119"/>
  <c r="R160" i="119"/>
  <c r="S160" i="119"/>
  <c r="T160" i="119"/>
  <c r="U160" i="119"/>
  <c r="V160" i="119"/>
  <c r="W160" i="119"/>
  <c r="X160" i="119"/>
  <c r="Y160" i="119"/>
  <c r="Z160" i="119"/>
  <c r="AA160" i="119"/>
  <c r="AB160" i="119"/>
  <c r="AC160" i="119"/>
  <c r="AD160" i="119"/>
  <c r="AE160" i="119"/>
  <c r="C161" i="119"/>
  <c r="D161" i="119"/>
  <c r="E161" i="119"/>
  <c r="F161" i="119"/>
  <c r="G161" i="119"/>
  <c r="H161" i="119"/>
  <c r="I161" i="119"/>
  <c r="J161" i="119"/>
  <c r="K161" i="119"/>
  <c r="L161" i="119"/>
  <c r="M161" i="119"/>
  <c r="N161" i="119"/>
  <c r="O161" i="119"/>
  <c r="P161" i="119"/>
  <c r="Q161" i="119"/>
  <c r="R161" i="119"/>
  <c r="S161" i="119"/>
  <c r="T161" i="119"/>
  <c r="U161" i="119"/>
  <c r="V161" i="119"/>
  <c r="W161" i="119"/>
  <c r="X161" i="119"/>
  <c r="Y161" i="119"/>
  <c r="Z161" i="119"/>
  <c r="AA161" i="119"/>
  <c r="AB161" i="119"/>
  <c r="AC161" i="119"/>
  <c r="AD161" i="119"/>
  <c r="AE161" i="119"/>
  <c r="C162" i="119"/>
  <c r="D162" i="119"/>
  <c r="E162" i="119"/>
  <c r="F162" i="119"/>
  <c r="G162" i="119"/>
  <c r="H162" i="119"/>
  <c r="I162" i="119"/>
  <c r="J162" i="119"/>
  <c r="K162" i="119"/>
  <c r="L162" i="119"/>
  <c r="M162" i="119"/>
  <c r="N162" i="119"/>
  <c r="O162" i="119"/>
  <c r="P162" i="119"/>
  <c r="Q162" i="119"/>
  <c r="R162" i="119"/>
  <c r="S162" i="119"/>
  <c r="T162" i="119"/>
  <c r="U162" i="119"/>
  <c r="V162" i="119"/>
  <c r="W162" i="119"/>
  <c r="X162" i="119"/>
  <c r="Y162" i="119"/>
  <c r="Z162" i="119"/>
  <c r="AA162" i="119"/>
  <c r="AB162" i="119"/>
  <c r="AC162" i="119"/>
  <c r="AD162" i="119"/>
  <c r="AE162" i="119"/>
  <c r="C163" i="119"/>
  <c r="D163" i="119"/>
  <c r="E163" i="119"/>
  <c r="F163" i="119"/>
  <c r="G163" i="119"/>
  <c r="H163" i="119"/>
  <c r="I163" i="119"/>
  <c r="J163" i="119"/>
  <c r="K163" i="119"/>
  <c r="L163" i="119"/>
  <c r="M163" i="119"/>
  <c r="N163" i="119"/>
  <c r="O163" i="119"/>
  <c r="P163" i="119"/>
  <c r="Q163" i="119"/>
  <c r="R163" i="119"/>
  <c r="S163" i="119"/>
  <c r="T163" i="119"/>
  <c r="U163" i="119"/>
  <c r="V163" i="119"/>
  <c r="W163" i="119"/>
  <c r="X163" i="119"/>
  <c r="Y163" i="119"/>
  <c r="Z163" i="119"/>
  <c r="AA163" i="119"/>
  <c r="AB163" i="119"/>
  <c r="AC163" i="119"/>
  <c r="AD163" i="119"/>
  <c r="AE163" i="119"/>
  <c r="C164" i="119"/>
  <c r="D164" i="119"/>
  <c r="E164" i="119"/>
  <c r="F164" i="119"/>
  <c r="G164" i="119"/>
  <c r="H164" i="119"/>
  <c r="I164" i="119"/>
  <c r="J164" i="119"/>
  <c r="K164" i="119"/>
  <c r="L164" i="119"/>
  <c r="M164" i="119"/>
  <c r="N164" i="119"/>
  <c r="O164" i="119"/>
  <c r="P164" i="119"/>
  <c r="Q164" i="119"/>
  <c r="R164" i="119"/>
  <c r="S164" i="119"/>
  <c r="T164" i="119"/>
  <c r="U164" i="119"/>
  <c r="V164" i="119"/>
  <c r="W164" i="119"/>
  <c r="X164" i="119"/>
  <c r="Y164" i="119"/>
  <c r="Z164" i="119"/>
  <c r="AA164" i="119"/>
  <c r="AB164" i="119"/>
  <c r="AC164" i="119"/>
  <c r="AD164" i="119"/>
  <c r="AE164" i="119"/>
  <c r="C165" i="119"/>
  <c r="D165" i="119"/>
  <c r="E165" i="119"/>
  <c r="F165" i="119"/>
  <c r="G165" i="119"/>
  <c r="H165" i="119"/>
  <c r="I165" i="119"/>
  <c r="J165" i="119"/>
  <c r="K165" i="119"/>
  <c r="L165" i="119"/>
  <c r="M165" i="119"/>
  <c r="N165" i="119"/>
  <c r="O165" i="119"/>
  <c r="P165" i="119"/>
  <c r="Q165" i="119"/>
  <c r="R165" i="119"/>
  <c r="S165" i="119"/>
  <c r="T165" i="119"/>
  <c r="U165" i="119"/>
  <c r="V165" i="119"/>
  <c r="W165" i="119"/>
  <c r="X165" i="119"/>
  <c r="Y165" i="119"/>
  <c r="Z165" i="119"/>
  <c r="AA165" i="119"/>
  <c r="AB165" i="119"/>
  <c r="AC165" i="119"/>
  <c r="AD165" i="119"/>
  <c r="AE165" i="119"/>
  <c r="C166" i="119"/>
  <c r="D166" i="119"/>
  <c r="E166" i="119"/>
  <c r="F166" i="119"/>
  <c r="G166" i="119"/>
  <c r="H166" i="119"/>
  <c r="I166" i="119"/>
  <c r="J166" i="119"/>
  <c r="K166" i="119"/>
  <c r="L166" i="119"/>
  <c r="M166" i="119"/>
  <c r="N166" i="119"/>
  <c r="O166" i="119"/>
  <c r="P166" i="119"/>
  <c r="Q166" i="119"/>
  <c r="R166" i="119"/>
  <c r="S166" i="119"/>
  <c r="T166" i="119"/>
  <c r="U166" i="119"/>
  <c r="V166" i="119"/>
  <c r="W166" i="119"/>
  <c r="X166" i="119"/>
  <c r="Y166" i="119"/>
  <c r="Z166" i="119"/>
  <c r="AA166" i="119"/>
  <c r="AB166" i="119"/>
  <c r="AC166" i="119"/>
  <c r="AD166" i="119"/>
  <c r="AE166" i="119"/>
  <c r="C167" i="119"/>
  <c r="D167" i="119"/>
  <c r="E167" i="119"/>
  <c r="F167" i="119"/>
  <c r="G167" i="119"/>
  <c r="H167" i="119"/>
  <c r="I167" i="119"/>
  <c r="J167" i="119"/>
  <c r="K167" i="119"/>
  <c r="L167" i="119"/>
  <c r="M167" i="119"/>
  <c r="N167" i="119"/>
  <c r="O167" i="119"/>
  <c r="P167" i="119"/>
  <c r="Q167" i="119"/>
  <c r="R167" i="119"/>
  <c r="S167" i="119"/>
  <c r="T167" i="119"/>
  <c r="U167" i="119"/>
  <c r="V167" i="119"/>
  <c r="W167" i="119"/>
  <c r="X167" i="119"/>
  <c r="Y167" i="119"/>
  <c r="Z167" i="119"/>
  <c r="AA167" i="119"/>
  <c r="AB167" i="119"/>
  <c r="AC167" i="119"/>
  <c r="AD167" i="119"/>
  <c r="AE167" i="119"/>
  <c r="C168" i="119"/>
  <c r="D168" i="119"/>
  <c r="E168" i="119"/>
  <c r="F168" i="119"/>
  <c r="G168" i="119"/>
  <c r="H168" i="119"/>
  <c r="I168" i="119"/>
  <c r="J168" i="119"/>
  <c r="K168" i="119"/>
  <c r="L168" i="119"/>
  <c r="M168" i="119"/>
  <c r="N168" i="119"/>
  <c r="O168" i="119"/>
  <c r="P168" i="119"/>
  <c r="Q168" i="119"/>
  <c r="R168" i="119"/>
  <c r="S168" i="119"/>
  <c r="T168" i="119"/>
  <c r="U168" i="119"/>
  <c r="V168" i="119"/>
  <c r="W168" i="119"/>
  <c r="X168" i="119"/>
  <c r="Y168" i="119"/>
  <c r="Z168" i="119"/>
  <c r="AA168" i="119"/>
  <c r="AB168" i="119"/>
  <c r="AC168" i="119"/>
  <c r="AD168" i="119"/>
  <c r="AE168" i="119"/>
  <c r="C169" i="119"/>
  <c r="D169" i="119"/>
  <c r="E169" i="119"/>
  <c r="F169" i="119"/>
  <c r="G169" i="119"/>
  <c r="H169" i="119"/>
  <c r="I169" i="119"/>
  <c r="J169" i="119"/>
  <c r="K169" i="119"/>
  <c r="L169" i="119"/>
  <c r="M169" i="119"/>
  <c r="N169" i="119"/>
  <c r="O169" i="119"/>
  <c r="P169" i="119"/>
  <c r="Q169" i="119"/>
  <c r="R169" i="119"/>
  <c r="S169" i="119"/>
  <c r="T169" i="119"/>
  <c r="U169" i="119"/>
  <c r="V169" i="119"/>
  <c r="W169" i="119"/>
  <c r="X169" i="119"/>
  <c r="Y169" i="119"/>
  <c r="Z169" i="119"/>
  <c r="AA169" i="119"/>
  <c r="AB169" i="119"/>
  <c r="AC169" i="119"/>
  <c r="AD169" i="119"/>
  <c r="AE169" i="119"/>
  <c r="C110" i="119"/>
  <c r="D110" i="119"/>
  <c r="E110" i="119"/>
  <c r="F110" i="119"/>
  <c r="G110" i="119"/>
  <c r="H110" i="119"/>
  <c r="I110" i="119"/>
  <c r="J110" i="119"/>
  <c r="K110" i="119"/>
  <c r="L110" i="119"/>
  <c r="M110" i="119"/>
  <c r="N110" i="119"/>
  <c r="O110" i="119"/>
  <c r="P110" i="119"/>
  <c r="Q110" i="119"/>
  <c r="R110" i="119"/>
  <c r="S110" i="119"/>
  <c r="T110" i="119"/>
  <c r="U110" i="119"/>
  <c r="V110" i="119"/>
  <c r="W110" i="119"/>
  <c r="X110" i="119"/>
  <c r="Y110" i="119"/>
  <c r="Z110" i="119"/>
  <c r="AA110" i="119"/>
  <c r="AB110" i="119"/>
  <c r="AC110" i="119"/>
  <c r="AD110" i="119"/>
  <c r="C109" i="119"/>
  <c r="D109" i="119"/>
  <c r="E109" i="119"/>
  <c r="F109" i="119"/>
  <c r="G109" i="119"/>
  <c r="H109" i="119"/>
  <c r="I109" i="119"/>
  <c r="J109" i="119"/>
  <c r="K109" i="119"/>
  <c r="L109" i="119"/>
  <c r="M109" i="119"/>
  <c r="N109" i="119"/>
  <c r="O109" i="119"/>
  <c r="P109" i="119"/>
  <c r="Q109" i="119"/>
  <c r="R109" i="119"/>
  <c r="S109" i="119"/>
  <c r="T109" i="119"/>
  <c r="U109" i="119"/>
  <c r="V109" i="119"/>
  <c r="W109" i="119"/>
  <c r="X109" i="119"/>
  <c r="Y109" i="119"/>
  <c r="Z109" i="119"/>
  <c r="AA109" i="119"/>
  <c r="AB109" i="119"/>
  <c r="AC109" i="119"/>
  <c r="AD109" i="119"/>
  <c r="C8" i="119"/>
  <c r="D8" i="119"/>
  <c r="E8" i="119"/>
  <c r="F8" i="119"/>
  <c r="G8" i="119"/>
  <c r="H8" i="119"/>
  <c r="I8" i="119"/>
  <c r="J8" i="119"/>
  <c r="K8" i="119"/>
  <c r="L8" i="119"/>
  <c r="M8" i="119"/>
  <c r="N8" i="119"/>
  <c r="O8" i="119"/>
  <c r="P8" i="119"/>
  <c r="Q8" i="119"/>
  <c r="R8" i="119"/>
  <c r="S8" i="119"/>
  <c r="T8" i="119"/>
  <c r="U8" i="119"/>
  <c r="V8" i="119"/>
  <c r="W8" i="119"/>
  <c r="X8" i="119"/>
  <c r="Y8" i="119"/>
  <c r="Z8" i="119"/>
  <c r="AA8" i="119"/>
  <c r="AB8" i="119"/>
  <c r="AC8" i="119"/>
  <c r="AD8" i="119"/>
  <c r="AE8" i="119"/>
  <c r="C9" i="119"/>
  <c r="D9" i="119"/>
  <c r="E9" i="119"/>
  <c r="F9" i="119"/>
  <c r="G9" i="119"/>
  <c r="H9" i="119"/>
  <c r="I9" i="119"/>
  <c r="J9" i="119"/>
  <c r="K9" i="119"/>
  <c r="L9" i="119"/>
  <c r="M9" i="119"/>
  <c r="N9" i="119"/>
  <c r="O9" i="119"/>
  <c r="P9" i="119"/>
  <c r="Q9" i="119"/>
  <c r="R9" i="119"/>
  <c r="S9" i="119"/>
  <c r="T9" i="119"/>
  <c r="U9" i="119"/>
  <c r="V9" i="119"/>
  <c r="W9" i="119"/>
  <c r="X9" i="119"/>
  <c r="Y9" i="119"/>
  <c r="Z9" i="119"/>
  <c r="AA9" i="119"/>
  <c r="AB9" i="119"/>
  <c r="AC9" i="119"/>
  <c r="AD9" i="119"/>
  <c r="AE9" i="119"/>
  <c r="C10" i="119"/>
  <c r="D10" i="119"/>
  <c r="E10" i="119"/>
  <c r="F10" i="119"/>
  <c r="G10" i="119"/>
  <c r="H10" i="119"/>
  <c r="I10" i="119"/>
  <c r="J10" i="119"/>
  <c r="K10" i="119"/>
  <c r="L10" i="119"/>
  <c r="M10" i="119"/>
  <c r="N10" i="119"/>
  <c r="O10" i="119"/>
  <c r="P10" i="119"/>
  <c r="Q10" i="119"/>
  <c r="R10" i="119"/>
  <c r="S10" i="119"/>
  <c r="T10" i="119"/>
  <c r="U10" i="119"/>
  <c r="V10" i="119"/>
  <c r="W10" i="119"/>
  <c r="X10" i="119"/>
  <c r="Y10" i="119"/>
  <c r="Z10" i="119"/>
  <c r="AA10" i="119"/>
  <c r="AB10" i="119"/>
  <c r="AC10" i="119"/>
  <c r="AD10" i="119"/>
  <c r="AE10" i="119"/>
  <c r="C11" i="119"/>
  <c r="D11" i="119"/>
  <c r="E11" i="119"/>
  <c r="F11" i="119"/>
  <c r="G11" i="119"/>
  <c r="H11" i="119"/>
  <c r="I11" i="119"/>
  <c r="J11" i="119"/>
  <c r="K11" i="119"/>
  <c r="L11" i="119"/>
  <c r="M11" i="119"/>
  <c r="N11" i="119"/>
  <c r="O11" i="119"/>
  <c r="P11" i="119"/>
  <c r="Q11" i="119"/>
  <c r="R11" i="119"/>
  <c r="S11" i="119"/>
  <c r="T11" i="119"/>
  <c r="U11" i="119"/>
  <c r="V11" i="119"/>
  <c r="W11" i="119"/>
  <c r="X11" i="119"/>
  <c r="Y11" i="119"/>
  <c r="Z11" i="119"/>
  <c r="AA11" i="119"/>
  <c r="AB11" i="119"/>
  <c r="AC11" i="119"/>
  <c r="AD11" i="119"/>
  <c r="AE11" i="119"/>
  <c r="C12" i="119"/>
  <c r="D12" i="119"/>
  <c r="E12" i="119"/>
  <c r="F12" i="119"/>
  <c r="G12" i="119"/>
  <c r="H12" i="119"/>
  <c r="I12" i="119"/>
  <c r="J12" i="119"/>
  <c r="K12" i="119"/>
  <c r="L12" i="119"/>
  <c r="M12" i="119"/>
  <c r="N12" i="119"/>
  <c r="O12" i="119"/>
  <c r="P12" i="119"/>
  <c r="Q12" i="119"/>
  <c r="R12" i="119"/>
  <c r="S12" i="119"/>
  <c r="T12" i="119"/>
  <c r="U12" i="119"/>
  <c r="V12" i="119"/>
  <c r="W12" i="119"/>
  <c r="X12" i="119"/>
  <c r="Y12" i="119"/>
  <c r="Z12" i="119"/>
  <c r="AA12" i="119"/>
  <c r="AB12" i="119"/>
  <c r="AC12" i="119"/>
  <c r="AD12" i="119"/>
  <c r="AE12" i="119"/>
  <c r="C13" i="119"/>
  <c r="D13" i="119"/>
  <c r="E13" i="119"/>
  <c r="F13" i="119"/>
  <c r="G13" i="119"/>
  <c r="H13" i="119"/>
  <c r="I13" i="119"/>
  <c r="J13" i="119"/>
  <c r="K13" i="119"/>
  <c r="L13" i="119"/>
  <c r="M13" i="119"/>
  <c r="N13" i="119"/>
  <c r="O13" i="119"/>
  <c r="P13" i="119"/>
  <c r="Q13" i="119"/>
  <c r="R13" i="119"/>
  <c r="S13" i="119"/>
  <c r="T13" i="119"/>
  <c r="U13" i="119"/>
  <c r="V13" i="119"/>
  <c r="W13" i="119"/>
  <c r="X13" i="119"/>
  <c r="Y13" i="119"/>
  <c r="Z13" i="119"/>
  <c r="AA13" i="119"/>
  <c r="AB13" i="119"/>
  <c r="AC13" i="119"/>
  <c r="AD13" i="119"/>
  <c r="AE13" i="119"/>
  <c r="C14" i="119"/>
  <c r="D14" i="119"/>
  <c r="E14" i="119"/>
  <c r="F14" i="119"/>
  <c r="G14" i="119"/>
  <c r="H14" i="119"/>
  <c r="I14" i="119"/>
  <c r="J14" i="119"/>
  <c r="K14" i="119"/>
  <c r="L14" i="119"/>
  <c r="M14" i="119"/>
  <c r="N14" i="119"/>
  <c r="O14" i="119"/>
  <c r="P14" i="119"/>
  <c r="Q14" i="119"/>
  <c r="R14" i="119"/>
  <c r="S14" i="119"/>
  <c r="T14" i="119"/>
  <c r="U14" i="119"/>
  <c r="V14" i="119"/>
  <c r="W14" i="119"/>
  <c r="X14" i="119"/>
  <c r="Y14" i="119"/>
  <c r="Z14" i="119"/>
  <c r="AA14" i="119"/>
  <c r="AB14" i="119"/>
  <c r="AC14" i="119"/>
  <c r="AD14" i="119"/>
  <c r="AE14" i="119"/>
  <c r="C15" i="119"/>
  <c r="D15" i="119"/>
  <c r="E15" i="119"/>
  <c r="F15" i="119"/>
  <c r="G15" i="119"/>
  <c r="H15" i="119"/>
  <c r="I15" i="119"/>
  <c r="J15" i="119"/>
  <c r="K15" i="119"/>
  <c r="L15" i="119"/>
  <c r="M15" i="119"/>
  <c r="N15" i="119"/>
  <c r="O15" i="119"/>
  <c r="P15" i="119"/>
  <c r="Q15" i="119"/>
  <c r="R15" i="119"/>
  <c r="S15" i="119"/>
  <c r="T15" i="119"/>
  <c r="U15" i="119"/>
  <c r="V15" i="119"/>
  <c r="W15" i="119"/>
  <c r="X15" i="119"/>
  <c r="Y15" i="119"/>
  <c r="Z15" i="119"/>
  <c r="AA15" i="119"/>
  <c r="AB15" i="119"/>
  <c r="AC15" i="119"/>
  <c r="AD15" i="119"/>
  <c r="AE15" i="119"/>
  <c r="C16" i="119"/>
  <c r="D16" i="119"/>
  <c r="E16" i="119"/>
  <c r="F16" i="119"/>
  <c r="G16" i="119"/>
  <c r="H16" i="119"/>
  <c r="I16" i="119"/>
  <c r="J16" i="119"/>
  <c r="K16" i="119"/>
  <c r="L16" i="119"/>
  <c r="M16" i="119"/>
  <c r="N16" i="119"/>
  <c r="O16" i="119"/>
  <c r="P16" i="119"/>
  <c r="Q16" i="119"/>
  <c r="R16" i="119"/>
  <c r="S16" i="119"/>
  <c r="T16" i="119"/>
  <c r="U16" i="119"/>
  <c r="V16" i="119"/>
  <c r="W16" i="119"/>
  <c r="X16" i="119"/>
  <c r="Y16" i="119"/>
  <c r="Z16" i="119"/>
  <c r="AA16" i="119"/>
  <c r="AB16" i="119"/>
  <c r="AC16" i="119"/>
  <c r="AD16" i="119"/>
  <c r="AE16" i="119"/>
  <c r="C17" i="119"/>
  <c r="D17" i="119"/>
  <c r="E17" i="119"/>
  <c r="F17" i="119"/>
  <c r="G17" i="119"/>
  <c r="H17" i="119"/>
  <c r="I17" i="119"/>
  <c r="J17" i="119"/>
  <c r="K17" i="119"/>
  <c r="L17" i="119"/>
  <c r="M17" i="119"/>
  <c r="N17" i="119"/>
  <c r="O17" i="119"/>
  <c r="P17" i="119"/>
  <c r="Q17" i="119"/>
  <c r="R17" i="119"/>
  <c r="S17" i="119"/>
  <c r="T17" i="119"/>
  <c r="U17" i="119"/>
  <c r="V17" i="119"/>
  <c r="W17" i="119"/>
  <c r="X17" i="119"/>
  <c r="Y17" i="119"/>
  <c r="Z17" i="119"/>
  <c r="AA17" i="119"/>
  <c r="AB17" i="119"/>
  <c r="AC17" i="119"/>
  <c r="AD17" i="119"/>
  <c r="AE17" i="119"/>
  <c r="C18" i="119"/>
  <c r="D18" i="119"/>
  <c r="E18" i="119"/>
  <c r="F18" i="119"/>
  <c r="G18" i="119"/>
  <c r="H18" i="119"/>
  <c r="I18" i="119"/>
  <c r="J18" i="119"/>
  <c r="K18" i="119"/>
  <c r="L18" i="119"/>
  <c r="M18" i="119"/>
  <c r="N18" i="119"/>
  <c r="O18" i="119"/>
  <c r="P18" i="119"/>
  <c r="Q18" i="119"/>
  <c r="R18" i="119"/>
  <c r="S18" i="119"/>
  <c r="T18" i="119"/>
  <c r="U18" i="119"/>
  <c r="V18" i="119"/>
  <c r="W18" i="119"/>
  <c r="X18" i="119"/>
  <c r="Y18" i="119"/>
  <c r="Z18" i="119"/>
  <c r="AA18" i="119"/>
  <c r="AB18" i="119"/>
  <c r="AC18" i="119"/>
  <c r="AD18" i="119"/>
  <c r="AE18" i="119"/>
  <c r="C19" i="119"/>
  <c r="D19" i="119"/>
  <c r="E19" i="119"/>
  <c r="F19" i="119"/>
  <c r="G19" i="119"/>
  <c r="H19" i="119"/>
  <c r="I19" i="119"/>
  <c r="J19" i="119"/>
  <c r="K19" i="119"/>
  <c r="L19" i="119"/>
  <c r="M19" i="119"/>
  <c r="N19" i="119"/>
  <c r="O19" i="119"/>
  <c r="P19" i="119"/>
  <c r="Q19" i="119"/>
  <c r="R19" i="119"/>
  <c r="S19" i="119"/>
  <c r="T19" i="119"/>
  <c r="U19" i="119"/>
  <c r="V19" i="119"/>
  <c r="W19" i="119"/>
  <c r="X19" i="119"/>
  <c r="Y19" i="119"/>
  <c r="Z19" i="119"/>
  <c r="AA19" i="119"/>
  <c r="AB19" i="119"/>
  <c r="AC19" i="119"/>
  <c r="AD19" i="119"/>
  <c r="AE19" i="119"/>
  <c r="C20" i="119"/>
  <c r="D20" i="119"/>
  <c r="E20" i="119"/>
  <c r="F20" i="119"/>
  <c r="G20" i="119"/>
  <c r="H20" i="119"/>
  <c r="I20" i="119"/>
  <c r="J20" i="119"/>
  <c r="K20" i="119"/>
  <c r="L20" i="119"/>
  <c r="M20" i="119"/>
  <c r="N20" i="119"/>
  <c r="O20" i="119"/>
  <c r="P20" i="119"/>
  <c r="Q20" i="119"/>
  <c r="R20" i="119"/>
  <c r="S20" i="119"/>
  <c r="T20" i="119"/>
  <c r="U20" i="119"/>
  <c r="V20" i="119"/>
  <c r="W20" i="119"/>
  <c r="X20" i="119"/>
  <c r="Y20" i="119"/>
  <c r="Z20" i="119"/>
  <c r="AA20" i="119"/>
  <c r="AB20" i="119"/>
  <c r="AC20" i="119"/>
  <c r="AD20" i="119"/>
  <c r="AE20" i="119"/>
  <c r="C21" i="119"/>
  <c r="D21" i="119"/>
  <c r="E21" i="119"/>
  <c r="F21" i="119"/>
  <c r="G21" i="119"/>
  <c r="H21" i="119"/>
  <c r="I21" i="119"/>
  <c r="J21" i="119"/>
  <c r="K21" i="119"/>
  <c r="L21" i="119"/>
  <c r="M21" i="119"/>
  <c r="N21" i="119"/>
  <c r="O21" i="119"/>
  <c r="P21" i="119"/>
  <c r="Q21" i="119"/>
  <c r="R21" i="119"/>
  <c r="S21" i="119"/>
  <c r="T21" i="119"/>
  <c r="U21" i="119"/>
  <c r="V21" i="119"/>
  <c r="W21" i="119"/>
  <c r="X21" i="119"/>
  <c r="Y21" i="119"/>
  <c r="Z21" i="119"/>
  <c r="AA21" i="119"/>
  <c r="AB21" i="119"/>
  <c r="AC21" i="119"/>
  <c r="AD21" i="119"/>
  <c r="AE21" i="119"/>
  <c r="C22" i="119"/>
  <c r="D22" i="119"/>
  <c r="E22" i="119"/>
  <c r="F22" i="119"/>
  <c r="G22" i="119"/>
  <c r="H22" i="119"/>
  <c r="I22" i="119"/>
  <c r="J22" i="119"/>
  <c r="K22" i="119"/>
  <c r="L22" i="119"/>
  <c r="M22" i="119"/>
  <c r="N22" i="119"/>
  <c r="O22" i="119"/>
  <c r="P22" i="119"/>
  <c r="Q22" i="119"/>
  <c r="R22" i="119"/>
  <c r="S22" i="119"/>
  <c r="T22" i="119"/>
  <c r="U22" i="119"/>
  <c r="V22" i="119"/>
  <c r="W22" i="119"/>
  <c r="X22" i="119"/>
  <c r="Y22" i="119"/>
  <c r="Z22" i="119"/>
  <c r="AA22" i="119"/>
  <c r="AB22" i="119"/>
  <c r="AC22" i="119"/>
  <c r="AD22" i="119"/>
  <c r="AE22" i="119"/>
  <c r="C23" i="119"/>
  <c r="D23" i="119"/>
  <c r="E23" i="119"/>
  <c r="F23" i="119"/>
  <c r="G23" i="119"/>
  <c r="H23" i="119"/>
  <c r="I23" i="119"/>
  <c r="J23" i="119"/>
  <c r="K23" i="119"/>
  <c r="L23" i="119"/>
  <c r="M23" i="119"/>
  <c r="N23" i="119"/>
  <c r="O23" i="119"/>
  <c r="P23" i="119"/>
  <c r="Q23" i="119"/>
  <c r="R23" i="119"/>
  <c r="S23" i="119"/>
  <c r="T23" i="119"/>
  <c r="U23" i="119"/>
  <c r="V23" i="119"/>
  <c r="W23" i="119"/>
  <c r="X23" i="119"/>
  <c r="Y23" i="119"/>
  <c r="Z23" i="119"/>
  <c r="AA23" i="119"/>
  <c r="AB23" i="119"/>
  <c r="AC23" i="119"/>
  <c r="AD23" i="119"/>
  <c r="AE23" i="119"/>
  <c r="C24" i="119"/>
  <c r="D24" i="119"/>
  <c r="E24" i="119"/>
  <c r="F24" i="119"/>
  <c r="G24" i="119"/>
  <c r="H24" i="119"/>
  <c r="I24" i="119"/>
  <c r="J24" i="119"/>
  <c r="K24" i="119"/>
  <c r="L24" i="119"/>
  <c r="M24" i="119"/>
  <c r="N24" i="119"/>
  <c r="O24" i="119"/>
  <c r="P24" i="119"/>
  <c r="Q24" i="119"/>
  <c r="R24" i="119"/>
  <c r="S24" i="119"/>
  <c r="T24" i="119"/>
  <c r="U24" i="119"/>
  <c r="V24" i="119"/>
  <c r="W24" i="119"/>
  <c r="X24" i="119"/>
  <c r="Y24" i="119"/>
  <c r="Z24" i="119"/>
  <c r="AA24" i="119"/>
  <c r="AB24" i="119"/>
  <c r="AC24" i="119"/>
  <c r="AD24" i="119"/>
  <c r="AE24" i="119"/>
  <c r="C25" i="119"/>
  <c r="D25" i="119"/>
  <c r="E25" i="119"/>
  <c r="F25" i="119"/>
  <c r="G25" i="119"/>
  <c r="H25" i="119"/>
  <c r="I25" i="119"/>
  <c r="J25" i="119"/>
  <c r="K25" i="119"/>
  <c r="L25" i="119"/>
  <c r="M25" i="119"/>
  <c r="N25" i="119"/>
  <c r="O25" i="119"/>
  <c r="P25" i="119"/>
  <c r="Q25" i="119"/>
  <c r="R25" i="119"/>
  <c r="S25" i="119"/>
  <c r="T25" i="119"/>
  <c r="U25" i="119"/>
  <c r="V25" i="119"/>
  <c r="W25" i="119"/>
  <c r="X25" i="119"/>
  <c r="Y25" i="119"/>
  <c r="Z25" i="119"/>
  <c r="AA25" i="119"/>
  <c r="AB25" i="119"/>
  <c r="AC25" i="119"/>
  <c r="AD25" i="119"/>
  <c r="AE25" i="119"/>
  <c r="C26" i="119"/>
  <c r="D26" i="119"/>
  <c r="E26" i="119"/>
  <c r="F26" i="119"/>
  <c r="G26" i="119"/>
  <c r="H26" i="119"/>
  <c r="I26" i="119"/>
  <c r="J26" i="119"/>
  <c r="K26" i="119"/>
  <c r="L26" i="119"/>
  <c r="M26" i="119"/>
  <c r="N26" i="119"/>
  <c r="O26" i="119"/>
  <c r="P26" i="119"/>
  <c r="Q26" i="119"/>
  <c r="R26" i="119"/>
  <c r="S26" i="119"/>
  <c r="T26" i="119"/>
  <c r="U26" i="119"/>
  <c r="V26" i="119"/>
  <c r="W26" i="119"/>
  <c r="X26" i="119"/>
  <c r="Y26" i="119"/>
  <c r="Z26" i="119"/>
  <c r="AA26" i="119"/>
  <c r="AB26" i="119"/>
  <c r="AC26" i="119"/>
  <c r="AD26" i="119"/>
  <c r="AE26" i="119"/>
  <c r="C27" i="119"/>
  <c r="D27" i="119"/>
  <c r="E27" i="119"/>
  <c r="F27" i="119"/>
  <c r="G27" i="119"/>
  <c r="H27" i="119"/>
  <c r="I27" i="119"/>
  <c r="J27" i="119"/>
  <c r="K27" i="119"/>
  <c r="L27" i="119"/>
  <c r="M27" i="119"/>
  <c r="N27" i="119"/>
  <c r="O27" i="119"/>
  <c r="P27" i="119"/>
  <c r="Q27" i="119"/>
  <c r="R27" i="119"/>
  <c r="S27" i="119"/>
  <c r="T27" i="119"/>
  <c r="U27" i="119"/>
  <c r="V27" i="119"/>
  <c r="W27" i="119"/>
  <c r="X27" i="119"/>
  <c r="Y27" i="119"/>
  <c r="Z27" i="119"/>
  <c r="AA27" i="119"/>
  <c r="AB27" i="119"/>
  <c r="AC27" i="119"/>
  <c r="AD27" i="119"/>
  <c r="AE27" i="119"/>
  <c r="C28" i="119"/>
  <c r="D28" i="119"/>
  <c r="E28" i="119"/>
  <c r="F28" i="119"/>
  <c r="G28" i="119"/>
  <c r="H28" i="119"/>
  <c r="I28" i="119"/>
  <c r="J28" i="119"/>
  <c r="K28" i="119"/>
  <c r="L28" i="119"/>
  <c r="M28" i="119"/>
  <c r="N28" i="119"/>
  <c r="O28" i="119"/>
  <c r="P28" i="119"/>
  <c r="Q28" i="119"/>
  <c r="R28" i="119"/>
  <c r="S28" i="119"/>
  <c r="T28" i="119"/>
  <c r="U28" i="119"/>
  <c r="V28" i="119"/>
  <c r="W28" i="119"/>
  <c r="X28" i="119"/>
  <c r="Y28" i="119"/>
  <c r="Z28" i="119"/>
  <c r="AA28" i="119"/>
  <c r="AB28" i="119"/>
  <c r="AC28" i="119"/>
  <c r="AD28" i="119"/>
  <c r="AE28" i="119"/>
  <c r="C29" i="119"/>
  <c r="D29" i="119"/>
  <c r="E29" i="119"/>
  <c r="F29" i="119"/>
  <c r="G29" i="119"/>
  <c r="H29" i="119"/>
  <c r="I29" i="119"/>
  <c r="J29" i="119"/>
  <c r="K29" i="119"/>
  <c r="L29" i="119"/>
  <c r="M29" i="119"/>
  <c r="N29" i="119"/>
  <c r="O29" i="119"/>
  <c r="P29" i="119"/>
  <c r="Q29" i="119"/>
  <c r="R29" i="119"/>
  <c r="S29" i="119"/>
  <c r="T29" i="119"/>
  <c r="U29" i="119"/>
  <c r="V29" i="119"/>
  <c r="W29" i="119"/>
  <c r="X29" i="119"/>
  <c r="Y29" i="119"/>
  <c r="Z29" i="119"/>
  <c r="AA29" i="119"/>
  <c r="AB29" i="119"/>
  <c r="AC29" i="119"/>
  <c r="AD29" i="119"/>
  <c r="AE29" i="119"/>
  <c r="C30" i="119"/>
  <c r="D30" i="119"/>
  <c r="E30" i="119"/>
  <c r="F30" i="119"/>
  <c r="G30" i="119"/>
  <c r="H30" i="119"/>
  <c r="I30" i="119"/>
  <c r="J30" i="119"/>
  <c r="K30" i="119"/>
  <c r="L30" i="119"/>
  <c r="M30" i="119"/>
  <c r="N30" i="119"/>
  <c r="O30" i="119"/>
  <c r="P30" i="119"/>
  <c r="Q30" i="119"/>
  <c r="R30" i="119"/>
  <c r="S30" i="119"/>
  <c r="T30" i="119"/>
  <c r="U30" i="119"/>
  <c r="V30" i="119"/>
  <c r="W30" i="119"/>
  <c r="X30" i="119"/>
  <c r="Y30" i="119"/>
  <c r="Z30" i="119"/>
  <c r="AA30" i="119"/>
  <c r="AB30" i="119"/>
  <c r="AC30" i="119"/>
  <c r="AD30" i="119"/>
  <c r="AE30" i="119"/>
  <c r="C31" i="119"/>
  <c r="D31" i="119"/>
  <c r="E31" i="119"/>
  <c r="F31" i="119"/>
  <c r="G31" i="119"/>
  <c r="H31" i="119"/>
  <c r="I31" i="119"/>
  <c r="J31" i="119"/>
  <c r="K31" i="119"/>
  <c r="L31" i="119"/>
  <c r="M31" i="119"/>
  <c r="N31" i="119"/>
  <c r="O31" i="119"/>
  <c r="P31" i="119"/>
  <c r="Q31" i="119"/>
  <c r="R31" i="119"/>
  <c r="S31" i="119"/>
  <c r="T31" i="119"/>
  <c r="U31" i="119"/>
  <c r="V31" i="119"/>
  <c r="W31" i="119"/>
  <c r="X31" i="119"/>
  <c r="Y31" i="119"/>
  <c r="Z31" i="119"/>
  <c r="AA31" i="119"/>
  <c r="AB31" i="119"/>
  <c r="AC31" i="119"/>
  <c r="AD31" i="119"/>
  <c r="AE31" i="119"/>
  <c r="C32" i="119"/>
  <c r="D32" i="119"/>
  <c r="E32" i="119"/>
  <c r="F32" i="119"/>
  <c r="G32" i="119"/>
  <c r="H32" i="119"/>
  <c r="I32" i="119"/>
  <c r="J32" i="119"/>
  <c r="K32" i="119"/>
  <c r="L32" i="119"/>
  <c r="M32" i="119"/>
  <c r="N32" i="119"/>
  <c r="O32" i="119"/>
  <c r="P32" i="119"/>
  <c r="Q32" i="119"/>
  <c r="R32" i="119"/>
  <c r="S32" i="119"/>
  <c r="T32" i="119"/>
  <c r="U32" i="119"/>
  <c r="V32" i="119"/>
  <c r="W32" i="119"/>
  <c r="X32" i="119"/>
  <c r="Y32" i="119"/>
  <c r="Z32" i="119"/>
  <c r="AA32" i="119"/>
  <c r="AB32" i="119"/>
  <c r="AC32" i="119"/>
  <c r="AD32" i="119"/>
  <c r="AE32" i="119"/>
  <c r="C33" i="119"/>
  <c r="D33" i="119"/>
  <c r="E33" i="119"/>
  <c r="F33" i="119"/>
  <c r="G33" i="119"/>
  <c r="H33" i="119"/>
  <c r="I33" i="119"/>
  <c r="J33" i="119"/>
  <c r="K33" i="119"/>
  <c r="L33" i="119"/>
  <c r="M33" i="119"/>
  <c r="N33" i="119"/>
  <c r="O33" i="119"/>
  <c r="P33" i="119"/>
  <c r="Q33" i="119"/>
  <c r="R33" i="119"/>
  <c r="S33" i="119"/>
  <c r="T33" i="119"/>
  <c r="U33" i="119"/>
  <c r="V33" i="119"/>
  <c r="W33" i="119"/>
  <c r="X33" i="119"/>
  <c r="Y33" i="119"/>
  <c r="Z33" i="119"/>
  <c r="AA33" i="119"/>
  <c r="AB33" i="119"/>
  <c r="AC33" i="119"/>
  <c r="AD33" i="119"/>
  <c r="AE33" i="119"/>
  <c r="C34" i="119"/>
  <c r="D34" i="119"/>
  <c r="E34" i="119"/>
  <c r="F34" i="119"/>
  <c r="G34" i="119"/>
  <c r="H34" i="119"/>
  <c r="I34" i="119"/>
  <c r="J34" i="119"/>
  <c r="K34" i="119"/>
  <c r="L34" i="119"/>
  <c r="M34" i="119"/>
  <c r="N34" i="119"/>
  <c r="O34" i="119"/>
  <c r="P34" i="119"/>
  <c r="Q34" i="119"/>
  <c r="R34" i="119"/>
  <c r="S34" i="119"/>
  <c r="T34" i="119"/>
  <c r="U34" i="119"/>
  <c r="V34" i="119"/>
  <c r="W34" i="119"/>
  <c r="X34" i="119"/>
  <c r="Y34" i="119"/>
  <c r="Z34" i="119"/>
  <c r="AA34" i="119"/>
  <c r="AB34" i="119"/>
  <c r="AC34" i="119"/>
  <c r="AD34" i="119"/>
  <c r="AE34" i="119"/>
  <c r="C35" i="119"/>
  <c r="D35" i="119"/>
  <c r="E35" i="119"/>
  <c r="F35" i="119"/>
  <c r="G35" i="119"/>
  <c r="H35" i="119"/>
  <c r="I35" i="119"/>
  <c r="J35" i="119"/>
  <c r="K35" i="119"/>
  <c r="L35" i="119"/>
  <c r="M35" i="119"/>
  <c r="N35" i="119"/>
  <c r="O35" i="119"/>
  <c r="P35" i="119"/>
  <c r="Q35" i="119"/>
  <c r="R35" i="119"/>
  <c r="S35" i="119"/>
  <c r="T35" i="119"/>
  <c r="U35" i="119"/>
  <c r="V35" i="119"/>
  <c r="W35" i="119"/>
  <c r="X35" i="119"/>
  <c r="Y35" i="119"/>
  <c r="Z35" i="119"/>
  <c r="AA35" i="119"/>
  <c r="AB35" i="119"/>
  <c r="AC35" i="119"/>
  <c r="AD35" i="119"/>
  <c r="AE35" i="119"/>
  <c r="C36" i="119"/>
  <c r="D36" i="119"/>
  <c r="E36" i="119"/>
  <c r="F36" i="119"/>
  <c r="G36" i="119"/>
  <c r="H36" i="119"/>
  <c r="I36" i="119"/>
  <c r="J36" i="119"/>
  <c r="K36" i="119"/>
  <c r="L36" i="119"/>
  <c r="M36" i="119"/>
  <c r="N36" i="119"/>
  <c r="O36" i="119"/>
  <c r="P36" i="119"/>
  <c r="Q36" i="119"/>
  <c r="R36" i="119"/>
  <c r="S36" i="119"/>
  <c r="T36" i="119"/>
  <c r="U36" i="119"/>
  <c r="V36" i="119"/>
  <c r="W36" i="119"/>
  <c r="X36" i="119"/>
  <c r="Y36" i="119"/>
  <c r="Z36" i="119"/>
  <c r="AA36" i="119"/>
  <c r="AB36" i="119"/>
  <c r="AC36" i="119"/>
  <c r="AD36" i="119"/>
  <c r="AE36" i="119"/>
  <c r="C37" i="119"/>
  <c r="D37" i="119"/>
  <c r="E37" i="119"/>
  <c r="F37" i="119"/>
  <c r="G37" i="119"/>
  <c r="H37" i="119"/>
  <c r="I37" i="119"/>
  <c r="J37" i="119"/>
  <c r="K37" i="119"/>
  <c r="L37" i="119"/>
  <c r="M37" i="119"/>
  <c r="N37" i="119"/>
  <c r="O37" i="119"/>
  <c r="P37" i="119"/>
  <c r="Q37" i="119"/>
  <c r="R37" i="119"/>
  <c r="S37" i="119"/>
  <c r="T37" i="119"/>
  <c r="U37" i="119"/>
  <c r="V37" i="119"/>
  <c r="W37" i="119"/>
  <c r="X37" i="119"/>
  <c r="Y37" i="119"/>
  <c r="Z37" i="119"/>
  <c r="AA37" i="119"/>
  <c r="AB37" i="119"/>
  <c r="AC37" i="119"/>
  <c r="AD37" i="119"/>
  <c r="AE37" i="119"/>
  <c r="C38" i="119"/>
  <c r="D38" i="119"/>
  <c r="E38" i="119"/>
  <c r="F38" i="119"/>
  <c r="G38" i="119"/>
  <c r="H38" i="119"/>
  <c r="I38" i="119"/>
  <c r="J38" i="119"/>
  <c r="K38" i="119"/>
  <c r="L38" i="119"/>
  <c r="M38" i="119"/>
  <c r="N38" i="119"/>
  <c r="O38" i="119"/>
  <c r="P38" i="119"/>
  <c r="Q38" i="119"/>
  <c r="R38" i="119"/>
  <c r="S38" i="119"/>
  <c r="T38" i="119"/>
  <c r="U38" i="119"/>
  <c r="V38" i="119"/>
  <c r="W38" i="119"/>
  <c r="X38" i="119"/>
  <c r="Y38" i="119"/>
  <c r="Z38" i="119"/>
  <c r="AA38" i="119"/>
  <c r="AB38" i="119"/>
  <c r="AC38" i="119"/>
  <c r="AD38" i="119"/>
  <c r="AE38" i="119"/>
  <c r="C39" i="119"/>
  <c r="D39" i="119"/>
  <c r="E39" i="119"/>
  <c r="F39" i="119"/>
  <c r="G39" i="119"/>
  <c r="H39" i="119"/>
  <c r="I39" i="119"/>
  <c r="J39" i="119"/>
  <c r="K39" i="119"/>
  <c r="L39" i="119"/>
  <c r="M39" i="119"/>
  <c r="N39" i="119"/>
  <c r="O39" i="119"/>
  <c r="P39" i="119"/>
  <c r="Q39" i="119"/>
  <c r="R39" i="119"/>
  <c r="S39" i="119"/>
  <c r="T39" i="119"/>
  <c r="U39" i="119"/>
  <c r="V39" i="119"/>
  <c r="W39" i="119"/>
  <c r="X39" i="119"/>
  <c r="Y39" i="119"/>
  <c r="Z39" i="119"/>
  <c r="AA39" i="119"/>
  <c r="AB39" i="119"/>
  <c r="AC39" i="119"/>
  <c r="AD39" i="119"/>
  <c r="AE39" i="119"/>
  <c r="C40" i="119"/>
  <c r="D40" i="119"/>
  <c r="E40" i="119"/>
  <c r="F40" i="119"/>
  <c r="G40" i="119"/>
  <c r="H40" i="119"/>
  <c r="I40" i="119"/>
  <c r="J40" i="119"/>
  <c r="K40" i="119"/>
  <c r="L40" i="119"/>
  <c r="M40" i="119"/>
  <c r="N40" i="119"/>
  <c r="O40" i="119"/>
  <c r="P40" i="119"/>
  <c r="Q40" i="119"/>
  <c r="R40" i="119"/>
  <c r="S40" i="119"/>
  <c r="T40" i="119"/>
  <c r="U40" i="119"/>
  <c r="V40" i="119"/>
  <c r="W40" i="119"/>
  <c r="X40" i="119"/>
  <c r="Y40" i="119"/>
  <c r="Z40" i="119"/>
  <c r="AA40" i="119"/>
  <c r="AB40" i="119"/>
  <c r="AC40" i="119"/>
  <c r="AD40" i="119"/>
  <c r="AE40" i="119"/>
  <c r="C41" i="119"/>
  <c r="D41" i="119"/>
  <c r="E41" i="119"/>
  <c r="F41" i="119"/>
  <c r="G41" i="119"/>
  <c r="H41" i="119"/>
  <c r="I41" i="119"/>
  <c r="J41" i="119"/>
  <c r="K41" i="119"/>
  <c r="L41" i="119"/>
  <c r="M41" i="119"/>
  <c r="N41" i="119"/>
  <c r="O41" i="119"/>
  <c r="P41" i="119"/>
  <c r="Q41" i="119"/>
  <c r="R41" i="119"/>
  <c r="S41" i="119"/>
  <c r="T41" i="119"/>
  <c r="U41" i="119"/>
  <c r="V41" i="119"/>
  <c r="W41" i="119"/>
  <c r="X41" i="119"/>
  <c r="Y41" i="119"/>
  <c r="Z41" i="119"/>
  <c r="AA41" i="119"/>
  <c r="AB41" i="119"/>
  <c r="AC41" i="119"/>
  <c r="AD41" i="119"/>
  <c r="AE41" i="119"/>
  <c r="C42" i="119"/>
  <c r="D42" i="119"/>
  <c r="E42" i="119"/>
  <c r="F42" i="119"/>
  <c r="G42" i="119"/>
  <c r="H42" i="119"/>
  <c r="I42" i="119"/>
  <c r="J42" i="119"/>
  <c r="K42" i="119"/>
  <c r="L42" i="119"/>
  <c r="M42" i="119"/>
  <c r="N42" i="119"/>
  <c r="O42" i="119"/>
  <c r="P42" i="119"/>
  <c r="Q42" i="119"/>
  <c r="R42" i="119"/>
  <c r="S42" i="119"/>
  <c r="T42" i="119"/>
  <c r="U42" i="119"/>
  <c r="V42" i="119"/>
  <c r="W42" i="119"/>
  <c r="X42" i="119"/>
  <c r="Y42" i="119"/>
  <c r="Z42" i="119"/>
  <c r="AA42" i="119"/>
  <c r="AB42" i="119"/>
  <c r="AC42" i="119"/>
  <c r="AD42" i="119"/>
  <c r="AE42" i="119"/>
  <c r="C43" i="119"/>
  <c r="D43" i="119"/>
  <c r="E43" i="119"/>
  <c r="F43" i="119"/>
  <c r="G43" i="119"/>
  <c r="H43" i="119"/>
  <c r="I43" i="119"/>
  <c r="J43" i="119"/>
  <c r="K43" i="119"/>
  <c r="L43" i="119"/>
  <c r="M43" i="119"/>
  <c r="N43" i="119"/>
  <c r="O43" i="119"/>
  <c r="P43" i="119"/>
  <c r="Q43" i="119"/>
  <c r="R43" i="119"/>
  <c r="S43" i="119"/>
  <c r="T43" i="119"/>
  <c r="U43" i="119"/>
  <c r="V43" i="119"/>
  <c r="W43" i="119"/>
  <c r="X43" i="119"/>
  <c r="Y43" i="119"/>
  <c r="Z43" i="119"/>
  <c r="AA43" i="119"/>
  <c r="AB43" i="119"/>
  <c r="AC43" i="119"/>
  <c r="AD43" i="119"/>
  <c r="AE43" i="119"/>
  <c r="C44" i="119"/>
  <c r="D44" i="119"/>
  <c r="E44" i="119"/>
  <c r="F44" i="119"/>
  <c r="G44" i="119"/>
  <c r="H44" i="119"/>
  <c r="I44" i="119"/>
  <c r="J44" i="119"/>
  <c r="K44" i="119"/>
  <c r="L44" i="119"/>
  <c r="M44" i="119"/>
  <c r="N44" i="119"/>
  <c r="O44" i="119"/>
  <c r="P44" i="119"/>
  <c r="Q44" i="119"/>
  <c r="R44" i="119"/>
  <c r="S44" i="119"/>
  <c r="T44" i="119"/>
  <c r="U44" i="119"/>
  <c r="V44" i="119"/>
  <c r="W44" i="119"/>
  <c r="X44" i="119"/>
  <c r="Y44" i="119"/>
  <c r="Z44" i="119"/>
  <c r="AA44" i="119"/>
  <c r="AB44" i="119"/>
  <c r="AC44" i="119"/>
  <c r="AD44" i="119"/>
  <c r="AE44" i="119"/>
  <c r="C45" i="119"/>
  <c r="D45" i="119"/>
  <c r="E45" i="119"/>
  <c r="F45" i="119"/>
  <c r="G45" i="119"/>
  <c r="H45" i="119"/>
  <c r="I45" i="119"/>
  <c r="J45" i="119"/>
  <c r="K45" i="119"/>
  <c r="L45" i="119"/>
  <c r="M45" i="119"/>
  <c r="N45" i="119"/>
  <c r="O45" i="119"/>
  <c r="P45" i="119"/>
  <c r="Q45" i="119"/>
  <c r="R45" i="119"/>
  <c r="S45" i="119"/>
  <c r="T45" i="119"/>
  <c r="U45" i="119"/>
  <c r="V45" i="119"/>
  <c r="W45" i="119"/>
  <c r="X45" i="119"/>
  <c r="Y45" i="119"/>
  <c r="Z45" i="119"/>
  <c r="AA45" i="119"/>
  <c r="AB45" i="119"/>
  <c r="AC45" i="119"/>
  <c r="AD45" i="119"/>
  <c r="AE45" i="119"/>
  <c r="C46" i="119"/>
  <c r="D46" i="119"/>
  <c r="E46" i="119"/>
  <c r="F46" i="119"/>
  <c r="G46" i="119"/>
  <c r="H46" i="119"/>
  <c r="I46" i="119"/>
  <c r="J46" i="119"/>
  <c r="K46" i="119"/>
  <c r="L46" i="119"/>
  <c r="M46" i="119"/>
  <c r="N46" i="119"/>
  <c r="O46" i="119"/>
  <c r="P46" i="119"/>
  <c r="Q46" i="119"/>
  <c r="R46" i="119"/>
  <c r="S46" i="119"/>
  <c r="T46" i="119"/>
  <c r="U46" i="119"/>
  <c r="V46" i="119"/>
  <c r="W46" i="119"/>
  <c r="X46" i="119"/>
  <c r="Y46" i="119"/>
  <c r="Z46" i="119"/>
  <c r="AA46" i="119"/>
  <c r="AB46" i="119"/>
  <c r="AC46" i="119"/>
  <c r="AD46" i="119"/>
  <c r="AE46" i="119"/>
  <c r="C47" i="119"/>
  <c r="D47" i="119"/>
  <c r="E47" i="119"/>
  <c r="F47" i="119"/>
  <c r="G47" i="119"/>
  <c r="H47" i="119"/>
  <c r="I47" i="119"/>
  <c r="J47" i="119"/>
  <c r="K47" i="119"/>
  <c r="L47" i="119"/>
  <c r="M47" i="119"/>
  <c r="N47" i="119"/>
  <c r="O47" i="119"/>
  <c r="P47" i="119"/>
  <c r="Q47" i="119"/>
  <c r="R47" i="119"/>
  <c r="S47" i="119"/>
  <c r="T47" i="119"/>
  <c r="U47" i="119"/>
  <c r="V47" i="119"/>
  <c r="W47" i="119"/>
  <c r="X47" i="119"/>
  <c r="Y47" i="119"/>
  <c r="Z47" i="119"/>
  <c r="AA47" i="119"/>
  <c r="AB47" i="119"/>
  <c r="AC47" i="119"/>
  <c r="AD47" i="119"/>
  <c r="AE47" i="119"/>
  <c r="C48" i="119"/>
  <c r="D48" i="119"/>
  <c r="E48" i="119"/>
  <c r="F48" i="119"/>
  <c r="G48" i="119"/>
  <c r="H48" i="119"/>
  <c r="I48" i="119"/>
  <c r="J48" i="119"/>
  <c r="K48" i="119"/>
  <c r="L48" i="119"/>
  <c r="M48" i="119"/>
  <c r="N48" i="119"/>
  <c r="O48" i="119"/>
  <c r="P48" i="119"/>
  <c r="Q48" i="119"/>
  <c r="R48" i="119"/>
  <c r="S48" i="119"/>
  <c r="T48" i="119"/>
  <c r="U48" i="119"/>
  <c r="V48" i="119"/>
  <c r="W48" i="119"/>
  <c r="X48" i="119"/>
  <c r="Y48" i="119"/>
  <c r="Z48" i="119"/>
  <c r="AA48" i="119"/>
  <c r="AB48" i="119"/>
  <c r="AC48" i="119"/>
  <c r="AD48" i="119"/>
  <c r="AE48" i="119"/>
  <c r="C49" i="119"/>
  <c r="D49" i="119"/>
  <c r="E49" i="119"/>
  <c r="F49" i="119"/>
  <c r="G49" i="119"/>
  <c r="H49" i="119"/>
  <c r="I49" i="119"/>
  <c r="J49" i="119"/>
  <c r="K49" i="119"/>
  <c r="L49" i="119"/>
  <c r="M49" i="119"/>
  <c r="N49" i="119"/>
  <c r="O49" i="119"/>
  <c r="P49" i="119"/>
  <c r="Q49" i="119"/>
  <c r="R49" i="119"/>
  <c r="S49" i="119"/>
  <c r="T49" i="119"/>
  <c r="U49" i="119"/>
  <c r="V49" i="119"/>
  <c r="W49" i="119"/>
  <c r="X49" i="119"/>
  <c r="Y49" i="119"/>
  <c r="Z49" i="119"/>
  <c r="AA49" i="119"/>
  <c r="AB49" i="119"/>
  <c r="AC49" i="119"/>
  <c r="AD49" i="119"/>
  <c r="AE49" i="119"/>
  <c r="C50" i="119"/>
  <c r="D50" i="119"/>
  <c r="E50" i="119"/>
  <c r="F50" i="119"/>
  <c r="G50" i="119"/>
  <c r="H50" i="119"/>
  <c r="I50" i="119"/>
  <c r="J50" i="119"/>
  <c r="K50" i="119"/>
  <c r="L50" i="119"/>
  <c r="M50" i="119"/>
  <c r="N50" i="119"/>
  <c r="O50" i="119"/>
  <c r="P50" i="119"/>
  <c r="Q50" i="119"/>
  <c r="R50" i="119"/>
  <c r="S50" i="119"/>
  <c r="T50" i="119"/>
  <c r="U50" i="119"/>
  <c r="V50" i="119"/>
  <c r="W50" i="119"/>
  <c r="X50" i="119"/>
  <c r="Y50" i="119"/>
  <c r="Z50" i="119"/>
  <c r="AA50" i="119"/>
  <c r="AB50" i="119"/>
  <c r="AC50" i="119"/>
  <c r="AD50" i="119"/>
  <c r="AE50" i="119"/>
  <c r="C51" i="119"/>
  <c r="D51" i="119"/>
  <c r="E51" i="119"/>
  <c r="F51" i="119"/>
  <c r="G51" i="119"/>
  <c r="H51" i="119"/>
  <c r="I51" i="119"/>
  <c r="J51" i="119"/>
  <c r="K51" i="119"/>
  <c r="L51" i="119"/>
  <c r="M51" i="119"/>
  <c r="N51" i="119"/>
  <c r="O51" i="119"/>
  <c r="P51" i="119"/>
  <c r="Q51" i="119"/>
  <c r="R51" i="119"/>
  <c r="S51" i="119"/>
  <c r="T51" i="119"/>
  <c r="U51" i="119"/>
  <c r="V51" i="119"/>
  <c r="W51" i="119"/>
  <c r="X51" i="119"/>
  <c r="Y51" i="119"/>
  <c r="Z51" i="119"/>
  <c r="AA51" i="119"/>
  <c r="AB51" i="119"/>
  <c r="AC51" i="119"/>
  <c r="AD51" i="119"/>
  <c r="AE51" i="119"/>
  <c r="C52" i="119"/>
  <c r="D52" i="119"/>
  <c r="E52" i="119"/>
  <c r="F52" i="119"/>
  <c r="G52" i="119"/>
  <c r="H52" i="119"/>
  <c r="I52" i="119"/>
  <c r="J52" i="119"/>
  <c r="K52" i="119"/>
  <c r="L52" i="119"/>
  <c r="M52" i="119"/>
  <c r="N52" i="119"/>
  <c r="O52" i="119"/>
  <c r="P52" i="119"/>
  <c r="Q52" i="119"/>
  <c r="R52" i="119"/>
  <c r="S52" i="119"/>
  <c r="T52" i="119"/>
  <c r="U52" i="119"/>
  <c r="V52" i="119"/>
  <c r="W52" i="119"/>
  <c r="X52" i="119"/>
  <c r="Y52" i="119"/>
  <c r="Z52" i="119"/>
  <c r="AA52" i="119"/>
  <c r="AB52" i="119"/>
  <c r="AC52" i="119"/>
  <c r="AD52" i="119"/>
  <c r="AE52" i="119"/>
  <c r="C53" i="119"/>
  <c r="D53" i="119"/>
  <c r="E53" i="119"/>
  <c r="F53" i="119"/>
  <c r="G53" i="119"/>
  <c r="H53" i="119"/>
  <c r="I53" i="119"/>
  <c r="J53" i="119"/>
  <c r="K53" i="119"/>
  <c r="L53" i="119"/>
  <c r="M53" i="119"/>
  <c r="N53" i="119"/>
  <c r="O53" i="119"/>
  <c r="P53" i="119"/>
  <c r="Q53" i="119"/>
  <c r="R53" i="119"/>
  <c r="S53" i="119"/>
  <c r="T53" i="119"/>
  <c r="U53" i="119"/>
  <c r="V53" i="119"/>
  <c r="W53" i="119"/>
  <c r="X53" i="119"/>
  <c r="Y53" i="119"/>
  <c r="Z53" i="119"/>
  <c r="AA53" i="119"/>
  <c r="AB53" i="119"/>
  <c r="AC53" i="119"/>
  <c r="AD53" i="119"/>
  <c r="AE53" i="119"/>
  <c r="C54" i="119"/>
  <c r="D54" i="119"/>
  <c r="E54" i="119"/>
  <c r="F54" i="119"/>
  <c r="G54" i="119"/>
  <c r="H54" i="119"/>
  <c r="I54" i="119"/>
  <c r="J54" i="119"/>
  <c r="K54" i="119"/>
  <c r="L54" i="119"/>
  <c r="M54" i="119"/>
  <c r="N54" i="119"/>
  <c r="O54" i="119"/>
  <c r="P54" i="119"/>
  <c r="Q54" i="119"/>
  <c r="R54" i="119"/>
  <c r="S54" i="119"/>
  <c r="T54" i="119"/>
  <c r="U54" i="119"/>
  <c r="V54" i="119"/>
  <c r="W54" i="119"/>
  <c r="X54" i="119"/>
  <c r="Y54" i="119"/>
  <c r="Z54" i="119"/>
  <c r="AA54" i="119"/>
  <c r="AB54" i="119"/>
  <c r="AC54" i="119"/>
  <c r="AD54" i="119"/>
  <c r="AE54" i="119"/>
  <c r="C55" i="119"/>
  <c r="D55" i="119"/>
  <c r="E55" i="119"/>
  <c r="F55" i="119"/>
  <c r="G55" i="119"/>
  <c r="H55" i="119"/>
  <c r="I55" i="119"/>
  <c r="J55" i="119"/>
  <c r="K55" i="119"/>
  <c r="L55" i="119"/>
  <c r="M55" i="119"/>
  <c r="N55" i="119"/>
  <c r="O55" i="119"/>
  <c r="P55" i="119"/>
  <c r="Q55" i="119"/>
  <c r="R55" i="119"/>
  <c r="S55" i="119"/>
  <c r="T55" i="119"/>
  <c r="U55" i="119"/>
  <c r="V55" i="119"/>
  <c r="W55" i="119"/>
  <c r="X55" i="119"/>
  <c r="Y55" i="119"/>
  <c r="Z55" i="119"/>
  <c r="AA55" i="119"/>
  <c r="AB55" i="119"/>
  <c r="AC55" i="119"/>
  <c r="AD55" i="119"/>
  <c r="AE55" i="119"/>
  <c r="C56" i="119"/>
  <c r="D56" i="119"/>
  <c r="E56" i="119"/>
  <c r="F56" i="119"/>
  <c r="G56" i="119"/>
  <c r="H56" i="119"/>
  <c r="I56" i="119"/>
  <c r="J56" i="119"/>
  <c r="K56" i="119"/>
  <c r="L56" i="119"/>
  <c r="M56" i="119"/>
  <c r="N56" i="119"/>
  <c r="O56" i="119"/>
  <c r="P56" i="119"/>
  <c r="Q56" i="119"/>
  <c r="R56" i="119"/>
  <c r="S56" i="119"/>
  <c r="T56" i="119"/>
  <c r="U56" i="119"/>
  <c r="V56" i="119"/>
  <c r="W56" i="119"/>
  <c r="X56" i="119"/>
  <c r="Y56" i="119"/>
  <c r="Z56" i="119"/>
  <c r="AA56" i="119"/>
  <c r="AB56" i="119"/>
  <c r="AC56" i="119"/>
  <c r="AD56" i="119"/>
  <c r="AE56" i="119"/>
  <c r="C57" i="119"/>
  <c r="D57" i="119"/>
  <c r="E57" i="119"/>
  <c r="F57" i="119"/>
  <c r="G57" i="119"/>
  <c r="H57" i="119"/>
  <c r="I57" i="119"/>
  <c r="J57" i="119"/>
  <c r="K57" i="119"/>
  <c r="L57" i="119"/>
  <c r="M57" i="119"/>
  <c r="N57" i="119"/>
  <c r="O57" i="119"/>
  <c r="P57" i="119"/>
  <c r="Q57" i="119"/>
  <c r="R57" i="119"/>
  <c r="S57" i="119"/>
  <c r="T57" i="119"/>
  <c r="U57" i="119"/>
  <c r="V57" i="119"/>
  <c r="W57" i="119"/>
  <c r="X57" i="119"/>
  <c r="Y57" i="119"/>
  <c r="Z57" i="119"/>
  <c r="AA57" i="119"/>
  <c r="AB57" i="119"/>
  <c r="AC57" i="119"/>
  <c r="AD57" i="119"/>
  <c r="AE57" i="119"/>
  <c r="C58" i="119"/>
  <c r="D58" i="119"/>
  <c r="E58" i="119"/>
  <c r="F58" i="119"/>
  <c r="G58" i="119"/>
  <c r="H58" i="119"/>
  <c r="I58" i="119"/>
  <c r="J58" i="119"/>
  <c r="K58" i="119"/>
  <c r="L58" i="119"/>
  <c r="M58" i="119"/>
  <c r="N58" i="119"/>
  <c r="O58" i="119"/>
  <c r="P58" i="119"/>
  <c r="Q58" i="119"/>
  <c r="R58" i="119"/>
  <c r="S58" i="119"/>
  <c r="T58" i="119"/>
  <c r="U58" i="119"/>
  <c r="V58" i="119"/>
  <c r="W58" i="119"/>
  <c r="X58" i="119"/>
  <c r="Y58" i="119"/>
  <c r="Z58" i="119"/>
  <c r="AA58" i="119"/>
  <c r="AB58" i="119"/>
  <c r="AC58" i="119"/>
  <c r="AD58" i="119"/>
  <c r="AE58" i="119"/>
  <c r="C60" i="119"/>
  <c r="D60" i="119"/>
  <c r="E60" i="119"/>
  <c r="F60" i="119"/>
  <c r="G60" i="119"/>
  <c r="H60" i="119"/>
  <c r="I60" i="119"/>
  <c r="J60" i="119"/>
  <c r="K60" i="119"/>
  <c r="L60" i="119"/>
  <c r="M60" i="119"/>
  <c r="N60" i="119"/>
  <c r="O60" i="119"/>
  <c r="P60" i="119"/>
  <c r="Q60" i="119"/>
  <c r="R60" i="119"/>
  <c r="S60" i="119"/>
  <c r="T60" i="119"/>
  <c r="U60" i="119"/>
  <c r="V60" i="119"/>
  <c r="W60" i="119"/>
  <c r="X60" i="119"/>
  <c r="Y60" i="119"/>
  <c r="Z60" i="119"/>
  <c r="AA60" i="119"/>
  <c r="AB60" i="119"/>
  <c r="AC60" i="119"/>
  <c r="AD60" i="119"/>
  <c r="AE60" i="119"/>
  <c r="C61" i="119"/>
  <c r="D61" i="119"/>
  <c r="E61" i="119"/>
  <c r="F61" i="119"/>
  <c r="G61" i="119"/>
  <c r="H61" i="119"/>
  <c r="I61" i="119"/>
  <c r="J61" i="119"/>
  <c r="K61" i="119"/>
  <c r="L61" i="119"/>
  <c r="M61" i="119"/>
  <c r="N61" i="119"/>
  <c r="O61" i="119"/>
  <c r="P61" i="119"/>
  <c r="Q61" i="119"/>
  <c r="R61" i="119"/>
  <c r="S61" i="119"/>
  <c r="T61" i="119"/>
  <c r="U61" i="119"/>
  <c r="V61" i="119"/>
  <c r="W61" i="119"/>
  <c r="X61" i="119"/>
  <c r="Y61" i="119"/>
  <c r="Z61" i="119"/>
  <c r="AA61" i="119"/>
  <c r="AB61" i="119"/>
  <c r="AC61" i="119"/>
  <c r="AD61" i="119"/>
  <c r="AE61" i="119"/>
  <c r="C62" i="119"/>
  <c r="D62" i="119"/>
  <c r="E62" i="119"/>
  <c r="F62" i="119"/>
  <c r="G62" i="119"/>
  <c r="H62" i="119"/>
  <c r="I62" i="119"/>
  <c r="J62" i="119"/>
  <c r="K62" i="119"/>
  <c r="L62" i="119"/>
  <c r="M62" i="119"/>
  <c r="N62" i="119"/>
  <c r="O62" i="119"/>
  <c r="P62" i="119"/>
  <c r="Q62" i="119"/>
  <c r="R62" i="119"/>
  <c r="S62" i="119"/>
  <c r="T62" i="119"/>
  <c r="U62" i="119"/>
  <c r="V62" i="119"/>
  <c r="W62" i="119"/>
  <c r="X62" i="119"/>
  <c r="Y62" i="119"/>
  <c r="Z62" i="119"/>
  <c r="AA62" i="119"/>
  <c r="AB62" i="119"/>
  <c r="AC62" i="119"/>
  <c r="AD62" i="119"/>
  <c r="AE62" i="119"/>
  <c r="C63" i="119"/>
  <c r="D63" i="119"/>
  <c r="E63" i="119"/>
  <c r="F63" i="119"/>
  <c r="G63" i="119"/>
  <c r="H63" i="119"/>
  <c r="I63" i="119"/>
  <c r="J63" i="119"/>
  <c r="K63" i="119"/>
  <c r="L63" i="119"/>
  <c r="M63" i="119"/>
  <c r="N63" i="119"/>
  <c r="O63" i="119"/>
  <c r="P63" i="119"/>
  <c r="Q63" i="119"/>
  <c r="R63" i="119"/>
  <c r="S63" i="119"/>
  <c r="T63" i="119"/>
  <c r="U63" i="119"/>
  <c r="V63" i="119"/>
  <c r="W63" i="119"/>
  <c r="X63" i="119"/>
  <c r="Y63" i="119"/>
  <c r="Z63" i="119"/>
  <c r="AA63" i="119"/>
  <c r="AB63" i="119"/>
  <c r="AC63" i="119"/>
  <c r="AD63" i="119"/>
  <c r="AE63" i="119"/>
  <c r="C64" i="119"/>
  <c r="D64" i="119"/>
  <c r="E64" i="119"/>
  <c r="F64" i="119"/>
  <c r="G64" i="119"/>
  <c r="H64" i="119"/>
  <c r="I64" i="119"/>
  <c r="J64" i="119"/>
  <c r="K64" i="119"/>
  <c r="L64" i="119"/>
  <c r="M64" i="119"/>
  <c r="N64" i="119"/>
  <c r="O64" i="119"/>
  <c r="P64" i="119"/>
  <c r="Q64" i="119"/>
  <c r="R64" i="119"/>
  <c r="S64" i="119"/>
  <c r="T64" i="119"/>
  <c r="U64" i="119"/>
  <c r="V64" i="119"/>
  <c r="W64" i="119"/>
  <c r="X64" i="119"/>
  <c r="Y64" i="119"/>
  <c r="Z64" i="119"/>
  <c r="AA64" i="119"/>
  <c r="AB64" i="119"/>
  <c r="AC64" i="119"/>
  <c r="AD64" i="119"/>
  <c r="AE64" i="119"/>
  <c r="C65" i="119"/>
  <c r="D65" i="119"/>
  <c r="E65" i="119"/>
  <c r="F65" i="119"/>
  <c r="G65" i="119"/>
  <c r="H65" i="119"/>
  <c r="I65" i="119"/>
  <c r="J65" i="119"/>
  <c r="K65" i="119"/>
  <c r="L65" i="119"/>
  <c r="M65" i="119"/>
  <c r="N65" i="119"/>
  <c r="O65" i="119"/>
  <c r="P65" i="119"/>
  <c r="Q65" i="119"/>
  <c r="R65" i="119"/>
  <c r="S65" i="119"/>
  <c r="T65" i="119"/>
  <c r="U65" i="119"/>
  <c r="V65" i="119"/>
  <c r="W65" i="119"/>
  <c r="X65" i="119"/>
  <c r="Y65" i="119"/>
  <c r="Z65" i="119"/>
  <c r="AA65" i="119"/>
  <c r="AB65" i="119"/>
  <c r="AC65" i="119"/>
  <c r="AD65" i="119"/>
  <c r="AE65" i="119"/>
  <c r="C66" i="119"/>
  <c r="D66" i="119"/>
  <c r="E66" i="119"/>
  <c r="F66" i="119"/>
  <c r="G66" i="119"/>
  <c r="H66" i="119"/>
  <c r="I66" i="119"/>
  <c r="J66" i="119"/>
  <c r="K66" i="119"/>
  <c r="L66" i="119"/>
  <c r="M66" i="119"/>
  <c r="N66" i="119"/>
  <c r="O66" i="119"/>
  <c r="P66" i="119"/>
  <c r="Q66" i="119"/>
  <c r="R66" i="119"/>
  <c r="S66" i="119"/>
  <c r="T66" i="119"/>
  <c r="U66" i="119"/>
  <c r="V66" i="119"/>
  <c r="W66" i="119"/>
  <c r="X66" i="119"/>
  <c r="Y66" i="119"/>
  <c r="Z66" i="119"/>
  <c r="AA66" i="119"/>
  <c r="AB66" i="119"/>
  <c r="AC66" i="119"/>
  <c r="AD66" i="119"/>
  <c r="AE66" i="119"/>
  <c r="C67" i="119"/>
  <c r="D67" i="119"/>
  <c r="E67" i="119"/>
  <c r="F67" i="119"/>
  <c r="G67" i="119"/>
  <c r="H67" i="119"/>
  <c r="I67" i="119"/>
  <c r="J67" i="119"/>
  <c r="K67" i="119"/>
  <c r="L67" i="119"/>
  <c r="M67" i="119"/>
  <c r="N67" i="119"/>
  <c r="O67" i="119"/>
  <c r="P67" i="119"/>
  <c r="Q67" i="119"/>
  <c r="R67" i="119"/>
  <c r="S67" i="119"/>
  <c r="T67" i="119"/>
  <c r="U67" i="119"/>
  <c r="V67" i="119"/>
  <c r="W67" i="119"/>
  <c r="X67" i="119"/>
  <c r="Y67" i="119"/>
  <c r="Z67" i="119"/>
  <c r="AA67" i="119"/>
  <c r="AB67" i="119"/>
  <c r="AC67" i="119"/>
  <c r="AD67" i="119"/>
  <c r="AE67" i="119"/>
  <c r="C68" i="119"/>
  <c r="D68" i="119"/>
  <c r="E68" i="119"/>
  <c r="F68" i="119"/>
  <c r="G68" i="119"/>
  <c r="H68" i="119"/>
  <c r="I68" i="119"/>
  <c r="J68" i="119"/>
  <c r="K68" i="119"/>
  <c r="L68" i="119"/>
  <c r="M68" i="119"/>
  <c r="N68" i="119"/>
  <c r="O68" i="119"/>
  <c r="P68" i="119"/>
  <c r="Q68" i="119"/>
  <c r="R68" i="119"/>
  <c r="S68" i="119"/>
  <c r="T68" i="119"/>
  <c r="U68" i="119"/>
  <c r="V68" i="119"/>
  <c r="W68" i="119"/>
  <c r="X68" i="119"/>
  <c r="Y68" i="119"/>
  <c r="Z68" i="119"/>
  <c r="AA68" i="119"/>
  <c r="AB68" i="119"/>
  <c r="AC68" i="119"/>
  <c r="AD68" i="119"/>
  <c r="AE68" i="119"/>
  <c r="C69" i="119"/>
  <c r="D69" i="119"/>
  <c r="E69" i="119"/>
  <c r="F69" i="119"/>
  <c r="G69" i="119"/>
  <c r="H69" i="119"/>
  <c r="I69" i="119"/>
  <c r="J69" i="119"/>
  <c r="K69" i="119"/>
  <c r="L69" i="119"/>
  <c r="M69" i="119"/>
  <c r="N69" i="119"/>
  <c r="O69" i="119"/>
  <c r="P69" i="119"/>
  <c r="Q69" i="119"/>
  <c r="R69" i="119"/>
  <c r="S69" i="119"/>
  <c r="T69" i="119"/>
  <c r="U69" i="119"/>
  <c r="V69" i="119"/>
  <c r="W69" i="119"/>
  <c r="X69" i="119"/>
  <c r="Y69" i="119"/>
  <c r="Z69" i="119"/>
  <c r="AA69" i="119"/>
  <c r="AB69" i="119"/>
  <c r="AC69" i="119"/>
  <c r="AD69" i="119"/>
  <c r="AE69" i="119"/>
  <c r="C70" i="119"/>
  <c r="D70" i="119"/>
  <c r="E70" i="119"/>
  <c r="F70" i="119"/>
  <c r="G70" i="119"/>
  <c r="H70" i="119"/>
  <c r="I70" i="119"/>
  <c r="J70" i="119"/>
  <c r="K70" i="119"/>
  <c r="L70" i="119"/>
  <c r="M70" i="119"/>
  <c r="N70" i="119"/>
  <c r="O70" i="119"/>
  <c r="P70" i="119"/>
  <c r="Q70" i="119"/>
  <c r="R70" i="119"/>
  <c r="S70" i="119"/>
  <c r="T70" i="119"/>
  <c r="U70" i="119"/>
  <c r="V70" i="119"/>
  <c r="W70" i="119"/>
  <c r="X70" i="119"/>
  <c r="Y70" i="119"/>
  <c r="Z70" i="119"/>
  <c r="AA70" i="119"/>
  <c r="AB70" i="119"/>
  <c r="AC70" i="119"/>
  <c r="AD70" i="119"/>
  <c r="AE70" i="119"/>
  <c r="C71" i="119"/>
  <c r="D71" i="119"/>
  <c r="E71" i="119"/>
  <c r="F71" i="119"/>
  <c r="G71" i="119"/>
  <c r="H71" i="119"/>
  <c r="I71" i="119"/>
  <c r="J71" i="119"/>
  <c r="K71" i="119"/>
  <c r="L71" i="119"/>
  <c r="M71" i="119"/>
  <c r="N71" i="119"/>
  <c r="O71" i="119"/>
  <c r="P71" i="119"/>
  <c r="Q71" i="119"/>
  <c r="R71" i="119"/>
  <c r="S71" i="119"/>
  <c r="T71" i="119"/>
  <c r="U71" i="119"/>
  <c r="V71" i="119"/>
  <c r="W71" i="119"/>
  <c r="X71" i="119"/>
  <c r="Y71" i="119"/>
  <c r="Z71" i="119"/>
  <c r="AA71" i="119"/>
  <c r="AB71" i="119"/>
  <c r="AC71" i="119"/>
  <c r="AD71" i="119"/>
  <c r="AE71" i="119"/>
  <c r="C72" i="119"/>
  <c r="D72" i="119"/>
  <c r="E72" i="119"/>
  <c r="F72" i="119"/>
  <c r="G72" i="119"/>
  <c r="H72" i="119"/>
  <c r="I72" i="119"/>
  <c r="J72" i="119"/>
  <c r="K72" i="119"/>
  <c r="L72" i="119"/>
  <c r="M72" i="119"/>
  <c r="N72" i="119"/>
  <c r="O72" i="119"/>
  <c r="P72" i="119"/>
  <c r="Q72" i="119"/>
  <c r="R72" i="119"/>
  <c r="S72" i="119"/>
  <c r="T72" i="119"/>
  <c r="U72" i="119"/>
  <c r="V72" i="119"/>
  <c r="W72" i="119"/>
  <c r="X72" i="119"/>
  <c r="Y72" i="119"/>
  <c r="Z72" i="119"/>
  <c r="AA72" i="119"/>
  <c r="AB72" i="119"/>
  <c r="AC72" i="119"/>
  <c r="AD72" i="119"/>
  <c r="AE72" i="119"/>
  <c r="C73" i="119"/>
  <c r="D73" i="119"/>
  <c r="E73" i="119"/>
  <c r="F73" i="119"/>
  <c r="G73" i="119"/>
  <c r="H73" i="119"/>
  <c r="I73" i="119"/>
  <c r="J73" i="119"/>
  <c r="K73" i="119"/>
  <c r="L73" i="119"/>
  <c r="M73" i="119"/>
  <c r="N73" i="119"/>
  <c r="O73" i="119"/>
  <c r="P73" i="119"/>
  <c r="Q73" i="119"/>
  <c r="R73" i="119"/>
  <c r="S73" i="119"/>
  <c r="T73" i="119"/>
  <c r="U73" i="119"/>
  <c r="V73" i="119"/>
  <c r="W73" i="119"/>
  <c r="X73" i="119"/>
  <c r="Y73" i="119"/>
  <c r="Z73" i="119"/>
  <c r="AA73" i="119"/>
  <c r="AB73" i="119"/>
  <c r="AC73" i="119"/>
  <c r="AD73" i="119"/>
  <c r="AE73" i="119"/>
  <c r="C74" i="119"/>
  <c r="D74" i="119"/>
  <c r="E74" i="119"/>
  <c r="F74" i="119"/>
  <c r="G74" i="119"/>
  <c r="H74" i="119"/>
  <c r="I74" i="119"/>
  <c r="J74" i="119"/>
  <c r="K74" i="119"/>
  <c r="L74" i="119"/>
  <c r="M74" i="119"/>
  <c r="N74" i="119"/>
  <c r="O74" i="119"/>
  <c r="P74" i="119"/>
  <c r="Q74" i="119"/>
  <c r="R74" i="119"/>
  <c r="S74" i="119"/>
  <c r="T74" i="119"/>
  <c r="U74" i="119"/>
  <c r="V74" i="119"/>
  <c r="W74" i="119"/>
  <c r="X74" i="119"/>
  <c r="Y74" i="119"/>
  <c r="Z74" i="119"/>
  <c r="AA74" i="119"/>
  <c r="AB74" i="119"/>
  <c r="AC74" i="119"/>
  <c r="AD74" i="119"/>
  <c r="AE74" i="119"/>
  <c r="C75" i="119"/>
  <c r="D75" i="119"/>
  <c r="E75" i="119"/>
  <c r="F75" i="119"/>
  <c r="G75" i="119"/>
  <c r="H75" i="119"/>
  <c r="I75" i="119"/>
  <c r="J75" i="119"/>
  <c r="K75" i="119"/>
  <c r="L75" i="119"/>
  <c r="M75" i="119"/>
  <c r="N75" i="119"/>
  <c r="O75" i="119"/>
  <c r="P75" i="119"/>
  <c r="Q75" i="119"/>
  <c r="R75" i="119"/>
  <c r="S75" i="119"/>
  <c r="T75" i="119"/>
  <c r="U75" i="119"/>
  <c r="V75" i="119"/>
  <c r="W75" i="119"/>
  <c r="X75" i="119"/>
  <c r="Y75" i="119"/>
  <c r="Z75" i="119"/>
  <c r="AA75" i="119"/>
  <c r="AB75" i="119"/>
  <c r="AC75" i="119"/>
  <c r="AD75" i="119"/>
  <c r="AE75" i="119"/>
  <c r="C76" i="119"/>
  <c r="D76" i="119"/>
  <c r="E76" i="119"/>
  <c r="F76" i="119"/>
  <c r="G76" i="119"/>
  <c r="H76" i="119"/>
  <c r="I76" i="119"/>
  <c r="J76" i="119"/>
  <c r="K76" i="119"/>
  <c r="L76" i="119"/>
  <c r="M76" i="119"/>
  <c r="N76" i="119"/>
  <c r="O76" i="119"/>
  <c r="P76" i="119"/>
  <c r="Q76" i="119"/>
  <c r="R76" i="119"/>
  <c r="S76" i="119"/>
  <c r="T76" i="119"/>
  <c r="U76" i="119"/>
  <c r="V76" i="119"/>
  <c r="W76" i="119"/>
  <c r="X76" i="119"/>
  <c r="Y76" i="119"/>
  <c r="Z76" i="119"/>
  <c r="AA76" i="119"/>
  <c r="AB76" i="119"/>
  <c r="AC76" i="119"/>
  <c r="AD76" i="119"/>
  <c r="AE76" i="119"/>
  <c r="C77" i="119"/>
  <c r="D77" i="119"/>
  <c r="E77" i="119"/>
  <c r="F77" i="119"/>
  <c r="G77" i="119"/>
  <c r="H77" i="119"/>
  <c r="I77" i="119"/>
  <c r="J77" i="119"/>
  <c r="K77" i="119"/>
  <c r="L77" i="119"/>
  <c r="M77" i="119"/>
  <c r="N77" i="119"/>
  <c r="O77" i="119"/>
  <c r="P77" i="119"/>
  <c r="Q77" i="119"/>
  <c r="R77" i="119"/>
  <c r="S77" i="119"/>
  <c r="T77" i="119"/>
  <c r="U77" i="119"/>
  <c r="V77" i="119"/>
  <c r="W77" i="119"/>
  <c r="X77" i="119"/>
  <c r="Y77" i="119"/>
  <c r="Z77" i="119"/>
  <c r="AA77" i="119"/>
  <c r="AB77" i="119"/>
  <c r="AC77" i="119"/>
  <c r="AD77" i="119"/>
  <c r="AE77" i="119"/>
  <c r="C78" i="119"/>
  <c r="D78" i="119"/>
  <c r="E78" i="119"/>
  <c r="F78" i="119"/>
  <c r="G78" i="119"/>
  <c r="H78" i="119"/>
  <c r="I78" i="119"/>
  <c r="J78" i="119"/>
  <c r="K78" i="119"/>
  <c r="L78" i="119"/>
  <c r="M78" i="119"/>
  <c r="N78" i="119"/>
  <c r="O78" i="119"/>
  <c r="P78" i="119"/>
  <c r="Q78" i="119"/>
  <c r="R78" i="119"/>
  <c r="S78" i="119"/>
  <c r="T78" i="119"/>
  <c r="U78" i="119"/>
  <c r="V78" i="119"/>
  <c r="W78" i="119"/>
  <c r="X78" i="119"/>
  <c r="Y78" i="119"/>
  <c r="Z78" i="119"/>
  <c r="AA78" i="119"/>
  <c r="AB78" i="119"/>
  <c r="AC78" i="119"/>
  <c r="AD78" i="119"/>
  <c r="AE78" i="119"/>
  <c r="C79" i="119"/>
  <c r="D79" i="119"/>
  <c r="E79" i="119"/>
  <c r="F79" i="119"/>
  <c r="G79" i="119"/>
  <c r="H79" i="119"/>
  <c r="I79" i="119"/>
  <c r="J79" i="119"/>
  <c r="K79" i="119"/>
  <c r="L79" i="119"/>
  <c r="M79" i="119"/>
  <c r="N79" i="119"/>
  <c r="O79" i="119"/>
  <c r="P79" i="119"/>
  <c r="Q79" i="119"/>
  <c r="R79" i="119"/>
  <c r="S79" i="119"/>
  <c r="T79" i="119"/>
  <c r="U79" i="119"/>
  <c r="V79" i="119"/>
  <c r="W79" i="119"/>
  <c r="X79" i="119"/>
  <c r="Y79" i="119"/>
  <c r="Z79" i="119"/>
  <c r="AA79" i="119"/>
  <c r="AB79" i="119"/>
  <c r="AC79" i="119"/>
  <c r="AD79" i="119"/>
  <c r="AE79" i="119"/>
  <c r="C80" i="119"/>
  <c r="D80" i="119"/>
  <c r="E80" i="119"/>
  <c r="F80" i="119"/>
  <c r="G80" i="119"/>
  <c r="H80" i="119"/>
  <c r="I80" i="119"/>
  <c r="J80" i="119"/>
  <c r="K80" i="119"/>
  <c r="L80" i="119"/>
  <c r="M80" i="119"/>
  <c r="N80" i="119"/>
  <c r="O80" i="119"/>
  <c r="P80" i="119"/>
  <c r="Q80" i="119"/>
  <c r="R80" i="119"/>
  <c r="S80" i="119"/>
  <c r="T80" i="119"/>
  <c r="U80" i="119"/>
  <c r="V80" i="119"/>
  <c r="W80" i="119"/>
  <c r="X80" i="119"/>
  <c r="Y80" i="119"/>
  <c r="Z80" i="119"/>
  <c r="AA80" i="119"/>
  <c r="AB80" i="119"/>
  <c r="AC80" i="119"/>
  <c r="AD80" i="119"/>
  <c r="AE80" i="119"/>
  <c r="C81" i="119"/>
  <c r="D81" i="119"/>
  <c r="E81" i="119"/>
  <c r="F81" i="119"/>
  <c r="G81" i="119"/>
  <c r="H81" i="119"/>
  <c r="I81" i="119"/>
  <c r="J81" i="119"/>
  <c r="K81" i="119"/>
  <c r="L81" i="119"/>
  <c r="M81" i="119"/>
  <c r="N81" i="119"/>
  <c r="O81" i="119"/>
  <c r="P81" i="119"/>
  <c r="Q81" i="119"/>
  <c r="R81" i="119"/>
  <c r="S81" i="119"/>
  <c r="T81" i="119"/>
  <c r="U81" i="119"/>
  <c r="V81" i="119"/>
  <c r="W81" i="119"/>
  <c r="X81" i="119"/>
  <c r="Y81" i="119"/>
  <c r="Z81" i="119"/>
  <c r="AA81" i="119"/>
  <c r="AB81" i="119"/>
  <c r="AC81" i="119"/>
  <c r="AD81" i="119"/>
  <c r="AE81" i="119"/>
  <c r="C82" i="119"/>
  <c r="D82" i="119"/>
  <c r="E82" i="119"/>
  <c r="F82" i="119"/>
  <c r="G82" i="119"/>
  <c r="H82" i="119"/>
  <c r="I82" i="119"/>
  <c r="J82" i="119"/>
  <c r="K82" i="119"/>
  <c r="L82" i="119"/>
  <c r="M82" i="119"/>
  <c r="N82" i="119"/>
  <c r="O82" i="119"/>
  <c r="P82" i="119"/>
  <c r="Q82" i="119"/>
  <c r="R82" i="119"/>
  <c r="S82" i="119"/>
  <c r="T82" i="119"/>
  <c r="U82" i="119"/>
  <c r="V82" i="119"/>
  <c r="W82" i="119"/>
  <c r="X82" i="119"/>
  <c r="Y82" i="119"/>
  <c r="Z82" i="119"/>
  <c r="AA82" i="119"/>
  <c r="AB82" i="119"/>
  <c r="AC82" i="119"/>
  <c r="AD82" i="119"/>
  <c r="AE82" i="119"/>
  <c r="C83" i="119"/>
  <c r="D83" i="119"/>
  <c r="E83" i="119"/>
  <c r="F83" i="119"/>
  <c r="G83" i="119"/>
  <c r="H83" i="119"/>
  <c r="I83" i="119"/>
  <c r="J83" i="119"/>
  <c r="K83" i="119"/>
  <c r="L83" i="119"/>
  <c r="M83" i="119"/>
  <c r="N83" i="119"/>
  <c r="O83" i="119"/>
  <c r="P83" i="119"/>
  <c r="Q83" i="119"/>
  <c r="R83" i="119"/>
  <c r="S83" i="119"/>
  <c r="T83" i="119"/>
  <c r="U83" i="119"/>
  <c r="V83" i="119"/>
  <c r="W83" i="119"/>
  <c r="X83" i="119"/>
  <c r="Y83" i="119"/>
  <c r="Z83" i="119"/>
  <c r="AA83" i="119"/>
  <c r="AB83" i="119"/>
  <c r="AC83" i="119"/>
  <c r="AD83" i="119"/>
  <c r="AE83" i="119"/>
  <c r="C84" i="119"/>
  <c r="D84" i="119"/>
  <c r="E84" i="119"/>
  <c r="F84" i="119"/>
  <c r="G84" i="119"/>
  <c r="H84" i="119"/>
  <c r="I84" i="119"/>
  <c r="J84" i="119"/>
  <c r="K84" i="119"/>
  <c r="L84" i="119"/>
  <c r="M84" i="119"/>
  <c r="N84" i="119"/>
  <c r="O84" i="119"/>
  <c r="P84" i="119"/>
  <c r="Q84" i="119"/>
  <c r="R84" i="119"/>
  <c r="S84" i="119"/>
  <c r="T84" i="119"/>
  <c r="U84" i="119"/>
  <c r="V84" i="119"/>
  <c r="W84" i="119"/>
  <c r="X84" i="119"/>
  <c r="Y84" i="119"/>
  <c r="Z84" i="119"/>
  <c r="AA84" i="119"/>
  <c r="AB84" i="119"/>
  <c r="AC84" i="119"/>
  <c r="AD84" i="119"/>
  <c r="AE84" i="119"/>
  <c r="C85" i="119"/>
  <c r="D85" i="119"/>
  <c r="E85" i="119"/>
  <c r="F85" i="119"/>
  <c r="G85" i="119"/>
  <c r="H85" i="119"/>
  <c r="I85" i="119"/>
  <c r="J85" i="119"/>
  <c r="K85" i="119"/>
  <c r="L85" i="119"/>
  <c r="M85" i="119"/>
  <c r="N85" i="119"/>
  <c r="O85" i="119"/>
  <c r="P85" i="119"/>
  <c r="Q85" i="119"/>
  <c r="R85" i="119"/>
  <c r="S85" i="119"/>
  <c r="T85" i="119"/>
  <c r="U85" i="119"/>
  <c r="V85" i="119"/>
  <c r="W85" i="119"/>
  <c r="X85" i="119"/>
  <c r="Y85" i="119"/>
  <c r="Z85" i="119"/>
  <c r="AA85" i="119"/>
  <c r="AB85" i="119"/>
  <c r="AC85" i="119"/>
  <c r="AD85" i="119"/>
  <c r="AE85" i="119"/>
  <c r="C86" i="119"/>
  <c r="D86" i="119"/>
  <c r="E86" i="119"/>
  <c r="F86" i="119"/>
  <c r="G86" i="119"/>
  <c r="H86" i="119"/>
  <c r="I86" i="119"/>
  <c r="J86" i="119"/>
  <c r="K86" i="119"/>
  <c r="L86" i="119"/>
  <c r="M86" i="119"/>
  <c r="N86" i="119"/>
  <c r="O86" i="119"/>
  <c r="P86" i="119"/>
  <c r="Q86" i="119"/>
  <c r="R86" i="119"/>
  <c r="S86" i="119"/>
  <c r="T86" i="119"/>
  <c r="U86" i="119"/>
  <c r="V86" i="119"/>
  <c r="W86" i="119"/>
  <c r="X86" i="119"/>
  <c r="Y86" i="119"/>
  <c r="Z86" i="119"/>
  <c r="AA86" i="119"/>
  <c r="AB86" i="119"/>
  <c r="AC86" i="119"/>
  <c r="AD86" i="119"/>
  <c r="AE86" i="119"/>
  <c r="C87" i="119"/>
  <c r="D87" i="119"/>
  <c r="E87" i="119"/>
  <c r="F87" i="119"/>
  <c r="G87" i="119"/>
  <c r="H87" i="119"/>
  <c r="I87" i="119"/>
  <c r="J87" i="119"/>
  <c r="K87" i="119"/>
  <c r="L87" i="119"/>
  <c r="M87" i="119"/>
  <c r="N87" i="119"/>
  <c r="O87" i="119"/>
  <c r="P87" i="119"/>
  <c r="Q87" i="119"/>
  <c r="R87" i="119"/>
  <c r="S87" i="119"/>
  <c r="T87" i="119"/>
  <c r="U87" i="119"/>
  <c r="V87" i="119"/>
  <c r="W87" i="119"/>
  <c r="X87" i="119"/>
  <c r="Y87" i="119"/>
  <c r="Z87" i="119"/>
  <c r="AA87" i="119"/>
  <c r="AB87" i="119"/>
  <c r="AC87" i="119"/>
  <c r="AD87" i="119"/>
  <c r="AE87" i="119"/>
  <c r="C88" i="119"/>
  <c r="D88" i="119"/>
  <c r="E88" i="119"/>
  <c r="F88" i="119"/>
  <c r="G88" i="119"/>
  <c r="H88" i="119"/>
  <c r="I88" i="119"/>
  <c r="J88" i="119"/>
  <c r="K88" i="119"/>
  <c r="L88" i="119"/>
  <c r="M88" i="119"/>
  <c r="N88" i="119"/>
  <c r="O88" i="119"/>
  <c r="P88" i="119"/>
  <c r="Q88" i="119"/>
  <c r="R88" i="119"/>
  <c r="S88" i="119"/>
  <c r="T88" i="119"/>
  <c r="U88" i="119"/>
  <c r="V88" i="119"/>
  <c r="W88" i="119"/>
  <c r="X88" i="119"/>
  <c r="Y88" i="119"/>
  <c r="Z88" i="119"/>
  <c r="AA88" i="119"/>
  <c r="AB88" i="119"/>
  <c r="AC88" i="119"/>
  <c r="AD88" i="119"/>
  <c r="AE88" i="119"/>
  <c r="C89" i="119"/>
  <c r="D89" i="119"/>
  <c r="E89" i="119"/>
  <c r="F89" i="119"/>
  <c r="G89" i="119"/>
  <c r="H89" i="119"/>
  <c r="I89" i="119"/>
  <c r="J89" i="119"/>
  <c r="K89" i="119"/>
  <c r="L89" i="119"/>
  <c r="M89" i="119"/>
  <c r="N89" i="119"/>
  <c r="O89" i="119"/>
  <c r="P89" i="119"/>
  <c r="Q89" i="119"/>
  <c r="R89" i="119"/>
  <c r="S89" i="119"/>
  <c r="T89" i="119"/>
  <c r="U89" i="119"/>
  <c r="V89" i="119"/>
  <c r="W89" i="119"/>
  <c r="X89" i="119"/>
  <c r="Y89" i="119"/>
  <c r="Z89" i="119"/>
  <c r="AA89" i="119"/>
  <c r="AB89" i="119"/>
  <c r="AC89" i="119"/>
  <c r="AD89" i="119"/>
  <c r="AE89" i="119"/>
  <c r="C90" i="119"/>
  <c r="D90" i="119"/>
  <c r="E90" i="119"/>
  <c r="F90" i="119"/>
  <c r="G90" i="119"/>
  <c r="H90" i="119"/>
  <c r="I90" i="119"/>
  <c r="J90" i="119"/>
  <c r="K90" i="119"/>
  <c r="L90" i="119"/>
  <c r="M90" i="119"/>
  <c r="N90" i="119"/>
  <c r="O90" i="119"/>
  <c r="P90" i="119"/>
  <c r="Q90" i="119"/>
  <c r="R90" i="119"/>
  <c r="S90" i="119"/>
  <c r="T90" i="119"/>
  <c r="U90" i="119"/>
  <c r="V90" i="119"/>
  <c r="W90" i="119"/>
  <c r="X90" i="119"/>
  <c r="Y90" i="119"/>
  <c r="Z90" i="119"/>
  <c r="AA90" i="119"/>
  <c r="AB90" i="119"/>
  <c r="AC90" i="119"/>
  <c r="AD90" i="119"/>
  <c r="AE90" i="119"/>
  <c r="C91" i="119"/>
  <c r="D91" i="119"/>
  <c r="E91" i="119"/>
  <c r="F91" i="119"/>
  <c r="G91" i="119"/>
  <c r="H91" i="119"/>
  <c r="I91" i="119"/>
  <c r="J91" i="119"/>
  <c r="K91" i="119"/>
  <c r="L91" i="119"/>
  <c r="M91" i="119"/>
  <c r="N91" i="119"/>
  <c r="O91" i="119"/>
  <c r="P91" i="119"/>
  <c r="Q91" i="119"/>
  <c r="R91" i="119"/>
  <c r="S91" i="119"/>
  <c r="T91" i="119"/>
  <c r="U91" i="119"/>
  <c r="V91" i="119"/>
  <c r="W91" i="119"/>
  <c r="X91" i="119"/>
  <c r="Y91" i="119"/>
  <c r="Z91" i="119"/>
  <c r="AA91" i="119"/>
  <c r="AB91" i="119"/>
  <c r="AC91" i="119"/>
  <c r="AD91" i="119"/>
  <c r="AE91" i="119"/>
  <c r="C92" i="119"/>
  <c r="D92" i="119"/>
  <c r="E92" i="119"/>
  <c r="F92" i="119"/>
  <c r="G92" i="119"/>
  <c r="H92" i="119"/>
  <c r="I92" i="119"/>
  <c r="J92" i="119"/>
  <c r="K92" i="119"/>
  <c r="L92" i="119"/>
  <c r="M92" i="119"/>
  <c r="N92" i="119"/>
  <c r="O92" i="119"/>
  <c r="P92" i="119"/>
  <c r="Q92" i="119"/>
  <c r="R92" i="119"/>
  <c r="S92" i="119"/>
  <c r="T92" i="119"/>
  <c r="U92" i="119"/>
  <c r="V92" i="119"/>
  <c r="W92" i="119"/>
  <c r="X92" i="119"/>
  <c r="Y92" i="119"/>
  <c r="Z92" i="119"/>
  <c r="AA92" i="119"/>
  <c r="AB92" i="119"/>
  <c r="AC92" i="119"/>
  <c r="AD92" i="119"/>
  <c r="AE92" i="119"/>
  <c r="C93" i="119"/>
  <c r="D93" i="119"/>
  <c r="E93" i="119"/>
  <c r="F93" i="119"/>
  <c r="G93" i="119"/>
  <c r="H93" i="119"/>
  <c r="I93" i="119"/>
  <c r="J93" i="119"/>
  <c r="K93" i="119"/>
  <c r="L93" i="119"/>
  <c r="M93" i="119"/>
  <c r="N93" i="119"/>
  <c r="O93" i="119"/>
  <c r="P93" i="119"/>
  <c r="Q93" i="119"/>
  <c r="R93" i="119"/>
  <c r="S93" i="119"/>
  <c r="T93" i="119"/>
  <c r="U93" i="119"/>
  <c r="V93" i="119"/>
  <c r="W93" i="119"/>
  <c r="X93" i="119"/>
  <c r="Y93" i="119"/>
  <c r="Z93" i="119"/>
  <c r="AA93" i="119"/>
  <c r="AB93" i="119"/>
  <c r="AC93" i="119"/>
  <c r="AD93" i="119"/>
  <c r="AE93" i="119"/>
  <c r="C94" i="119"/>
  <c r="D94" i="119"/>
  <c r="E94" i="119"/>
  <c r="F94" i="119"/>
  <c r="G94" i="119"/>
  <c r="H94" i="119"/>
  <c r="I94" i="119"/>
  <c r="J94" i="119"/>
  <c r="K94" i="119"/>
  <c r="L94" i="119"/>
  <c r="M94" i="119"/>
  <c r="N94" i="119"/>
  <c r="O94" i="119"/>
  <c r="P94" i="119"/>
  <c r="Q94" i="119"/>
  <c r="R94" i="119"/>
  <c r="S94" i="119"/>
  <c r="T94" i="119"/>
  <c r="U94" i="119"/>
  <c r="V94" i="119"/>
  <c r="W94" i="119"/>
  <c r="X94" i="119"/>
  <c r="Y94" i="119"/>
  <c r="Z94" i="119"/>
  <c r="AA94" i="119"/>
  <c r="AB94" i="119"/>
  <c r="AC94" i="119"/>
  <c r="AD94" i="119"/>
  <c r="AE94" i="119"/>
  <c r="C95" i="119"/>
  <c r="D95" i="119"/>
  <c r="E95" i="119"/>
  <c r="F95" i="119"/>
  <c r="G95" i="119"/>
  <c r="H95" i="119"/>
  <c r="I95" i="119"/>
  <c r="J95" i="119"/>
  <c r="K95" i="119"/>
  <c r="L95" i="119"/>
  <c r="M95" i="119"/>
  <c r="N95" i="119"/>
  <c r="O95" i="119"/>
  <c r="P95" i="119"/>
  <c r="Q95" i="119"/>
  <c r="R95" i="119"/>
  <c r="S95" i="119"/>
  <c r="T95" i="119"/>
  <c r="U95" i="119"/>
  <c r="V95" i="119"/>
  <c r="W95" i="119"/>
  <c r="X95" i="119"/>
  <c r="Y95" i="119"/>
  <c r="Z95" i="119"/>
  <c r="AA95" i="119"/>
  <c r="AB95" i="119"/>
  <c r="AC95" i="119"/>
  <c r="AD95" i="119"/>
  <c r="AE95" i="119"/>
  <c r="C96" i="119"/>
  <c r="D96" i="119"/>
  <c r="E96" i="119"/>
  <c r="F96" i="119"/>
  <c r="G96" i="119"/>
  <c r="H96" i="119"/>
  <c r="I96" i="119"/>
  <c r="J96" i="119"/>
  <c r="K96" i="119"/>
  <c r="L96" i="119"/>
  <c r="M96" i="119"/>
  <c r="N96" i="119"/>
  <c r="O96" i="119"/>
  <c r="P96" i="119"/>
  <c r="Q96" i="119"/>
  <c r="R96" i="119"/>
  <c r="S96" i="119"/>
  <c r="T96" i="119"/>
  <c r="U96" i="119"/>
  <c r="V96" i="119"/>
  <c r="W96" i="119"/>
  <c r="X96" i="119"/>
  <c r="Y96" i="119"/>
  <c r="Z96" i="119"/>
  <c r="AA96" i="119"/>
  <c r="AB96" i="119"/>
  <c r="AC96" i="119"/>
  <c r="AD96" i="119"/>
  <c r="AE96" i="119"/>
  <c r="C97" i="119"/>
  <c r="D97" i="119"/>
  <c r="E97" i="119"/>
  <c r="F97" i="119"/>
  <c r="G97" i="119"/>
  <c r="H97" i="119"/>
  <c r="I97" i="119"/>
  <c r="J97" i="119"/>
  <c r="K97" i="119"/>
  <c r="L97" i="119"/>
  <c r="M97" i="119"/>
  <c r="N97" i="119"/>
  <c r="O97" i="119"/>
  <c r="P97" i="119"/>
  <c r="Q97" i="119"/>
  <c r="R97" i="119"/>
  <c r="S97" i="119"/>
  <c r="T97" i="119"/>
  <c r="U97" i="119"/>
  <c r="V97" i="119"/>
  <c r="W97" i="119"/>
  <c r="X97" i="119"/>
  <c r="Y97" i="119"/>
  <c r="Z97" i="119"/>
  <c r="AA97" i="119"/>
  <c r="AB97" i="119"/>
  <c r="AC97" i="119"/>
  <c r="AD97" i="119"/>
  <c r="AE97" i="119"/>
  <c r="C98" i="119"/>
  <c r="D98" i="119"/>
  <c r="E98" i="119"/>
  <c r="F98" i="119"/>
  <c r="G98" i="119"/>
  <c r="H98" i="119"/>
  <c r="I98" i="119"/>
  <c r="J98" i="119"/>
  <c r="K98" i="119"/>
  <c r="L98" i="119"/>
  <c r="M98" i="119"/>
  <c r="N98" i="119"/>
  <c r="O98" i="119"/>
  <c r="P98" i="119"/>
  <c r="Q98" i="119"/>
  <c r="R98" i="119"/>
  <c r="S98" i="119"/>
  <c r="T98" i="119"/>
  <c r="U98" i="119"/>
  <c r="V98" i="119"/>
  <c r="W98" i="119"/>
  <c r="X98" i="119"/>
  <c r="Y98" i="119"/>
  <c r="Z98" i="119"/>
  <c r="AA98" i="119"/>
  <c r="AB98" i="119"/>
  <c r="AC98" i="119"/>
  <c r="AD98" i="119"/>
  <c r="AE98" i="119"/>
  <c r="C99" i="119"/>
  <c r="D99" i="119"/>
  <c r="E99" i="119"/>
  <c r="F99" i="119"/>
  <c r="G99" i="119"/>
  <c r="H99" i="119"/>
  <c r="I99" i="119"/>
  <c r="J99" i="119"/>
  <c r="K99" i="119"/>
  <c r="L99" i="119"/>
  <c r="M99" i="119"/>
  <c r="N99" i="119"/>
  <c r="O99" i="119"/>
  <c r="P99" i="119"/>
  <c r="Q99" i="119"/>
  <c r="R99" i="119"/>
  <c r="S99" i="119"/>
  <c r="T99" i="119"/>
  <c r="U99" i="119"/>
  <c r="V99" i="119"/>
  <c r="W99" i="119"/>
  <c r="X99" i="119"/>
  <c r="Y99" i="119"/>
  <c r="Z99" i="119"/>
  <c r="AA99" i="119"/>
  <c r="AB99" i="119"/>
  <c r="AC99" i="119"/>
  <c r="AD99" i="119"/>
  <c r="AE99" i="119"/>
  <c r="C100" i="119"/>
  <c r="D100" i="119"/>
  <c r="E100" i="119"/>
  <c r="F100" i="119"/>
  <c r="G100" i="119"/>
  <c r="H100" i="119"/>
  <c r="I100" i="119"/>
  <c r="J100" i="119"/>
  <c r="K100" i="119"/>
  <c r="L100" i="119"/>
  <c r="M100" i="119"/>
  <c r="N100" i="119"/>
  <c r="O100" i="119"/>
  <c r="P100" i="119"/>
  <c r="Q100" i="119"/>
  <c r="R100" i="119"/>
  <c r="S100" i="119"/>
  <c r="T100" i="119"/>
  <c r="U100" i="119"/>
  <c r="V100" i="119"/>
  <c r="W100" i="119"/>
  <c r="X100" i="119"/>
  <c r="Y100" i="119"/>
  <c r="Z100" i="119"/>
  <c r="AA100" i="119"/>
  <c r="AB100" i="119"/>
  <c r="AC100" i="119"/>
  <c r="AD100" i="119"/>
  <c r="AE100" i="119"/>
  <c r="C101" i="119"/>
  <c r="D101" i="119"/>
  <c r="E101" i="119"/>
  <c r="F101" i="119"/>
  <c r="G101" i="119"/>
  <c r="H101" i="119"/>
  <c r="I101" i="119"/>
  <c r="J101" i="119"/>
  <c r="K101" i="119"/>
  <c r="L101" i="119"/>
  <c r="M101" i="119"/>
  <c r="N101" i="119"/>
  <c r="O101" i="119"/>
  <c r="P101" i="119"/>
  <c r="Q101" i="119"/>
  <c r="R101" i="119"/>
  <c r="S101" i="119"/>
  <c r="T101" i="119"/>
  <c r="U101" i="119"/>
  <c r="V101" i="119"/>
  <c r="W101" i="119"/>
  <c r="X101" i="119"/>
  <c r="Y101" i="119"/>
  <c r="Z101" i="119"/>
  <c r="AA101" i="119"/>
  <c r="AB101" i="119"/>
  <c r="AC101" i="119"/>
  <c r="AD101" i="119"/>
  <c r="AE101" i="119"/>
  <c r="C102" i="119"/>
  <c r="D102" i="119"/>
  <c r="E102" i="119"/>
  <c r="F102" i="119"/>
  <c r="G102" i="119"/>
  <c r="H102" i="119"/>
  <c r="I102" i="119"/>
  <c r="J102" i="119"/>
  <c r="K102" i="119"/>
  <c r="L102" i="119"/>
  <c r="M102" i="119"/>
  <c r="N102" i="119"/>
  <c r="O102" i="119"/>
  <c r="P102" i="119"/>
  <c r="Q102" i="119"/>
  <c r="R102" i="119"/>
  <c r="S102" i="119"/>
  <c r="T102" i="119"/>
  <c r="U102" i="119"/>
  <c r="V102" i="119"/>
  <c r="W102" i="119"/>
  <c r="X102" i="119"/>
  <c r="Y102" i="119"/>
  <c r="Z102" i="119"/>
  <c r="AA102" i="119"/>
  <c r="AB102" i="119"/>
  <c r="AC102" i="119"/>
  <c r="AD102" i="119"/>
  <c r="AE102" i="119"/>
  <c r="C103" i="119"/>
  <c r="D103" i="119"/>
  <c r="E103" i="119"/>
  <c r="F103" i="119"/>
  <c r="G103" i="119"/>
  <c r="H103" i="119"/>
  <c r="I103" i="119"/>
  <c r="J103" i="119"/>
  <c r="K103" i="119"/>
  <c r="L103" i="119"/>
  <c r="M103" i="119"/>
  <c r="N103" i="119"/>
  <c r="O103" i="119"/>
  <c r="P103" i="119"/>
  <c r="Q103" i="119"/>
  <c r="R103" i="119"/>
  <c r="S103" i="119"/>
  <c r="T103" i="119"/>
  <c r="U103" i="119"/>
  <c r="V103" i="119"/>
  <c r="W103" i="119"/>
  <c r="X103" i="119"/>
  <c r="Y103" i="119"/>
  <c r="Z103" i="119"/>
  <c r="AA103" i="119"/>
  <c r="AB103" i="119"/>
  <c r="AC103" i="119"/>
  <c r="AD103" i="119"/>
  <c r="AE103" i="119"/>
  <c r="C104" i="119"/>
  <c r="D104" i="119"/>
  <c r="E104" i="119"/>
  <c r="F104" i="119"/>
  <c r="G104" i="119"/>
  <c r="H104" i="119"/>
  <c r="I104" i="119"/>
  <c r="J104" i="119"/>
  <c r="K104" i="119"/>
  <c r="L104" i="119"/>
  <c r="M104" i="119"/>
  <c r="N104" i="119"/>
  <c r="O104" i="119"/>
  <c r="P104" i="119"/>
  <c r="Q104" i="119"/>
  <c r="R104" i="119"/>
  <c r="S104" i="119"/>
  <c r="T104" i="119"/>
  <c r="U104" i="119"/>
  <c r="V104" i="119"/>
  <c r="W104" i="119"/>
  <c r="X104" i="119"/>
  <c r="Y104" i="119"/>
  <c r="Z104" i="119"/>
  <c r="AA104" i="119"/>
  <c r="AB104" i="119"/>
  <c r="AC104" i="119"/>
  <c r="AD104" i="119"/>
  <c r="AE104" i="119"/>
  <c r="C105" i="119"/>
  <c r="D105" i="119"/>
  <c r="E105" i="119"/>
  <c r="F105" i="119"/>
  <c r="G105" i="119"/>
  <c r="H105" i="119"/>
  <c r="I105" i="119"/>
  <c r="J105" i="119"/>
  <c r="K105" i="119"/>
  <c r="L105" i="119"/>
  <c r="M105" i="119"/>
  <c r="N105" i="119"/>
  <c r="O105" i="119"/>
  <c r="P105" i="119"/>
  <c r="Q105" i="119"/>
  <c r="R105" i="119"/>
  <c r="S105" i="119"/>
  <c r="T105" i="119"/>
  <c r="U105" i="119"/>
  <c r="V105" i="119"/>
  <c r="W105" i="119"/>
  <c r="X105" i="119"/>
  <c r="Y105" i="119"/>
  <c r="Z105" i="119"/>
  <c r="AA105" i="119"/>
  <c r="AB105" i="119"/>
  <c r="AC105" i="119"/>
  <c r="AD105" i="119"/>
  <c r="AE105" i="119"/>
  <c r="C106" i="119"/>
  <c r="D106" i="119"/>
  <c r="E106" i="119"/>
  <c r="F106" i="119"/>
  <c r="G106" i="119"/>
  <c r="H106" i="119"/>
  <c r="I106" i="119"/>
  <c r="J106" i="119"/>
  <c r="K106" i="119"/>
  <c r="L106" i="119"/>
  <c r="M106" i="119"/>
  <c r="N106" i="119"/>
  <c r="O106" i="119"/>
  <c r="P106" i="119"/>
  <c r="Q106" i="119"/>
  <c r="R106" i="119"/>
  <c r="S106" i="119"/>
  <c r="T106" i="119"/>
  <c r="U106" i="119"/>
  <c r="V106" i="119"/>
  <c r="W106" i="119"/>
  <c r="X106" i="119"/>
  <c r="Y106" i="119"/>
  <c r="Z106" i="119"/>
  <c r="AA106" i="119"/>
  <c r="AB106" i="119"/>
  <c r="AC106" i="119"/>
  <c r="AD106" i="119"/>
  <c r="AE106" i="119"/>
  <c r="C107" i="119"/>
  <c r="D107" i="119"/>
  <c r="E107" i="119"/>
  <c r="F107" i="119"/>
  <c r="G107" i="119"/>
  <c r="H107" i="119"/>
  <c r="I107" i="119"/>
  <c r="J107" i="119"/>
  <c r="K107" i="119"/>
  <c r="L107" i="119"/>
  <c r="M107" i="119"/>
  <c r="N107" i="119"/>
  <c r="O107" i="119"/>
  <c r="P107" i="119"/>
  <c r="Q107" i="119"/>
  <c r="R107" i="119"/>
  <c r="S107" i="119"/>
  <c r="T107" i="119"/>
  <c r="U107" i="119"/>
  <c r="V107" i="119"/>
  <c r="W107" i="119"/>
  <c r="X107" i="119"/>
  <c r="Y107" i="119"/>
  <c r="Z107" i="119"/>
  <c r="AA107" i="119"/>
  <c r="AB107" i="119"/>
  <c r="AC107" i="119"/>
  <c r="AD107" i="119"/>
  <c r="AE107" i="119"/>
  <c r="C108" i="119"/>
  <c r="D108" i="119"/>
  <c r="E108" i="119"/>
  <c r="F108" i="119"/>
  <c r="G108" i="119"/>
  <c r="H108" i="119"/>
  <c r="I108" i="119"/>
  <c r="J108" i="119"/>
  <c r="K108" i="119"/>
  <c r="L108" i="119"/>
  <c r="M108" i="119"/>
  <c r="N108" i="119"/>
  <c r="O108" i="119"/>
  <c r="P108" i="119"/>
  <c r="Q108" i="119"/>
  <c r="R108" i="119"/>
  <c r="S108" i="119"/>
  <c r="T108" i="119"/>
  <c r="U108" i="119"/>
  <c r="V108" i="119"/>
  <c r="W108" i="119"/>
  <c r="X108" i="119"/>
  <c r="Y108" i="119"/>
  <c r="Z108" i="119"/>
  <c r="AA108" i="119"/>
  <c r="AB108" i="119"/>
  <c r="AC108" i="119"/>
  <c r="AD108" i="119"/>
  <c r="AE108" i="119"/>
  <c r="BS9" i="178"/>
  <c r="BT9" i="178"/>
  <c r="BU9" i="178"/>
  <c r="BV9" i="178"/>
  <c r="BW9" i="178"/>
  <c r="BX9" i="178"/>
  <c r="BY9" i="178"/>
  <c r="BZ9" i="178"/>
  <c r="CA9" i="178"/>
  <c r="CB9" i="178"/>
  <c r="CC9" i="178"/>
  <c r="CD9" i="178"/>
  <c r="CE9" i="178"/>
  <c r="CF9" i="178"/>
  <c r="CG9" i="178"/>
  <c r="CH9" i="178"/>
  <c r="CI9" i="178"/>
  <c r="CJ9" i="178"/>
  <c r="CK9" i="178"/>
  <c r="CL9" i="178"/>
  <c r="CM9" i="178"/>
  <c r="CN9" i="178"/>
  <c r="CO9" i="178"/>
  <c r="CP9" i="178"/>
  <c r="CQ9" i="178"/>
  <c r="CR9" i="178"/>
  <c r="CS9" i="178"/>
  <c r="CT9" i="178"/>
  <c r="CU9" i="178"/>
  <c r="CV9" i="178"/>
  <c r="CW9" i="178"/>
  <c r="CX9" i="178"/>
  <c r="CY9" i="178"/>
  <c r="CZ9" i="178"/>
  <c r="DA9" i="178"/>
  <c r="DB9" i="178"/>
  <c r="DC9" i="178"/>
  <c r="DD9" i="178"/>
  <c r="DE9" i="178"/>
  <c r="DF9" i="178"/>
  <c r="DG9" i="178"/>
  <c r="DH9" i="178"/>
  <c r="DI9" i="178"/>
  <c r="DJ9" i="178"/>
  <c r="BS17" i="178"/>
  <c r="BT17" i="178"/>
  <c r="BU17" i="178"/>
  <c r="BV17" i="178"/>
  <c r="BW17" i="178"/>
  <c r="BX17" i="178"/>
  <c r="BY17" i="178"/>
  <c r="BZ17" i="178"/>
  <c r="CA17" i="178"/>
  <c r="CB17" i="178"/>
  <c r="CC17" i="178"/>
  <c r="CD17" i="178"/>
  <c r="CE17" i="178"/>
  <c r="CF17" i="178"/>
  <c r="CG17" i="178"/>
  <c r="CG18" i="178" s="1"/>
  <c r="CH17" i="178"/>
  <c r="CI17" i="178"/>
  <c r="CJ17" i="178"/>
  <c r="CJ18" i="178" s="1"/>
  <c r="CK17" i="178"/>
  <c r="CL17" i="178"/>
  <c r="CM17" i="178"/>
  <c r="CN17" i="178"/>
  <c r="CO17" i="178"/>
  <c r="CP17" i="178"/>
  <c r="CQ17" i="178"/>
  <c r="CR17" i="178"/>
  <c r="CS17" i="178"/>
  <c r="CT17" i="178"/>
  <c r="CU17" i="178"/>
  <c r="CV17" i="178"/>
  <c r="CW17" i="178"/>
  <c r="CW18" i="178" s="1"/>
  <c r="CX17" i="178"/>
  <c r="CY17" i="178"/>
  <c r="CZ17" i="178"/>
  <c r="CZ18" i="178" s="1"/>
  <c r="DA17" i="178"/>
  <c r="DB17" i="178"/>
  <c r="DC17" i="178"/>
  <c r="DD17" i="178"/>
  <c r="DE17" i="178"/>
  <c r="DF17" i="178"/>
  <c r="DG17" i="178"/>
  <c r="DH17" i="178"/>
  <c r="DI17" i="178"/>
  <c r="DJ17" i="178"/>
  <c r="BS18" i="178"/>
  <c r="BT18" i="178"/>
  <c r="BU18" i="178"/>
  <c r="BV18" i="178"/>
  <c r="BW18" i="178"/>
  <c r="BX18" i="178"/>
  <c r="BY18" i="178"/>
  <c r="BZ18" i="178"/>
  <c r="CA18" i="178"/>
  <c r="CB18" i="178"/>
  <c r="CC18" i="178"/>
  <c r="CE18" i="178"/>
  <c r="CI18" i="178"/>
  <c r="CK18" i="178"/>
  <c r="CM18" i="178"/>
  <c r="CN18" i="178"/>
  <c r="CO18" i="178"/>
  <c r="CQ18" i="178"/>
  <c r="CS18" i="178"/>
  <c r="CU18" i="178"/>
  <c r="CY18" i="178"/>
  <c r="DA18" i="178"/>
  <c r="DC18" i="178"/>
  <c r="DE18" i="178"/>
  <c r="DG18" i="178"/>
  <c r="DI18" i="178"/>
  <c r="F9" i="178"/>
  <c r="G9" i="178"/>
  <c r="H9" i="178"/>
  <c r="I9" i="178"/>
  <c r="J9" i="178"/>
  <c r="K9" i="178"/>
  <c r="L9" i="178"/>
  <c r="M9" i="178"/>
  <c r="N9" i="178"/>
  <c r="O9" i="178"/>
  <c r="P9" i="178"/>
  <c r="Q9" i="178"/>
  <c r="R9" i="178"/>
  <c r="S9" i="178"/>
  <c r="T9" i="178"/>
  <c r="U9" i="178"/>
  <c r="V9" i="178"/>
  <c r="W9" i="178"/>
  <c r="X9" i="178"/>
  <c r="Y9" i="178"/>
  <c r="Z9" i="178"/>
  <c r="AA9" i="178"/>
  <c r="AB9" i="178"/>
  <c r="AC9" i="178"/>
  <c r="AD9" i="178"/>
  <c r="AE9" i="178"/>
  <c r="AF9" i="178"/>
  <c r="AG9" i="178"/>
  <c r="AH9" i="178"/>
  <c r="AI9" i="178"/>
  <c r="AJ9" i="178"/>
  <c r="AK9" i="178"/>
  <c r="AL9" i="178"/>
  <c r="AM9" i="178"/>
  <c r="AN9" i="178"/>
  <c r="AO9" i="178"/>
  <c r="AP9" i="178"/>
  <c r="AQ9" i="178"/>
  <c r="AR9" i="178"/>
  <c r="AS9" i="178"/>
  <c r="AT9" i="178"/>
  <c r="AU9" i="178"/>
  <c r="AV9" i="178"/>
  <c r="AW9" i="178"/>
  <c r="AX9" i="178"/>
  <c r="AY9" i="178"/>
  <c r="AZ9" i="178"/>
  <c r="BA9" i="178"/>
  <c r="BB9" i="178"/>
  <c r="BC9" i="178"/>
  <c r="BD9" i="178"/>
  <c r="BE9" i="178"/>
  <c r="BF9" i="178"/>
  <c r="BG9" i="178"/>
  <c r="BH9" i="178"/>
  <c r="BI9" i="178"/>
  <c r="BJ9" i="178"/>
  <c r="BK9" i="178"/>
  <c r="BL9" i="178"/>
  <c r="BM9" i="178"/>
  <c r="BN9" i="178"/>
  <c r="BO9" i="178"/>
  <c r="BP9" i="178"/>
  <c r="BQ9" i="178"/>
  <c r="BR9" i="178"/>
  <c r="F17" i="178"/>
  <c r="G17" i="178"/>
  <c r="H17" i="178"/>
  <c r="H18" i="178" s="1"/>
  <c r="I17" i="178"/>
  <c r="J17" i="178"/>
  <c r="K17" i="178"/>
  <c r="L17" i="178"/>
  <c r="L18" i="178" s="1"/>
  <c r="M17" i="178"/>
  <c r="N17" i="178"/>
  <c r="O17" i="178"/>
  <c r="P17" i="178"/>
  <c r="P18" i="178" s="1"/>
  <c r="Q17" i="178"/>
  <c r="R17" i="178"/>
  <c r="S17" i="178"/>
  <c r="T17" i="178"/>
  <c r="T18" i="178" s="1"/>
  <c r="U17" i="178"/>
  <c r="V17" i="178"/>
  <c r="W17" i="178"/>
  <c r="X17" i="178"/>
  <c r="X18" i="178" s="1"/>
  <c r="Y17" i="178"/>
  <c r="Z17" i="178"/>
  <c r="AA17" i="178"/>
  <c r="AB17" i="178"/>
  <c r="AB18" i="178" s="1"/>
  <c r="AC17" i="178"/>
  <c r="AD17" i="178"/>
  <c r="AE17" i="178"/>
  <c r="AF17" i="178"/>
  <c r="AF18" i="178" s="1"/>
  <c r="AG17" i="178"/>
  <c r="AH17" i="178"/>
  <c r="AI17" i="178"/>
  <c r="AJ17" i="178"/>
  <c r="AJ18" i="178" s="1"/>
  <c r="AK17" i="178"/>
  <c r="AL17" i="178"/>
  <c r="AM17" i="178"/>
  <c r="AN17" i="178"/>
  <c r="AN18" i="178" s="1"/>
  <c r="AO17" i="178"/>
  <c r="AP17" i="178"/>
  <c r="AQ17" i="178"/>
  <c r="AR17" i="178"/>
  <c r="AR18" i="178" s="1"/>
  <c r="AS17" i="178"/>
  <c r="AT17" i="178"/>
  <c r="AU17" i="178"/>
  <c r="AV17" i="178"/>
  <c r="AV18" i="178" s="1"/>
  <c r="AW17" i="178"/>
  <c r="AX17" i="178"/>
  <c r="AY17" i="178"/>
  <c r="AZ17" i="178"/>
  <c r="AZ18" i="178" s="1"/>
  <c r="BA17" i="178"/>
  <c r="BB17" i="178"/>
  <c r="BC17" i="178"/>
  <c r="BD17" i="178"/>
  <c r="BD18" i="178" s="1"/>
  <c r="BE17" i="178"/>
  <c r="BF17" i="178"/>
  <c r="BG17" i="178"/>
  <c r="BH17" i="178"/>
  <c r="BH18" i="178" s="1"/>
  <c r="BI17" i="178"/>
  <c r="BJ17" i="178"/>
  <c r="BK17" i="178"/>
  <c r="BL17" i="178"/>
  <c r="BL18" i="178" s="1"/>
  <c r="BM17" i="178"/>
  <c r="BN17" i="178"/>
  <c r="BO17" i="178"/>
  <c r="BP17" i="178"/>
  <c r="BP18" i="178" s="1"/>
  <c r="BQ17" i="178"/>
  <c r="BR17" i="178"/>
  <c r="BK9" i="176"/>
  <c r="BL9" i="176"/>
  <c r="BM9" i="176"/>
  <c r="BM18" i="176" s="1"/>
  <c r="BN9" i="176"/>
  <c r="BN18" i="176" s="1"/>
  <c r="BO9" i="176"/>
  <c r="BP9" i="176"/>
  <c r="BQ9" i="176"/>
  <c r="BQ18" i="176" s="1"/>
  <c r="BR9" i="176"/>
  <c r="BR18" i="176" s="1"/>
  <c r="BK17" i="176"/>
  <c r="BL17" i="176"/>
  <c r="BM17" i="176"/>
  <c r="BN17" i="176"/>
  <c r="BO17" i="176"/>
  <c r="BP17" i="176"/>
  <c r="BQ17" i="176"/>
  <c r="BR17" i="176"/>
  <c r="BK18" i="176"/>
  <c r="BL18" i="176"/>
  <c r="BO18" i="176"/>
  <c r="BP18" i="176"/>
  <c r="AE9" i="176"/>
  <c r="AF9" i="176"/>
  <c r="AG9" i="176"/>
  <c r="AH9" i="176"/>
  <c r="AI9" i="176"/>
  <c r="AJ9" i="176"/>
  <c r="AK9" i="176"/>
  <c r="AL9" i="176"/>
  <c r="AL18" i="176" s="1"/>
  <c r="AM9" i="176"/>
  <c r="AN9" i="176"/>
  <c r="AN18" i="176" s="1"/>
  <c r="AO9" i="176"/>
  <c r="AO18" i="176" s="1"/>
  <c r="AP9" i="176"/>
  <c r="AP18" i="176" s="1"/>
  <c r="AQ9" i="176"/>
  <c r="AR9" i="176"/>
  <c r="AR18" i="176" s="1"/>
  <c r="AS9" i="176"/>
  <c r="AS18" i="176" s="1"/>
  <c r="AT9" i="176"/>
  <c r="AT18" i="176" s="1"/>
  <c r="AU9" i="176"/>
  <c r="AV9" i="176"/>
  <c r="AV18" i="176" s="1"/>
  <c r="AW9" i="176"/>
  <c r="AW18" i="176" s="1"/>
  <c r="AX9" i="176"/>
  <c r="AX18" i="176" s="1"/>
  <c r="AY9" i="176"/>
  <c r="AZ9" i="176"/>
  <c r="AZ18" i="176" s="1"/>
  <c r="BA9" i="176"/>
  <c r="BA18" i="176" s="1"/>
  <c r="BB9" i="176"/>
  <c r="BB18" i="176" s="1"/>
  <c r="BC9" i="176"/>
  <c r="BD9" i="176"/>
  <c r="BD18" i="176" s="1"/>
  <c r="BE9" i="176"/>
  <c r="BE18" i="176" s="1"/>
  <c r="BF9" i="176"/>
  <c r="BF18" i="176" s="1"/>
  <c r="BG9" i="176"/>
  <c r="BH9" i="176"/>
  <c r="BH18" i="176" s="1"/>
  <c r="BI9" i="176"/>
  <c r="BI18" i="176" s="1"/>
  <c r="BJ9" i="176"/>
  <c r="BJ18" i="176" s="1"/>
  <c r="AE17" i="176"/>
  <c r="AF17" i="176"/>
  <c r="AG17" i="176"/>
  <c r="AH17" i="176"/>
  <c r="AI17" i="176"/>
  <c r="AJ17" i="176"/>
  <c r="AK17" i="176"/>
  <c r="AL17" i="176"/>
  <c r="AM17" i="176"/>
  <c r="AN17" i="176"/>
  <c r="AO17" i="176"/>
  <c r="AP17" i="176"/>
  <c r="AQ17" i="176"/>
  <c r="AR17" i="176"/>
  <c r="AS17" i="176"/>
  <c r="AT17" i="176"/>
  <c r="AU17" i="176"/>
  <c r="AV17" i="176"/>
  <c r="AW17" i="176"/>
  <c r="AX17" i="176"/>
  <c r="AY17" i="176"/>
  <c r="AZ17" i="176"/>
  <c r="BA17" i="176"/>
  <c r="BB17" i="176"/>
  <c r="BC17" i="176"/>
  <c r="BD17" i="176"/>
  <c r="BE17" i="176"/>
  <c r="BF17" i="176"/>
  <c r="BG17" i="176"/>
  <c r="BH17" i="176"/>
  <c r="BI17" i="176"/>
  <c r="BJ17" i="176"/>
  <c r="AE18" i="176"/>
  <c r="AF18" i="176"/>
  <c r="AG18" i="176"/>
  <c r="AH18" i="176"/>
  <c r="AI18" i="176"/>
  <c r="AJ18" i="176"/>
  <c r="AK18" i="176"/>
  <c r="AM18" i="176"/>
  <c r="AQ18" i="176"/>
  <c r="AU18" i="176"/>
  <c r="AY18" i="176"/>
  <c r="BC18" i="176"/>
  <c r="BG18" i="176"/>
  <c r="W18" i="176"/>
  <c r="AD17" i="176"/>
  <c r="AC17" i="176"/>
  <c r="AB17" i="176"/>
  <c r="AA17" i="176"/>
  <c r="Z17" i="176"/>
  <c r="Y17" i="176"/>
  <c r="X17" i="176"/>
  <c r="W17" i="176"/>
  <c r="V17" i="176"/>
  <c r="U17" i="176"/>
  <c r="T17" i="176"/>
  <c r="S17" i="176"/>
  <c r="R17" i="176"/>
  <c r="Q17" i="176"/>
  <c r="P17" i="176"/>
  <c r="O17" i="176"/>
  <c r="N17" i="176"/>
  <c r="M17" i="176"/>
  <c r="L17" i="176"/>
  <c r="K17" i="176"/>
  <c r="J17" i="176"/>
  <c r="I17" i="176"/>
  <c r="H17" i="176"/>
  <c r="G17" i="176"/>
  <c r="F17" i="176"/>
  <c r="E17" i="176"/>
  <c r="D17" i="176"/>
  <c r="C17" i="176"/>
  <c r="B17" i="176"/>
  <c r="AD9" i="176"/>
  <c r="AD18" i="176" s="1"/>
  <c r="AC9" i="176"/>
  <c r="AC18" i="176" s="1"/>
  <c r="AB9" i="176"/>
  <c r="AA9" i="176"/>
  <c r="AA18" i="176" s="1"/>
  <c r="Z9" i="176"/>
  <c r="Z18" i="176" s="1"/>
  <c r="Y9" i="176"/>
  <c r="Y18" i="176" s="1"/>
  <c r="X9" i="176"/>
  <c r="W9" i="176"/>
  <c r="V9" i="176"/>
  <c r="V18" i="176" s="1"/>
  <c r="U9" i="176"/>
  <c r="U18" i="176" s="1"/>
  <c r="T9" i="176"/>
  <c r="S9" i="176"/>
  <c r="S18" i="176" s="1"/>
  <c r="R9" i="176"/>
  <c r="R18" i="176" s="1"/>
  <c r="Q9" i="176"/>
  <c r="Q18" i="176" s="1"/>
  <c r="P9" i="176"/>
  <c r="O9" i="176"/>
  <c r="O18" i="176" s="1"/>
  <c r="N9" i="176"/>
  <c r="N18" i="176" s="1"/>
  <c r="M9" i="176"/>
  <c r="M18" i="176" s="1"/>
  <c r="L9" i="176"/>
  <c r="K9" i="176"/>
  <c r="K18" i="176" s="1"/>
  <c r="J9" i="176"/>
  <c r="J18" i="176" s="1"/>
  <c r="I9" i="176"/>
  <c r="I18" i="176" s="1"/>
  <c r="H9" i="176"/>
  <c r="G9" i="176"/>
  <c r="G18" i="176" s="1"/>
  <c r="F9" i="176"/>
  <c r="F18" i="176" s="1"/>
  <c r="E9" i="176"/>
  <c r="E18" i="176" s="1"/>
  <c r="D9" i="176"/>
  <c r="C9" i="176"/>
  <c r="C18" i="176" s="1"/>
  <c r="B9" i="176"/>
  <c r="B18" i="176" s="1"/>
  <c r="C4" i="18"/>
  <c r="B12930" i="111"/>
  <c r="B12881" i="111"/>
  <c r="B12832" i="111"/>
  <c r="B12929" i="111"/>
  <c r="B12880" i="111"/>
  <c r="B12831" i="111"/>
  <c r="B12928" i="111"/>
  <c r="B12879" i="111"/>
  <c r="B12830" i="111"/>
  <c r="B12927" i="111"/>
  <c r="B12878" i="111"/>
  <c r="B12829" i="111"/>
  <c r="B12926" i="111"/>
  <c r="B12877" i="111"/>
  <c r="B12828" i="111"/>
  <c r="B12925" i="111"/>
  <c r="B12876" i="111"/>
  <c r="B12827" i="111"/>
  <c r="B12924" i="111"/>
  <c r="B12875" i="111"/>
  <c r="B12826" i="111"/>
  <c r="B12923" i="111"/>
  <c r="B12874" i="111"/>
  <c r="B12825" i="111"/>
  <c r="B12922" i="111"/>
  <c r="B12873" i="111"/>
  <c r="B12824" i="111"/>
  <c r="B12921" i="111"/>
  <c r="B12872" i="111"/>
  <c r="B12823" i="111"/>
  <c r="B12920" i="111"/>
  <c r="B12871" i="111"/>
  <c r="B12822" i="111"/>
  <c r="B12919" i="111"/>
  <c r="B12870" i="111"/>
  <c r="B12821" i="111"/>
  <c r="B12918" i="111"/>
  <c r="B12869" i="111"/>
  <c r="B12820" i="111"/>
  <c r="B12917" i="111"/>
  <c r="B12868" i="111"/>
  <c r="B12819" i="111"/>
  <c r="B12916" i="111"/>
  <c r="B12867" i="111"/>
  <c r="B12818" i="111"/>
  <c r="B12915" i="111"/>
  <c r="B12866" i="111"/>
  <c r="B12817" i="111"/>
  <c r="B12914" i="111"/>
  <c r="B12865" i="111"/>
  <c r="B12816" i="111"/>
  <c r="B12913" i="111"/>
  <c r="B12864" i="111"/>
  <c r="B12815" i="111"/>
  <c r="B12912" i="111"/>
  <c r="B12863" i="111"/>
  <c r="B12814" i="111"/>
  <c r="B12911" i="111"/>
  <c r="B12862" i="111"/>
  <c r="B12813" i="111"/>
  <c r="B12910" i="111"/>
  <c r="B12861" i="111"/>
  <c r="B12812" i="111"/>
  <c r="B12909" i="111"/>
  <c r="B12860" i="111"/>
  <c r="B12811" i="111"/>
  <c r="B12908" i="111"/>
  <c r="B12859" i="111"/>
  <c r="B12810" i="111"/>
  <c r="B12907" i="111"/>
  <c r="B12858" i="111"/>
  <c r="B12809" i="111"/>
  <c r="B12906" i="111"/>
  <c r="B12857" i="111"/>
  <c r="B12808" i="111"/>
  <c r="BX59" i="119"/>
  <c r="B12905" i="111"/>
  <c r="B12856" i="111"/>
  <c r="B12956" i="111"/>
  <c r="B12904" i="111"/>
  <c r="B12855" i="111"/>
  <c r="B12955" i="111"/>
  <c r="B12903" i="111"/>
  <c r="B12854" i="111"/>
  <c r="B12954" i="111"/>
  <c r="B12902" i="111"/>
  <c r="B12853" i="111"/>
  <c r="B12953" i="111"/>
  <c r="B12901" i="111"/>
  <c r="B12852" i="111"/>
  <c r="B12952" i="111"/>
  <c r="B12900" i="111"/>
  <c r="B12851" i="111"/>
  <c r="B12951" i="111"/>
  <c r="B12899" i="111"/>
  <c r="B12850" i="111"/>
  <c r="B12950" i="111"/>
  <c r="B12898" i="111"/>
  <c r="B12849" i="111"/>
  <c r="B12949" i="111"/>
  <c r="B12897" i="111"/>
  <c r="B12848" i="111"/>
  <c r="B12948" i="111"/>
  <c r="B12896" i="111"/>
  <c r="B12847" i="111"/>
  <c r="B12947" i="111"/>
  <c r="B12895" i="111"/>
  <c r="B12846" i="111"/>
  <c r="B12946" i="111"/>
  <c r="B12894" i="111"/>
  <c r="B12845" i="111"/>
  <c r="B12945" i="111"/>
  <c r="B12893" i="111"/>
  <c r="B12844" i="111"/>
  <c r="B12944" i="111"/>
  <c r="B12892" i="111"/>
  <c r="B12843" i="111"/>
  <c r="B12807" i="111"/>
  <c r="B12806" i="111"/>
  <c r="B12805" i="111"/>
  <c r="B12804" i="111"/>
  <c r="B12803" i="111"/>
  <c r="B12802" i="111"/>
  <c r="B12943" i="111"/>
  <c r="B12942" i="111"/>
  <c r="B12941" i="111"/>
  <c r="B12798" i="111"/>
  <c r="B12797" i="111"/>
  <c r="B12796" i="111"/>
  <c r="B12801" i="111"/>
  <c r="B12800" i="111"/>
  <c r="B12799" i="111"/>
  <c r="B12940" i="111"/>
  <c r="B12891" i="111"/>
  <c r="B12842" i="111"/>
  <c r="B12939" i="111"/>
  <c r="B12890" i="111"/>
  <c r="B12841" i="111"/>
  <c r="B12938" i="111"/>
  <c r="B12889" i="111"/>
  <c r="B12840" i="111"/>
  <c r="B12937" i="111"/>
  <c r="B12888" i="111"/>
  <c r="B12839" i="111"/>
  <c r="B12936" i="111"/>
  <c r="B12887" i="111"/>
  <c r="B12838" i="111"/>
  <c r="B12935" i="111"/>
  <c r="B12886" i="111"/>
  <c r="B12837" i="111"/>
  <c r="B12934" i="111"/>
  <c r="B12885" i="111"/>
  <c r="B12836" i="111"/>
  <c r="B12933" i="111"/>
  <c r="B12884" i="111"/>
  <c r="B12835" i="111"/>
  <c r="B12932" i="111"/>
  <c r="B12883" i="111"/>
  <c r="B12834" i="111"/>
  <c r="B12931" i="111"/>
  <c r="B12882" i="111"/>
  <c r="B12833" i="111"/>
  <c r="B12768" i="111"/>
  <c r="B12719" i="111"/>
  <c r="B12670" i="111"/>
  <c r="B12767" i="111"/>
  <c r="B12718" i="111"/>
  <c r="B12669" i="111"/>
  <c r="B12766" i="111"/>
  <c r="B12717" i="111"/>
  <c r="B12668" i="111"/>
  <c r="B12765" i="111"/>
  <c r="B12716" i="111"/>
  <c r="B12667" i="111"/>
  <c r="B12764" i="111"/>
  <c r="B12715" i="111"/>
  <c r="B12666" i="111"/>
  <c r="B12763" i="111"/>
  <c r="B12714" i="111"/>
  <c r="B12665" i="111"/>
  <c r="B12762" i="111"/>
  <c r="B12713" i="111"/>
  <c r="B12664" i="111"/>
  <c r="B12761" i="111"/>
  <c r="B12712" i="111"/>
  <c r="B12663" i="111"/>
  <c r="B12760" i="111"/>
  <c r="B12711" i="111"/>
  <c r="B12662" i="111"/>
  <c r="B12759" i="111"/>
  <c r="B12710" i="111"/>
  <c r="B12661" i="111"/>
  <c r="B12758" i="111"/>
  <c r="B12709" i="111"/>
  <c r="B12660" i="111"/>
  <c r="B12757" i="111"/>
  <c r="B12708" i="111"/>
  <c r="B12659" i="111"/>
  <c r="B12756" i="111"/>
  <c r="B12707" i="111"/>
  <c r="B12658" i="111"/>
  <c r="B12755" i="111"/>
  <c r="B12706" i="111"/>
  <c r="B12657" i="111"/>
  <c r="B12754" i="111"/>
  <c r="B12705" i="111"/>
  <c r="B12656" i="111"/>
  <c r="B12753" i="111"/>
  <c r="B12704" i="111"/>
  <c r="B12655" i="111"/>
  <c r="B12752" i="111"/>
  <c r="B12703" i="111"/>
  <c r="B12654" i="111"/>
  <c r="B12751" i="111"/>
  <c r="B12702" i="111"/>
  <c r="B12653" i="111"/>
  <c r="B12750" i="111"/>
  <c r="B12701" i="111"/>
  <c r="B12652" i="111"/>
  <c r="B12749" i="111"/>
  <c r="B12700" i="111"/>
  <c r="B12651" i="111"/>
  <c r="B12748" i="111"/>
  <c r="B12699" i="111"/>
  <c r="B12650" i="111"/>
  <c r="B12747" i="111"/>
  <c r="B12698" i="111"/>
  <c r="B12649" i="111"/>
  <c r="B12746" i="111"/>
  <c r="B12697" i="111"/>
  <c r="B12648" i="111"/>
  <c r="B12745" i="111"/>
  <c r="B12696" i="111"/>
  <c r="B12647" i="111"/>
  <c r="B12744" i="111"/>
  <c r="B12695" i="111"/>
  <c r="B12646" i="111"/>
  <c r="B12792" i="111"/>
  <c r="B12743" i="111"/>
  <c r="B12694" i="111"/>
  <c r="B12791" i="111"/>
  <c r="B12742" i="111"/>
  <c r="B12693" i="111"/>
  <c r="B12790" i="111"/>
  <c r="B12741" i="111"/>
  <c r="B12692" i="111"/>
  <c r="B12789" i="111"/>
  <c r="B12740" i="111"/>
  <c r="B12691" i="111"/>
  <c r="B12788" i="111"/>
  <c r="B12739" i="111"/>
  <c r="B12690" i="111"/>
  <c r="B12787" i="111"/>
  <c r="B12738" i="111"/>
  <c r="B12689" i="111"/>
  <c r="B12786" i="111"/>
  <c r="B12737" i="111"/>
  <c r="B12688" i="111"/>
  <c r="B12785" i="111"/>
  <c r="B12736" i="111"/>
  <c r="B12687" i="111"/>
  <c r="B12784" i="111"/>
  <c r="B12735" i="111"/>
  <c r="B12686" i="111"/>
  <c r="B12783" i="111"/>
  <c r="B12734" i="111"/>
  <c r="B12685" i="111"/>
  <c r="B12782" i="111"/>
  <c r="B12733" i="111"/>
  <c r="B12684" i="111"/>
  <c r="B12781" i="111"/>
  <c r="B12732" i="111"/>
  <c r="B12683" i="111"/>
  <c r="B12780" i="111"/>
  <c r="B12731" i="111"/>
  <c r="B12682" i="111"/>
  <c r="B12779" i="111"/>
  <c r="B12730" i="111"/>
  <c r="B12681" i="111"/>
  <c r="B12645" i="111"/>
  <c r="B12644" i="111"/>
  <c r="B12643" i="111"/>
  <c r="B12642" i="111"/>
  <c r="B12641" i="111"/>
  <c r="B12640" i="111"/>
  <c r="B12795" i="111"/>
  <c r="B12794" i="111"/>
  <c r="B12793" i="111"/>
  <c r="B12636" i="111"/>
  <c r="B12635" i="111"/>
  <c r="B12634" i="111"/>
  <c r="B12639" i="111"/>
  <c r="B12638" i="111"/>
  <c r="B12637" i="111"/>
  <c r="B12778" i="111"/>
  <c r="B12729" i="111"/>
  <c r="B12680" i="111"/>
  <c r="B12777" i="111"/>
  <c r="B12728" i="111"/>
  <c r="B12679" i="111"/>
  <c r="B12776" i="111"/>
  <c r="B12727" i="111"/>
  <c r="B12678" i="111"/>
  <c r="B12775" i="111"/>
  <c r="B12726" i="111"/>
  <c r="B12677" i="111"/>
  <c r="B12774" i="111"/>
  <c r="B12725" i="111"/>
  <c r="B12676" i="111"/>
  <c r="B12773" i="111"/>
  <c r="B12724" i="111"/>
  <c r="B12675" i="111"/>
  <c r="B12772" i="111"/>
  <c r="B12723" i="111"/>
  <c r="B12674" i="111"/>
  <c r="B12771" i="111"/>
  <c r="B12722" i="111"/>
  <c r="B12673" i="111"/>
  <c r="B12770" i="111"/>
  <c r="B12721" i="111"/>
  <c r="B12672" i="111"/>
  <c r="B12769" i="111"/>
  <c r="B12720" i="111"/>
  <c r="B12671" i="111"/>
  <c r="B12606" i="111"/>
  <c r="B12558" i="111"/>
  <c r="B12510" i="111"/>
  <c r="B12605" i="111"/>
  <c r="B12557" i="111"/>
  <c r="B12509" i="111"/>
  <c r="B12604" i="111"/>
  <c r="B12556" i="111"/>
  <c r="B12508" i="111"/>
  <c r="B12603" i="111"/>
  <c r="B12555" i="111"/>
  <c r="B12507" i="111"/>
  <c r="B12602" i="111"/>
  <c r="B12554" i="111"/>
  <c r="B12506" i="111"/>
  <c r="B12601" i="111"/>
  <c r="B12553" i="111"/>
  <c r="B12505" i="111"/>
  <c r="B12600" i="111"/>
  <c r="B12552" i="111"/>
  <c r="B12504" i="111"/>
  <c r="B12599" i="111"/>
  <c r="B12551" i="111"/>
  <c r="B12503" i="111"/>
  <c r="B12598" i="111"/>
  <c r="B12550" i="111"/>
  <c r="B12502" i="111"/>
  <c r="B12597" i="111"/>
  <c r="B12549" i="111"/>
  <c r="B12501" i="111"/>
  <c r="B12596" i="111"/>
  <c r="B12548" i="111"/>
  <c r="B12500" i="111"/>
  <c r="B12595" i="111"/>
  <c r="B12547" i="111"/>
  <c r="B12499" i="111"/>
  <c r="B12594" i="111"/>
  <c r="B12546" i="111"/>
  <c r="B12498" i="111"/>
  <c r="B12593" i="111"/>
  <c r="B12545" i="111"/>
  <c r="B12497" i="111"/>
  <c r="B12592" i="111"/>
  <c r="B12544" i="111"/>
  <c r="B12496" i="111"/>
  <c r="B12591" i="111"/>
  <c r="B12543" i="111"/>
  <c r="B12495" i="111"/>
  <c r="B12590" i="111"/>
  <c r="B12542" i="111"/>
  <c r="B12494" i="111"/>
  <c r="B12589" i="111"/>
  <c r="B12541" i="111"/>
  <c r="B12493" i="111"/>
  <c r="B12588" i="111"/>
  <c r="B12540" i="111"/>
  <c r="B12492" i="111"/>
  <c r="B12587" i="111"/>
  <c r="B12539" i="111"/>
  <c r="B12491" i="111"/>
  <c r="B12586" i="111"/>
  <c r="B12538" i="111"/>
  <c r="B12490" i="111"/>
  <c r="B12585" i="111"/>
  <c r="B12537" i="111"/>
  <c r="B12489" i="111"/>
  <c r="B12584" i="111"/>
  <c r="B12536" i="111"/>
  <c r="B12488" i="111"/>
  <c r="B12583" i="111"/>
  <c r="B12535" i="111"/>
  <c r="B12487" i="111"/>
  <c r="B12582" i="111"/>
  <c r="B12534" i="111"/>
  <c r="B12486" i="111"/>
  <c r="B12630" i="111"/>
  <c r="B12581" i="111"/>
  <c r="B12533" i="111"/>
  <c r="B12629" i="111"/>
  <c r="B12580" i="111"/>
  <c r="B12532" i="111"/>
  <c r="B12628" i="111"/>
  <c r="B12579" i="111"/>
  <c r="B12531" i="111"/>
  <c r="B12627" i="111"/>
  <c r="B12578" i="111"/>
  <c r="B12530" i="111"/>
  <c r="B12626" i="111"/>
  <c r="B12577" i="111"/>
  <c r="B12529" i="111"/>
  <c r="B12625" i="111"/>
  <c r="B12576" i="111"/>
  <c r="B12528" i="111"/>
  <c r="B12624" i="111"/>
  <c r="B12575" i="111"/>
  <c r="B12527" i="111"/>
  <c r="B12623" i="111"/>
  <c r="B12574" i="111"/>
  <c r="B12526" i="111"/>
  <c r="B12622" i="111"/>
  <c r="B12573" i="111"/>
  <c r="B12525" i="111"/>
  <c r="B12621" i="111"/>
  <c r="B12572" i="111"/>
  <c r="B12524" i="111"/>
  <c r="B12620" i="111"/>
  <c r="B12571" i="111"/>
  <c r="B12523" i="111"/>
  <c r="B12619" i="111"/>
  <c r="B12570" i="111"/>
  <c r="B12522" i="111"/>
  <c r="B12618" i="111"/>
  <c r="B12569" i="111"/>
  <c r="B12521" i="111"/>
  <c r="B12617" i="111"/>
  <c r="B12568" i="111"/>
  <c r="B12520" i="111"/>
  <c r="B12485" i="111"/>
  <c r="B12484" i="111"/>
  <c r="B12483" i="111"/>
  <c r="B12482" i="111"/>
  <c r="B12481" i="111"/>
  <c r="B12480" i="111"/>
  <c r="B12633" i="111"/>
  <c r="B12632" i="111"/>
  <c r="B12631" i="111"/>
  <c r="B12476" i="111"/>
  <c r="B12475" i="111"/>
  <c r="B12474" i="111"/>
  <c r="B12479" i="111"/>
  <c r="B12478" i="111"/>
  <c r="B12477" i="111"/>
  <c r="B12616" i="111"/>
  <c r="B12567" i="111"/>
  <c r="B12519" i="111"/>
  <c r="B12615" i="111"/>
  <c r="B12566" i="111"/>
  <c r="B12518" i="111"/>
  <c r="B12614" i="111"/>
  <c r="B12565" i="111"/>
  <c r="B12517" i="111"/>
  <c r="B12613" i="111"/>
  <c r="B12564" i="111"/>
  <c r="B12516" i="111"/>
  <c r="B12612" i="111"/>
  <c r="B12563" i="111"/>
  <c r="B12515" i="111"/>
  <c r="B12611" i="111"/>
  <c r="B12562" i="111"/>
  <c r="B12514" i="111"/>
  <c r="B12610" i="111"/>
  <c r="B12561" i="111"/>
  <c r="B12513" i="111"/>
  <c r="B12609" i="111"/>
  <c r="B12608" i="111"/>
  <c r="B12560" i="111"/>
  <c r="B12512" i="111"/>
  <c r="B12607" i="111"/>
  <c r="B12559" i="111"/>
  <c r="B12511" i="111"/>
  <c r="B12444" i="111"/>
  <c r="B12393" i="111"/>
  <c r="B12342" i="111"/>
  <c r="B12443" i="111"/>
  <c r="B12392" i="111"/>
  <c r="B12341" i="111"/>
  <c r="B12442" i="111"/>
  <c r="B12391" i="111"/>
  <c r="B12340" i="111"/>
  <c r="B12441" i="111"/>
  <c r="B12390" i="111"/>
  <c r="B12339" i="111"/>
  <c r="B12440" i="111"/>
  <c r="B12389" i="111"/>
  <c r="B12338" i="111"/>
  <c r="B12439" i="111"/>
  <c r="B12388" i="111"/>
  <c r="B12337" i="111"/>
  <c r="B12438" i="111"/>
  <c r="B12387" i="111"/>
  <c r="B12336" i="111"/>
  <c r="B12437" i="111"/>
  <c r="B12386" i="111"/>
  <c r="B12335" i="111"/>
  <c r="B12436" i="111"/>
  <c r="B12385" i="111"/>
  <c r="B12334" i="111"/>
  <c r="B12435" i="111"/>
  <c r="B12384" i="111"/>
  <c r="B12333" i="111"/>
  <c r="B12434" i="111"/>
  <c r="B12383" i="111"/>
  <c r="B12332" i="111"/>
  <c r="B12433" i="111"/>
  <c r="B12382" i="111"/>
  <c r="B12331" i="111"/>
  <c r="B12432" i="111"/>
  <c r="B12381" i="111"/>
  <c r="B12330" i="111"/>
  <c r="B12431" i="111"/>
  <c r="B12380" i="111"/>
  <c r="B12329" i="111"/>
  <c r="B12430" i="111"/>
  <c r="B12379" i="111"/>
  <c r="B12328" i="111"/>
  <c r="B12429" i="111"/>
  <c r="B12378" i="111"/>
  <c r="B12327" i="111"/>
  <c r="B12428" i="111"/>
  <c r="B12377" i="111"/>
  <c r="B12326" i="111"/>
  <c r="B12427" i="111"/>
  <c r="B12376" i="111"/>
  <c r="B12325" i="111"/>
  <c r="B12426" i="111"/>
  <c r="B12375" i="111"/>
  <c r="B12324" i="111"/>
  <c r="B12425" i="111"/>
  <c r="B12374" i="111"/>
  <c r="B12323" i="111"/>
  <c r="B12424" i="111"/>
  <c r="B12373" i="111"/>
  <c r="B12322" i="111"/>
  <c r="B12423" i="111"/>
  <c r="B12372" i="111"/>
  <c r="B12321" i="111"/>
  <c r="B12422" i="111"/>
  <c r="B12371" i="111"/>
  <c r="B12320" i="111"/>
  <c r="B12421" i="111"/>
  <c r="B12370" i="111"/>
  <c r="B12319" i="111"/>
  <c r="B12420" i="111"/>
  <c r="B12369" i="111"/>
  <c r="B12318" i="111"/>
  <c r="B12470" i="111"/>
  <c r="B12419" i="111"/>
  <c r="B12368" i="111"/>
  <c r="B12469" i="111"/>
  <c r="B12418" i="111"/>
  <c r="B12367" i="111"/>
  <c r="B12468" i="111"/>
  <c r="B12417" i="111"/>
  <c r="B12366" i="111"/>
  <c r="B12467" i="111"/>
  <c r="B12416" i="111"/>
  <c r="B12365" i="111"/>
  <c r="B12466" i="111"/>
  <c r="B12415" i="111"/>
  <c r="B12364" i="111"/>
  <c r="B12465" i="111"/>
  <c r="B12414" i="111"/>
  <c r="B12363" i="111"/>
  <c r="B12464" i="111"/>
  <c r="B12413" i="111"/>
  <c r="B12362" i="111"/>
  <c r="B12463" i="111"/>
  <c r="B12412" i="111"/>
  <c r="B12361" i="111"/>
  <c r="B12462" i="111"/>
  <c r="B12411" i="111"/>
  <c r="B12360" i="111"/>
  <c r="B12461" i="111"/>
  <c r="B12410" i="111"/>
  <c r="B12359" i="111"/>
  <c r="B12460" i="111"/>
  <c r="B12409" i="111"/>
  <c r="B12358" i="111"/>
  <c r="B12459" i="111"/>
  <c r="B12408" i="111"/>
  <c r="B12357" i="111"/>
  <c r="B12458" i="111"/>
  <c r="B12407" i="111"/>
  <c r="B12356" i="111"/>
  <c r="B12457" i="111"/>
  <c r="B12406" i="111"/>
  <c r="B12355" i="111"/>
  <c r="B12456" i="111"/>
  <c r="B12405" i="111"/>
  <c r="B12354" i="111"/>
  <c r="B12317" i="111"/>
  <c r="B12316" i="111"/>
  <c r="B12315" i="111"/>
  <c r="B12314" i="111"/>
  <c r="B12313" i="111"/>
  <c r="B12312" i="111"/>
  <c r="B12473" i="111"/>
  <c r="B12472" i="111"/>
  <c r="B12471" i="111"/>
  <c r="B12308" i="111"/>
  <c r="B12307" i="111"/>
  <c r="B12306" i="111"/>
  <c r="B12311" i="111"/>
  <c r="B12310" i="111"/>
  <c r="B12309" i="111"/>
  <c r="B12455" i="111"/>
  <c r="B12404" i="111"/>
  <c r="B12353" i="111"/>
  <c r="B12454" i="111"/>
  <c r="B12403" i="111"/>
  <c r="B12352" i="111"/>
  <c r="B12453" i="111"/>
  <c r="B12402" i="111"/>
  <c r="B12351" i="111"/>
  <c r="B12452" i="111"/>
  <c r="B12401" i="111"/>
  <c r="B12350" i="111"/>
  <c r="B12451" i="111"/>
  <c r="B12400" i="111"/>
  <c r="B12349" i="111"/>
  <c r="B12450" i="111"/>
  <c r="B12399" i="111"/>
  <c r="B12348" i="111"/>
  <c r="B12449" i="111"/>
  <c r="B12398" i="111"/>
  <c r="B12347" i="111"/>
  <c r="B12448" i="111"/>
  <c r="B12397" i="111"/>
  <c r="B12346" i="111"/>
  <c r="B12447" i="111"/>
  <c r="B12396" i="111"/>
  <c r="B12345" i="111"/>
  <c r="B12446" i="111"/>
  <c r="B12395" i="111"/>
  <c r="B12344" i="111"/>
  <c r="B12445" i="111"/>
  <c r="B12394" i="111"/>
  <c r="B12343" i="111"/>
  <c r="B12279" i="111"/>
  <c r="B12231" i="111"/>
  <c r="B12183" i="111"/>
  <c r="B12278" i="111"/>
  <c r="B12230" i="111"/>
  <c r="B12182" i="111"/>
  <c r="B12277" i="111"/>
  <c r="B12229" i="111"/>
  <c r="B12181" i="111"/>
  <c r="B12276" i="111"/>
  <c r="B12228" i="111"/>
  <c r="B12180" i="111"/>
  <c r="B12275" i="111"/>
  <c r="B12227" i="111"/>
  <c r="B12179" i="111"/>
  <c r="B12274" i="111"/>
  <c r="B12226" i="111"/>
  <c r="B12178" i="111"/>
  <c r="B12273" i="111"/>
  <c r="B12225" i="111"/>
  <c r="B12177" i="111"/>
  <c r="B12272" i="111"/>
  <c r="B12224" i="111"/>
  <c r="B12176" i="111"/>
  <c r="B12271" i="111"/>
  <c r="B12223" i="111"/>
  <c r="B12175" i="111"/>
  <c r="B12270" i="111"/>
  <c r="B12222" i="111"/>
  <c r="B12174" i="111"/>
  <c r="B12269" i="111"/>
  <c r="B12221" i="111"/>
  <c r="B12173" i="111"/>
  <c r="B12268" i="111"/>
  <c r="B12220" i="111"/>
  <c r="B12172" i="111"/>
  <c r="B12267" i="111"/>
  <c r="B12219" i="111"/>
  <c r="B12171" i="111"/>
  <c r="B12266" i="111"/>
  <c r="B12218" i="111"/>
  <c r="B12170" i="111"/>
  <c r="B12265" i="111"/>
  <c r="B12217" i="111"/>
  <c r="B12169" i="111"/>
  <c r="B12264" i="111"/>
  <c r="B12216" i="111"/>
  <c r="B12168" i="111"/>
  <c r="B12263" i="111"/>
  <c r="B12215" i="111"/>
  <c r="B12167" i="111"/>
  <c r="B12262" i="111"/>
  <c r="B12214" i="111"/>
  <c r="B12166" i="111"/>
  <c r="B12261" i="111"/>
  <c r="B12213" i="111"/>
  <c r="B12165" i="111"/>
  <c r="B12260" i="111"/>
  <c r="B12212" i="111"/>
  <c r="B12164" i="111"/>
  <c r="B12259" i="111"/>
  <c r="B12211" i="111"/>
  <c r="B12163" i="111"/>
  <c r="B12258" i="111"/>
  <c r="B12210" i="111"/>
  <c r="B12162" i="111"/>
  <c r="B12257" i="111"/>
  <c r="B12209" i="111"/>
  <c r="B12161" i="111"/>
  <c r="B12256" i="111"/>
  <c r="B12208" i="111"/>
  <c r="B12160" i="111"/>
  <c r="B12255" i="111"/>
  <c r="B12207" i="111"/>
  <c r="B12159" i="111"/>
  <c r="B12302" i="111"/>
  <c r="B12254" i="111"/>
  <c r="B12206" i="111"/>
  <c r="B12301" i="111"/>
  <c r="B12253" i="111"/>
  <c r="B12205" i="111"/>
  <c r="B12300" i="111"/>
  <c r="B12252" i="111"/>
  <c r="B12204" i="111"/>
  <c r="B12299" i="111"/>
  <c r="B12251" i="111"/>
  <c r="B12203" i="111"/>
  <c r="B12298" i="111"/>
  <c r="B12250" i="111"/>
  <c r="B12202" i="111"/>
  <c r="B12297" i="111"/>
  <c r="B12249" i="111"/>
  <c r="B12201" i="111"/>
  <c r="B12296" i="111"/>
  <c r="B12248" i="111"/>
  <c r="B12200" i="111"/>
  <c r="B12295" i="111"/>
  <c r="B12247" i="111"/>
  <c r="B12199" i="111"/>
  <c r="B12294" i="111"/>
  <c r="B12246" i="111"/>
  <c r="B12198" i="111"/>
  <c r="B12293" i="111"/>
  <c r="B12245" i="111"/>
  <c r="B12197" i="111"/>
  <c r="B12292" i="111"/>
  <c r="B12244" i="111"/>
  <c r="B12196" i="111"/>
  <c r="B12291" i="111"/>
  <c r="B12243" i="111"/>
  <c r="B12195" i="111"/>
  <c r="B12290" i="111"/>
  <c r="B12242" i="111"/>
  <c r="B12194" i="111"/>
  <c r="B12289" i="111"/>
  <c r="B12241" i="111"/>
  <c r="B12193" i="111"/>
  <c r="B12158" i="111"/>
  <c r="B12157" i="111"/>
  <c r="B12156" i="111"/>
  <c r="B12155" i="111"/>
  <c r="B12154" i="111"/>
  <c r="B12153" i="111"/>
  <c r="B12305" i="111"/>
  <c r="B12304" i="111"/>
  <c r="B12303" i="111"/>
  <c r="B12149" i="111"/>
  <c r="B12148" i="111"/>
  <c r="B12147" i="111"/>
  <c r="B12152" i="111"/>
  <c r="B12151" i="111"/>
  <c r="B12150" i="111"/>
  <c r="B12288" i="111"/>
  <c r="B12240" i="111"/>
  <c r="B12192" i="111"/>
  <c r="B12287" i="111"/>
  <c r="B12239" i="111"/>
  <c r="B12191" i="111"/>
  <c r="B12286" i="111"/>
  <c r="B12238" i="111"/>
  <c r="B12190" i="111"/>
  <c r="B12285" i="111"/>
  <c r="B12237" i="111"/>
  <c r="B12189" i="111"/>
  <c r="B12284" i="111"/>
  <c r="B12236" i="111"/>
  <c r="B12188" i="111"/>
  <c r="B12283" i="111"/>
  <c r="B12235" i="111"/>
  <c r="B12187" i="111"/>
  <c r="B12282" i="111"/>
  <c r="B12234" i="111"/>
  <c r="B12186" i="111"/>
  <c r="B12281" i="111"/>
  <c r="B12233" i="111"/>
  <c r="B12185" i="111"/>
  <c r="B12280" i="111"/>
  <c r="B12232" i="111"/>
  <c r="B12184" i="111"/>
  <c r="B12115" i="111"/>
  <c r="B12067" i="111"/>
  <c r="B12019" i="111"/>
  <c r="B11852" i="111"/>
  <c r="B11971" i="111"/>
  <c r="B11771" i="111"/>
  <c r="B11819" i="111"/>
  <c r="B11947" i="111"/>
  <c r="B11900" i="111"/>
  <c r="B12114" i="111"/>
  <c r="B12066" i="111"/>
  <c r="B12018" i="111"/>
  <c r="B11851" i="111"/>
  <c r="B11970" i="111"/>
  <c r="B11770" i="111"/>
  <c r="B11818" i="111"/>
  <c r="B11946" i="111"/>
  <c r="B11899" i="111"/>
  <c r="B12113" i="111"/>
  <c r="B12065" i="111"/>
  <c r="B12017" i="111"/>
  <c r="B11850" i="111"/>
  <c r="B11969" i="111"/>
  <c r="B11769" i="111"/>
  <c r="B11817" i="111"/>
  <c r="B11945" i="111"/>
  <c r="B11898" i="111"/>
  <c r="B12112" i="111"/>
  <c r="B12064" i="111"/>
  <c r="B12016" i="111"/>
  <c r="B11849" i="111"/>
  <c r="B11968" i="111"/>
  <c r="B11768" i="111"/>
  <c r="B11816" i="111"/>
  <c r="B11944" i="111"/>
  <c r="B11897" i="111"/>
  <c r="B12111" i="111"/>
  <c r="B12063" i="111"/>
  <c r="B12015" i="111"/>
  <c r="B11848" i="111"/>
  <c r="B11967" i="111"/>
  <c r="B11767" i="111"/>
  <c r="B11815" i="111"/>
  <c r="B11943" i="111"/>
  <c r="B11896" i="111"/>
  <c r="B12110" i="111"/>
  <c r="B12062" i="111"/>
  <c r="B12014" i="111"/>
  <c r="B11847" i="111"/>
  <c r="B11966" i="111"/>
  <c r="B11766" i="111"/>
  <c r="B11814" i="111"/>
  <c r="B11942" i="111"/>
  <c r="B11895" i="111"/>
  <c r="B12109" i="111"/>
  <c r="B12061" i="111"/>
  <c r="B12013" i="111"/>
  <c r="B11846" i="111"/>
  <c r="B11965" i="111"/>
  <c r="B11765" i="111"/>
  <c r="B11813" i="111"/>
  <c r="B11941" i="111"/>
  <c r="B11894" i="111"/>
  <c r="B12108" i="111"/>
  <c r="B12060" i="111"/>
  <c r="B12012" i="111"/>
  <c r="B11845" i="111"/>
  <c r="B11964" i="111"/>
  <c r="B11764" i="111"/>
  <c r="B11812" i="111"/>
  <c r="B11940" i="111"/>
  <c r="B11893" i="111"/>
  <c r="B12107" i="111"/>
  <c r="B12059" i="111"/>
  <c r="B12011" i="111"/>
  <c r="B11844" i="111"/>
  <c r="B11963" i="111"/>
  <c r="B11763" i="111"/>
  <c r="B11811" i="111"/>
  <c r="B11939" i="111"/>
  <c r="B11892" i="111"/>
  <c r="B12106" i="111"/>
  <c r="B12058" i="111"/>
  <c r="B12010" i="111"/>
  <c r="B11843" i="111"/>
  <c r="B11962" i="111"/>
  <c r="B11762" i="111"/>
  <c r="B11810" i="111"/>
  <c r="B11938" i="111"/>
  <c r="B11891" i="111"/>
  <c r="B12105" i="111"/>
  <c r="B12057" i="111"/>
  <c r="B12009" i="111"/>
  <c r="B11842" i="111"/>
  <c r="B11961" i="111"/>
  <c r="B11761" i="111"/>
  <c r="B11809" i="111"/>
  <c r="B11937" i="111"/>
  <c r="B11890" i="111"/>
  <c r="B12104" i="111"/>
  <c r="B12056" i="111"/>
  <c r="B12008" i="111"/>
  <c r="B11841" i="111"/>
  <c r="B11960" i="111"/>
  <c r="B11760" i="111"/>
  <c r="B11808" i="111"/>
  <c r="B11936" i="111"/>
  <c r="B11889" i="111"/>
  <c r="B12103" i="111"/>
  <c r="B12055" i="111"/>
  <c r="B12007" i="111"/>
  <c r="B11840" i="111"/>
  <c r="B11959" i="111"/>
  <c r="B11759" i="111"/>
  <c r="B11807" i="111"/>
  <c r="B11935" i="111"/>
  <c r="B11888" i="111"/>
  <c r="B12102" i="111"/>
  <c r="B12054" i="111"/>
  <c r="B12006" i="111"/>
  <c r="B11839" i="111"/>
  <c r="B11958" i="111"/>
  <c r="B11758" i="111"/>
  <c r="B11806" i="111"/>
  <c r="B11934" i="111"/>
  <c r="B11887" i="111"/>
  <c r="B12101" i="111"/>
  <c r="B12053" i="111"/>
  <c r="B12005" i="111"/>
  <c r="B11838" i="111"/>
  <c r="B11957" i="111"/>
  <c r="B11757" i="111"/>
  <c r="B11805" i="111"/>
  <c r="B11933" i="111"/>
  <c r="B11886" i="111"/>
  <c r="B12100" i="111"/>
  <c r="B12052" i="111"/>
  <c r="B12004" i="111"/>
  <c r="B11837" i="111"/>
  <c r="B11956" i="111"/>
  <c r="B11756" i="111"/>
  <c r="B11804" i="111"/>
  <c r="B11932" i="111"/>
  <c r="B11885" i="111"/>
  <c r="B12099" i="111"/>
  <c r="B12051" i="111"/>
  <c r="B12003" i="111"/>
  <c r="B11836" i="111"/>
  <c r="B11955" i="111"/>
  <c r="B11755" i="111"/>
  <c r="B11803" i="111"/>
  <c r="B11931" i="111"/>
  <c r="B11884" i="111"/>
  <c r="B12098" i="111"/>
  <c r="B12050" i="111"/>
  <c r="B12002" i="111"/>
  <c r="B11835" i="111"/>
  <c r="B11954" i="111"/>
  <c r="B11754" i="111"/>
  <c r="B11802" i="111"/>
  <c r="B11930" i="111"/>
  <c r="B11883" i="111"/>
  <c r="B12097" i="111"/>
  <c r="B12049" i="111"/>
  <c r="B12001" i="111"/>
  <c r="B11834" i="111"/>
  <c r="B11953" i="111"/>
  <c r="B11753" i="111"/>
  <c r="B11801" i="111"/>
  <c r="B11929" i="111"/>
  <c r="B11882" i="111"/>
  <c r="B12096" i="111"/>
  <c r="B12048" i="111"/>
  <c r="B12000" i="111"/>
  <c r="B11833" i="111"/>
  <c r="B11952" i="111"/>
  <c r="B11752" i="111"/>
  <c r="B11800" i="111"/>
  <c r="B11928" i="111"/>
  <c r="B11881" i="111"/>
  <c r="B12095" i="111"/>
  <c r="B12047" i="111"/>
  <c r="B11999" i="111"/>
  <c r="B11832" i="111"/>
  <c r="B11951" i="111"/>
  <c r="B11751" i="111"/>
  <c r="B11799" i="111"/>
  <c r="B11927" i="111"/>
  <c r="B11880" i="111"/>
  <c r="B12094" i="111"/>
  <c r="B12046" i="111"/>
  <c r="B11998" i="111"/>
  <c r="B11831" i="111"/>
  <c r="B11950" i="111"/>
  <c r="B11750" i="111"/>
  <c r="B11798" i="111"/>
  <c r="B11926" i="111"/>
  <c r="B11879" i="111"/>
  <c r="B12093" i="111"/>
  <c r="B12045" i="111"/>
  <c r="B11997" i="111"/>
  <c r="B11830" i="111"/>
  <c r="B11949" i="111"/>
  <c r="B11749" i="111"/>
  <c r="B11797" i="111"/>
  <c r="B11925" i="111"/>
  <c r="B11878" i="111"/>
  <c r="B12092" i="111"/>
  <c r="B12044" i="111"/>
  <c r="B11996" i="111"/>
  <c r="B11829" i="111"/>
  <c r="B11948" i="111"/>
  <c r="B11748" i="111"/>
  <c r="B11796" i="111"/>
  <c r="B11924" i="111"/>
  <c r="B11877" i="111"/>
  <c r="B12139" i="111"/>
  <c r="B12091" i="111"/>
  <c r="B12043" i="111"/>
  <c r="B11876" i="111"/>
  <c r="B11995" i="111"/>
  <c r="B11795" i="111"/>
  <c r="B11923" i="111"/>
  <c r="B12138" i="111"/>
  <c r="B12090" i="111"/>
  <c r="B12042" i="111"/>
  <c r="B11875" i="111"/>
  <c r="B11994" i="111"/>
  <c r="B11794" i="111"/>
  <c r="B11922" i="111"/>
  <c r="B12137" i="111"/>
  <c r="B12089" i="111"/>
  <c r="B12041" i="111"/>
  <c r="B11874" i="111"/>
  <c r="B11993" i="111"/>
  <c r="B11793" i="111"/>
  <c r="B11921" i="111"/>
  <c r="B12136" i="111"/>
  <c r="B12088" i="111"/>
  <c r="B12040" i="111"/>
  <c r="B11873" i="111"/>
  <c r="B11992" i="111"/>
  <c r="B11792" i="111"/>
  <c r="B11920" i="111"/>
  <c r="B12135" i="111"/>
  <c r="B12087" i="111"/>
  <c r="B12039" i="111"/>
  <c r="B11872" i="111"/>
  <c r="B11991" i="111"/>
  <c r="B11791" i="111"/>
  <c r="B11919" i="111"/>
  <c r="B12134" i="111"/>
  <c r="B12086" i="111"/>
  <c r="B12038" i="111"/>
  <c r="B11871" i="111"/>
  <c r="B11990" i="111"/>
  <c r="B11790" i="111"/>
  <c r="B11918" i="111"/>
  <c r="B12133" i="111"/>
  <c r="B12085" i="111"/>
  <c r="B12037" i="111"/>
  <c r="B11870" i="111"/>
  <c r="B11989" i="111"/>
  <c r="B11789" i="111"/>
  <c r="B11917" i="111"/>
  <c r="B12132" i="111"/>
  <c r="B12084" i="111"/>
  <c r="B12036" i="111"/>
  <c r="B11869" i="111"/>
  <c r="B11988" i="111"/>
  <c r="B11788" i="111"/>
  <c r="B11916" i="111"/>
  <c r="B12131" i="111"/>
  <c r="B12083" i="111"/>
  <c r="B12035" i="111"/>
  <c r="B11868" i="111"/>
  <c r="B11987" i="111"/>
  <c r="B11787" i="111"/>
  <c r="B11915" i="111"/>
  <c r="B12130" i="111"/>
  <c r="B12082" i="111"/>
  <c r="B12034" i="111"/>
  <c r="B11867" i="111"/>
  <c r="B11986" i="111"/>
  <c r="B11786" i="111"/>
  <c r="B11914" i="111"/>
  <c r="B12129" i="111"/>
  <c r="B12081" i="111"/>
  <c r="B12033" i="111"/>
  <c r="B11866" i="111"/>
  <c r="B11985" i="111"/>
  <c r="B11785" i="111"/>
  <c r="B11913" i="111"/>
  <c r="B12128" i="111"/>
  <c r="B12080" i="111"/>
  <c r="B12032" i="111"/>
  <c r="B11865" i="111"/>
  <c r="B11984" i="111"/>
  <c r="B11784" i="111"/>
  <c r="B11912" i="111"/>
  <c r="B12127" i="111"/>
  <c r="B12079" i="111"/>
  <c r="B12031" i="111"/>
  <c r="B11864" i="111"/>
  <c r="B11983" i="111"/>
  <c r="B11783" i="111"/>
  <c r="B11911" i="111"/>
  <c r="B12126" i="111"/>
  <c r="B12078" i="111"/>
  <c r="B12030" i="111"/>
  <c r="B11863" i="111"/>
  <c r="B11982" i="111"/>
  <c r="B11782" i="111"/>
  <c r="B11910" i="111"/>
  <c r="B11747" i="111"/>
  <c r="B11746" i="111"/>
  <c r="B11745" i="111"/>
  <c r="B11742" i="111"/>
  <c r="B11744" i="111"/>
  <c r="B11741" i="111"/>
  <c r="B11743" i="111"/>
  <c r="B11740" i="111"/>
  <c r="B11739" i="111"/>
  <c r="B11738" i="111"/>
  <c r="B11735" i="111"/>
  <c r="B11737" i="111"/>
  <c r="B11734" i="111"/>
  <c r="B11736" i="111"/>
  <c r="B12146" i="111"/>
  <c r="B12145" i="111"/>
  <c r="B12144" i="111"/>
  <c r="B12141" i="111"/>
  <c r="B12143" i="111"/>
  <c r="B12140" i="111"/>
  <c r="B12142" i="111"/>
  <c r="B11726" i="111"/>
  <c r="B11725" i="111"/>
  <c r="B11724" i="111"/>
  <c r="B11721" i="111"/>
  <c r="B11723" i="111"/>
  <c r="B11720" i="111"/>
  <c r="B11722" i="111"/>
  <c r="B11733" i="111"/>
  <c r="B11732" i="111"/>
  <c r="B11731" i="111"/>
  <c r="B11728" i="111"/>
  <c r="B11730" i="111"/>
  <c r="B11727" i="111"/>
  <c r="B11729" i="111"/>
  <c r="B12125" i="111"/>
  <c r="B12077" i="111"/>
  <c r="B12029" i="111"/>
  <c r="B11862" i="111"/>
  <c r="B11981" i="111"/>
  <c r="B11781" i="111"/>
  <c r="B11909" i="111"/>
  <c r="B12124" i="111"/>
  <c r="B12076" i="111"/>
  <c r="B12028" i="111"/>
  <c r="B11861" i="111"/>
  <c r="B11980" i="111"/>
  <c r="B11780" i="111"/>
  <c r="B11828" i="111"/>
  <c r="B11908" i="111"/>
  <c r="B12123" i="111"/>
  <c r="B12075" i="111"/>
  <c r="B12027" i="111"/>
  <c r="B11860" i="111"/>
  <c r="B11979" i="111"/>
  <c r="B11779" i="111"/>
  <c r="B11827" i="111"/>
  <c r="B11907" i="111"/>
  <c r="B12122" i="111"/>
  <c r="B12074" i="111"/>
  <c r="B12026" i="111"/>
  <c r="B11859" i="111"/>
  <c r="B11978" i="111"/>
  <c r="B11778" i="111"/>
  <c r="B11826" i="111"/>
  <c r="B11906" i="111"/>
  <c r="B12121" i="111"/>
  <c r="B12073" i="111"/>
  <c r="B12025" i="111"/>
  <c r="B11858" i="111"/>
  <c r="B11977" i="111"/>
  <c r="B11777" i="111"/>
  <c r="B11825" i="111"/>
  <c r="B11905" i="111"/>
  <c r="B12120" i="111"/>
  <c r="B12072" i="111"/>
  <c r="B12024" i="111"/>
  <c r="B11857" i="111"/>
  <c r="B11976" i="111"/>
  <c r="B11776" i="111"/>
  <c r="B11824" i="111"/>
  <c r="B11904" i="111"/>
  <c r="B12119" i="111"/>
  <c r="B12071" i="111"/>
  <c r="B12023" i="111"/>
  <c r="B11856" i="111"/>
  <c r="B11975" i="111"/>
  <c r="B11775" i="111"/>
  <c r="B11823" i="111"/>
  <c r="B12118" i="111"/>
  <c r="B12070" i="111"/>
  <c r="B12022" i="111"/>
  <c r="B11855" i="111"/>
  <c r="B11974" i="111"/>
  <c r="B11774" i="111"/>
  <c r="B11822" i="111"/>
  <c r="B11903" i="111"/>
  <c r="B12117" i="111"/>
  <c r="B12069" i="111"/>
  <c r="B12021" i="111"/>
  <c r="B11854" i="111"/>
  <c r="B11973" i="111"/>
  <c r="B11773" i="111"/>
  <c r="B11821" i="111"/>
  <c r="B11902" i="111"/>
  <c r="B12116" i="111"/>
  <c r="B12068" i="111"/>
  <c r="B12020" i="111"/>
  <c r="B11853" i="111"/>
  <c r="B11972" i="111"/>
  <c r="B11772" i="111"/>
  <c r="B11820" i="111"/>
  <c r="B11901" i="111"/>
  <c r="B11682" i="111"/>
  <c r="B11635" i="111"/>
  <c r="B11588" i="111"/>
  <c r="B11447" i="111"/>
  <c r="B11377" i="111"/>
  <c r="B11424" i="111"/>
  <c r="B11541" i="111"/>
  <c r="B11494" i="111"/>
  <c r="B11330" i="111"/>
  <c r="B11283" i="111"/>
  <c r="B11142" i="111"/>
  <c r="B11072" i="111"/>
  <c r="B11119" i="111"/>
  <c r="B11236" i="111"/>
  <c r="B11189" i="111"/>
  <c r="B11681" i="111"/>
  <c r="B11634" i="111"/>
  <c r="B11587" i="111"/>
  <c r="B11446" i="111"/>
  <c r="B11376" i="111"/>
  <c r="B11423" i="111"/>
  <c r="B11540" i="111"/>
  <c r="B11493" i="111"/>
  <c r="B11329" i="111"/>
  <c r="B11282" i="111"/>
  <c r="B11141" i="111"/>
  <c r="B11071" i="111"/>
  <c r="B11118" i="111"/>
  <c r="B11235" i="111"/>
  <c r="B11188" i="111"/>
  <c r="B11680" i="111"/>
  <c r="B11633" i="111"/>
  <c r="B11586" i="111"/>
  <c r="B11445" i="111"/>
  <c r="B11375" i="111"/>
  <c r="B11422" i="111"/>
  <c r="B11539" i="111"/>
  <c r="B11492" i="111"/>
  <c r="B11328" i="111"/>
  <c r="B11281" i="111"/>
  <c r="B11140" i="111"/>
  <c r="B11070" i="111"/>
  <c r="B11117" i="111"/>
  <c r="B11234" i="111"/>
  <c r="B11187" i="111"/>
  <c r="B11679" i="111"/>
  <c r="B11632" i="111"/>
  <c r="B11585" i="111"/>
  <c r="B11444" i="111"/>
  <c r="B11374" i="111"/>
  <c r="B11421" i="111"/>
  <c r="B11538" i="111"/>
  <c r="B11491" i="111"/>
  <c r="B11327" i="111"/>
  <c r="B11280" i="111"/>
  <c r="B11139" i="111"/>
  <c r="B11069" i="111"/>
  <c r="B11116" i="111"/>
  <c r="B11233" i="111"/>
  <c r="B11186" i="111"/>
  <c r="B11678" i="111"/>
  <c r="B11631" i="111"/>
  <c r="B11584" i="111"/>
  <c r="B11443" i="111"/>
  <c r="B11373" i="111"/>
  <c r="B11420" i="111"/>
  <c r="B11537" i="111"/>
  <c r="B11490" i="111"/>
  <c r="B11326" i="111"/>
  <c r="B11279" i="111"/>
  <c r="B11138" i="111"/>
  <c r="B11068" i="111"/>
  <c r="B11115" i="111"/>
  <c r="B11232" i="111"/>
  <c r="B11185" i="111"/>
  <c r="B11677" i="111"/>
  <c r="B11630" i="111"/>
  <c r="B11583" i="111"/>
  <c r="B11442" i="111"/>
  <c r="B11372" i="111"/>
  <c r="B11419" i="111"/>
  <c r="B11536" i="111"/>
  <c r="B11489" i="111"/>
  <c r="B11325" i="111"/>
  <c r="B11278" i="111"/>
  <c r="B11137" i="111"/>
  <c r="B11067" i="111"/>
  <c r="B11114" i="111"/>
  <c r="B11231" i="111"/>
  <c r="B11184" i="111"/>
  <c r="B11676" i="111"/>
  <c r="B11629" i="111"/>
  <c r="B11582" i="111"/>
  <c r="B11441" i="111"/>
  <c r="B11371" i="111"/>
  <c r="B11418" i="111"/>
  <c r="B11535" i="111"/>
  <c r="B11488" i="111"/>
  <c r="B11324" i="111"/>
  <c r="B11277" i="111"/>
  <c r="B11136" i="111"/>
  <c r="B11066" i="111"/>
  <c r="B11113" i="111"/>
  <c r="B11230" i="111"/>
  <c r="B11183" i="111"/>
  <c r="B11675" i="111"/>
  <c r="B11628" i="111"/>
  <c r="B11581" i="111"/>
  <c r="B11440" i="111"/>
  <c r="B11370" i="111"/>
  <c r="B11417" i="111"/>
  <c r="B11534" i="111"/>
  <c r="B11487" i="111"/>
  <c r="B11323" i="111"/>
  <c r="B11276" i="111"/>
  <c r="B11135" i="111"/>
  <c r="B11065" i="111"/>
  <c r="B11112" i="111"/>
  <c r="B11229" i="111"/>
  <c r="B11182" i="111"/>
  <c r="B11674" i="111"/>
  <c r="B11627" i="111"/>
  <c r="B11580" i="111"/>
  <c r="B11439" i="111"/>
  <c r="B11369" i="111"/>
  <c r="B11416" i="111"/>
  <c r="B11533" i="111"/>
  <c r="B11486" i="111"/>
  <c r="B11322" i="111"/>
  <c r="B11275" i="111"/>
  <c r="B11134" i="111"/>
  <c r="B11064" i="111"/>
  <c r="B11111" i="111"/>
  <c r="B11228" i="111"/>
  <c r="B11181" i="111"/>
  <c r="B11673" i="111"/>
  <c r="B11626" i="111"/>
  <c r="B11579" i="111"/>
  <c r="B11438" i="111"/>
  <c r="B11368" i="111"/>
  <c r="B11415" i="111"/>
  <c r="B11532" i="111"/>
  <c r="B11485" i="111"/>
  <c r="B11321" i="111"/>
  <c r="B11274" i="111"/>
  <c r="B11133" i="111"/>
  <c r="B11063" i="111"/>
  <c r="B11110" i="111"/>
  <c r="B11227" i="111"/>
  <c r="B11180" i="111"/>
  <c r="B11672" i="111"/>
  <c r="B11625" i="111"/>
  <c r="B11578" i="111"/>
  <c r="B11437" i="111"/>
  <c r="B11367" i="111"/>
  <c r="B11414" i="111"/>
  <c r="B11531" i="111"/>
  <c r="B11484" i="111"/>
  <c r="B11320" i="111"/>
  <c r="B11273" i="111"/>
  <c r="B11132" i="111"/>
  <c r="B11062" i="111"/>
  <c r="B11109" i="111"/>
  <c r="B11226" i="111"/>
  <c r="B11179" i="111"/>
  <c r="B11671" i="111"/>
  <c r="B11624" i="111"/>
  <c r="B11577" i="111"/>
  <c r="B11436" i="111"/>
  <c r="B11366" i="111"/>
  <c r="B11413" i="111"/>
  <c r="B11530" i="111"/>
  <c r="B11483" i="111"/>
  <c r="B11319" i="111"/>
  <c r="B11272" i="111"/>
  <c r="B11131" i="111"/>
  <c r="B11061" i="111"/>
  <c r="B11108" i="111"/>
  <c r="B11225" i="111"/>
  <c r="B11178" i="111"/>
  <c r="B11670" i="111"/>
  <c r="B11623" i="111"/>
  <c r="B11576" i="111"/>
  <c r="B11435" i="111"/>
  <c r="B11365" i="111"/>
  <c r="B11412" i="111"/>
  <c r="B11529" i="111"/>
  <c r="B11482" i="111"/>
  <c r="B11318" i="111"/>
  <c r="B11271" i="111"/>
  <c r="B11130" i="111"/>
  <c r="B11060" i="111"/>
  <c r="B11107" i="111"/>
  <c r="B11224" i="111"/>
  <c r="B11177" i="111"/>
  <c r="B11669" i="111"/>
  <c r="B11622" i="111"/>
  <c r="B11575" i="111"/>
  <c r="B11434" i="111"/>
  <c r="B11364" i="111"/>
  <c r="B11411" i="111"/>
  <c r="B11528" i="111"/>
  <c r="B11481" i="111"/>
  <c r="B11317" i="111"/>
  <c r="B11270" i="111"/>
  <c r="B11129" i="111"/>
  <c r="B11059" i="111"/>
  <c r="B11106" i="111"/>
  <c r="B11223" i="111"/>
  <c r="B11176" i="111"/>
  <c r="B11668" i="111"/>
  <c r="B11621" i="111"/>
  <c r="B11574" i="111"/>
  <c r="B11433" i="111"/>
  <c r="B11363" i="111"/>
  <c r="B11410" i="111"/>
  <c r="B11527" i="111"/>
  <c r="B11480" i="111"/>
  <c r="B11316" i="111"/>
  <c r="B11269" i="111"/>
  <c r="B11128" i="111"/>
  <c r="B11058" i="111"/>
  <c r="B11105" i="111"/>
  <c r="B11222" i="111"/>
  <c r="B11175" i="111"/>
  <c r="B11667" i="111"/>
  <c r="B11620" i="111"/>
  <c r="B11573" i="111"/>
  <c r="B11432" i="111"/>
  <c r="B11362" i="111"/>
  <c r="B11409" i="111"/>
  <c r="B11526" i="111"/>
  <c r="B11479" i="111"/>
  <c r="B11315" i="111"/>
  <c r="B11268" i="111"/>
  <c r="B11127" i="111"/>
  <c r="B11057" i="111"/>
  <c r="B11104" i="111"/>
  <c r="B11221" i="111"/>
  <c r="B11174" i="111"/>
  <c r="B11666" i="111"/>
  <c r="B11619" i="111"/>
  <c r="B11572" i="111"/>
  <c r="B11431" i="111"/>
  <c r="B11361" i="111"/>
  <c r="B11408" i="111"/>
  <c r="B11525" i="111"/>
  <c r="B11478" i="111"/>
  <c r="B11314" i="111"/>
  <c r="B11267" i="111"/>
  <c r="B11126" i="111"/>
  <c r="B11056" i="111"/>
  <c r="B11103" i="111"/>
  <c r="B11220" i="111"/>
  <c r="B11173" i="111"/>
  <c r="B11665" i="111"/>
  <c r="B11618" i="111"/>
  <c r="B11571" i="111"/>
  <c r="B11430" i="111"/>
  <c r="B11360" i="111"/>
  <c r="B11407" i="111"/>
  <c r="B11524" i="111"/>
  <c r="B11477" i="111"/>
  <c r="B11313" i="111"/>
  <c r="B11266" i="111"/>
  <c r="B11125" i="111"/>
  <c r="B11055" i="111"/>
  <c r="B11102" i="111"/>
  <c r="B11219" i="111"/>
  <c r="B11172" i="111"/>
  <c r="B11664" i="111"/>
  <c r="B11617" i="111"/>
  <c r="B11570" i="111"/>
  <c r="B11429" i="111"/>
  <c r="B11359" i="111"/>
  <c r="B11406" i="111"/>
  <c r="B11523" i="111"/>
  <c r="B11476" i="111"/>
  <c r="B11312" i="111"/>
  <c r="B11265" i="111"/>
  <c r="B11124" i="111"/>
  <c r="B11054" i="111"/>
  <c r="B11101" i="111"/>
  <c r="B11218" i="111"/>
  <c r="B11171" i="111"/>
  <c r="B11663" i="111"/>
  <c r="B11616" i="111"/>
  <c r="B11569" i="111"/>
  <c r="B11428" i="111"/>
  <c r="B11358" i="111"/>
  <c r="B11405" i="111"/>
  <c r="B11522" i="111"/>
  <c r="B11475" i="111"/>
  <c r="B11311" i="111"/>
  <c r="B11264" i="111"/>
  <c r="B11123" i="111"/>
  <c r="B11053" i="111"/>
  <c r="B11100" i="111"/>
  <c r="B11217" i="111"/>
  <c r="B11170" i="111"/>
  <c r="B11662" i="111"/>
  <c r="B11615" i="111"/>
  <c r="B11568" i="111"/>
  <c r="B11427" i="111"/>
  <c r="B11357" i="111"/>
  <c r="B11404" i="111"/>
  <c r="B11521" i="111"/>
  <c r="B11474" i="111"/>
  <c r="B11310" i="111"/>
  <c r="B11263" i="111"/>
  <c r="B11122" i="111"/>
  <c r="B11052" i="111"/>
  <c r="B11099" i="111"/>
  <c r="B11216" i="111"/>
  <c r="B11169" i="111"/>
  <c r="B11661" i="111"/>
  <c r="B11614" i="111"/>
  <c r="B11567" i="111"/>
  <c r="B11426" i="111"/>
  <c r="B11356" i="111"/>
  <c r="B11403" i="111"/>
  <c r="B11520" i="111"/>
  <c r="B11473" i="111"/>
  <c r="B11309" i="111"/>
  <c r="B11262" i="111"/>
  <c r="B11121" i="111"/>
  <c r="B11051" i="111"/>
  <c r="B11098" i="111"/>
  <c r="B11215" i="111"/>
  <c r="B11168" i="111"/>
  <c r="B11660" i="111"/>
  <c r="B11613" i="111"/>
  <c r="B11566" i="111"/>
  <c r="B11425" i="111"/>
  <c r="B11355" i="111"/>
  <c r="B11402" i="111"/>
  <c r="B11519" i="111"/>
  <c r="B11472" i="111"/>
  <c r="B11308" i="111"/>
  <c r="B11261" i="111"/>
  <c r="B11120" i="111"/>
  <c r="B11050" i="111"/>
  <c r="B11097" i="111"/>
  <c r="B11214" i="111"/>
  <c r="B11167" i="111"/>
  <c r="B11706" i="111"/>
  <c r="B11659" i="111"/>
  <c r="B11612" i="111"/>
  <c r="B11471" i="111"/>
  <c r="B11401" i="111"/>
  <c r="B11565" i="111"/>
  <c r="B11518" i="111"/>
  <c r="B11354" i="111"/>
  <c r="B11307" i="111"/>
  <c r="B11166" i="111"/>
  <c r="B11096" i="111"/>
  <c r="B11260" i="111"/>
  <c r="B11213" i="111"/>
  <c r="B11705" i="111"/>
  <c r="B11658" i="111"/>
  <c r="B11611" i="111"/>
  <c r="B11470" i="111"/>
  <c r="B11400" i="111"/>
  <c r="B11564" i="111"/>
  <c r="B11517" i="111"/>
  <c r="B11353" i="111"/>
  <c r="B11306" i="111"/>
  <c r="B11165" i="111"/>
  <c r="B11095" i="111"/>
  <c r="B11259" i="111"/>
  <c r="B11212" i="111"/>
  <c r="B11704" i="111"/>
  <c r="B11657" i="111"/>
  <c r="B11610" i="111"/>
  <c r="B11469" i="111"/>
  <c r="B11399" i="111"/>
  <c r="B11563" i="111"/>
  <c r="B11516" i="111"/>
  <c r="B11352" i="111"/>
  <c r="B11305" i="111"/>
  <c r="B11164" i="111"/>
  <c r="B11094" i="111"/>
  <c r="B11258" i="111"/>
  <c r="B11211" i="111"/>
  <c r="B11703" i="111"/>
  <c r="B11656" i="111"/>
  <c r="B11609" i="111"/>
  <c r="B11468" i="111"/>
  <c r="B11398" i="111"/>
  <c r="B11562" i="111"/>
  <c r="B11515" i="111"/>
  <c r="B11351" i="111"/>
  <c r="B11304" i="111"/>
  <c r="B11163" i="111"/>
  <c r="B11093" i="111"/>
  <c r="B11257" i="111"/>
  <c r="B11210" i="111"/>
  <c r="B11702" i="111"/>
  <c r="B11655" i="111"/>
  <c r="B11608" i="111"/>
  <c r="B11467" i="111"/>
  <c r="B11397" i="111"/>
  <c r="B11561" i="111"/>
  <c r="B11514" i="111"/>
  <c r="B11350" i="111"/>
  <c r="B11303" i="111"/>
  <c r="B11162" i="111"/>
  <c r="B11092" i="111"/>
  <c r="B11256" i="111"/>
  <c r="B11209" i="111"/>
  <c r="B11701" i="111"/>
  <c r="B11654" i="111"/>
  <c r="B11607" i="111"/>
  <c r="B11466" i="111"/>
  <c r="B11396" i="111"/>
  <c r="B11560" i="111"/>
  <c r="B11513" i="111"/>
  <c r="B11349" i="111"/>
  <c r="B11302" i="111"/>
  <c r="B11161" i="111"/>
  <c r="B11091" i="111"/>
  <c r="B11255" i="111"/>
  <c r="B11208" i="111"/>
  <c r="B11700" i="111"/>
  <c r="B11653" i="111"/>
  <c r="B11606" i="111"/>
  <c r="B11465" i="111"/>
  <c r="B11395" i="111"/>
  <c r="B11559" i="111"/>
  <c r="B11512" i="111"/>
  <c r="B11348" i="111"/>
  <c r="B11301" i="111"/>
  <c r="B11160" i="111"/>
  <c r="B11090" i="111"/>
  <c r="B11254" i="111"/>
  <c r="B11207" i="111"/>
  <c r="B11699" i="111"/>
  <c r="B11652" i="111"/>
  <c r="B11605" i="111"/>
  <c r="B11464" i="111"/>
  <c r="B11394" i="111"/>
  <c r="B11558" i="111"/>
  <c r="B11511" i="111"/>
  <c r="B11347" i="111"/>
  <c r="B11300" i="111"/>
  <c r="B11159" i="111"/>
  <c r="B11089" i="111"/>
  <c r="B11253" i="111"/>
  <c r="B11206" i="111"/>
  <c r="B11698" i="111"/>
  <c r="B11651" i="111"/>
  <c r="B11604" i="111"/>
  <c r="B11463" i="111"/>
  <c r="B11393" i="111"/>
  <c r="B11557" i="111"/>
  <c r="B11510" i="111"/>
  <c r="B11346" i="111"/>
  <c r="B11299" i="111"/>
  <c r="B11158" i="111"/>
  <c r="B11088" i="111"/>
  <c r="B11252" i="111"/>
  <c r="B11205" i="111"/>
  <c r="B11697" i="111"/>
  <c r="B11650" i="111"/>
  <c r="B11603" i="111"/>
  <c r="B11462" i="111"/>
  <c r="B11392" i="111"/>
  <c r="B11556" i="111"/>
  <c r="B11509" i="111"/>
  <c r="B11345" i="111"/>
  <c r="B11298" i="111"/>
  <c r="B11157" i="111"/>
  <c r="B11087" i="111"/>
  <c r="B11251" i="111"/>
  <c r="B11204" i="111"/>
  <c r="B11696" i="111"/>
  <c r="B11649" i="111"/>
  <c r="B11602" i="111"/>
  <c r="B11461" i="111"/>
  <c r="B11391" i="111"/>
  <c r="B11555" i="111"/>
  <c r="B11508" i="111"/>
  <c r="B11344" i="111"/>
  <c r="B11297" i="111"/>
  <c r="B11156" i="111"/>
  <c r="B11086" i="111"/>
  <c r="B11250" i="111"/>
  <c r="B11203" i="111"/>
  <c r="B11695" i="111"/>
  <c r="B11648" i="111"/>
  <c r="B11601" i="111"/>
  <c r="B11460" i="111"/>
  <c r="B11390" i="111"/>
  <c r="B11554" i="111"/>
  <c r="B11507" i="111"/>
  <c r="B11343" i="111"/>
  <c r="B11296" i="111"/>
  <c r="B11155" i="111"/>
  <c r="B11085" i="111"/>
  <c r="B11249" i="111"/>
  <c r="B11202" i="111"/>
  <c r="B11694" i="111"/>
  <c r="B11647" i="111"/>
  <c r="B11600" i="111"/>
  <c r="B11459" i="111"/>
  <c r="B11389" i="111"/>
  <c r="B11553" i="111"/>
  <c r="B11506" i="111"/>
  <c r="B11342" i="111"/>
  <c r="B11295" i="111"/>
  <c r="B11154" i="111"/>
  <c r="B11084" i="111"/>
  <c r="B11248" i="111"/>
  <c r="B11201" i="111"/>
  <c r="B11693" i="111"/>
  <c r="B11646" i="111"/>
  <c r="B11599" i="111"/>
  <c r="B11458" i="111"/>
  <c r="B11388" i="111"/>
  <c r="B11552" i="111"/>
  <c r="B11505" i="111"/>
  <c r="B11341" i="111"/>
  <c r="B11294" i="111"/>
  <c r="B11153" i="111"/>
  <c r="B11083" i="111"/>
  <c r="B11247" i="111"/>
  <c r="B11200" i="111"/>
  <c r="B11049" i="111"/>
  <c r="B11048" i="111"/>
  <c r="B11047" i="111"/>
  <c r="B11044" i="111"/>
  <c r="B11043" i="111"/>
  <c r="B11046" i="111"/>
  <c r="B11045" i="111"/>
  <c r="B11042" i="111"/>
  <c r="B11041" i="111"/>
  <c r="B11038" i="111"/>
  <c r="B11037" i="111"/>
  <c r="B11040" i="111"/>
  <c r="B11039" i="111"/>
  <c r="B11036" i="111"/>
  <c r="B11035" i="111"/>
  <c r="B11034" i="111"/>
  <c r="B11031" i="111"/>
  <c r="B11030" i="111"/>
  <c r="B11033" i="111"/>
  <c r="B11032" i="111"/>
  <c r="B11029" i="111"/>
  <c r="B11028" i="111"/>
  <c r="B11025" i="111"/>
  <c r="B11024" i="111"/>
  <c r="B11027" i="111"/>
  <c r="B11026" i="111"/>
  <c r="B11719" i="111"/>
  <c r="B11718" i="111"/>
  <c r="B11717" i="111"/>
  <c r="B11714" i="111"/>
  <c r="B11713" i="111"/>
  <c r="B11716" i="111"/>
  <c r="B11715" i="111"/>
  <c r="B11712" i="111"/>
  <c r="B11711" i="111"/>
  <c r="B11708" i="111"/>
  <c r="B11707" i="111"/>
  <c r="B11710" i="111"/>
  <c r="B11709" i="111"/>
  <c r="B11010" i="111"/>
  <c r="B11009" i="111"/>
  <c r="B11008" i="111"/>
  <c r="B11005" i="111"/>
  <c r="B11004" i="111"/>
  <c r="B11007" i="111"/>
  <c r="B11006" i="111"/>
  <c r="B11003" i="111"/>
  <c r="B11002" i="111"/>
  <c r="B10999" i="111"/>
  <c r="B10998" i="111"/>
  <c r="B11001" i="111"/>
  <c r="B11000" i="111"/>
  <c r="B11023" i="111"/>
  <c r="B11022" i="111"/>
  <c r="B11021" i="111"/>
  <c r="B11018" i="111"/>
  <c r="B11017" i="111"/>
  <c r="B11020" i="111"/>
  <c r="B11019" i="111"/>
  <c r="B11016" i="111"/>
  <c r="B11015" i="111"/>
  <c r="B11012" i="111"/>
  <c r="B11011" i="111"/>
  <c r="B11014" i="111"/>
  <c r="B11013" i="111"/>
  <c r="B11692" i="111"/>
  <c r="B11645" i="111"/>
  <c r="B11598" i="111"/>
  <c r="B11457" i="111"/>
  <c r="B11387" i="111"/>
  <c r="B11551" i="111"/>
  <c r="B11504" i="111"/>
  <c r="B11340" i="111"/>
  <c r="B11293" i="111"/>
  <c r="B11152" i="111"/>
  <c r="B11082" i="111"/>
  <c r="B11246" i="111"/>
  <c r="B11199" i="111"/>
  <c r="B11691" i="111"/>
  <c r="B11644" i="111"/>
  <c r="B11597" i="111"/>
  <c r="B11456" i="111"/>
  <c r="B11386" i="111"/>
  <c r="B11550" i="111"/>
  <c r="B11503" i="111"/>
  <c r="B11339" i="111"/>
  <c r="B11292" i="111"/>
  <c r="B11151" i="111"/>
  <c r="B11081" i="111"/>
  <c r="B11245" i="111"/>
  <c r="B11198" i="111"/>
  <c r="B11690" i="111"/>
  <c r="B11643" i="111"/>
  <c r="B11596" i="111"/>
  <c r="B11455" i="111"/>
  <c r="B11385" i="111"/>
  <c r="B11549" i="111"/>
  <c r="B11502" i="111"/>
  <c r="B11338" i="111"/>
  <c r="B11291" i="111"/>
  <c r="B11150" i="111"/>
  <c r="B11080" i="111"/>
  <c r="B11244" i="111"/>
  <c r="B11197" i="111"/>
  <c r="B11689" i="111"/>
  <c r="B11642" i="111"/>
  <c r="B11595" i="111"/>
  <c r="B11454" i="111"/>
  <c r="B11384" i="111"/>
  <c r="B11548" i="111"/>
  <c r="B11501" i="111"/>
  <c r="B11337" i="111"/>
  <c r="B11290" i="111"/>
  <c r="B11149" i="111"/>
  <c r="B11079" i="111"/>
  <c r="B11243" i="111"/>
  <c r="B11196" i="111"/>
  <c r="B11688" i="111"/>
  <c r="B11641" i="111"/>
  <c r="B11594" i="111"/>
  <c r="B11453" i="111"/>
  <c r="B11383" i="111"/>
  <c r="B11547" i="111"/>
  <c r="B11500" i="111"/>
  <c r="B11336" i="111"/>
  <c r="B11289" i="111"/>
  <c r="B11148" i="111"/>
  <c r="B11078" i="111"/>
  <c r="B11242" i="111"/>
  <c r="B11195" i="111"/>
  <c r="B11687" i="111"/>
  <c r="B11640" i="111"/>
  <c r="B11593" i="111"/>
  <c r="B11452" i="111"/>
  <c r="B11382" i="111"/>
  <c r="B11546" i="111"/>
  <c r="B11499" i="111"/>
  <c r="B11335" i="111"/>
  <c r="B11288" i="111"/>
  <c r="B11147" i="111"/>
  <c r="B11077" i="111"/>
  <c r="B11241" i="111"/>
  <c r="B11194" i="111"/>
  <c r="B11686" i="111"/>
  <c r="B11639" i="111"/>
  <c r="B11592" i="111"/>
  <c r="B11451" i="111"/>
  <c r="B11381" i="111"/>
  <c r="B11545" i="111"/>
  <c r="B11498" i="111"/>
  <c r="B11334" i="111"/>
  <c r="B11287" i="111"/>
  <c r="B11146" i="111"/>
  <c r="B11076" i="111"/>
  <c r="B11240" i="111"/>
  <c r="B11193" i="111"/>
  <c r="B11685" i="111"/>
  <c r="B11638" i="111"/>
  <c r="B11591" i="111"/>
  <c r="B11450" i="111"/>
  <c r="B11380" i="111"/>
  <c r="B11544" i="111"/>
  <c r="B11497" i="111"/>
  <c r="B11333" i="111"/>
  <c r="B11286" i="111"/>
  <c r="B11145" i="111"/>
  <c r="B11075" i="111"/>
  <c r="B11239" i="111"/>
  <c r="B11192" i="111"/>
  <c r="B11684" i="111"/>
  <c r="B11637" i="111"/>
  <c r="B11590" i="111"/>
  <c r="B11449" i="111"/>
  <c r="B11379" i="111"/>
  <c r="B11543" i="111"/>
  <c r="B11496" i="111"/>
  <c r="B11332" i="111"/>
  <c r="B11285" i="111"/>
  <c r="B11144" i="111"/>
  <c r="B11074" i="111"/>
  <c r="B11238" i="111"/>
  <c r="B11191" i="111"/>
  <c r="B11683" i="111"/>
  <c r="B11636" i="111"/>
  <c r="B11589" i="111"/>
  <c r="B11448" i="111"/>
  <c r="B11378" i="111"/>
  <c r="B11542" i="111"/>
  <c r="B11495" i="111"/>
  <c r="B11331" i="111"/>
  <c r="B11284" i="111"/>
  <c r="B11143" i="111"/>
  <c r="B11073" i="111"/>
  <c r="B11237" i="111"/>
  <c r="B11190" i="111"/>
  <c r="B10979" i="111"/>
  <c r="B10941" i="111"/>
  <c r="B10843" i="111"/>
  <c r="B10808" i="111"/>
  <c r="B10916" i="111"/>
  <c r="B10879" i="111"/>
  <c r="B10770" i="111"/>
  <c r="B10675" i="111"/>
  <c r="B10610" i="111"/>
  <c r="B10645" i="111"/>
  <c r="B10745" i="111"/>
  <c r="B10712" i="111"/>
  <c r="B10978" i="111"/>
  <c r="B10940" i="111"/>
  <c r="B10842" i="111"/>
  <c r="B10807" i="111"/>
  <c r="B10915" i="111"/>
  <c r="B10878" i="111"/>
  <c r="B10769" i="111"/>
  <c r="B10674" i="111"/>
  <c r="B10609" i="111"/>
  <c r="B10644" i="111"/>
  <c r="B10744" i="111"/>
  <c r="B10711" i="111"/>
  <c r="B10977" i="111"/>
  <c r="B10939" i="111"/>
  <c r="B10841" i="111"/>
  <c r="B10806" i="111"/>
  <c r="B10914" i="111"/>
  <c r="B10877" i="111"/>
  <c r="B10768" i="111"/>
  <c r="B10673" i="111"/>
  <c r="B10608" i="111"/>
  <c r="B10643" i="111"/>
  <c r="B10743" i="111"/>
  <c r="B10710" i="111"/>
  <c r="B10976" i="111"/>
  <c r="B10938" i="111"/>
  <c r="B10840" i="111"/>
  <c r="B10805" i="111"/>
  <c r="B10913" i="111"/>
  <c r="B10876" i="111"/>
  <c r="B10767" i="111"/>
  <c r="B10672" i="111"/>
  <c r="B10607" i="111"/>
  <c r="B10642" i="111"/>
  <c r="B10742" i="111"/>
  <c r="B10709" i="111"/>
  <c r="B10975" i="111"/>
  <c r="B10937" i="111"/>
  <c r="B10839" i="111"/>
  <c r="B10804" i="111"/>
  <c r="B10912" i="111"/>
  <c r="B10875" i="111"/>
  <c r="B10766" i="111"/>
  <c r="B10671" i="111"/>
  <c r="B10606" i="111"/>
  <c r="B10641" i="111"/>
  <c r="B10741" i="111"/>
  <c r="B10708" i="111"/>
  <c r="B10974" i="111"/>
  <c r="B10936" i="111"/>
  <c r="B10838" i="111"/>
  <c r="B10803" i="111"/>
  <c r="B10911" i="111"/>
  <c r="B10874" i="111"/>
  <c r="B10765" i="111"/>
  <c r="B10670" i="111"/>
  <c r="B10605" i="111"/>
  <c r="B10640" i="111"/>
  <c r="B10740" i="111"/>
  <c r="B10707" i="111"/>
  <c r="B10973" i="111"/>
  <c r="B10935" i="111"/>
  <c r="B10837" i="111"/>
  <c r="B10802" i="111"/>
  <c r="B10910" i="111"/>
  <c r="B10873" i="111"/>
  <c r="B10764" i="111"/>
  <c r="B10669" i="111"/>
  <c r="B10604" i="111"/>
  <c r="B10639" i="111"/>
  <c r="B10739" i="111"/>
  <c r="B10706" i="111"/>
  <c r="B10972" i="111"/>
  <c r="B10934" i="111"/>
  <c r="B10836" i="111"/>
  <c r="B10801" i="111"/>
  <c r="B10909" i="111"/>
  <c r="B10872" i="111"/>
  <c r="B10763" i="111"/>
  <c r="B10668" i="111"/>
  <c r="B10603" i="111"/>
  <c r="B10638" i="111"/>
  <c r="B10738" i="111"/>
  <c r="B10705" i="111"/>
  <c r="B10971" i="111"/>
  <c r="B10933" i="111"/>
  <c r="B10835" i="111"/>
  <c r="B10800" i="111"/>
  <c r="B10908" i="111"/>
  <c r="B10871" i="111"/>
  <c r="B10762" i="111"/>
  <c r="B10667" i="111"/>
  <c r="B10602" i="111"/>
  <c r="B10637" i="111"/>
  <c r="B10737" i="111"/>
  <c r="B10704" i="111"/>
  <c r="B10970" i="111"/>
  <c r="B10932" i="111"/>
  <c r="B10834" i="111"/>
  <c r="B10799" i="111"/>
  <c r="B10907" i="111"/>
  <c r="B10870" i="111"/>
  <c r="B10761" i="111"/>
  <c r="B10666" i="111"/>
  <c r="B10601" i="111"/>
  <c r="B10636" i="111"/>
  <c r="B10736" i="111"/>
  <c r="B10703" i="111"/>
  <c r="B10969" i="111"/>
  <c r="B10931" i="111"/>
  <c r="B10833" i="111"/>
  <c r="B10798" i="111"/>
  <c r="B10906" i="111"/>
  <c r="B10869" i="111"/>
  <c r="B10760" i="111"/>
  <c r="B10665" i="111"/>
  <c r="B10600" i="111"/>
  <c r="B10635" i="111"/>
  <c r="B10735" i="111"/>
  <c r="B10702" i="111"/>
  <c r="B10968" i="111"/>
  <c r="B10930" i="111"/>
  <c r="B10832" i="111"/>
  <c r="B10797" i="111"/>
  <c r="B10905" i="111"/>
  <c r="B10868" i="111"/>
  <c r="B10759" i="111"/>
  <c r="B10664" i="111"/>
  <c r="B10599" i="111"/>
  <c r="B10634" i="111"/>
  <c r="B10734" i="111"/>
  <c r="B10701" i="111"/>
  <c r="B10967" i="111"/>
  <c r="B10929" i="111"/>
  <c r="B10831" i="111"/>
  <c r="B10796" i="111"/>
  <c r="B10904" i="111"/>
  <c r="B10867" i="111"/>
  <c r="B10758" i="111"/>
  <c r="B10663" i="111"/>
  <c r="B10598" i="111"/>
  <c r="B10633" i="111"/>
  <c r="B10733" i="111"/>
  <c r="B10700" i="111"/>
  <c r="B10966" i="111"/>
  <c r="B10928" i="111"/>
  <c r="B10830" i="111"/>
  <c r="B10795" i="111"/>
  <c r="B10903" i="111"/>
  <c r="B10866" i="111"/>
  <c r="B10757" i="111"/>
  <c r="B10662" i="111"/>
  <c r="B10597" i="111"/>
  <c r="B10632" i="111"/>
  <c r="B10732" i="111"/>
  <c r="B10699" i="111"/>
  <c r="B10965" i="111"/>
  <c r="B10927" i="111"/>
  <c r="B10829" i="111"/>
  <c r="B10794" i="111"/>
  <c r="B10902" i="111"/>
  <c r="B10865" i="111"/>
  <c r="B10756" i="111"/>
  <c r="B10661" i="111"/>
  <c r="B10596" i="111"/>
  <c r="B10631" i="111"/>
  <c r="B10731" i="111"/>
  <c r="B10698" i="111"/>
  <c r="B10964" i="111"/>
  <c r="B10926" i="111"/>
  <c r="B10828" i="111"/>
  <c r="B10793" i="111"/>
  <c r="B10901" i="111"/>
  <c r="B10864" i="111"/>
  <c r="B10755" i="111"/>
  <c r="B10660" i="111"/>
  <c r="B10595" i="111"/>
  <c r="B10630" i="111"/>
  <c r="B10730" i="111"/>
  <c r="B10697" i="111"/>
  <c r="B10963" i="111"/>
  <c r="B10925" i="111"/>
  <c r="B10827" i="111"/>
  <c r="B10792" i="111"/>
  <c r="B10900" i="111"/>
  <c r="B10863" i="111"/>
  <c r="B10754" i="111"/>
  <c r="B10659" i="111"/>
  <c r="B10594" i="111"/>
  <c r="B10629" i="111"/>
  <c r="B10729" i="111"/>
  <c r="B10696" i="111"/>
  <c r="B10962" i="111"/>
  <c r="B10924" i="111"/>
  <c r="B10826" i="111"/>
  <c r="B10791" i="111"/>
  <c r="B10899" i="111"/>
  <c r="B10862" i="111"/>
  <c r="B10753" i="111"/>
  <c r="B10658" i="111"/>
  <c r="B10593" i="111"/>
  <c r="B10628" i="111"/>
  <c r="B10728" i="111"/>
  <c r="B10695" i="111"/>
  <c r="B10961" i="111"/>
  <c r="B10923" i="111"/>
  <c r="B10825" i="111"/>
  <c r="B10790" i="111"/>
  <c r="B10898" i="111"/>
  <c r="B10861" i="111"/>
  <c r="B10752" i="111"/>
  <c r="B10657" i="111"/>
  <c r="B10592" i="111"/>
  <c r="B10627" i="111"/>
  <c r="B10727" i="111"/>
  <c r="B10694" i="111"/>
  <c r="B10960" i="111"/>
  <c r="B10922" i="111"/>
  <c r="B10824" i="111"/>
  <c r="B10789" i="111"/>
  <c r="B10897" i="111"/>
  <c r="B10860" i="111"/>
  <c r="B10751" i="111"/>
  <c r="B10656" i="111"/>
  <c r="B10591" i="111"/>
  <c r="B10626" i="111"/>
  <c r="B10726" i="111"/>
  <c r="B10693" i="111"/>
  <c r="B10959" i="111"/>
  <c r="B10921" i="111"/>
  <c r="B10823" i="111"/>
  <c r="B10788" i="111"/>
  <c r="B10896" i="111"/>
  <c r="B10859" i="111"/>
  <c r="B10750" i="111"/>
  <c r="B10655" i="111"/>
  <c r="B10590" i="111"/>
  <c r="B10625" i="111"/>
  <c r="B10725" i="111"/>
  <c r="B10692" i="111"/>
  <c r="B10958" i="111"/>
  <c r="B10920" i="111"/>
  <c r="B10822" i="111"/>
  <c r="B10787" i="111"/>
  <c r="B10895" i="111"/>
  <c r="B10858" i="111"/>
  <c r="B10749" i="111"/>
  <c r="B10654" i="111"/>
  <c r="B10589" i="111"/>
  <c r="B10624" i="111"/>
  <c r="B10724" i="111"/>
  <c r="B10691" i="111"/>
  <c r="B10957" i="111"/>
  <c r="B10919" i="111"/>
  <c r="B10821" i="111"/>
  <c r="B10786" i="111"/>
  <c r="B10894" i="111"/>
  <c r="B10857" i="111"/>
  <c r="B10748" i="111"/>
  <c r="B10653" i="111"/>
  <c r="B10588" i="111"/>
  <c r="B10623" i="111"/>
  <c r="B10723" i="111"/>
  <c r="B10690" i="111"/>
  <c r="B10956" i="111"/>
  <c r="B10918" i="111"/>
  <c r="B10820" i="111"/>
  <c r="B10785" i="111"/>
  <c r="B10893" i="111"/>
  <c r="B10856" i="111"/>
  <c r="B10747" i="111"/>
  <c r="B10652" i="111"/>
  <c r="B10587" i="111"/>
  <c r="B10622" i="111"/>
  <c r="B10722" i="111"/>
  <c r="B10689" i="111"/>
  <c r="B10955" i="111"/>
  <c r="B10917" i="111"/>
  <c r="B10819" i="111"/>
  <c r="B10784" i="111"/>
  <c r="B10892" i="111"/>
  <c r="B10855" i="111"/>
  <c r="B10746" i="111"/>
  <c r="B10651" i="111"/>
  <c r="B10586" i="111"/>
  <c r="B10621" i="111"/>
  <c r="B10721" i="111"/>
  <c r="B10688" i="111"/>
  <c r="B10992" i="111"/>
  <c r="B10954" i="111"/>
  <c r="B10854" i="111"/>
  <c r="B10891" i="111"/>
  <c r="B10783" i="111"/>
  <c r="B10687" i="111"/>
  <c r="B10991" i="111"/>
  <c r="B10953" i="111"/>
  <c r="B10890" i="111"/>
  <c r="B10782" i="111"/>
  <c r="B10686" i="111"/>
  <c r="B10990" i="111"/>
  <c r="B10952" i="111"/>
  <c r="B10853" i="111"/>
  <c r="B10889" i="111"/>
  <c r="B10781" i="111"/>
  <c r="B10685" i="111"/>
  <c r="B10989" i="111"/>
  <c r="B10951" i="111"/>
  <c r="B10852" i="111"/>
  <c r="B10818" i="111"/>
  <c r="B10888" i="111"/>
  <c r="B10780" i="111"/>
  <c r="B10684" i="111"/>
  <c r="B10620" i="111"/>
  <c r="B10650" i="111"/>
  <c r="B10720" i="111"/>
  <c r="B10988" i="111"/>
  <c r="B10950" i="111"/>
  <c r="B10817" i="111"/>
  <c r="B10887" i="111"/>
  <c r="B10779" i="111"/>
  <c r="B10619" i="111"/>
  <c r="B10719" i="111"/>
  <c r="B10987" i="111"/>
  <c r="B10949" i="111"/>
  <c r="B10851" i="111"/>
  <c r="B10816" i="111"/>
  <c r="B10886" i="111"/>
  <c r="B10778" i="111"/>
  <c r="B10683" i="111"/>
  <c r="B10618" i="111"/>
  <c r="B10718" i="111"/>
  <c r="B10986" i="111"/>
  <c r="B10948" i="111"/>
  <c r="B10850" i="111"/>
  <c r="B10815" i="111"/>
  <c r="B10777" i="111"/>
  <c r="B10682" i="111"/>
  <c r="B10617" i="111"/>
  <c r="B10985" i="111"/>
  <c r="B10947" i="111"/>
  <c r="B10849" i="111"/>
  <c r="B10814" i="111"/>
  <c r="B10885" i="111"/>
  <c r="B10776" i="111"/>
  <c r="B10681" i="111"/>
  <c r="B10616" i="111"/>
  <c r="B10649" i="111"/>
  <c r="B10717" i="111"/>
  <c r="B10585" i="111"/>
  <c r="B10584" i="111"/>
  <c r="B10583" i="111"/>
  <c r="B10582" i="111"/>
  <c r="B10581" i="111"/>
  <c r="B10580" i="111"/>
  <c r="B10579" i="111"/>
  <c r="B10577" i="111"/>
  <c r="B10578" i="111"/>
  <c r="B10576" i="111"/>
  <c r="B10574" i="111"/>
  <c r="B10575" i="111"/>
  <c r="B10997" i="111"/>
  <c r="B10996" i="111"/>
  <c r="B10995" i="111"/>
  <c r="B10994" i="111"/>
  <c r="B10993" i="111"/>
  <c r="B10573" i="111"/>
  <c r="B10572" i="111"/>
  <c r="B10571" i="111"/>
  <c r="B10570" i="111"/>
  <c r="B10569" i="111"/>
  <c r="B10984" i="111"/>
  <c r="B10946" i="111"/>
  <c r="B10848" i="111"/>
  <c r="B10813" i="111"/>
  <c r="B10884" i="111"/>
  <c r="B10775" i="111"/>
  <c r="B10680" i="111"/>
  <c r="B10615" i="111"/>
  <c r="B10648" i="111"/>
  <c r="B10716" i="111"/>
  <c r="B10983" i="111"/>
  <c r="B10945" i="111"/>
  <c r="B10847" i="111"/>
  <c r="B10812" i="111"/>
  <c r="B10883" i="111"/>
  <c r="B10774" i="111"/>
  <c r="B10679" i="111"/>
  <c r="B10614" i="111"/>
  <c r="B10715" i="111"/>
  <c r="B10982" i="111"/>
  <c r="B10944" i="111"/>
  <c r="B10846" i="111"/>
  <c r="B10811" i="111"/>
  <c r="B10882" i="111"/>
  <c r="B10773" i="111"/>
  <c r="B10678" i="111"/>
  <c r="B10613" i="111"/>
  <c r="B10647" i="111"/>
  <c r="B10714" i="111"/>
  <c r="B10981" i="111"/>
  <c r="B10943" i="111"/>
  <c r="B10845" i="111"/>
  <c r="B10810" i="111"/>
  <c r="B10881" i="111"/>
  <c r="B10772" i="111"/>
  <c r="B10677" i="111"/>
  <c r="B10612" i="111"/>
  <c r="B10980" i="111"/>
  <c r="B10942" i="111"/>
  <c r="B10844" i="111"/>
  <c r="B10809" i="111"/>
  <c r="B10880" i="111"/>
  <c r="B10771" i="111"/>
  <c r="B10676" i="111"/>
  <c r="B10611" i="111"/>
  <c r="B10646" i="111"/>
  <c r="B10713" i="111"/>
  <c r="B10542" i="111"/>
  <c r="B10501" i="111"/>
  <c r="B10396" i="111"/>
  <c r="B10356" i="111"/>
  <c r="B10476" i="111"/>
  <c r="B10435" i="111"/>
  <c r="B10315" i="111"/>
  <c r="B10210" i="111"/>
  <c r="B10124" i="111"/>
  <c r="B10167" i="111"/>
  <c r="B10290" i="111"/>
  <c r="B10249" i="111"/>
  <c r="B10541" i="111"/>
  <c r="B10500" i="111"/>
  <c r="B10395" i="111"/>
  <c r="B10355" i="111"/>
  <c r="B10475" i="111"/>
  <c r="B10434" i="111"/>
  <c r="B10314" i="111"/>
  <c r="B10209" i="111"/>
  <c r="B10123" i="111"/>
  <c r="B10166" i="111"/>
  <c r="B10289" i="111"/>
  <c r="B10248" i="111"/>
  <c r="B10540" i="111"/>
  <c r="B10499" i="111"/>
  <c r="B10394" i="111"/>
  <c r="B10354" i="111"/>
  <c r="B10474" i="111"/>
  <c r="B10433" i="111"/>
  <c r="B10313" i="111"/>
  <c r="B10208" i="111"/>
  <c r="B10122" i="111"/>
  <c r="B10165" i="111"/>
  <c r="B10288" i="111"/>
  <c r="B10247" i="111"/>
  <c r="B10539" i="111"/>
  <c r="B10498" i="111"/>
  <c r="B10393" i="111"/>
  <c r="B10353" i="111"/>
  <c r="B10473" i="111"/>
  <c r="B10432" i="111"/>
  <c r="B10312" i="111"/>
  <c r="B10207" i="111"/>
  <c r="B10121" i="111"/>
  <c r="B10164" i="111"/>
  <c r="B10287" i="111"/>
  <c r="B10246" i="111"/>
  <c r="B10538" i="111"/>
  <c r="B10497" i="111"/>
  <c r="B10392" i="111"/>
  <c r="B10352" i="111"/>
  <c r="B10472" i="111"/>
  <c r="B10431" i="111"/>
  <c r="B10311" i="111"/>
  <c r="B10206" i="111"/>
  <c r="B10120" i="111"/>
  <c r="B10163" i="111"/>
  <c r="B10286" i="111"/>
  <c r="B10245" i="111"/>
  <c r="B10537" i="111"/>
  <c r="B10496" i="111"/>
  <c r="B10391" i="111"/>
  <c r="B10351" i="111"/>
  <c r="B10471" i="111"/>
  <c r="B10430" i="111"/>
  <c r="B10310" i="111"/>
  <c r="B10205" i="111"/>
  <c r="B10119" i="111"/>
  <c r="B10162" i="111"/>
  <c r="B10285" i="111"/>
  <c r="B10244" i="111"/>
  <c r="B10536" i="111"/>
  <c r="B10495" i="111"/>
  <c r="B10390" i="111"/>
  <c r="B10350" i="111"/>
  <c r="B10470" i="111"/>
  <c r="B10429" i="111"/>
  <c r="B10309" i="111"/>
  <c r="B10204" i="111"/>
  <c r="B10118" i="111"/>
  <c r="B10161" i="111"/>
  <c r="B10284" i="111"/>
  <c r="B10243" i="111"/>
  <c r="B10535" i="111"/>
  <c r="B10494" i="111"/>
  <c r="B10389" i="111"/>
  <c r="B10349" i="111"/>
  <c r="B10469" i="111"/>
  <c r="B10428" i="111"/>
  <c r="B10308" i="111"/>
  <c r="B10203" i="111"/>
  <c r="B10117" i="111"/>
  <c r="B10160" i="111"/>
  <c r="B10283" i="111"/>
  <c r="B10242" i="111"/>
  <c r="B10534" i="111"/>
  <c r="B10493" i="111"/>
  <c r="B10388" i="111"/>
  <c r="B10348" i="111"/>
  <c r="B10468" i="111"/>
  <c r="B10427" i="111"/>
  <c r="B10307" i="111"/>
  <c r="B10202" i="111"/>
  <c r="B10116" i="111"/>
  <c r="B10159" i="111"/>
  <c r="B10282" i="111"/>
  <c r="B10241" i="111"/>
  <c r="B10533" i="111"/>
  <c r="B10492" i="111"/>
  <c r="B10387" i="111"/>
  <c r="B10347" i="111"/>
  <c r="B10467" i="111"/>
  <c r="B10426" i="111"/>
  <c r="B10306" i="111"/>
  <c r="B10201" i="111"/>
  <c r="B10115" i="111"/>
  <c r="B10158" i="111"/>
  <c r="B10281" i="111"/>
  <c r="B10240" i="111"/>
  <c r="B10532" i="111"/>
  <c r="B10491" i="111"/>
  <c r="B10386" i="111"/>
  <c r="B10346" i="111"/>
  <c r="B10466" i="111"/>
  <c r="B10425" i="111"/>
  <c r="B10305" i="111"/>
  <c r="B10200" i="111"/>
  <c r="B10114" i="111"/>
  <c r="B10157" i="111"/>
  <c r="B10280" i="111"/>
  <c r="B10239" i="111"/>
  <c r="B10531" i="111"/>
  <c r="B10490" i="111"/>
  <c r="B10385" i="111"/>
  <c r="B10345" i="111"/>
  <c r="B10465" i="111"/>
  <c r="B10424" i="111"/>
  <c r="B10304" i="111"/>
  <c r="B10199" i="111"/>
  <c r="B10113" i="111"/>
  <c r="B10156" i="111"/>
  <c r="B10279" i="111"/>
  <c r="B10238" i="111"/>
  <c r="B10530" i="111"/>
  <c r="B10489" i="111"/>
  <c r="B10384" i="111"/>
  <c r="B10344" i="111"/>
  <c r="B10464" i="111"/>
  <c r="B10423" i="111"/>
  <c r="B10303" i="111"/>
  <c r="B10198" i="111"/>
  <c r="B10112" i="111"/>
  <c r="B10155" i="111"/>
  <c r="B10278" i="111"/>
  <c r="B10237" i="111"/>
  <c r="B10529" i="111"/>
  <c r="B10488" i="111"/>
  <c r="B10343" i="111"/>
  <c r="B10463" i="111"/>
  <c r="B10422" i="111"/>
  <c r="B10302" i="111"/>
  <c r="B10197" i="111"/>
  <c r="B10111" i="111"/>
  <c r="B10154" i="111"/>
  <c r="B10277" i="111"/>
  <c r="B10236" i="111"/>
  <c r="B10528" i="111"/>
  <c r="B10487" i="111"/>
  <c r="B10383" i="111"/>
  <c r="B10342" i="111"/>
  <c r="B10462" i="111"/>
  <c r="B10421" i="111"/>
  <c r="B10301" i="111"/>
  <c r="B10196" i="111"/>
  <c r="B10110" i="111"/>
  <c r="B10153" i="111"/>
  <c r="B10276" i="111"/>
  <c r="B10235" i="111"/>
  <c r="B10527" i="111"/>
  <c r="B10486" i="111"/>
  <c r="B10382" i="111"/>
  <c r="B10341" i="111"/>
  <c r="B10461" i="111"/>
  <c r="B10420" i="111"/>
  <c r="B10300" i="111"/>
  <c r="B10195" i="111"/>
  <c r="B10109" i="111"/>
  <c r="B10152" i="111"/>
  <c r="B10275" i="111"/>
  <c r="B10234" i="111"/>
  <c r="B10526" i="111"/>
  <c r="B10485" i="111"/>
  <c r="B10381" i="111"/>
  <c r="B10340" i="111"/>
  <c r="B10460" i="111"/>
  <c r="B10419" i="111"/>
  <c r="B10299" i="111"/>
  <c r="B10194" i="111"/>
  <c r="B10108" i="111"/>
  <c r="B10151" i="111"/>
  <c r="B10274" i="111"/>
  <c r="B10233" i="111"/>
  <c r="B10525" i="111"/>
  <c r="B10484" i="111"/>
  <c r="B10380" i="111"/>
  <c r="B10339" i="111"/>
  <c r="B10459" i="111"/>
  <c r="B10418" i="111"/>
  <c r="B10298" i="111"/>
  <c r="B10193" i="111"/>
  <c r="B10107" i="111"/>
  <c r="B10150" i="111"/>
  <c r="B10273" i="111"/>
  <c r="B10232" i="111"/>
  <c r="B10524" i="111"/>
  <c r="B10483" i="111"/>
  <c r="B10379" i="111"/>
  <c r="B10338" i="111"/>
  <c r="B10458" i="111"/>
  <c r="B10417" i="111"/>
  <c r="B10297" i="111"/>
  <c r="B10192" i="111"/>
  <c r="B10106" i="111"/>
  <c r="B10149" i="111"/>
  <c r="B10272" i="111"/>
  <c r="B10231" i="111"/>
  <c r="B10523" i="111"/>
  <c r="B10482" i="111"/>
  <c r="B10378" i="111"/>
  <c r="B10337" i="111"/>
  <c r="B10457" i="111"/>
  <c r="B10416" i="111"/>
  <c r="B10296" i="111"/>
  <c r="B10191" i="111"/>
  <c r="B10105" i="111"/>
  <c r="B10148" i="111"/>
  <c r="B10271" i="111"/>
  <c r="B10230" i="111"/>
  <c r="B10522" i="111"/>
  <c r="B10481" i="111"/>
  <c r="B10377" i="111"/>
  <c r="B10336" i="111"/>
  <c r="B10456" i="111"/>
  <c r="B10415" i="111"/>
  <c r="B10295" i="111"/>
  <c r="B10190" i="111"/>
  <c r="B10104" i="111"/>
  <c r="B10147" i="111"/>
  <c r="B10270" i="111"/>
  <c r="B10229" i="111"/>
  <c r="B10521" i="111"/>
  <c r="B10480" i="111"/>
  <c r="B10376" i="111"/>
  <c r="B10335" i="111"/>
  <c r="B10455" i="111"/>
  <c r="B10414" i="111"/>
  <c r="B10294" i="111"/>
  <c r="B10189" i="111"/>
  <c r="B10103" i="111"/>
  <c r="B10146" i="111"/>
  <c r="B10269" i="111"/>
  <c r="B10228" i="111"/>
  <c r="B10520" i="111"/>
  <c r="B10479" i="111"/>
  <c r="B10375" i="111"/>
  <c r="B10334" i="111"/>
  <c r="B10454" i="111"/>
  <c r="B10413" i="111"/>
  <c r="B10293" i="111"/>
  <c r="B10188" i="111"/>
  <c r="B10102" i="111"/>
  <c r="B10145" i="111"/>
  <c r="B10268" i="111"/>
  <c r="B10227" i="111"/>
  <c r="B10519" i="111"/>
  <c r="B10478" i="111"/>
  <c r="B10374" i="111"/>
  <c r="B10333" i="111"/>
  <c r="B10453" i="111"/>
  <c r="B10412" i="111"/>
  <c r="B10292" i="111"/>
  <c r="B10187" i="111"/>
  <c r="B10101" i="111"/>
  <c r="B10144" i="111"/>
  <c r="B10267" i="111"/>
  <c r="B10226" i="111"/>
  <c r="B10518" i="111"/>
  <c r="B10477" i="111"/>
  <c r="B10373" i="111"/>
  <c r="B10332" i="111"/>
  <c r="B10452" i="111"/>
  <c r="B10411" i="111"/>
  <c r="B10291" i="111"/>
  <c r="B10186" i="111"/>
  <c r="B10100" i="111"/>
  <c r="B10143" i="111"/>
  <c r="B10266" i="111"/>
  <c r="B10225" i="111"/>
  <c r="B10558" i="111"/>
  <c r="B10517" i="111"/>
  <c r="B10372" i="111"/>
  <c r="B10437" i="111"/>
  <c r="B10331" i="111"/>
  <c r="B10185" i="111"/>
  <c r="B10251" i="111"/>
  <c r="B10557" i="111"/>
  <c r="B10516" i="111"/>
  <c r="B10371" i="111"/>
  <c r="B10436" i="111"/>
  <c r="B10330" i="111"/>
  <c r="B10184" i="111"/>
  <c r="B10250" i="111"/>
  <c r="B10556" i="111"/>
  <c r="B10515" i="111"/>
  <c r="B10410" i="111"/>
  <c r="B10370" i="111"/>
  <c r="B10451" i="111"/>
  <c r="B10329" i="111"/>
  <c r="B10224" i="111"/>
  <c r="B10142" i="111"/>
  <c r="B10183" i="111"/>
  <c r="B10265" i="111"/>
  <c r="B10555" i="111"/>
  <c r="B10514" i="111"/>
  <c r="B10409" i="111"/>
  <c r="B10369" i="111"/>
  <c r="B10450" i="111"/>
  <c r="B10328" i="111"/>
  <c r="B10223" i="111"/>
  <c r="B10141" i="111"/>
  <c r="B10182" i="111"/>
  <c r="B10264" i="111"/>
  <c r="B10554" i="111"/>
  <c r="B10513" i="111"/>
  <c r="B10408" i="111"/>
  <c r="B10368" i="111"/>
  <c r="B10449" i="111"/>
  <c r="B10327" i="111"/>
  <c r="B10222" i="111"/>
  <c r="B10140" i="111"/>
  <c r="B10181" i="111"/>
  <c r="B10263" i="111"/>
  <c r="B10553" i="111"/>
  <c r="B10512" i="111"/>
  <c r="B10407" i="111"/>
  <c r="B10367" i="111"/>
  <c r="B10448" i="111"/>
  <c r="B10326" i="111"/>
  <c r="B10221" i="111"/>
  <c r="B10139" i="111"/>
  <c r="B10180" i="111"/>
  <c r="B10262" i="111"/>
  <c r="B10552" i="111"/>
  <c r="B10511" i="111"/>
  <c r="B10406" i="111"/>
  <c r="B10366" i="111"/>
  <c r="B10447" i="111"/>
  <c r="B10325" i="111"/>
  <c r="B10220" i="111"/>
  <c r="B10138" i="111"/>
  <c r="B10179" i="111"/>
  <c r="B10261" i="111"/>
  <c r="B10551" i="111"/>
  <c r="B10510" i="111"/>
  <c r="B10405" i="111"/>
  <c r="B10365" i="111"/>
  <c r="B10446" i="111"/>
  <c r="B10324" i="111"/>
  <c r="B10219" i="111"/>
  <c r="B10137" i="111"/>
  <c r="B10178" i="111"/>
  <c r="B10260" i="111"/>
  <c r="B10550" i="111"/>
  <c r="B10509" i="111"/>
  <c r="B10404" i="111"/>
  <c r="B10364" i="111"/>
  <c r="B10445" i="111"/>
  <c r="B10323" i="111"/>
  <c r="B10218" i="111"/>
  <c r="B10136" i="111"/>
  <c r="B10177" i="111"/>
  <c r="B10259" i="111"/>
  <c r="B10549" i="111"/>
  <c r="B10508" i="111"/>
  <c r="B10403" i="111"/>
  <c r="B10363" i="111"/>
  <c r="B10444" i="111"/>
  <c r="B10322" i="111"/>
  <c r="B10217" i="111"/>
  <c r="B10135" i="111"/>
  <c r="B10176" i="111"/>
  <c r="B10258" i="111"/>
  <c r="B10175" i="111"/>
  <c r="B10174" i="111"/>
  <c r="B10133" i="111"/>
  <c r="B10132" i="111"/>
  <c r="B10134" i="111"/>
  <c r="B10131" i="111"/>
  <c r="B10098" i="111"/>
  <c r="B10096" i="111"/>
  <c r="B10097" i="111"/>
  <c r="B10099" i="111"/>
  <c r="B10095" i="111"/>
  <c r="B10094" i="111"/>
  <c r="B10092" i="111"/>
  <c r="B10091" i="111"/>
  <c r="B10093" i="111"/>
  <c r="B10090" i="111"/>
  <c r="B10088" i="111"/>
  <c r="B10086" i="111"/>
  <c r="B10087" i="111"/>
  <c r="B10089" i="111"/>
  <c r="B10568" i="111"/>
  <c r="B10567" i="111"/>
  <c r="B10565" i="111"/>
  <c r="B10564" i="111"/>
  <c r="B10566" i="111"/>
  <c r="B10563" i="111"/>
  <c r="B10561" i="111"/>
  <c r="B10559" i="111"/>
  <c r="B10560" i="111"/>
  <c r="B10562" i="111"/>
  <c r="B10085" i="111"/>
  <c r="B10084" i="111"/>
  <c r="B10082" i="111"/>
  <c r="B10081" i="111"/>
  <c r="B10083" i="111"/>
  <c r="B10080" i="111"/>
  <c r="B10078" i="111"/>
  <c r="B10076" i="111"/>
  <c r="B10077" i="111"/>
  <c r="B10079" i="111"/>
  <c r="B10548" i="111"/>
  <c r="B10507" i="111"/>
  <c r="B10402" i="111"/>
  <c r="B10362" i="111"/>
  <c r="B10443" i="111"/>
  <c r="B10321" i="111"/>
  <c r="B10216" i="111"/>
  <c r="B10130" i="111"/>
  <c r="B10173" i="111"/>
  <c r="B10257" i="111"/>
  <c r="B10547" i="111"/>
  <c r="B10506" i="111"/>
  <c r="B10401" i="111"/>
  <c r="B10361" i="111"/>
  <c r="B10442" i="111"/>
  <c r="B10320" i="111"/>
  <c r="B10215" i="111"/>
  <c r="B10129" i="111"/>
  <c r="B10172" i="111"/>
  <c r="B10256" i="111"/>
  <c r="B10546" i="111"/>
  <c r="B10505" i="111"/>
  <c r="B10400" i="111"/>
  <c r="B10360" i="111"/>
  <c r="B10441" i="111"/>
  <c r="B10319" i="111"/>
  <c r="B10214" i="111"/>
  <c r="B10128" i="111"/>
  <c r="B10171" i="111"/>
  <c r="B10255" i="111"/>
  <c r="B10545" i="111"/>
  <c r="B10504" i="111"/>
  <c r="B10399" i="111"/>
  <c r="B10359" i="111"/>
  <c r="B10440" i="111"/>
  <c r="B10318" i="111"/>
  <c r="B10213" i="111"/>
  <c r="B10127" i="111"/>
  <c r="B10170" i="111"/>
  <c r="B10254" i="111"/>
  <c r="B10544" i="111"/>
  <c r="B10503" i="111"/>
  <c r="B10398" i="111"/>
  <c r="B10358" i="111"/>
  <c r="B10439" i="111"/>
  <c r="B10317" i="111"/>
  <c r="B10212" i="111"/>
  <c r="B10126" i="111"/>
  <c r="B10169" i="111"/>
  <c r="B10253" i="111"/>
  <c r="B10543" i="111"/>
  <c r="B10502" i="111"/>
  <c r="B10397" i="111"/>
  <c r="B10357" i="111"/>
  <c r="B10438" i="111"/>
  <c r="B10316" i="111"/>
  <c r="B10211" i="111"/>
  <c r="B10125" i="111"/>
  <c r="B10168" i="111"/>
  <c r="B10252" i="111"/>
  <c r="B10019" i="111"/>
  <c r="B9964" i="111"/>
  <c r="B9812" i="111"/>
  <c r="B9912" i="111"/>
  <c r="B9774" i="111"/>
  <c r="B9889" i="111"/>
  <c r="B9851" i="111"/>
  <c r="B9725" i="111"/>
  <c r="B9575" i="111"/>
  <c r="B9676" i="111"/>
  <c r="B9513" i="111"/>
  <c r="B9552" i="111"/>
  <c r="B9653" i="111"/>
  <c r="B9614" i="111"/>
  <c r="B10018" i="111"/>
  <c r="B9963" i="111"/>
  <c r="B9811" i="111"/>
  <c r="B9911" i="111"/>
  <c r="B9773" i="111"/>
  <c r="B9888" i="111"/>
  <c r="B9850" i="111"/>
  <c r="B9724" i="111"/>
  <c r="B9574" i="111"/>
  <c r="B9675" i="111"/>
  <c r="B9512" i="111"/>
  <c r="B9551" i="111"/>
  <c r="B9652" i="111"/>
  <c r="B9613" i="111"/>
  <c r="B10017" i="111"/>
  <c r="B9962" i="111"/>
  <c r="B9810" i="111"/>
  <c r="B9910" i="111"/>
  <c r="B9772" i="111"/>
  <c r="B9887" i="111"/>
  <c r="B9849" i="111"/>
  <c r="B9723" i="111"/>
  <c r="B9573" i="111"/>
  <c r="B9674" i="111"/>
  <c r="B9511" i="111"/>
  <c r="B9550" i="111"/>
  <c r="B9651" i="111"/>
  <c r="B9612" i="111"/>
  <c r="B10016" i="111"/>
  <c r="B9961" i="111"/>
  <c r="B9809" i="111"/>
  <c r="B9909" i="111"/>
  <c r="B9771" i="111"/>
  <c r="B9886" i="111"/>
  <c r="B9848" i="111"/>
  <c r="B9722" i="111"/>
  <c r="B9572" i="111"/>
  <c r="B9673" i="111"/>
  <c r="B9510" i="111"/>
  <c r="B9549" i="111"/>
  <c r="B9650" i="111"/>
  <c r="B9611" i="111"/>
  <c r="B10015" i="111"/>
  <c r="B9960" i="111"/>
  <c r="B9808" i="111"/>
  <c r="B9908" i="111"/>
  <c r="B9770" i="111"/>
  <c r="B9885" i="111"/>
  <c r="B9847" i="111"/>
  <c r="B9721" i="111"/>
  <c r="B9571" i="111"/>
  <c r="B9672" i="111"/>
  <c r="B9509" i="111"/>
  <c r="B9548" i="111"/>
  <c r="B9649" i="111"/>
  <c r="B9610" i="111"/>
  <c r="B10014" i="111"/>
  <c r="B9959" i="111"/>
  <c r="B9807" i="111"/>
  <c r="B9907" i="111"/>
  <c r="B9769" i="111"/>
  <c r="B9884" i="111"/>
  <c r="B9846" i="111"/>
  <c r="B9720" i="111"/>
  <c r="B9570" i="111"/>
  <c r="B9671" i="111"/>
  <c r="B9508" i="111"/>
  <c r="B9547" i="111"/>
  <c r="B9648" i="111"/>
  <c r="B9609" i="111"/>
  <c r="B10013" i="111"/>
  <c r="B9958" i="111"/>
  <c r="B9806" i="111"/>
  <c r="B9906" i="111"/>
  <c r="B9768" i="111"/>
  <c r="B9883" i="111"/>
  <c r="B9845" i="111"/>
  <c r="B9719" i="111"/>
  <c r="B9569" i="111"/>
  <c r="B9670" i="111"/>
  <c r="B9507" i="111"/>
  <c r="B9546" i="111"/>
  <c r="B9647" i="111"/>
  <c r="B9608" i="111"/>
  <c r="B10012" i="111"/>
  <c r="B9957" i="111"/>
  <c r="B9805" i="111"/>
  <c r="B9905" i="111"/>
  <c r="B9767" i="111"/>
  <c r="B9882" i="111"/>
  <c r="B9844" i="111"/>
  <c r="B9718" i="111"/>
  <c r="B9568" i="111"/>
  <c r="B9669" i="111"/>
  <c r="B9506" i="111"/>
  <c r="B9545" i="111"/>
  <c r="B9646" i="111"/>
  <c r="B9607" i="111"/>
  <c r="B10011" i="111"/>
  <c r="B9956" i="111"/>
  <c r="B9804" i="111"/>
  <c r="B9904" i="111"/>
  <c r="B9766" i="111"/>
  <c r="B9881" i="111"/>
  <c r="B9843" i="111"/>
  <c r="B9717" i="111"/>
  <c r="B9567" i="111"/>
  <c r="B9668" i="111"/>
  <c r="B9505" i="111"/>
  <c r="B9544" i="111"/>
  <c r="B9645" i="111"/>
  <c r="B9606" i="111"/>
  <c r="B10010" i="111"/>
  <c r="B9955" i="111"/>
  <c r="B9803" i="111"/>
  <c r="B9903" i="111"/>
  <c r="B9765" i="111"/>
  <c r="B9880" i="111"/>
  <c r="B9842" i="111"/>
  <c r="B9716" i="111"/>
  <c r="B9566" i="111"/>
  <c r="B9667" i="111"/>
  <c r="B9504" i="111"/>
  <c r="B9543" i="111"/>
  <c r="B9644" i="111"/>
  <c r="B9605" i="111"/>
  <c r="B10009" i="111"/>
  <c r="B9954" i="111"/>
  <c r="B9802" i="111"/>
  <c r="B9902" i="111"/>
  <c r="B9764" i="111"/>
  <c r="B9879" i="111"/>
  <c r="B9841" i="111"/>
  <c r="B9715" i="111"/>
  <c r="B9565" i="111"/>
  <c r="B9666" i="111"/>
  <c r="B9503" i="111"/>
  <c r="B9542" i="111"/>
  <c r="B9643" i="111"/>
  <c r="B9604" i="111"/>
  <c r="B10008" i="111"/>
  <c r="B9953" i="111"/>
  <c r="B9901" i="111"/>
  <c r="B9763" i="111"/>
  <c r="B9878" i="111"/>
  <c r="B9840" i="111"/>
  <c r="B9714" i="111"/>
  <c r="B9564" i="111"/>
  <c r="B9665" i="111"/>
  <c r="B9502" i="111"/>
  <c r="B9541" i="111"/>
  <c r="B9642" i="111"/>
  <c r="B9603" i="111"/>
  <c r="B10007" i="111"/>
  <c r="B9952" i="111"/>
  <c r="B9801" i="111"/>
  <c r="B9900" i="111"/>
  <c r="B9762" i="111"/>
  <c r="B9877" i="111"/>
  <c r="B9839" i="111"/>
  <c r="B9713" i="111"/>
  <c r="B9563" i="111"/>
  <c r="B9664" i="111"/>
  <c r="B9501" i="111"/>
  <c r="B9540" i="111"/>
  <c r="B9641" i="111"/>
  <c r="B9602" i="111"/>
  <c r="B10006" i="111"/>
  <c r="B9951" i="111"/>
  <c r="B9800" i="111"/>
  <c r="B9899" i="111"/>
  <c r="B9761" i="111"/>
  <c r="B9876" i="111"/>
  <c r="B9838" i="111"/>
  <c r="B9712" i="111"/>
  <c r="B9562" i="111"/>
  <c r="B9663" i="111"/>
  <c r="B9500" i="111"/>
  <c r="B9539" i="111"/>
  <c r="B9640" i="111"/>
  <c r="B9601" i="111"/>
  <c r="B10005" i="111"/>
  <c r="B9950" i="111"/>
  <c r="B9799" i="111"/>
  <c r="B9898" i="111"/>
  <c r="B9760" i="111"/>
  <c r="B9875" i="111"/>
  <c r="B9837" i="111"/>
  <c r="B9711" i="111"/>
  <c r="B9561" i="111"/>
  <c r="B9662" i="111"/>
  <c r="B9499" i="111"/>
  <c r="B9538" i="111"/>
  <c r="B9639" i="111"/>
  <c r="B9600" i="111"/>
  <c r="B10004" i="111"/>
  <c r="B9949" i="111"/>
  <c r="B9798" i="111"/>
  <c r="B9897" i="111"/>
  <c r="B9759" i="111"/>
  <c r="B9874" i="111"/>
  <c r="B9836" i="111"/>
  <c r="B9710" i="111"/>
  <c r="B9560" i="111"/>
  <c r="B9661" i="111"/>
  <c r="B9498" i="111"/>
  <c r="B9537" i="111"/>
  <c r="B9638" i="111"/>
  <c r="B9599" i="111"/>
  <c r="B10003" i="111"/>
  <c r="B9948" i="111"/>
  <c r="B9797" i="111"/>
  <c r="B9896" i="111"/>
  <c r="B9758" i="111"/>
  <c r="B9873" i="111"/>
  <c r="B9835" i="111"/>
  <c r="B9709" i="111"/>
  <c r="B9559" i="111"/>
  <c r="B9660" i="111"/>
  <c r="B9497" i="111"/>
  <c r="B9536" i="111"/>
  <c r="B9637" i="111"/>
  <c r="B9598" i="111"/>
  <c r="B10002" i="111"/>
  <c r="B9947" i="111"/>
  <c r="B9796" i="111"/>
  <c r="B9895" i="111"/>
  <c r="B9757" i="111"/>
  <c r="B9872" i="111"/>
  <c r="B9834" i="111"/>
  <c r="B9708" i="111"/>
  <c r="B9558" i="111"/>
  <c r="B9659" i="111"/>
  <c r="B9496" i="111"/>
  <c r="B9535" i="111"/>
  <c r="B9636" i="111"/>
  <c r="B9597" i="111"/>
  <c r="B10001" i="111"/>
  <c r="B9946" i="111"/>
  <c r="B9795" i="111"/>
  <c r="B9894" i="111"/>
  <c r="B9756" i="111"/>
  <c r="B9871" i="111"/>
  <c r="B9833" i="111"/>
  <c r="B9707" i="111"/>
  <c r="B9557" i="111"/>
  <c r="B9658" i="111"/>
  <c r="B9495" i="111"/>
  <c r="B9534" i="111"/>
  <c r="B9635" i="111"/>
  <c r="B9596" i="111"/>
  <c r="B10000" i="111"/>
  <c r="B9945" i="111"/>
  <c r="B9794" i="111"/>
  <c r="B9893" i="111"/>
  <c r="B9755" i="111"/>
  <c r="B9870" i="111"/>
  <c r="B9832" i="111"/>
  <c r="B9706" i="111"/>
  <c r="B9556" i="111"/>
  <c r="B9657" i="111"/>
  <c r="B9494" i="111"/>
  <c r="B9533" i="111"/>
  <c r="B9634" i="111"/>
  <c r="B9595" i="111"/>
  <c r="B9999" i="111"/>
  <c r="B9944" i="111"/>
  <c r="B9793" i="111"/>
  <c r="B9892" i="111"/>
  <c r="B9754" i="111"/>
  <c r="B9869" i="111"/>
  <c r="B9831" i="111"/>
  <c r="B9705" i="111"/>
  <c r="B9555" i="111"/>
  <c r="B9656" i="111"/>
  <c r="B9493" i="111"/>
  <c r="B9532" i="111"/>
  <c r="B9633" i="111"/>
  <c r="B9594" i="111"/>
  <c r="B9998" i="111"/>
  <c r="B9943" i="111"/>
  <c r="B9792" i="111"/>
  <c r="B9891" i="111"/>
  <c r="B9753" i="111"/>
  <c r="B9868" i="111"/>
  <c r="B9830" i="111"/>
  <c r="B9704" i="111"/>
  <c r="B9554" i="111"/>
  <c r="B9655" i="111"/>
  <c r="B9492" i="111"/>
  <c r="B9531" i="111"/>
  <c r="B9632" i="111"/>
  <c r="B9593" i="111"/>
  <c r="B9997" i="111"/>
  <c r="B9942" i="111"/>
  <c r="B9791" i="111"/>
  <c r="B9890" i="111"/>
  <c r="B9752" i="111"/>
  <c r="B9829" i="111"/>
  <c r="B9703" i="111"/>
  <c r="B9553" i="111"/>
  <c r="B9654" i="111"/>
  <c r="B9491" i="111"/>
  <c r="B9530" i="111"/>
  <c r="B9631" i="111"/>
  <c r="B9592" i="111"/>
  <c r="B10047" i="111"/>
  <c r="B9996" i="111"/>
  <c r="B9941" i="111"/>
  <c r="B9751" i="111"/>
  <c r="B9702" i="111"/>
  <c r="B10046" i="111"/>
  <c r="B9995" i="111"/>
  <c r="B9940" i="111"/>
  <c r="B9750" i="111"/>
  <c r="B9701" i="111"/>
  <c r="B10045" i="111"/>
  <c r="B9994" i="111"/>
  <c r="B9939" i="111"/>
  <c r="B9749" i="111"/>
  <c r="B9700" i="111"/>
  <c r="B10044" i="111"/>
  <c r="B9993" i="111"/>
  <c r="B9938" i="111"/>
  <c r="B9748" i="111"/>
  <c r="B9699" i="111"/>
  <c r="B10043" i="111"/>
  <c r="B9992" i="111"/>
  <c r="B9937" i="111"/>
  <c r="B9747" i="111"/>
  <c r="B9698" i="111"/>
  <c r="B10042" i="111"/>
  <c r="B9991" i="111"/>
  <c r="B9936" i="111"/>
  <c r="B9746" i="111"/>
  <c r="B9697" i="111"/>
  <c r="B10041" i="111"/>
  <c r="B9990" i="111"/>
  <c r="B9935" i="111"/>
  <c r="B9745" i="111"/>
  <c r="B9696" i="111"/>
  <c r="B10040" i="111"/>
  <c r="B9989" i="111"/>
  <c r="B9934" i="111"/>
  <c r="B9744" i="111"/>
  <c r="B9695" i="111"/>
  <c r="B10039" i="111"/>
  <c r="B9988" i="111"/>
  <c r="B9933" i="111"/>
  <c r="B9743" i="111"/>
  <c r="B9694" i="111"/>
  <c r="B10038" i="111"/>
  <c r="B9987" i="111"/>
  <c r="B9932" i="111"/>
  <c r="B9742" i="111"/>
  <c r="B9693" i="111"/>
  <c r="B10037" i="111"/>
  <c r="B9986" i="111"/>
  <c r="B9828" i="111"/>
  <c r="B9931" i="111"/>
  <c r="B9790" i="111"/>
  <c r="B9867" i="111"/>
  <c r="B9741" i="111"/>
  <c r="B9591" i="111"/>
  <c r="B9692" i="111"/>
  <c r="B9529" i="111"/>
  <c r="B9630" i="111"/>
  <c r="B10036" i="111"/>
  <c r="B9985" i="111"/>
  <c r="B9827" i="111"/>
  <c r="B9930" i="111"/>
  <c r="B9789" i="111"/>
  <c r="B9866" i="111"/>
  <c r="B9740" i="111"/>
  <c r="B9590" i="111"/>
  <c r="B9691" i="111"/>
  <c r="B9528" i="111"/>
  <c r="B9629" i="111"/>
  <c r="B10035" i="111"/>
  <c r="B9984" i="111"/>
  <c r="B9826" i="111"/>
  <c r="B9929" i="111"/>
  <c r="B9788" i="111"/>
  <c r="B9865" i="111"/>
  <c r="B9739" i="111"/>
  <c r="B9589" i="111"/>
  <c r="B9690" i="111"/>
  <c r="B9527" i="111"/>
  <c r="B9628" i="111"/>
  <c r="B10034" i="111"/>
  <c r="B9983" i="111"/>
  <c r="B9825" i="111"/>
  <c r="B9928" i="111"/>
  <c r="B9787" i="111"/>
  <c r="B9864" i="111"/>
  <c r="B9738" i="111"/>
  <c r="B9588" i="111"/>
  <c r="B9689" i="111"/>
  <c r="B9526" i="111"/>
  <c r="B9627" i="111"/>
  <c r="B10033" i="111"/>
  <c r="B9982" i="111"/>
  <c r="B9824" i="111"/>
  <c r="B9927" i="111"/>
  <c r="B9786" i="111"/>
  <c r="B9863" i="111"/>
  <c r="B9737" i="111"/>
  <c r="B9587" i="111"/>
  <c r="B9688" i="111"/>
  <c r="B9525" i="111"/>
  <c r="B9626" i="111"/>
  <c r="B10032" i="111"/>
  <c r="B9981" i="111"/>
  <c r="B9823" i="111"/>
  <c r="B9926" i="111"/>
  <c r="B9785" i="111"/>
  <c r="B9862" i="111"/>
  <c r="B9736" i="111"/>
  <c r="B9586" i="111"/>
  <c r="B9687" i="111"/>
  <c r="B9524" i="111"/>
  <c r="B9625" i="111"/>
  <c r="B10031" i="111"/>
  <c r="B9980" i="111"/>
  <c r="B9822" i="111"/>
  <c r="B9925" i="111"/>
  <c r="B9784" i="111"/>
  <c r="B9861" i="111"/>
  <c r="B9735" i="111"/>
  <c r="B9585" i="111"/>
  <c r="B9686" i="111"/>
  <c r="B9523" i="111"/>
  <c r="B9624" i="111"/>
  <c r="B10030" i="111"/>
  <c r="B9979" i="111"/>
  <c r="B9821" i="111"/>
  <c r="B9924" i="111"/>
  <c r="B9783" i="111"/>
  <c r="B9860" i="111"/>
  <c r="B9734" i="111"/>
  <c r="B9584" i="111"/>
  <c r="B9685" i="111"/>
  <c r="B9522" i="111"/>
  <c r="B9623" i="111"/>
  <c r="B10029" i="111"/>
  <c r="B10028" i="111"/>
  <c r="B9976" i="111"/>
  <c r="B9978" i="111"/>
  <c r="B9975" i="111"/>
  <c r="B9977" i="111"/>
  <c r="B9974" i="111"/>
  <c r="B9922" i="111"/>
  <c r="B9973" i="111"/>
  <c r="B9921" i="111"/>
  <c r="B9923" i="111"/>
  <c r="B9490" i="111"/>
  <c r="B9489" i="111"/>
  <c r="B9486" i="111"/>
  <c r="B9488" i="111"/>
  <c r="B9485" i="111"/>
  <c r="B9487" i="111"/>
  <c r="B9484" i="111"/>
  <c r="B9481" i="111"/>
  <c r="B9483" i="111"/>
  <c r="B9480" i="111"/>
  <c r="B9482" i="111"/>
  <c r="B10058" i="111"/>
  <c r="B10057" i="111"/>
  <c r="B10054" i="111"/>
  <c r="B10056" i="111"/>
  <c r="B10053" i="111"/>
  <c r="B10055" i="111"/>
  <c r="B10052" i="111"/>
  <c r="B10049" i="111"/>
  <c r="B10051" i="111"/>
  <c r="B10048" i="111"/>
  <c r="B10050" i="111"/>
  <c r="B9457" i="111"/>
  <c r="B9456" i="111"/>
  <c r="B9453" i="111"/>
  <c r="B9455" i="111"/>
  <c r="B9452" i="111"/>
  <c r="B9454" i="111"/>
  <c r="B9451" i="111"/>
  <c r="B9448" i="111"/>
  <c r="B9450" i="111"/>
  <c r="B9447" i="111"/>
  <c r="B9449" i="111"/>
  <c r="B9468" i="111"/>
  <c r="B9467" i="111"/>
  <c r="B9464" i="111"/>
  <c r="B9466" i="111"/>
  <c r="B9463" i="111"/>
  <c r="B9465" i="111"/>
  <c r="B9462" i="111"/>
  <c r="B9459" i="111"/>
  <c r="B9461" i="111"/>
  <c r="B9458" i="111"/>
  <c r="B9460" i="111"/>
  <c r="B9479" i="111"/>
  <c r="B9478" i="111"/>
  <c r="B9475" i="111"/>
  <c r="B9477" i="111"/>
  <c r="B9474" i="111"/>
  <c r="B9476" i="111"/>
  <c r="B9473" i="111"/>
  <c r="B9470" i="111"/>
  <c r="B9472" i="111"/>
  <c r="B9469" i="111"/>
  <c r="B9471" i="111"/>
  <c r="B10027" i="111"/>
  <c r="B9972" i="111"/>
  <c r="B9820" i="111"/>
  <c r="B9920" i="111"/>
  <c r="B9782" i="111"/>
  <c r="B9859" i="111"/>
  <c r="B9733" i="111"/>
  <c r="B9583" i="111"/>
  <c r="B9684" i="111"/>
  <c r="B9521" i="111"/>
  <c r="B9622" i="111"/>
  <c r="B10026" i="111"/>
  <c r="B9971" i="111"/>
  <c r="B9819" i="111"/>
  <c r="B9919" i="111"/>
  <c r="B9781" i="111"/>
  <c r="B9858" i="111"/>
  <c r="B9732" i="111"/>
  <c r="B9582" i="111"/>
  <c r="B9683" i="111"/>
  <c r="B9520" i="111"/>
  <c r="B9621" i="111"/>
  <c r="B10025" i="111"/>
  <c r="B9970" i="111"/>
  <c r="B9818" i="111"/>
  <c r="B9918" i="111"/>
  <c r="B9780" i="111"/>
  <c r="B9857" i="111"/>
  <c r="B9731" i="111"/>
  <c r="B9581" i="111"/>
  <c r="B9682" i="111"/>
  <c r="B9519" i="111"/>
  <c r="B9620" i="111"/>
  <c r="B10024" i="111"/>
  <c r="B9969" i="111"/>
  <c r="B9817" i="111"/>
  <c r="B9917" i="111"/>
  <c r="B9779" i="111"/>
  <c r="B9856" i="111"/>
  <c r="B9730" i="111"/>
  <c r="B9580" i="111"/>
  <c r="B9681" i="111"/>
  <c r="B9518" i="111"/>
  <c r="B9619" i="111"/>
  <c r="B10023" i="111"/>
  <c r="B9968" i="111"/>
  <c r="B9816" i="111"/>
  <c r="B9916" i="111"/>
  <c r="B9778" i="111"/>
  <c r="B9855" i="111"/>
  <c r="B9729" i="111"/>
  <c r="B9579" i="111"/>
  <c r="B9680" i="111"/>
  <c r="B9517" i="111"/>
  <c r="B9618" i="111"/>
  <c r="B10022" i="111"/>
  <c r="B9967" i="111"/>
  <c r="B9815" i="111"/>
  <c r="B9915" i="111"/>
  <c r="B9777" i="111"/>
  <c r="B9854" i="111"/>
  <c r="B9728" i="111"/>
  <c r="B9578" i="111"/>
  <c r="B9679" i="111"/>
  <c r="B9516" i="111"/>
  <c r="B9617" i="111"/>
  <c r="B10021" i="111"/>
  <c r="B9966" i="111"/>
  <c r="B9814" i="111"/>
  <c r="B9914" i="111"/>
  <c r="B9776" i="111"/>
  <c r="B9853" i="111"/>
  <c r="B9727" i="111"/>
  <c r="B9577" i="111"/>
  <c r="B9678" i="111"/>
  <c r="B9515" i="111"/>
  <c r="B9616" i="111"/>
  <c r="B10020" i="111"/>
  <c r="B9965" i="111"/>
  <c r="B9813" i="111"/>
  <c r="B9913" i="111"/>
  <c r="B9775" i="111"/>
  <c r="B9852" i="111"/>
  <c r="B9726" i="111"/>
  <c r="B9576" i="111"/>
  <c r="B9677" i="111"/>
  <c r="B9514" i="111"/>
  <c r="B9615" i="111"/>
  <c r="B9406" i="111"/>
  <c r="B9375" i="111"/>
  <c r="B9272" i="111"/>
  <c r="B9344" i="111"/>
  <c r="B9241" i="111"/>
  <c r="B9331" i="111"/>
  <c r="B9300" i="111"/>
  <c r="B9210" i="111"/>
  <c r="B9179" i="111"/>
  <c r="B9075" i="111"/>
  <c r="B9166" i="111"/>
  <c r="B9136" i="111"/>
  <c r="B9405" i="111"/>
  <c r="B9374" i="111"/>
  <c r="B9271" i="111"/>
  <c r="B9343" i="111"/>
  <c r="B9240" i="111"/>
  <c r="B9330" i="111"/>
  <c r="B9299" i="111"/>
  <c r="B9209" i="111"/>
  <c r="B9105" i="111"/>
  <c r="B9178" i="111"/>
  <c r="B9074" i="111"/>
  <c r="B9165" i="111"/>
  <c r="B9135" i="111"/>
  <c r="B9404" i="111"/>
  <c r="B9373" i="111"/>
  <c r="B9270" i="111"/>
  <c r="B9342" i="111"/>
  <c r="B9239" i="111"/>
  <c r="B9329" i="111"/>
  <c r="B9298" i="111"/>
  <c r="B9208" i="111"/>
  <c r="B9104" i="111"/>
  <c r="B9177" i="111"/>
  <c r="B9073" i="111"/>
  <c r="B9164" i="111"/>
  <c r="B9134" i="111"/>
  <c r="B9403" i="111"/>
  <c r="B9372" i="111"/>
  <c r="B9269" i="111"/>
  <c r="B9341" i="111"/>
  <c r="B9238" i="111"/>
  <c r="B9328" i="111"/>
  <c r="B9297" i="111"/>
  <c r="B9207" i="111"/>
  <c r="B9103" i="111"/>
  <c r="B9176" i="111"/>
  <c r="B9072" i="111"/>
  <c r="B9163" i="111"/>
  <c r="B9133" i="111"/>
  <c r="B9402" i="111"/>
  <c r="B9371" i="111"/>
  <c r="B9268" i="111"/>
  <c r="B9340" i="111"/>
  <c r="B9237" i="111"/>
  <c r="B9327" i="111"/>
  <c r="B9296" i="111"/>
  <c r="B9206" i="111"/>
  <c r="B9102" i="111"/>
  <c r="B9175" i="111"/>
  <c r="B9071" i="111"/>
  <c r="B9162" i="111"/>
  <c r="B9132" i="111"/>
  <c r="B9401" i="111"/>
  <c r="B9370" i="111"/>
  <c r="B9267" i="111"/>
  <c r="B9339" i="111"/>
  <c r="B9236" i="111"/>
  <c r="B9326" i="111"/>
  <c r="B9295" i="111"/>
  <c r="B9205" i="111"/>
  <c r="B9101" i="111"/>
  <c r="B9174" i="111"/>
  <c r="B9070" i="111"/>
  <c r="B9161" i="111"/>
  <c r="B9131" i="111"/>
  <c r="B9400" i="111"/>
  <c r="B9369" i="111"/>
  <c r="B9266" i="111"/>
  <c r="B9338" i="111"/>
  <c r="B9235" i="111"/>
  <c r="B9325" i="111"/>
  <c r="B9294" i="111"/>
  <c r="B9204" i="111"/>
  <c r="B9100" i="111"/>
  <c r="B9173" i="111"/>
  <c r="B9069" i="111"/>
  <c r="B9160" i="111"/>
  <c r="B9130" i="111"/>
  <c r="B9399" i="111"/>
  <c r="B9368" i="111"/>
  <c r="B9265" i="111"/>
  <c r="B9337" i="111"/>
  <c r="B9234" i="111"/>
  <c r="B9324" i="111"/>
  <c r="B9203" i="111"/>
  <c r="B9099" i="111"/>
  <c r="B9172" i="111"/>
  <c r="B9068" i="111"/>
  <c r="B9159" i="111"/>
  <c r="B9129" i="111"/>
  <c r="B9398" i="111"/>
  <c r="B9367" i="111"/>
  <c r="B9264" i="111"/>
  <c r="B9336" i="111"/>
  <c r="B9233" i="111"/>
  <c r="B9323" i="111"/>
  <c r="B9293" i="111"/>
  <c r="B9202" i="111"/>
  <c r="B9098" i="111"/>
  <c r="B9171" i="111"/>
  <c r="B9067" i="111"/>
  <c r="B9158" i="111"/>
  <c r="B9128" i="111"/>
  <c r="B9397" i="111"/>
  <c r="B9366" i="111"/>
  <c r="B9263" i="111"/>
  <c r="B9335" i="111"/>
  <c r="B9232" i="111"/>
  <c r="B9322" i="111"/>
  <c r="B9292" i="111"/>
  <c r="B9201" i="111"/>
  <c r="B9097" i="111"/>
  <c r="B9170" i="111"/>
  <c r="B9066" i="111"/>
  <c r="B9157" i="111"/>
  <c r="B9127" i="111"/>
  <c r="B9396" i="111"/>
  <c r="B9365" i="111"/>
  <c r="B9262" i="111"/>
  <c r="B9334" i="111"/>
  <c r="B9231" i="111"/>
  <c r="B9321" i="111"/>
  <c r="B9291" i="111"/>
  <c r="B9200" i="111"/>
  <c r="B9096" i="111"/>
  <c r="B9169" i="111"/>
  <c r="B9065" i="111"/>
  <c r="B9156" i="111"/>
  <c r="B9126" i="111"/>
  <c r="B9395" i="111"/>
  <c r="B9364" i="111"/>
  <c r="B9261" i="111"/>
  <c r="B9333" i="111"/>
  <c r="B9230" i="111"/>
  <c r="B9320" i="111"/>
  <c r="B9290" i="111"/>
  <c r="B9199" i="111"/>
  <c r="B9095" i="111"/>
  <c r="B9168" i="111"/>
  <c r="B9064" i="111"/>
  <c r="B9155" i="111"/>
  <c r="B9125" i="111"/>
  <c r="B9394" i="111"/>
  <c r="B9363" i="111"/>
  <c r="B9260" i="111"/>
  <c r="B9332" i="111"/>
  <c r="B9229" i="111"/>
  <c r="B9319" i="111"/>
  <c r="B9289" i="111"/>
  <c r="B9198" i="111"/>
  <c r="B9094" i="111"/>
  <c r="B9167" i="111"/>
  <c r="B9063" i="111"/>
  <c r="B9154" i="111"/>
  <c r="B9124" i="111"/>
  <c r="B9424" i="111"/>
  <c r="B9393" i="111"/>
  <c r="B9288" i="111"/>
  <c r="B9362" i="111"/>
  <c r="B9259" i="111"/>
  <c r="B9318" i="111"/>
  <c r="B9228" i="111"/>
  <c r="B9123" i="111"/>
  <c r="B9197" i="111"/>
  <c r="B9093" i="111"/>
  <c r="B9153" i="111"/>
  <c r="B9423" i="111"/>
  <c r="B9392" i="111"/>
  <c r="B9287" i="111"/>
  <c r="B9361" i="111"/>
  <c r="B9258" i="111"/>
  <c r="B9317" i="111"/>
  <c r="B9227" i="111"/>
  <c r="B9122" i="111"/>
  <c r="B9196" i="111"/>
  <c r="B9092" i="111"/>
  <c r="B9152" i="111"/>
  <c r="B9422" i="111"/>
  <c r="B9391" i="111"/>
  <c r="B9286" i="111"/>
  <c r="B9360" i="111"/>
  <c r="B9257" i="111"/>
  <c r="B9316" i="111"/>
  <c r="B9226" i="111"/>
  <c r="B9121" i="111"/>
  <c r="B9195" i="111"/>
  <c r="B9091" i="111"/>
  <c r="B9151" i="111"/>
  <c r="B9421" i="111"/>
  <c r="B9390" i="111"/>
  <c r="B9285" i="111"/>
  <c r="B9359" i="111"/>
  <c r="B9256" i="111"/>
  <c r="B9315" i="111"/>
  <c r="B9225" i="111"/>
  <c r="B9120" i="111"/>
  <c r="B9194" i="111"/>
  <c r="B9090" i="111"/>
  <c r="B9150" i="111"/>
  <c r="B9420" i="111"/>
  <c r="B9389" i="111"/>
  <c r="B9358" i="111"/>
  <c r="B9255" i="111"/>
  <c r="B9314" i="111"/>
  <c r="B9224" i="111"/>
  <c r="B9119" i="111"/>
  <c r="B9193" i="111"/>
  <c r="B9089" i="111"/>
  <c r="B9149" i="111"/>
  <c r="B9419" i="111"/>
  <c r="B9388" i="111"/>
  <c r="B9357" i="111"/>
  <c r="B9254" i="111"/>
  <c r="B9313" i="111"/>
  <c r="B9223" i="111"/>
  <c r="B9118" i="111"/>
  <c r="B9192" i="111"/>
  <c r="B9088" i="111"/>
  <c r="B9148" i="111"/>
  <c r="B9418" i="111"/>
  <c r="B9387" i="111"/>
  <c r="B9284" i="111"/>
  <c r="B9356" i="111"/>
  <c r="B9253" i="111"/>
  <c r="B9312" i="111"/>
  <c r="B9222" i="111"/>
  <c r="B9117" i="111"/>
  <c r="B9191" i="111"/>
  <c r="B9087" i="111"/>
  <c r="B9147" i="111"/>
  <c r="B9435" i="111"/>
  <c r="B9434" i="111"/>
  <c r="B9431" i="111"/>
  <c r="B9433" i="111"/>
  <c r="B9430" i="111"/>
  <c r="B9432" i="111"/>
  <c r="B9429" i="111"/>
  <c r="B9426" i="111"/>
  <c r="B9428" i="111"/>
  <c r="B9425" i="111"/>
  <c r="B9427" i="111"/>
  <c r="B9062" i="111"/>
  <c r="B9061" i="111"/>
  <c r="B9058" i="111"/>
  <c r="B9060" i="111"/>
  <c r="B9057" i="111"/>
  <c r="B9059" i="111"/>
  <c r="B9056" i="111"/>
  <c r="B9053" i="111"/>
  <c r="B9055" i="111"/>
  <c r="B9052" i="111"/>
  <c r="B9054" i="111"/>
  <c r="B9446" i="111"/>
  <c r="B9445" i="111"/>
  <c r="B9442" i="111"/>
  <c r="B9444" i="111"/>
  <c r="B9441" i="111"/>
  <c r="B9443" i="111"/>
  <c r="B9440" i="111"/>
  <c r="B9437" i="111"/>
  <c r="B9439" i="111"/>
  <c r="B9436" i="111"/>
  <c r="B9438" i="111"/>
  <c r="B9029" i="111"/>
  <c r="B9028" i="111"/>
  <c r="B9025" i="111"/>
  <c r="B9027" i="111"/>
  <c r="B9024" i="111"/>
  <c r="B9026" i="111"/>
  <c r="B9023" i="111"/>
  <c r="B9020" i="111"/>
  <c r="B9022" i="111"/>
  <c r="B9019" i="111"/>
  <c r="B9021" i="111"/>
  <c r="B9040" i="111"/>
  <c r="B9039" i="111"/>
  <c r="B9036" i="111"/>
  <c r="B9038" i="111"/>
  <c r="B9035" i="111"/>
  <c r="B9037" i="111"/>
  <c r="B9034" i="111"/>
  <c r="B9031" i="111"/>
  <c r="B9033" i="111"/>
  <c r="B9030" i="111"/>
  <c r="B9032" i="111"/>
  <c r="B9051" i="111"/>
  <c r="B9050" i="111"/>
  <c r="B9047" i="111"/>
  <c r="B9049" i="111"/>
  <c r="B9046" i="111"/>
  <c r="B9048" i="111"/>
  <c r="B9045" i="111"/>
  <c r="B9042" i="111"/>
  <c r="B9044" i="111"/>
  <c r="B9041" i="111"/>
  <c r="B9043" i="111"/>
  <c r="B9417" i="111"/>
  <c r="B9386" i="111"/>
  <c r="B9283" i="111"/>
  <c r="B9355" i="111"/>
  <c r="B9252" i="111"/>
  <c r="B9311" i="111"/>
  <c r="B9221" i="111"/>
  <c r="B9116" i="111"/>
  <c r="B9190" i="111"/>
  <c r="B9086" i="111"/>
  <c r="B9416" i="111"/>
  <c r="B9385" i="111"/>
  <c r="B9282" i="111"/>
  <c r="B9354" i="111"/>
  <c r="B9251" i="111"/>
  <c r="B9310" i="111"/>
  <c r="B9220" i="111"/>
  <c r="B9115" i="111"/>
  <c r="B9189" i="111"/>
  <c r="B9085" i="111"/>
  <c r="B9146" i="111"/>
  <c r="B9415" i="111"/>
  <c r="B9384" i="111"/>
  <c r="B9281" i="111"/>
  <c r="B9353" i="111"/>
  <c r="B9250" i="111"/>
  <c r="B9309" i="111"/>
  <c r="B9219" i="111"/>
  <c r="B9114" i="111"/>
  <c r="B9188" i="111"/>
  <c r="B9084" i="111"/>
  <c r="B9145" i="111"/>
  <c r="B9414" i="111"/>
  <c r="B9383" i="111"/>
  <c r="B9280" i="111"/>
  <c r="B9352" i="111"/>
  <c r="B9249" i="111"/>
  <c r="B9308" i="111"/>
  <c r="B9218" i="111"/>
  <c r="B9113" i="111"/>
  <c r="B9187" i="111"/>
  <c r="B9083" i="111"/>
  <c r="B9144" i="111"/>
  <c r="B9413" i="111"/>
  <c r="B9382" i="111"/>
  <c r="B9279" i="111"/>
  <c r="B9351" i="111"/>
  <c r="B9248" i="111"/>
  <c r="B9307" i="111"/>
  <c r="B9217" i="111"/>
  <c r="B9112" i="111"/>
  <c r="B9186" i="111"/>
  <c r="B9082" i="111"/>
  <c r="B9143" i="111"/>
  <c r="B9412" i="111"/>
  <c r="B9381" i="111"/>
  <c r="B9278" i="111"/>
  <c r="B9350" i="111"/>
  <c r="B9247" i="111"/>
  <c r="B9306" i="111"/>
  <c r="B9216" i="111"/>
  <c r="B9111" i="111"/>
  <c r="B9185" i="111"/>
  <c r="B9081" i="111"/>
  <c r="B9142" i="111"/>
  <c r="B9411" i="111"/>
  <c r="B9380" i="111"/>
  <c r="B9277" i="111"/>
  <c r="B9349" i="111"/>
  <c r="B9246" i="111"/>
  <c r="B9305" i="111"/>
  <c r="B9215" i="111"/>
  <c r="B9110" i="111"/>
  <c r="B9184" i="111"/>
  <c r="B9080" i="111"/>
  <c r="B9141" i="111"/>
  <c r="B9410" i="111"/>
  <c r="B9379" i="111"/>
  <c r="B9276" i="111"/>
  <c r="B9348" i="111"/>
  <c r="B9245" i="111"/>
  <c r="B9304" i="111"/>
  <c r="B9214" i="111"/>
  <c r="B9109" i="111"/>
  <c r="B9183" i="111"/>
  <c r="B9079" i="111"/>
  <c r="B9140" i="111"/>
  <c r="B9409" i="111"/>
  <c r="B9378" i="111"/>
  <c r="B9275" i="111"/>
  <c r="B9347" i="111"/>
  <c r="B9244" i="111"/>
  <c r="B9303" i="111"/>
  <c r="B9213" i="111"/>
  <c r="B9108" i="111"/>
  <c r="B9182" i="111"/>
  <c r="B9078" i="111"/>
  <c r="B9139" i="111"/>
  <c r="B9408" i="111"/>
  <c r="B9377" i="111"/>
  <c r="B9274" i="111"/>
  <c r="B9346" i="111"/>
  <c r="B9243" i="111"/>
  <c r="B9302" i="111"/>
  <c r="B9212" i="111"/>
  <c r="B9107" i="111"/>
  <c r="B9181" i="111"/>
  <c r="B9077" i="111"/>
  <c r="B9138" i="111"/>
  <c r="B9407" i="111"/>
  <c r="B9376" i="111"/>
  <c r="B9273" i="111"/>
  <c r="B9345" i="111"/>
  <c r="B9242" i="111"/>
  <c r="B9301" i="111"/>
  <c r="B9211" i="111"/>
  <c r="B9106" i="111"/>
  <c r="B9180" i="111"/>
  <c r="B9076" i="111"/>
  <c r="B9137" i="111"/>
  <c r="B8979" i="111"/>
  <c r="B8948" i="111"/>
  <c r="B8842" i="111"/>
  <c r="B8917" i="111"/>
  <c r="B8811" i="111"/>
  <c r="B8904" i="111"/>
  <c r="B8873" i="111"/>
  <c r="B8780" i="111"/>
  <c r="B8674" i="111"/>
  <c r="B8749" i="111"/>
  <c r="B8643" i="111"/>
  <c r="B8736" i="111"/>
  <c r="B8705" i="111"/>
  <c r="B8978" i="111"/>
  <c r="B8947" i="111"/>
  <c r="B8841" i="111"/>
  <c r="B8916" i="111"/>
  <c r="B8810" i="111"/>
  <c r="B8903" i="111"/>
  <c r="B8872" i="111"/>
  <c r="B8779" i="111"/>
  <c r="B8673" i="111"/>
  <c r="B8748" i="111"/>
  <c r="B8642" i="111"/>
  <c r="B8735" i="111"/>
  <c r="B8704" i="111"/>
  <c r="B8977" i="111"/>
  <c r="B8946" i="111"/>
  <c r="B8840" i="111"/>
  <c r="B8915" i="111"/>
  <c r="B8809" i="111"/>
  <c r="B8902" i="111"/>
  <c r="B8871" i="111"/>
  <c r="B8778" i="111"/>
  <c r="B8672" i="111"/>
  <c r="B8747" i="111"/>
  <c r="B8641" i="111"/>
  <c r="B8734" i="111"/>
  <c r="B8703" i="111"/>
  <c r="B8976" i="111"/>
  <c r="B8945" i="111"/>
  <c r="B8839" i="111"/>
  <c r="B8914" i="111"/>
  <c r="B8808" i="111"/>
  <c r="B8901" i="111"/>
  <c r="B8870" i="111"/>
  <c r="B8777" i="111"/>
  <c r="B8671" i="111"/>
  <c r="B8746" i="111"/>
  <c r="B8640" i="111"/>
  <c r="B8733" i="111"/>
  <c r="B8702" i="111"/>
  <c r="B8975" i="111"/>
  <c r="B8944" i="111"/>
  <c r="B8838" i="111"/>
  <c r="B8913" i="111"/>
  <c r="B8807" i="111"/>
  <c r="B8900" i="111"/>
  <c r="B8869" i="111"/>
  <c r="B8776" i="111"/>
  <c r="B8670" i="111"/>
  <c r="B8745" i="111"/>
  <c r="B8639" i="111"/>
  <c r="B8732" i="111"/>
  <c r="B8701" i="111"/>
  <c r="B8974" i="111"/>
  <c r="B8943" i="111"/>
  <c r="B8837" i="111"/>
  <c r="B8912" i="111"/>
  <c r="B8806" i="111"/>
  <c r="B8899" i="111"/>
  <c r="B8868" i="111"/>
  <c r="B8775" i="111"/>
  <c r="B8669" i="111"/>
  <c r="B8744" i="111"/>
  <c r="B8638" i="111"/>
  <c r="B8731" i="111"/>
  <c r="B8700" i="111"/>
  <c r="B8973" i="111"/>
  <c r="B8942" i="111"/>
  <c r="B8836" i="111"/>
  <c r="B8911" i="111"/>
  <c r="B8805" i="111"/>
  <c r="B8898" i="111"/>
  <c r="B8867" i="111"/>
  <c r="B8774" i="111"/>
  <c r="B8668" i="111"/>
  <c r="B8743" i="111"/>
  <c r="B8637" i="111"/>
  <c r="B8730" i="111"/>
  <c r="B8699" i="111"/>
  <c r="B8972" i="111"/>
  <c r="B8941" i="111"/>
  <c r="B8835" i="111"/>
  <c r="B8910" i="111"/>
  <c r="B8804" i="111"/>
  <c r="B8897" i="111"/>
  <c r="B8866" i="111"/>
  <c r="B8773" i="111"/>
  <c r="B8667" i="111"/>
  <c r="B8742" i="111"/>
  <c r="B8636" i="111"/>
  <c r="B8729" i="111"/>
  <c r="B8698" i="111"/>
  <c r="B8971" i="111"/>
  <c r="B8940" i="111"/>
  <c r="B8834" i="111"/>
  <c r="B8909" i="111"/>
  <c r="B8803" i="111"/>
  <c r="B8896" i="111"/>
  <c r="B8865" i="111"/>
  <c r="B8772" i="111"/>
  <c r="B8666" i="111"/>
  <c r="B8741" i="111"/>
  <c r="B8635" i="111"/>
  <c r="B8728" i="111"/>
  <c r="B8697" i="111"/>
  <c r="B8970" i="111"/>
  <c r="B8939" i="111"/>
  <c r="B8833" i="111"/>
  <c r="B8908" i="111"/>
  <c r="B8802" i="111"/>
  <c r="B8895" i="111"/>
  <c r="B8864" i="111"/>
  <c r="B8771" i="111"/>
  <c r="B8665" i="111"/>
  <c r="B8740" i="111"/>
  <c r="B8634" i="111"/>
  <c r="B8727" i="111"/>
  <c r="B8696" i="111"/>
  <c r="B8969" i="111"/>
  <c r="B8938" i="111"/>
  <c r="B8832" i="111"/>
  <c r="B8907" i="111"/>
  <c r="B8801" i="111"/>
  <c r="B8894" i="111"/>
  <c r="B8863" i="111"/>
  <c r="B8770" i="111"/>
  <c r="B8664" i="111"/>
  <c r="B8739" i="111"/>
  <c r="B8633" i="111"/>
  <c r="B8726" i="111"/>
  <c r="B8695" i="111"/>
  <c r="B8968" i="111"/>
  <c r="B8937" i="111"/>
  <c r="B8831" i="111"/>
  <c r="B8906" i="111"/>
  <c r="B8800" i="111"/>
  <c r="B8893" i="111"/>
  <c r="B8862" i="111"/>
  <c r="B8769" i="111"/>
  <c r="B8663" i="111"/>
  <c r="B8738" i="111"/>
  <c r="B8632" i="111"/>
  <c r="B8725" i="111"/>
  <c r="B8694" i="111"/>
  <c r="B8967" i="111"/>
  <c r="B8936" i="111"/>
  <c r="B8830" i="111"/>
  <c r="B8905" i="111"/>
  <c r="B8799" i="111"/>
  <c r="B8892" i="111"/>
  <c r="B8861" i="111"/>
  <c r="B8768" i="111"/>
  <c r="B8662" i="111"/>
  <c r="B8737" i="111"/>
  <c r="B8631" i="111"/>
  <c r="B8724" i="111"/>
  <c r="B8693" i="111"/>
  <c r="B8997" i="111"/>
  <c r="B8966" i="111"/>
  <c r="B8860" i="111"/>
  <c r="B8935" i="111"/>
  <c r="B8829" i="111"/>
  <c r="B8891" i="111"/>
  <c r="B8798" i="111"/>
  <c r="B8692" i="111"/>
  <c r="B8767" i="111"/>
  <c r="B8661" i="111"/>
  <c r="B8723" i="111"/>
  <c r="B8996" i="111"/>
  <c r="B8965" i="111"/>
  <c r="B8859" i="111"/>
  <c r="B8934" i="111"/>
  <c r="B8828" i="111"/>
  <c r="B8890" i="111"/>
  <c r="B8797" i="111"/>
  <c r="B8691" i="111"/>
  <c r="B8766" i="111"/>
  <c r="B8660" i="111"/>
  <c r="B8722" i="111"/>
  <c r="B8995" i="111"/>
  <c r="B8964" i="111"/>
  <c r="B8858" i="111"/>
  <c r="B8933" i="111"/>
  <c r="B8827" i="111"/>
  <c r="B8889" i="111"/>
  <c r="B8796" i="111"/>
  <c r="B8690" i="111"/>
  <c r="B8765" i="111"/>
  <c r="B8659" i="111"/>
  <c r="B8721" i="111"/>
  <c r="B8994" i="111"/>
  <c r="B8963" i="111"/>
  <c r="B8857" i="111"/>
  <c r="B8932" i="111"/>
  <c r="B8826" i="111"/>
  <c r="B8888" i="111"/>
  <c r="B8795" i="111"/>
  <c r="B8689" i="111"/>
  <c r="B8764" i="111"/>
  <c r="B8658" i="111"/>
  <c r="B8720" i="111"/>
  <c r="B8993" i="111"/>
  <c r="B8962" i="111"/>
  <c r="B8856" i="111"/>
  <c r="B8931" i="111"/>
  <c r="B8825" i="111"/>
  <c r="B8887" i="111"/>
  <c r="B8794" i="111"/>
  <c r="B8688" i="111"/>
  <c r="B8763" i="111"/>
  <c r="B8657" i="111"/>
  <c r="B8719" i="111"/>
  <c r="B8992" i="111"/>
  <c r="B8961" i="111"/>
  <c r="B8855" i="111"/>
  <c r="B8930" i="111"/>
  <c r="B8824" i="111"/>
  <c r="B8886" i="111"/>
  <c r="B8793" i="111"/>
  <c r="B8687" i="111"/>
  <c r="B8762" i="111"/>
  <c r="B8656" i="111"/>
  <c r="B8718" i="111"/>
  <c r="B8991" i="111"/>
  <c r="B8960" i="111"/>
  <c r="B8854" i="111"/>
  <c r="B8929" i="111"/>
  <c r="B8823" i="111"/>
  <c r="B8885" i="111"/>
  <c r="B8792" i="111"/>
  <c r="B8686" i="111"/>
  <c r="B8761" i="111"/>
  <c r="B8655" i="111"/>
  <c r="B8717" i="111"/>
  <c r="B9007" i="111"/>
  <c r="B9006" i="111"/>
  <c r="B9004" i="111"/>
  <c r="B9005" i="111"/>
  <c r="B9003" i="111"/>
  <c r="B9002" i="111"/>
  <c r="B8999" i="111"/>
  <c r="B9001" i="111"/>
  <c r="B8998" i="111"/>
  <c r="B9000" i="111"/>
  <c r="B8630" i="111"/>
  <c r="B8629" i="111"/>
  <c r="B8626" i="111"/>
  <c r="B8628" i="111"/>
  <c r="B8625" i="111"/>
  <c r="B8627" i="111"/>
  <c r="B8624" i="111"/>
  <c r="B8621" i="111"/>
  <c r="B8623" i="111"/>
  <c r="B8620" i="111"/>
  <c r="B8622" i="111"/>
  <c r="B9018" i="111"/>
  <c r="B9017" i="111"/>
  <c r="B9014" i="111"/>
  <c r="B9016" i="111"/>
  <c r="B9013" i="111"/>
  <c r="B9015" i="111"/>
  <c r="B9012" i="111"/>
  <c r="B9009" i="111"/>
  <c r="B9011" i="111"/>
  <c r="B9008" i="111"/>
  <c r="B9010" i="111"/>
  <c r="B8597" i="111"/>
  <c r="B8596" i="111"/>
  <c r="B8593" i="111"/>
  <c r="B8595" i="111"/>
  <c r="B8592" i="111"/>
  <c r="B8594" i="111"/>
  <c r="B8591" i="111"/>
  <c r="B8588" i="111"/>
  <c r="B8590" i="111"/>
  <c r="B8587" i="111"/>
  <c r="B8589" i="111"/>
  <c r="B8608" i="111"/>
  <c r="B8607" i="111"/>
  <c r="B8604" i="111"/>
  <c r="B8606" i="111"/>
  <c r="B8603" i="111"/>
  <c r="B8605" i="111"/>
  <c r="B8602" i="111"/>
  <c r="B8599" i="111"/>
  <c r="B8601" i="111"/>
  <c r="B8598" i="111"/>
  <c r="B8600" i="111"/>
  <c r="B8619" i="111"/>
  <c r="B8618" i="111"/>
  <c r="B8615" i="111"/>
  <c r="B8617" i="111"/>
  <c r="B8614" i="111"/>
  <c r="B8616" i="111"/>
  <c r="B8613" i="111"/>
  <c r="B8610" i="111"/>
  <c r="B8612" i="111"/>
  <c r="B8609" i="111"/>
  <c r="B8611" i="111"/>
  <c r="B8990" i="111"/>
  <c r="B8959" i="111"/>
  <c r="B8853" i="111"/>
  <c r="B8928" i="111"/>
  <c r="B8822" i="111"/>
  <c r="B8884" i="111"/>
  <c r="B8791" i="111"/>
  <c r="B8685" i="111"/>
  <c r="B8760" i="111"/>
  <c r="B8654" i="111"/>
  <c r="B8716" i="111"/>
  <c r="B8989" i="111"/>
  <c r="B8958" i="111"/>
  <c r="B8852" i="111"/>
  <c r="B8927" i="111"/>
  <c r="B8821" i="111"/>
  <c r="B8883" i="111"/>
  <c r="B8790" i="111"/>
  <c r="B8684" i="111"/>
  <c r="B8759" i="111"/>
  <c r="B8653" i="111"/>
  <c r="B8715" i="111"/>
  <c r="B8988" i="111"/>
  <c r="B8957" i="111"/>
  <c r="B8851" i="111"/>
  <c r="B8926" i="111"/>
  <c r="B8820" i="111"/>
  <c r="B8882" i="111"/>
  <c r="B8789" i="111"/>
  <c r="B8683" i="111"/>
  <c r="B8758" i="111"/>
  <c r="B8652" i="111"/>
  <c r="B8714" i="111"/>
  <c r="B8987" i="111"/>
  <c r="B8956" i="111"/>
  <c r="B8850" i="111"/>
  <c r="B8925" i="111"/>
  <c r="B8819" i="111"/>
  <c r="B8881" i="111"/>
  <c r="B8788" i="111"/>
  <c r="B8682" i="111"/>
  <c r="B8757" i="111"/>
  <c r="B8651" i="111"/>
  <c r="B8713" i="111"/>
  <c r="B8986" i="111"/>
  <c r="B8955" i="111"/>
  <c r="B8849" i="111"/>
  <c r="B8924" i="111"/>
  <c r="B8818" i="111"/>
  <c r="B8880" i="111"/>
  <c r="B8787" i="111"/>
  <c r="B8681" i="111"/>
  <c r="B8756" i="111"/>
  <c r="B8650" i="111"/>
  <c r="B8712" i="111"/>
  <c r="B8985" i="111"/>
  <c r="B8954" i="111"/>
  <c r="B8848" i="111"/>
  <c r="B8923" i="111"/>
  <c r="B8817" i="111"/>
  <c r="B8879" i="111"/>
  <c r="B8786" i="111"/>
  <c r="B8680" i="111"/>
  <c r="B8755" i="111"/>
  <c r="B8649" i="111"/>
  <c r="B8711" i="111"/>
  <c r="B8984" i="111"/>
  <c r="B8953" i="111"/>
  <c r="B8847" i="111"/>
  <c r="B8922" i="111"/>
  <c r="B8816" i="111"/>
  <c r="B8878" i="111"/>
  <c r="B8785" i="111"/>
  <c r="B8679" i="111"/>
  <c r="B8754" i="111"/>
  <c r="B8648" i="111"/>
  <c r="B8710" i="111"/>
  <c r="B8983" i="111"/>
  <c r="B8952" i="111"/>
  <c r="B8846" i="111"/>
  <c r="B8921" i="111"/>
  <c r="B8815" i="111"/>
  <c r="B8877" i="111"/>
  <c r="B8784" i="111"/>
  <c r="B8678" i="111"/>
  <c r="B8753" i="111"/>
  <c r="B8647" i="111"/>
  <c r="B8709" i="111"/>
  <c r="B8982" i="111"/>
  <c r="B8951" i="111"/>
  <c r="B8845" i="111"/>
  <c r="B8920" i="111"/>
  <c r="B8814" i="111"/>
  <c r="B8876" i="111"/>
  <c r="B8783" i="111"/>
  <c r="B8677" i="111"/>
  <c r="B8752" i="111"/>
  <c r="B8646" i="111"/>
  <c r="B8708" i="111"/>
  <c r="B8981" i="111"/>
  <c r="B8950" i="111"/>
  <c r="B8844" i="111"/>
  <c r="B8919" i="111"/>
  <c r="B8813" i="111"/>
  <c r="B8875" i="111"/>
  <c r="B8782" i="111"/>
  <c r="B8676" i="111"/>
  <c r="B8751" i="111"/>
  <c r="B8645" i="111"/>
  <c r="B8707" i="111"/>
  <c r="B8980" i="111"/>
  <c r="B8949" i="111"/>
  <c r="B8843" i="111"/>
  <c r="B8918" i="111"/>
  <c r="B8812" i="111"/>
  <c r="B8874" i="111"/>
  <c r="B8781" i="111"/>
  <c r="B8675" i="111"/>
  <c r="B8750" i="111"/>
  <c r="B8644" i="111"/>
  <c r="B8706" i="111"/>
  <c r="B8545" i="111"/>
  <c r="B8513" i="111"/>
  <c r="B8449" i="111"/>
  <c r="B8481" i="111"/>
  <c r="B8368" i="111"/>
  <c r="B8436" i="111"/>
  <c r="B8404" i="111"/>
  <c r="B8330" i="111"/>
  <c r="B8265" i="111"/>
  <c r="B8297" i="111"/>
  <c r="B8188" i="111"/>
  <c r="B8252" i="111"/>
  <c r="B8220" i="111"/>
  <c r="B8544" i="111"/>
  <c r="B8512" i="111"/>
  <c r="B8448" i="111"/>
  <c r="B8480" i="111"/>
  <c r="B8367" i="111"/>
  <c r="B8435" i="111"/>
  <c r="B8403" i="111"/>
  <c r="B8329" i="111"/>
  <c r="B8264" i="111"/>
  <c r="B8296" i="111"/>
  <c r="B8187" i="111"/>
  <c r="B8251" i="111"/>
  <c r="B8219" i="111"/>
  <c r="B8543" i="111"/>
  <c r="B8511" i="111"/>
  <c r="B8447" i="111"/>
  <c r="B8479" i="111"/>
  <c r="B8366" i="111"/>
  <c r="B8434" i="111"/>
  <c r="B8402" i="111"/>
  <c r="B8328" i="111"/>
  <c r="B8263" i="111"/>
  <c r="B8295" i="111"/>
  <c r="B8186" i="111"/>
  <c r="B8250" i="111"/>
  <c r="B8218" i="111"/>
  <c r="B8542" i="111"/>
  <c r="B8510" i="111"/>
  <c r="B8446" i="111"/>
  <c r="B8478" i="111"/>
  <c r="B8365" i="111"/>
  <c r="B8433" i="111"/>
  <c r="B8401" i="111"/>
  <c r="B8327" i="111"/>
  <c r="B8262" i="111"/>
  <c r="B8294" i="111"/>
  <c r="B8185" i="111"/>
  <c r="B8249" i="111"/>
  <c r="B8217" i="111"/>
  <c r="B8541" i="111"/>
  <c r="B8509" i="111"/>
  <c r="B8445" i="111"/>
  <c r="B8477" i="111"/>
  <c r="B8364" i="111"/>
  <c r="B8432" i="111"/>
  <c r="B8400" i="111"/>
  <c r="B8326" i="111"/>
  <c r="B8261" i="111"/>
  <c r="B8293" i="111"/>
  <c r="B8184" i="111"/>
  <c r="B8248" i="111"/>
  <c r="B8216" i="111"/>
  <c r="B8540" i="111"/>
  <c r="B8508" i="111"/>
  <c r="B8444" i="111"/>
  <c r="B8476" i="111"/>
  <c r="B8363" i="111"/>
  <c r="B8431" i="111"/>
  <c r="B8399" i="111"/>
  <c r="B8325" i="111"/>
  <c r="B8260" i="111"/>
  <c r="B8292" i="111"/>
  <c r="B8183" i="111"/>
  <c r="B8247" i="111"/>
  <c r="B8215" i="111"/>
  <c r="B8539" i="111"/>
  <c r="B8507" i="111"/>
  <c r="B8443" i="111"/>
  <c r="B8475" i="111"/>
  <c r="B8362" i="111"/>
  <c r="B8430" i="111"/>
  <c r="B8398" i="111"/>
  <c r="B8324" i="111"/>
  <c r="B8259" i="111"/>
  <c r="B8291" i="111"/>
  <c r="B8182" i="111"/>
  <c r="B8246" i="111"/>
  <c r="B8214" i="111"/>
  <c r="B8538" i="111"/>
  <c r="B8506" i="111"/>
  <c r="B8442" i="111"/>
  <c r="B8474" i="111"/>
  <c r="B8361" i="111"/>
  <c r="B8429" i="111"/>
  <c r="B8397" i="111"/>
  <c r="B8323" i="111"/>
  <c r="B8258" i="111"/>
  <c r="B8290" i="111"/>
  <c r="B8181" i="111"/>
  <c r="B8245" i="111"/>
  <c r="B8213" i="111"/>
  <c r="B8537" i="111"/>
  <c r="B8505" i="111"/>
  <c r="B8441" i="111"/>
  <c r="B8473" i="111"/>
  <c r="B8360" i="111"/>
  <c r="B8428" i="111"/>
  <c r="B8396" i="111"/>
  <c r="B8322" i="111"/>
  <c r="B8257" i="111"/>
  <c r="B8289" i="111"/>
  <c r="B8180" i="111"/>
  <c r="B8244" i="111"/>
  <c r="B8212" i="111"/>
  <c r="B8536" i="111"/>
  <c r="B8504" i="111"/>
  <c r="B8440" i="111"/>
  <c r="B8472" i="111"/>
  <c r="B8359" i="111"/>
  <c r="B8427" i="111"/>
  <c r="B8395" i="111"/>
  <c r="B8321" i="111"/>
  <c r="B8256" i="111"/>
  <c r="B8288" i="111"/>
  <c r="B8179" i="111"/>
  <c r="B8243" i="111"/>
  <c r="B8211" i="111"/>
  <c r="B8535" i="111"/>
  <c r="B8503" i="111"/>
  <c r="B8439" i="111"/>
  <c r="B8471" i="111"/>
  <c r="B8358" i="111"/>
  <c r="B8426" i="111"/>
  <c r="B8394" i="111"/>
  <c r="B8320" i="111"/>
  <c r="B8255" i="111"/>
  <c r="B8287" i="111"/>
  <c r="B8178" i="111"/>
  <c r="B8242" i="111"/>
  <c r="B8210" i="111"/>
  <c r="B8534" i="111"/>
  <c r="B8502" i="111"/>
  <c r="B8438" i="111"/>
  <c r="B8470" i="111"/>
  <c r="B8357" i="111"/>
  <c r="B8425" i="111"/>
  <c r="B8393" i="111"/>
  <c r="B8319" i="111"/>
  <c r="B8254" i="111"/>
  <c r="B8286" i="111"/>
  <c r="B8177" i="111"/>
  <c r="B8241" i="111"/>
  <c r="B8209" i="111"/>
  <c r="B8533" i="111"/>
  <c r="B8501" i="111"/>
  <c r="B8437" i="111"/>
  <c r="B8469" i="111"/>
  <c r="B8356" i="111"/>
  <c r="B8424" i="111"/>
  <c r="B8392" i="111"/>
  <c r="B8318" i="111"/>
  <c r="B8253" i="111"/>
  <c r="B8285" i="111"/>
  <c r="B8176" i="111"/>
  <c r="B8240" i="111"/>
  <c r="B8208" i="111"/>
  <c r="B8564" i="111"/>
  <c r="B8532" i="111"/>
  <c r="B8468" i="111"/>
  <c r="B8500" i="111"/>
  <c r="B8391" i="111"/>
  <c r="B8423" i="111"/>
  <c r="B8355" i="111"/>
  <c r="B8284" i="111"/>
  <c r="B8317" i="111"/>
  <c r="B8207" i="111"/>
  <c r="B8239" i="111"/>
  <c r="B8563" i="111"/>
  <c r="B8531" i="111"/>
  <c r="B8467" i="111"/>
  <c r="B8499" i="111"/>
  <c r="B8390" i="111"/>
  <c r="B8422" i="111"/>
  <c r="B8354" i="111"/>
  <c r="B8283" i="111"/>
  <c r="B8316" i="111"/>
  <c r="B8206" i="111"/>
  <c r="B8238" i="111"/>
  <c r="B8562" i="111"/>
  <c r="B8530" i="111"/>
  <c r="B8466" i="111"/>
  <c r="B8498" i="111"/>
  <c r="B8389" i="111"/>
  <c r="B8421" i="111"/>
  <c r="B8353" i="111"/>
  <c r="B8282" i="111"/>
  <c r="B8315" i="111"/>
  <c r="B8205" i="111"/>
  <c r="B8237" i="111"/>
  <c r="B8561" i="111"/>
  <c r="B8529" i="111"/>
  <c r="B8465" i="111"/>
  <c r="B8497" i="111"/>
  <c r="B8388" i="111"/>
  <c r="B8420" i="111"/>
  <c r="B8352" i="111"/>
  <c r="B8281" i="111"/>
  <c r="B8314" i="111"/>
  <c r="B8204" i="111"/>
  <c r="B8236" i="111"/>
  <c r="B8560" i="111"/>
  <c r="B8528" i="111"/>
  <c r="B8464" i="111"/>
  <c r="B8496" i="111"/>
  <c r="B8387" i="111"/>
  <c r="B8419" i="111"/>
  <c r="B8351" i="111"/>
  <c r="B8280" i="111"/>
  <c r="B8313" i="111"/>
  <c r="B8203" i="111"/>
  <c r="B8235" i="111"/>
  <c r="B8559" i="111"/>
  <c r="B8527" i="111"/>
  <c r="B8463" i="111"/>
  <c r="B8495" i="111"/>
  <c r="B8386" i="111"/>
  <c r="B8418" i="111"/>
  <c r="B8350" i="111"/>
  <c r="B8279" i="111"/>
  <c r="B8312" i="111"/>
  <c r="B8202" i="111"/>
  <c r="B8234" i="111"/>
  <c r="B8558" i="111"/>
  <c r="B8526" i="111"/>
  <c r="B8462" i="111"/>
  <c r="B8494" i="111"/>
  <c r="B8385" i="111"/>
  <c r="B8417" i="111"/>
  <c r="B8349" i="111"/>
  <c r="B8278" i="111"/>
  <c r="B8311" i="111"/>
  <c r="B8201" i="111"/>
  <c r="B8233" i="111"/>
  <c r="B8575" i="111"/>
  <c r="B8574" i="111"/>
  <c r="B8572" i="111"/>
  <c r="B8573" i="111"/>
  <c r="B8570" i="111"/>
  <c r="B8571" i="111"/>
  <c r="B8569" i="111"/>
  <c r="B8567" i="111"/>
  <c r="B8568" i="111"/>
  <c r="B8565" i="111"/>
  <c r="B8566" i="111"/>
  <c r="B8384" i="111"/>
  <c r="B8383" i="111"/>
  <c r="B8381" i="111"/>
  <c r="B8382" i="111"/>
  <c r="B8347" i="111"/>
  <c r="B8348" i="111"/>
  <c r="B8346" i="111"/>
  <c r="B8344" i="111"/>
  <c r="B8345" i="111"/>
  <c r="B8310" i="111"/>
  <c r="B8343" i="111"/>
  <c r="B8586" i="111"/>
  <c r="B8585" i="111"/>
  <c r="B8583" i="111"/>
  <c r="B8584" i="111"/>
  <c r="B8581" i="111"/>
  <c r="B8582" i="111"/>
  <c r="B8580" i="111"/>
  <c r="B8578" i="111"/>
  <c r="B8579" i="111"/>
  <c r="B8576" i="111"/>
  <c r="B8577" i="111"/>
  <c r="B8153" i="111"/>
  <c r="B8152" i="111"/>
  <c r="B8150" i="111"/>
  <c r="B8151" i="111"/>
  <c r="B8148" i="111"/>
  <c r="B8149" i="111"/>
  <c r="B8147" i="111"/>
  <c r="B8145" i="111"/>
  <c r="B8146" i="111"/>
  <c r="B8143" i="111"/>
  <c r="B8144" i="111"/>
  <c r="B8164" i="111"/>
  <c r="B8163" i="111"/>
  <c r="B8161" i="111"/>
  <c r="B8162" i="111"/>
  <c r="B8159" i="111"/>
  <c r="B8160" i="111"/>
  <c r="B8158" i="111"/>
  <c r="B8156" i="111"/>
  <c r="B8157" i="111"/>
  <c r="B8154" i="111"/>
  <c r="B8155" i="111"/>
  <c r="B8175" i="111"/>
  <c r="B8174" i="111"/>
  <c r="B8172" i="111"/>
  <c r="B8173" i="111"/>
  <c r="B8170" i="111"/>
  <c r="B8171" i="111"/>
  <c r="B8169" i="111"/>
  <c r="B8167" i="111"/>
  <c r="B8168" i="111"/>
  <c r="B8165" i="111"/>
  <c r="B8166" i="111"/>
  <c r="B8557" i="111"/>
  <c r="B8525" i="111"/>
  <c r="B8461" i="111"/>
  <c r="B8493" i="111"/>
  <c r="B8380" i="111"/>
  <c r="B8416" i="111"/>
  <c r="B8342" i="111"/>
  <c r="B8277" i="111"/>
  <c r="B8309" i="111"/>
  <c r="B8200" i="111"/>
  <c r="B8232" i="111"/>
  <c r="B8556" i="111"/>
  <c r="B8524" i="111"/>
  <c r="B8460" i="111"/>
  <c r="B8492" i="111"/>
  <c r="B8379" i="111"/>
  <c r="B8415" i="111"/>
  <c r="B8341" i="111"/>
  <c r="B8276" i="111"/>
  <c r="B8308" i="111"/>
  <c r="B8199" i="111"/>
  <c r="B8231" i="111"/>
  <c r="B8555" i="111"/>
  <c r="B8523" i="111"/>
  <c r="B8459" i="111"/>
  <c r="B8491" i="111"/>
  <c r="B8378" i="111"/>
  <c r="B8414" i="111"/>
  <c r="B8340" i="111"/>
  <c r="B8275" i="111"/>
  <c r="B8307" i="111"/>
  <c r="B8198" i="111"/>
  <c r="B8230" i="111"/>
  <c r="B8554" i="111"/>
  <c r="B8522" i="111"/>
  <c r="B8458" i="111"/>
  <c r="B8490" i="111"/>
  <c r="B8377" i="111"/>
  <c r="B8413" i="111"/>
  <c r="B8339" i="111"/>
  <c r="B8274" i="111"/>
  <c r="B8306" i="111"/>
  <c r="B8197" i="111"/>
  <c r="B8229" i="111"/>
  <c r="B8553" i="111"/>
  <c r="B8521" i="111"/>
  <c r="B8457" i="111"/>
  <c r="B8489" i="111"/>
  <c r="B8376" i="111"/>
  <c r="B8412" i="111"/>
  <c r="B8338" i="111"/>
  <c r="B8273" i="111"/>
  <c r="B8305" i="111"/>
  <c r="B8196" i="111"/>
  <c r="B8228" i="111"/>
  <c r="B8552" i="111"/>
  <c r="B8520" i="111"/>
  <c r="B8456" i="111"/>
  <c r="B8488" i="111"/>
  <c r="B8375" i="111"/>
  <c r="B8411" i="111"/>
  <c r="B8337" i="111"/>
  <c r="B8272" i="111"/>
  <c r="B8304" i="111"/>
  <c r="B8195" i="111"/>
  <c r="B8227" i="111"/>
  <c r="B8551" i="111"/>
  <c r="B8519" i="111"/>
  <c r="B8455" i="111"/>
  <c r="B8487" i="111"/>
  <c r="B8374" i="111"/>
  <c r="B8410" i="111"/>
  <c r="B8336" i="111"/>
  <c r="B8271" i="111"/>
  <c r="B8303" i="111"/>
  <c r="B8194" i="111"/>
  <c r="B8226" i="111"/>
  <c r="B8550" i="111"/>
  <c r="B8518" i="111"/>
  <c r="B8454" i="111"/>
  <c r="B8486" i="111"/>
  <c r="B8373" i="111"/>
  <c r="B8409" i="111"/>
  <c r="B8335" i="111"/>
  <c r="B8270" i="111"/>
  <c r="B8302" i="111"/>
  <c r="B8193" i="111"/>
  <c r="B8225" i="111"/>
  <c r="B8549" i="111"/>
  <c r="B8517" i="111"/>
  <c r="B8453" i="111"/>
  <c r="B8485" i="111"/>
  <c r="B8372" i="111"/>
  <c r="B8408" i="111"/>
  <c r="B8334" i="111"/>
  <c r="B8269" i="111"/>
  <c r="B8301" i="111"/>
  <c r="B8192" i="111"/>
  <c r="B8224" i="111"/>
  <c r="B8548" i="111"/>
  <c r="B8516" i="111"/>
  <c r="B8452" i="111"/>
  <c r="B8484" i="111"/>
  <c r="B8371" i="111"/>
  <c r="B8407" i="111"/>
  <c r="B8333" i="111"/>
  <c r="B8268" i="111"/>
  <c r="B8300" i="111"/>
  <c r="B8191" i="111"/>
  <c r="B8223" i="111"/>
  <c r="B8547" i="111"/>
  <c r="B8515" i="111"/>
  <c r="B8451" i="111"/>
  <c r="B8483" i="111"/>
  <c r="B8370" i="111"/>
  <c r="B8406" i="111"/>
  <c r="B8332" i="111"/>
  <c r="B8267" i="111"/>
  <c r="B8299" i="111"/>
  <c r="B8190" i="111"/>
  <c r="B8222" i="111"/>
  <c r="B8546" i="111"/>
  <c r="B8514" i="111"/>
  <c r="B8450" i="111"/>
  <c r="B8482" i="111"/>
  <c r="B8369" i="111"/>
  <c r="B8405" i="111"/>
  <c r="B8331" i="111"/>
  <c r="B8266" i="111"/>
  <c r="B8298" i="111"/>
  <c r="B8189" i="111"/>
  <c r="B8221" i="111"/>
  <c r="B8090" i="111"/>
  <c r="B8058" i="111"/>
  <c r="B7994" i="111"/>
  <c r="B8026" i="111"/>
  <c r="B7918" i="111"/>
  <c r="B7981" i="111"/>
  <c r="B7950" i="111"/>
  <c r="B7886" i="111"/>
  <c r="B7822" i="111"/>
  <c r="B7854" i="111"/>
  <c r="B7745" i="111"/>
  <c r="B7809" i="111"/>
  <c r="B7777" i="111"/>
  <c r="B8089" i="111"/>
  <c r="B8057" i="111"/>
  <c r="B7993" i="111"/>
  <c r="B8025" i="111"/>
  <c r="B7917" i="111"/>
  <c r="B7980" i="111"/>
  <c r="B7949" i="111"/>
  <c r="B7885" i="111"/>
  <c r="B7821" i="111"/>
  <c r="B7853" i="111"/>
  <c r="B7744" i="111"/>
  <c r="B7808" i="111"/>
  <c r="B7776" i="111"/>
  <c r="B8088" i="111"/>
  <c r="B8056" i="111"/>
  <c r="B7992" i="111"/>
  <c r="B8024" i="111"/>
  <c r="B7916" i="111"/>
  <c r="B7979" i="111"/>
  <c r="B7948" i="111"/>
  <c r="B7884" i="111"/>
  <c r="B7820" i="111"/>
  <c r="B7852" i="111"/>
  <c r="B7743" i="111"/>
  <c r="B7807" i="111"/>
  <c r="B7775" i="111"/>
  <c r="B8087" i="111"/>
  <c r="B8055" i="111"/>
  <c r="B7991" i="111"/>
  <c r="B8023" i="111"/>
  <c r="B7915" i="111"/>
  <c r="B7978" i="111"/>
  <c r="B7947" i="111"/>
  <c r="B7883" i="111"/>
  <c r="B7819" i="111"/>
  <c r="B7851" i="111"/>
  <c r="B7742" i="111"/>
  <c r="B7806" i="111"/>
  <c r="B7774" i="111"/>
  <c r="B8086" i="111"/>
  <c r="B8054" i="111"/>
  <c r="B7990" i="111"/>
  <c r="B8022" i="111"/>
  <c r="B7914" i="111"/>
  <c r="B7977" i="111"/>
  <c r="B7946" i="111"/>
  <c r="B7882" i="111"/>
  <c r="B7818" i="111"/>
  <c r="B7850" i="111"/>
  <c r="B7741" i="111"/>
  <c r="B7805" i="111"/>
  <c r="B7773" i="111"/>
  <c r="B8085" i="111"/>
  <c r="B8053" i="111"/>
  <c r="B7989" i="111"/>
  <c r="B8021" i="111"/>
  <c r="B7913" i="111"/>
  <c r="B7976" i="111"/>
  <c r="B7945" i="111"/>
  <c r="B7881" i="111"/>
  <c r="B7817" i="111"/>
  <c r="B7849" i="111"/>
  <c r="B7740" i="111"/>
  <c r="B7804" i="111"/>
  <c r="B7772" i="111"/>
  <c r="B8084" i="111"/>
  <c r="B8052" i="111"/>
  <c r="B7988" i="111"/>
  <c r="B8020" i="111"/>
  <c r="B7912" i="111"/>
  <c r="B7975" i="111"/>
  <c r="B7944" i="111"/>
  <c r="B7880" i="111"/>
  <c r="B7816" i="111"/>
  <c r="B7848" i="111"/>
  <c r="B7739" i="111"/>
  <c r="B7803" i="111"/>
  <c r="B7771" i="111"/>
  <c r="B8083" i="111"/>
  <c r="B8051" i="111"/>
  <c r="B7987" i="111"/>
  <c r="B8019" i="111"/>
  <c r="B7911" i="111"/>
  <c r="B7974" i="111"/>
  <c r="B7943" i="111"/>
  <c r="B7879" i="111"/>
  <c r="B7815" i="111"/>
  <c r="B7847" i="111"/>
  <c r="B7738" i="111"/>
  <c r="B7802" i="111"/>
  <c r="B7770" i="111"/>
  <c r="B8082" i="111"/>
  <c r="B8050" i="111"/>
  <c r="B7986" i="111"/>
  <c r="B8018" i="111"/>
  <c r="B7910" i="111"/>
  <c r="B7973" i="111"/>
  <c r="B7942" i="111"/>
  <c r="B7878" i="111"/>
  <c r="B7814" i="111"/>
  <c r="B7846" i="111"/>
  <c r="B7737" i="111"/>
  <c r="B7801" i="111"/>
  <c r="B7769" i="111"/>
  <c r="B8081" i="111"/>
  <c r="B8049" i="111"/>
  <c r="B7985" i="111"/>
  <c r="B8017" i="111"/>
  <c r="B7909" i="111"/>
  <c r="B7972" i="111"/>
  <c r="B7941" i="111"/>
  <c r="B7877" i="111"/>
  <c r="B7813" i="111"/>
  <c r="B7845" i="111"/>
  <c r="B7736" i="111"/>
  <c r="B7800" i="111"/>
  <c r="B7768" i="111"/>
  <c r="B8080" i="111"/>
  <c r="B8048" i="111"/>
  <c r="B7984" i="111"/>
  <c r="B8016" i="111"/>
  <c r="B7908" i="111"/>
  <c r="B7971" i="111"/>
  <c r="B7940" i="111"/>
  <c r="B7876" i="111"/>
  <c r="B7812" i="111"/>
  <c r="B7844" i="111"/>
  <c r="B7735" i="111"/>
  <c r="B7799" i="111"/>
  <c r="B7767" i="111"/>
  <c r="B8079" i="111"/>
  <c r="B8047" i="111"/>
  <c r="B7983" i="111"/>
  <c r="B8015" i="111"/>
  <c r="B7907" i="111"/>
  <c r="B7970" i="111"/>
  <c r="B7939" i="111"/>
  <c r="B7875" i="111"/>
  <c r="B7811" i="111"/>
  <c r="B7843" i="111"/>
  <c r="B7734" i="111"/>
  <c r="B7798" i="111"/>
  <c r="B7766" i="111"/>
  <c r="B8078" i="111"/>
  <c r="B8046" i="111"/>
  <c r="B7982" i="111"/>
  <c r="B8014" i="111"/>
  <c r="B7906" i="111"/>
  <c r="B7969" i="111"/>
  <c r="B7938" i="111"/>
  <c r="B7874" i="111"/>
  <c r="B7810" i="111"/>
  <c r="B7842" i="111"/>
  <c r="B7733" i="111"/>
  <c r="B7797" i="111"/>
  <c r="B7765" i="111"/>
  <c r="B8109" i="111"/>
  <c r="B8077" i="111"/>
  <c r="B8013" i="111"/>
  <c r="B8045" i="111"/>
  <c r="B7937" i="111"/>
  <c r="B7968" i="111"/>
  <c r="B7905" i="111"/>
  <c r="B7841" i="111"/>
  <c r="B7873" i="111"/>
  <c r="B7764" i="111"/>
  <c r="B7796" i="111"/>
  <c r="B8108" i="111"/>
  <c r="B8076" i="111"/>
  <c r="B8012" i="111"/>
  <c r="B8044" i="111"/>
  <c r="B7936" i="111"/>
  <c r="B7967" i="111"/>
  <c r="B7904" i="111"/>
  <c r="B7840" i="111"/>
  <c r="B7872" i="111"/>
  <c r="B7763" i="111"/>
  <c r="B7795" i="111"/>
  <c r="B8107" i="111"/>
  <c r="B8075" i="111"/>
  <c r="B8011" i="111"/>
  <c r="B8043" i="111"/>
  <c r="B7935" i="111"/>
  <c r="B7966" i="111"/>
  <c r="B7903" i="111"/>
  <c r="B7839" i="111"/>
  <c r="B7871" i="111"/>
  <c r="B7762" i="111"/>
  <c r="B7794" i="111"/>
  <c r="B8106" i="111"/>
  <c r="B8074" i="111"/>
  <c r="B8010" i="111"/>
  <c r="B8042" i="111"/>
  <c r="B7934" i="111"/>
  <c r="B7902" i="111"/>
  <c r="B7838" i="111"/>
  <c r="B7870" i="111"/>
  <c r="B7761" i="111"/>
  <c r="B7793" i="111"/>
  <c r="B8105" i="111"/>
  <c r="B8073" i="111"/>
  <c r="B8009" i="111"/>
  <c r="B8041" i="111"/>
  <c r="B7933" i="111"/>
  <c r="B7965" i="111"/>
  <c r="B7901" i="111"/>
  <c r="B7837" i="111"/>
  <c r="B7869" i="111"/>
  <c r="B7760" i="111"/>
  <c r="B7792" i="111"/>
  <c r="B8104" i="111"/>
  <c r="B8072" i="111"/>
  <c r="B8008" i="111"/>
  <c r="B8040" i="111"/>
  <c r="B7932" i="111"/>
  <c r="B7964" i="111"/>
  <c r="B7900" i="111"/>
  <c r="B7836" i="111"/>
  <c r="B7868" i="111"/>
  <c r="B7759" i="111"/>
  <c r="B7791" i="111"/>
  <c r="B8103" i="111"/>
  <c r="B8071" i="111"/>
  <c r="B8007" i="111"/>
  <c r="B8039" i="111"/>
  <c r="B7931" i="111"/>
  <c r="B7963" i="111"/>
  <c r="B7899" i="111"/>
  <c r="B7835" i="111"/>
  <c r="B7867" i="111"/>
  <c r="B7758" i="111"/>
  <c r="B7790" i="111"/>
  <c r="B8131" i="111"/>
  <c r="B8130" i="111"/>
  <c r="B8128" i="111"/>
  <c r="B8129" i="111"/>
  <c r="B8126" i="111"/>
  <c r="B8127" i="111"/>
  <c r="B8125" i="111"/>
  <c r="B8123" i="111"/>
  <c r="B8124" i="111"/>
  <c r="B8121" i="111"/>
  <c r="B8122" i="111"/>
  <c r="B8120" i="111"/>
  <c r="B8119" i="111"/>
  <c r="B8117" i="111"/>
  <c r="B8118" i="111"/>
  <c r="B8115" i="111"/>
  <c r="B8116" i="111"/>
  <c r="B8114" i="111"/>
  <c r="B8112" i="111"/>
  <c r="B8113" i="111"/>
  <c r="B8110" i="111"/>
  <c r="B8111" i="111"/>
  <c r="B8142" i="111"/>
  <c r="B8141" i="111"/>
  <c r="B8139" i="111"/>
  <c r="B8140" i="111"/>
  <c r="B8137" i="111"/>
  <c r="B8138" i="111"/>
  <c r="B8136" i="111"/>
  <c r="B8134" i="111"/>
  <c r="B8135" i="111"/>
  <c r="B8132" i="111"/>
  <c r="B8133" i="111"/>
  <c r="B7710" i="111"/>
  <c r="B7709" i="111"/>
  <c r="B7707" i="111"/>
  <c r="B7708" i="111"/>
  <c r="B7705" i="111"/>
  <c r="B7706" i="111"/>
  <c r="B7704" i="111"/>
  <c r="B7702" i="111"/>
  <c r="B7703" i="111"/>
  <c r="B7700" i="111"/>
  <c r="B7701" i="111"/>
  <c r="B7721" i="111"/>
  <c r="B7720" i="111"/>
  <c r="B7718" i="111"/>
  <c r="B7719" i="111"/>
  <c r="B7716" i="111"/>
  <c r="B7717" i="111"/>
  <c r="B7715" i="111"/>
  <c r="B7713" i="111"/>
  <c r="B7714" i="111"/>
  <c r="B7711" i="111"/>
  <c r="B7712" i="111"/>
  <c r="B7732" i="111"/>
  <c r="B7731" i="111"/>
  <c r="B7729" i="111"/>
  <c r="B7730" i="111"/>
  <c r="B7727" i="111"/>
  <c r="B7728" i="111"/>
  <c r="B7726" i="111"/>
  <c r="B7724" i="111"/>
  <c r="B7725" i="111"/>
  <c r="B7722" i="111"/>
  <c r="B7723" i="111"/>
  <c r="B8102" i="111"/>
  <c r="B8070" i="111"/>
  <c r="B8006" i="111"/>
  <c r="B8038" i="111"/>
  <c r="B7930" i="111"/>
  <c r="B7962" i="111"/>
  <c r="B7898" i="111"/>
  <c r="B7834" i="111"/>
  <c r="B7866" i="111"/>
  <c r="B7757" i="111"/>
  <c r="B7789" i="111"/>
  <c r="B8101" i="111"/>
  <c r="B8069" i="111"/>
  <c r="B8005" i="111"/>
  <c r="B8037" i="111"/>
  <c r="B7929" i="111"/>
  <c r="B7961" i="111"/>
  <c r="B7897" i="111"/>
  <c r="B7833" i="111"/>
  <c r="B7865" i="111"/>
  <c r="B7756" i="111"/>
  <c r="B7788" i="111"/>
  <c r="B8100" i="111"/>
  <c r="B8068" i="111"/>
  <c r="B8004" i="111"/>
  <c r="B8036" i="111"/>
  <c r="B7928" i="111"/>
  <c r="B7960" i="111"/>
  <c r="B7896" i="111"/>
  <c r="B7832" i="111"/>
  <c r="B7864" i="111"/>
  <c r="B7755" i="111"/>
  <c r="B7787" i="111"/>
  <c r="B8099" i="111"/>
  <c r="B8067" i="111"/>
  <c r="B8003" i="111"/>
  <c r="B8035" i="111"/>
  <c r="B7927" i="111"/>
  <c r="B7959" i="111"/>
  <c r="B7895" i="111"/>
  <c r="B7831" i="111"/>
  <c r="B7863" i="111"/>
  <c r="B7754" i="111"/>
  <c r="B7786" i="111"/>
  <c r="B8098" i="111"/>
  <c r="B8066" i="111"/>
  <c r="B8002" i="111"/>
  <c r="B8034" i="111"/>
  <c r="B7926" i="111"/>
  <c r="B7958" i="111"/>
  <c r="B7894" i="111"/>
  <c r="B7830" i="111"/>
  <c r="B7862" i="111"/>
  <c r="B7753" i="111"/>
  <c r="B7785" i="111"/>
  <c r="B8097" i="111"/>
  <c r="B8065" i="111"/>
  <c r="B8001" i="111"/>
  <c r="B8033" i="111"/>
  <c r="B7925" i="111"/>
  <c r="B7957" i="111"/>
  <c r="B7893" i="111"/>
  <c r="B7829" i="111"/>
  <c r="B7861" i="111"/>
  <c r="B7752" i="111"/>
  <c r="B7784" i="111"/>
  <c r="B8096" i="111"/>
  <c r="B8064" i="111"/>
  <c r="B8000" i="111"/>
  <c r="B8032" i="111"/>
  <c r="B7924" i="111"/>
  <c r="B7956" i="111"/>
  <c r="B7892" i="111"/>
  <c r="B7828" i="111"/>
  <c r="B7860" i="111"/>
  <c r="B7751" i="111"/>
  <c r="B7783" i="111"/>
  <c r="B8095" i="111"/>
  <c r="B8063" i="111"/>
  <c r="B7999" i="111"/>
  <c r="B8031" i="111"/>
  <c r="B7923" i="111"/>
  <c r="B7955" i="111"/>
  <c r="B7891" i="111"/>
  <c r="B7827" i="111"/>
  <c r="B7859" i="111"/>
  <c r="B7750" i="111"/>
  <c r="B7782" i="111"/>
  <c r="B8094" i="111"/>
  <c r="B8062" i="111"/>
  <c r="B7998" i="111"/>
  <c r="B8030" i="111"/>
  <c r="B7922" i="111"/>
  <c r="B7954" i="111"/>
  <c r="B7890" i="111"/>
  <c r="B7826" i="111"/>
  <c r="B7858" i="111"/>
  <c r="B7749" i="111"/>
  <c r="B7781" i="111"/>
  <c r="B8093" i="111"/>
  <c r="B8061" i="111"/>
  <c r="B7997" i="111"/>
  <c r="B8029" i="111"/>
  <c r="B7921" i="111"/>
  <c r="B7953" i="111"/>
  <c r="B7889" i="111"/>
  <c r="B7825" i="111"/>
  <c r="B7857" i="111"/>
  <c r="B7748" i="111"/>
  <c r="B7780" i="111"/>
  <c r="B8092" i="111"/>
  <c r="B8060" i="111"/>
  <c r="B7996" i="111"/>
  <c r="B8028" i="111"/>
  <c r="B7920" i="111"/>
  <c r="B7952" i="111"/>
  <c r="B7888" i="111"/>
  <c r="B7824" i="111"/>
  <c r="B7856" i="111"/>
  <c r="B7747" i="111"/>
  <c r="B7779" i="111"/>
  <c r="B8091" i="111"/>
  <c r="B8059" i="111"/>
  <c r="B7995" i="111"/>
  <c r="B8027" i="111"/>
  <c r="B7919" i="111"/>
  <c r="B7951" i="111"/>
  <c r="B7887" i="111"/>
  <c r="B7823" i="111"/>
  <c r="B7855" i="111"/>
  <c r="B7746" i="111"/>
  <c r="B7778" i="111"/>
  <c r="B7653" i="111"/>
  <c r="B7621" i="111"/>
  <c r="B7514" i="111"/>
  <c r="B7578" i="111"/>
  <c r="B7546" i="111"/>
  <c r="B7482" i="111"/>
  <c r="B7450" i="111"/>
  <c r="B7373" i="111"/>
  <c r="B7437" i="111"/>
  <c r="B7405" i="111"/>
  <c r="B7652" i="111"/>
  <c r="B7620" i="111"/>
  <c r="B7590" i="111"/>
  <c r="B7513" i="111"/>
  <c r="B7577" i="111"/>
  <c r="B7545" i="111"/>
  <c r="B7481" i="111"/>
  <c r="B7449" i="111"/>
  <c r="B7372" i="111"/>
  <c r="B7436" i="111"/>
  <c r="B7404" i="111"/>
  <c r="B7651" i="111"/>
  <c r="B7619" i="111"/>
  <c r="B7589" i="111"/>
  <c r="B7512" i="111"/>
  <c r="B7576" i="111"/>
  <c r="B7544" i="111"/>
  <c r="B7480" i="111"/>
  <c r="B7448" i="111"/>
  <c r="B7371" i="111"/>
  <c r="B7435" i="111"/>
  <c r="B7403" i="111"/>
  <c r="B7650" i="111"/>
  <c r="B7618" i="111"/>
  <c r="B7588" i="111"/>
  <c r="B7511" i="111"/>
  <c r="B7575" i="111"/>
  <c r="B7543" i="111"/>
  <c r="B7479" i="111"/>
  <c r="B7447" i="111"/>
  <c r="B7370" i="111"/>
  <c r="B7434" i="111"/>
  <c r="B7402" i="111"/>
  <c r="B7649" i="111"/>
  <c r="B7617" i="111"/>
  <c r="B7587" i="111"/>
  <c r="B7510" i="111"/>
  <c r="B7574" i="111"/>
  <c r="B7542" i="111"/>
  <c r="B7478" i="111"/>
  <c r="B7446" i="111"/>
  <c r="B7369" i="111"/>
  <c r="B7433" i="111"/>
  <c r="B7401" i="111"/>
  <c r="B7648" i="111"/>
  <c r="B7616" i="111"/>
  <c r="B7586" i="111"/>
  <c r="B7509" i="111"/>
  <c r="B7573" i="111"/>
  <c r="B7541" i="111"/>
  <c r="B7477" i="111"/>
  <c r="B7445" i="111"/>
  <c r="B7368" i="111"/>
  <c r="B7432" i="111"/>
  <c r="B7400" i="111"/>
  <c r="B7647" i="111"/>
  <c r="B7615" i="111"/>
  <c r="B7585" i="111"/>
  <c r="B7508" i="111"/>
  <c r="B7572" i="111"/>
  <c r="B7540" i="111"/>
  <c r="B7476" i="111"/>
  <c r="B7444" i="111"/>
  <c r="B7367" i="111"/>
  <c r="B7431" i="111"/>
  <c r="B7399" i="111"/>
  <c r="B7646" i="111"/>
  <c r="B7614" i="111"/>
  <c r="B7584" i="111"/>
  <c r="B7507" i="111"/>
  <c r="B7571" i="111"/>
  <c r="B7539" i="111"/>
  <c r="B7475" i="111"/>
  <c r="B7443" i="111"/>
  <c r="B7366" i="111"/>
  <c r="B7430" i="111"/>
  <c r="B7398" i="111"/>
  <c r="B7645" i="111"/>
  <c r="B7613" i="111"/>
  <c r="B7583" i="111"/>
  <c r="B7506" i="111"/>
  <c r="B7570" i="111"/>
  <c r="B7538" i="111"/>
  <c r="B7474" i="111"/>
  <c r="B7442" i="111"/>
  <c r="B7365" i="111"/>
  <c r="B7429" i="111"/>
  <c r="B7397" i="111"/>
  <c r="B7644" i="111"/>
  <c r="B7612" i="111"/>
  <c r="B7582" i="111"/>
  <c r="B7505" i="111"/>
  <c r="B7569" i="111"/>
  <c r="B7537" i="111"/>
  <c r="B7473" i="111"/>
  <c r="B7441" i="111"/>
  <c r="B7364" i="111"/>
  <c r="B7428" i="111"/>
  <c r="B7396" i="111"/>
  <c r="B7643" i="111"/>
  <c r="B7611" i="111"/>
  <c r="B7581" i="111"/>
  <c r="B7504" i="111"/>
  <c r="B7568" i="111"/>
  <c r="B7536" i="111"/>
  <c r="B7472" i="111"/>
  <c r="B7440" i="111"/>
  <c r="B7363" i="111"/>
  <c r="B7427" i="111"/>
  <c r="B7395" i="111"/>
  <c r="B7642" i="111"/>
  <c r="B7610" i="111"/>
  <c r="B7580" i="111"/>
  <c r="B7503" i="111"/>
  <c r="B7567" i="111"/>
  <c r="B7535" i="111"/>
  <c r="B7471" i="111"/>
  <c r="B7439" i="111"/>
  <c r="B7362" i="111"/>
  <c r="B7426" i="111"/>
  <c r="B7394" i="111"/>
  <c r="B7641" i="111"/>
  <c r="B7609" i="111"/>
  <c r="B7579" i="111"/>
  <c r="B7502" i="111"/>
  <c r="B7566" i="111"/>
  <c r="B7534" i="111"/>
  <c r="B7470" i="111"/>
  <c r="B7438" i="111"/>
  <c r="B7361" i="111"/>
  <c r="B7425" i="111"/>
  <c r="B7393" i="111"/>
  <c r="B7672" i="111"/>
  <c r="B7640" i="111"/>
  <c r="B7608" i="111"/>
  <c r="B7533" i="111"/>
  <c r="B7565" i="111"/>
  <c r="B7501" i="111"/>
  <c r="B7469" i="111"/>
  <c r="B7392" i="111"/>
  <c r="B7424" i="111"/>
  <c r="B7671" i="111"/>
  <c r="B7639" i="111"/>
  <c r="B7607" i="111"/>
  <c r="B7532" i="111"/>
  <c r="B7564" i="111"/>
  <c r="B7500" i="111"/>
  <c r="B7468" i="111"/>
  <c r="B7391" i="111"/>
  <c r="B7423" i="111"/>
  <c r="B7670" i="111"/>
  <c r="B7638" i="111"/>
  <c r="B7606" i="111"/>
  <c r="B7531" i="111"/>
  <c r="B7563" i="111"/>
  <c r="B7499" i="111"/>
  <c r="B7467" i="111"/>
  <c r="B7390" i="111"/>
  <c r="B7422" i="111"/>
  <c r="B7669" i="111"/>
  <c r="B7637" i="111"/>
  <c r="B7605" i="111"/>
  <c r="B7530" i="111"/>
  <c r="B7562" i="111"/>
  <c r="B7498" i="111"/>
  <c r="B7466" i="111"/>
  <c r="B7389" i="111"/>
  <c r="B7421" i="111"/>
  <c r="B7668" i="111"/>
  <c r="B7636" i="111"/>
  <c r="B7529" i="111"/>
  <c r="B7561" i="111"/>
  <c r="B7497" i="111"/>
  <c r="B7465" i="111"/>
  <c r="B7388" i="111"/>
  <c r="B7420" i="111"/>
  <c r="B7667" i="111"/>
  <c r="B7635" i="111"/>
  <c r="B7604" i="111"/>
  <c r="B7528" i="111"/>
  <c r="B7560" i="111"/>
  <c r="B7496" i="111"/>
  <c r="B7464" i="111"/>
  <c r="B7387" i="111"/>
  <c r="B7419" i="111"/>
  <c r="B7666" i="111"/>
  <c r="B7634" i="111"/>
  <c r="B7603" i="111"/>
  <c r="B7527" i="111"/>
  <c r="B7559" i="111"/>
  <c r="B7495" i="111"/>
  <c r="B7463" i="111"/>
  <c r="B7386" i="111"/>
  <c r="B7418" i="111"/>
  <c r="B7690" i="111"/>
  <c r="B7689" i="111"/>
  <c r="B7688" i="111"/>
  <c r="B7686" i="111"/>
  <c r="B7687" i="111"/>
  <c r="B7685" i="111"/>
  <c r="B7684" i="111"/>
  <c r="B7682" i="111"/>
  <c r="B7683" i="111"/>
  <c r="B7681" i="111"/>
  <c r="B7680" i="111"/>
  <c r="B7679" i="111"/>
  <c r="B7677" i="111"/>
  <c r="B7678" i="111"/>
  <c r="B7676" i="111"/>
  <c r="B7675" i="111"/>
  <c r="B7673" i="111"/>
  <c r="B7674" i="111"/>
  <c r="B7699" i="111"/>
  <c r="B7698" i="111"/>
  <c r="B7697" i="111"/>
  <c r="B7695" i="111"/>
  <c r="B7696" i="111"/>
  <c r="B7694" i="111"/>
  <c r="B7693" i="111"/>
  <c r="B7691" i="111"/>
  <c r="B7692" i="111"/>
  <c r="B7342" i="111"/>
  <c r="B7341" i="111"/>
  <c r="B7340" i="111"/>
  <c r="B7338" i="111"/>
  <c r="B7339" i="111"/>
  <c r="B7337" i="111"/>
  <c r="B7336" i="111"/>
  <c r="B7334" i="111"/>
  <c r="B7335" i="111"/>
  <c r="B7351" i="111"/>
  <c r="B7350" i="111"/>
  <c r="B7349" i="111"/>
  <c r="B7347" i="111"/>
  <c r="B7348" i="111"/>
  <c r="B7346" i="111"/>
  <c r="B7345" i="111"/>
  <c r="B7343" i="111"/>
  <c r="B7344" i="111"/>
  <c r="B7360" i="111"/>
  <c r="B7359" i="111"/>
  <c r="B7358" i="111"/>
  <c r="B7356" i="111"/>
  <c r="B7357" i="111"/>
  <c r="B7355" i="111"/>
  <c r="B7354" i="111"/>
  <c r="B7352" i="111"/>
  <c r="B7353" i="111"/>
  <c r="B7665" i="111"/>
  <c r="B7633" i="111"/>
  <c r="B7602" i="111"/>
  <c r="B7526" i="111"/>
  <c r="B7558" i="111"/>
  <c r="B7494" i="111"/>
  <c r="B7462" i="111"/>
  <c r="B7385" i="111"/>
  <c r="B7417" i="111"/>
  <c r="B7664" i="111"/>
  <c r="B7632" i="111"/>
  <c r="B7601" i="111"/>
  <c r="B7525" i="111"/>
  <c r="B7557" i="111"/>
  <c r="B7493" i="111"/>
  <c r="B7461" i="111"/>
  <c r="B7384" i="111"/>
  <c r="B7416" i="111"/>
  <c r="B7663" i="111"/>
  <c r="B7631" i="111"/>
  <c r="B7600" i="111"/>
  <c r="B7524" i="111"/>
  <c r="B7556" i="111"/>
  <c r="B7492" i="111"/>
  <c r="B7460" i="111"/>
  <c r="B7383" i="111"/>
  <c r="B7415" i="111"/>
  <c r="B7662" i="111"/>
  <c r="B7630" i="111"/>
  <c r="B7599" i="111"/>
  <c r="B7523" i="111"/>
  <c r="B7555" i="111"/>
  <c r="B7491" i="111"/>
  <c r="B7459" i="111"/>
  <c r="B7382" i="111"/>
  <c r="B7414" i="111"/>
  <c r="B7661" i="111"/>
  <c r="B7629" i="111"/>
  <c r="B7598" i="111"/>
  <c r="B7522" i="111"/>
  <c r="B7554" i="111"/>
  <c r="B7490" i="111"/>
  <c r="B7458" i="111"/>
  <c r="B7381" i="111"/>
  <c r="B7413" i="111"/>
  <c r="B7660" i="111"/>
  <c r="B7628" i="111"/>
  <c r="B7597" i="111"/>
  <c r="B7521" i="111"/>
  <c r="B7553" i="111"/>
  <c r="B7489" i="111"/>
  <c r="B7457" i="111"/>
  <c r="B7380" i="111"/>
  <c r="B7412" i="111"/>
  <c r="B7659" i="111"/>
  <c r="B7627" i="111"/>
  <c r="B7596" i="111"/>
  <c r="B7520" i="111"/>
  <c r="B7552" i="111"/>
  <c r="B7488" i="111"/>
  <c r="B7456" i="111"/>
  <c r="B7379" i="111"/>
  <c r="B7411" i="111"/>
  <c r="B7658" i="111"/>
  <c r="B7626" i="111"/>
  <c r="B7595" i="111"/>
  <c r="B7519" i="111"/>
  <c r="B7551" i="111"/>
  <c r="B7487" i="111"/>
  <c r="B7455" i="111"/>
  <c r="B7378" i="111"/>
  <c r="B7410" i="111"/>
  <c r="B7657" i="111"/>
  <c r="B7625" i="111"/>
  <c r="B7594" i="111"/>
  <c r="B7518" i="111"/>
  <c r="B7550" i="111"/>
  <c r="B7486" i="111"/>
  <c r="B7454" i="111"/>
  <c r="B7377" i="111"/>
  <c r="B7409" i="111"/>
  <c r="B7656" i="111"/>
  <c r="B7624" i="111"/>
  <c r="B7593" i="111"/>
  <c r="B7517" i="111"/>
  <c r="B7549" i="111"/>
  <c r="B7485" i="111"/>
  <c r="B7453" i="111"/>
  <c r="B7376" i="111"/>
  <c r="B7408" i="111"/>
  <c r="B7655" i="111"/>
  <c r="B7623" i="111"/>
  <c r="B7592" i="111"/>
  <c r="B7516" i="111"/>
  <c r="B7548" i="111"/>
  <c r="B7484" i="111"/>
  <c r="B7452" i="111"/>
  <c r="B7375" i="111"/>
  <c r="B7407" i="111"/>
  <c r="B7654" i="111"/>
  <c r="B7622" i="111"/>
  <c r="B7591" i="111"/>
  <c r="B7515" i="111"/>
  <c r="B7547" i="111"/>
  <c r="B7483" i="111"/>
  <c r="B7451" i="111"/>
  <c r="B7374" i="111"/>
  <c r="B7406" i="111"/>
  <c r="B7273" i="111"/>
  <c r="B7227" i="111"/>
  <c r="B7193" i="111"/>
  <c r="B7102" i="111"/>
  <c r="B7180" i="111"/>
  <c r="B7134" i="111"/>
  <c r="B7056" i="111"/>
  <c r="B7024" i="111"/>
  <c r="B6931" i="111"/>
  <c r="B7011" i="111"/>
  <c r="B6965" i="111"/>
  <c r="B7272" i="111"/>
  <c r="B7226" i="111"/>
  <c r="B7192" i="111"/>
  <c r="B7101" i="111"/>
  <c r="B7179" i="111"/>
  <c r="B7133" i="111"/>
  <c r="B7055" i="111"/>
  <c r="B7023" i="111"/>
  <c r="B6930" i="111"/>
  <c r="B7010" i="111"/>
  <c r="B6964" i="111"/>
  <c r="B7271" i="111"/>
  <c r="B7225" i="111"/>
  <c r="B7191" i="111"/>
  <c r="B7100" i="111"/>
  <c r="B7178" i="111"/>
  <c r="B7132" i="111"/>
  <c r="B7054" i="111"/>
  <c r="B7022" i="111"/>
  <c r="B6929" i="111"/>
  <c r="B7009" i="111"/>
  <c r="B6963" i="111"/>
  <c r="B7270" i="111"/>
  <c r="B7224" i="111"/>
  <c r="B7190" i="111"/>
  <c r="B7099" i="111"/>
  <c r="B7177" i="111"/>
  <c r="B7131" i="111"/>
  <c r="B7053" i="111"/>
  <c r="B7021" i="111"/>
  <c r="B6928" i="111"/>
  <c r="B7008" i="111"/>
  <c r="B6962" i="111"/>
  <c r="B7269" i="111"/>
  <c r="B7223" i="111"/>
  <c r="B7189" i="111"/>
  <c r="B7098" i="111"/>
  <c r="B7176" i="111"/>
  <c r="B7130" i="111"/>
  <c r="B7052" i="111"/>
  <c r="B7020" i="111"/>
  <c r="B6927" i="111"/>
  <c r="B7007" i="111"/>
  <c r="B6961" i="111"/>
  <c r="B7268" i="111"/>
  <c r="B7222" i="111"/>
  <c r="B7188" i="111"/>
  <c r="B7097" i="111"/>
  <c r="B7175" i="111"/>
  <c r="B7129" i="111"/>
  <c r="B7051" i="111"/>
  <c r="B7019" i="111"/>
  <c r="B6926" i="111"/>
  <c r="B7006" i="111"/>
  <c r="B6960" i="111"/>
  <c r="B7267" i="111"/>
  <c r="B7221" i="111"/>
  <c r="B7187" i="111"/>
  <c r="B7096" i="111"/>
  <c r="B7174" i="111"/>
  <c r="B7128" i="111"/>
  <c r="B7050" i="111"/>
  <c r="B7018" i="111"/>
  <c r="B6925" i="111"/>
  <c r="B7005" i="111"/>
  <c r="B6959" i="111"/>
  <c r="B7266" i="111"/>
  <c r="B7220" i="111"/>
  <c r="B7186" i="111"/>
  <c r="B7095" i="111"/>
  <c r="B7173" i="111"/>
  <c r="B7127" i="111"/>
  <c r="B7049" i="111"/>
  <c r="B7017" i="111"/>
  <c r="B6924" i="111"/>
  <c r="B7004" i="111"/>
  <c r="B6958" i="111"/>
  <c r="B7265" i="111"/>
  <c r="B7219" i="111"/>
  <c r="B7185" i="111"/>
  <c r="B7094" i="111"/>
  <c r="B7172" i="111"/>
  <c r="B7126" i="111"/>
  <c r="B7048" i="111"/>
  <c r="B7016" i="111"/>
  <c r="B6923" i="111"/>
  <c r="B7003" i="111"/>
  <c r="B6957" i="111"/>
  <c r="B7264" i="111"/>
  <c r="B7218" i="111"/>
  <c r="B7184" i="111"/>
  <c r="B7093" i="111"/>
  <c r="B7171" i="111"/>
  <c r="B7125" i="111"/>
  <c r="B7047" i="111"/>
  <c r="B7015" i="111"/>
  <c r="B6922" i="111"/>
  <c r="B7002" i="111"/>
  <c r="B6956" i="111"/>
  <c r="B7263" i="111"/>
  <c r="B7217" i="111"/>
  <c r="B7183" i="111"/>
  <c r="B7092" i="111"/>
  <c r="B7170" i="111"/>
  <c r="B7124" i="111"/>
  <c r="B7046" i="111"/>
  <c r="B7014" i="111"/>
  <c r="B6921" i="111"/>
  <c r="B7001" i="111"/>
  <c r="B6955" i="111"/>
  <c r="B7262" i="111"/>
  <c r="B7216" i="111"/>
  <c r="B7182" i="111"/>
  <c r="B7091" i="111"/>
  <c r="B7169" i="111"/>
  <c r="B7123" i="111"/>
  <c r="B7045" i="111"/>
  <c r="B7013" i="111"/>
  <c r="B6920" i="111"/>
  <c r="B7000" i="111"/>
  <c r="B6954" i="111"/>
  <c r="B7261" i="111"/>
  <c r="B7215" i="111"/>
  <c r="B7181" i="111"/>
  <c r="B7090" i="111"/>
  <c r="B7168" i="111"/>
  <c r="B7122" i="111"/>
  <c r="B7044" i="111"/>
  <c r="B7012" i="111"/>
  <c r="B6919" i="111"/>
  <c r="B6999" i="111"/>
  <c r="B6953" i="111"/>
  <c r="B7306" i="111"/>
  <c r="B7260" i="111"/>
  <c r="B7148" i="111"/>
  <c r="B7089" i="111"/>
  <c r="B6979" i="111"/>
  <c r="B7305" i="111"/>
  <c r="B7259" i="111"/>
  <c r="B7147" i="111"/>
  <c r="B7088" i="111"/>
  <c r="B6978" i="111"/>
  <c r="B7304" i="111"/>
  <c r="B7258" i="111"/>
  <c r="B7146" i="111"/>
  <c r="B7087" i="111"/>
  <c r="B6977" i="111"/>
  <c r="B7303" i="111"/>
  <c r="B7257" i="111"/>
  <c r="B7145" i="111"/>
  <c r="B7086" i="111"/>
  <c r="B6976" i="111"/>
  <c r="B7302" i="111"/>
  <c r="B7256" i="111"/>
  <c r="B7144" i="111"/>
  <c r="B7085" i="111"/>
  <c r="B6975" i="111"/>
  <c r="B7301" i="111"/>
  <c r="B7255" i="111"/>
  <c r="B7143" i="111"/>
  <c r="B7084" i="111"/>
  <c r="B6974" i="111"/>
  <c r="B7300" i="111"/>
  <c r="B7254" i="111"/>
  <c r="B7142" i="111"/>
  <c r="B7083" i="111"/>
  <c r="B6973" i="111"/>
  <c r="B7299" i="111"/>
  <c r="B7253" i="111"/>
  <c r="B7141" i="111"/>
  <c r="B7082" i="111"/>
  <c r="B6972" i="111"/>
  <c r="B7298" i="111"/>
  <c r="B7252" i="111"/>
  <c r="B7140" i="111"/>
  <c r="B7081" i="111"/>
  <c r="B6971" i="111"/>
  <c r="B7297" i="111"/>
  <c r="B7251" i="111"/>
  <c r="B7139" i="111"/>
  <c r="B7080" i="111"/>
  <c r="B6970" i="111"/>
  <c r="B7296" i="111"/>
  <c r="B7250" i="111"/>
  <c r="B7138" i="111"/>
  <c r="B7079" i="111"/>
  <c r="B6969" i="111"/>
  <c r="B7295" i="111"/>
  <c r="B7249" i="111"/>
  <c r="B7214" i="111"/>
  <c r="B7137" i="111"/>
  <c r="B7078" i="111"/>
  <c r="B6952" i="111"/>
  <c r="B6968" i="111"/>
  <c r="B7294" i="111"/>
  <c r="B7248" i="111"/>
  <c r="B7213" i="111"/>
  <c r="B7136" i="111"/>
  <c r="B7077" i="111"/>
  <c r="B6951" i="111"/>
  <c r="B6967" i="111"/>
  <c r="B7293" i="111"/>
  <c r="B7247" i="111"/>
  <c r="B7135" i="111"/>
  <c r="B7076" i="111"/>
  <c r="B6966" i="111"/>
  <c r="B7292" i="111"/>
  <c r="B7246" i="111"/>
  <c r="B7212" i="111"/>
  <c r="B7121" i="111"/>
  <c r="B7167" i="111"/>
  <c r="B7075" i="111"/>
  <c r="B7043" i="111"/>
  <c r="B6950" i="111"/>
  <c r="B6998" i="111"/>
  <c r="B7291" i="111"/>
  <c r="B7245" i="111"/>
  <c r="B7211" i="111"/>
  <c r="B7120" i="111"/>
  <c r="B7166" i="111"/>
  <c r="B7074" i="111"/>
  <c r="B7042" i="111"/>
  <c r="B6949" i="111"/>
  <c r="B6997" i="111"/>
  <c r="B7290" i="111"/>
  <c r="B7244" i="111"/>
  <c r="B7210" i="111"/>
  <c r="B7119" i="111"/>
  <c r="B7165" i="111"/>
  <c r="B7073" i="111"/>
  <c r="B7041" i="111"/>
  <c r="B6948" i="111"/>
  <c r="B6996" i="111"/>
  <c r="B7289" i="111"/>
  <c r="B7243" i="111"/>
  <c r="B7209" i="111"/>
  <c r="B7118" i="111"/>
  <c r="B7164" i="111"/>
  <c r="B7072" i="111"/>
  <c r="B7040" i="111"/>
  <c r="B6947" i="111"/>
  <c r="B6995" i="111"/>
  <c r="B7288" i="111"/>
  <c r="B7242" i="111"/>
  <c r="B7208" i="111"/>
  <c r="B7117" i="111"/>
  <c r="B7163" i="111"/>
  <c r="B7071" i="111"/>
  <c r="B7039" i="111"/>
  <c r="B6946" i="111"/>
  <c r="B6994" i="111"/>
  <c r="B7287" i="111"/>
  <c r="B7241" i="111"/>
  <c r="B7207" i="111"/>
  <c r="B7116" i="111"/>
  <c r="B7162" i="111"/>
  <c r="B7070" i="111"/>
  <c r="B7038" i="111"/>
  <c r="B6945" i="111"/>
  <c r="B6993" i="111"/>
  <c r="B7286" i="111"/>
  <c r="B7240" i="111"/>
  <c r="B7206" i="111"/>
  <c r="B7115" i="111"/>
  <c r="B7161" i="111"/>
  <c r="B7069" i="111"/>
  <c r="B7037" i="111"/>
  <c r="B6944" i="111"/>
  <c r="B6992" i="111"/>
  <c r="B7324" i="111"/>
  <c r="B7323" i="111"/>
  <c r="B7322" i="111"/>
  <c r="B7320" i="111"/>
  <c r="B7321" i="111"/>
  <c r="B7319" i="111"/>
  <c r="B7318" i="111"/>
  <c r="B7316" i="111"/>
  <c r="B7317" i="111"/>
  <c r="B7315" i="111"/>
  <c r="B7314" i="111"/>
  <c r="B7313" i="111"/>
  <c r="B7311" i="111"/>
  <c r="B7312" i="111"/>
  <c r="B7310" i="111"/>
  <c r="B7309" i="111"/>
  <c r="B7307" i="111"/>
  <c r="B7308" i="111"/>
  <c r="B7333" i="111"/>
  <c r="B7332" i="111"/>
  <c r="B7331" i="111"/>
  <c r="B7329" i="111"/>
  <c r="B7330" i="111"/>
  <c r="B7328" i="111"/>
  <c r="B7327" i="111"/>
  <c r="B7325" i="111"/>
  <c r="B7326" i="111"/>
  <c r="B6900" i="111"/>
  <c r="B6899" i="111"/>
  <c r="B6898" i="111"/>
  <c r="B6896" i="111"/>
  <c r="B6897" i="111"/>
  <c r="B6895" i="111"/>
  <c r="B6894" i="111"/>
  <c r="B6892" i="111"/>
  <c r="B6893" i="111"/>
  <c r="B6909" i="111"/>
  <c r="B6908" i="111"/>
  <c r="B6907" i="111"/>
  <c r="B6905" i="111"/>
  <c r="B6906" i="111"/>
  <c r="B6904" i="111"/>
  <c r="B6903" i="111"/>
  <c r="B6901" i="111"/>
  <c r="B6902" i="111"/>
  <c r="B6918" i="111"/>
  <c r="B6917" i="111"/>
  <c r="B6916" i="111"/>
  <c r="B6914" i="111"/>
  <c r="B6915" i="111"/>
  <c r="B6913" i="111"/>
  <c r="B6912" i="111"/>
  <c r="B6910" i="111"/>
  <c r="B6911" i="111"/>
  <c r="B7285" i="111"/>
  <c r="B7239" i="111"/>
  <c r="B7205" i="111"/>
  <c r="B7114" i="111"/>
  <c r="B7160" i="111"/>
  <c r="B7068" i="111"/>
  <c r="B7036" i="111"/>
  <c r="B6943" i="111"/>
  <c r="B6991" i="111"/>
  <c r="B7284" i="111"/>
  <c r="B7238" i="111"/>
  <c r="B7204" i="111"/>
  <c r="B7113" i="111"/>
  <c r="B7159" i="111"/>
  <c r="B7067" i="111"/>
  <c r="B7035" i="111"/>
  <c r="B6942" i="111"/>
  <c r="B6990" i="111"/>
  <c r="B7283" i="111"/>
  <c r="B7237" i="111"/>
  <c r="B7203" i="111"/>
  <c r="B7112" i="111"/>
  <c r="B7158" i="111"/>
  <c r="B7066" i="111"/>
  <c r="B7034" i="111"/>
  <c r="B6941" i="111"/>
  <c r="B6989" i="111"/>
  <c r="B7282" i="111"/>
  <c r="B7236" i="111"/>
  <c r="B7202" i="111"/>
  <c r="B7111" i="111"/>
  <c r="B7157" i="111"/>
  <c r="B7065" i="111"/>
  <c r="B7033" i="111"/>
  <c r="B6940" i="111"/>
  <c r="B6988" i="111"/>
  <c r="B7281" i="111"/>
  <c r="B7235" i="111"/>
  <c r="B7201" i="111"/>
  <c r="B7110" i="111"/>
  <c r="B7156" i="111"/>
  <c r="B7064" i="111"/>
  <c r="B7032" i="111"/>
  <c r="B6939" i="111"/>
  <c r="B6987" i="111"/>
  <c r="B7280" i="111"/>
  <c r="B7234" i="111"/>
  <c r="B7200" i="111"/>
  <c r="B7109" i="111"/>
  <c r="B7155" i="111"/>
  <c r="B7063" i="111"/>
  <c r="B7031" i="111"/>
  <c r="B6938" i="111"/>
  <c r="B6986" i="111"/>
  <c r="B7279" i="111"/>
  <c r="B7233" i="111"/>
  <c r="B7199" i="111"/>
  <c r="B7108" i="111"/>
  <c r="B7154" i="111"/>
  <c r="B7062" i="111"/>
  <c r="B7030" i="111"/>
  <c r="B6937" i="111"/>
  <c r="B6985" i="111"/>
  <c r="B7278" i="111"/>
  <c r="B7232" i="111"/>
  <c r="B7198" i="111"/>
  <c r="B7107" i="111"/>
  <c r="B7153" i="111"/>
  <c r="B7061" i="111"/>
  <c r="B7029" i="111"/>
  <c r="B6936" i="111"/>
  <c r="B6984" i="111"/>
  <c r="B7277" i="111"/>
  <c r="B7231" i="111"/>
  <c r="B7197" i="111"/>
  <c r="B7106" i="111"/>
  <c r="B7152" i="111"/>
  <c r="B7060" i="111"/>
  <c r="B7028" i="111"/>
  <c r="B6935" i="111"/>
  <c r="B6983" i="111"/>
  <c r="B7276" i="111"/>
  <c r="B7230" i="111"/>
  <c r="B7196" i="111"/>
  <c r="B7105" i="111"/>
  <c r="B7151" i="111"/>
  <c r="B7059" i="111"/>
  <c r="B7027" i="111"/>
  <c r="B6934" i="111"/>
  <c r="B6982" i="111"/>
  <c r="B7275" i="111"/>
  <c r="B7229" i="111"/>
  <c r="B7195" i="111"/>
  <c r="B7104" i="111"/>
  <c r="B7150" i="111"/>
  <c r="B7058" i="111"/>
  <c r="B7026" i="111"/>
  <c r="B6933" i="111"/>
  <c r="B6981" i="111"/>
  <c r="B7274" i="111"/>
  <c r="B7228" i="111"/>
  <c r="B7194" i="111"/>
  <c r="B7103" i="111"/>
  <c r="B7149" i="111"/>
  <c r="B7057" i="111"/>
  <c r="B7025" i="111"/>
  <c r="B6932" i="111"/>
  <c r="B6980" i="111"/>
  <c r="B6839" i="111"/>
  <c r="B6807" i="111"/>
  <c r="B6745" i="111"/>
  <c r="B6776" i="111"/>
  <c r="B6671" i="111"/>
  <c r="B6732" i="111"/>
  <c r="B6702" i="111"/>
  <c r="B6639" i="111"/>
  <c r="B6575" i="111"/>
  <c r="B6607" i="111"/>
  <c r="B6498" i="111"/>
  <c r="B6562" i="111"/>
  <c r="B6530" i="111"/>
  <c r="B6838" i="111"/>
  <c r="B6806" i="111"/>
  <c r="B6744" i="111"/>
  <c r="B6775" i="111"/>
  <c r="B6670" i="111"/>
  <c r="B6731" i="111"/>
  <c r="B6701" i="111"/>
  <c r="B6638" i="111"/>
  <c r="B6574" i="111"/>
  <c r="B6606" i="111"/>
  <c r="B6497" i="111"/>
  <c r="B6561" i="111"/>
  <c r="B6529" i="111"/>
  <c r="B6837" i="111"/>
  <c r="B6805" i="111"/>
  <c r="B6743" i="111"/>
  <c r="B6774" i="111"/>
  <c r="B6669" i="111"/>
  <c r="B6730" i="111"/>
  <c r="B6700" i="111"/>
  <c r="B6637" i="111"/>
  <c r="B6573" i="111"/>
  <c r="B6605" i="111"/>
  <c r="B6496" i="111"/>
  <c r="B6560" i="111"/>
  <c r="B6528" i="111"/>
  <c r="B6836" i="111"/>
  <c r="B6804" i="111"/>
  <c r="B6742" i="111"/>
  <c r="B6773" i="111"/>
  <c r="B6668" i="111"/>
  <c r="B6729" i="111"/>
  <c r="B6699" i="111"/>
  <c r="B6636" i="111"/>
  <c r="B6572" i="111"/>
  <c r="B6604" i="111"/>
  <c r="B6495" i="111"/>
  <c r="B6559" i="111"/>
  <c r="B6527" i="111"/>
  <c r="B6835" i="111"/>
  <c r="B6803" i="111"/>
  <c r="B6741" i="111"/>
  <c r="B6772" i="111"/>
  <c r="B6667" i="111"/>
  <c r="B6728" i="111"/>
  <c r="B6698" i="111"/>
  <c r="B6635" i="111"/>
  <c r="B6571" i="111"/>
  <c r="B6603" i="111"/>
  <c r="B6494" i="111"/>
  <c r="B6558" i="111"/>
  <c r="B6526" i="111"/>
  <c r="B6834" i="111"/>
  <c r="B6802" i="111"/>
  <c r="B6740" i="111"/>
  <c r="B6771" i="111"/>
  <c r="B6666" i="111"/>
  <c r="B6727" i="111"/>
  <c r="B6697" i="111"/>
  <c r="B6634" i="111"/>
  <c r="B6570" i="111"/>
  <c r="B6602" i="111"/>
  <c r="B6493" i="111"/>
  <c r="B6557" i="111"/>
  <c r="B6525" i="111"/>
  <c r="B6833" i="111"/>
  <c r="B6801" i="111"/>
  <c r="B6739" i="111"/>
  <c r="B6770" i="111"/>
  <c r="B6665" i="111"/>
  <c r="B6726" i="111"/>
  <c r="B6696" i="111"/>
  <c r="B6633" i="111"/>
  <c r="B6569" i="111"/>
  <c r="B6601" i="111"/>
  <c r="B6492" i="111"/>
  <c r="B6556" i="111"/>
  <c r="B6524" i="111"/>
  <c r="B6832" i="111"/>
  <c r="B6800" i="111"/>
  <c r="B6738" i="111"/>
  <c r="B6769" i="111"/>
  <c r="B6664" i="111"/>
  <c r="B6725" i="111"/>
  <c r="B6695" i="111"/>
  <c r="B6632" i="111"/>
  <c r="B6568" i="111"/>
  <c r="B6600" i="111"/>
  <c r="B6491" i="111"/>
  <c r="B6555" i="111"/>
  <c r="B6523" i="111"/>
  <c r="B6831" i="111"/>
  <c r="B6799" i="111"/>
  <c r="B6737" i="111"/>
  <c r="B6768" i="111"/>
  <c r="B6663" i="111"/>
  <c r="B6724" i="111"/>
  <c r="B6694" i="111"/>
  <c r="B6631" i="111"/>
  <c r="B6567" i="111"/>
  <c r="B6599" i="111"/>
  <c r="B6490" i="111"/>
  <c r="B6554" i="111"/>
  <c r="B6522" i="111"/>
  <c r="B6830" i="111"/>
  <c r="B6798" i="111"/>
  <c r="B6736" i="111"/>
  <c r="B6767" i="111"/>
  <c r="B6662" i="111"/>
  <c r="B6723" i="111"/>
  <c r="B6693" i="111"/>
  <c r="B6630" i="111"/>
  <c r="B6566" i="111"/>
  <c r="B6598" i="111"/>
  <c r="B6489" i="111"/>
  <c r="B6553" i="111"/>
  <c r="B6521" i="111"/>
  <c r="B6829" i="111"/>
  <c r="B6797" i="111"/>
  <c r="B6735" i="111"/>
  <c r="B6766" i="111"/>
  <c r="B6661" i="111"/>
  <c r="B6722" i="111"/>
  <c r="B6692" i="111"/>
  <c r="B6629" i="111"/>
  <c r="B6565" i="111"/>
  <c r="B6597" i="111"/>
  <c r="B6488" i="111"/>
  <c r="B6552" i="111"/>
  <c r="B6520" i="111"/>
  <c r="B6828" i="111"/>
  <c r="B6796" i="111"/>
  <c r="B6734" i="111"/>
  <c r="B6765" i="111"/>
  <c r="B6660" i="111"/>
  <c r="B6721" i="111"/>
  <c r="B6691" i="111"/>
  <c r="B6628" i="111"/>
  <c r="B6564" i="111"/>
  <c r="B6596" i="111"/>
  <c r="B6487" i="111"/>
  <c r="B6551" i="111"/>
  <c r="B6519" i="111"/>
  <c r="B6827" i="111"/>
  <c r="B6795" i="111"/>
  <c r="B6733" i="111"/>
  <c r="B6764" i="111"/>
  <c r="B6659" i="111"/>
  <c r="B6720" i="111"/>
  <c r="B6690" i="111"/>
  <c r="B6627" i="111"/>
  <c r="B6563" i="111"/>
  <c r="B6595" i="111"/>
  <c r="B6486" i="111"/>
  <c r="B6550" i="111"/>
  <c r="B6518" i="111"/>
  <c r="B6858" i="111"/>
  <c r="B6826" i="111"/>
  <c r="B6763" i="111"/>
  <c r="B6794" i="111"/>
  <c r="B6689" i="111"/>
  <c r="B6719" i="111"/>
  <c r="B6658" i="111"/>
  <c r="B6594" i="111"/>
  <c r="B6626" i="111"/>
  <c r="B6517" i="111"/>
  <c r="B6549" i="111"/>
  <c r="B6857" i="111"/>
  <c r="B6825" i="111"/>
  <c r="B6762" i="111"/>
  <c r="B6793" i="111"/>
  <c r="B6688" i="111"/>
  <c r="B6718" i="111"/>
  <c r="B6657" i="111"/>
  <c r="B6593" i="111"/>
  <c r="B6625" i="111"/>
  <c r="B6516" i="111"/>
  <c r="B6548" i="111"/>
  <c r="B6856" i="111"/>
  <c r="B6824" i="111"/>
  <c r="B6761" i="111"/>
  <c r="B6792" i="111"/>
  <c r="B6687" i="111"/>
  <c r="B6717" i="111"/>
  <c r="B6656" i="111"/>
  <c r="B6592" i="111"/>
  <c r="B6624" i="111"/>
  <c r="B6515" i="111"/>
  <c r="B6547" i="111"/>
  <c r="B6855" i="111"/>
  <c r="B6823" i="111"/>
  <c r="B6760" i="111"/>
  <c r="B6791" i="111"/>
  <c r="B6686" i="111"/>
  <c r="B6655" i="111"/>
  <c r="B6591" i="111"/>
  <c r="B6623" i="111"/>
  <c r="B6514" i="111"/>
  <c r="B6546" i="111"/>
  <c r="B6854" i="111"/>
  <c r="B6822" i="111"/>
  <c r="B6759" i="111"/>
  <c r="B6790" i="111"/>
  <c r="B6685" i="111"/>
  <c r="B6716" i="111"/>
  <c r="B6654" i="111"/>
  <c r="B6590" i="111"/>
  <c r="B6622" i="111"/>
  <c r="B6513" i="111"/>
  <c r="B6545" i="111"/>
  <c r="B6853" i="111"/>
  <c r="B6821" i="111"/>
  <c r="B6758" i="111"/>
  <c r="B6789" i="111"/>
  <c r="B6684" i="111"/>
  <c r="B6715" i="111"/>
  <c r="B6653" i="111"/>
  <c r="B6589" i="111"/>
  <c r="B6621" i="111"/>
  <c r="B6512" i="111"/>
  <c r="B6544" i="111"/>
  <c r="B6852" i="111"/>
  <c r="B6820" i="111"/>
  <c r="B6757" i="111"/>
  <c r="B6788" i="111"/>
  <c r="B6683" i="111"/>
  <c r="B6714" i="111"/>
  <c r="B6652" i="111"/>
  <c r="B6588" i="111"/>
  <c r="B6620" i="111"/>
  <c r="B6511" i="111"/>
  <c r="B6543" i="111"/>
  <c r="B6880" i="111"/>
  <c r="B6879" i="111"/>
  <c r="B6877" i="111"/>
  <c r="B6878" i="111"/>
  <c r="B6875" i="111"/>
  <c r="B6876" i="111"/>
  <c r="B6874" i="111"/>
  <c r="B6872" i="111"/>
  <c r="B6873" i="111"/>
  <c r="B6870" i="111"/>
  <c r="B6871" i="111"/>
  <c r="B6869" i="111"/>
  <c r="B6868" i="111"/>
  <c r="B6866" i="111"/>
  <c r="B6867" i="111"/>
  <c r="B6864" i="111"/>
  <c r="B6865" i="111"/>
  <c r="B6863" i="111"/>
  <c r="B6861" i="111"/>
  <c r="B6862" i="111"/>
  <c r="B6859" i="111"/>
  <c r="B6860" i="111"/>
  <c r="B6891" i="111"/>
  <c r="B6890" i="111"/>
  <c r="B6888" i="111"/>
  <c r="B6889" i="111"/>
  <c r="B6886" i="111"/>
  <c r="B6887" i="111"/>
  <c r="B6885" i="111"/>
  <c r="B6883" i="111"/>
  <c r="B6884" i="111"/>
  <c r="B6881" i="111"/>
  <c r="B6882" i="111"/>
  <c r="B6463" i="111"/>
  <c r="B6462" i="111"/>
  <c r="B6460" i="111"/>
  <c r="B6461" i="111"/>
  <c r="B6458" i="111"/>
  <c r="B6459" i="111"/>
  <c r="B6457" i="111"/>
  <c r="B6455" i="111"/>
  <c r="B6456" i="111"/>
  <c r="B6453" i="111"/>
  <c r="B6454" i="111"/>
  <c r="B6474" i="111"/>
  <c r="B6473" i="111"/>
  <c r="B6471" i="111"/>
  <c r="B6472" i="111"/>
  <c r="B6469" i="111"/>
  <c r="B6470" i="111"/>
  <c r="B6468" i="111"/>
  <c r="B6466" i="111"/>
  <c r="B6467" i="111"/>
  <c r="B6464" i="111"/>
  <c r="B6465" i="111"/>
  <c r="B6485" i="111"/>
  <c r="B6484" i="111"/>
  <c r="B6482" i="111"/>
  <c r="B6483" i="111"/>
  <c r="B6480" i="111"/>
  <c r="B6481" i="111"/>
  <c r="B6479" i="111"/>
  <c r="B6477" i="111"/>
  <c r="B6478" i="111"/>
  <c r="B6475" i="111"/>
  <c r="B6476" i="111"/>
  <c r="B6851" i="111"/>
  <c r="B6819" i="111"/>
  <c r="B6756" i="111"/>
  <c r="B6787" i="111"/>
  <c r="B6682" i="111"/>
  <c r="B6713" i="111"/>
  <c r="B6651" i="111"/>
  <c r="B6587" i="111"/>
  <c r="B6619" i="111"/>
  <c r="B6510" i="111"/>
  <c r="B6542" i="111"/>
  <c r="B6850" i="111"/>
  <c r="B6818" i="111"/>
  <c r="B6755" i="111"/>
  <c r="B6786" i="111"/>
  <c r="B6681" i="111"/>
  <c r="B6712" i="111"/>
  <c r="B6650" i="111"/>
  <c r="B6586" i="111"/>
  <c r="B6618" i="111"/>
  <c r="B6509" i="111"/>
  <c r="B6541" i="111"/>
  <c r="B6849" i="111"/>
  <c r="B6817" i="111"/>
  <c r="B6754" i="111"/>
  <c r="B6785" i="111"/>
  <c r="B6680" i="111"/>
  <c r="B6711" i="111"/>
  <c r="B6649" i="111"/>
  <c r="B6585" i="111"/>
  <c r="B6617" i="111"/>
  <c r="B6508" i="111"/>
  <c r="B6540" i="111"/>
  <c r="B6848" i="111"/>
  <c r="B6816" i="111"/>
  <c r="B6753" i="111"/>
  <c r="B6784" i="111"/>
  <c r="B6679" i="111"/>
  <c r="B6710" i="111"/>
  <c r="B6648" i="111"/>
  <c r="B6584" i="111"/>
  <c r="B6616" i="111"/>
  <c r="B6507" i="111"/>
  <c r="B6539" i="111"/>
  <c r="B6847" i="111"/>
  <c r="B6815" i="111"/>
  <c r="B6752" i="111"/>
  <c r="B6783" i="111"/>
  <c r="B6678" i="111"/>
  <c r="B6709" i="111"/>
  <c r="B6647" i="111"/>
  <c r="B6583" i="111"/>
  <c r="B6615" i="111"/>
  <c r="B6506" i="111"/>
  <c r="B6538" i="111"/>
  <c r="B6846" i="111"/>
  <c r="B6814" i="111"/>
  <c r="B6646" i="111"/>
  <c r="B6582" i="111"/>
  <c r="B6614" i="111"/>
  <c r="B6505" i="111"/>
  <c r="B6537" i="111"/>
  <c r="B6845" i="111"/>
  <c r="B6813" i="111"/>
  <c r="B6751" i="111"/>
  <c r="B6782" i="111"/>
  <c r="B6677" i="111"/>
  <c r="B6708" i="111"/>
  <c r="B6645" i="111"/>
  <c r="B6581" i="111"/>
  <c r="B6613" i="111"/>
  <c r="B6504" i="111"/>
  <c r="B6536" i="111"/>
  <c r="B6844" i="111"/>
  <c r="B6812" i="111"/>
  <c r="B6750" i="111"/>
  <c r="B6781" i="111"/>
  <c r="B6676" i="111"/>
  <c r="B6707" i="111"/>
  <c r="B6644" i="111"/>
  <c r="B6580" i="111"/>
  <c r="B6612" i="111"/>
  <c r="B6503" i="111"/>
  <c r="B6535" i="111"/>
  <c r="B6843" i="111"/>
  <c r="B6811" i="111"/>
  <c r="B6749" i="111"/>
  <c r="B6780" i="111"/>
  <c r="B6675" i="111"/>
  <c r="B6706" i="111"/>
  <c r="B6643" i="111"/>
  <c r="B6579" i="111"/>
  <c r="B6611" i="111"/>
  <c r="B6502" i="111"/>
  <c r="B6534" i="111"/>
  <c r="B6842" i="111"/>
  <c r="B6810" i="111"/>
  <c r="B6748" i="111"/>
  <c r="B6779" i="111"/>
  <c r="B6674" i="111"/>
  <c r="B6705" i="111"/>
  <c r="B6642" i="111"/>
  <c r="B6578" i="111"/>
  <c r="B6610" i="111"/>
  <c r="B6501" i="111"/>
  <c r="B6533" i="111"/>
  <c r="B6841" i="111"/>
  <c r="B6809" i="111"/>
  <c r="B6747" i="111"/>
  <c r="B6778" i="111"/>
  <c r="B6673" i="111"/>
  <c r="B6704" i="111"/>
  <c r="B6641" i="111"/>
  <c r="B6577" i="111"/>
  <c r="B6609" i="111"/>
  <c r="B6500" i="111"/>
  <c r="B6532" i="111"/>
  <c r="B6840" i="111"/>
  <c r="B6808" i="111"/>
  <c r="B6746" i="111"/>
  <c r="B6777" i="111"/>
  <c r="B6672" i="111"/>
  <c r="B6703" i="111"/>
  <c r="B6640" i="111"/>
  <c r="B6576" i="111"/>
  <c r="B6608" i="111"/>
  <c r="B6499" i="111"/>
  <c r="B6531" i="111"/>
  <c r="B6400" i="111"/>
  <c r="B6368" i="111"/>
  <c r="B6304" i="111"/>
  <c r="B6336" i="111"/>
  <c r="B6227" i="111"/>
  <c r="B6291" i="111"/>
  <c r="B6259" i="111"/>
  <c r="B6195" i="111"/>
  <c r="B6131" i="111"/>
  <c r="B6163" i="111"/>
  <c r="B6054" i="111"/>
  <c r="B6118" i="111"/>
  <c r="B6086" i="111"/>
  <c r="B6399" i="111"/>
  <c r="B6367" i="111"/>
  <c r="B6303" i="111"/>
  <c r="B6335" i="111"/>
  <c r="B6226" i="111"/>
  <c r="B6290" i="111"/>
  <c r="B6258" i="111"/>
  <c r="B6194" i="111"/>
  <c r="B6130" i="111"/>
  <c r="B6162" i="111"/>
  <c r="B6053" i="111"/>
  <c r="B6117" i="111"/>
  <c r="B6085" i="111"/>
  <c r="B6398" i="111"/>
  <c r="B6366" i="111"/>
  <c r="B6302" i="111"/>
  <c r="B6334" i="111"/>
  <c r="B6225" i="111"/>
  <c r="B6289" i="111"/>
  <c r="B6257" i="111"/>
  <c r="B6193" i="111"/>
  <c r="B6129" i="111"/>
  <c r="B6161" i="111"/>
  <c r="B6052" i="111"/>
  <c r="B6116" i="111"/>
  <c r="B6084" i="111"/>
  <c r="B6397" i="111"/>
  <c r="B6365" i="111"/>
  <c r="B6301" i="111"/>
  <c r="B6333" i="111"/>
  <c r="B6224" i="111"/>
  <c r="B6288" i="111"/>
  <c r="B6256" i="111"/>
  <c r="B6192" i="111"/>
  <c r="B6128" i="111"/>
  <c r="B6160" i="111"/>
  <c r="B6051" i="111"/>
  <c r="B6115" i="111"/>
  <c r="B6083" i="111"/>
  <c r="B6396" i="111"/>
  <c r="B6364" i="111"/>
  <c r="B6300" i="111"/>
  <c r="B6332" i="111"/>
  <c r="B6223" i="111"/>
  <c r="B6287" i="111"/>
  <c r="B6255" i="111"/>
  <c r="B6191" i="111"/>
  <c r="B6127" i="111"/>
  <c r="B6159" i="111"/>
  <c r="B6050" i="111"/>
  <c r="B6114" i="111"/>
  <c r="B6082" i="111"/>
  <c r="B6395" i="111"/>
  <c r="B6363" i="111"/>
  <c r="B6299" i="111"/>
  <c r="B6331" i="111"/>
  <c r="B6222" i="111"/>
  <c r="B6286" i="111"/>
  <c r="B6254" i="111"/>
  <c r="B6190" i="111"/>
  <c r="B6126" i="111"/>
  <c r="B6158" i="111"/>
  <c r="B6049" i="111"/>
  <c r="B6113" i="111"/>
  <c r="B6081" i="111"/>
  <c r="B6394" i="111"/>
  <c r="B6362" i="111"/>
  <c r="B6298" i="111"/>
  <c r="B6330" i="111"/>
  <c r="B6221" i="111"/>
  <c r="B6285" i="111"/>
  <c r="B6253" i="111"/>
  <c r="B6189" i="111"/>
  <c r="B6125" i="111"/>
  <c r="B6157" i="111"/>
  <c r="B6048" i="111"/>
  <c r="B6112" i="111"/>
  <c r="B6080" i="111"/>
  <c r="B6393" i="111"/>
  <c r="B6361" i="111"/>
  <c r="B6297" i="111"/>
  <c r="B6329" i="111"/>
  <c r="B6220" i="111"/>
  <c r="B6284" i="111"/>
  <c r="B6252" i="111"/>
  <c r="B6188" i="111"/>
  <c r="B6124" i="111"/>
  <c r="B6156" i="111"/>
  <c r="B6047" i="111"/>
  <c r="B6111" i="111"/>
  <c r="B6079" i="111"/>
  <c r="B6392" i="111"/>
  <c r="B6360" i="111"/>
  <c r="B6296" i="111"/>
  <c r="B6328" i="111"/>
  <c r="B6219" i="111"/>
  <c r="B6283" i="111"/>
  <c r="B6251" i="111"/>
  <c r="B6187" i="111"/>
  <c r="B6123" i="111"/>
  <c r="B6155" i="111"/>
  <c r="B6046" i="111"/>
  <c r="B6110" i="111"/>
  <c r="B6078" i="111"/>
  <c r="B6391" i="111"/>
  <c r="B6359" i="111"/>
  <c r="B6295" i="111"/>
  <c r="B6327" i="111"/>
  <c r="B6218" i="111"/>
  <c r="B6282" i="111"/>
  <c r="B6250" i="111"/>
  <c r="B6186" i="111"/>
  <c r="B6122" i="111"/>
  <c r="B6154" i="111"/>
  <c r="B6045" i="111"/>
  <c r="B6109" i="111"/>
  <c r="B6077" i="111"/>
  <c r="B6390" i="111"/>
  <c r="B6358" i="111"/>
  <c r="B6294" i="111"/>
  <c r="B6326" i="111"/>
  <c r="B6217" i="111"/>
  <c r="B6281" i="111"/>
  <c r="B6249" i="111"/>
  <c r="B6185" i="111"/>
  <c r="B6121" i="111"/>
  <c r="B6153" i="111"/>
  <c r="B6044" i="111"/>
  <c r="B6108" i="111"/>
  <c r="B6076" i="111"/>
  <c r="B6389" i="111"/>
  <c r="B6357" i="111"/>
  <c r="B6293" i="111"/>
  <c r="B6325" i="111"/>
  <c r="B6216" i="111"/>
  <c r="B6280" i="111"/>
  <c r="B6248" i="111"/>
  <c r="B6184" i="111"/>
  <c r="B6120" i="111"/>
  <c r="B6152" i="111"/>
  <c r="B6043" i="111"/>
  <c r="B6107" i="111"/>
  <c r="B6075" i="111"/>
  <c r="B6388" i="111"/>
  <c r="B6356" i="111"/>
  <c r="B6292" i="111"/>
  <c r="B6324" i="111"/>
  <c r="B6215" i="111"/>
  <c r="B6279" i="111"/>
  <c r="B6247" i="111"/>
  <c r="B6183" i="111"/>
  <c r="B6119" i="111"/>
  <c r="B6151" i="111"/>
  <c r="B6042" i="111"/>
  <c r="B6106" i="111"/>
  <c r="N11" i="67"/>
  <c r="B6074" i="111"/>
  <c r="B6419" i="111"/>
  <c r="B6387" i="111"/>
  <c r="B6323" i="111"/>
  <c r="B6355" i="111"/>
  <c r="B6246" i="111"/>
  <c r="B6278" i="111"/>
  <c r="B6214" i="111"/>
  <c r="B6150" i="111"/>
  <c r="B6182" i="111"/>
  <c r="B6073" i="111"/>
  <c r="B6105" i="111"/>
  <c r="B6418" i="111"/>
  <c r="B6386" i="111"/>
  <c r="B6322" i="111"/>
  <c r="B6354" i="111"/>
  <c r="B6245" i="111"/>
  <c r="B6277" i="111"/>
  <c r="B6213" i="111"/>
  <c r="B6149" i="111"/>
  <c r="B6181" i="111"/>
  <c r="B6072" i="111"/>
  <c r="B6104" i="111"/>
  <c r="B6417" i="111"/>
  <c r="B6385" i="111"/>
  <c r="B6321" i="111"/>
  <c r="B6353" i="111"/>
  <c r="B6244" i="111"/>
  <c r="B6276" i="111"/>
  <c r="B6212" i="111"/>
  <c r="B6148" i="111"/>
  <c r="B6180" i="111"/>
  <c r="B6071" i="111"/>
  <c r="B6103" i="111"/>
  <c r="B6416" i="111"/>
  <c r="B6384" i="111"/>
  <c r="B6320" i="111"/>
  <c r="B6352" i="111"/>
  <c r="B6243" i="111"/>
  <c r="B6275" i="111"/>
  <c r="B6211" i="111"/>
  <c r="B6147" i="111"/>
  <c r="B6179" i="111"/>
  <c r="B6070" i="111"/>
  <c r="B6102" i="111"/>
  <c r="B6415" i="111"/>
  <c r="B6383" i="111"/>
  <c r="B6319" i="111"/>
  <c r="B6351" i="111"/>
  <c r="B6242" i="111"/>
  <c r="B6274" i="111"/>
  <c r="B6210" i="111"/>
  <c r="B6146" i="111"/>
  <c r="B6178" i="111"/>
  <c r="B6069" i="111"/>
  <c r="B6101" i="111"/>
  <c r="B6414" i="111"/>
  <c r="B6382" i="111"/>
  <c r="B6318" i="111"/>
  <c r="B6350" i="111"/>
  <c r="B6241" i="111"/>
  <c r="B6273" i="111"/>
  <c r="B6209" i="111"/>
  <c r="B6145" i="111"/>
  <c r="B6177" i="111"/>
  <c r="B6068" i="111"/>
  <c r="B6100" i="111"/>
  <c r="B6413" i="111"/>
  <c r="B6381" i="111"/>
  <c r="B6317" i="111"/>
  <c r="B6349" i="111"/>
  <c r="B6240" i="111"/>
  <c r="B6272" i="111"/>
  <c r="B6208" i="111"/>
  <c r="B6144" i="111"/>
  <c r="B6176" i="111"/>
  <c r="B6067" i="111"/>
  <c r="B6099" i="111"/>
  <c r="B6441" i="111"/>
  <c r="B6440" i="111"/>
  <c r="B6438" i="111"/>
  <c r="B6439" i="111"/>
  <c r="B6436" i="111"/>
  <c r="B6437" i="111"/>
  <c r="B6435" i="111"/>
  <c r="B6433" i="111"/>
  <c r="B6434" i="111"/>
  <c r="B6431" i="111"/>
  <c r="B6432" i="111"/>
  <c r="B6430" i="111"/>
  <c r="B6429" i="111"/>
  <c r="B6427" i="111"/>
  <c r="B6428" i="111"/>
  <c r="B6425" i="111"/>
  <c r="B6426" i="111"/>
  <c r="B6424" i="111"/>
  <c r="B6422" i="111"/>
  <c r="B6423" i="111"/>
  <c r="B6420" i="111"/>
  <c r="B6421" i="111"/>
  <c r="B6452" i="111"/>
  <c r="B6451" i="111"/>
  <c r="B6449" i="111"/>
  <c r="B6450" i="111"/>
  <c r="B6447" i="111"/>
  <c r="B6448" i="111"/>
  <c r="B6446" i="111"/>
  <c r="B6444" i="111"/>
  <c r="B6445" i="111"/>
  <c r="B6442" i="111"/>
  <c r="B6443" i="111"/>
  <c r="B6041" i="111"/>
  <c r="B6040" i="111"/>
  <c r="B6038" i="111"/>
  <c r="B6039" i="111"/>
  <c r="B6036" i="111"/>
  <c r="B6037" i="111"/>
  <c r="B6035" i="111"/>
  <c r="B6033" i="111"/>
  <c r="B6034" i="111"/>
  <c r="B6031" i="111"/>
  <c r="B6032" i="111"/>
  <c r="B6008" i="111"/>
  <c r="B6007" i="111"/>
  <c r="B6005" i="111"/>
  <c r="B6006" i="111"/>
  <c r="B6003" i="111"/>
  <c r="B6004" i="111"/>
  <c r="B6002" i="111"/>
  <c r="B6000" i="111"/>
  <c r="B6001" i="111"/>
  <c r="B5998" i="111"/>
  <c r="B5999" i="111"/>
  <c r="B6019" i="111"/>
  <c r="B6018" i="111"/>
  <c r="B6016" i="111"/>
  <c r="B6017" i="111"/>
  <c r="B6014" i="111"/>
  <c r="B6015" i="111"/>
  <c r="B6013" i="111"/>
  <c r="B6011" i="111"/>
  <c r="B6012" i="111"/>
  <c r="B6009" i="111"/>
  <c r="B6010" i="111"/>
  <c r="B6030" i="111"/>
  <c r="B6029" i="111"/>
  <c r="B6027" i="111"/>
  <c r="B6028" i="111"/>
  <c r="B6025" i="111"/>
  <c r="B6026" i="111"/>
  <c r="B6024" i="111"/>
  <c r="B6022" i="111"/>
  <c r="B6023" i="111"/>
  <c r="B6020" i="111"/>
  <c r="B6021" i="111"/>
  <c r="B6412" i="111"/>
  <c r="B6380" i="111"/>
  <c r="B6316" i="111"/>
  <c r="B6348" i="111"/>
  <c r="B6239" i="111"/>
  <c r="B6271" i="111"/>
  <c r="B6207" i="111"/>
  <c r="B6143" i="111"/>
  <c r="B6175" i="111"/>
  <c r="B6066" i="111"/>
  <c r="B6098" i="111"/>
  <c r="B6411" i="111"/>
  <c r="B6379" i="111"/>
  <c r="B6315" i="111"/>
  <c r="B6347" i="111"/>
  <c r="B6238" i="111"/>
  <c r="B6270" i="111"/>
  <c r="B6206" i="111"/>
  <c r="B6142" i="111"/>
  <c r="B6174" i="111"/>
  <c r="B6065" i="111"/>
  <c r="B6097" i="111"/>
  <c r="B6410" i="111"/>
  <c r="B6378" i="111"/>
  <c r="B6314" i="111"/>
  <c r="B6346" i="111"/>
  <c r="B6237" i="111"/>
  <c r="B6269" i="111"/>
  <c r="B6205" i="111"/>
  <c r="B6141" i="111"/>
  <c r="B6173" i="111"/>
  <c r="B6064" i="111"/>
  <c r="B6096" i="111"/>
  <c r="B6409" i="111"/>
  <c r="B6377" i="111"/>
  <c r="B6313" i="111"/>
  <c r="B6345" i="111"/>
  <c r="B6236" i="111"/>
  <c r="B6268" i="111"/>
  <c r="B6204" i="111"/>
  <c r="B6140" i="111"/>
  <c r="B6172" i="111"/>
  <c r="B6063" i="111"/>
  <c r="B6095" i="111"/>
  <c r="B6408" i="111"/>
  <c r="B6376" i="111"/>
  <c r="B6312" i="111"/>
  <c r="B6344" i="111"/>
  <c r="B6235" i="111"/>
  <c r="B6267" i="111"/>
  <c r="B6203" i="111"/>
  <c r="B6139" i="111"/>
  <c r="B6171" i="111"/>
  <c r="B6062" i="111"/>
  <c r="B6094" i="111"/>
  <c r="B6407" i="111"/>
  <c r="B6375" i="111"/>
  <c r="B6311" i="111"/>
  <c r="B6343" i="111"/>
  <c r="B6234" i="111"/>
  <c r="B6266" i="111"/>
  <c r="B6202" i="111"/>
  <c r="B6138" i="111"/>
  <c r="B6170" i="111"/>
  <c r="B6061" i="111"/>
  <c r="B6093" i="111"/>
  <c r="B6406" i="111"/>
  <c r="B6374" i="111"/>
  <c r="B6310" i="111"/>
  <c r="B6342" i="111"/>
  <c r="B6233" i="111"/>
  <c r="B6265" i="111"/>
  <c r="B6201" i="111"/>
  <c r="B6137" i="111"/>
  <c r="B6169" i="111"/>
  <c r="B6060" i="111"/>
  <c r="B6092" i="111"/>
  <c r="B6405" i="111"/>
  <c r="B6373" i="111"/>
  <c r="B6309" i="111"/>
  <c r="B6341" i="111"/>
  <c r="B6232" i="111"/>
  <c r="B6264" i="111"/>
  <c r="B6200" i="111"/>
  <c r="B6136" i="111"/>
  <c r="B6168" i="111"/>
  <c r="B6059" i="111"/>
  <c r="B6091" i="111"/>
  <c r="B6404" i="111"/>
  <c r="B6372" i="111"/>
  <c r="B6308" i="111"/>
  <c r="B6340" i="111"/>
  <c r="B6231" i="111"/>
  <c r="B6263" i="111"/>
  <c r="B6199" i="111"/>
  <c r="B6135" i="111"/>
  <c r="B6167" i="111"/>
  <c r="B6058" i="111"/>
  <c r="B6090" i="111"/>
  <c r="B6403" i="111"/>
  <c r="B6371" i="111"/>
  <c r="B6307" i="111"/>
  <c r="B6339" i="111"/>
  <c r="B6230" i="111"/>
  <c r="B6262" i="111"/>
  <c r="B6198" i="111"/>
  <c r="B6134" i="111"/>
  <c r="B6166" i="111"/>
  <c r="B6057" i="111"/>
  <c r="B6089" i="111"/>
  <c r="B6402" i="111"/>
  <c r="B6370" i="111"/>
  <c r="B6306" i="111"/>
  <c r="B6338" i="111"/>
  <c r="B6229" i="111"/>
  <c r="B6261" i="111"/>
  <c r="B6197" i="111"/>
  <c r="B6133" i="111"/>
  <c r="B6165" i="111"/>
  <c r="B6056" i="111"/>
  <c r="B6088" i="111"/>
  <c r="B6401" i="111"/>
  <c r="B6369" i="111"/>
  <c r="B6305" i="111"/>
  <c r="B6337" i="111"/>
  <c r="B6228" i="111"/>
  <c r="B6260" i="111"/>
  <c r="B6196" i="111"/>
  <c r="B6132" i="111"/>
  <c r="B6164" i="111"/>
  <c r="B6055" i="111"/>
  <c r="B6087" i="111"/>
  <c r="B5946" i="111"/>
  <c r="B5915" i="111"/>
  <c r="B5853" i="111"/>
  <c r="B5884" i="111"/>
  <c r="B5778" i="111"/>
  <c r="B5840" i="111"/>
  <c r="B5809" i="111"/>
  <c r="B5747" i="111"/>
  <c r="B5685" i="111"/>
  <c r="B5716" i="111"/>
  <c r="B5610" i="111"/>
  <c r="B5672" i="111"/>
  <c r="B5641" i="111"/>
  <c r="B5945" i="111"/>
  <c r="B5914" i="111"/>
  <c r="B5852" i="111"/>
  <c r="B5883" i="111"/>
  <c r="B5777" i="111"/>
  <c r="B5839" i="111"/>
  <c r="B5808" i="111"/>
  <c r="B5746" i="111"/>
  <c r="B5684" i="111"/>
  <c r="B5715" i="111"/>
  <c r="B5609" i="111"/>
  <c r="B5671" i="111"/>
  <c r="B5640" i="111"/>
  <c r="B5944" i="111"/>
  <c r="B5913" i="111"/>
  <c r="B5851" i="111"/>
  <c r="B5882" i="111"/>
  <c r="B5776" i="111"/>
  <c r="B5838" i="111"/>
  <c r="B5807" i="111"/>
  <c r="B5745" i="111"/>
  <c r="B5683" i="111"/>
  <c r="B5714" i="111"/>
  <c r="B5608" i="111"/>
  <c r="B5670" i="111"/>
  <c r="B5639" i="111"/>
  <c r="B5943" i="111"/>
  <c r="B5912" i="111"/>
  <c r="B5850" i="111"/>
  <c r="B5881" i="111"/>
  <c r="B5775" i="111"/>
  <c r="B5837" i="111"/>
  <c r="B5806" i="111"/>
  <c r="B5744" i="111"/>
  <c r="B5682" i="111"/>
  <c r="B5713" i="111"/>
  <c r="B5607" i="111"/>
  <c r="B5669" i="111"/>
  <c r="B5638" i="111"/>
  <c r="B5942" i="111"/>
  <c r="B5911" i="111"/>
  <c r="B5849" i="111"/>
  <c r="B5880" i="111"/>
  <c r="B5774" i="111"/>
  <c r="B5836" i="111"/>
  <c r="B5805" i="111"/>
  <c r="B5743" i="111"/>
  <c r="B5681" i="111"/>
  <c r="B5712" i="111"/>
  <c r="B5606" i="111"/>
  <c r="B5668" i="111"/>
  <c r="B5637" i="111"/>
  <c r="B5941" i="111"/>
  <c r="B5910" i="111"/>
  <c r="B5848" i="111"/>
  <c r="B5879" i="111"/>
  <c r="B5773" i="111"/>
  <c r="B5835" i="111"/>
  <c r="B5804" i="111"/>
  <c r="B5742" i="111"/>
  <c r="B5680" i="111"/>
  <c r="B5711" i="111"/>
  <c r="B5605" i="111"/>
  <c r="B5667" i="111"/>
  <c r="B5636" i="111"/>
  <c r="B5940" i="111"/>
  <c r="B5909" i="111"/>
  <c r="B5847" i="111"/>
  <c r="B5878" i="111"/>
  <c r="B5772" i="111"/>
  <c r="B5834" i="111"/>
  <c r="B5803" i="111"/>
  <c r="B5741" i="111"/>
  <c r="B5679" i="111"/>
  <c r="B5710" i="111"/>
  <c r="B5604" i="111"/>
  <c r="B5666" i="111"/>
  <c r="B5635" i="111"/>
  <c r="B5939" i="111"/>
  <c r="B5908" i="111"/>
  <c r="B5846" i="111"/>
  <c r="B5877" i="111"/>
  <c r="B5771" i="111"/>
  <c r="B5833" i="111"/>
  <c r="B5802" i="111"/>
  <c r="B5740" i="111"/>
  <c r="B5678" i="111"/>
  <c r="B5709" i="111"/>
  <c r="B5603" i="111"/>
  <c r="B5665" i="111"/>
  <c r="B5634" i="111"/>
  <c r="B5938" i="111"/>
  <c r="B5907" i="111"/>
  <c r="B5845" i="111"/>
  <c r="B5876" i="111"/>
  <c r="B5770" i="111"/>
  <c r="B5832" i="111"/>
  <c r="B5801" i="111"/>
  <c r="B5739" i="111"/>
  <c r="B5677" i="111"/>
  <c r="B5708" i="111"/>
  <c r="B5602" i="111"/>
  <c r="B5664" i="111"/>
  <c r="B5633" i="111"/>
  <c r="B5937" i="111"/>
  <c r="B5906" i="111"/>
  <c r="B5844" i="111"/>
  <c r="B5875" i="111"/>
  <c r="B5769" i="111"/>
  <c r="B5831" i="111"/>
  <c r="B5800" i="111"/>
  <c r="B5738" i="111"/>
  <c r="B5676" i="111"/>
  <c r="B5707" i="111"/>
  <c r="B5601" i="111"/>
  <c r="B5663" i="111"/>
  <c r="B5632" i="111"/>
  <c r="B5936" i="111"/>
  <c r="B5905" i="111"/>
  <c r="B5843" i="111"/>
  <c r="B5874" i="111"/>
  <c r="B5768" i="111"/>
  <c r="B5830" i="111"/>
  <c r="B5799" i="111"/>
  <c r="B5737" i="111"/>
  <c r="B5675" i="111"/>
  <c r="B5706" i="111"/>
  <c r="B5600" i="111"/>
  <c r="B5662" i="111"/>
  <c r="B5631" i="111"/>
  <c r="B5935" i="111"/>
  <c r="B5904" i="111"/>
  <c r="B5842" i="111"/>
  <c r="B5873" i="111"/>
  <c r="B5767" i="111"/>
  <c r="B5829" i="111"/>
  <c r="B5798" i="111"/>
  <c r="B5736" i="111"/>
  <c r="B5674" i="111"/>
  <c r="B5705" i="111"/>
  <c r="B5599" i="111"/>
  <c r="B5661" i="111"/>
  <c r="B5630" i="111"/>
  <c r="B5934" i="111"/>
  <c r="B5903" i="111"/>
  <c r="B5841" i="111"/>
  <c r="B5872" i="111"/>
  <c r="B5766" i="111"/>
  <c r="B5828" i="111"/>
  <c r="B5797" i="111"/>
  <c r="B5735" i="111"/>
  <c r="B5673" i="111"/>
  <c r="B5704" i="111"/>
  <c r="B5598" i="111"/>
  <c r="B5660" i="111"/>
  <c r="B5629" i="111"/>
  <c r="B5964" i="111"/>
  <c r="B5933" i="111"/>
  <c r="B5871" i="111"/>
  <c r="B5902" i="111"/>
  <c r="B5796" i="111"/>
  <c r="B5827" i="111"/>
  <c r="B5765" i="111"/>
  <c r="B5703" i="111"/>
  <c r="B5734" i="111"/>
  <c r="B5628" i="111"/>
  <c r="B5659" i="111"/>
  <c r="B5963" i="111"/>
  <c r="B5932" i="111"/>
  <c r="B5870" i="111"/>
  <c r="B5901" i="111"/>
  <c r="B5795" i="111"/>
  <c r="B5826" i="111"/>
  <c r="B5764" i="111"/>
  <c r="B5702" i="111"/>
  <c r="B5733" i="111"/>
  <c r="B5627" i="111"/>
  <c r="B5658" i="111"/>
  <c r="B5962" i="111"/>
  <c r="B5931" i="111"/>
  <c r="B5869" i="111"/>
  <c r="B5900" i="111"/>
  <c r="B5794" i="111"/>
  <c r="B5825" i="111"/>
  <c r="B5763" i="111"/>
  <c r="B5701" i="111"/>
  <c r="B5732" i="111"/>
  <c r="B5626" i="111"/>
  <c r="B5657" i="111"/>
  <c r="B5961" i="111"/>
  <c r="B5930" i="111"/>
  <c r="B5868" i="111"/>
  <c r="B5899" i="111"/>
  <c r="B5793" i="111"/>
  <c r="B5824" i="111"/>
  <c r="B5762" i="111"/>
  <c r="B5700" i="111"/>
  <c r="B5731" i="111"/>
  <c r="B5625" i="111"/>
  <c r="B5656" i="111"/>
  <c r="B5960" i="111"/>
  <c r="B5929" i="111"/>
  <c r="B5867" i="111"/>
  <c r="B5898" i="111"/>
  <c r="B5792" i="111"/>
  <c r="B5823" i="111"/>
  <c r="B5761" i="111"/>
  <c r="B5699" i="111"/>
  <c r="B5730" i="111"/>
  <c r="B5624" i="111"/>
  <c r="B5655" i="111"/>
  <c r="B5959" i="111"/>
  <c r="B5928" i="111"/>
  <c r="B5866" i="111"/>
  <c r="B5897" i="111"/>
  <c r="B5791" i="111"/>
  <c r="B5822" i="111"/>
  <c r="B5760" i="111"/>
  <c r="B5698" i="111"/>
  <c r="B5729" i="111"/>
  <c r="B5623" i="111"/>
  <c r="B5654" i="111"/>
  <c r="B5958" i="111"/>
  <c r="B5927" i="111"/>
  <c r="B5865" i="111"/>
  <c r="B5896" i="111"/>
  <c r="B5790" i="111"/>
  <c r="B5821" i="111"/>
  <c r="B5759" i="111"/>
  <c r="B5697" i="111"/>
  <c r="B5728" i="111"/>
  <c r="B5622" i="111"/>
  <c r="B5653" i="111"/>
  <c r="B5986" i="111"/>
  <c r="B5985" i="111"/>
  <c r="B5983" i="111"/>
  <c r="B5984" i="111"/>
  <c r="B5981" i="111"/>
  <c r="B5982" i="111"/>
  <c r="B5980" i="111"/>
  <c r="B5978" i="111"/>
  <c r="B5979" i="111"/>
  <c r="B5976" i="111"/>
  <c r="B5977" i="111"/>
  <c r="B5975" i="111"/>
  <c r="B5974" i="111"/>
  <c r="B5972" i="111"/>
  <c r="B5973" i="111"/>
  <c r="B5970" i="111"/>
  <c r="B5971" i="111"/>
  <c r="B5969" i="111"/>
  <c r="B5967" i="111"/>
  <c r="B5968" i="111"/>
  <c r="B5965" i="111"/>
  <c r="B5966" i="111"/>
  <c r="B5997" i="111"/>
  <c r="B5996" i="111"/>
  <c r="B5994" i="111"/>
  <c r="B5995" i="111"/>
  <c r="B5992" i="111"/>
  <c r="B5993" i="111"/>
  <c r="B5991" i="111"/>
  <c r="B5989" i="111"/>
  <c r="B5990" i="111"/>
  <c r="B5987" i="111"/>
  <c r="B5988" i="111"/>
  <c r="B5597" i="111"/>
  <c r="B5596" i="111"/>
  <c r="B5594" i="111"/>
  <c r="B5595" i="111"/>
  <c r="B5592" i="111"/>
  <c r="B5593" i="111"/>
  <c r="B5591" i="111"/>
  <c r="B5589" i="111"/>
  <c r="B5590" i="111"/>
  <c r="B5587" i="111"/>
  <c r="B5588" i="111"/>
  <c r="B5564" i="111"/>
  <c r="B5563" i="111"/>
  <c r="B5561" i="111"/>
  <c r="B5562" i="111"/>
  <c r="B5559" i="111"/>
  <c r="B5560" i="111"/>
  <c r="B5558" i="111"/>
  <c r="B5556" i="111"/>
  <c r="B5557" i="111"/>
  <c r="B5554" i="111"/>
  <c r="B5555" i="111"/>
  <c r="B5575" i="111"/>
  <c r="B5574" i="111"/>
  <c r="B5572" i="111"/>
  <c r="B5573" i="111"/>
  <c r="B5570" i="111"/>
  <c r="B5571" i="111"/>
  <c r="B5569" i="111"/>
  <c r="B5567" i="111"/>
  <c r="B5568" i="111"/>
  <c r="B5565" i="111"/>
  <c r="B5566" i="111"/>
  <c r="B5586" i="111"/>
  <c r="B5585" i="111"/>
  <c r="B5583" i="111"/>
  <c r="B5584" i="111"/>
  <c r="B5581" i="111"/>
  <c r="B5582" i="111"/>
  <c r="B5580" i="111"/>
  <c r="B5578" i="111"/>
  <c r="B5579" i="111"/>
  <c r="B5576" i="111"/>
  <c r="B5577" i="111"/>
  <c r="B5957" i="111"/>
  <c r="B5926" i="111"/>
  <c r="B5864" i="111"/>
  <c r="B5895" i="111"/>
  <c r="B5789" i="111"/>
  <c r="B5820" i="111"/>
  <c r="B5758" i="111"/>
  <c r="B5696" i="111"/>
  <c r="B5727" i="111"/>
  <c r="B5621" i="111"/>
  <c r="B5652" i="111"/>
  <c r="B5956" i="111"/>
  <c r="B5925" i="111"/>
  <c r="B5863" i="111"/>
  <c r="B5894" i="111"/>
  <c r="B5788" i="111"/>
  <c r="B5819" i="111"/>
  <c r="B5757" i="111"/>
  <c r="B5695" i="111"/>
  <c r="B5726" i="111"/>
  <c r="B5620" i="111"/>
  <c r="B5651" i="111"/>
  <c r="B5955" i="111"/>
  <c r="B5924" i="111"/>
  <c r="B5862" i="111"/>
  <c r="B5893" i="111"/>
  <c r="B5787" i="111"/>
  <c r="B5818" i="111"/>
  <c r="B5756" i="111"/>
  <c r="B5694" i="111"/>
  <c r="B5725" i="111"/>
  <c r="B5619" i="111"/>
  <c r="B5650" i="111"/>
  <c r="B5954" i="111"/>
  <c r="B5923" i="111"/>
  <c r="B5861" i="111"/>
  <c r="B5892" i="111"/>
  <c r="B5786" i="111"/>
  <c r="B5817" i="111"/>
  <c r="B5755" i="111"/>
  <c r="B5693" i="111"/>
  <c r="B5724" i="111"/>
  <c r="B5618" i="111"/>
  <c r="B5649" i="111"/>
  <c r="B5953" i="111"/>
  <c r="B5922" i="111"/>
  <c r="B5860" i="111"/>
  <c r="B5891" i="111"/>
  <c r="B5785" i="111"/>
  <c r="B5816" i="111"/>
  <c r="B5754" i="111"/>
  <c r="B5692" i="111"/>
  <c r="B5723" i="111"/>
  <c r="B5617" i="111"/>
  <c r="B5648" i="111"/>
  <c r="B5952" i="111"/>
  <c r="B5921" i="111"/>
  <c r="B5859" i="111"/>
  <c r="B5890" i="111"/>
  <c r="B5784" i="111"/>
  <c r="B5815" i="111"/>
  <c r="B5753" i="111"/>
  <c r="B5691" i="111"/>
  <c r="B5722" i="111"/>
  <c r="B5616" i="111"/>
  <c r="B5647" i="111"/>
  <c r="B5951" i="111"/>
  <c r="B5920" i="111"/>
  <c r="B5858" i="111"/>
  <c r="B5889" i="111"/>
  <c r="B5783" i="111"/>
  <c r="B5814" i="111"/>
  <c r="B5752" i="111"/>
  <c r="B5690" i="111"/>
  <c r="B5721" i="111"/>
  <c r="B5615" i="111"/>
  <c r="B5646" i="111"/>
  <c r="B5950" i="111"/>
  <c r="B5919" i="111"/>
  <c r="B5857" i="111"/>
  <c r="B5888" i="111"/>
  <c r="B5782" i="111"/>
  <c r="B5813" i="111"/>
  <c r="B5751" i="111"/>
  <c r="B5689" i="111"/>
  <c r="B5720" i="111"/>
  <c r="B5614" i="111"/>
  <c r="B5645" i="111"/>
  <c r="B5949" i="111"/>
  <c r="B5918" i="111"/>
  <c r="B5856" i="111"/>
  <c r="B5887" i="111"/>
  <c r="B5781" i="111"/>
  <c r="B5812" i="111"/>
  <c r="B5750" i="111"/>
  <c r="B5688" i="111"/>
  <c r="B5719" i="111"/>
  <c r="B5613" i="111"/>
  <c r="B5644" i="111"/>
  <c r="B5948" i="111"/>
  <c r="B5917" i="111"/>
  <c r="B5855" i="111"/>
  <c r="B5886" i="111"/>
  <c r="B5780" i="111"/>
  <c r="B5811" i="111"/>
  <c r="B5749" i="111"/>
  <c r="B5687" i="111"/>
  <c r="B5718" i="111"/>
  <c r="B5612" i="111"/>
  <c r="B5643" i="111"/>
  <c r="B5947" i="111"/>
  <c r="B5916" i="111"/>
  <c r="B5854" i="111"/>
  <c r="B5885" i="111"/>
  <c r="B5779" i="111"/>
  <c r="B5810" i="111"/>
  <c r="B5748" i="111"/>
  <c r="B5686" i="111"/>
  <c r="B5717" i="111"/>
  <c r="B5611" i="111"/>
  <c r="B5642" i="111"/>
  <c r="B5503" i="111"/>
  <c r="B5470" i="111"/>
  <c r="B5404" i="111"/>
  <c r="B5437" i="111"/>
  <c r="B5325" i="111"/>
  <c r="B5391" i="111"/>
  <c r="B5358" i="111"/>
  <c r="B5292" i="111"/>
  <c r="B5226" i="111"/>
  <c r="B5259" i="111"/>
  <c r="B5147" i="111"/>
  <c r="B5213" i="111"/>
  <c r="B5180" i="111"/>
  <c r="B5502" i="111"/>
  <c r="B5469" i="111"/>
  <c r="B5403" i="111"/>
  <c r="B5436" i="111"/>
  <c r="B5324" i="111"/>
  <c r="B5390" i="111"/>
  <c r="B5357" i="111"/>
  <c r="B5291" i="111"/>
  <c r="B5225" i="111"/>
  <c r="B5258" i="111"/>
  <c r="B5146" i="111"/>
  <c r="B5212" i="111"/>
  <c r="B5179" i="111"/>
  <c r="B5501" i="111"/>
  <c r="B5468" i="111"/>
  <c r="B5402" i="111"/>
  <c r="B5435" i="111"/>
  <c r="B5323" i="111"/>
  <c r="B5389" i="111"/>
  <c r="B5356" i="111"/>
  <c r="B5290" i="111"/>
  <c r="B5224" i="111"/>
  <c r="B5257" i="111"/>
  <c r="B5145" i="111"/>
  <c r="B5211" i="111"/>
  <c r="B5178" i="111"/>
  <c r="B5500" i="111"/>
  <c r="B5467" i="111"/>
  <c r="B5401" i="111"/>
  <c r="B5434" i="111"/>
  <c r="B5322" i="111"/>
  <c r="B5388" i="111"/>
  <c r="B5355" i="111"/>
  <c r="B5289" i="111"/>
  <c r="B5223" i="111"/>
  <c r="B5256" i="111"/>
  <c r="B5144" i="111"/>
  <c r="B5210" i="111"/>
  <c r="B5177" i="111"/>
  <c r="B5499" i="111"/>
  <c r="B5466" i="111"/>
  <c r="B5400" i="111"/>
  <c r="B5433" i="111"/>
  <c r="B5321" i="111"/>
  <c r="B5387" i="111"/>
  <c r="B5354" i="111"/>
  <c r="B5288" i="111"/>
  <c r="B5222" i="111"/>
  <c r="B5255" i="111"/>
  <c r="B5143" i="111"/>
  <c r="B5209" i="111"/>
  <c r="B5176" i="111"/>
  <c r="B5498" i="111"/>
  <c r="B5465" i="111"/>
  <c r="B5399" i="111"/>
  <c r="B5432" i="111"/>
  <c r="B5320" i="111"/>
  <c r="B5386" i="111"/>
  <c r="B5353" i="111"/>
  <c r="B5287" i="111"/>
  <c r="B5221" i="111"/>
  <c r="B5254" i="111"/>
  <c r="B5142" i="111"/>
  <c r="B5208" i="111"/>
  <c r="B5175" i="111"/>
  <c r="B5497" i="111"/>
  <c r="B5464" i="111"/>
  <c r="B5398" i="111"/>
  <c r="B5431" i="111"/>
  <c r="B5319" i="111"/>
  <c r="B5385" i="111"/>
  <c r="B5352" i="111"/>
  <c r="B5286" i="111"/>
  <c r="B5220" i="111"/>
  <c r="B5253" i="111"/>
  <c r="B5141" i="111"/>
  <c r="B5207" i="111"/>
  <c r="B5174" i="111"/>
  <c r="B5496" i="111"/>
  <c r="B5463" i="111"/>
  <c r="B5397" i="111"/>
  <c r="B5430" i="111"/>
  <c r="B5318" i="111"/>
  <c r="B5384" i="111"/>
  <c r="B5351" i="111"/>
  <c r="B5285" i="111"/>
  <c r="B5219" i="111"/>
  <c r="B5252" i="111"/>
  <c r="B5140" i="111"/>
  <c r="B5206" i="111"/>
  <c r="B5173" i="111"/>
  <c r="B5495" i="111"/>
  <c r="B5462" i="111"/>
  <c r="B5396" i="111"/>
  <c r="B5429" i="111"/>
  <c r="B5317" i="111"/>
  <c r="B5383" i="111"/>
  <c r="B5350" i="111"/>
  <c r="B5284" i="111"/>
  <c r="B5218" i="111"/>
  <c r="B5251" i="111"/>
  <c r="B5139" i="111"/>
  <c r="B5205" i="111"/>
  <c r="B5172" i="111"/>
  <c r="B5494" i="111"/>
  <c r="B5461" i="111"/>
  <c r="B5395" i="111"/>
  <c r="B5428" i="111"/>
  <c r="B5316" i="111"/>
  <c r="B5382" i="111"/>
  <c r="B5349" i="111"/>
  <c r="B5283" i="111"/>
  <c r="B5217" i="111"/>
  <c r="B5250" i="111"/>
  <c r="B5138" i="111"/>
  <c r="B5204" i="111"/>
  <c r="B5171" i="111"/>
  <c r="B5493" i="111"/>
  <c r="B5460" i="111"/>
  <c r="B5394" i="111"/>
  <c r="B5427" i="111"/>
  <c r="B5315" i="111"/>
  <c r="B5381" i="111"/>
  <c r="B5348" i="111"/>
  <c r="B5282" i="111"/>
  <c r="B5216" i="111"/>
  <c r="B5249" i="111"/>
  <c r="B5137" i="111"/>
  <c r="B5203" i="111"/>
  <c r="B5170" i="111"/>
  <c r="B5492" i="111"/>
  <c r="B5459" i="111"/>
  <c r="B5393" i="111"/>
  <c r="B5426" i="111"/>
  <c r="B5314" i="111"/>
  <c r="B5380" i="111"/>
  <c r="B5347" i="111"/>
  <c r="B5281" i="111"/>
  <c r="B5215" i="111"/>
  <c r="B5248" i="111"/>
  <c r="B5136" i="111"/>
  <c r="B5202" i="111"/>
  <c r="B5169" i="111"/>
  <c r="B5491" i="111"/>
  <c r="B5458" i="111"/>
  <c r="B5392" i="111"/>
  <c r="B5425" i="111"/>
  <c r="B5313" i="111"/>
  <c r="B5379" i="111"/>
  <c r="B5346" i="111"/>
  <c r="B5280" i="111"/>
  <c r="B5214" i="111"/>
  <c r="B5247" i="111"/>
  <c r="B5135" i="111"/>
  <c r="B5201" i="111"/>
  <c r="B5168" i="111"/>
  <c r="B5523" i="111"/>
  <c r="B5490" i="111"/>
  <c r="B5424" i="111"/>
  <c r="B5457" i="111"/>
  <c r="B5345" i="111"/>
  <c r="B5378" i="111"/>
  <c r="B5312" i="111"/>
  <c r="B5246" i="111"/>
  <c r="B5279" i="111"/>
  <c r="B5167" i="111"/>
  <c r="B5200" i="111"/>
  <c r="B5522" i="111"/>
  <c r="B5489" i="111"/>
  <c r="B5423" i="111"/>
  <c r="B5456" i="111"/>
  <c r="B5344" i="111"/>
  <c r="B5377" i="111"/>
  <c r="B5311" i="111"/>
  <c r="B5245" i="111"/>
  <c r="B5278" i="111"/>
  <c r="B5166" i="111"/>
  <c r="B5199" i="111"/>
  <c r="B5521" i="111"/>
  <c r="B5488" i="111"/>
  <c r="B5422" i="111"/>
  <c r="B5455" i="111"/>
  <c r="B5343" i="111"/>
  <c r="B5376" i="111"/>
  <c r="B5310" i="111"/>
  <c r="B5244" i="111"/>
  <c r="B5277" i="111"/>
  <c r="B5165" i="111"/>
  <c r="B5198" i="111"/>
  <c r="B5520" i="111"/>
  <c r="B5487" i="111"/>
  <c r="B5421" i="111"/>
  <c r="B5454" i="111"/>
  <c r="B5342" i="111"/>
  <c r="B5375" i="111"/>
  <c r="B5309" i="111"/>
  <c r="B5243" i="111"/>
  <c r="B5276" i="111"/>
  <c r="B5164" i="111"/>
  <c r="B5197" i="111"/>
  <c r="B5519" i="111"/>
  <c r="B5486" i="111"/>
  <c r="B5420" i="111"/>
  <c r="B5453" i="111"/>
  <c r="B5341" i="111"/>
  <c r="B5374" i="111"/>
  <c r="B5308" i="111"/>
  <c r="B5242" i="111"/>
  <c r="B5275" i="111"/>
  <c r="B5163" i="111"/>
  <c r="B5196" i="111"/>
  <c r="B5518" i="111"/>
  <c r="B5485" i="111"/>
  <c r="B5419" i="111"/>
  <c r="B5452" i="111"/>
  <c r="B5340" i="111"/>
  <c r="B5373" i="111"/>
  <c r="B5307" i="111"/>
  <c r="B5241" i="111"/>
  <c r="B5274" i="111"/>
  <c r="B5162" i="111"/>
  <c r="B5195" i="111"/>
  <c r="B5517" i="111"/>
  <c r="B5484" i="111"/>
  <c r="B5418" i="111"/>
  <c r="B5451" i="111"/>
  <c r="B5339" i="111"/>
  <c r="B5372" i="111"/>
  <c r="B5306" i="111"/>
  <c r="B5240" i="111"/>
  <c r="B5273" i="111"/>
  <c r="B5161" i="111"/>
  <c r="B5194" i="111"/>
  <c r="B5516" i="111"/>
  <c r="B5483" i="111"/>
  <c r="B5417" i="111"/>
  <c r="B5450" i="111"/>
  <c r="B5338" i="111"/>
  <c r="B5371" i="111"/>
  <c r="B5305" i="111"/>
  <c r="B5239" i="111"/>
  <c r="B5272" i="111"/>
  <c r="B5160" i="111"/>
  <c r="B5193" i="111"/>
  <c r="B5543" i="111"/>
  <c r="B5542" i="111"/>
  <c r="B5540" i="111"/>
  <c r="B5541" i="111"/>
  <c r="B5539" i="111"/>
  <c r="B5538" i="111"/>
  <c r="B5536" i="111"/>
  <c r="B5537" i="111"/>
  <c r="B5534" i="111"/>
  <c r="B5535" i="111"/>
  <c r="B5533" i="111"/>
  <c r="B5532" i="111"/>
  <c r="B5530" i="111"/>
  <c r="B5531" i="111"/>
  <c r="B5529" i="111"/>
  <c r="B5528" i="111"/>
  <c r="B5526" i="111"/>
  <c r="B5527" i="111"/>
  <c r="B5524" i="111"/>
  <c r="B5525" i="111"/>
  <c r="B5553" i="111"/>
  <c r="B5552" i="111"/>
  <c r="B5550" i="111"/>
  <c r="B5551" i="111"/>
  <c r="B5549" i="111"/>
  <c r="B5548" i="111"/>
  <c r="B5546" i="111"/>
  <c r="B5547" i="111"/>
  <c r="B5544" i="111"/>
  <c r="B5545" i="111"/>
  <c r="B5134" i="111"/>
  <c r="B5133" i="111"/>
  <c r="B5131" i="111"/>
  <c r="B5132" i="111"/>
  <c r="B5130" i="111"/>
  <c r="B5129" i="111"/>
  <c r="B5127" i="111"/>
  <c r="B5128" i="111"/>
  <c r="B5125" i="111"/>
  <c r="B5126" i="111"/>
  <c r="B5103" i="111"/>
  <c r="B5102" i="111"/>
  <c r="B5100" i="111"/>
  <c r="B5101" i="111"/>
  <c r="B5099" i="111"/>
  <c r="B5098" i="111"/>
  <c r="B5096" i="111"/>
  <c r="B5097" i="111"/>
  <c r="B5094" i="111"/>
  <c r="B5095" i="111"/>
  <c r="B5113" i="111"/>
  <c r="B5112" i="111"/>
  <c r="B5110" i="111"/>
  <c r="B5111" i="111"/>
  <c r="B5109" i="111"/>
  <c r="B5108" i="111"/>
  <c r="B5106" i="111"/>
  <c r="B5107" i="111"/>
  <c r="B5104" i="111"/>
  <c r="B5105" i="111"/>
  <c r="B5124" i="111"/>
  <c r="B5123" i="111"/>
  <c r="B5121" i="111"/>
  <c r="B5122" i="111"/>
  <c r="B5119" i="111"/>
  <c r="B5120" i="111"/>
  <c r="B5118" i="111"/>
  <c r="B5116" i="111"/>
  <c r="B5117" i="111"/>
  <c r="B5114" i="111"/>
  <c r="B5115" i="111"/>
  <c r="B5515" i="111"/>
  <c r="B5482" i="111"/>
  <c r="B5416" i="111"/>
  <c r="B5449" i="111"/>
  <c r="B5337" i="111"/>
  <c r="B5370" i="111"/>
  <c r="B5304" i="111"/>
  <c r="B5238" i="111"/>
  <c r="B5271" i="111"/>
  <c r="B5159" i="111"/>
  <c r="B5192" i="111"/>
  <c r="B5514" i="111"/>
  <c r="B5481" i="111"/>
  <c r="B5415" i="111"/>
  <c r="B5448" i="111"/>
  <c r="B5336" i="111"/>
  <c r="B5369" i="111"/>
  <c r="B5303" i="111"/>
  <c r="B5237" i="111"/>
  <c r="B5270" i="111"/>
  <c r="B5158" i="111"/>
  <c r="B5191" i="111"/>
  <c r="B5513" i="111"/>
  <c r="B5480" i="111"/>
  <c r="B5414" i="111"/>
  <c r="B5447" i="111"/>
  <c r="B5335" i="111"/>
  <c r="B5368" i="111"/>
  <c r="B5302" i="111"/>
  <c r="B5236" i="111"/>
  <c r="B5269" i="111"/>
  <c r="B5157" i="111"/>
  <c r="B5190" i="111"/>
  <c r="B5512" i="111"/>
  <c r="B5479" i="111"/>
  <c r="B5413" i="111"/>
  <c r="B5446" i="111"/>
  <c r="B5334" i="111"/>
  <c r="B5367" i="111"/>
  <c r="B5301" i="111"/>
  <c r="B5235" i="111"/>
  <c r="B5268" i="111"/>
  <c r="B5156" i="111"/>
  <c r="B5189" i="111"/>
  <c r="B5511" i="111"/>
  <c r="B5478" i="111"/>
  <c r="B5412" i="111"/>
  <c r="B5445" i="111"/>
  <c r="B5333" i="111"/>
  <c r="B5366" i="111"/>
  <c r="B5300" i="111"/>
  <c r="B5234" i="111"/>
  <c r="B5267" i="111"/>
  <c r="B5155" i="111"/>
  <c r="B5188" i="111"/>
  <c r="B5510" i="111"/>
  <c r="B5477" i="111"/>
  <c r="B5411" i="111"/>
  <c r="B5444" i="111"/>
  <c r="B5332" i="111"/>
  <c r="B5365" i="111"/>
  <c r="B5299" i="111"/>
  <c r="B5233" i="111"/>
  <c r="B5266" i="111"/>
  <c r="B5154" i="111"/>
  <c r="B5187" i="111"/>
  <c r="B5509" i="111"/>
  <c r="B5476" i="111"/>
  <c r="B5410" i="111"/>
  <c r="B5443" i="111"/>
  <c r="B5331" i="111"/>
  <c r="B5364" i="111"/>
  <c r="B5298" i="111"/>
  <c r="B5232" i="111"/>
  <c r="B5265" i="111"/>
  <c r="B5153" i="111"/>
  <c r="B5186" i="111"/>
  <c r="B5508" i="111"/>
  <c r="B5475" i="111"/>
  <c r="B5409" i="111"/>
  <c r="B5442" i="111"/>
  <c r="B5330" i="111"/>
  <c r="B5363" i="111"/>
  <c r="B5297" i="111"/>
  <c r="B5231" i="111"/>
  <c r="B5264" i="111"/>
  <c r="B5152" i="111"/>
  <c r="B5185" i="111"/>
  <c r="B5507" i="111"/>
  <c r="B5474" i="111"/>
  <c r="B5408" i="111"/>
  <c r="B5441" i="111"/>
  <c r="B5329" i="111"/>
  <c r="B5362" i="111"/>
  <c r="B5296" i="111"/>
  <c r="B5230" i="111"/>
  <c r="B5263" i="111"/>
  <c r="B5151" i="111"/>
  <c r="B5184" i="111"/>
  <c r="B5506" i="111"/>
  <c r="B5473" i="111"/>
  <c r="B5407" i="111"/>
  <c r="B5440" i="111"/>
  <c r="B5328" i="111"/>
  <c r="B5361" i="111"/>
  <c r="B5295" i="111"/>
  <c r="B5229" i="111"/>
  <c r="B5262" i="111"/>
  <c r="B5150" i="111"/>
  <c r="B5183" i="111"/>
  <c r="B5505" i="111"/>
  <c r="B5472" i="111"/>
  <c r="B5406" i="111"/>
  <c r="B5439" i="111"/>
  <c r="B5327" i="111"/>
  <c r="B5360" i="111"/>
  <c r="B5294" i="111"/>
  <c r="B5228" i="111"/>
  <c r="B5261" i="111"/>
  <c r="B5149" i="111"/>
  <c r="B5182" i="111"/>
  <c r="B5504" i="111"/>
  <c r="B5471" i="111"/>
  <c r="B5405" i="111"/>
  <c r="B5438" i="111"/>
  <c r="B5326" i="111"/>
  <c r="B5359" i="111"/>
  <c r="B5293" i="111"/>
  <c r="B5227" i="111"/>
  <c r="B5260" i="111"/>
  <c r="B5148" i="111"/>
  <c r="B5181" i="111"/>
  <c r="B5039" i="111"/>
  <c r="B5004" i="111"/>
  <c r="B4935" i="111"/>
  <c r="B4969" i="111"/>
  <c r="B4867" i="111"/>
  <c r="B4901" i="111"/>
  <c r="B4833" i="111"/>
  <c r="B4764" i="111"/>
  <c r="B4798" i="111"/>
  <c r="B4683" i="111"/>
  <c r="B4751" i="111"/>
  <c r="B4717" i="111"/>
  <c r="B5038" i="111"/>
  <c r="B5003" i="111"/>
  <c r="B4934" i="111"/>
  <c r="B4968" i="111"/>
  <c r="B4866" i="111"/>
  <c r="B4900" i="111"/>
  <c r="B4832" i="111"/>
  <c r="B4763" i="111"/>
  <c r="B4797" i="111"/>
  <c r="B4682" i="111"/>
  <c r="B4750" i="111"/>
  <c r="B4716" i="111"/>
  <c r="B5037" i="111"/>
  <c r="B5002" i="111"/>
  <c r="B4933" i="111"/>
  <c r="B4967" i="111"/>
  <c r="B4865" i="111"/>
  <c r="B4899" i="111"/>
  <c r="B4831" i="111"/>
  <c r="B4762" i="111"/>
  <c r="B4796" i="111"/>
  <c r="B4681" i="111"/>
  <c r="B4749" i="111"/>
  <c r="B4715" i="111"/>
  <c r="B5036" i="111"/>
  <c r="B5001" i="111"/>
  <c r="B4932" i="111"/>
  <c r="B4966" i="111"/>
  <c r="B4864" i="111"/>
  <c r="B4898" i="111"/>
  <c r="B4830" i="111"/>
  <c r="B4761" i="111"/>
  <c r="B4795" i="111"/>
  <c r="B4680" i="111"/>
  <c r="B4748" i="111"/>
  <c r="B4714" i="111"/>
  <c r="B5035" i="111"/>
  <c r="B5000" i="111"/>
  <c r="B4931" i="111"/>
  <c r="B4965" i="111"/>
  <c r="B4863" i="111"/>
  <c r="B4897" i="111"/>
  <c r="B4829" i="111"/>
  <c r="B4760" i="111"/>
  <c r="B4794" i="111"/>
  <c r="B4679" i="111"/>
  <c r="B4747" i="111"/>
  <c r="B4713" i="111"/>
  <c r="B5034" i="111"/>
  <c r="B4999" i="111"/>
  <c r="B4930" i="111"/>
  <c r="B4964" i="111"/>
  <c r="B4862" i="111"/>
  <c r="B4896" i="111"/>
  <c r="B4828" i="111"/>
  <c r="B4759" i="111"/>
  <c r="B4793" i="111"/>
  <c r="B4678" i="111"/>
  <c r="B4746" i="111"/>
  <c r="B4712" i="111"/>
  <c r="B5033" i="111"/>
  <c r="B4998" i="111"/>
  <c r="B4827" i="111"/>
  <c r="B5032" i="111"/>
  <c r="B4997" i="111"/>
  <c r="B4929" i="111"/>
  <c r="B4963" i="111"/>
  <c r="B4861" i="111"/>
  <c r="B4895" i="111"/>
  <c r="B4826" i="111"/>
  <c r="B4758" i="111"/>
  <c r="B4792" i="111"/>
  <c r="B4677" i="111"/>
  <c r="B4745" i="111"/>
  <c r="B4711" i="111"/>
  <c r="B5031" i="111"/>
  <c r="B4996" i="111"/>
  <c r="B4928" i="111"/>
  <c r="B4962" i="111"/>
  <c r="B4860" i="111"/>
  <c r="B4894" i="111"/>
  <c r="B4825" i="111"/>
  <c r="B4757" i="111"/>
  <c r="B4791" i="111"/>
  <c r="B4676" i="111"/>
  <c r="B4744" i="111"/>
  <c r="B4710" i="111"/>
  <c r="B5030" i="111"/>
  <c r="B4995" i="111"/>
  <c r="B4927" i="111"/>
  <c r="B4961" i="111"/>
  <c r="B4859" i="111"/>
  <c r="B4893" i="111"/>
  <c r="B4824" i="111"/>
  <c r="B4756" i="111"/>
  <c r="B4790" i="111"/>
  <c r="B4675" i="111"/>
  <c r="B4743" i="111"/>
  <c r="B4709" i="111"/>
  <c r="B5029" i="111"/>
  <c r="B4994" i="111"/>
  <c r="B4926" i="111"/>
  <c r="B4960" i="111"/>
  <c r="B4858" i="111"/>
  <c r="B4892" i="111"/>
  <c r="B4823" i="111"/>
  <c r="B4755" i="111"/>
  <c r="B4789" i="111"/>
  <c r="B4674" i="111"/>
  <c r="B4742" i="111"/>
  <c r="B4708" i="111"/>
  <c r="B5028" i="111"/>
  <c r="B4993" i="111"/>
  <c r="B4925" i="111"/>
  <c r="B4959" i="111"/>
  <c r="B4857" i="111"/>
  <c r="B4891" i="111"/>
  <c r="B4822" i="111"/>
  <c r="B4754" i="111"/>
  <c r="B4788" i="111"/>
  <c r="B4673" i="111"/>
  <c r="B4741" i="111"/>
  <c r="B4707" i="111"/>
  <c r="B5027" i="111"/>
  <c r="B4992" i="111"/>
  <c r="B4924" i="111"/>
  <c r="B4958" i="111"/>
  <c r="B4856" i="111"/>
  <c r="B4890" i="111"/>
  <c r="B4821" i="111"/>
  <c r="B4753" i="111"/>
  <c r="B4787" i="111"/>
  <c r="B4672" i="111"/>
  <c r="B4740" i="111"/>
  <c r="B4706" i="111"/>
  <c r="B5026" i="111"/>
  <c r="B4991" i="111"/>
  <c r="B4923" i="111"/>
  <c r="B4957" i="111"/>
  <c r="B4855" i="111"/>
  <c r="B4889" i="111"/>
  <c r="B4820" i="111"/>
  <c r="B4752" i="111"/>
  <c r="B4786" i="111"/>
  <c r="B4671" i="111"/>
  <c r="B4739" i="111"/>
  <c r="B4705" i="111"/>
  <c r="B5060" i="111"/>
  <c r="B5025" i="111"/>
  <c r="B4956" i="111"/>
  <c r="B4990" i="111"/>
  <c r="B4888" i="111"/>
  <c r="B4922" i="111"/>
  <c r="B4854" i="111"/>
  <c r="B4785" i="111"/>
  <c r="B4819" i="111"/>
  <c r="B4704" i="111"/>
  <c r="B4738" i="111"/>
  <c r="B5059" i="111"/>
  <c r="B5024" i="111"/>
  <c r="B4955" i="111"/>
  <c r="B4989" i="111"/>
  <c r="B4887" i="111"/>
  <c r="B4921" i="111"/>
  <c r="B4853" i="111"/>
  <c r="B4784" i="111"/>
  <c r="B4818" i="111"/>
  <c r="B4703" i="111"/>
  <c r="B4737" i="111"/>
  <c r="B5058" i="111"/>
  <c r="B5023" i="111"/>
  <c r="B4954" i="111"/>
  <c r="B4988" i="111"/>
  <c r="B4886" i="111"/>
  <c r="B4920" i="111"/>
  <c r="B4852" i="111"/>
  <c r="B4783" i="111"/>
  <c r="B4817" i="111"/>
  <c r="B4702" i="111"/>
  <c r="B4736" i="111"/>
  <c r="B5057" i="111"/>
  <c r="B5022" i="111"/>
  <c r="B4953" i="111"/>
  <c r="B4987" i="111"/>
  <c r="B4885" i="111"/>
  <c r="B4919" i="111"/>
  <c r="B4851" i="111"/>
  <c r="B4782" i="111"/>
  <c r="B4816" i="111"/>
  <c r="B4701" i="111"/>
  <c r="B4735" i="111"/>
  <c r="B5056" i="111"/>
  <c r="B5021" i="111"/>
  <c r="B4952" i="111"/>
  <c r="B4986" i="111"/>
  <c r="B4884" i="111"/>
  <c r="B4918" i="111"/>
  <c r="B4850" i="111"/>
  <c r="B4781" i="111"/>
  <c r="B4815" i="111"/>
  <c r="B4700" i="111"/>
  <c r="B4734" i="111"/>
  <c r="B5055" i="111"/>
  <c r="B5020" i="111"/>
  <c r="B4951" i="111"/>
  <c r="B4985" i="111"/>
  <c r="B4883" i="111"/>
  <c r="B4917" i="111"/>
  <c r="B4849" i="111"/>
  <c r="B4780" i="111"/>
  <c r="B4814" i="111"/>
  <c r="B4699" i="111"/>
  <c r="B4733" i="111"/>
  <c r="B5054" i="111"/>
  <c r="B5019" i="111"/>
  <c r="B4950" i="111"/>
  <c r="B4984" i="111"/>
  <c r="B4882" i="111"/>
  <c r="B4916" i="111"/>
  <c r="B4848" i="111"/>
  <c r="B4779" i="111"/>
  <c r="B4813" i="111"/>
  <c r="B4698" i="111"/>
  <c r="B4732" i="111"/>
  <c r="B5053" i="111"/>
  <c r="B5018" i="111"/>
  <c r="B4949" i="111"/>
  <c r="B4983" i="111"/>
  <c r="B4881" i="111"/>
  <c r="B4915" i="111"/>
  <c r="B4847" i="111"/>
  <c r="B4778" i="111"/>
  <c r="B4812" i="111"/>
  <c r="B4697" i="111"/>
  <c r="B4731" i="111"/>
  <c r="B5052" i="111"/>
  <c r="B5017" i="111"/>
  <c r="B4948" i="111"/>
  <c r="B4982" i="111"/>
  <c r="B4880" i="111"/>
  <c r="B4914" i="111"/>
  <c r="B4846" i="111"/>
  <c r="B4777" i="111"/>
  <c r="B4811" i="111"/>
  <c r="B4696" i="111"/>
  <c r="B4730" i="111"/>
  <c r="B5082" i="111"/>
  <c r="B5081" i="111"/>
  <c r="B5079" i="111"/>
  <c r="B5080" i="111"/>
  <c r="B5077" i="111"/>
  <c r="B5078" i="111"/>
  <c r="B5076" i="111"/>
  <c r="B5074" i="111"/>
  <c r="B5075" i="111"/>
  <c r="B5072" i="111"/>
  <c r="B5073" i="111"/>
  <c r="B5071" i="111"/>
  <c r="B5070" i="111"/>
  <c r="B5068" i="111"/>
  <c r="B5069" i="111"/>
  <c r="B5066" i="111"/>
  <c r="B5067" i="111"/>
  <c r="B5065" i="111"/>
  <c r="B5063" i="111"/>
  <c r="B5064" i="111"/>
  <c r="B5061" i="111"/>
  <c r="B5062" i="111"/>
  <c r="B5093" i="111"/>
  <c r="B5092" i="111"/>
  <c r="B5090" i="111"/>
  <c r="B5091" i="111"/>
  <c r="B5088" i="111"/>
  <c r="B5089" i="111"/>
  <c r="B5087" i="111"/>
  <c r="B5085" i="111"/>
  <c r="B5086" i="111"/>
  <c r="B5083" i="111"/>
  <c r="B5084" i="111"/>
  <c r="B4648" i="111"/>
  <c r="B4647" i="111"/>
  <c r="B4645" i="111"/>
  <c r="B4646" i="111"/>
  <c r="B4643" i="111"/>
  <c r="B4644" i="111"/>
  <c r="B4642" i="111"/>
  <c r="B4640" i="111"/>
  <c r="B4641" i="111"/>
  <c r="B4638" i="111"/>
  <c r="B4639" i="111"/>
  <c r="B4659" i="111"/>
  <c r="B4658" i="111"/>
  <c r="B4656" i="111"/>
  <c r="B4657" i="111"/>
  <c r="B4654" i="111"/>
  <c r="B4655" i="111"/>
  <c r="B4653" i="111"/>
  <c r="B4651" i="111"/>
  <c r="B4652" i="111"/>
  <c r="B4649" i="111"/>
  <c r="B4650" i="111"/>
  <c r="B4670" i="111"/>
  <c r="B4669" i="111"/>
  <c r="B4667" i="111"/>
  <c r="B4668" i="111"/>
  <c r="B4665" i="111"/>
  <c r="B4666" i="111"/>
  <c r="B4664" i="111"/>
  <c r="B4662" i="111"/>
  <c r="B4663" i="111"/>
  <c r="B4660" i="111"/>
  <c r="B4661" i="111"/>
  <c r="B5051" i="111"/>
  <c r="B5016" i="111"/>
  <c r="B4947" i="111"/>
  <c r="B4981" i="111"/>
  <c r="B4879" i="111"/>
  <c r="B4913" i="111"/>
  <c r="B4845" i="111"/>
  <c r="B4776" i="111"/>
  <c r="B4810" i="111"/>
  <c r="B4695" i="111"/>
  <c r="B4729" i="111"/>
  <c r="B5050" i="111"/>
  <c r="B5015" i="111"/>
  <c r="B4946" i="111"/>
  <c r="B4980" i="111"/>
  <c r="B4878" i="111"/>
  <c r="B4912" i="111"/>
  <c r="B4844" i="111"/>
  <c r="B4775" i="111"/>
  <c r="B4809" i="111"/>
  <c r="B4694" i="111"/>
  <c r="B4728" i="111"/>
  <c r="B5049" i="111"/>
  <c r="B5014" i="111"/>
  <c r="B4945" i="111"/>
  <c r="B4979" i="111"/>
  <c r="B4877" i="111"/>
  <c r="B4911" i="111"/>
  <c r="B4843" i="111"/>
  <c r="B4774" i="111"/>
  <c r="B4808" i="111"/>
  <c r="B4693" i="111"/>
  <c r="B4727" i="111"/>
  <c r="B5048" i="111"/>
  <c r="B5013" i="111"/>
  <c r="B4944" i="111"/>
  <c r="B4978" i="111"/>
  <c r="B4876" i="111"/>
  <c r="B4910" i="111"/>
  <c r="B4842" i="111"/>
  <c r="B4773" i="111"/>
  <c r="B4807" i="111"/>
  <c r="B4692" i="111"/>
  <c r="B4726" i="111"/>
  <c r="B5047" i="111"/>
  <c r="B5012" i="111"/>
  <c r="B4943" i="111"/>
  <c r="B4977" i="111"/>
  <c r="B4875" i="111"/>
  <c r="B4909" i="111"/>
  <c r="B4841" i="111"/>
  <c r="B4772" i="111"/>
  <c r="B4806" i="111"/>
  <c r="B4691" i="111"/>
  <c r="B4725" i="111"/>
  <c r="B5046" i="111"/>
  <c r="B5011" i="111"/>
  <c r="B4942" i="111"/>
  <c r="B4976" i="111"/>
  <c r="B4874" i="111"/>
  <c r="B4908" i="111"/>
  <c r="B4840" i="111"/>
  <c r="B4771" i="111"/>
  <c r="B4805" i="111"/>
  <c r="B4690" i="111"/>
  <c r="B4724" i="111"/>
  <c r="B5045" i="111"/>
  <c r="B5010" i="111"/>
  <c r="B4941" i="111"/>
  <c r="B4975" i="111"/>
  <c r="B4873" i="111"/>
  <c r="B4907" i="111"/>
  <c r="B4839" i="111"/>
  <c r="B4770" i="111"/>
  <c r="B4804" i="111"/>
  <c r="B4689" i="111"/>
  <c r="B4723" i="111"/>
  <c r="B5044" i="111"/>
  <c r="B5009" i="111"/>
  <c r="B4940" i="111"/>
  <c r="B4974" i="111"/>
  <c r="B4872" i="111"/>
  <c r="B4906" i="111"/>
  <c r="B4838" i="111"/>
  <c r="B4769" i="111"/>
  <c r="B4803" i="111"/>
  <c r="B4688" i="111"/>
  <c r="B4722" i="111"/>
  <c r="B5043" i="111"/>
  <c r="B5008" i="111"/>
  <c r="B4939" i="111"/>
  <c r="B4973" i="111"/>
  <c r="B4871" i="111"/>
  <c r="B4905" i="111"/>
  <c r="B4837" i="111"/>
  <c r="B4768" i="111"/>
  <c r="B4802" i="111"/>
  <c r="B4687" i="111"/>
  <c r="B4721" i="111"/>
  <c r="B5042" i="111"/>
  <c r="B5007" i="111"/>
  <c r="B4938" i="111"/>
  <c r="B4972" i="111"/>
  <c r="B4870" i="111"/>
  <c r="B4904" i="111"/>
  <c r="B4836" i="111"/>
  <c r="B4767" i="111"/>
  <c r="B4801" i="111"/>
  <c r="B4686" i="111"/>
  <c r="B4720" i="111"/>
  <c r="B5041" i="111"/>
  <c r="B5006" i="111"/>
  <c r="B4937" i="111"/>
  <c r="B4971" i="111"/>
  <c r="B4869" i="111"/>
  <c r="B4903" i="111"/>
  <c r="B4835" i="111"/>
  <c r="B4766" i="111"/>
  <c r="B4800" i="111"/>
  <c r="B4685" i="111"/>
  <c r="B4719" i="111"/>
  <c r="B5040" i="111"/>
  <c r="B5005" i="111"/>
  <c r="B4936" i="111"/>
  <c r="B4970" i="111"/>
  <c r="B4868" i="111"/>
  <c r="B4902" i="111"/>
  <c r="B4834" i="111"/>
  <c r="B4765" i="111"/>
  <c r="B4799" i="111"/>
  <c r="B4684" i="111"/>
  <c r="B4718" i="111"/>
  <c r="B4574" i="111"/>
  <c r="B4533" i="111"/>
  <c r="B4499" i="111"/>
  <c r="B4431" i="111"/>
  <c r="B4467" i="111"/>
  <c r="B4391" i="111"/>
  <c r="B4357" i="111"/>
  <c r="B4275" i="111"/>
  <c r="B4344" i="111"/>
  <c r="B4311" i="111"/>
  <c r="B4573" i="111"/>
  <c r="B4532" i="111"/>
  <c r="B4498" i="111"/>
  <c r="B4430" i="111"/>
  <c r="B4466" i="111"/>
  <c r="B4390" i="111"/>
  <c r="B4356" i="111"/>
  <c r="B4274" i="111"/>
  <c r="B4343" i="111"/>
  <c r="B4310" i="111"/>
  <c r="B4572" i="111"/>
  <c r="B4531" i="111"/>
  <c r="B4497" i="111"/>
  <c r="B4429" i="111"/>
  <c r="B4465" i="111"/>
  <c r="B4389" i="111"/>
  <c r="B4355" i="111"/>
  <c r="B4273" i="111"/>
  <c r="B4342" i="111"/>
  <c r="B4309" i="111"/>
  <c r="B4571" i="111"/>
  <c r="B4530" i="111"/>
  <c r="B4496" i="111"/>
  <c r="B4428" i="111"/>
  <c r="B4464" i="111"/>
  <c r="B4388" i="111"/>
  <c r="B4354" i="111"/>
  <c r="B4272" i="111"/>
  <c r="B4341" i="111"/>
  <c r="B4308" i="111"/>
  <c r="B4570" i="111"/>
  <c r="B4529" i="111"/>
  <c r="B4495" i="111"/>
  <c r="B4427" i="111"/>
  <c r="B4463" i="111"/>
  <c r="B4387" i="111"/>
  <c r="B4353" i="111"/>
  <c r="B4271" i="111"/>
  <c r="B4340" i="111"/>
  <c r="B4307" i="111"/>
  <c r="B4569" i="111"/>
  <c r="B4528" i="111"/>
  <c r="B4494" i="111"/>
  <c r="B4426" i="111"/>
  <c r="B4462" i="111"/>
  <c r="B4386" i="111"/>
  <c r="B4352" i="111"/>
  <c r="B4270" i="111"/>
  <c r="B4339" i="111"/>
  <c r="B4306" i="111"/>
  <c r="B4568" i="111"/>
  <c r="B4527" i="111"/>
  <c r="B4385" i="111"/>
  <c r="B4567" i="111"/>
  <c r="B4526" i="111"/>
  <c r="B4493" i="111"/>
  <c r="B4425" i="111"/>
  <c r="B4461" i="111"/>
  <c r="B4384" i="111"/>
  <c r="B4351" i="111"/>
  <c r="B4269" i="111"/>
  <c r="B4338" i="111"/>
  <c r="B4305" i="111"/>
  <c r="B4566" i="111"/>
  <c r="B4525" i="111"/>
  <c r="B4492" i="111"/>
  <c r="B4424" i="111"/>
  <c r="B4460" i="111"/>
  <c r="B4383" i="111"/>
  <c r="B4350" i="111"/>
  <c r="B4268" i="111"/>
  <c r="B4337" i="111"/>
  <c r="B4304" i="111"/>
  <c r="B4565" i="111"/>
  <c r="B4524" i="111"/>
  <c r="B4491" i="111"/>
  <c r="B4423" i="111"/>
  <c r="B4459" i="111"/>
  <c r="B4382" i="111"/>
  <c r="B4349" i="111"/>
  <c r="B4267" i="111"/>
  <c r="B4336" i="111"/>
  <c r="B4303" i="111"/>
  <c r="B4564" i="111"/>
  <c r="B4523" i="111"/>
  <c r="B4490" i="111"/>
  <c r="B4422" i="111"/>
  <c r="B4458" i="111"/>
  <c r="B4381" i="111"/>
  <c r="B4348" i="111"/>
  <c r="B4266" i="111"/>
  <c r="B4335" i="111"/>
  <c r="B4302" i="111"/>
  <c r="B4563" i="111"/>
  <c r="B4522" i="111"/>
  <c r="B4489" i="111"/>
  <c r="B4421" i="111"/>
  <c r="B4457" i="111"/>
  <c r="B4380" i="111"/>
  <c r="B4347" i="111"/>
  <c r="B4265" i="111"/>
  <c r="B4334" i="111"/>
  <c r="B4301" i="111"/>
  <c r="B4562" i="111"/>
  <c r="B4521" i="111"/>
  <c r="B4488" i="111"/>
  <c r="B4420" i="111"/>
  <c r="B4456" i="111"/>
  <c r="B4379" i="111"/>
  <c r="B4346" i="111"/>
  <c r="B4264" i="111"/>
  <c r="B4333" i="111"/>
  <c r="B4300" i="111"/>
  <c r="B4561" i="111"/>
  <c r="B4520" i="111"/>
  <c r="B4487" i="111"/>
  <c r="B4419" i="111"/>
  <c r="B4455" i="111"/>
  <c r="B4378" i="111"/>
  <c r="B4345" i="111"/>
  <c r="B4263" i="111"/>
  <c r="B4332" i="111"/>
  <c r="B4299" i="111"/>
  <c r="B4601" i="111"/>
  <c r="B4560" i="111"/>
  <c r="B4519" i="111"/>
  <c r="B4454" i="111"/>
  <c r="B4486" i="111"/>
  <c r="B4418" i="111"/>
  <c r="B4377" i="111"/>
  <c r="B4298" i="111"/>
  <c r="B4331" i="111"/>
  <c r="B4600" i="111"/>
  <c r="B4559" i="111"/>
  <c r="B4518" i="111"/>
  <c r="B4453" i="111"/>
  <c r="B4485" i="111"/>
  <c r="B4417" i="111"/>
  <c r="B4376" i="111"/>
  <c r="B4297" i="111"/>
  <c r="B4330" i="111"/>
  <c r="B4599" i="111"/>
  <c r="B4558" i="111"/>
  <c r="B4517" i="111"/>
  <c r="B4452" i="111"/>
  <c r="B4484" i="111"/>
  <c r="B4416" i="111"/>
  <c r="B4375" i="111"/>
  <c r="B4296" i="111"/>
  <c r="B4329" i="111"/>
  <c r="B4598" i="111"/>
  <c r="B4557" i="111"/>
  <c r="B4516" i="111"/>
  <c r="B4451" i="111"/>
  <c r="B4483" i="111"/>
  <c r="B4415" i="111"/>
  <c r="B4374" i="111"/>
  <c r="B4295" i="111"/>
  <c r="B4328" i="111"/>
  <c r="B4597" i="111"/>
  <c r="B4556" i="111"/>
  <c r="B4515" i="111"/>
  <c r="B4450" i="111"/>
  <c r="B4482" i="111"/>
  <c r="B4414" i="111"/>
  <c r="B4373" i="111"/>
  <c r="B4294" i="111"/>
  <c r="B4327" i="111"/>
  <c r="B4596" i="111"/>
  <c r="B4555" i="111"/>
  <c r="B4514" i="111"/>
  <c r="B4449" i="111"/>
  <c r="B4481" i="111"/>
  <c r="B4413" i="111"/>
  <c r="B4372" i="111"/>
  <c r="B4293" i="111"/>
  <c r="B4326" i="111"/>
  <c r="B4595" i="111"/>
  <c r="B4554" i="111"/>
  <c r="B4513" i="111"/>
  <c r="B4448" i="111"/>
  <c r="B4480" i="111"/>
  <c r="B4412" i="111"/>
  <c r="B4371" i="111"/>
  <c r="B4292" i="111"/>
  <c r="B4325" i="111"/>
  <c r="B4594" i="111"/>
  <c r="B4553" i="111"/>
  <c r="B4512" i="111"/>
  <c r="B4447" i="111"/>
  <c r="B4479" i="111"/>
  <c r="B4411" i="111"/>
  <c r="B4370" i="111"/>
  <c r="B4291" i="111"/>
  <c r="B4324" i="111"/>
  <c r="B4593" i="111"/>
  <c r="B4552" i="111"/>
  <c r="B4511" i="111"/>
  <c r="B4446" i="111"/>
  <c r="B4478" i="111"/>
  <c r="B4410" i="111"/>
  <c r="B4369" i="111"/>
  <c r="B4290" i="111"/>
  <c r="B4323" i="111"/>
  <c r="B4592" i="111"/>
  <c r="B4551" i="111"/>
  <c r="B4445" i="111"/>
  <c r="B4409" i="111"/>
  <c r="B4289" i="111"/>
  <c r="B4591" i="111"/>
  <c r="B4550" i="111"/>
  <c r="B4444" i="111"/>
  <c r="B4408" i="111"/>
  <c r="B4288" i="111"/>
  <c r="B4590" i="111"/>
  <c r="B4549" i="111"/>
  <c r="B4407" i="111"/>
  <c r="B4589" i="111"/>
  <c r="B4548" i="111"/>
  <c r="B4443" i="111"/>
  <c r="B4406" i="111"/>
  <c r="B4287" i="111"/>
  <c r="B4628" i="111"/>
  <c r="B4627" i="111"/>
  <c r="B4626" i="111"/>
  <c r="B4624" i="111"/>
  <c r="B4625" i="111"/>
  <c r="B4623" i="111"/>
  <c r="B4622" i="111"/>
  <c r="B4620" i="111"/>
  <c r="B4621" i="111"/>
  <c r="B4619" i="111"/>
  <c r="B4618" i="111"/>
  <c r="B4617" i="111"/>
  <c r="B4615" i="111"/>
  <c r="B4616" i="111"/>
  <c r="B4614" i="111"/>
  <c r="B4613" i="111"/>
  <c r="B4611" i="111"/>
  <c r="B4612" i="111"/>
  <c r="B4637" i="111"/>
  <c r="B4636" i="111"/>
  <c r="B4635" i="111"/>
  <c r="B4633" i="111"/>
  <c r="B4634" i="111"/>
  <c r="B4632" i="111"/>
  <c r="B4631" i="111"/>
  <c r="B4629" i="111"/>
  <c r="B4630" i="111"/>
  <c r="B4610" i="111"/>
  <c r="B4609" i="111"/>
  <c r="B4608" i="111"/>
  <c r="B4606" i="111"/>
  <c r="B4607" i="111"/>
  <c r="B4605" i="111"/>
  <c r="B4604" i="111"/>
  <c r="B4602" i="111"/>
  <c r="B4603" i="111"/>
  <c r="B4244" i="111"/>
  <c r="B4243" i="111"/>
  <c r="B4242" i="111"/>
  <c r="B4240" i="111"/>
  <c r="B4241" i="111"/>
  <c r="B4239" i="111"/>
  <c r="B4238" i="111"/>
  <c r="B4236" i="111"/>
  <c r="B4237" i="111"/>
  <c r="B4253" i="111"/>
  <c r="B4252" i="111"/>
  <c r="B4251" i="111"/>
  <c r="B4249" i="111"/>
  <c r="B4250" i="111"/>
  <c r="B4248" i="111"/>
  <c r="B4247" i="111"/>
  <c r="B4245" i="111"/>
  <c r="B4246" i="111"/>
  <c r="B4262" i="111"/>
  <c r="B4261" i="111"/>
  <c r="B4260" i="111"/>
  <c r="B4258" i="111"/>
  <c r="B4259" i="111"/>
  <c r="B4257" i="111"/>
  <c r="B4256" i="111"/>
  <c r="B4254" i="111"/>
  <c r="B4255" i="111"/>
  <c r="B4588" i="111"/>
  <c r="B4547" i="111"/>
  <c r="B4405" i="111"/>
  <c r="B4587" i="111"/>
  <c r="B4546" i="111"/>
  <c r="B4510" i="111"/>
  <c r="B4442" i="111"/>
  <c r="B4477" i="111"/>
  <c r="B4404" i="111"/>
  <c r="B4368" i="111"/>
  <c r="B4286" i="111"/>
  <c r="B4322" i="111"/>
  <c r="B4586" i="111"/>
  <c r="B4545" i="111"/>
  <c r="B4509" i="111"/>
  <c r="B4441" i="111"/>
  <c r="B4476" i="111"/>
  <c r="B4403" i="111"/>
  <c r="B4367" i="111"/>
  <c r="B4285" i="111"/>
  <c r="B4321" i="111"/>
  <c r="B4585" i="111"/>
  <c r="B4544" i="111"/>
  <c r="B4508" i="111"/>
  <c r="B4440" i="111"/>
  <c r="B4475" i="111"/>
  <c r="B4402" i="111"/>
  <c r="B4366" i="111"/>
  <c r="B4320" i="111"/>
  <c r="B4584" i="111"/>
  <c r="B4543" i="111"/>
  <c r="B4401" i="111"/>
  <c r="B4284" i="111"/>
  <c r="B4583" i="111"/>
  <c r="B4542" i="111"/>
  <c r="B4507" i="111"/>
  <c r="B4439" i="111"/>
  <c r="B4474" i="111"/>
  <c r="B4400" i="111"/>
  <c r="B4365" i="111"/>
  <c r="B4283" i="111"/>
  <c r="B4319" i="111"/>
  <c r="B4582" i="111"/>
  <c r="B4541" i="111"/>
  <c r="B4506" i="111"/>
  <c r="B4438" i="111"/>
  <c r="B4399" i="111"/>
  <c r="B4364" i="111"/>
  <c r="B4282" i="111"/>
  <c r="B4318" i="111"/>
  <c r="B4581" i="111"/>
  <c r="B4540" i="111"/>
  <c r="B4505" i="111"/>
  <c r="B4437" i="111"/>
  <c r="B4473" i="111"/>
  <c r="B4398" i="111"/>
  <c r="B4363" i="111"/>
  <c r="B4281" i="111"/>
  <c r="B4317" i="111"/>
  <c r="B4580" i="111"/>
  <c r="B4539" i="111"/>
  <c r="B4504" i="111"/>
  <c r="B4436" i="111"/>
  <c r="B4472" i="111"/>
  <c r="B4397" i="111"/>
  <c r="B4362" i="111"/>
  <c r="B4280" i="111"/>
  <c r="B4316" i="111"/>
  <c r="B4579" i="111"/>
  <c r="B4538" i="111"/>
  <c r="B4503" i="111"/>
  <c r="B4435" i="111"/>
  <c r="B4471" i="111"/>
  <c r="B4396" i="111"/>
  <c r="B4361" i="111"/>
  <c r="B4279" i="111"/>
  <c r="B4315" i="111"/>
  <c r="B4578" i="111"/>
  <c r="B4537" i="111"/>
  <c r="B4395" i="111"/>
  <c r="B4577" i="111"/>
  <c r="B4536" i="111"/>
  <c r="B4502" i="111"/>
  <c r="B4434" i="111"/>
  <c r="B4470" i="111"/>
  <c r="B4394" i="111"/>
  <c r="B4360" i="111"/>
  <c r="B4278" i="111"/>
  <c r="B4314" i="111"/>
  <c r="B4576" i="111"/>
  <c r="B4535" i="111"/>
  <c r="B4501" i="111"/>
  <c r="B4433" i="111"/>
  <c r="B4469" i="111"/>
  <c r="B4393" i="111"/>
  <c r="B4359" i="111"/>
  <c r="B4277" i="111"/>
  <c r="B4313" i="111"/>
  <c r="B4575" i="111"/>
  <c r="B4534" i="111"/>
  <c r="B4500" i="111"/>
  <c r="B4432" i="111"/>
  <c r="B4468" i="111"/>
  <c r="B4392" i="111"/>
  <c r="B4358" i="111"/>
  <c r="B4276" i="111"/>
  <c r="B4312" i="111"/>
  <c r="B4189" i="111"/>
  <c r="B4150" i="111"/>
  <c r="B4117" i="111"/>
  <c r="B4078" i="111"/>
  <c r="B4102" i="111"/>
  <c r="B4039" i="111"/>
  <c r="B3993" i="111"/>
  <c r="B4014" i="111"/>
  <c r="B3938" i="111"/>
  <c r="B3980" i="111"/>
  <c r="B3965" i="111"/>
  <c r="B4188" i="111"/>
  <c r="B4149" i="111"/>
  <c r="B4116" i="111"/>
  <c r="B4077" i="111"/>
  <c r="B4101" i="111"/>
  <c r="B4038" i="111"/>
  <c r="B3992" i="111"/>
  <c r="B4013" i="111"/>
  <c r="B3937" i="111"/>
  <c r="B3979" i="111"/>
  <c r="B3964" i="111"/>
  <c r="B4187" i="111"/>
  <c r="B4148" i="111"/>
  <c r="B4115" i="111"/>
  <c r="B4076" i="111"/>
  <c r="B4100" i="111"/>
  <c r="B4037" i="111"/>
  <c r="B3991" i="111"/>
  <c r="B4012" i="111"/>
  <c r="B3936" i="111"/>
  <c r="B3978" i="111"/>
  <c r="B3963" i="111"/>
  <c r="B4186" i="111"/>
  <c r="B4147" i="111"/>
  <c r="B4114" i="111"/>
  <c r="B4075" i="111"/>
  <c r="B4099" i="111"/>
  <c r="B4036" i="111"/>
  <c r="B3990" i="111"/>
  <c r="B4011" i="111"/>
  <c r="B3935" i="111"/>
  <c r="B3977" i="111"/>
  <c r="B3962" i="111"/>
  <c r="B4185" i="111"/>
  <c r="B4146" i="111"/>
  <c r="B4113" i="111"/>
  <c r="B4074" i="111"/>
  <c r="B4098" i="111"/>
  <c r="B4035" i="111"/>
  <c r="B3989" i="111"/>
  <c r="B4010" i="111"/>
  <c r="B3934" i="111"/>
  <c r="B3976" i="111"/>
  <c r="B3961" i="111"/>
  <c r="B4184" i="111"/>
  <c r="B4145" i="111"/>
  <c r="B4112" i="111"/>
  <c r="B4073" i="111"/>
  <c r="B4097" i="111"/>
  <c r="B4034" i="111"/>
  <c r="B3988" i="111"/>
  <c r="B4009" i="111"/>
  <c r="B3933" i="111"/>
  <c r="B3975" i="111"/>
  <c r="B3960" i="111"/>
  <c r="B4183" i="111"/>
  <c r="B4144" i="111"/>
  <c r="B4111" i="111"/>
  <c r="B4072" i="111"/>
  <c r="B4096" i="111"/>
  <c r="B4033" i="111"/>
  <c r="B3987" i="111"/>
  <c r="B4008" i="111"/>
  <c r="B3932" i="111"/>
  <c r="B3974" i="111"/>
  <c r="B3959" i="111"/>
  <c r="B4182" i="111"/>
  <c r="B4143" i="111"/>
  <c r="B4110" i="111"/>
  <c r="B4071" i="111"/>
  <c r="B4095" i="111"/>
  <c r="B4032" i="111"/>
  <c r="B3986" i="111"/>
  <c r="B4007" i="111"/>
  <c r="B3931" i="111"/>
  <c r="B3973" i="111"/>
  <c r="B3958" i="111"/>
  <c r="B4181" i="111"/>
  <c r="B4142" i="111"/>
  <c r="B4109" i="111"/>
  <c r="B4070" i="111"/>
  <c r="B4094" i="111"/>
  <c r="B4031" i="111"/>
  <c r="B3985" i="111"/>
  <c r="B4006" i="111"/>
  <c r="B3930" i="111"/>
  <c r="B3972" i="111"/>
  <c r="B3957" i="111"/>
  <c r="B4180" i="111"/>
  <c r="B4141" i="111"/>
  <c r="B4108" i="111"/>
  <c r="B4069" i="111"/>
  <c r="B4093" i="111"/>
  <c r="B4030" i="111"/>
  <c r="B3984" i="111"/>
  <c r="B4005" i="111"/>
  <c r="B3929" i="111"/>
  <c r="B3971" i="111"/>
  <c r="B3956" i="111"/>
  <c r="B4179" i="111"/>
  <c r="B4140" i="111"/>
  <c r="B4107" i="111"/>
  <c r="B4068" i="111"/>
  <c r="B4092" i="111"/>
  <c r="B4029" i="111"/>
  <c r="B3983" i="111"/>
  <c r="B4004" i="111"/>
  <c r="B3928" i="111"/>
  <c r="B3970" i="111"/>
  <c r="B3955" i="111"/>
  <c r="B4178" i="111"/>
  <c r="B4139" i="111"/>
  <c r="B4106" i="111"/>
  <c r="B4067" i="111"/>
  <c r="B4091" i="111"/>
  <c r="B4028" i="111"/>
  <c r="B3982" i="111"/>
  <c r="B4003" i="111"/>
  <c r="B3927" i="111"/>
  <c r="B3969" i="111"/>
  <c r="B3954" i="111"/>
  <c r="B4177" i="111"/>
  <c r="B4138" i="111"/>
  <c r="B4105" i="111"/>
  <c r="B4066" i="111"/>
  <c r="B4090" i="111"/>
  <c r="B4027" i="111"/>
  <c r="B3981" i="111"/>
  <c r="B4002" i="111"/>
  <c r="B3926" i="111"/>
  <c r="B3968" i="111"/>
  <c r="B3953" i="111"/>
  <c r="B4215" i="111"/>
  <c r="B4176" i="111"/>
  <c r="B4089" i="111"/>
  <c r="B4065" i="111"/>
  <c r="B3952" i="111"/>
  <c r="B4214" i="111"/>
  <c r="B4175" i="111"/>
  <c r="B4088" i="111"/>
  <c r="B4064" i="111"/>
  <c r="B3951" i="111"/>
  <c r="B4213" i="111"/>
  <c r="B4174" i="111"/>
  <c r="B4087" i="111"/>
  <c r="B4063" i="111"/>
  <c r="B3950" i="111"/>
  <c r="B4212" i="111"/>
  <c r="B4173" i="111"/>
  <c r="B4086" i="111"/>
  <c r="B4062" i="111"/>
  <c r="B3949" i="111"/>
  <c r="B4211" i="111"/>
  <c r="B4172" i="111"/>
  <c r="B4104" i="111"/>
  <c r="B4061" i="111"/>
  <c r="B3967" i="111"/>
  <c r="B4210" i="111"/>
  <c r="B4171" i="111"/>
  <c r="B4103" i="111"/>
  <c r="B4060" i="111"/>
  <c r="B3966" i="111"/>
  <c r="B4209" i="111"/>
  <c r="B4170" i="111"/>
  <c r="B4137" i="111"/>
  <c r="B4085" i="111"/>
  <c r="B4059" i="111"/>
  <c r="B4026" i="111"/>
  <c r="B3948" i="111"/>
  <c r="B4208" i="111"/>
  <c r="B4169" i="111"/>
  <c r="B4136" i="111"/>
  <c r="B4084" i="111"/>
  <c r="B4058" i="111"/>
  <c r="B4025" i="111"/>
  <c r="B3947" i="111"/>
  <c r="B4207" i="111"/>
  <c r="B4168" i="111"/>
  <c r="B4135" i="111"/>
  <c r="B4083" i="111"/>
  <c r="B4057" i="111"/>
  <c r="B4024" i="111"/>
  <c r="B3946" i="111"/>
  <c r="B4206" i="111"/>
  <c r="B4167" i="111"/>
  <c r="B4125" i="111"/>
  <c r="B4134" i="111"/>
  <c r="B4056" i="111"/>
  <c r="B4001" i="111"/>
  <c r="B4023" i="111"/>
  <c r="B4205" i="111"/>
  <c r="B4166" i="111"/>
  <c r="B4124" i="111"/>
  <c r="B4133" i="111"/>
  <c r="B4055" i="111"/>
  <c r="B4000" i="111"/>
  <c r="B4022" i="111"/>
  <c r="B4204" i="111"/>
  <c r="B4165" i="111"/>
  <c r="B4123" i="111"/>
  <c r="B4054" i="111"/>
  <c r="B3999" i="111"/>
  <c r="B4203" i="111"/>
  <c r="B4164" i="111"/>
  <c r="B4132" i="111"/>
  <c r="B4053" i="111"/>
  <c r="B4021" i="111"/>
  <c r="B4202" i="111"/>
  <c r="B4163" i="111"/>
  <c r="B4131" i="111"/>
  <c r="B4052" i="111"/>
  <c r="B4020" i="111"/>
  <c r="B4201" i="111"/>
  <c r="B4162" i="111"/>
  <c r="B4122" i="111"/>
  <c r="B4051" i="111"/>
  <c r="B3998" i="111"/>
  <c r="B4200" i="111"/>
  <c r="B4161" i="111"/>
  <c r="B4082" i="111"/>
  <c r="B4050" i="111"/>
  <c r="B3945" i="111"/>
  <c r="B4199" i="111"/>
  <c r="B4160" i="111"/>
  <c r="B4081" i="111"/>
  <c r="B4049" i="111"/>
  <c r="B3944" i="111"/>
  <c r="B4198" i="111"/>
  <c r="B4159" i="111"/>
  <c r="B4080" i="111"/>
  <c r="B4048" i="111"/>
  <c r="B3943" i="111"/>
  <c r="B4220" i="111"/>
  <c r="B4219" i="111"/>
  <c r="B4218" i="111"/>
  <c r="B4217" i="111"/>
  <c r="B4216" i="111"/>
  <c r="B3915" i="111"/>
  <c r="B3914" i="111"/>
  <c r="B3913" i="111"/>
  <c r="B3912" i="111"/>
  <c r="B3911" i="111"/>
  <c r="B3920" i="111"/>
  <c r="B3919" i="111"/>
  <c r="B3918" i="111"/>
  <c r="B3917" i="111"/>
  <c r="B3916" i="111"/>
  <c r="B3925" i="111"/>
  <c r="B3924" i="111"/>
  <c r="B3923" i="111"/>
  <c r="B3922" i="111"/>
  <c r="B3921" i="111"/>
  <c r="B4230" i="111"/>
  <c r="B4229" i="111"/>
  <c r="B4228" i="111"/>
  <c r="B4227" i="111"/>
  <c r="B4226" i="111"/>
  <c r="B4225" i="111"/>
  <c r="B4224" i="111"/>
  <c r="B4223" i="111"/>
  <c r="B4222" i="111"/>
  <c r="B4221" i="111"/>
  <c r="B4235" i="111"/>
  <c r="B4234" i="111"/>
  <c r="B4233" i="111"/>
  <c r="B4232" i="111"/>
  <c r="B4231" i="111"/>
  <c r="B4197" i="111"/>
  <c r="B4158" i="111"/>
  <c r="B4130" i="111"/>
  <c r="B4047" i="111"/>
  <c r="B4019" i="111"/>
  <c r="B3942" i="111"/>
  <c r="B4196" i="111"/>
  <c r="B4157" i="111"/>
  <c r="B4121" i="111"/>
  <c r="B4046" i="111"/>
  <c r="B3997" i="111"/>
  <c r="B4195" i="111"/>
  <c r="B4156" i="111"/>
  <c r="B4120" i="111"/>
  <c r="B4045" i="111"/>
  <c r="B3996" i="111"/>
  <c r="B4194" i="111"/>
  <c r="B4155" i="111"/>
  <c r="B4129" i="111"/>
  <c r="B4044" i="111"/>
  <c r="B4018" i="111"/>
  <c r="B4193" i="111"/>
  <c r="B4154" i="111"/>
  <c r="B4128" i="111"/>
  <c r="B4043" i="111"/>
  <c r="B4017" i="111"/>
  <c r="B4192" i="111"/>
  <c r="B4153" i="111"/>
  <c r="B4119" i="111"/>
  <c r="B4127" i="111"/>
  <c r="B4042" i="111"/>
  <c r="B3995" i="111"/>
  <c r="B4016" i="111"/>
  <c r="B3941" i="111"/>
  <c r="B4191" i="111"/>
  <c r="B4152" i="111"/>
  <c r="B4041" i="111"/>
  <c r="B3940" i="111"/>
  <c r="B4190" i="111"/>
  <c r="B4151" i="111"/>
  <c r="B4118" i="111"/>
  <c r="B4126" i="111"/>
  <c r="B4079" i="111"/>
  <c r="B4040" i="111"/>
  <c r="B3994" i="111"/>
  <c r="B4015" i="111"/>
  <c r="B3939" i="111"/>
  <c r="B3854" i="111"/>
  <c r="B3822" i="111"/>
  <c r="B3788" i="111"/>
  <c r="B3799" i="111"/>
  <c r="B3740" i="111"/>
  <c r="B3777" i="111"/>
  <c r="B3764" i="111"/>
  <c r="B3708" i="111"/>
  <c r="B3674" i="111"/>
  <c r="B3685" i="111"/>
  <c r="B3626" i="111"/>
  <c r="B3663" i="111"/>
  <c r="B3650" i="111"/>
  <c r="B3853" i="111"/>
  <c r="B3821" i="111"/>
  <c r="B3787" i="111"/>
  <c r="B3798" i="111"/>
  <c r="B3739" i="111"/>
  <c r="B3776" i="111"/>
  <c r="B3763" i="111"/>
  <c r="B3707" i="111"/>
  <c r="B3673" i="111"/>
  <c r="B3684" i="111"/>
  <c r="B3625" i="111"/>
  <c r="B3662" i="111"/>
  <c r="B3649" i="111"/>
  <c r="B3852" i="111"/>
  <c r="B3820" i="111"/>
  <c r="B3786" i="111"/>
  <c r="B3797" i="111"/>
  <c r="B3738" i="111"/>
  <c r="B3775" i="111"/>
  <c r="B3762" i="111"/>
  <c r="B3706" i="111"/>
  <c r="B3672" i="111"/>
  <c r="B3683" i="111"/>
  <c r="B3624" i="111"/>
  <c r="B3661" i="111"/>
  <c r="B3648" i="111"/>
  <c r="B3851" i="111"/>
  <c r="B3819" i="111"/>
  <c r="B3785" i="111"/>
  <c r="B3796" i="111"/>
  <c r="B3737" i="111"/>
  <c r="B3774" i="111"/>
  <c r="B3761" i="111"/>
  <c r="B3705" i="111"/>
  <c r="B3671" i="111"/>
  <c r="B3682" i="111"/>
  <c r="B3623" i="111"/>
  <c r="B3660" i="111"/>
  <c r="B3647" i="111"/>
  <c r="B3850" i="111"/>
  <c r="B3818" i="111"/>
  <c r="B3784" i="111"/>
  <c r="B3795" i="111"/>
  <c r="B3736" i="111"/>
  <c r="B3773" i="111"/>
  <c r="B3760" i="111"/>
  <c r="B3704" i="111"/>
  <c r="B3670" i="111"/>
  <c r="B3681" i="111"/>
  <c r="B3622" i="111"/>
  <c r="B3659" i="111"/>
  <c r="B3646" i="111"/>
  <c r="B3849" i="111"/>
  <c r="B3817" i="111"/>
  <c r="B3783" i="111"/>
  <c r="B3794" i="111"/>
  <c r="B3735" i="111"/>
  <c r="B3772" i="111"/>
  <c r="B3759" i="111"/>
  <c r="B3703" i="111"/>
  <c r="B3669" i="111"/>
  <c r="B3680" i="111"/>
  <c r="B3621" i="111"/>
  <c r="B3658" i="111"/>
  <c r="B3645" i="111"/>
  <c r="B3848" i="111"/>
  <c r="B3816" i="111"/>
  <c r="B3782" i="111"/>
  <c r="B3793" i="111"/>
  <c r="B3734" i="111"/>
  <c r="B3771" i="111"/>
  <c r="B3758" i="111"/>
  <c r="B3702" i="111"/>
  <c r="B3668" i="111"/>
  <c r="B3679" i="111"/>
  <c r="B3620" i="111"/>
  <c r="B3657" i="111"/>
  <c r="B3644" i="111"/>
  <c r="B3847" i="111"/>
  <c r="B3815" i="111"/>
  <c r="B3781" i="111"/>
  <c r="B3792" i="111"/>
  <c r="B3733" i="111"/>
  <c r="B3770" i="111"/>
  <c r="B3757" i="111"/>
  <c r="B3701" i="111"/>
  <c r="B3667" i="111"/>
  <c r="B3678" i="111"/>
  <c r="B3619" i="111"/>
  <c r="B3656" i="111"/>
  <c r="B3643" i="111"/>
  <c r="B3846" i="111"/>
  <c r="B3814" i="111"/>
  <c r="B3780" i="111"/>
  <c r="B3791" i="111"/>
  <c r="B3732" i="111"/>
  <c r="B3769" i="111"/>
  <c r="B3756" i="111"/>
  <c r="B3700" i="111"/>
  <c r="B3666" i="111"/>
  <c r="B3677" i="111"/>
  <c r="B3618" i="111"/>
  <c r="B3655" i="111"/>
  <c r="B3642" i="111"/>
  <c r="B3845" i="111"/>
  <c r="B3813" i="111"/>
  <c r="B3779" i="111"/>
  <c r="B3790" i="111"/>
  <c r="B3731" i="111"/>
  <c r="B3768" i="111"/>
  <c r="B3755" i="111"/>
  <c r="B3699" i="111"/>
  <c r="B3665" i="111"/>
  <c r="B3676" i="111"/>
  <c r="B3617" i="111"/>
  <c r="B3654" i="111"/>
  <c r="B3641" i="111"/>
  <c r="B3844" i="111"/>
  <c r="B3812" i="111"/>
  <c r="B3778" i="111"/>
  <c r="B3789" i="111"/>
  <c r="B3730" i="111"/>
  <c r="B3767" i="111"/>
  <c r="B3754" i="111"/>
  <c r="B3698" i="111"/>
  <c r="B3664" i="111"/>
  <c r="B3675" i="111"/>
  <c r="B3616" i="111"/>
  <c r="B3653" i="111"/>
  <c r="B3640" i="111"/>
  <c r="B3875" i="111"/>
  <c r="B3843" i="111"/>
  <c r="B3753" i="111"/>
  <c r="B3729" i="111"/>
  <c r="B3639" i="111"/>
  <c r="B3874" i="111"/>
  <c r="B3842" i="111"/>
  <c r="B3752" i="111"/>
  <c r="B3728" i="111"/>
  <c r="B3638" i="111"/>
  <c r="B3873" i="111"/>
  <c r="B3841" i="111"/>
  <c r="B3751" i="111"/>
  <c r="B3727" i="111"/>
  <c r="B3637" i="111"/>
  <c r="B3872" i="111"/>
  <c r="B3840" i="111"/>
  <c r="B3750" i="111"/>
  <c r="B3726" i="111"/>
  <c r="B3636" i="111"/>
  <c r="B3871" i="111"/>
  <c r="B3839" i="111"/>
  <c r="B3766" i="111"/>
  <c r="B3725" i="111"/>
  <c r="B3652" i="111"/>
  <c r="B3870" i="111"/>
  <c r="B3838" i="111"/>
  <c r="B3765" i="111"/>
  <c r="B3724" i="111"/>
  <c r="B3651" i="111"/>
  <c r="B3869" i="111"/>
  <c r="B3837" i="111"/>
  <c r="B3811" i="111"/>
  <c r="B3749" i="111"/>
  <c r="B3723" i="111"/>
  <c r="B3697" i="111"/>
  <c r="B3635" i="111"/>
  <c r="B3868" i="111"/>
  <c r="B3836" i="111"/>
  <c r="B3810" i="111"/>
  <c r="B3748" i="111"/>
  <c r="B3722" i="111"/>
  <c r="B3696" i="111"/>
  <c r="B3634" i="111"/>
  <c r="B3867" i="111"/>
  <c r="B3835" i="111"/>
  <c r="B3809" i="111"/>
  <c r="B3747" i="111"/>
  <c r="B3721" i="111"/>
  <c r="B3695" i="111"/>
  <c r="B3633" i="111"/>
  <c r="B3866" i="111"/>
  <c r="B3834" i="111"/>
  <c r="B3808" i="111"/>
  <c r="B3720" i="111"/>
  <c r="B3694" i="111"/>
  <c r="B3865" i="111"/>
  <c r="B3833" i="111"/>
  <c r="B3807" i="111"/>
  <c r="B3719" i="111"/>
  <c r="B3693" i="111"/>
  <c r="B3864" i="111"/>
  <c r="B3832" i="111"/>
  <c r="B3806" i="111"/>
  <c r="B3718" i="111"/>
  <c r="B3692" i="111"/>
  <c r="B3863" i="111"/>
  <c r="B3831" i="111"/>
  <c r="B3746" i="111"/>
  <c r="B3717" i="111"/>
  <c r="B3632" i="111"/>
  <c r="B3862" i="111"/>
  <c r="B3830" i="111"/>
  <c r="B3745" i="111"/>
  <c r="B3716" i="111"/>
  <c r="B3631" i="111"/>
  <c r="B3861" i="111"/>
  <c r="B3829" i="111"/>
  <c r="B3744" i="111"/>
  <c r="B3715" i="111"/>
  <c r="B3630" i="111"/>
  <c r="B3910" i="111"/>
  <c r="B3909" i="111"/>
  <c r="B3908" i="111"/>
  <c r="B3907" i="111"/>
  <c r="B3906" i="111"/>
  <c r="B3905" i="111"/>
  <c r="B3904" i="111"/>
  <c r="B3889" i="111"/>
  <c r="B3888" i="111"/>
  <c r="B3887" i="111"/>
  <c r="B3886" i="111"/>
  <c r="B3885" i="111"/>
  <c r="B3884" i="111"/>
  <c r="B3883" i="111"/>
  <c r="B3903" i="111"/>
  <c r="B3902" i="111"/>
  <c r="B3901" i="111"/>
  <c r="B3900" i="111"/>
  <c r="B3899" i="111"/>
  <c r="B3898" i="111"/>
  <c r="B3897" i="111"/>
  <c r="B3882" i="111"/>
  <c r="B3881" i="111"/>
  <c r="B3880" i="111"/>
  <c r="B3879" i="111"/>
  <c r="B3878" i="111"/>
  <c r="B3877" i="111"/>
  <c r="B3876" i="111"/>
  <c r="B3896" i="111"/>
  <c r="B3895" i="111"/>
  <c r="B3894" i="111"/>
  <c r="B3893" i="111"/>
  <c r="B3892" i="111"/>
  <c r="B3891" i="111"/>
  <c r="B3890" i="111"/>
  <c r="B3860" i="111"/>
  <c r="B3828" i="111"/>
  <c r="B3805" i="111"/>
  <c r="B3714" i="111"/>
  <c r="B3691" i="111"/>
  <c r="B3859" i="111"/>
  <c r="B3827" i="111"/>
  <c r="B3804" i="111"/>
  <c r="B3743" i="111"/>
  <c r="B3713" i="111"/>
  <c r="B3690" i="111"/>
  <c r="B3629" i="111"/>
  <c r="B3858" i="111"/>
  <c r="B3826" i="111"/>
  <c r="B3803" i="111"/>
  <c r="B3742" i="111"/>
  <c r="B3712" i="111"/>
  <c r="B3689" i="111"/>
  <c r="B3628" i="111"/>
  <c r="B3857" i="111"/>
  <c r="B3825" i="111"/>
  <c r="B3802" i="111"/>
  <c r="B3711" i="111"/>
  <c r="B3688" i="111"/>
  <c r="B3856" i="111"/>
  <c r="B3824" i="111"/>
  <c r="B3801" i="111"/>
  <c r="B3710" i="111"/>
  <c r="B3687" i="111"/>
  <c r="B3855" i="111"/>
  <c r="B3823" i="111"/>
  <c r="B3800" i="111"/>
  <c r="B3741" i="111"/>
  <c r="B3709" i="111"/>
  <c r="B3686" i="111"/>
  <c r="C7" i="31"/>
  <c r="D7" i="31"/>
  <c r="E7" i="31"/>
  <c r="F7" i="31"/>
  <c r="G7" i="31"/>
  <c r="H7" i="31"/>
  <c r="I7" i="31"/>
  <c r="J7" i="31"/>
  <c r="K7" i="31"/>
  <c r="L7" i="31"/>
  <c r="M7" i="31"/>
  <c r="N7" i="31"/>
  <c r="O7" i="31"/>
  <c r="B7" i="31"/>
  <c r="B3627" i="111"/>
  <c r="B3557" i="111"/>
  <c r="B3523" i="111"/>
  <c r="B3490" i="111"/>
  <c r="B3501" i="111"/>
  <c r="B3439" i="111"/>
  <c r="B3479" i="111"/>
  <c r="B3466" i="111"/>
  <c r="B3405" i="111"/>
  <c r="B3372" i="111"/>
  <c r="B3383" i="111"/>
  <c r="B3321" i="111"/>
  <c r="B3361" i="111"/>
  <c r="B3348" i="111"/>
  <c r="B3556" i="111"/>
  <c r="B3522" i="111"/>
  <c r="B3489" i="111"/>
  <c r="B3500" i="111"/>
  <c r="B3438" i="111"/>
  <c r="B3478" i="111"/>
  <c r="B3465" i="111"/>
  <c r="B3404" i="111"/>
  <c r="B3371" i="111"/>
  <c r="B3382" i="111"/>
  <c r="B3320" i="111"/>
  <c r="B3360" i="111"/>
  <c r="B3347" i="111"/>
  <c r="B3555" i="111"/>
  <c r="B3521" i="111"/>
  <c r="B3488" i="111"/>
  <c r="B3499" i="111"/>
  <c r="B3437" i="111"/>
  <c r="B3477" i="111"/>
  <c r="B3464" i="111"/>
  <c r="B3403" i="111"/>
  <c r="B3370" i="111"/>
  <c r="B3381" i="111"/>
  <c r="B3319" i="111"/>
  <c r="B3359" i="111"/>
  <c r="B3346" i="111"/>
  <c r="B3554" i="111"/>
  <c r="B3520" i="111"/>
  <c r="B3487" i="111"/>
  <c r="B3498" i="111"/>
  <c r="B3436" i="111"/>
  <c r="B3476" i="111"/>
  <c r="B3463" i="111"/>
  <c r="B3402" i="111"/>
  <c r="B3369" i="111"/>
  <c r="B3380" i="111"/>
  <c r="B3318" i="111"/>
  <c r="B3358" i="111"/>
  <c r="B3345" i="111"/>
  <c r="B3553" i="111"/>
  <c r="B3519" i="111"/>
  <c r="B3486" i="111"/>
  <c r="B3497" i="111"/>
  <c r="B3435" i="111"/>
  <c r="B3475" i="111"/>
  <c r="B3462" i="111"/>
  <c r="B3401" i="111"/>
  <c r="B3368" i="111"/>
  <c r="B3379" i="111"/>
  <c r="B3317" i="111"/>
  <c r="B3357" i="111"/>
  <c r="B3344" i="111"/>
  <c r="B3552" i="111"/>
  <c r="B3518" i="111"/>
  <c r="B3485" i="111"/>
  <c r="B3496" i="111"/>
  <c r="B3434" i="111"/>
  <c r="B3474" i="111"/>
  <c r="B3461" i="111"/>
  <c r="B3400" i="111"/>
  <c r="B3367" i="111"/>
  <c r="B3378" i="111"/>
  <c r="B3316" i="111"/>
  <c r="B3356" i="111"/>
  <c r="B3343" i="111"/>
  <c r="B3551" i="111"/>
  <c r="B3517" i="111"/>
  <c r="B3484" i="111"/>
  <c r="B3495" i="111"/>
  <c r="B3433" i="111"/>
  <c r="B3473" i="111"/>
  <c r="B3460" i="111"/>
  <c r="B3399" i="111"/>
  <c r="B3366" i="111"/>
  <c r="B3377" i="111"/>
  <c r="B3315" i="111"/>
  <c r="B3355" i="111"/>
  <c r="B3342" i="111"/>
  <c r="B3550" i="111"/>
  <c r="B3516" i="111"/>
  <c r="B3483" i="111"/>
  <c r="B3494" i="111"/>
  <c r="B3432" i="111"/>
  <c r="B3472" i="111"/>
  <c r="B3459" i="111"/>
  <c r="B3398" i="111"/>
  <c r="B3365" i="111"/>
  <c r="B3376" i="111"/>
  <c r="B3314" i="111"/>
  <c r="B3354" i="111"/>
  <c r="B3341" i="111"/>
  <c r="B3549" i="111"/>
  <c r="B3515" i="111"/>
  <c r="B3482" i="111"/>
  <c r="B3493" i="111"/>
  <c r="B3431" i="111"/>
  <c r="B3471" i="111"/>
  <c r="B3458" i="111"/>
  <c r="B3397" i="111"/>
  <c r="B3364" i="111"/>
  <c r="B3375" i="111"/>
  <c r="B3313" i="111"/>
  <c r="B3353" i="111"/>
  <c r="B3340" i="111"/>
  <c r="B3548" i="111"/>
  <c r="B3514" i="111"/>
  <c r="B3481" i="111"/>
  <c r="B3492" i="111"/>
  <c r="B3430" i="111"/>
  <c r="B3470" i="111"/>
  <c r="B3457" i="111"/>
  <c r="B3396" i="111"/>
  <c r="B3363" i="111"/>
  <c r="B3374" i="111"/>
  <c r="B3312" i="111"/>
  <c r="B3352" i="111"/>
  <c r="B3339" i="111"/>
  <c r="B3547" i="111"/>
  <c r="B3513" i="111"/>
  <c r="B3480" i="111"/>
  <c r="B3491" i="111"/>
  <c r="B3429" i="111"/>
  <c r="B3469" i="111"/>
  <c r="B3456" i="111"/>
  <c r="B3395" i="111"/>
  <c r="B3362" i="111"/>
  <c r="B3373" i="111"/>
  <c r="B3311" i="111"/>
  <c r="B3351" i="111"/>
  <c r="B3338" i="111"/>
  <c r="B3580" i="111"/>
  <c r="B3546" i="111"/>
  <c r="B3455" i="111"/>
  <c r="B3428" i="111"/>
  <c r="B3337" i="111"/>
  <c r="B3579" i="111"/>
  <c r="B3545" i="111"/>
  <c r="B3454" i="111"/>
  <c r="B3427" i="111"/>
  <c r="B3336" i="111"/>
  <c r="B3578" i="111"/>
  <c r="B3544" i="111"/>
  <c r="B3453" i="111"/>
  <c r="B3426" i="111"/>
  <c r="B3335" i="111"/>
  <c r="B3577" i="111"/>
  <c r="B3543" i="111"/>
  <c r="B3452" i="111"/>
  <c r="B3425" i="111"/>
  <c r="B3334" i="111"/>
  <c r="B3576" i="111"/>
  <c r="B3542" i="111"/>
  <c r="B3468" i="111"/>
  <c r="B3424" i="111"/>
  <c r="B3350" i="111"/>
  <c r="B3575" i="111"/>
  <c r="B3541" i="111"/>
  <c r="B3467" i="111"/>
  <c r="B3423" i="111"/>
  <c r="B3349" i="111"/>
  <c r="B3574" i="111"/>
  <c r="B3540" i="111"/>
  <c r="B3512" i="111"/>
  <c r="B3451" i="111"/>
  <c r="B3422" i="111"/>
  <c r="B3394" i="111"/>
  <c r="B3333" i="111"/>
  <c r="B3573" i="111"/>
  <c r="B3539" i="111"/>
  <c r="B3511" i="111"/>
  <c r="B3450" i="111"/>
  <c r="B3421" i="111"/>
  <c r="B3393" i="111"/>
  <c r="B3332" i="111"/>
  <c r="B3572" i="111"/>
  <c r="B3538" i="111"/>
  <c r="B3510" i="111"/>
  <c r="B3449" i="111"/>
  <c r="B3420" i="111"/>
  <c r="B3392" i="111"/>
  <c r="B3331" i="111"/>
  <c r="B3571" i="111"/>
  <c r="B3537" i="111"/>
  <c r="B3509" i="111"/>
  <c r="B3419" i="111"/>
  <c r="B3391" i="111"/>
  <c r="B3570" i="111"/>
  <c r="B3536" i="111"/>
  <c r="B3508" i="111"/>
  <c r="B3418" i="111"/>
  <c r="B3390" i="111"/>
  <c r="B3569" i="111"/>
  <c r="B3535" i="111"/>
  <c r="B3507" i="111"/>
  <c r="B3417" i="111"/>
  <c r="B3389" i="111"/>
  <c r="B3568" i="111"/>
  <c r="B3534" i="111"/>
  <c r="B3448" i="111"/>
  <c r="B3416" i="111"/>
  <c r="B3330" i="111"/>
  <c r="B3567" i="111"/>
  <c r="B3533" i="111"/>
  <c r="B3447" i="111"/>
  <c r="B3415" i="111"/>
  <c r="B3329" i="111"/>
  <c r="B3566" i="111"/>
  <c r="B3532" i="111"/>
  <c r="B3446" i="111"/>
  <c r="B3414" i="111"/>
  <c r="B3328" i="111"/>
  <c r="B3565" i="111"/>
  <c r="B3531" i="111"/>
  <c r="B3445" i="111"/>
  <c r="B3413" i="111"/>
  <c r="B3327" i="111"/>
  <c r="B3564" i="111"/>
  <c r="B3530" i="111"/>
  <c r="B3444" i="111"/>
  <c r="B3412" i="111"/>
  <c r="B3326" i="111"/>
  <c r="B3615" i="111"/>
  <c r="B3614" i="111"/>
  <c r="B3613" i="111"/>
  <c r="B3612" i="111"/>
  <c r="B3611" i="111"/>
  <c r="B3610" i="111"/>
  <c r="B3609" i="111"/>
  <c r="B3594" i="111"/>
  <c r="B3593" i="111"/>
  <c r="B3592" i="111"/>
  <c r="B3591" i="111"/>
  <c r="B3590" i="111"/>
  <c r="B3589" i="111"/>
  <c r="B3588" i="111"/>
  <c r="B3608" i="111"/>
  <c r="B3607" i="111"/>
  <c r="B3606" i="111"/>
  <c r="B3605" i="111"/>
  <c r="B3604" i="111"/>
  <c r="B3603" i="111"/>
  <c r="B3602" i="111"/>
  <c r="B3587" i="111"/>
  <c r="B3586" i="111"/>
  <c r="B3585" i="111"/>
  <c r="B3584" i="111"/>
  <c r="B3583" i="111"/>
  <c r="B3582" i="111"/>
  <c r="B3581" i="111"/>
  <c r="B3601" i="111"/>
  <c r="B3600" i="111"/>
  <c r="B3599" i="111"/>
  <c r="B3598" i="111"/>
  <c r="B3597" i="111"/>
  <c r="B3596" i="111"/>
  <c r="B3595" i="111"/>
  <c r="B3563" i="111"/>
  <c r="B3529" i="111"/>
  <c r="B3506" i="111"/>
  <c r="B3443" i="111"/>
  <c r="B3411" i="111"/>
  <c r="B3388" i="111"/>
  <c r="B3325" i="111"/>
  <c r="B3562" i="111"/>
  <c r="B3528" i="111"/>
  <c r="B3410" i="111"/>
  <c r="B3561" i="111"/>
  <c r="B3527" i="111"/>
  <c r="B3505" i="111"/>
  <c r="B3442" i="111"/>
  <c r="B3409" i="111"/>
  <c r="B3387" i="111"/>
  <c r="B3324" i="111"/>
  <c r="B3560" i="111"/>
  <c r="B3526" i="111"/>
  <c r="B3504" i="111"/>
  <c r="B3441" i="111"/>
  <c r="B3408" i="111"/>
  <c r="B3386" i="111"/>
  <c r="B3323" i="111"/>
  <c r="B3559" i="111"/>
  <c r="B3525" i="111"/>
  <c r="B3503" i="111"/>
  <c r="B3407" i="111"/>
  <c r="B3385" i="111"/>
  <c r="B3558" i="111"/>
  <c r="B3524" i="111"/>
  <c r="B3502" i="111"/>
  <c r="B3440" i="111"/>
  <c r="B3406" i="111"/>
  <c r="B3384" i="111"/>
  <c r="B3322" i="111"/>
  <c r="B3247" i="111"/>
  <c r="B3209" i="111"/>
  <c r="B3175" i="111"/>
  <c r="B3186" i="111"/>
  <c r="B3124" i="111"/>
  <c r="B3164" i="111"/>
  <c r="B3151" i="111"/>
  <c r="B3088" i="111"/>
  <c r="B3053" i="111"/>
  <c r="B3064" i="111"/>
  <c r="B3003" i="111"/>
  <c r="B3043" i="111"/>
  <c r="B3030" i="111"/>
  <c r="B3246" i="111"/>
  <c r="B3208" i="111"/>
  <c r="B3174" i="111"/>
  <c r="B3185" i="111"/>
  <c r="B3123" i="111"/>
  <c r="B3163" i="111"/>
  <c r="B3150" i="111"/>
  <c r="B3087" i="111"/>
  <c r="B3052" i="111"/>
  <c r="B3063" i="111"/>
  <c r="B3002" i="111"/>
  <c r="B3042" i="111"/>
  <c r="B3029" i="111"/>
  <c r="B3245" i="111"/>
  <c r="B3207" i="111"/>
  <c r="B3173" i="111"/>
  <c r="B3184" i="111"/>
  <c r="B3122" i="111"/>
  <c r="B3162" i="111"/>
  <c r="B3149" i="111"/>
  <c r="B3086" i="111"/>
  <c r="B3051" i="111"/>
  <c r="B3062" i="111"/>
  <c r="B3001" i="111"/>
  <c r="B3041" i="111"/>
  <c r="B3028" i="111"/>
  <c r="B3244" i="111"/>
  <c r="B3206" i="111"/>
  <c r="B3172" i="111"/>
  <c r="B3183" i="111"/>
  <c r="B3121" i="111"/>
  <c r="B3161" i="111"/>
  <c r="B3148" i="111"/>
  <c r="B3085" i="111"/>
  <c r="B3050" i="111"/>
  <c r="B3061" i="111"/>
  <c r="B3000" i="111"/>
  <c r="B3040" i="111"/>
  <c r="B3027" i="111"/>
  <c r="B3243" i="111"/>
  <c r="B3205" i="111"/>
  <c r="B3171" i="111"/>
  <c r="B3182" i="111"/>
  <c r="B3120" i="111"/>
  <c r="B3160" i="111"/>
  <c r="B3147" i="111"/>
  <c r="B3084" i="111"/>
  <c r="B3049" i="111"/>
  <c r="B3060" i="111"/>
  <c r="B2999" i="111"/>
  <c r="B3039" i="111"/>
  <c r="B3026" i="111"/>
  <c r="B3242" i="111"/>
  <c r="B3204" i="111"/>
  <c r="B3170" i="111"/>
  <c r="B3181" i="111"/>
  <c r="B3119" i="111"/>
  <c r="B3159" i="111"/>
  <c r="B3146" i="111"/>
  <c r="B3083" i="111"/>
  <c r="B3048" i="111"/>
  <c r="B3059" i="111"/>
  <c r="B2998" i="111"/>
  <c r="B3038" i="111"/>
  <c r="B3025" i="111"/>
  <c r="B3241" i="111"/>
  <c r="B3203" i="111"/>
  <c r="B3082" i="111"/>
  <c r="B3240" i="111"/>
  <c r="B3202" i="111"/>
  <c r="B3081" i="111"/>
  <c r="B3239" i="111"/>
  <c r="B3201" i="111"/>
  <c r="B3169" i="111"/>
  <c r="B3180" i="111"/>
  <c r="B3118" i="111"/>
  <c r="B3158" i="111"/>
  <c r="B3145" i="111"/>
  <c r="B3080" i="111"/>
  <c r="B3047" i="111"/>
  <c r="B3058" i="111"/>
  <c r="B2997" i="111"/>
  <c r="B3037" i="111"/>
  <c r="B3024" i="111"/>
  <c r="B3238" i="111"/>
  <c r="B3200" i="111"/>
  <c r="B3168" i="111"/>
  <c r="B3179" i="111"/>
  <c r="B3117" i="111"/>
  <c r="B3157" i="111"/>
  <c r="B3144" i="111"/>
  <c r="B3079" i="111"/>
  <c r="B3046" i="111"/>
  <c r="B3057" i="111"/>
  <c r="B2996" i="111"/>
  <c r="B3036" i="111"/>
  <c r="B3023" i="111"/>
  <c r="B3237" i="111"/>
  <c r="B3199" i="111"/>
  <c r="B3167" i="111"/>
  <c r="B3178" i="111"/>
  <c r="B3116" i="111"/>
  <c r="B3156" i="111"/>
  <c r="B3143" i="111"/>
  <c r="B3078" i="111"/>
  <c r="B3045" i="111"/>
  <c r="B3056" i="111"/>
  <c r="B2995" i="111"/>
  <c r="B3035" i="111"/>
  <c r="B3022" i="111"/>
  <c r="B3236" i="111"/>
  <c r="B3198" i="111"/>
  <c r="B3166" i="111"/>
  <c r="B3177" i="111"/>
  <c r="B3115" i="111"/>
  <c r="B3155" i="111"/>
  <c r="B3142" i="111"/>
  <c r="B3077" i="111"/>
  <c r="B3055" i="111"/>
  <c r="B2994" i="111"/>
  <c r="B3034" i="111"/>
  <c r="B3021" i="111"/>
  <c r="B3235" i="111"/>
  <c r="B3197" i="111"/>
  <c r="B3165" i="111"/>
  <c r="B3176" i="111"/>
  <c r="B3114" i="111"/>
  <c r="B3154" i="111"/>
  <c r="B3141" i="111"/>
  <c r="B3076" i="111"/>
  <c r="B3044" i="111"/>
  <c r="B3054" i="111"/>
  <c r="B2993" i="111"/>
  <c r="B3033" i="111"/>
  <c r="B3020" i="111"/>
  <c r="B3272" i="111"/>
  <c r="B3234" i="111"/>
  <c r="B3140" i="111"/>
  <c r="B3113" i="111"/>
  <c r="B3019" i="111"/>
  <c r="B3271" i="111"/>
  <c r="B3233" i="111"/>
  <c r="B3139" i="111"/>
  <c r="B3112" i="111"/>
  <c r="B3018" i="111"/>
  <c r="B3270" i="111"/>
  <c r="B3232" i="111"/>
  <c r="B3138" i="111"/>
  <c r="B3111" i="111"/>
  <c r="B3017" i="111"/>
  <c r="B3269" i="111"/>
  <c r="B3231" i="111"/>
  <c r="B3137" i="111"/>
  <c r="B3110" i="111"/>
  <c r="B3016" i="111"/>
  <c r="B3268" i="111"/>
  <c r="B3230" i="111"/>
  <c r="B3153" i="111"/>
  <c r="B3109" i="111"/>
  <c r="B3032" i="111"/>
  <c r="B3267" i="111"/>
  <c r="B3229" i="111"/>
  <c r="B3152" i="111"/>
  <c r="B3108" i="111"/>
  <c r="B3031" i="111"/>
  <c r="B3266" i="111"/>
  <c r="B3228" i="111"/>
  <c r="B3196" i="111"/>
  <c r="B3136" i="111"/>
  <c r="B3107" i="111"/>
  <c r="B3075" i="111"/>
  <c r="B3015" i="111"/>
  <c r="B3265" i="111"/>
  <c r="B3227" i="111"/>
  <c r="B3195" i="111"/>
  <c r="B3135" i="111"/>
  <c r="B3106" i="111"/>
  <c r="B3074" i="111"/>
  <c r="B3014" i="111"/>
  <c r="B3264" i="111"/>
  <c r="B3226" i="111"/>
  <c r="B3194" i="111"/>
  <c r="B3134" i="111"/>
  <c r="B3105" i="111"/>
  <c r="B3073" i="111"/>
  <c r="B3013" i="111"/>
  <c r="B3263" i="111"/>
  <c r="B3225" i="111"/>
  <c r="B3193" i="111"/>
  <c r="B3104" i="111"/>
  <c r="B3072" i="111"/>
  <c r="B3262" i="111"/>
  <c r="B3224" i="111"/>
  <c r="B3103" i="111"/>
  <c r="B3071" i="111"/>
  <c r="B3261" i="111"/>
  <c r="B3223" i="111"/>
  <c r="B3192" i="111"/>
  <c r="B3102" i="111"/>
  <c r="B3070" i="111"/>
  <c r="B3260" i="111"/>
  <c r="B3222" i="111"/>
  <c r="B3133" i="111"/>
  <c r="B3101" i="111"/>
  <c r="B3012" i="111"/>
  <c r="B3259" i="111"/>
  <c r="B3221" i="111"/>
  <c r="B3132" i="111"/>
  <c r="B3100" i="111"/>
  <c r="B3011" i="111"/>
  <c r="B3258" i="111"/>
  <c r="B3220" i="111"/>
  <c r="B3131" i="111"/>
  <c r="B3099" i="111"/>
  <c r="B3010" i="111"/>
  <c r="B3257" i="111"/>
  <c r="B3219" i="111"/>
  <c r="B3130" i="111"/>
  <c r="B3098" i="111"/>
  <c r="B3009" i="111"/>
  <c r="B3256" i="111"/>
  <c r="B3218" i="111"/>
  <c r="B3129" i="111"/>
  <c r="B3097" i="111"/>
  <c r="B3008" i="111"/>
  <c r="B3310" i="111"/>
  <c r="B3309" i="111"/>
  <c r="B3308" i="111"/>
  <c r="B3307" i="111"/>
  <c r="B3306" i="111"/>
  <c r="B3305" i="111"/>
  <c r="B3304" i="111"/>
  <c r="B3286" i="111"/>
  <c r="B3285" i="111"/>
  <c r="B3284" i="111"/>
  <c r="B3283" i="111"/>
  <c r="B3282" i="111"/>
  <c r="B3281" i="111"/>
  <c r="B3280" i="111"/>
  <c r="B3303" i="111"/>
  <c r="B3302" i="111"/>
  <c r="B3301" i="111"/>
  <c r="B3300" i="111"/>
  <c r="B3299" i="111"/>
  <c r="B3298" i="111"/>
  <c r="B3297" i="111"/>
  <c r="B3279" i="111"/>
  <c r="B3278" i="111"/>
  <c r="B3277" i="111"/>
  <c r="B3276" i="111"/>
  <c r="B3275" i="111"/>
  <c r="B3274" i="111"/>
  <c r="B3273" i="111"/>
  <c r="B3289" i="111"/>
  <c r="B3288" i="111"/>
  <c r="B3287" i="111"/>
  <c r="B3296" i="111"/>
  <c r="B3295" i="111"/>
  <c r="B3294" i="111"/>
  <c r="B3293" i="111"/>
  <c r="B3292" i="111"/>
  <c r="B3291" i="111"/>
  <c r="B3290" i="111"/>
  <c r="B3255" i="111"/>
  <c r="B3217" i="111"/>
  <c r="B3191" i="111"/>
  <c r="B3128" i="111"/>
  <c r="B3096" i="111"/>
  <c r="B3069" i="111"/>
  <c r="B3007" i="111"/>
  <c r="B3254" i="111"/>
  <c r="B3216" i="111"/>
  <c r="B3095" i="111"/>
  <c r="B3253" i="111"/>
  <c r="B3215" i="111"/>
  <c r="B3190" i="111"/>
  <c r="B3127" i="111"/>
  <c r="B3094" i="111"/>
  <c r="B3068" i="111"/>
  <c r="B3006" i="111"/>
  <c r="B3252" i="111"/>
  <c r="B3214" i="111"/>
  <c r="B3189" i="111"/>
  <c r="B3126" i="111"/>
  <c r="B3093" i="111"/>
  <c r="B3067" i="111"/>
  <c r="B3005" i="111"/>
  <c r="B3251" i="111"/>
  <c r="B3213" i="111"/>
  <c r="B3188" i="111"/>
  <c r="B3092" i="111"/>
  <c r="B3066" i="111"/>
  <c r="B3250" i="111"/>
  <c r="B3212" i="111"/>
  <c r="B3125" i="111"/>
  <c r="B3091" i="111"/>
  <c r="B3004" i="111"/>
  <c r="B3249" i="111"/>
  <c r="B3211" i="111"/>
  <c r="B3187" i="111"/>
  <c r="B3090" i="111"/>
  <c r="B3065" i="111"/>
  <c r="B3248" i="111"/>
  <c r="B3210" i="111"/>
  <c r="B3089" i="111"/>
  <c r="B2930" i="111"/>
  <c r="B2893" i="111"/>
  <c r="B2859" i="111"/>
  <c r="B2870" i="111"/>
  <c r="B2819" i="111"/>
  <c r="B2846" i="111"/>
  <c r="B2784" i="111"/>
  <c r="B2750" i="111"/>
  <c r="B2761" i="111"/>
  <c r="B2699" i="111"/>
  <c r="B2739" i="111"/>
  <c r="B2726" i="111"/>
  <c r="B2929" i="111"/>
  <c r="B2892" i="111"/>
  <c r="B2858" i="111"/>
  <c r="B2869" i="111"/>
  <c r="B2818" i="111"/>
  <c r="B2845" i="111"/>
  <c r="B2783" i="111"/>
  <c r="B2749" i="111"/>
  <c r="B2760" i="111"/>
  <c r="B2698" i="111"/>
  <c r="B2738" i="111"/>
  <c r="B2725" i="111"/>
  <c r="B2928" i="111"/>
  <c r="B2891" i="111"/>
  <c r="B2857" i="111"/>
  <c r="B2868" i="111"/>
  <c r="B2817" i="111"/>
  <c r="B2844" i="111"/>
  <c r="B2782" i="111"/>
  <c r="B2748" i="111"/>
  <c r="B2759" i="111"/>
  <c r="B2697" i="111"/>
  <c r="B2737" i="111"/>
  <c r="B2724" i="111"/>
  <c r="B2927" i="111"/>
  <c r="B2890" i="111"/>
  <c r="B2856" i="111"/>
  <c r="B2867" i="111"/>
  <c r="B2816" i="111"/>
  <c r="B2843" i="111"/>
  <c r="B2781" i="111"/>
  <c r="B2747" i="111"/>
  <c r="B2758" i="111"/>
  <c r="B2696" i="111"/>
  <c r="B2736" i="111"/>
  <c r="B2723" i="111"/>
  <c r="B2926" i="111"/>
  <c r="B2889" i="111"/>
  <c r="B2855" i="111"/>
  <c r="B2866" i="111"/>
  <c r="B2815" i="111"/>
  <c r="B2842" i="111"/>
  <c r="B2780" i="111"/>
  <c r="B2746" i="111"/>
  <c r="B2757" i="111"/>
  <c r="B2695" i="111"/>
  <c r="B2735" i="111"/>
  <c r="B2722" i="111"/>
  <c r="B2925" i="111"/>
  <c r="B2888" i="111"/>
  <c r="B2854" i="111"/>
  <c r="B2865" i="111"/>
  <c r="B2814" i="111"/>
  <c r="B2841" i="111"/>
  <c r="B2779" i="111"/>
  <c r="B2745" i="111"/>
  <c r="B2756" i="111"/>
  <c r="B2694" i="111"/>
  <c r="B2734" i="111"/>
  <c r="B2721" i="111"/>
  <c r="B2924" i="111"/>
  <c r="B2887" i="111"/>
  <c r="B2778" i="111"/>
  <c r="B2923" i="111"/>
  <c r="B2886" i="111"/>
  <c r="B2777" i="111"/>
  <c r="B2922" i="111"/>
  <c r="B2885" i="111"/>
  <c r="B2853" i="111"/>
  <c r="B2864" i="111"/>
  <c r="B2813" i="111"/>
  <c r="B2840" i="111"/>
  <c r="B2776" i="111"/>
  <c r="B2744" i="111"/>
  <c r="B2755" i="111"/>
  <c r="B2693" i="111"/>
  <c r="B2733" i="111"/>
  <c r="B2720" i="111"/>
  <c r="B2921" i="111"/>
  <c r="B2884" i="111"/>
  <c r="B2852" i="111"/>
  <c r="B2863" i="111"/>
  <c r="B2812" i="111"/>
  <c r="B2839" i="111"/>
  <c r="B2775" i="111"/>
  <c r="B2743" i="111"/>
  <c r="B2754" i="111"/>
  <c r="B2692" i="111"/>
  <c r="B2732" i="111"/>
  <c r="B2719" i="111"/>
  <c r="B2920" i="111"/>
  <c r="B2883" i="111"/>
  <c r="B2851" i="111"/>
  <c r="B2862" i="111"/>
  <c r="B2811" i="111"/>
  <c r="B2838" i="111"/>
  <c r="B2774" i="111"/>
  <c r="B2742" i="111"/>
  <c r="B2753" i="111"/>
  <c r="B2691" i="111"/>
  <c r="B2731" i="111"/>
  <c r="B2718" i="111"/>
  <c r="B2919" i="111"/>
  <c r="B2882" i="111"/>
  <c r="B2850" i="111"/>
  <c r="B2861" i="111"/>
  <c r="B2810" i="111"/>
  <c r="B2837" i="111"/>
  <c r="B2773" i="111"/>
  <c r="B2741" i="111"/>
  <c r="B2752" i="111"/>
  <c r="B2690" i="111"/>
  <c r="B2730" i="111"/>
  <c r="B2717" i="111"/>
  <c r="B2918" i="111"/>
  <c r="B2881" i="111"/>
  <c r="B2849" i="111"/>
  <c r="B2860" i="111"/>
  <c r="B2809" i="111"/>
  <c r="B2836" i="111"/>
  <c r="B2772" i="111"/>
  <c r="B2740" i="111"/>
  <c r="B2751" i="111"/>
  <c r="B2689" i="111"/>
  <c r="B2729" i="111"/>
  <c r="B2716" i="111"/>
  <c r="B2954" i="111"/>
  <c r="B2917" i="111"/>
  <c r="B2835" i="111"/>
  <c r="B2808" i="111"/>
  <c r="B2715" i="111"/>
  <c r="B2953" i="111"/>
  <c r="B2916" i="111"/>
  <c r="B2834" i="111"/>
  <c r="B2807" i="111"/>
  <c r="B2714" i="111"/>
  <c r="B2952" i="111"/>
  <c r="B2915" i="111"/>
  <c r="B2833" i="111"/>
  <c r="B2806" i="111"/>
  <c r="B2713" i="111"/>
  <c r="B2951" i="111"/>
  <c r="B2914" i="111"/>
  <c r="B2832" i="111"/>
  <c r="B2805" i="111"/>
  <c r="B2712" i="111"/>
  <c r="B2950" i="111"/>
  <c r="B2913" i="111"/>
  <c r="B2848" i="111"/>
  <c r="B2804" i="111"/>
  <c r="B2728" i="111"/>
  <c r="B2949" i="111"/>
  <c r="B2912" i="111"/>
  <c r="B2847" i="111"/>
  <c r="B2803" i="111"/>
  <c r="B2727" i="111"/>
  <c r="B2948" i="111"/>
  <c r="B2911" i="111"/>
  <c r="B2880" i="111"/>
  <c r="B2831" i="111"/>
  <c r="B2802" i="111"/>
  <c r="B2771" i="111"/>
  <c r="B2711" i="111"/>
  <c r="B2947" i="111"/>
  <c r="B2910" i="111"/>
  <c r="B2879" i="111"/>
  <c r="B2830" i="111"/>
  <c r="B2801" i="111"/>
  <c r="B2770" i="111"/>
  <c r="B2710" i="111"/>
  <c r="B2946" i="111"/>
  <c r="B2909" i="111"/>
  <c r="B2878" i="111"/>
  <c r="B2829" i="111"/>
  <c r="B2800" i="111"/>
  <c r="B2769" i="111"/>
  <c r="B2709" i="111"/>
  <c r="B2945" i="111"/>
  <c r="B2908" i="111"/>
  <c r="B2877" i="111"/>
  <c r="B2799" i="111"/>
  <c r="B2768" i="111"/>
  <c r="B2944" i="111"/>
  <c r="B2907" i="111"/>
  <c r="B2876" i="111"/>
  <c r="B2798" i="111"/>
  <c r="B2767" i="111"/>
  <c r="B2943" i="111"/>
  <c r="B2906" i="111"/>
  <c r="B2828" i="111"/>
  <c r="B2797" i="111"/>
  <c r="B2708" i="111"/>
  <c r="B2942" i="111"/>
  <c r="B2905" i="111"/>
  <c r="B2827" i="111"/>
  <c r="B2796" i="111"/>
  <c r="B2707" i="111"/>
  <c r="B2941" i="111"/>
  <c r="B2904" i="111"/>
  <c r="B2826" i="111"/>
  <c r="B2795" i="111"/>
  <c r="B2706" i="111"/>
  <c r="B2940" i="111"/>
  <c r="B2903" i="111"/>
  <c r="B2825" i="111"/>
  <c r="B2794" i="111"/>
  <c r="B2705" i="111"/>
  <c r="B2939" i="111"/>
  <c r="B2902" i="111"/>
  <c r="B2824" i="111"/>
  <c r="B2793" i="111"/>
  <c r="B2704" i="111"/>
  <c r="B2992" i="111"/>
  <c r="B2991" i="111"/>
  <c r="B2990" i="111"/>
  <c r="B2989" i="111"/>
  <c r="B2988" i="111"/>
  <c r="B2987" i="111"/>
  <c r="B2986" i="111"/>
  <c r="B2968" i="111"/>
  <c r="B2967" i="111"/>
  <c r="B2966" i="111"/>
  <c r="B2965" i="111"/>
  <c r="B2964" i="111"/>
  <c r="B2963" i="111"/>
  <c r="B2962" i="111"/>
  <c r="B2985" i="111"/>
  <c r="B2984" i="111"/>
  <c r="B2983" i="111"/>
  <c r="B2982" i="111"/>
  <c r="B2981" i="111"/>
  <c r="B2980" i="111"/>
  <c r="B2979" i="111"/>
  <c r="B2961" i="111"/>
  <c r="B2960" i="111"/>
  <c r="B2959" i="111"/>
  <c r="B2958" i="111"/>
  <c r="B2957" i="111"/>
  <c r="B2956" i="111"/>
  <c r="B2955" i="111"/>
  <c r="B2971" i="111"/>
  <c r="B2970" i="111"/>
  <c r="B2969" i="111"/>
  <c r="B2978" i="111"/>
  <c r="B2977" i="111"/>
  <c r="B2976" i="111"/>
  <c r="B2975" i="111"/>
  <c r="B2974" i="111"/>
  <c r="B2973" i="111"/>
  <c r="B2972" i="111"/>
  <c r="B2938" i="111"/>
  <c r="B2901" i="111"/>
  <c r="B2875" i="111"/>
  <c r="B2823" i="111"/>
  <c r="B2792" i="111"/>
  <c r="B2766" i="111"/>
  <c r="B2703" i="111"/>
  <c r="B2937" i="111"/>
  <c r="B2900" i="111"/>
  <c r="B2791" i="111"/>
  <c r="B2936" i="111"/>
  <c r="B2899" i="111"/>
  <c r="B2874" i="111"/>
  <c r="B2822" i="111"/>
  <c r="B2790" i="111"/>
  <c r="B2765" i="111"/>
  <c r="B2702" i="111"/>
  <c r="B2935" i="111"/>
  <c r="B2898" i="111"/>
  <c r="B2873" i="111"/>
  <c r="B2821" i="111"/>
  <c r="B2789" i="111"/>
  <c r="B2764" i="111"/>
  <c r="B2701" i="111"/>
  <c r="B2934" i="111"/>
  <c r="B2897" i="111"/>
  <c r="B2872" i="111"/>
  <c r="B2788" i="111"/>
  <c r="B2763" i="111"/>
  <c r="B2933" i="111"/>
  <c r="B2896" i="111"/>
  <c r="B2871" i="111"/>
  <c r="B2787" i="111"/>
  <c r="B2762" i="111"/>
  <c r="B2932" i="111"/>
  <c r="B2895" i="111"/>
  <c r="B2786" i="111"/>
  <c r="B2931" i="111"/>
  <c r="B2894" i="111"/>
  <c r="B2820" i="111"/>
  <c r="B2785" i="111"/>
  <c r="B2700" i="111"/>
  <c r="B2630" i="111"/>
  <c r="B2594" i="111"/>
  <c r="B2559" i="111"/>
  <c r="B2570" i="111"/>
  <c r="B2508" i="111"/>
  <c r="B2548" i="111"/>
  <c r="B2535" i="111"/>
  <c r="B2474" i="111"/>
  <c r="B2439" i="111"/>
  <c r="B2450" i="111"/>
  <c r="B2388" i="111"/>
  <c r="B2428" i="111"/>
  <c r="B2415" i="111"/>
  <c r="B2629" i="111"/>
  <c r="B2593" i="111"/>
  <c r="B2558" i="111"/>
  <c r="B2569" i="111"/>
  <c r="B2507" i="111"/>
  <c r="B2547" i="111"/>
  <c r="B2534" i="111"/>
  <c r="B2473" i="111"/>
  <c r="B2438" i="111"/>
  <c r="B2449" i="111"/>
  <c r="B2387" i="111"/>
  <c r="B2427" i="111"/>
  <c r="B2414" i="111"/>
  <c r="B2628" i="111"/>
  <c r="B2592" i="111"/>
  <c r="B2557" i="111"/>
  <c r="B2568" i="111"/>
  <c r="B2506" i="111"/>
  <c r="B2546" i="111"/>
  <c r="B2533" i="111"/>
  <c r="B2472" i="111"/>
  <c r="B2437" i="111"/>
  <c r="B2448" i="111"/>
  <c r="B2386" i="111"/>
  <c r="B2426" i="111"/>
  <c r="B2413" i="111"/>
  <c r="B2627" i="111"/>
  <c r="B2591" i="111"/>
  <c r="B2556" i="111"/>
  <c r="B2567" i="111"/>
  <c r="B2505" i="111"/>
  <c r="B2545" i="111"/>
  <c r="B2532" i="111"/>
  <c r="B2471" i="111"/>
  <c r="B2436" i="111"/>
  <c r="B2447" i="111"/>
  <c r="B2385" i="111"/>
  <c r="B2425" i="111"/>
  <c r="B2412" i="111"/>
  <c r="B2626" i="111"/>
  <c r="B2590" i="111"/>
  <c r="B2555" i="111"/>
  <c r="B2566" i="111"/>
  <c r="B2504" i="111"/>
  <c r="B2544" i="111"/>
  <c r="B2531" i="111"/>
  <c r="B2470" i="111"/>
  <c r="B2435" i="111"/>
  <c r="B2446" i="111"/>
  <c r="B2384" i="111"/>
  <c r="B2424" i="111"/>
  <c r="B2411" i="111"/>
  <c r="B2625" i="111"/>
  <c r="B2589" i="111"/>
  <c r="B2554" i="111"/>
  <c r="B2565" i="111"/>
  <c r="B2503" i="111"/>
  <c r="B2543" i="111"/>
  <c r="B2530" i="111"/>
  <c r="B2469" i="111"/>
  <c r="B2434" i="111"/>
  <c r="B2445" i="111"/>
  <c r="B2383" i="111"/>
  <c r="B2423" i="111"/>
  <c r="B2410" i="111"/>
  <c r="B2624" i="111"/>
  <c r="B2588" i="111"/>
  <c r="B2468" i="111"/>
  <c r="B2623" i="111"/>
  <c r="B2587" i="111"/>
  <c r="B2467" i="111"/>
  <c r="B2622" i="111"/>
  <c r="B2586" i="111"/>
  <c r="B2553" i="111"/>
  <c r="B2564" i="111"/>
  <c r="B2502" i="111"/>
  <c r="B2542" i="111"/>
  <c r="B2529" i="111"/>
  <c r="B2466" i="111"/>
  <c r="B2433" i="111"/>
  <c r="B2444" i="111"/>
  <c r="B2382" i="111"/>
  <c r="B2422" i="111"/>
  <c r="B2409" i="111"/>
  <c r="B2621" i="111"/>
  <c r="B2585" i="111"/>
  <c r="B2552" i="111"/>
  <c r="B2563" i="111"/>
  <c r="B2501" i="111"/>
  <c r="B2541" i="111"/>
  <c r="B2528" i="111"/>
  <c r="B2465" i="111"/>
  <c r="B2432" i="111"/>
  <c r="B2443" i="111"/>
  <c r="B2381" i="111"/>
  <c r="B2421" i="111"/>
  <c r="B2408" i="111"/>
  <c r="B2620" i="111"/>
  <c r="B2584" i="111"/>
  <c r="B2551" i="111"/>
  <c r="B2562" i="111"/>
  <c r="B2500" i="111"/>
  <c r="B2540" i="111"/>
  <c r="B2527" i="111"/>
  <c r="B2464" i="111"/>
  <c r="B2431" i="111"/>
  <c r="B2442" i="111"/>
  <c r="B2380" i="111"/>
  <c r="B2420" i="111"/>
  <c r="B2407" i="111"/>
  <c r="B2619" i="111"/>
  <c r="B2583" i="111"/>
  <c r="B2550" i="111"/>
  <c r="B2561" i="111"/>
  <c r="B2499" i="111"/>
  <c r="B2539" i="111"/>
  <c r="B2526" i="111"/>
  <c r="B2463" i="111"/>
  <c r="B2430" i="111"/>
  <c r="B2441" i="111"/>
  <c r="B2379" i="111"/>
  <c r="B2419" i="111"/>
  <c r="B2406" i="111"/>
  <c r="B2618" i="111"/>
  <c r="B2582" i="111"/>
  <c r="B2549" i="111"/>
  <c r="B2560" i="111"/>
  <c r="B2498" i="111"/>
  <c r="B2538" i="111"/>
  <c r="B2525" i="111"/>
  <c r="B2462" i="111"/>
  <c r="B2429" i="111"/>
  <c r="B2440" i="111"/>
  <c r="B2378" i="111"/>
  <c r="B2418" i="111"/>
  <c r="AC59" i="119" l="1"/>
  <c r="Y59" i="119"/>
  <c r="U59" i="119"/>
  <c r="Q59" i="119"/>
  <c r="M59" i="119"/>
  <c r="I59" i="119"/>
  <c r="E59" i="119"/>
  <c r="CU59" i="119"/>
  <c r="CQ59" i="119"/>
  <c r="CM59" i="119"/>
  <c r="CI59" i="119"/>
  <c r="CE59" i="119"/>
  <c r="CA59" i="119"/>
  <c r="BW59" i="119"/>
  <c r="AB59" i="119"/>
  <c r="X59" i="119"/>
  <c r="T59" i="119"/>
  <c r="P59" i="119"/>
  <c r="L59" i="119"/>
  <c r="H59" i="119"/>
  <c r="D59" i="119"/>
  <c r="CT59" i="119"/>
  <c r="CP59" i="119"/>
  <c r="CL59" i="119"/>
  <c r="CH59" i="119"/>
  <c r="CD59" i="119"/>
  <c r="BZ59" i="119"/>
  <c r="BV59" i="119"/>
  <c r="AE59" i="119"/>
  <c r="AA59" i="119"/>
  <c r="W59" i="119"/>
  <c r="S59" i="119"/>
  <c r="O59" i="119"/>
  <c r="K59" i="119"/>
  <c r="G59" i="119"/>
  <c r="C59" i="119"/>
  <c r="CS59" i="119"/>
  <c r="CO59" i="119"/>
  <c r="CK59" i="119"/>
  <c r="CG59" i="119"/>
  <c r="CC59" i="119"/>
  <c r="BY59" i="119"/>
  <c r="BU59" i="119"/>
  <c r="AD59" i="119"/>
  <c r="Z59" i="119"/>
  <c r="V59" i="119"/>
  <c r="R59" i="119"/>
  <c r="N59" i="119"/>
  <c r="J59" i="119"/>
  <c r="F59" i="119"/>
  <c r="CR59" i="119"/>
  <c r="CN59" i="119"/>
  <c r="CJ59" i="119"/>
  <c r="CF59" i="119"/>
  <c r="CB59" i="119"/>
  <c r="C18" i="178"/>
  <c r="DD18" i="178"/>
  <c r="CV18" i="178"/>
  <c r="DH18" i="178"/>
  <c r="CR18" i="178"/>
  <c r="CF18" i="178"/>
  <c r="BV5" i="119"/>
  <c r="BZ5" i="119"/>
  <c r="CD5" i="119"/>
  <c r="CH5" i="119"/>
  <c r="CL5" i="119"/>
  <c r="CP5" i="119"/>
  <c r="CT5" i="119"/>
  <c r="C5" i="119"/>
  <c r="G5" i="119"/>
  <c r="K5" i="119"/>
  <c r="O5" i="119"/>
  <c r="S5" i="119"/>
  <c r="W5" i="119"/>
  <c r="AA5" i="119"/>
  <c r="AE5" i="119"/>
  <c r="BW5" i="119"/>
  <c r="CA5" i="119"/>
  <c r="CE5" i="119"/>
  <c r="CI5" i="119"/>
  <c r="CM5" i="119"/>
  <c r="CQ5" i="119"/>
  <c r="CU5" i="119"/>
  <c r="D5" i="119"/>
  <c r="H5" i="119"/>
  <c r="L5" i="119"/>
  <c r="P5" i="119"/>
  <c r="T5" i="119"/>
  <c r="X5" i="119"/>
  <c r="AB5" i="119"/>
  <c r="BX5" i="119"/>
  <c r="CB5" i="119"/>
  <c r="CF5" i="119"/>
  <c r="CJ5" i="119"/>
  <c r="CN5" i="119"/>
  <c r="CR5" i="119"/>
  <c r="E5" i="119"/>
  <c r="I5" i="119"/>
  <c r="M5" i="119"/>
  <c r="Q5" i="119"/>
  <c r="U5" i="119"/>
  <c r="Y5" i="119"/>
  <c r="AC5" i="119"/>
  <c r="BU5" i="119"/>
  <c r="BY5" i="119"/>
  <c r="CC5" i="119"/>
  <c r="CG5" i="119"/>
  <c r="CK5" i="119"/>
  <c r="CO5" i="119"/>
  <c r="CS5" i="119"/>
  <c r="F5" i="119"/>
  <c r="J5" i="119"/>
  <c r="N5" i="119"/>
  <c r="R5" i="119"/>
  <c r="V5" i="119"/>
  <c r="Z5" i="119"/>
  <c r="AD5" i="119"/>
  <c r="BX7" i="119"/>
  <c r="CB7" i="119"/>
  <c r="CF7" i="119"/>
  <c r="CJ7" i="119"/>
  <c r="CN7" i="119"/>
  <c r="CR7" i="119"/>
  <c r="E7" i="119"/>
  <c r="I7" i="119"/>
  <c r="M7" i="119"/>
  <c r="Q7" i="119"/>
  <c r="U7" i="119"/>
  <c r="Y7" i="119"/>
  <c r="AC7" i="119"/>
  <c r="BU7" i="119"/>
  <c r="BY7" i="119"/>
  <c r="CC7" i="119"/>
  <c r="CG7" i="119"/>
  <c r="CK7" i="119"/>
  <c r="CO7" i="119"/>
  <c r="CS7" i="119"/>
  <c r="F7" i="119"/>
  <c r="J7" i="119"/>
  <c r="N7" i="119"/>
  <c r="R7" i="119"/>
  <c r="V7" i="119"/>
  <c r="Z7" i="119"/>
  <c r="AD7" i="119"/>
  <c r="BV7" i="119"/>
  <c r="BZ7" i="119"/>
  <c r="CD7" i="119"/>
  <c r="CH7" i="119"/>
  <c r="CL7" i="119"/>
  <c r="CP7" i="119"/>
  <c r="CT7" i="119"/>
  <c r="C7" i="119"/>
  <c r="G7" i="119"/>
  <c r="K7" i="119"/>
  <c r="O7" i="119"/>
  <c r="S7" i="119"/>
  <c r="W7" i="119"/>
  <c r="AA7" i="119"/>
  <c r="AE7" i="119"/>
  <c r="BW7" i="119"/>
  <c r="CA7" i="119"/>
  <c r="CE7" i="119"/>
  <c r="CI7" i="119"/>
  <c r="CM7" i="119"/>
  <c r="CQ7" i="119"/>
  <c r="CU7" i="119"/>
  <c r="D7" i="119"/>
  <c r="H7" i="119"/>
  <c r="L7" i="119"/>
  <c r="P7" i="119"/>
  <c r="T7" i="119"/>
  <c r="X7" i="119"/>
  <c r="AB7" i="119"/>
  <c r="BW6" i="119"/>
  <c r="CA6" i="119"/>
  <c r="CE6" i="119"/>
  <c r="CI6" i="119"/>
  <c r="CM6" i="119"/>
  <c r="CQ6" i="119"/>
  <c r="CU6" i="119"/>
  <c r="F6" i="119"/>
  <c r="J6" i="119"/>
  <c r="N6" i="119"/>
  <c r="R6" i="119"/>
  <c r="V6" i="119"/>
  <c r="Z6" i="119"/>
  <c r="AD6" i="119"/>
  <c r="BX6" i="119"/>
  <c r="CB6" i="119"/>
  <c r="CF6" i="119"/>
  <c r="CJ6" i="119"/>
  <c r="CN6" i="119"/>
  <c r="CR6" i="119"/>
  <c r="C6" i="119"/>
  <c r="G6" i="119"/>
  <c r="K6" i="119"/>
  <c r="O6" i="119"/>
  <c r="S6" i="119"/>
  <c r="W6" i="119"/>
  <c r="AA6" i="119"/>
  <c r="AE6" i="119"/>
  <c r="BU6" i="119"/>
  <c r="BY6" i="119"/>
  <c r="CC6" i="119"/>
  <c r="CG6" i="119"/>
  <c r="CK6" i="119"/>
  <c r="CO6" i="119"/>
  <c r="CS6" i="119"/>
  <c r="D6" i="119"/>
  <c r="H6" i="119"/>
  <c r="L6" i="119"/>
  <c r="P6" i="119"/>
  <c r="T6" i="119"/>
  <c r="X6" i="119"/>
  <c r="AB6" i="119"/>
  <c r="BV6" i="119"/>
  <c r="BZ6" i="119"/>
  <c r="CD6" i="119"/>
  <c r="CH6" i="119"/>
  <c r="CL6" i="119"/>
  <c r="CP6" i="119"/>
  <c r="CT6" i="119"/>
  <c r="E6" i="119"/>
  <c r="I6" i="119"/>
  <c r="M6" i="119"/>
  <c r="Q6" i="119"/>
  <c r="U6" i="119"/>
  <c r="Y6" i="119"/>
  <c r="AC6" i="119"/>
  <c r="BW4" i="119"/>
  <c r="CA4" i="119"/>
  <c r="CE4" i="119"/>
  <c r="CI4" i="119"/>
  <c r="CM4" i="119"/>
  <c r="CQ4" i="119"/>
  <c r="CU4" i="119"/>
  <c r="C4" i="119"/>
  <c r="G4" i="119"/>
  <c r="K4" i="119"/>
  <c r="O4" i="119"/>
  <c r="S4" i="119"/>
  <c r="W4" i="119"/>
  <c r="AA4" i="119"/>
  <c r="J4" i="119"/>
  <c r="AD4" i="119"/>
  <c r="BX4" i="119"/>
  <c r="CB4" i="119"/>
  <c r="CF4" i="119"/>
  <c r="CJ4" i="119"/>
  <c r="CN4" i="119"/>
  <c r="CR4" i="119"/>
  <c r="D4" i="119"/>
  <c r="H4" i="119"/>
  <c r="L4" i="119"/>
  <c r="P4" i="119"/>
  <c r="T4" i="119"/>
  <c r="X4" i="119"/>
  <c r="AB4" i="119"/>
  <c r="I4" i="119"/>
  <c r="Q4" i="119"/>
  <c r="Y4" i="119"/>
  <c r="F4" i="119"/>
  <c r="V4" i="119"/>
  <c r="BY4" i="119"/>
  <c r="CC4" i="119"/>
  <c r="CG4" i="119"/>
  <c r="CK4" i="119"/>
  <c r="CO4" i="119"/>
  <c r="CS4" i="119"/>
  <c r="E4" i="119"/>
  <c r="M4" i="119"/>
  <c r="U4" i="119"/>
  <c r="AC4" i="119"/>
  <c r="N4" i="119"/>
  <c r="Z4" i="119"/>
  <c r="BV4" i="119"/>
  <c r="BZ4" i="119"/>
  <c r="CD4" i="119"/>
  <c r="CH4" i="119"/>
  <c r="CL4" i="119"/>
  <c r="CP4" i="119"/>
  <c r="CT4" i="119"/>
  <c r="R4" i="119"/>
  <c r="DB18" i="178"/>
  <c r="CP18" i="178"/>
  <c r="CH18" i="178"/>
  <c r="CT18" i="178"/>
  <c r="CL18" i="178"/>
  <c r="CX18" i="178"/>
  <c r="BO18" i="178"/>
  <c r="BR18" i="178"/>
  <c r="BF18" i="178"/>
  <c r="AT18" i="178"/>
  <c r="AH18" i="178"/>
  <c r="Z18" i="178"/>
  <c r="N18" i="178"/>
  <c r="DJ18" i="178"/>
  <c r="CD18" i="178"/>
  <c r="BQ18" i="178"/>
  <c r="BM18" i="178"/>
  <c r="BI18" i="178"/>
  <c r="BE18" i="178"/>
  <c r="BA18" i="178"/>
  <c r="AW18" i="178"/>
  <c r="AS18" i="178"/>
  <c r="AO18" i="178"/>
  <c r="AK18" i="178"/>
  <c r="AG18" i="178"/>
  <c r="AC18" i="178"/>
  <c r="Y18" i="178"/>
  <c r="U18" i="178"/>
  <c r="Q18" i="178"/>
  <c r="M18" i="178"/>
  <c r="I18" i="178"/>
  <c r="BJ18" i="178"/>
  <c r="AX18" i="178"/>
  <c r="AL18" i="178"/>
  <c r="V18" i="178"/>
  <c r="F18" i="178"/>
  <c r="BN18" i="178"/>
  <c r="BB18" i="178"/>
  <c r="AP18" i="178"/>
  <c r="AD18" i="178"/>
  <c r="R18" i="178"/>
  <c r="J18" i="178"/>
  <c r="DF18" i="178"/>
  <c r="BK18" i="178"/>
  <c r="BG18" i="178"/>
  <c r="BC18" i="178"/>
  <c r="AY18" i="178"/>
  <c r="AU18" i="178"/>
  <c r="AQ18" i="178"/>
  <c r="AM18" i="178"/>
  <c r="AI18" i="178"/>
  <c r="AE18" i="178"/>
  <c r="AA18" i="178"/>
  <c r="W18" i="178"/>
  <c r="S18" i="178"/>
  <c r="O18" i="178"/>
  <c r="K18" i="178"/>
  <c r="G18" i="178"/>
  <c r="D18" i="176"/>
  <c r="H18" i="176"/>
  <c r="L18" i="176"/>
  <c r="P18" i="176"/>
  <c r="T18" i="176"/>
  <c r="X18" i="176"/>
  <c r="AB18" i="176"/>
  <c r="AR33" i="119"/>
  <c r="AR71" i="119"/>
  <c r="AR149" i="119"/>
  <c r="AR86" i="119"/>
  <c r="AR74" i="119"/>
  <c r="AR18" i="119"/>
  <c r="AR123" i="119"/>
  <c r="AR78" i="119"/>
  <c r="AR108" i="119"/>
  <c r="AR101" i="119"/>
  <c r="AR132" i="119"/>
  <c r="AR89" i="119"/>
  <c r="AR106" i="119"/>
  <c r="AR109" i="119"/>
  <c r="AR111" i="119"/>
  <c r="AR138" i="119"/>
  <c r="AR164" i="119"/>
  <c r="AR143" i="119"/>
  <c r="AR115" i="119"/>
  <c r="AR142" i="119"/>
  <c r="AR98" i="119"/>
  <c r="AR147" i="119"/>
  <c r="AR13" i="119"/>
  <c r="AR9" i="119"/>
  <c r="AR99" i="119"/>
  <c r="AR42" i="119"/>
  <c r="AR39" i="119"/>
  <c r="AR45" i="119"/>
  <c r="AR140" i="119"/>
  <c r="AR145" i="119"/>
  <c r="AR136" i="119"/>
  <c r="AR135" i="119"/>
  <c r="AR51" i="119"/>
  <c r="AR34" i="119"/>
  <c r="AR88" i="119"/>
  <c r="AR165" i="119"/>
  <c r="AR126" i="119"/>
  <c r="AR125" i="119"/>
  <c r="AR134" i="119"/>
  <c r="AR127" i="119"/>
  <c r="AR119" i="119"/>
  <c r="AR16" i="119"/>
  <c r="AR121" i="119"/>
  <c r="AJ8" i="174"/>
  <c r="AR55" i="119"/>
  <c r="AR130" i="119"/>
  <c r="AR120" i="119"/>
  <c r="AR117" i="119"/>
  <c r="AR36" i="119"/>
  <c r="AR153" i="119"/>
  <c r="AR96" i="119"/>
  <c r="AR81" i="119"/>
  <c r="AR7" i="119"/>
  <c r="AR17" i="119"/>
  <c r="AR8" i="119"/>
  <c r="AR87" i="119"/>
  <c r="BI23" i="174"/>
  <c r="AV23" i="174"/>
  <c r="AR166" i="119"/>
  <c r="AR57" i="119"/>
  <c r="AR107" i="119"/>
  <c r="AR104" i="119"/>
  <c r="AR6" i="119"/>
  <c r="AR52" i="119"/>
  <c r="AR21" i="119"/>
  <c r="AU9" i="174"/>
  <c r="AZ9" i="174"/>
  <c r="BU9" i="174"/>
  <c r="AK9" i="174"/>
  <c r="BG9" i="174"/>
  <c r="BQ9" i="174"/>
  <c r="BC9" i="174"/>
  <c r="BH9" i="174"/>
  <c r="AN9" i="174"/>
  <c r="AS9" i="174"/>
  <c r="BI9" i="174"/>
  <c r="BO9" i="174"/>
  <c r="BT9" i="174"/>
  <c r="AL22" i="174"/>
  <c r="AP22" i="174"/>
  <c r="AT22" i="174"/>
  <c r="BB22" i="174"/>
  <c r="BF22" i="174"/>
  <c r="BJ22" i="174"/>
  <c r="BR22" i="174"/>
  <c r="AI22" i="174"/>
  <c r="AM22" i="174"/>
  <c r="AQ22" i="174"/>
  <c r="AU22" i="174"/>
  <c r="AY22" i="174"/>
  <c r="BC22" i="174"/>
  <c r="BG22" i="174"/>
  <c r="BK22" i="174"/>
  <c r="BO22" i="174"/>
  <c r="BS22" i="174"/>
  <c r="AJ22" i="174"/>
  <c r="AN22" i="174"/>
  <c r="AR22" i="174"/>
  <c r="AV22" i="174"/>
  <c r="AZ22" i="174"/>
  <c r="BD22" i="174"/>
  <c r="BH22" i="174"/>
  <c r="BL22" i="174"/>
  <c r="BP22" i="174"/>
  <c r="BT22" i="174"/>
  <c r="AK22" i="174"/>
  <c r="AO22" i="174"/>
  <c r="AS22" i="174"/>
  <c r="AW22" i="174"/>
  <c r="BA22" i="174"/>
  <c r="BE22" i="174"/>
  <c r="BI22" i="174"/>
  <c r="BM22" i="174"/>
  <c r="BQ22" i="174"/>
  <c r="BU22" i="174"/>
  <c r="AR25" i="119"/>
  <c r="AR35" i="119"/>
  <c r="AJ24" i="174"/>
  <c r="AN24" i="174"/>
  <c r="AR24" i="174"/>
  <c r="AV24" i="174"/>
  <c r="AZ24" i="174"/>
  <c r="BD24" i="174"/>
  <c r="BH24" i="174"/>
  <c r="BL24" i="174"/>
  <c r="BP24" i="174"/>
  <c r="BT24" i="174"/>
  <c r="AK24" i="174"/>
  <c r="AO24" i="174"/>
  <c r="AS24" i="174"/>
  <c r="AW24" i="174"/>
  <c r="BA24" i="174"/>
  <c r="BE24" i="174"/>
  <c r="BI24" i="174"/>
  <c r="BM24" i="174"/>
  <c r="BQ24" i="174"/>
  <c r="BU24" i="174"/>
  <c r="AH24" i="174"/>
  <c r="AL24" i="174"/>
  <c r="AP24" i="174"/>
  <c r="AT24" i="174"/>
  <c r="AX24" i="174"/>
  <c r="BB24" i="174"/>
  <c r="BF24" i="174"/>
  <c r="BJ24" i="174"/>
  <c r="BN24" i="174"/>
  <c r="BR24" i="174"/>
  <c r="AI24" i="174"/>
  <c r="AM24" i="174"/>
  <c r="AQ24" i="174"/>
  <c r="AU24" i="174"/>
  <c r="AY24" i="174"/>
  <c r="BC24" i="174"/>
  <c r="BG24" i="174"/>
  <c r="BK24" i="174"/>
  <c r="BO24" i="174"/>
  <c r="BS24" i="174"/>
  <c r="AR31" i="119"/>
  <c r="AR37" i="119"/>
  <c r="AR75" i="119"/>
  <c r="AR38" i="119"/>
  <c r="AR80" i="119"/>
  <c r="AR94" i="119"/>
  <c r="AR19" i="119"/>
  <c r="AR110" i="119"/>
  <c r="AR137" i="119"/>
  <c r="AR56" i="119"/>
  <c r="AR22" i="119"/>
  <c r="AI8" i="174"/>
  <c r="AM8" i="174"/>
  <c r="AQ8" i="174"/>
  <c r="AU8" i="174"/>
  <c r="AY8" i="174"/>
  <c r="BC8" i="174"/>
  <c r="BG8" i="174"/>
  <c r="BK8" i="174"/>
  <c r="BO8" i="174"/>
  <c r="BS8" i="174"/>
  <c r="AH9" i="174"/>
  <c r="AL9" i="174"/>
  <c r="AP9" i="174"/>
  <c r="AT9" i="174"/>
  <c r="AX9" i="174"/>
  <c r="BB9" i="174"/>
  <c r="BF9" i="174"/>
  <c r="BJ9" i="174"/>
  <c r="BN9" i="174"/>
  <c r="BR9" i="174"/>
  <c r="AI25" i="174"/>
  <c r="AM25" i="174"/>
  <c r="AQ25" i="174"/>
  <c r="AU25" i="174"/>
  <c r="AY25" i="174"/>
  <c r="BC25" i="174"/>
  <c r="BG25" i="174"/>
  <c r="BK25" i="174"/>
  <c r="BO25" i="174"/>
  <c r="BS25" i="174"/>
  <c r="AJ25" i="174"/>
  <c r="AN25" i="174"/>
  <c r="AR25" i="174"/>
  <c r="AV25" i="174"/>
  <c r="AZ25" i="174"/>
  <c r="BD25" i="174"/>
  <c r="BH25" i="174"/>
  <c r="BL25" i="174"/>
  <c r="BP25" i="174"/>
  <c r="BT25" i="174"/>
  <c r="AK25" i="174"/>
  <c r="AO25" i="174"/>
  <c r="AS25" i="174"/>
  <c r="AW25" i="174"/>
  <c r="BA25" i="174"/>
  <c r="BE25" i="174"/>
  <c r="BI25" i="174"/>
  <c r="BM25" i="174"/>
  <c r="BQ25" i="174"/>
  <c r="BU25" i="174"/>
  <c r="AH25" i="174"/>
  <c r="AL25" i="174"/>
  <c r="AP25" i="174"/>
  <c r="AT25" i="174"/>
  <c r="AX25" i="174"/>
  <c r="BB25" i="174"/>
  <c r="BF25" i="174"/>
  <c r="BJ25" i="174"/>
  <c r="BN25" i="174"/>
  <c r="BR25" i="174"/>
  <c r="AR116" i="119"/>
  <c r="AF116" i="119"/>
  <c r="AW116" i="119"/>
  <c r="BT116" i="119"/>
  <c r="BP116" i="119"/>
  <c r="BL116" i="119"/>
  <c r="BH116" i="119"/>
  <c r="BD116" i="119"/>
  <c r="AZ116" i="119"/>
  <c r="AV116" i="119"/>
  <c r="AQ116" i="119"/>
  <c r="AM116" i="119"/>
  <c r="AI116" i="119"/>
  <c r="BS116" i="119"/>
  <c r="BO116" i="119"/>
  <c r="BK116" i="119"/>
  <c r="BG116" i="119"/>
  <c r="BC116" i="119"/>
  <c r="AY116" i="119"/>
  <c r="AU116" i="119"/>
  <c r="AP116" i="119"/>
  <c r="AL116" i="119"/>
  <c r="AH116" i="119"/>
  <c r="BR116" i="119"/>
  <c r="BN116" i="119"/>
  <c r="BJ116" i="119"/>
  <c r="BF116" i="119"/>
  <c r="BB116" i="119"/>
  <c r="AX116" i="119"/>
  <c r="AT116" i="119"/>
  <c r="AO116" i="119"/>
  <c r="AK116" i="119"/>
  <c r="AG116" i="119"/>
  <c r="BQ116" i="119"/>
  <c r="BM116" i="119"/>
  <c r="BI116" i="119"/>
  <c r="BE116" i="119"/>
  <c r="BA116" i="119"/>
  <c r="AS116" i="119"/>
  <c r="AN116" i="119"/>
  <c r="AJ116" i="119"/>
  <c r="AI101" i="119"/>
  <c r="AI108" i="119"/>
  <c r="AG106" i="119"/>
  <c r="AF96" i="119"/>
  <c r="AG99" i="119"/>
  <c r="AF107" i="119"/>
  <c r="AI104" i="119"/>
  <c r="AH98" i="119"/>
  <c r="AI86" i="119"/>
  <c r="AM86" i="119"/>
  <c r="AQ86" i="119"/>
  <c r="AV86" i="119"/>
  <c r="AZ86" i="119"/>
  <c r="BD86" i="119"/>
  <c r="BH86" i="119"/>
  <c r="BL86" i="119"/>
  <c r="BP86" i="119"/>
  <c r="BT86" i="119"/>
  <c r="AF86" i="119"/>
  <c r="AJ86" i="119"/>
  <c r="AN86" i="119"/>
  <c r="AS86" i="119"/>
  <c r="AW86" i="119"/>
  <c r="BA86" i="119"/>
  <c r="BE86" i="119"/>
  <c r="BI86" i="119"/>
  <c r="BM86" i="119"/>
  <c r="BQ86" i="119"/>
  <c r="AG86" i="119"/>
  <c r="AK86" i="119"/>
  <c r="AO86" i="119"/>
  <c r="AT86" i="119"/>
  <c r="AX86" i="119"/>
  <c r="BB86" i="119"/>
  <c r="BF86" i="119"/>
  <c r="BJ86" i="119"/>
  <c r="BN86" i="119"/>
  <c r="BR86" i="119"/>
  <c r="AH86" i="119"/>
  <c r="AL86" i="119"/>
  <c r="AP86" i="119"/>
  <c r="AU86" i="119"/>
  <c r="AY86" i="119"/>
  <c r="BC86" i="119"/>
  <c r="BG86" i="119"/>
  <c r="BK86" i="119"/>
  <c r="BO86" i="119"/>
  <c r="BS86" i="119"/>
  <c r="AG42" i="119"/>
  <c r="AK42" i="119"/>
  <c r="AO42" i="119"/>
  <c r="AT42" i="119"/>
  <c r="AX42" i="119"/>
  <c r="BB42" i="119"/>
  <c r="BF42" i="119"/>
  <c r="BJ42" i="119"/>
  <c r="BN42" i="119"/>
  <c r="BR42" i="119"/>
  <c r="AH42" i="119"/>
  <c r="AL42" i="119"/>
  <c r="AP42" i="119"/>
  <c r="AU42" i="119"/>
  <c r="AY42" i="119"/>
  <c r="BC42" i="119"/>
  <c r="BG42" i="119"/>
  <c r="BK42" i="119"/>
  <c r="BO42" i="119"/>
  <c r="BS42" i="119"/>
  <c r="AI42" i="119"/>
  <c r="AM42" i="119"/>
  <c r="AQ42" i="119"/>
  <c r="AV42" i="119"/>
  <c r="AZ42" i="119"/>
  <c r="BD42" i="119"/>
  <c r="BH42" i="119"/>
  <c r="BL42" i="119"/>
  <c r="BP42" i="119"/>
  <c r="BT42" i="119"/>
  <c r="AF42" i="119"/>
  <c r="AJ42" i="119"/>
  <c r="AN42" i="119"/>
  <c r="AS42" i="119"/>
  <c r="AW42" i="119"/>
  <c r="BA42" i="119"/>
  <c r="BE42" i="119"/>
  <c r="BI42" i="119"/>
  <c r="BM42" i="119"/>
  <c r="BQ42" i="119"/>
  <c r="AF36" i="119"/>
  <c r="AJ36" i="119"/>
  <c r="AN36" i="119"/>
  <c r="AS36" i="119"/>
  <c r="AW36" i="119"/>
  <c r="BA36" i="119"/>
  <c r="BE36" i="119"/>
  <c r="BI36" i="119"/>
  <c r="BM36" i="119"/>
  <c r="BQ36" i="119"/>
  <c r="AG36" i="119"/>
  <c r="AK36" i="119"/>
  <c r="AO36" i="119"/>
  <c r="AT36" i="119"/>
  <c r="AX36" i="119"/>
  <c r="BB36" i="119"/>
  <c r="BF36" i="119"/>
  <c r="BJ36" i="119"/>
  <c r="BN36" i="119"/>
  <c r="BR36" i="119"/>
  <c r="AH36" i="119"/>
  <c r="AL36" i="119"/>
  <c r="AP36" i="119"/>
  <c r="AU36" i="119"/>
  <c r="AY36" i="119"/>
  <c r="BC36" i="119"/>
  <c r="BG36" i="119"/>
  <c r="BK36" i="119"/>
  <c r="BO36" i="119"/>
  <c r="BS36" i="119"/>
  <c r="AI36" i="119"/>
  <c r="AM36" i="119"/>
  <c r="AQ36" i="119"/>
  <c r="AV36" i="119"/>
  <c r="AZ36" i="119"/>
  <c r="BD36" i="119"/>
  <c r="BH36" i="119"/>
  <c r="BL36" i="119"/>
  <c r="BP36" i="119"/>
  <c r="BT36" i="119"/>
  <c r="AI74" i="119"/>
  <c r="AM74" i="119"/>
  <c r="AQ74" i="119"/>
  <c r="AV74" i="119"/>
  <c r="AZ74" i="119"/>
  <c r="BD74" i="119"/>
  <c r="BH74" i="119"/>
  <c r="BL74" i="119"/>
  <c r="BP74" i="119"/>
  <c r="BT74" i="119"/>
  <c r="AF74" i="119"/>
  <c r="AJ74" i="119"/>
  <c r="AN74" i="119"/>
  <c r="AS74" i="119"/>
  <c r="AW74" i="119"/>
  <c r="BA74" i="119"/>
  <c r="BE74" i="119"/>
  <c r="BI74" i="119"/>
  <c r="BM74" i="119"/>
  <c r="BQ74" i="119"/>
  <c r="AG74" i="119"/>
  <c r="AK74" i="119"/>
  <c r="AO74" i="119"/>
  <c r="AT74" i="119"/>
  <c r="AX74" i="119"/>
  <c r="BB74" i="119"/>
  <c r="BF74" i="119"/>
  <c r="BJ74" i="119"/>
  <c r="BN74" i="119"/>
  <c r="BR74" i="119"/>
  <c r="AH74" i="119"/>
  <c r="AL74" i="119"/>
  <c r="AP74" i="119"/>
  <c r="AU74" i="119"/>
  <c r="AY74" i="119"/>
  <c r="BC74" i="119"/>
  <c r="BG74" i="119"/>
  <c r="BK74" i="119"/>
  <c r="BO74" i="119"/>
  <c r="BS74" i="119"/>
  <c r="AI153" i="119"/>
  <c r="AF153" i="119"/>
  <c r="AJ153" i="119"/>
  <c r="AN153" i="119"/>
  <c r="AS153" i="119"/>
  <c r="AW153" i="119"/>
  <c r="BA153" i="119"/>
  <c r="BE153" i="119"/>
  <c r="BI153" i="119"/>
  <c r="BM153" i="119"/>
  <c r="AG153" i="119"/>
  <c r="AK153" i="119"/>
  <c r="AO153" i="119"/>
  <c r="AT153" i="119"/>
  <c r="AX153" i="119"/>
  <c r="BB153" i="119"/>
  <c r="BF153" i="119"/>
  <c r="BJ153" i="119"/>
  <c r="AH153" i="119"/>
  <c r="AL153" i="119"/>
  <c r="AP153" i="119"/>
  <c r="AU153" i="119"/>
  <c r="AY153" i="119"/>
  <c r="BC153" i="119"/>
  <c r="BG153" i="119"/>
  <c r="BK153" i="119"/>
  <c r="BO153" i="119"/>
  <c r="AM153" i="119"/>
  <c r="BD153" i="119"/>
  <c r="BP153" i="119"/>
  <c r="BT153" i="119"/>
  <c r="AQ153" i="119"/>
  <c r="BH153" i="119"/>
  <c r="BQ153" i="119"/>
  <c r="AV153" i="119"/>
  <c r="BL153" i="119"/>
  <c r="BR153" i="119"/>
  <c r="AZ153" i="119"/>
  <c r="BN153" i="119"/>
  <c r="BS153" i="119"/>
  <c r="AG80" i="119"/>
  <c r="AK80" i="119"/>
  <c r="AO80" i="119"/>
  <c r="AT80" i="119"/>
  <c r="AX80" i="119"/>
  <c r="BB80" i="119"/>
  <c r="BF80" i="119"/>
  <c r="BJ80" i="119"/>
  <c r="BN80" i="119"/>
  <c r="BR80" i="119"/>
  <c r="AH80" i="119"/>
  <c r="AL80" i="119"/>
  <c r="AP80" i="119"/>
  <c r="AU80" i="119"/>
  <c r="AY80" i="119"/>
  <c r="BC80" i="119"/>
  <c r="BG80" i="119"/>
  <c r="BK80" i="119"/>
  <c r="BO80" i="119"/>
  <c r="BS80" i="119"/>
  <c r="AI80" i="119"/>
  <c r="AM80" i="119"/>
  <c r="AQ80" i="119"/>
  <c r="AV80" i="119"/>
  <c r="AZ80" i="119"/>
  <c r="BD80" i="119"/>
  <c r="BH80" i="119"/>
  <c r="BL80" i="119"/>
  <c r="BP80" i="119"/>
  <c r="BT80" i="119"/>
  <c r="AF80" i="119"/>
  <c r="AJ80" i="119"/>
  <c r="AN80" i="119"/>
  <c r="AS80" i="119"/>
  <c r="AW80" i="119"/>
  <c r="BA80" i="119"/>
  <c r="BE80" i="119"/>
  <c r="BI80" i="119"/>
  <c r="BM80" i="119"/>
  <c r="BQ80" i="119"/>
  <c r="AF55" i="119"/>
  <c r="AJ55" i="119"/>
  <c r="AN55" i="119"/>
  <c r="AS55" i="119"/>
  <c r="AW55" i="119"/>
  <c r="BA55" i="119"/>
  <c r="BE55" i="119"/>
  <c r="BI55" i="119"/>
  <c r="BM55" i="119"/>
  <c r="BQ55" i="119"/>
  <c r="AG55" i="119"/>
  <c r="AK55" i="119"/>
  <c r="AO55" i="119"/>
  <c r="AT55" i="119"/>
  <c r="AX55" i="119"/>
  <c r="BB55" i="119"/>
  <c r="BF55" i="119"/>
  <c r="BJ55" i="119"/>
  <c r="BN55" i="119"/>
  <c r="BR55" i="119"/>
  <c r="AH55" i="119"/>
  <c r="AL55" i="119"/>
  <c r="AP55" i="119"/>
  <c r="AU55" i="119"/>
  <c r="AY55" i="119"/>
  <c r="BC55" i="119"/>
  <c r="BG55" i="119"/>
  <c r="BK55" i="119"/>
  <c r="BO55" i="119"/>
  <c r="BS55" i="119"/>
  <c r="AI55" i="119"/>
  <c r="AM55" i="119"/>
  <c r="AQ55" i="119"/>
  <c r="AV55" i="119"/>
  <c r="AZ55" i="119"/>
  <c r="BD55" i="119"/>
  <c r="BH55" i="119"/>
  <c r="BL55" i="119"/>
  <c r="BP55" i="119"/>
  <c r="BT55" i="119"/>
  <c r="AH94" i="119"/>
  <c r="AL94" i="119"/>
  <c r="AP94" i="119"/>
  <c r="AU94" i="119"/>
  <c r="AY94" i="119"/>
  <c r="BC94" i="119"/>
  <c r="BG94" i="119"/>
  <c r="BK94" i="119"/>
  <c r="BO94" i="119"/>
  <c r="BS94" i="119"/>
  <c r="AI94" i="119"/>
  <c r="AM94" i="119"/>
  <c r="AQ94" i="119"/>
  <c r="AV94" i="119"/>
  <c r="AZ94" i="119"/>
  <c r="BD94" i="119"/>
  <c r="BH94" i="119"/>
  <c r="BL94" i="119"/>
  <c r="BP94" i="119"/>
  <c r="BT94" i="119"/>
  <c r="AF94" i="119"/>
  <c r="AJ94" i="119"/>
  <c r="AN94" i="119"/>
  <c r="AS94" i="119"/>
  <c r="AW94" i="119"/>
  <c r="BA94" i="119"/>
  <c r="BE94" i="119"/>
  <c r="BI94" i="119"/>
  <c r="BM94" i="119"/>
  <c r="BQ94" i="119"/>
  <c r="AG94" i="119"/>
  <c r="AK94" i="119"/>
  <c r="AO94" i="119"/>
  <c r="AT94" i="119"/>
  <c r="AX94" i="119"/>
  <c r="BB94" i="119"/>
  <c r="BF94" i="119"/>
  <c r="BJ94" i="119"/>
  <c r="BN94" i="119"/>
  <c r="AG19" i="119"/>
  <c r="AK19" i="119"/>
  <c r="AI19" i="119"/>
  <c r="AM19" i="119"/>
  <c r="AQ19" i="119"/>
  <c r="AV19" i="119"/>
  <c r="AZ19" i="119"/>
  <c r="AJ19" i="119"/>
  <c r="AP19" i="119"/>
  <c r="AW19" i="119"/>
  <c r="BB19" i="119"/>
  <c r="BF19" i="119"/>
  <c r="BJ19" i="119"/>
  <c r="BN19" i="119"/>
  <c r="BR19" i="119"/>
  <c r="AL19" i="119"/>
  <c r="AS19" i="119"/>
  <c r="AX19" i="119"/>
  <c r="BC19" i="119"/>
  <c r="BG19" i="119"/>
  <c r="BK19" i="119"/>
  <c r="BO19" i="119"/>
  <c r="BS19" i="119"/>
  <c r="AF19" i="119"/>
  <c r="AN19" i="119"/>
  <c r="AT19" i="119"/>
  <c r="AY19" i="119"/>
  <c r="BD19" i="119"/>
  <c r="BH19" i="119"/>
  <c r="BL19" i="119"/>
  <c r="BP19" i="119"/>
  <c r="BT19" i="119"/>
  <c r="AH19" i="119"/>
  <c r="AO19" i="119"/>
  <c r="AU19" i="119"/>
  <c r="BA19" i="119"/>
  <c r="BE19" i="119"/>
  <c r="BI19" i="119"/>
  <c r="BM19" i="119"/>
  <c r="BQ19" i="119"/>
  <c r="AF110" i="119"/>
  <c r="AJ110" i="119"/>
  <c r="AN110" i="119"/>
  <c r="AS110" i="119"/>
  <c r="AW110" i="119"/>
  <c r="BA110" i="119"/>
  <c r="BE110" i="119"/>
  <c r="BI110" i="119"/>
  <c r="BM110" i="119"/>
  <c r="BQ110" i="119"/>
  <c r="BU110" i="119"/>
  <c r="AG110" i="119"/>
  <c r="AK110" i="119"/>
  <c r="AO110" i="119"/>
  <c r="AT110" i="119"/>
  <c r="AX110" i="119"/>
  <c r="BB110" i="119"/>
  <c r="BF110" i="119"/>
  <c r="BJ110" i="119"/>
  <c r="BN110" i="119"/>
  <c r="BR110" i="119"/>
  <c r="AI110" i="119"/>
  <c r="AQ110" i="119"/>
  <c r="AZ110" i="119"/>
  <c r="BH110" i="119"/>
  <c r="BP110" i="119"/>
  <c r="AL110" i="119"/>
  <c r="AU110" i="119"/>
  <c r="BC110" i="119"/>
  <c r="BK110" i="119"/>
  <c r="BS110" i="119"/>
  <c r="AM110" i="119"/>
  <c r="AV110" i="119"/>
  <c r="BD110" i="119"/>
  <c r="BL110" i="119"/>
  <c r="BT110" i="119"/>
  <c r="AH110" i="119"/>
  <c r="AP110" i="119"/>
  <c r="AY110" i="119"/>
  <c r="BG110" i="119"/>
  <c r="BO110" i="119"/>
  <c r="AE110" i="119"/>
  <c r="AF111" i="119"/>
  <c r="AJ111" i="119"/>
  <c r="AN111" i="119"/>
  <c r="AS111" i="119"/>
  <c r="AW111" i="119"/>
  <c r="BA111" i="119"/>
  <c r="BE111" i="119"/>
  <c r="BI111" i="119"/>
  <c r="BM111" i="119"/>
  <c r="BQ111" i="119"/>
  <c r="AH111" i="119"/>
  <c r="AP111" i="119"/>
  <c r="AY111" i="119"/>
  <c r="BG111" i="119"/>
  <c r="BO111" i="119"/>
  <c r="AK111" i="119"/>
  <c r="AT111" i="119"/>
  <c r="BB111" i="119"/>
  <c r="BJ111" i="119"/>
  <c r="BR111" i="119"/>
  <c r="AL111" i="119"/>
  <c r="AU111" i="119"/>
  <c r="BC111" i="119"/>
  <c r="BK111" i="119"/>
  <c r="BS111" i="119"/>
  <c r="AG111" i="119"/>
  <c r="AO111" i="119"/>
  <c r="AX111" i="119"/>
  <c r="BF111" i="119"/>
  <c r="BN111" i="119"/>
  <c r="AI137" i="119"/>
  <c r="AM137" i="119"/>
  <c r="AQ137" i="119"/>
  <c r="AF137" i="119"/>
  <c r="AJ137" i="119"/>
  <c r="AN137" i="119"/>
  <c r="AS137" i="119"/>
  <c r="AW137" i="119"/>
  <c r="AG137" i="119"/>
  <c r="AH137" i="119"/>
  <c r="AL137" i="119"/>
  <c r="AK137" i="119"/>
  <c r="AU137" i="119"/>
  <c r="AZ137" i="119"/>
  <c r="BD137" i="119"/>
  <c r="BH137" i="119"/>
  <c r="BL137" i="119"/>
  <c r="BP137" i="119"/>
  <c r="BT137" i="119"/>
  <c r="AO137" i="119"/>
  <c r="AV137" i="119"/>
  <c r="BA137" i="119"/>
  <c r="BE137" i="119"/>
  <c r="BI137" i="119"/>
  <c r="BM137" i="119"/>
  <c r="BQ137" i="119"/>
  <c r="AP137" i="119"/>
  <c r="AX137" i="119"/>
  <c r="BB137" i="119"/>
  <c r="BF137" i="119"/>
  <c r="BJ137" i="119"/>
  <c r="BN137" i="119"/>
  <c r="BR137" i="119"/>
  <c r="AT137" i="119"/>
  <c r="AY137" i="119"/>
  <c r="BC137" i="119"/>
  <c r="BG137" i="119"/>
  <c r="BK137" i="119"/>
  <c r="BO137" i="119"/>
  <c r="BS137" i="119"/>
  <c r="AF164" i="119"/>
  <c r="AJ164" i="119"/>
  <c r="AN164" i="119"/>
  <c r="AS164" i="119"/>
  <c r="AW164" i="119"/>
  <c r="BA164" i="119"/>
  <c r="BE164" i="119"/>
  <c r="BI164" i="119"/>
  <c r="BM164" i="119"/>
  <c r="BQ164" i="119"/>
  <c r="AG164" i="119"/>
  <c r="AK164" i="119"/>
  <c r="AO164" i="119"/>
  <c r="AT164" i="119"/>
  <c r="AX164" i="119"/>
  <c r="BB164" i="119"/>
  <c r="BF164" i="119"/>
  <c r="BJ164" i="119"/>
  <c r="BN164" i="119"/>
  <c r="BR164" i="119"/>
  <c r="AH164" i="119"/>
  <c r="AL164" i="119"/>
  <c r="AP164" i="119"/>
  <c r="AU164" i="119"/>
  <c r="AY164" i="119"/>
  <c r="BC164" i="119"/>
  <c r="BG164" i="119"/>
  <c r="BK164" i="119"/>
  <c r="BO164" i="119"/>
  <c r="BS164" i="119"/>
  <c r="AI164" i="119"/>
  <c r="AM164" i="119"/>
  <c r="AQ164" i="119"/>
  <c r="AV164" i="119"/>
  <c r="AZ164" i="119"/>
  <c r="BD164" i="119"/>
  <c r="BH164" i="119"/>
  <c r="BL164" i="119"/>
  <c r="BP164" i="119"/>
  <c r="BT164" i="119"/>
  <c r="AH130" i="119"/>
  <c r="AL130" i="119"/>
  <c r="AP130" i="119"/>
  <c r="AU130" i="119"/>
  <c r="AY130" i="119"/>
  <c r="BC130" i="119"/>
  <c r="BG130" i="119"/>
  <c r="BK130" i="119"/>
  <c r="BO130" i="119"/>
  <c r="BS130" i="119"/>
  <c r="AI130" i="119"/>
  <c r="AM130" i="119"/>
  <c r="AQ130" i="119"/>
  <c r="AV130" i="119"/>
  <c r="AZ130" i="119"/>
  <c r="BD130" i="119"/>
  <c r="BH130" i="119"/>
  <c r="BL130" i="119"/>
  <c r="BP130" i="119"/>
  <c r="BT130" i="119"/>
  <c r="AF130" i="119"/>
  <c r="AJ130" i="119"/>
  <c r="AN130" i="119"/>
  <c r="AS130" i="119"/>
  <c r="AW130" i="119"/>
  <c r="BA130" i="119"/>
  <c r="BE130" i="119"/>
  <c r="BI130" i="119"/>
  <c r="BM130" i="119"/>
  <c r="BQ130" i="119"/>
  <c r="AG130" i="119"/>
  <c r="AK130" i="119"/>
  <c r="AO130" i="119"/>
  <c r="AT130" i="119"/>
  <c r="AX130" i="119"/>
  <c r="BB130" i="119"/>
  <c r="BF130" i="119"/>
  <c r="BJ130" i="119"/>
  <c r="BN130" i="119"/>
  <c r="BR130" i="119"/>
  <c r="AG127" i="119"/>
  <c r="AK127" i="119"/>
  <c r="AO127" i="119"/>
  <c r="AT127" i="119"/>
  <c r="AX127" i="119"/>
  <c r="BB127" i="119"/>
  <c r="BF127" i="119"/>
  <c r="BJ127" i="119"/>
  <c r="BN127" i="119"/>
  <c r="BR127" i="119"/>
  <c r="AH127" i="119"/>
  <c r="AL127" i="119"/>
  <c r="AP127" i="119"/>
  <c r="AU127" i="119"/>
  <c r="AY127" i="119"/>
  <c r="BC127" i="119"/>
  <c r="BG127" i="119"/>
  <c r="BK127" i="119"/>
  <c r="BO127" i="119"/>
  <c r="BS127" i="119"/>
  <c r="AI127" i="119"/>
  <c r="AM127" i="119"/>
  <c r="AQ127" i="119"/>
  <c r="AV127" i="119"/>
  <c r="AZ127" i="119"/>
  <c r="BD127" i="119"/>
  <c r="BH127" i="119"/>
  <c r="BL127" i="119"/>
  <c r="BP127" i="119"/>
  <c r="BT127" i="119"/>
  <c r="AF127" i="119"/>
  <c r="AJ127" i="119"/>
  <c r="AN127" i="119"/>
  <c r="AS127" i="119"/>
  <c r="AW127" i="119"/>
  <c r="BA127" i="119"/>
  <c r="BE127" i="119"/>
  <c r="BI127" i="119"/>
  <c r="BM127" i="119"/>
  <c r="BQ127" i="119"/>
  <c r="AG143" i="119"/>
  <c r="AK143" i="119"/>
  <c r="AO143" i="119"/>
  <c r="AT143" i="119"/>
  <c r="AX143" i="119"/>
  <c r="BB143" i="119"/>
  <c r="BF143" i="119"/>
  <c r="BJ143" i="119"/>
  <c r="BN143" i="119"/>
  <c r="BR143" i="119"/>
  <c r="AH143" i="119"/>
  <c r="AL143" i="119"/>
  <c r="AP143" i="119"/>
  <c r="AU143" i="119"/>
  <c r="AY143" i="119"/>
  <c r="BC143" i="119"/>
  <c r="BG143" i="119"/>
  <c r="BK143" i="119"/>
  <c r="BO143" i="119"/>
  <c r="BS143" i="119"/>
  <c r="AI143" i="119"/>
  <c r="AM143" i="119"/>
  <c r="AQ143" i="119"/>
  <c r="AV143" i="119"/>
  <c r="AZ143" i="119"/>
  <c r="BD143" i="119"/>
  <c r="BH143" i="119"/>
  <c r="BL143" i="119"/>
  <c r="BP143" i="119"/>
  <c r="BT143" i="119"/>
  <c r="AF143" i="119"/>
  <c r="AJ143" i="119"/>
  <c r="AN143" i="119"/>
  <c r="AS143" i="119"/>
  <c r="AW143" i="119"/>
  <c r="BA143" i="119"/>
  <c r="BE143" i="119"/>
  <c r="BI143" i="119"/>
  <c r="BM143" i="119"/>
  <c r="BQ143" i="119"/>
  <c r="AI149" i="119"/>
  <c r="AM149" i="119"/>
  <c r="AQ149" i="119"/>
  <c r="AV149" i="119"/>
  <c r="AZ149" i="119"/>
  <c r="BD149" i="119"/>
  <c r="BH149" i="119"/>
  <c r="BL149" i="119"/>
  <c r="BP149" i="119"/>
  <c r="BT149" i="119"/>
  <c r="AF149" i="119"/>
  <c r="AJ149" i="119"/>
  <c r="AN149" i="119"/>
  <c r="AS149" i="119"/>
  <c r="AW149" i="119"/>
  <c r="BA149" i="119"/>
  <c r="BE149" i="119"/>
  <c r="BI149" i="119"/>
  <c r="BM149" i="119"/>
  <c r="BQ149" i="119"/>
  <c r="AG149" i="119"/>
  <c r="AK149" i="119"/>
  <c r="AO149" i="119"/>
  <c r="AT149" i="119"/>
  <c r="AX149" i="119"/>
  <c r="BB149" i="119"/>
  <c r="BF149" i="119"/>
  <c r="BJ149" i="119"/>
  <c r="BN149" i="119"/>
  <c r="BR149" i="119"/>
  <c r="AH149" i="119"/>
  <c r="AL149" i="119"/>
  <c r="AP149" i="119"/>
  <c r="AU149" i="119"/>
  <c r="AY149" i="119"/>
  <c r="BC149" i="119"/>
  <c r="BG149" i="119"/>
  <c r="BK149" i="119"/>
  <c r="BO149" i="119"/>
  <c r="BS149" i="119"/>
  <c r="AG109" i="119"/>
  <c r="AK109" i="119"/>
  <c r="AO109" i="119"/>
  <c r="AT109" i="119"/>
  <c r="AX109" i="119"/>
  <c r="BB109" i="119"/>
  <c r="BF109" i="119"/>
  <c r="BJ109" i="119"/>
  <c r="BN109" i="119"/>
  <c r="BR109" i="119"/>
  <c r="AH109" i="119"/>
  <c r="AL109" i="119"/>
  <c r="AP109" i="119"/>
  <c r="AU109" i="119"/>
  <c r="AY109" i="119"/>
  <c r="BC109" i="119"/>
  <c r="BG109" i="119"/>
  <c r="BK109" i="119"/>
  <c r="BO109" i="119"/>
  <c r="BS109" i="119"/>
  <c r="AH87" i="119"/>
  <c r="AL87" i="119"/>
  <c r="AP87" i="119"/>
  <c r="AU87" i="119"/>
  <c r="AY87" i="119"/>
  <c r="BC87" i="119"/>
  <c r="BG87" i="119"/>
  <c r="BK87" i="119"/>
  <c r="BO87" i="119"/>
  <c r="BS87" i="119"/>
  <c r="AI87" i="119"/>
  <c r="AM87" i="119"/>
  <c r="AQ87" i="119"/>
  <c r="AV87" i="119"/>
  <c r="AZ87" i="119"/>
  <c r="BD87" i="119"/>
  <c r="BH87" i="119"/>
  <c r="BL87" i="119"/>
  <c r="BP87" i="119"/>
  <c r="BT87" i="119"/>
  <c r="AF87" i="119"/>
  <c r="AJ87" i="119"/>
  <c r="AN87" i="119"/>
  <c r="AS87" i="119"/>
  <c r="AW87" i="119"/>
  <c r="BA87" i="119"/>
  <c r="BE87" i="119"/>
  <c r="BI87" i="119"/>
  <c r="BM87" i="119"/>
  <c r="BQ87" i="119"/>
  <c r="AG87" i="119"/>
  <c r="AK87" i="119"/>
  <c r="AO87" i="119"/>
  <c r="AT87" i="119"/>
  <c r="AX87" i="119"/>
  <c r="BB87" i="119"/>
  <c r="BF87" i="119"/>
  <c r="BJ87" i="119"/>
  <c r="BN87" i="119"/>
  <c r="BR87" i="119"/>
  <c r="AF120" i="119"/>
  <c r="AJ120" i="119"/>
  <c r="AN120" i="119"/>
  <c r="AS120" i="119"/>
  <c r="AW120" i="119"/>
  <c r="BA120" i="119"/>
  <c r="BE120" i="119"/>
  <c r="AG120" i="119"/>
  <c r="AK120" i="119"/>
  <c r="AO120" i="119"/>
  <c r="AT120" i="119"/>
  <c r="AX120" i="119"/>
  <c r="BB120" i="119"/>
  <c r="BF120" i="119"/>
  <c r="BJ120" i="119"/>
  <c r="BN120" i="119"/>
  <c r="BR120" i="119"/>
  <c r="AH120" i="119"/>
  <c r="AL120" i="119"/>
  <c r="AP120" i="119"/>
  <c r="AU120" i="119"/>
  <c r="AY120" i="119"/>
  <c r="BC120" i="119"/>
  <c r="BG120" i="119"/>
  <c r="BK120" i="119"/>
  <c r="BO120" i="119"/>
  <c r="BS120" i="119"/>
  <c r="AM120" i="119"/>
  <c r="BD120" i="119"/>
  <c r="BM120" i="119"/>
  <c r="AQ120" i="119"/>
  <c r="BH120" i="119"/>
  <c r="BP120" i="119"/>
  <c r="AV120" i="119"/>
  <c r="BI120" i="119"/>
  <c r="BQ120" i="119"/>
  <c r="AI120" i="119"/>
  <c r="AZ120" i="119"/>
  <c r="BL120" i="119"/>
  <c r="BT120" i="119"/>
  <c r="AH117" i="119"/>
  <c r="AL117" i="119"/>
  <c r="AG117" i="119"/>
  <c r="AM117" i="119"/>
  <c r="AQ117" i="119"/>
  <c r="AV117" i="119"/>
  <c r="AZ117" i="119"/>
  <c r="BD117" i="119"/>
  <c r="BH117" i="119"/>
  <c r="BL117" i="119"/>
  <c r="BP117" i="119"/>
  <c r="BT117" i="119"/>
  <c r="AI117" i="119"/>
  <c r="AN117" i="119"/>
  <c r="AS117" i="119"/>
  <c r="AW117" i="119"/>
  <c r="BA117" i="119"/>
  <c r="BE117" i="119"/>
  <c r="BI117" i="119"/>
  <c r="BM117" i="119"/>
  <c r="BQ117" i="119"/>
  <c r="AJ117" i="119"/>
  <c r="AO117" i="119"/>
  <c r="AT117" i="119"/>
  <c r="AX117" i="119"/>
  <c r="BB117" i="119"/>
  <c r="BF117" i="119"/>
  <c r="BJ117" i="119"/>
  <c r="BN117" i="119"/>
  <c r="BR117" i="119"/>
  <c r="AF117" i="119"/>
  <c r="AK117" i="119"/>
  <c r="AP117" i="119"/>
  <c r="AU117" i="119"/>
  <c r="AY117" i="119"/>
  <c r="BC117" i="119"/>
  <c r="BG117" i="119"/>
  <c r="BK117" i="119"/>
  <c r="BO117" i="119"/>
  <c r="BS117" i="119"/>
  <c r="AI56" i="119"/>
  <c r="AM56" i="119"/>
  <c r="AQ56" i="119"/>
  <c r="AV56" i="119"/>
  <c r="AZ56" i="119"/>
  <c r="BD56" i="119"/>
  <c r="BH56" i="119"/>
  <c r="BL56" i="119"/>
  <c r="BP56" i="119"/>
  <c r="BT56" i="119"/>
  <c r="AF56" i="119"/>
  <c r="AJ56" i="119"/>
  <c r="AN56" i="119"/>
  <c r="AS56" i="119"/>
  <c r="AW56" i="119"/>
  <c r="BA56" i="119"/>
  <c r="BE56" i="119"/>
  <c r="BI56" i="119"/>
  <c r="BM56" i="119"/>
  <c r="BQ56" i="119"/>
  <c r="AG56" i="119"/>
  <c r="AK56" i="119"/>
  <c r="AO56" i="119"/>
  <c r="AT56" i="119"/>
  <c r="AX56" i="119"/>
  <c r="BB56" i="119"/>
  <c r="BF56" i="119"/>
  <c r="BJ56" i="119"/>
  <c r="BN56" i="119"/>
  <c r="BR56" i="119"/>
  <c r="AH56" i="119"/>
  <c r="AL56" i="119"/>
  <c r="AP56" i="119"/>
  <c r="AU56" i="119"/>
  <c r="AY56" i="119"/>
  <c r="BC56" i="119"/>
  <c r="BG56" i="119"/>
  <c r="BK56" i="119"/>
  <c r="BO56" i="119"/>
  <c r="BS56" i="119"/>
  <c r="AF22" i="119"/>
  <c r="AJ22" i="119"/>
  <c r="AN22" i="119"/>
  <c r="AS22" i="119"/>
  <c r="AW22" i="119"/>
  <c r="BA22" i="119"/>
  <c r="BE22" i="119"/>
  <c r="BI22" i="119"/>
  <c r="BM22" i="119"/>
  <c r="BQ22" i="119"/>
  <c r="AG22" i="119"/>
  <c r="AK22" i="119"/>
  <c r="AO22" i="119"/>
  <c r="AT22" i="119"/>
  <c r="AX22" i="119"/>
  <c r="BB22" i="119"/>
  <c r="BF22" i="119"/>
  <c r="BJ22" i="119"/>
  <c r="BN22" i="119"/>
  <c r="BR22" i="119"/>
  <c r="AH22" i="119"/>
  <c r="AL22" i="119"/>
  <c r="AP22" i="119"/>
  <c r="AU22" i="119"/>
  <c r="AY22" i="119"/>
  <c r="BC22" i="119"/>
  <c r="BG22" i="119"/>
  <c r="BK22" i="119"/>
  <c r="BO22" i="119"/>
  <c r="BS22" i="119"/>
  <c r="AI22" i="119"/>
  <c r="AM22" i="119"/>
  <c r="AQ22" i="119"/>
  <c r="AV22" i="119"/>
  <c r="AZ22" i="119"/>
  <c r="BD22" i="119"/>
  <c r="BH22" i="119"/>
  <c r="BL22" i="119"/>
  <c r="BP22" i="119"/>
  <c r="BT22" i="119"/>
  <c r="BS108" i="119"/>
  <c r="BO108" i="119"/>
  <c r="BK108" i="119"/>
  <c r="BG108" i="119"/>
  <c r="BC108" i="119"/>
  <c r="AY108" i="119"/>
  <c r="AU108" i="119"/>
  <c r="AP108" i="119"/>
  <c r="AL108" i="119"/>
  <c r="AH108" i="119"/>
  <c r="BT107" i="119"/>
  <c r="BP107" i="119"/>
  <c r="BL107" i="119"/>
  <c r="BH107" i="119"/>
  <c r="BD107" i="119"/>
  <c r="AZ107" i="119"/>
  <c r="AV107" i="119"/>
  <c r="AQ107" i="119"/>
  <c r="AM107" i="119"/>
  <c r="AI107" i="119"/>
  <c r="BQ106" i="119"/>
  <c r="BM106" i="119"/>
  <c r="BI106" i="119"/>
  <c r="BE106" i="119"/>
  <c r="BA106" i="119"/>
  <c r="AW106" i="119"/>
  <c r="AS106" i="119"/>
  <c r="AN106" i="119"/>
  <c r="AJ106" i="119"/>
  <c r="AF106" i="119"/>
  <c r="BS104" i="119"/>
  <c r="BO104" i="119"/>
  <c r="BK104" i="119"/>
  <c r="BG104" i="119"/>
  <c r="BC104" i="119"/>
  <c r="AY104" i="119"/>
  <c r="AU104" i="119"/>
  <c r="AP104" i="119"/>
  <c r="AL104" i="119"/>
  <c r="AH104" i="119"/>
  <c r="BS101" i="119"/>
  <c r="BO101" i="119"/>
  <c r="BK101" i="119"/>
  <c r="BG101" i="119"/>
  <c r="BC101" i="119"/>
  <c r="AY101" i="119"/>
  <c r="AU101" i="119"/>
  <c r="AP101" i="119"/>
  <c r="AL101" i="119"/>
  <c r="AH101" i="119"/>
  <c r="BQ99" i="119"/>
  <c r="BM99" i="119"/>
  <c r="BI99" i="119"/>
  <c r="BE99" i="119"/>
  <c r="BA99" i="119"/>
  <c r="AW99" i="119"/>
  <c r="AS99" i="119"/>
  <c r="AN99" i="119"/>
  <c r="AJ99" i="119"/>
  <c r="AF99" i="119"/>
  <c r="BR98" i="119"/>
  <c r="BN98" i="119"/>
  <c r="BJ98" i="119"/>
  <c r="BF98" i="119"/>
  <c r="BB98" i="119"/>
  <c r="AX98" i="119"/>
  <c r="AT98" i="119"/>
  <c r="AO98" i="119"/>
  <c r="AK98" i="119"/>
  <c r="AG98" i="119"/>
  <c r="BT96" i="119"/>
  <c r="BP96" i="119"/>
  <c r="BL96" i="119"/>
  <c r="BH96" i="119"/>
  <c r="BD96" i="119"/>
  <c r="AZ96" i="119"/>
  <c r="AU96" i="119"/>
  <c r="AN96" i="119"/>
  <c r="AI78" i="119"/>
  <c r="AM78" i="119"/>
  <c r="AQ78" i="119"/>
  <c r="AV78" i="119"/>
  <c r="AZ78" i="119"/>
  <c r="BD78" i="119"/>
  <c r="BH78" i="119"/>
  <c r="BL78" i="119"/>
  <c r="BP78" i="119"/>
  <c r="BT78" i="119"/>
  <c r="AF78" i="119"/>
  <c r="AJ78" i="119"/>
  <c r="AN78" i="119"/>
  <c r="AS78" i="119"/>
  <c r="AW78" i="119"/>
  <c r="BA78" i="119"/>
  <c r="BE78" i="119"/>
  <c r="BI78" i="119"/>
  <c r="BM78" i="119"/>
  <c r="BQ78" i="119"/>
  <c r="AG78" i="119"/>
  <c r="AK78" i="119"/>
  <c r="AO78" i="119"/>
  <c r="AT78" i="119"/>
  <c r="AX78" i="119"/>
  <c r="BB78" i="119"/>
  <c r="BF78" i="119"/>
  <c r="BJ78" i="119"/>
  <c r="BN78" i="119"/>
  <c r="BR78" i="119"/>
  <c r="AH78" i="119"/>
  <c r="AL78" i="119"/>
  <c r="AP78" i="119"/>
  <c r="AU78" i="119"/>
  <c r="AY78" i="119"/>
  <c r="BC78" i="119"/>
  <c r="BG78" i="119"/>
  <c r="BK78" i="119"/>
  <c r="BO78" i="119"/>
  <c r="BS78" i="119"/>
  <c r="AG39" i="119"/>
  <c r="AK39" i="119"/>
  <c r="AO39" i="119"/>
  <c r="AT39" i="119"/>
  <c r="AX39" i="119"/>
  <c r="BB39" i="119"/>
  <c r="BF39" i="119"/>
  <c r="BJ39" i="119"/>
  <c r="BN39" i="119"/>
  <c r="BR39" i="119"/>
  <c r="AH39" i="119"/>
  <c r="AL39" i="119"/>
  <c r="AP39" i="119"/>
  <c r="AU39" i="119"/>
  <c r="AY39" i="119"/>
  <c r="BC39" i="119"/>
  <c r="BG39" i="119"/>
  <c r="BK39" i="119"/>
  <c r="BO39" i="119"/>
  <c r="BS39" i="119"/>
  <c r="AI39" i="119"/>
  <c r="AM39" i="119"/>
  <c r="AQ39" i="119"/>
  <c r="AV39" i="119"/>
  <c r="AZ39" i="119"/>
  <c r="BD39" i="119"/>
  <c r="BH39" i="119"/>
  <c r="BL39" i="119"/>
  <c r="BP39" i="119"/>
  <c r="BT39" i="119"/>
  <c r="AF39" i="119"/>
  <c r="AJ39" i="119"/>
  <c r="AN39" i="119"/>
  <c r="AS39" i="119"/>
  <c r="AW39" i="119"/>
  <c r="BA39" i="119"/>
  <c r="BE39" i="119"/>
  <c r="BI39" i="119"/>
  <c r="BM39" i="119"/>
  <c r="BQ39" i="119"/>
  <c r="AH57" i="119"/>
  <c r="AL57" i="119"/>
  <c r="AP57" i="119"/>
  <c r="AU57" i="119"/>
  <c r="AY57" i="119"/>
  <c r="BC57" i="119"/>
  <c r="BG57" i="119"/>
  <c r="BK57" i="119"/>
  <c r="BO57" i="119"/>
  <c r="BS57" i="119"/>
  <c r="AI57" i="119"/>
  <c r="AM57" i="119"/>
  <c r="AQ57" i="119"/>
  <c r="AV57" i="119"/>
  <c r="AZ57" i="119"/>
  <c r="BD57" i="119"/>
  <c r="BH57" i="119"/>
  <c r="BL57" i="119"/>
  <c r="BP57" i="119"/>
  <c r="BT57" i="119"/>
  <c r="AF57" i="119"/>
  <c r="AJ57" i="119"/>
  <c r="AN57" i="119"/>
  <c r="AS57" i="119"/>
  <c r="AW57" i="119"/>
  <c r="BA57" i="119"/>
  <c r="BE57" i="119"/>
  <c r="BI57" i="119"/>
  <c r="BM57" i="119"/>
  <c r="BQ57" i="119"/>
  <c r="AG57" i="119"/>
  <c r="AK57" i="119"/>
  <c r="AO57" i="119"/>
  <c r="AT57" i="119"/>
  <c r="AX57" i="119"/>
  <c r="BB57" i="119"/>
  <c r="BF57" i="119"/>
  <c r="BJ57" i="119"/>
  <c r="BN57" i="119"/>
  <c r="BR57" i="119"/>
  <c r="AG96" i="119"/>
  <c r="AK96" i="119"/>
  <c r="AO96" i="119"/>
  <c r="AT96" i="119"/>
  <c r="AX96" i="119"/>
  <c r="AH96" i="119"/>
  <c r="AL96" i="119"/>
  <c r="AF81" i="119"/>
  <c r="AJ81" i="119"/>
  <c r="AN81" i="119"/>
  <c r="AS81" i="119"/>
  <c r="AW81" i="119"/>
  <c r="BA81" i="119"/>
  <c r="BE81" i="119"/>
  <c r="BI81" i="119"/>
  <c r="BM81" i="119"/>
  <c r="BQ81" i="119"/>
  <c r="AG81" i="119"/>
  <c r="AK81" i="119"/>
  <c r="AO81" i="119"/>
  <c r="AT81" i="119"/>
  <c r="AX81" i="119"/>
  <c r="BB81" i="119"/>
  <c r="BF81" i="119"/>
  <c r="BJ81" i="119"/>
  <c r="BN81" i="119"/>
  <c r="BR81" i="119"/>
  <c r="AH81" i="119"/>
  <c r="AL81" i="119"/>
  <c r="AP81" i="119"/>
  <c r="AU81" i="119"/>
  <c r="AY81" i="119"/>
  <c r="BC81" i="119"/>
  <c r="BG81" i="119"/>
  <c r="BK81" i="119"/>
  <c r="BO81" i="119"/>
  <c r="BS81" i="119"/>
  <c r="AI81" i="119"/>
  <c r="AM81" i="119"/>
  <c r="AQ81" i="119"/>
  <c r="AV81" i="119"/>
  <c r="AZ81" i="119"/>
  <c r="BD81" i="119"/>
  <c r="BH81" i="119"/>
  <c r="BL81" i="119"/>
  <c r="BP81" i="119"/>
  <c r="BT81" i="119"/>
  <c r="AG18" i="119"/>
  <c r="AK18" i="119"/>
  <c r="AO18" i="119"/>
  <c r="AT18" i="119"/>
  <c r="AX18" i="119"/>
  <c r="AH18" i="119"/>
  <c r="AL18" i="119"/>
  <c r="AP18" i="119"/>
  <c r="AU18" i="119"/>
  <c r="AY18" i="119"/>
  <c r="BC18" i="119"/>
  <c r="BG18" i="119"/>
  <c r="BK18" i="119"/>
  <c r="BO18" i="119"/>
  <c r="BS18" i="119"/>
  <c r="AI18" i="119"/>
  <c r="AM18" i="119"/>
  <c r="AQ18" i="119"/>
  <c r="AV18" i="119"/>
  <c r="AZ18" i="119"/>
  <c r="BD18" i="119"/>
  <c r="BH18" i="119"/>
  <c r="BL18" i="119"/>
  <c r="BP18" i="119"/>
  <c r="BT18" i="119"/>
  <c r="AF18" i="119"/>
  <c r="AJ18" i="119"/>
  <c r="AN18" i="119"/>
  <c r="AS18" i="119"/>
  <c r="AW18" i="119"/>
  <c r="BA18" i="119"/>
  <c r="BE18" i="119"/>
  <c r="BI18" i="119"/>
  <c r="BM18" i="119"/>
  <c r="BQ18" i="119"/>
  <c r="BN18" i="119"/>
  <c r="BB18" i="119"/>
  <c r="BR18" i="119"/>
  <c r="BF18" i="119"/>
  <c r="BJ18" i="119"/>
  <c r="AG147" i="119"/>
  <c r="AK147" i="119"/>
  <c r="AO147" i="119"/>
  <c r="AT147" i="119"/>
  <c r="AX147" i="119"/>
  <c r="BB147" i="119"/>
  <c r="BF147" i="119"/>
  <c r="BJ147" i="119"/>
  <c r="BN147" i="119"/>
  <c r="BR147" i="119"/>
  <c r="AH147" i="119"/>
  <c r="AL147" i="119"/>
  <c r="AP147" i="119"/>
  <c r="AU147" i="119"/>
  <c r="AY147" i="119"/>
  <c r="BC147" i="119"/>
  <c r="BG147" i="119"/>
  <c r="BK147" i="119"/>
  <c r="BO147" i="119"/>
  <c r="BS147" i="119"/>
  <c r="AI147" i="119"/>
  <c r="AM147" i="119"/>
  <c r="AQ147" i="119"/>
  <c r="AV147" i="119"/>
  <c r="AZ147" i="119"/>
  <c r="BD147" i="119"/>
  <c r="BH147" i="119"/>
  <c r="BL147" i="119"/>
  <c r="BP147" i="119"/>
  <c r="BT147" i="119"/>
  <c r="AF147" i="119"/>
  <c r="AJ147" i="119"/>
  <c r="AN147" i="119"/>
  <c r="AS147" i="119"/>
  <c r="AW147" i="119"/>
  <c r="BA147" i="119"/>
  <c r="BE147" i="119"/>
  <c r="BI147" i="119"/>
  <c r="BM147" i="119"/>
  <c r="BQ147" i="119"/>
  <c r="AG13" i="119"/>
  <c r="AK13" i="119"/>
  <c r="AO13" i="119"/>
  <c r="AT13" i="119"/>
  <c r="AX13" i="119"/>
  <c r="BB13" i="119"/>
  <c r="BF13" i="119"/>
  <c r="BJ13" i="119"/>
  <c r="BN13" i="119"/>
  <c r="BR13" i="119"/>
  <c r="AH13" i="119"/>
  <c r="AL13" i="119"/>
  <c r="AP13" i="119"/>
  <c r="AU13" i="119"/>
  <c r="AY13" i="119"/>
  <c r="BC13" i="119"/>
  <c r="BG13" i="119"/>
  <c r="BK13" i="119"/>
  <c r="BO13" i="119"/>
  <c r="BS13" i="119"/>
  <c r="AI13" i="119"/>
  <c r="AM13" i="119"/>
  <c r="AQ13" i="119"/>
  <c r="AV13" i="119"/>
  <c r="AZ13" i="119"/>
  <c r="BD13" i="119"/>
  <c r="BH13" i="119"/>
  <c r="BL13" i="119"/>
  <c r="BP13" i="119"/>
  <c r="BT13" i="119"/>
  <c r="AF13" i="119"/>
  <c r="AJ13" i="119"/>
  <c r="AN13" i="119"/>
  <c r="AS13" i="119"/>
  <c r="AW13" i="119"/>
  <c r="BA13" i="119"/>
  <c r="BE13" i="119"/>
  <c r="BI13" i="119"/>
  <c r="BM13" i="119"/>
  <c r="BQ13" i="119"/>
  <c r="AF7" i="119"/>
  <c r="AJ7" i="119"/>
  <c r="AN7" i="119"/>
  <c r="AS7" i="119"/>
  <c r="AW7" i="119"/>
  <c r="BA7" i="119"/>
  <c r="BE7" i="119"/>
  <c r="BI7" i="119"/>
  <c r="BM7" i="119"/>
  <c r="BQ7" i="119"/>
  <c r="AG7" i="119"/>
  <c r="AK7" i="119"/>
  <c r="AO7" i="119"/>
  <c r="AT7" i="119"/>
  <c r="AX7" i="119"/>
  <c r="BB7" i="119"/>
  <c r="BF7" i="119"/>
  <c r="BJ7" i="119"/>
  <c r="BN7" i="119"/>
  <c r="BR7" i="119"/>
  <c r="AH7" i="119"/>
  <c r="AL7" i="119"/>
  <c r="AP7" i="119"/>
  <c r="AU7" i="119"/>
  <c r="AY7" i="119"/>
  <c r="BC7" i="119"/>
  <c r="BG7" i="119"/>
  <c r="BK7" i="119"/>
  <c r="BO7" i="119"/>
  <c r="BS7" i="119"/>
  <c r="AI7" i="119"/>
  <c r="AM7" i="119"/>
  <c r="AQ7" i="119"/>
  <c r="AV7" i="119"/>
  <c r="AZ7" i="119"/>
  <c r="BD7" i="119"/>
  <c r="BH7" i="119"/>
  <c r="BL7" i="119"/>
  <c r="BP7" i="119"/>
  <c r="BT7" i="119"/>
  <c r="AH17" i="119"/>
  <c r="AL17" i="119"/>
  <c r="AP17" i="119"/>
  <c r="AU17" i="119"/>
  <c r="AY17" i="119"/>
  <c r="BC17" i="119"/>
  <c r="BG17" i="119"/>
  <c r="BK17" i="119"/>
  <c r="BO17" i="119"/>
  <c r="BS17" i="119"/>
  <c r="AI17" i="119"/>
  <c r="AM17" i="119"/>
  <c r="AQ17" i="119"/>
  <c r="AV17" i="119"/>
  <c r="AZ17" i="119"/>
  <c r="BD17" i="119"/>
  <c r="BH17" i="119"/>
  <c r="BL17" i="119"/>
  <c r="BP17" i="119"/>
  <c r="BT17" i="119"/>
  <c r="AF17" i="119"/>
  <c r="AJ17" i="119"/>
  <c r="AN17" i="119"/>
  <c r="AS17" i="119"/>
  <c r="AW17" i="119"/>
  <c r="BA17" i="119"/>
  <c r="BE17" i="119"/>
  <c r="BI17" i="119"/>
  <c r="BM17" i="119"/>
  <c r="BQ17" i="119"/>
  <c r="AG17" i="119"/>
  <c r="AK17" i="119"/>
  <c r="AO17" i="119"/>
  <c r="AT17" i="119"/>
  <c r="AX17" i="119"/>
  <c r="BB17" i="119"/>
  <c r="BF17" i="119"/>
  <c r="BJ17" i="119"/>
  <c r="BN17" i="119"/>
  <c r="BR17" i="119"/>
  <c r="AH8" i="119"/>
  <c r="AL8" i="119"/>
  <c r="AP8" i="119"/>
  <c r="AU8" i="119"/>
  <c r="AY8" i="119"/>
  <c r="BC8" i="119"/>
  <c r="BG8" i="119"/>
  <c r="BK8" i="119"/>
  <c r="BO8" i="119"/>
  <c r="BS8" i="119"/>
  <c r="AI8" i="119"/>
  <c r="AM8" i="119"/>
  <c r="AQ8" i="119"/>
  <c r="AV8" i="119"/>
  <c r="AZ8" i="119"/>
  <c r="BD8" i="119"/>
  <c r="BH8" i="119"/>
  <c r="BL8" i="119"/>
  <c r="BP8" i="119"/>
  <c r="BT8" i="119"/>
  <c r="AF8" i="119"/>
  <c r="AJ8" i="119"/>
  <c r="AN8" i="119"/>
  <c r="AS8" i="119"/>
  <c r="AW8" i="119"/>
  <c r="BA8" i="119"/>
  <c r="BE8" i="119"/>
  <c r="BI8" i="119"/>
  <c r="BM8" i="119"/>
  <c r="BQ8" i="119"/>
  <c r="AG8" i="119"/>
  <c r="AK8" i="119"/>
  <c r="AO8" i="119"/>
  <c r="AT8" i="119"/>
  <c r="AX8" i="119"/>
  <c r="BB8" i="119"/>
  <c r="BF8" i="119"/>
  <c r="BJ8" i="119"/>
  <c r="BN8" i="119"/>
  <c r="BR8" i="119"/>
  <c r="AG9" i="119"/>
  <c r="AK9" i="119"/>
  <c r="AO9" i="119"/>
  <c r="AT9" i="119"/>
  <c r="AX9" i="119"/>
  <c r="BB9" i="119"/>
  <c r="BF9" i="119"/>
  <c r="BJ9" i="119"/>
  <c r="BN9" i="119"/>
  <c r="BR9" i="119"/>
  <c r="AH9" i="119"/>
  <c r="AL9" i="119"/>
  <c r="AP9" i="119"/>
  <c r="AU9" i="119"/>
  <c r="AY9" i="119"/>
  <c r="BC9" i="119"/>
  <c r="BG9" i="119"/>
  <c r="BK9" i="119"/>
  <c r="BO9" i="119"/>
  <c r="BS9" i="119"/>
  <c r="AI9" i="119"/>
  <c r="AM9" i="119"/>
  <c r="AQ9" i="119"/>
  <c r="AV9" i="119"/>
  <c r="AZ9" i="119"/>
  <c r="BD9" i="119"/>
  <c r="BH9" i="119"/>
  <c r="BL9" i="119"/>
  <c r="BP9" i="119"/>
  <c r="BT9" i="119"/>
  <c r="AF9" i="119"/>
  <c r="AJ9" i="119"/>
  <c r="AN9" i="119"/>
  <c r="AS9" i="119"/>
  <c r="AW9" i="119"/>
  <c r="BA9" i="119"/>
  <c r="BE9" i="119"/>
  <c r="BI9" i="119"/>
  <c r="BM9" i="119"/>
  <c r="BQ9" i="119"/>
  <c r="AG123" i="119"/>
  <c r="AK123" i="119"/>
  <c r="AO123" i="119"/>
  <c r="AT123" i="119"/>
  <c r="AX123" i="119"/>
  <c r="BB123" i="119"/>
  <c r="BF123" i="119"/>
  <c r="BJ123" i="119"/>
  <c r="BN123" i="119"/>
  <c r="BR123" i="119"/>
  <c r="AH123" i="119"/>
  <c r="AL123" i="119"/>
  <c r="AP123" i="119"/>
  <c r="AU123" i="119"/>
  <c r="AY123" i="119"/>
  <c r="BC123" i="119"/>
  <c r="BG123" i="119"/>
  <c r="BK123" i="119"/>
  <c r="BO123" i="119"/>
  <c r="BS123" i="119"/>
  <c r="AI123" i="119"/>
  <c r="AM123" i="119"/>
  <c r="AQ123" i="119"/>
  <c r="AV123" i="119"/>
  <c r="AZ123" i="119"/>
  <c r="BD123" i="119"/>
  <c r="BH123" i="119"/>
  <c r="BL123" i="119"/>
  <c r="BP123" i="119"/>
  <c r="BT123" i="119"/>
  <c r="AF123" i="119"/>
  <c r="AJ123" i="119"/>
  <c r="AN123" i="119"/>
  <c r="AS123" i="119"/>
  <c r="AW123" i="119"/>
  <c r="BA123" i="119"/>
  <c r="BE123" i="119"/>
  <c r="BI123" i="119"/>
  <c r="BM123" i="119"/>
  <c r="BQ123" i="119"/>
  <c r="AH166" i="119"/>
  <c r="AL166" i="119"/>
  <c r="AP166" i="119"/>
  <c r="AU166" i="119"/>
  <c r="AY166" i="119"/>
  <c r="BC166" i="119"/>
  <c r="BG166" i="119"/>
  <c r="BK166" i="119"/>
  <c r="BO166" i="119"/>
  <c r="BS166" i="119"/>
  <c r="AI166" i="119"/>
  <c r="AM166" i="119"/>
  <c r="AQ166" i="119"/>
  <c r="AV166" i="119"/>
  <c r="AZ166" i="119"/>
  <c r="BD166" i="119"/>
  <c r="BH166" i="119"/>
  <c r="BL166" i="119"/>
  <c r="BP166" i="119"/>
  <c r="BT166" i="119"/>
  <c r="AF166" i="119"/>
  <c r="AJ166" i="119"/>
  <c r="AN166" i="119"/>
  <c r="AS166" i="119"/>
  <c r="AW166" i="119"/>
  <c r="BA166" i="119"/>
  <c r="BE166" i="119"/>
  <c r="BI166" i="119"/>
  <c r="BM166" i="119"/>
  <c r="BQ166" i="119"/>
  <c r="AG166" i="119"/>
  <c r="AK166" i="119"/>
  <c r="AO166" i="119"/>
  <c r="AT166" i="119"/>
  <c r="AX166" i="119"/>
  <c r="BB166" i="119"/>
  <c r="BF166" i="119"/>
  <c r="BJ166" i="119"/>
  <c r="BN166" i="119"/>
  <c r="BR166" i="119"/>
  <c r="BR108" i="119"/>
  <c r="BN108" i="119"/>
  <c r="BJ108" i="119"/>
  <c r="BF108" i="119"/>
  <c r="BB108" i="119"/>
  <c r="AX108" i="119"/>
  <c r="AT108" i="119"/>
  <c r="AO108" i="119"/>
  <c r="AK108" i="119"/>
  <c r="AG108" i="119"/>
  <c r="BS107" i="119"/>
  <c r="BO107" i="119"/>
  <c r="BK107" i="119"/>
  <c r="BG107" i="119"/>
  <c r="BC107" i="119"/>
  <c r="AY107" i="119"/>
  <c r="AU107" i="119"/>
  <c r="AP107" i="119"/>
  <c r="AL107" i="119"/>
  <c r="AH107" i="119"/>
  <c r="BT106" i="119"/>
  <c r="BP106" i="119"/>
  <c r="BL106" i="119"/>
  <c r="BH106" i="119"/>
  <c r="BD106" i="119"/>
  <c r="AZ106" i="119"/>
  <c r="AV106" i="119"/>
  <c r="AQ106" i="119"/>
  <c r="AM106" i="119"/>
  <c r="AI106" i="119"/>
  <c r="BR104" i="119"/>
  <c r="BN104" i="119"/>
  <c r="BJ104" i="119"/>
  <c r="BF104" i="119"/>
  <c r="BB104" i="119"/>
  <c r="AX104" i="119"/>
  <c r="AT104" i="119"/>
  <c r="AO104" i="119"/>
  <c r="AK104" i="119"/>
  <c r="AG104" i="119"/>
  <c r="BR101" i="119"/>
  <c r="BN101" i="119"/>
  <c r="BJ101" i="119"/>
  <c r="BF101" i="119"/>
  <c r="BB101" i="119"/>
  <c r="AX101" i="119"/>
  <c r="AT101" i="119"/>
  <c r="AO101" i="119"/>
  <c r="AK101" i="119"/>
  <c r="AG101" i="119"/>
  <c r="BT99" i="119"/>
  <c r="BP99" i="119"/>
  <c r="BL99" i="119"/>
  <c r="BH99" i="119"/>
  <c r="BD99" i="119"/>
  <c r="AZ99" i="119"/>
  <c r="AV99" i="119"/>
  <c r="AQ99" i="119"/>
  <c r="AM99" i="119"/>
  <c r="AI99" i="119"/>
  <c r="BQ98" i="119"/>
  <c r="BM98" i="119"/>
  <c r="BI98" i="119"/>
  <c r="BE98" i="119"/>
  <c r="BA98" i="119"/>
  <c r="AW98" i="119"/>
  <c r="AS98" i="119"/>
  <c r="AN98" i="119"/>
  <c r="AJ98" i="119"/>
  <c r="AF98" i="119"/>
  <c r="BS96" i="119"/>
  <c r="BO96" i="119"/>
  <c r="BK96" i="119"/>
  <c r="BG96" i="119"/>
  <c r="BC96" i="119"/>
  <c r="AY96" i="119"/>
  <c r="AS96" i="119"/>
  <c r="AM96" i="119"/>
  <c r="AI31" i="119"/>
  <c r="AM31" i="119"/>
  <c r="AQ31" i="119"/>
  <c r="AV31" i="119"/>
  <c r="AZ31" i="119"/>
  <c r="BD31" i="119"/>
  <c r="BH31" i="119"/>
  <c r="BL31" i="119"/>
  <c r="BP31" i="119"/>
  <c r="BT31" i="119"/>
  <c r="AF31" i="119"/>
  <c r="AJ31" i="119"/>
  <c r="AN31" i="119"/>
  <c r="AS31" i="119"/>
  <c r="AW31" i="119"/>
  <c r="BA31" i="119"/>
  <c r="BE31" i="119"/>
  <c r="BI31" i="119"/>
  <c r="BM31" i="119"/>
  <c r="BQ31" i="119"/>
  <c r="AG31" i="119"/>
  <c r="AK31" i="119"/>
  <c r="AO31" i="119"/>
  <c r="AT31" i="119"/>
  <c r="AX31" i="119"/>
  <c r="BB31" i="119"/>
  <c r="BF31" i="119"/>
  <c r="BJ31" i="119"/>
  <c r="BN31" i="119"/>
  <c r="BR31" i="119"/>
  <c r="AH31" i="119"/>
  <c r="AL31" i="119"/>
  <c r="AP31" i="119"/>
  <c r="AU31" i="119"/>
  <c r="AY31" i="119"/>
  <c r="BC31" i="119"/>
  <c r="BG31" i="119"/>
  <c r="BK31" i="119"/>
  <c r="BO31" i="119"/>
  <c r="BS31" i="119"/>
  <c r="AG25" i="119"/>
  <c r="AK25" i="119"/>
  <c r="AO25" i="119"/>
  <c r="AT25" i="119"/>
  <c r="AX25" i="119"/>
  <c r="BB25" i="119"/>
  <c r="BF25" i="119"/>
  <c r="BJ25" i="119"/>
  <c r="BN25" i="119"/>
  <c r="BR25" i="119"/>
  <c r="AH25" i="119"/>
  <c r="AL25" i="119"/>
  <c r="AP25" i="119"/>
  <c r="AU25" i="119"/>
  <c r="AY25" i="119"/>
  <c r="BC25" i="119"/>
  <c r="BG25" i="119"/>
  <c r="BK25" i="119"/>
  <c r="BO25" i="119"/>
  <c r="BS25" i="119"/>
  <c r="AI25" i="119"/>
  <c r="AM25" i="119"/>
  <c r="AQ25" i="119"/>
  <c r="AV25" i="119"/>
  <c r="AZ25" i="119"/>
  <c r="BD25" i="119"/>
  <c r="BH25" i="119"/>
  <c r="BL25" i="119"/>
  <c r="BP25" i="119"/>
  <c r="BT25" i="119"/>
  <c r="AF25" i="119"/>
  <c r="AJ25" i="119"/>
  <c r="AN25" i="119"/>
  <c r="AS25" i="119"/>
  <c r="AW25" i="119"/>
  <c r="BA25" i="119"/>
  <c r="BE25" i="119"/>
  <c r="BI25" i="119"/>
  <c r="BM25" i="119"/>
  <c r="BQ25" i="119"/>
  <c r="AH45" i="119"/>
  <c r="AL45" i="119"/>
  <c r="AP45" i="119"/>
  <c r="AU45" i="119"/>
  <c r="AY45" i="119"/>
  <c r="BC45" i="119"/>
  <c r="BG45" i="119"/>
  <c r="BK45" i="119"/>
  <c r="BO45" i="119"/>
  <c r="BS45" i="119"/>
  <c r="AI45" i="119"/>
  <c r="AM45" i="119"/>
  <c r="AQ45" i="119"/>
  <c r="AV45" i="119"/>
  <c r="AZ45" i="119"/>
  <c r="BD45" i="119"/>
  <c r="BH45" i="119"/>
  <c r="BL45" i="119"/>
  <c r="BP45" i="119"/>
  <c r="BT45" i="119"/>
  <c r="AF45" i="119"/>
  <c r="AJ45" i="119"/>
  <c r="AN45" i="119"/>
  <c r="AS45" i="119"/>
  <c r="AW45" i="119"/>
  <c r="BA45" i="119"/>
  <c r="BE45" i="119"/>
  <c r="BI45" i="119"/>
  <c r="BM45" i="119"/>
  <c r="BQ45" i="119"/>
  <c r="AG45" i="119"/>
  <c r="AK45" i="119"/>
  <c r="AO45" i="119"/>
  <c r="AT45" i="119"/>
  <c r="AX45" i="119"/>
  <c r="BB45" i="119"/>
  <c r="BF45" i="119"/>
  <c r="BJ45" i="119"/>
  <c r="BN45" i="119"/>
  <c r="BR45" i="119"/>
  <c r="AG6" i="119"/>
  <c r="AK6" i="119"/>
  <c r="AO6" i="119"/>
  <c r="AT6" i="119"/>
  <c r="AX6" i="119"/>
  <c r="BB6" i="119"/>
  <c r="BF6" i="119"/>
  <c r="BJ6" i="119"/>
  <c r="BN6" i="119"/>
  <c r="BR6" i="119"/>
  <c r="AH6" i="119"/>
  <c r="AL6" i="119"/>
  <c r="AP6" i="119"/>
  <c r="AU6" i="119"/>
  <c r="AY6" i="119"/>
  <c r="BC6" i="119"/>
  <c r="BG6" i="119"/>
  <c r="BK6" i="119"/>
  <c r="BO6" i="119"/>
  <c r="BS6" i="119"/>
  <c r="AI6" i="119"/>
  <c r="AM6" i="119"/>
  <c r="AQ6" i="119"/>
  <c r="AV6" i="119"/>
  <c r="AZ6" i="119"/>
  <c r="BD6" i="119"/>
  <c r="BH6" i="119"/>
  <c r="BL6" i="119"/>
  <c r="BP6" i="119"/>
  <c r="BT6" i="119"/>
  <c r="AF6" i="119"/>
  <c r="AJ6" i="119"/>
  <c r="AN6" i="119"/>
  <c r="AS6" i="119"/>
  <c r="AW6" i="119"/>
  <c r="BA6" i="119"/>
  <c r="BE6" i="119"/>
  <c r="BI6" i="119"/>
  <c r="BM6" i="119"/>
  <c r="BQ6" i="119"/>
  <c r="AI52" i="119"/>
  <c r="AM52" i="119"/>
  <c r="AQ52" i="119"/>
  <c r="AV52" i="119"/>
  <c r="AZ52" i="119"/>
  <c r="BD52" i="119"/>
  <c r="BH52" i="119"/>
  <c r="BL52" i="119"/>
  <c r="BP52" i="119"/>
  <c r="BT52" i="119"/>
  <c r="AF52" i="119"/>
  <c r="AJ52" i="119"/>
  <c r="AN52" i="119"/>
  <c r="AS52" i="119"/>
  <c r="AW52" i="119"/>
  <c r="BA52" i="119"/>
  <c r="BE52" i="119"/>
  <c r="BI52" i="119"/>
  <c r="BM52" i="119"/>
  <c r="BQ52" i="119"/>
  <c r="AG52" i="119"/>
  <c r="AK52" i="119"/>
  <c r="AO52" i="119"/>
  <c r="AT52" i="119"/>
  <c r="AX52" i="119"/>
  <c r="BB52" i="119"/>
  <c r="BF52" i="119"/>
  <c r="BJ52" i="119"/>
  <c r="BN52" i="119"/>
  <c r="BR52" i="119"/>
  <c r="AH52" i="119"/>
  <c r="AL52" i="119"/>
  <c r="AP52" i="119"/>
  <c r="AU52" i="119"/>
  <c r="AY52" i="119"/>
  <c r="BC52" i="119"/>
  <c r="BG52" i="119"/>
  <c r="BK52" i="119"/>
  <c r="BO52" i="119"/>
  <c r="BS52" i="119"/>
  <c r="AG21" i="119"/>
  <c r="AK21" i="119"/>
  <c r="AO21" i="119"/>
  <c r="AT21" i="119"/>
  <c r="AX21" i="119"/>
  <c r="BB21" i="119"/>
  <c r="BF21" i="119"/>
  <c r="BJ21" i="119"/>
  <c r="BN21" i="119"/>
  <c r="BR21" i="119"/>
  <c r="AH21" i="119"/>
  <c r="AL21" i="119"/>
  <c r="AP21" i="119"/>
  <c r="AU21" i="119"/>
  <c r="AY21" i="119"/>
  <c r="BC21" i="119"/>
  <c r="BG21" i="119"/>
  <c r="BK21" i="119"/>
  <c r="BO21" i="119"/>
  <c r="BS21" i="119"/>
  <c r="AI21" i="119"/>
  <c r="AM21" i="119"/>
  <c r="AQ21" i="119"/>
  <c r="AV21" i="119"/>
  <c r="AZ21" i="119"/>
  <c r="BD21" i="119"/>
  <c r="BH21" i="119"/>
  <c r="BL21" i="119"/>
  <c r="BP21" i="119"/>
  <c r="BT21" i="119"/>
  <c r="AF21" i="119"/>
  <c r="AJ21" i="119"/>
  <c r="AN21" i="119"/>
  <c r="AS21" i="119"/>
  <c r="AW21" i="119"/>
  <c r="BA21" i="119"/>
  <c r="BE21" i="119"/>
  <c r="BI21" i="119"/>
  <c r="BM21" i="119"/>
  <c r="BQ21" i="119"/>
  <c r="AI111" i="119"/>
  <c r="AM111" i="119"/>
  <c r="AQ111" i="119"/>
  <c r="AV111" i="119"/>
  <c r="AZ111" i="119"/>
  <c r="BD111" i="119"/>
  <c r="BH111" i="119"/>
  <c r="BL111" i="119"/>
  <c r="BP111" i="119"/>
  <c r="BT111" i="119"/>
  <c r="AF140" i="119"/>
  <c r="AJ140" i="119"/>
  <c r="AN140" i="119"/>
  <c r="AS140" i="119"/>
  <c r="AW140" i="119"/>
  <c r="BA140" i="119"/>
  <c r="BE140" i="119"/>
  <c r="BI140" i="119"/>
  <c r="BM140" i="119"/>
  <c r="BQ140" i="119"/>
  <c r="AG140" i="119"/>
  <c r="AK140" i="119"/>
  <c r="AO140" i="119"/>
  <c r="AT140" i="119"/>
  <c r="AX140" i="119"/>
  <c r="BB140" i="119"/>
  <c r="BF140" i="119"/>
  <c r="BJ140" i="119"/>
  <c r="BN140" i="119"/>
  <c r="BR140" i="119"/>
  <c r="AH140" i="119"/>
  <c r="AL140" i="119"/>
  <c r="AP140" i="119"/>
  <c r="AU140" i="119"/>
  <c r="AY140" i="119"/>
  <c r="BC140" i="119"/>
  <c r="BG140" i="119"/>
  <c r="BK140" i="119"/>
  <c r="BO140" i="119"/>
  <c r="BS140" i="119"/>
  <c r="AI140" i="119"/>
  <c r="AM140" i="119"/>
  <c r="AQ140" i="119"/>
  <c r="AV140" i="119"/>
  <c r="AZ140" i="119"/>
  <c r="BD140" i="119"/>
  <c r="BH140" i="119"/>
  <c r="BL140" i="119"/>
  <c r="BP140" i="119"/>
  <c r="BT140" i="119"/>
  <c r="AI145" i="119"/>
  <c r="AM145" i="119"/>
  <c r="AQ145" i="119"/>
  <c r="AV145" i="119"/>
  <c r="AZ145" i="119"/>
  <c r="BD145" i="119"/>
  <c r="BH145" i="119"/>
  <c r="BL145" i="119"/>
  <c r="BP145" i="119"/>
  <c r="BT145" i="119"/>
  <c r="AF145" i="119"/>
  <c r="AJ145" i="119"/>
  <c r="AN145" i="119"/>
  <c r="AS145" i="119"/>
  <c r="AW145" i="119"/>
  <c r="BA145" i="119"/>
  <c r="BE145" i="119"/>
  <c r="BI145" i="119"/>
  <c r="BM145" i="119"/>
  <c r="BQ145" i="119"/>
  <c r="AG145" i="119"/>
  <c r="AK145" i="119"/>
  <c r="AO145" i="119"/>
  <c r="AT145" i="119"/>
  <c r="AX145" i="119"/>
  <c r="BB145" i="119"/>
  <c r="BF145" i="119"/>
  <c r="BJ145" i="119"/>
  <c r="BN145" i="119"/>
  <c r="BR145" i="119"/>
  <c r="AH145" i="119"/>
  <c r="AL145" i="119"/>
  <c r="AP145" i="119"/>
  <c r="AU145" i="119"/>
  <c r="AY145" i="119"/>
  <c r="BC145" i="119"/>
  <c r="BG145" i="119"/>
  <c r="BK145" i="119"/>
  <c r="BO145" i="119"/>
  <c r="BS145" i="119"/>
  <c r="AF136" i="119"/>
  <c r="AJ136" i="119"/>
  <c r="AN136" i="119"/>
  <c r="AS136" i="119"/>
  <c r="AW136" i="119"/>
  <c r="BA136" i="119"/>
  <c r="BE136" i="119"/>
  <c r="BI136" i="119"/>
  <c r="BM136" i="119"/>
  <c r="BQ136" i="119"/>
  <c r="AG136" i="119"/>
  <c r="AK136" i="119"/>
  <c r="AO136" i="119"/>
  <c r="AT136" i="119"/>
  <c r="AX136" i="119"/>
  <c r="BB136" i="119"/>
  <c r="BF136" i="119"/>
  <c r="BJ136" i="119"/>
  <c r="BN136" i="119"/>
  <c r="BR136" i="119"/>
  <c r="AH136" i="119"/>
  <c r="AL136" i="119"/>
  <c r="AP136" i="119"/>
  <c r="AU136" i="119"/>
  <c r="AY136" i="119"/>
  <c r="BC136" i="119"/>
  <c r="BG136" i="119"/>
  <c r="BK136" i="119"/>
  <c r="BO136" i="119"/>
  <c r="BS136" i="119"/>
  <c r="AI136" i="119"/>
  <c r="AM136" i="119"/>
  <c r="AQ136" i="119"/>
  <c r="AV136" i="119"/>
  <c r="AZ136" i="119"/>
  <c r="BD136" i="119"/>
  <c r="BH136" i="119"/>
  <c r="BL136" i="119"/>
  <c r="BP136" i="119"/>
  <c r="BT136" i="119"/>
  <c r="AG135" i="119"/>
  <c r="AK135" i="119"/>
  <c r="AO135" i="119"/>
  <c r="AT135" i="119"/>
  <c r="AX135" i="119"/>
  <c r="BB135" i="119"/>
  <c r="BF135" i="119"/>
  <c r="BJ135" i="119"/>
  <c r="BN135" i="119"/>
  <c r="BR135" i="119"/>
  <c r="AH135" i="119"/>
  <c r="AL135" i="119"/>
  <c r="AP135" i="119"/>
  <c r="AU135" i="119"/>
  <c r="AY135" i="119"/>
  <c r="BC135" i="119"/>
  <c r="BG135" i="119"/>
  <c r="BK135" i="119"/>
  <c r="BO135" i="119"/>
  <c r="BS135" i="119"/>
  <c r="AI135" i="119"/>
  <c r="AM135" i="119"/>
  <c r="AQ135" i="119"/>
  <c r="AV135" i="119"/>
  <c r="AZ135" i="119"/>
  <c r="BD135" i="119"/>
  <c r="BH135" i="119"/>
  <c r="BL135" i="119"/>
  <c r="BP135" i="119"/>
  <c r="BT135" i="119"/>
  <c r="AF135" i="119"/>
  <c r="AJ135" i="119"/>
  <c r="AN135" i="119"/>
  <c r="AS135" i="119"/>
  <c r="AW135" i="119"/>
  <c r="BA135" i="119"/>
  <c r="BE135" i="119"/>
  <c r="BI135" i="119"/>
  <c r="BM135" i="119"/>
  <c r="BQ135" i="119"/>
  <c r="AG33" i="119"/>
  <c r="AK33" i="119"/>
  <c r="AO33" i="119"/>
  <c r="AT33" i="119"/>
  <c r="AX33" i="119"/>
  <c r="BB33" i="119"/>
  <c r="BF33" i="119"/>
  <c r="BJ33" i="119"/>
  <c r="BN33" i="119"/>
  <c r="BR33" i="119"/>
  <c r="AH33" i="119"/>
  <c r="AL33" i="119"/>
  <c r="AP33" i="119"/>
  <c r="AU33" i="119"/>
  <c r="AY33" i="119"/>
  <c r="BC33" i="119"/>
  <c r="BG33" i="119"/>
  <c r="BK33" i="119"/>
  <c r="BO33" i="119"/>
  <c r="BS33" i="119"/>
  <c r="AI33" i="119"/>
  <c r="AM33" i="119"/>
  <c r="AQ33" i="119"/>
  <c r="AV33" i="119"/>
  <c r="AZ33" i="119"/>
  <c r="BD33" i="119"/>
  <c r="BH33" i="119"/>
  <c r="BL33" i="119"/>
  <c r="BP33" i="119"/>
  <c r="BT33" i="119"/>
  <c r="AF33" i="119"/>
  <c r="AJ33" i="119"/>
  <c r="AN33" i="119"/>
  <c r="AS33" i="119"/>
  <c r="AW33" i="119"/>
  <c r="BA33" i="119"/>
  <c r="BE33" i="119"/>
  <c r="BI33" i="119"/>
  <c r="BM33" i="119"/>
  <c r="BQ33" i="119"/>
  <c r="AF51" i="119"/>
  <c r="AJ51" i="119"/>
  <c r="AN51" i="119"/>
  <c r="AS51" i="119"/>
  <c r="AW51" i="119"/>
  <c r="BA51" i="119"/>
  <c r="BE51" i="119"/>
  <c r="BI51" i="119"/>
  <c r="BM51" i="119"/>
  <c r="BQ51" i="119"/>
  <c r="AG51" i="119"/>
  <c r="AK51" i="119"/>
  <c r="AO51" i="119"/>
  <c r="AT51" i="119"/>
  <c r="AX51" i="119"/>
  <c r="BB51" i="119"/>
  <c r="BF51" i="119"/>
  <c r="BJ51" i="119"/>
  <c r="BN51" i="119"/>
  <c r="BR51" i="119"/>
  <c r="AH51" i="119"/>
  <c r="AL51" i="119"/>
  <c r="AP51" i="119"/>
  <c r="AU51" i="119"/>
  <c r="AY51" i="119"/>
  <c r="BC51" i="119"/>
  <c r="BG51" i="119"/>
  <c r="BK51" i="119"/>
  <c r="BO51" i="119"/>
  <c r="BS51" i="119"/>
  <c r="AI51" i="119"/>
  <c r="AM51" i="119"/>
  <c r="AQ51" i="119"/>
  <c r="AV51" i="119"/>
  <c r="AZ51" i="119"/>
  <c r="BD51" i="119"/>
  <c r="BH51" i="119"/>
  <c r="BL51" i="119"/>
  <c r="BP51" i="119"/>
  <c r="BT51" i="119"/>
  <c r="AF34" i="119"/>
  <c r="AJ34" i="119"/>
  <c r="AN34" i="119"/>
  <c r="AS34" i="119"/>
  <c r="AW34" i="119"/>
  <c r="BA34" i="119"/>
  <c r="BE34" i="119"/>
  <c r="BI34" i="119"/>
  <c r="BM34" i="119"/>
  <c r="BQ34" i="119"/>
  <c r="AG34" i="119"/>
  <c r="AK34" i="119"/>
  <c r="AO34" i="119"/>
  <c r="AT34" i="119"/>
  <c r="AX34" i="119"/>
  <c r="BB34" i="119"/>
  <c r="BF34" i="119"/>
  <c r="BJ34" i="119"/>
  <c r="BN34" i="119"/>
  <c r="BR34" i="119"/>
  <c r="AH34" i="119"/>
  <c r="AL34" i="119"/>
  <c r="AP34" i="119"/>
  <c r="AU34" i="119"/>
  <c r="AY34" i="119"/>
  <c r="BC34" i="119"/>
  <c r="BG34" i="119"/>
  <c r="BK34" i="119"/>
  <c r="BO34" i="119"/>
  <c r="BS34" i="119"/>
  <c r="AI34" i="119"/>
  <c r="AM34" i="119"/>
  <c r="AQ34" i="119"/>
  <c r="AV34" i="119"/>
  <c r="AZ34" i="119"/>
  <c r="BD34" i="119"/>
  <c r="BH34" i="119"/>
  <c r="BL34" i="119"/>
  <c r="BP34" i="119"/>
  <c r="BT34" i="119"/>
  <c r="AG88" i="119"/>
  <c r="AK88" i="119"/>
  <c r="AO88" i="119"/>
  <c r="AT88" i="119"/>
  <c r="AX88" i="119"/>
  <c r="BB88" i="119"/>
  <c r="BF88" i="119"/>
  <c r="BJ88" i="119"/>
  <c r="BN88" i="119"/>
  <c r="BR88" i="119"/>
  <c r="AH88" i="119"/>
  <c r="AL88" i="119"/>
  <c r="AP88" i="119"/>
  <c r="AU88" i="119"/>
  <c r="AY88" i="119"/>
  <c r="BC88" i="119"/>
  <c r="BG88" i="119"/>
  <c r="BK88" i="119"/>
  <c r="BO88" i="119"/>
  <c r="BS88" i="119"/>
  <c r="AI88" i="119"/>
  <c r="AM88" i="119"/>
  <c r="AQ88" i="119"/>
  <c r="AV88" i="119"/>
  <c r="AZ88" i="119"/>
  <c r="BD88" i="119"/>
  <c r="BH88" i="119"/>
  <c r="BL88" i="119"/>
  <c r="BP88" i="119"/>
  <c r="BT88" i="119"/>
  <c r="AF88" i="119"/>
  <c r="AJ88" i="119"/>
  <c r="AN88" i="119"/>
  <c r="AS88" i="119"/>
  <c r="AW88" i="119"/>
  <c r="BA88" i="119"/>
  <c r="BE88" i="119"/>
  <c r="BI88" i="119"/>
  <c r="BM88" i="119"/>
  <c r="BQ88" i="119"/>
  <c r="BQ108" i="119"/>
  <c r="BM108" i="119"/>
  <c r="BI108" i="119"/>
  <c r="BE108" i="119"/>
  <c r="BA108" i="119"/>
  <c r="AW108" i="119"/>
  <c r="AS108" i="119"/>
  <c r="AN108" i="119"/>
  <c r="AJ108" i="119"/>
  <c r="AF108" i="119"/>
  <c r="BR107" i="119"/>
  <c r="BN107" i="119"/>
  <c r="BJ107" i="119"/>
  <c r="BF107" i="119"/>
  <c r="BB107" i="119"/>
  <c r="AX107" i="119"/>
  <c r="AT107" i="119"/>
  <c r="AO107" i="119"/>
  <c r="AK107" i="119"/>
  <c r="AG107" i="119"/>
  <c r="BS106" i="119"/>
  <c r="BO106" i="119"/>
  <c r="BK106" i="119"/>
  <c r="BG106" i="119"/>
  <c r="BC106" i="119"/>
  <c r="AY106" i="119"/>
  <c r="AU106" i="119"/>
  <c r="AP106" i="119"/>
  <c r="AL106" i="119"/>
  <c r="AH106" i="119"/>
  <c r="BQ104" i="119"/>
  <c r="BM104" i="119"/>
  <c r="BI104" i="119"/>
  <c r="BE104" i="119"/>
  <c r="BA104" i="119"/>
  <c r="AW104" i="119"/>
  <c r="AS104" i="119"/>
  <c r="AN104" i="119"/>
  <c r="AJ104" i="119"/>
  <c r="AF104" i="119"/>
  <c r="BQ101" i="119"/>
  <c r="BM101" i="119"/>
  <c r="BI101" i="119"/>
  <c r="BE101" i="119"/>
  <c r="BA101" i="119"/>
  <c r="AW101" i="119"/>
  <c r="AS101" i="119"/>
  <c r="AN101" i="119"/>
  <c r="AJ101" i="119"/>
  <c r="AF101" i="119"/>
  <c r="BS99" i="119"/>
  <c r="BO99" i="119"/>
  <c r="BK99" i="119"/>
  <c r="BG99" i="119"/>
  <c r="BC99" i="119"/>
  <c r="AY99" i="119"/>
  <c r="AU99" i="119"/>
  <c r="AP99" i="119"/>
  <c r="AL99" i="119"/>
  <c r="AH99" i="119"/>
  <c r="BT98" i="119"/>
  <c r="BP98" i="119"/>
  <c r="BL98" i="119"/>
  <c r="BH98" i="119"/>
  <c r="BD98" i="119"/>
  <c r="AZ98" i="119"/>
  <c r="AV98" i="119"/>
  <c r="AQ98" i="119"/>
  <c r="AM98" i="119"/>
  <c r="AI98" i="119"/>
  <c r="BR96" i="119"/>
  <c r="BN96" i="119"/>
  <c r="BJ96" i="119"/>
  <c r="BF96" i="119"/>
  <c r="BB96" i="119"/>
  <c r="AW96" i="119"/>
  <c r="AQ96" i="119"/>
  <c r="AJ96" i="119"/>
  <c r="BR94" i="119"/>
  <c r="AI37" i="119"/>
  <c r="AM37" i="119"/>
  <c r="AQ37" i="119"/>
  <c r="AV37" i="119"/>
  <c r="AZ37" i="119"/>
  <c r="BD37" i="119"/>
  <c r="BH37" i="119"/>
  <c r="BL37" i="119"/>
  <c r="BP37" i="119"/>
  <c r="BT37" i="119"/>
  <c r="AF37" i="119"/>
  <c r="AJ37" i="119"/>
  <c r="AN37" i="119"/>
  <c r="AS37" i="119"/>
  <c r="AW37" i="119"/>
  <c r="BA37" i="119"/>
  <c r="BE37" i="119"/>
  <c r="BI37" i="119"/>
  <c r="BM37" i="119"/>
  <c r="BQ37" i="119"/>
  <c r="AG37" i="119"/>
  <c r="AK37" i="119"/>
  <c r="AO37" i="119"/>
  <c r="AT37" i="119"/>
  <c r="AX37" i="119"/>
  <c r="BB37" i="119"/>
  <c r="BF37" i="119"/>
  <c r="BJ37" i="119"/>
  <c r="BN37" i="119"/>
  <c r="BR37" i="119"/>
  <c r="AH37" i="119"/>
  <c r="AL37" i="119"/>
  <c r="AP37" i="119"/>
  <c r="AU37" i="119"/>
  <c r="AY37" i="119"/>
  <c r="BC37" i="119"/>
  <c r="BG37" i="119"/>
  <c r="BK37" i="119"/>
  <c r="BO37" i="119"/>
  <c r="BS37" i="119"/>
  <c r="AH75" i="119"/>
  <c r="AL75" i="119"/>
  <c r="AP75" i="119"/>
  <c r="AU75" i="119"/>
  <c r="AY75" i="119"/>
  <c r="BC75" i="119"/>
  <c r="BG75" i="119"/>
  <c r="BK75" i="119"/>
  <c r="BO75" i="119"/>
  <c r="BS75" i="119"/>
  <c r="AI75" i="119"/>
  <c r="AM75" i="119"/>
  <c r="AQ75" i="119"/>
  <c r="AV75" i="119"/>
  <c r="AZ75" i="119"/>
  <c r="BD75" i="119"/>
  <c r="BH75" i="119"/>
  <c r="BL75" i="119"/>
  <c r="BP75" i="119"/>
  <c r="BT75" i="119"/>
  <c r="AF75" i="119"/>
  <c r="AJ75" i="119"/>
  <c r="AN75" i="119"/>
  <c r="AS75" i="119"/>
  <c r="AW75" i="119"/>
  <c r="BA75" i="119"/>
  <c r="BE75" i="119"/>
  <c r="BI75" i="119"/>
  <c r="BM75" i="119"/>
  <c r="BQ75" i="119"/>
  <c r="AG75" i="119"/>
  <c r="AK75" i="119"/>
  <c r="AO75" i="119"/>
  <c r="AT75" i="119"/>
  <c r="AX75" i="119"/>
  <c r="BB75" i="119"/>
  <c r="BF75" i="119"/>
  <c r="BJ75" i="119"/>
  <c r="BN75" i="119"/>
  <c r="BR75" i="119"/>
  <c r="AH38" i="119"/>
  <c r="AL38" i="119"/>
  <c r="AP38" i="119"/>
  <c r="AU38" i="119"/>
  <c r="AY38" i="119"/>
  <c r="BC38" i="119"/>
  <c r="BG38" i="119"/>
  <c r="BK38" i="119"/>
  <c r="BO38" i="119"/>
  <c r="BS38" i="119"/>
  <c r="AI38" i="119"/>
  <c r="AM38" i="119"/>
  <c r="AQ38" i="119"/>
  <c r="AV38" i="119"/>
  <c r="AZ38" i="119"/>
  <c r="BD38" i="119"/>
  <c r="BH38" i="119"/>
  <c r="BL38" i="119"/>
  <c r="BP38" i="119"/>
  <c r="BT38" i="119"/>
  <c r="AF38" i="119"/>
  <c r="AJ38" i="119"/>
  <c r="AN38" i="119"/>
  <c r="AS38" i="119"/>
  <c r="AW38" i="119"/>
  <c r="BA38" i="119"/>
  <c r="BE38" i="119"/>
  <c r="BI38" i="119"/>
  <c r="BM38" i="119"/>
  <c r="BQ38" i="119"/>
  <c r="AG38" i="119"/>
  <c r="AK38" i="119"/>
  <c r="AO38" i="119"/>
  <c r="AT38" i="119"/>
  <c r="AX38" i="119"/>
  <c r="BB38" i="119"/>
  <c r="BF38" i="119"/>
  <c r="BJ38" i="119"/>
  <c r="BN38" i="119"/>
  <c r="BR38" i="119"/>
  <c r="AH71" i="119"/>
  <c r="AL71" i="119"/>
  <c r="AP71" i="119"/>
  <c r="AU71" i="119"/>
  <c r="AY71" i="119"/>
  <c r="BC71" i="119"/>
  <c r="BG71" i="119"/>
  <c r="BK71" i="119"/>
  <c r="BO71" i="119"/>
  <c r="BS71" i="119"/>
  <c r="AI71" i="119"/>
  <c r="AM71" i="119"/>
  <c r="AQ71" i="119"/>
  <c r="AV71" i="119"/>
  <c r="AZ71" i="119"/>
  <c r="BD71" i="119"/>
  <c r="BH71" i="119"/>
  <c r="BL71" i="119"/>
  <c r="BP71" i="119"/>
  <c r="BT71" i="119"/>
  <c r="AF71" i="119"/>
  <c r="AJ71" i="119"/>
  <c r="AN71" i="119"/>
  <c r="AS71" i="119"/>
  <c r="AW71" i="119"/>
  <c r="BA71" i="119"/>
  <c r="BE71" i="119"/>
  <c r="BI71" i="119"/>
  <c r="BM71" i="119"/>
  <c r="BQ71" i="119"/>
  <c r="AG71" i="119"/>
  <c r="AK71" i="119"/>
  <c r="AO71" i="119"/>
  <c r="AT71" i="119"/>
  <c r="AX71" i="119"/>
  <c r="BB71" i="119"/>
  <c r="BF71" i="119"/>
  <c r="BJ71" i="119"/>
  <c r="BN71" i="119"/>
  <c r="BR71" i="119"/>
  <c r="AF132" i="119"/>
  <c r="AJ132" i="119"/>
  <c r="AN132" i="119"/>
  <c r="AS132" i="119"/>
  <c r="AW132" i="119"/>
  <c r="BA132" i="119"/>
  <c r="BE132" i="119"/>
  <c r="BI132" i="119"/>
  <c r="BM132" i="119"/>
  <c r="BQ132" i="119"/>
  <c r="AG132" i="119"/>
  <c r="AK132" i="119"/>
  <c r="AO132" i="119"/>
  <c r="AT132" i="119"/>
  <c r="AX132" i="119"/>
  <c r="BB132" i="119"/>
  <c r="BF132" i="119"/>
  <c r="BJ132" i="119"/>
  <c r="BN132" i="119"/>
  <c r="BR132" i="119"/>
  <c r="AH132" i="119"/>
  <c r="AL132" i="119"/>
  <c r="AP132" i="119"/>
  <c r="AU132" i="119"/>
  <c r="AY132" i="119"/>
  <c r="BC132" i="119"/>
  <c r="BG132" i="119"/>
  <c r="BK132" i="119"/>
  <c r="BO132" i="119"/>
  <c r="BS132" i="119"/>
  <c r="AI132" i="119"/>
  <c r="AM132" i="119"/>
  <c r="AQ132" i="119"/>
  <c r="AV132" i="119"/>
  <c r="AZ132" i="119"/>
  <c r="BD132" i="119"/>
  <c r="BH132" i="119"/>
  <c r="BL132" i="119"/>
  <c r="BP132" i="119"/>
  <c r="BT132" i="119"/>
  <c r="AF89" i="119"/>
  <c r="AJ89" i="119"/>
  <c r="AN89" i="119"/>
  <c r="AS89" i="119"/>
  <c r="AW89" i="119"/>
  <c r="BA89" i="119"/>
  <c r="BE89" i="119"/>
  <c r="BI89" i="119"/>
  <c r="BM89" i="119"/>
  <c r="BQ89" i="119"/>
  <c r="AG89" i="119"/>
  <c r="AK89" i="119"/>
  <c r="AO89" i="119"/>
  <c r="AT89" i="119"/>
  <c r="AX89" i="119"/>
  <c r="BB89" i="119"/>
  <c r="BF89" i="119"/>
  <c r="BJ89" i="119"/>
  <c r="BN89" i="119"/>
  <c r="BR89" i="119"/>
  <c r="AH89" i="119"/>
  <c r="AL89" i="119"/>
  <c r="AP89" i="119"/>
  <c r="AU89" i="119"/>
  <c r="AY89" i="119"/>
  <c r="BC89" i="119"/>
  <c r="BG89" i="119"/>
  <c r="BK89" i="119"/>
  <c r="BO89" i="119"/>
  <c r="BS89" i="119"/>
  <c r="AI89" i="119"/>
  <c r="AM89" i="119"/>
  <c r="AQ89" i="119"/>
  <c r="AV89" i="119"/>
  <c r="AZ89" i="119"/>
  <c r="BD89" i="119"/>
  <c r="BH89" i="119"/>
  <c r="BL89" i="119"/>
  <c r="BP89" i="119"/>
  <c r="BT89" i="119"/>
  <c r="AI109" i="119"/>
  <c r="AM109" i="119"/>
  <c r="AQ109" i="119"/>
  <c r="AV109" i="119"/>
  <c r="AZ109" i="119"/>
  <c r="BD109" i="119"/>
  <c r="BH109" i="119"/>
  <c r="BL109" i="119"/>
  <c r="AF109" i="119"/>
  <c r="AJ109" i="119"/>
  <c r="AN109" i="119"/>
  <c r="AS109" i="119"/>
  <c r="AW109" i="119"/>
  <c r="BA109" i="119"/>
  <c r="BE109" i="119"/>
  <c r="BI109" i="119"/>
  <c r="BM109" i="119"/>
  <c r="BQ109" i="119"/>
  <c r="BP109" i="119"/>
  <c r="BT109" i="119"/>
  <c r="BU109" i="119"/>
  <c r="AE109" i="119"/>
  <c r="AH138" i="119"/>
  <c r="AL138" i="119"/>
  <c r="AP138" i="119"/>
  <c r="AU138" i="119"/>
  <c r="AY138" i="119"/>
  <c r="BC138" i="119"/>
  <c r="BG138" i="119"/>
  <c r="BK138" i="119"/>
  <c r="BO138" i="119"/>
  <c r="BS138" i="119"/>
  <c r="AI138" i="119"/>
  <c r="AM138" i="119"/>
  <c r="AQ138" i="119"/>
  <c r="AV138" i="119"/>
  <c r="AZ138" i="119"/>
  <c r="BD138" i="119"/>
  <c r="BH138" i="119"/>
  <c r="BL138" i="119"/>
  <c r="BP138" i="119"/>
  <c r="BT138" i="119"/>
  <c r="AF138" i="119"/>
  <c r="AJ138" i="119"/>
  <c r="AN138" i="119"/>
  <c r="AS138" i="119"/>
  <c r="AW138" i="119"/>
  <c r="BA138" i="119"/>
  <c r="BE138" i="119"/>
  <c r="BI138" i="119"/>
  <c r="BM138" i="119"/>
  <c r="BQ138" i="119"/>
  <c r="AG138" i="119"/>
  <c r="AK138" i="119"/>
  <c r="AO138" i="119"/>
  <c r="AT138" i="119"/>
  <c r="AX138" i="119"/>
  <c r="BB138" i="119"/>
  <c r="BF138" i="119"/>
  <c r="BJ138" i="119"/>
  <c r="BN138" i="119"/>
  <c r="BR138" i="119"/>
  <c r="AI125" i="119"/>
  <c r="AM125" i="119"/>
  <c r="AQ125" i="119"/>
  <c r="AV125" i="119"/>
  <c r="AZ125" i="119"/>
  <c r="BD125" i="119"/>
  <c r="BH125" i="119"/>
  <c r="BL125" i="119"/>
  <c r="BP125" i="119"/>
  <c r="BT125" i="119"/>
  <c r="AF125" i="119"/>
  <c r="AJ125" i="119"/>
  <c r="AN125" i="119"/>
  <c r="AS125" i="119"/>
  <c r="AW125" i="119"/>
  <c r="BA125" i="119"/>
  <c r="BE125" i="119"/>
  <c r="BI125" i="119"/>
  <c r="BM125" i="119"/>
  <c r="BQ125" i="119"/>
  <c r="AG125" i="119"/>
  <c r="AK125" i="119"/>
  <c r="AO125" i="119"/>
  <c r="AT125" i="119"/>
  <c r="AX125" i="119"/>
  <c r="BB125" i="119"/>
  <c r="BF125" i="119"/>
  <c r="BJ125" i="119"/>
  <c r="BN125" i="119"/>
  <c r="BR125" i="119"/>
  <c r="AH125" i="119"/>
  <c r="AL125" i="119"/>
  <c r="AP125" i="119"/>
  <c r="AU125" i="119"/>
  <c r="AY125" i="119"/>
  <c r="BC125" i="119"/>
  <c r="BG125" i="119"/>
  <c r="BK125" i="119"/>
  <c r="BO125" i="119"/>
  <c r="BS125" i="119"/>
  <c r="AH134" i="119"/>
  <c r="AL134" i="119"/>
  <c r="AP134" i="119"/>
  <c r="AU134" i="119"/>
  <c r="AY134" i="119"/>
  <c r="BC134" i="119"/>
  <c r="BG134" i="119"/>
  <c r="BK134" i="119"/>
  <c r="BO134" i="119"/>
  <c r="BS134" i="119"/>
  <c r="AI134" i="119"/>
  <c r="AM134" i="119"/>
  <c r="AQ134" i="119"/>
  <c r="AV134" i="119"/>
  <c r="AZ134" i="119"/>
  <c r="BD134" i="119"/>
  <c r="BH134" i="119"/>
  <c r="BL134" i="119"/>
  <c r="BP134" i="119"/>
  <c r="BT134" i="119"/>
  <c r="AF134" i="119"/>
  <c r="AJ134" i="119"/>
  <c r="AN134" i="119"/>
  <c r="AS134" i="119"/>
  <c r="AW134" i="119"/>
  <c r="BA134" i="119"/>
  <c r="BE134" i="119"/>
  <c r="BI134" i="119"/>
  <c r="BM134" i="119"/>
  <c r="BQ134" i="119"/>
  <c r="AG134" i="119"/>
  <c r="AK134" i="119"/>
  <c r="AO134" i="119"/>
  <c r="AT134" i="119"/>
  <c r="AX134" i="119"/>
  <c r="BB134" i="119"/>
  <c r="BF134" i="119"/>
  <c r="BJ134" i="119"/>
  <c r="BN134" i="119"/>
  <c r="BR134" i="119"/>
  <c r="AI115" i="119"/>
  <c r="AM115" i="119"/>
  <c r="AQ115" i="119"/>
  <c r="AV115" i="119"/>
  <c r="AZ115" i="119"/>
  <c r="BD115" i="119"/>
  <c r="BH115" i="119"/>
  <c r="BL115" i="119"/>
  <c r="BP115" i="119"/>
  <c r="BT115" i="119"/>
  <c r="AF115" i="119"/>
  <c r="AK115" i="119"/>
  <c r="AP115" i="119"/>
  <c r="AW115" i="119"/>
  <c r="BB115" i="119"/>
  <c r="BG115" i="119"/>
  <c r="BM115" i="119"/>
  <c r="BR115" i="119"/>
  <c r="AG115" i="119"/>
  <c r="AL115" i="119"/>
  <c r="AS115" i="119"/>
  <c r="AX115" i="119"/>
  <c r="BC115" i="119"/>
  <c r="BI115" i="119"/>
  <c r="BN115" i="119"/>
  <c r="BS115" i="119"/>
  <c r="AH115" i="119"/>
  <c r="AN115" i="119"/>
  <c r="AT115" i="119"/>
  <c r="AY115" i="119"/>
  <c r="BE115" i="119"/>
  <c r="BJ115" i="119"/>
  <c r="BO115" i="119"/>
  <c r="AJ115" i="119"/>
  <c r="AO115" i="119"/>
  <c r="AU115" i="119"/>
  <c r="BA115" i="119"/>
  <c r="BF115" i="119"/>
  <c r="BK115" i="119"/>
  <c r="BQ115" i="119"/>
  <c r="AG119" i="119"/>
  <c r="AK119" i="119"/>
  <c r="AO119" i="119"/>
  <c r="AT119" i="119"/>
  <c r="AX119" i="119"/>
  <c r="BB119" i="119"/>
  <c r="BF119" i="119"/>
  <c r="BJ119" i="119"/>
  <c r="BN119" i="119"/>
  <c r="BR119" i="119"/>
  <c r="AH119" i="119"/>
  <c r="AL119" i="119"/>
  <c r="AP119" i="119"/>
  <c r="AU119" i="119"/>
  <c r="AY119" i="119"/>
  <c r="BC119" i="119"/>
  <c r="BG119" i="119"/>
  <c r="BK119" i="119"/>
  <c r="BO119" i="119"/>
  <c r="BS119" i="119"/>
  <c r="AI119" i="119"/>
  <c r="AM119" i="119"/>
  <c r="AQ119" i="119"/>
  <c r="AV119" i="119"/>
  <c r="AZ119" i="119"/>
  <c r="BD119" i="119"/>
  <c r="BH119" i="119"/>
  <c r="BL119" i="119"/>
  <c r="BP119" i="119"/>
  <c r="BT119" i="119"/>
  <c r="AF119" i="119"/>
  <c r="AJ119" i="119"/>
  <c r="AN119" i="119"/>
  <c r="AS119" i="119"/>
  <c r="AW119" i="119"/>
  <c r="BM119" i="119"/>
  <c r="BA119" i="119"/>
  <c r="BQ119" i="119"/>
  <c r="BE119" i="119"/>
  <c r="BI119" i="119"/>
  <c r="AI16" i="119"/>
  <c r="AM16" i="119"/>
  <c r="AQ16" i="119"/>
  <c r="AV16" i="119"/>
  <c r="AZ16" i="119"/>
  <c r="BD16" i="119"/>
  <c r="BH16" i="119"/>
  <c r="BL16" i="119"/>
  <c r="BP16" i="119"/>
  <c r="BT16" i="119"/>
  <c r="AF16" i="119"/>
  <c r="AJ16" i="119"/>
  <c r="AN16" i="119"/>
  <c r="AS16" i="119"/>
  <c r="AW16" i="119"/>
  <c r="BA16" i="119"/>
  <c r="BE16" i="119"/>
  <c r="BI16" i="119"/>
  <c r="BM16" i="119"/>
  <c r="BQ16" i="119"/>
  <c r="AG16" i="119"/>
  <c r="AK16" i="119"/>
  <c r="AO16" i="119"/>
  <c r="AT16" i="119"/>
  <c r="AX16" i="119"/>
  <c r="BB16" i="119"/>
  <c r="BF16" i="119"/>
  <c r="BJ16" i="119"/>
  <c r="BN16" i="119"/>
  <c r="BR16" i="119"/>
  <c r="AH16" i="119"/>
  <c r="AL16" i="119"/>
  <c r="AP16" i="119"/>
  <c r="AU16" i="119"/>
  <c r="AY16" i="119"/>
  <c r="BC16" i="119"/>
  <c r="BG16" i="119"/>
  <c r="BK16" i="119"/>
  <c r="BO16" i="119"/>
  <c r="BS16" i="119"/>
  <c r="AH142" i="119"/>
  <c r="AL142" i="119"/>
  <c r="AP142" i="119"/>
  <c r="AU142" i="119"/>
  <c r="AY142" i="119"/>
  <c r="BC142" i="119"/>
  <c r="BG142" i="119"/>
  <c r="BK142" i="119"/>
  <c r="BO142" i="119"/>
  <c r="BS142" i="119"/>
  <c r="AI142" i="119"/>
  <c r="AM142" i="119"/>
  <c r="AQ142" i="119"/>
  <c r="AV142" i="119"/>
  <c r="AZ142" i="119"/>
  <c r="BD142" i="119"/>
  <c r="BH142" i="119"/>
  <c r="BL142" i="119"/>
  <c r="BP142" i="119"/>
  <c r="BT142" i="119"/>
  <c r="AF142" i="119"/>
  <c r="AJ142" i="119"/>
  <c r="AN142" i="119"/>
  <c r="AS142" i="119"/>
  <c r="AW142" i="119"/>
  <c r="BA142" i="119"/>
  <c r="BE142" i="119"/>
  <c r="BI142" i="119"/>
  <c r="BM142" i="119"/>
  <c r="BQ142" i="119"/>
  <c r="AG142" i="119"/>
  <c r="AK142" i="119"/>
  <c r="AO142" i="119"/>
  <c r="AT142" i="119"/>
  <c r="AX142" i="119"/>
  <c r="BB142" i="119"/>
  <c r="BF142" i="119"/>
  <c r="BJ142" i="119"/>
  <c r="BN142" i="119"/>
  <c r="BR142" i="119"/>
  <c r="AF121" i="119"/>
  <c r="AG121" i="119"/>
  <c r="AK121" i="119"/>
  <c r="AO121" i="119"/>
  <c r="AL121" i="119"/>
  <c r="AQ121" i="119"/>
  <c r="AV121" i="119"/>
  <c r="AZ121" i="119"/>
  <c r="BD121" i="119"/>
  <c r="BH121" i="119"/>
  <c r="BL121" i="119"/>
  <c r="BP121" i="119"/>
  <c r="BT121" i="119"/>
  <c r="AH121" i="119"/>
  <c r="AM121" i="119"/>
  <c r="AS121" i="119"/>
  <c r="AW121" i="119"/>
  <c r="BA121" i="119"/>
  <c r="BE121" i="119"/>
  <c r="BI121" i="119"/>
  <c r="BM121" i="119"/>
  <c r="BQ121" i="119"/>
  <c r="AI121" i="119"/>
  <c r="AN121" i="119"/>
  <c r="AT121" i="119"/>
  <c r="AX121" i="119"/>
  <c r="BB121" i="119"/>
  <c r="BF121" i="119"/>
  <c r="BJ121" i="119"/>
  <c r="BN121" i="119"/>
  <c r="BR121" i="119"/>
  <c r="AJ121" i="119"/>
  <c r="AP121" i="119"/>
  <c r="AU121" i="119"/>
  <c r="AY121" i="119"/>
  <c r="BC121" i="119"/>
  <c r="BG121" i="119"/>
  <c r="BK121" i="119"/>
  <c r="BO121" i="119"/>
  <c r="BS121" i="119"/>
  <c r="AI35" i="119"/>
  <c r="AM35" i="119"/>
  <c r="AQ35" i="119"/>
  <c r="AV35" i="119"/>
  <c r="AZ35" i="119"/>
  <c r="BD35" i="119"/>
  <c r="BH35" i="119"/>
  <c r="AF35" i="119"/>
  <c r="AJ35" i="119"/>
  <c r="AN35" i="119"/>
  <c r="AS35" i="119"/>
  <c r="AH35" i="119"/>
  <c r="AL35" i="119"/>
  <c r="AP35" i="119"/>
  <c r="AU35" i="119"/>
  <c r="AY35" i="119"/>
  <c r="BC35" i="119"/>
  <c r="BG35" i="119"/>
  <c r="BK35" i="119"/>
  <c r="BO35" i="119"/>
  <c r="AK35" i="119"/>
  <c r="AX35" i="119"/>
  <c r="BF35" i="119"/>
  <c r="BM35" i="119"/>
  <c r="BR35" i="119"/>
  <c r="AO35" i="119"/>
  <c r="BA35" i="119"/>
  <c r="BI35" i="119"/>
  <c r="BN35" i="119"/>
  <c r="BS35" i="119"/>
  <c r="AT35" i="119"/>
  <c r="BB35" i="119"/>
  <c r="BJ35" i="119"/>
  <c r="BP35" i="119"/>
  <c r="BT35" i="119"/>
  <c r="AG35" i="119"/>
  <c r="AW35" i="119"/>
  <c r="BE35" i="119"/>
  <c r="BL35" i="119"/>
  <c r="BQ35" i="119"/>
  <c r="AI165" i="119"/>
  <c r="AM165" i="119"/>
  <c r="AQ165" i="119"/>
  <c r="AV165" i="119"/>
  <c r="AZ165" i="119"/>
  <c r="BD165" i="119"/>
  <c r="BH165" i="119"/>
  <c r="BL165" i="119"/>
  <c r="BP165" i="119"/>
  <c r="BT165" i="119"/>
  <c r="AF165" i="119"/>
  <c r="AJ165" i="119"/>
  <c r="AN165" i="119"/>
  <c r="AS165" i="119"/>
  <c r="AW165" i="119"/>
  <c r="BA165" i="119"/>
  <c r="BE165" i="119"/>
  <c r="BI165" i="119"/>
  <c r="BM165" i="119"/>
  <c r="BQ165" i="119"/>
  <c r="AG165" i="119"/>
  <c r="AK165" i="119"/>
  <c r="AO165" i="119"/>
  <c r="AT165" i="119"/>
  <c r="AX165" i="119"/>
  <c r="BB165" i="119"/>
  <c r="BF165" i="119"/>
  <c r="BJ165" i="119"/>
  <c r="BN165" i="119"/>
  <c r="BR165" i="119"/>
  <c r="AH165" i="119"/>
  <c r="AL165" i="119"/>
  <c r="AP165" i="119"/>
  <c r="AU165" i="119"/>
  <c r="AY165" i="119"/>
  <c r="BC165" i="119"/>
  <c r="BG165" i="119"/>
  <c r="BK165" i="119"/>
  <c r="BO165" i="119"/>
  <c r="BS165" i="119"/>
  <c r="AH126" i="119"/>
  <c r="AL126" i="119"/>
  <c r="AP126" i="119"/>
  <c r="AU126" i="119"/>
  <c r="AY126" i="119"/>
  <c r="BC126" i="119"/>
  <c r="BG126" i="119"/>
  <c r="BK126" i="119"/>
  <c r="BO126" i="119"/>
  <c r="BS126" i="119"/>
  <c r="AI126" i="119"/>
  <c r="AM126" i="119"/>
  <c r="AQ126" i="119"/>
  <c r="AV126" i="119"/>
  <c r="AZ126" i="119"/>
  <c r="BD126" i="119"/>
  <c r="BH126" i="119"/>
  <c r="BL126" i="119"/>
  <c r="BP126" i="119"/>
  <c r="BT126" i="119"/>
  <c r="AF126" i="119"/>
  <c r="AJ126" i="119"/>
  <c r="AN126" i="119"/>
  <c r="AS126" i="119"/>
  <c r="AW126" i="119"/>
  <c r="BA126" i="119"/>
  <c r="BE126" i="119"/>
  <c r="BI126" i="119"/>
  <c r="BM126" i="119"/>
  <c r="BQ126" i="119"/>
  <c r="AG126" i="119"/>
  <c r="AK126" i="119"/>
  <c r="AO126" i="119"/>
  <c r="AT126" i="119"/>
  <c r="AX126" i="119"/>
  <c r="BB126" i="119"/>
  <c r="BF126" i="119"/>
  <c r="BJ126" i="119"/>
  <c r="BN126" i="119"/>
  <c r="BR126" i="119"/>
  <c r="BT108" i="119"/>
  <c r="BP108" i="119"/>
  <c r="BL108" i="119"/>
  <c r="BH108" i="119"/>
  <c r="BD108" i="119"/>
  <c r="AZ108" i="119"/>
  <c r="AV108" i="119"/>
  <c r="AQ108" i="119"/>
  <c r="AM108" i="119"/>
  <c r="BQ107" i="119"/>
  <c r="BM107" i="119"/>
  <c r="BI107" i="119"/>
  <c r="BE107" i="119"/>
  <c r="BA107" i="119"/>
  <c r="AW107" i="119"/>
  <c r="AS107" i="119"/>
  <c r="AN107" i="119"/>
  <c r="AJ107" i="119"/>
  <c r="BR106" i="119"/>
  <c r="BN106" i="119"/>
  <c r="BJ106" i="119"/>
  <c r="BF106" i="119"/>
  <c r="BB106" i="119"/>
  <c r="AX106" i="119"/>
  <c r="AT106" i="119"/>
  <c r="AO106" i="119"/>
  <c r="AK106" i="119"/>
  <c r="BT104" i="119"/>
  <c r="BP104" i="119"/>
  <c r="BL104" i="119"/>
  <c r="BH104" i="119"/>
  <c r="BD104" i="119"/>
  <c r="AZ104" i="119"/>
  <c r="AV104" i="119"/>
  <c r="AQ104" i="119"/>
  <c r="AM104" i="119"/>
  <c r="BT101" i="119"/>
  <c r="BP101" i="119"/>
  <c r="BL101" i="119"/>
  <c r="BH101" i="119"/>
  <c r="BD101" i="119"/>
  <c r="AZ101" i="119"/>
  <c r="AV101" i="119"/>
  <c r="AQ101" i="119"/>
  <c r="AM101" i="119"/>
  <c r="BR99" i="119"/>
  <c r="BN99" i="119"/>
  <c r="BJ99" i="119"/>
  <c r="BF99" i="119"/>
  <c r="BB99" i="119"/>
  <c r="AX99" i="119"/>
  <c r="AT99" i="119"/>
  <c r="AO99" i="119"/>
  <c r="AK99" i="119"/>
  <c r="BS98" i="119"/>
  <c r="BO98" i="119"/>
  <c r="BK98" i="119"/>
  <c r="BG98" i="119"/>
  <c r="BC98" i="119"/>
  <c r="AY98" i="119"/>
  <c r="AU98" i="119"/>
  <c r="AP98" i="119"/>
  <c r="AL98" i="119"/>
  <c r="BQ96" i="119"/>
  <c r="BM96" i="119"/>
  <c r="BI96" i="119"/>
  <c r="BE96" i="119"/>
  <c r="BA96" i="119"/>
  <c r="AV96" i="119"/>
  <c r="AP96" i="119"/>
  <c r="AI96" i="119"/>
  <c r="B2405" i="111"/>
  <c r="B2653" i="111"/>
  <c r="B2617" i="111"/>
  <c r="B2536" i="111"/>
  <c r="B2497" i="111"/>
  <c r="B2416" i="111"/>
  <c r="B2652" i="111"/>
  <c r="B2616" i="111"/>
  <c r="B2524" i="111"/>
  <c r="B2496" i="111"/>
  <c r="B2404" i="111"/>
  <c r="B2651" i="111"/>
  <c r="B2615" i="111"/>
  <c r="B2523" i="111"/>
  <c r="B2495" i="111"/>
  <c r="B2403" i="111"/>
  <c r="B2650" i="111"/>
  <c r="B2614" i="111"/>
  <c r="B2522" i="111"/>
  <c r="B2494" i="111"/>
  <c r="B2402" i="111"/>
  <c r="B2649" i="111"/>
  <c r="B2613" i="111"/>
  <c r="B2521" i="111"/>
  <c r="B2493" i="111"/>
  <c r="B2401" i="111"/>
  <c r="B2648" i="111"/>
  <c r="B2612" i="111"/>
  <c r="B2537" i="111"/>
  <c r="B2492" i="111"/>
  <c r="B2417" i="111"/>
  <c r="B2647" i="111"/>
  <c r="B2611" i="111"/>
  <c r="B2581" i="111"/>
  <c r="B2520" i="111"/>
  <c r="B2491" i="111"/>
  <c r="B2461" i="111"/>
  <c r="B2400" i="111"/>
  <c r="B2646" i="111"/>
  <c r="B2610" i="111"/>
  <c r="B2580" i="111"/>
  <c r="B2519" i="111"/>
  <c r="B2490" i="111"/>
  <c r="B2460" i="111"/>
  <c r="B2399" i="111"/>
  <c r="B2645" i="111"/>
  <c r="B2609" i="111"/>
  <c r="B2579" i="111"/>
  <c r="B2518" i="111"/>
  <c r="B2489" i="111"/>
  <c r="B2459" i="111"/>
  <c r="B2398" i="111"/>
  <c r="B2644" i="111"/>
  <c r="B2608" i="111"/>
  <c r="B2578" i="111"/>
  <c r="B2488" i="111"/>
  <c r="B2458" i="111"/>
  <c r="B2643" i="111"/>
  <c r="B2607" i="111"/>
  <c r="B2577" i="111"/>
  <c r="B2487" i="111"/>
  <c r="B2457" i="111"/>
  <c r="B2642" i="111"/>
  <c r="B2606" i="111"/>
  <c r="B2517" i="111"/>
  <c r="B2486" i="111"/>
  <c r="B2397" i="111"/>
  <c r="B2641" i="111"/>
  <c r="B2605" i="111"/>
  <c r="B2516" i="111"/>
  <c r="B2485" i="111"/>
  <c r="B2396" i="111"/>
  <c r="B2640" i="111"/>
  <c r="B2604" i="111"/>
  <c r="B2515" i="111"/>
  <c r="B2484" i="111"/>
  <c r="B2395" i="111"/>
  <c r="B2639" i="111"/>
  <c r="B2603" i="111"/>
  <c r="B2514" i="111"/>
  <c r="B2483" i="111"/>
  <c r="B2394" i="111"/>
  <c r="B2688" i="111"/>
  <c r="B2687" i="111"/>
  <c r="B2686" i="111"/>
  <c r="B2685" i="111"/>
  <c r="B2684" i="111"/>
  <c r="B2683" i="111"/>
  <c r="B2682" i="111"/>
  <c r="B2667" i="111"/>
  <c r="B2666" i="111"/>
  <c r="B2665" i="111"/>
  <c r="B2664" i="111"/>
  <c r="B2663" i="111"/>
  <c r="B2662" i="111"/>
  <c r="B2661" i="111"/>
  <c r="B2681" i="111"/>
  <c r="B2680" i="111"/>
  <c r="B2679" i="111"/>
  <c r="B2678" i="111"/>
  <c r="B2677" i="111"/>
  <c r="B2676" i="111"/>
  <c r="B2675" i="111"/>
  <c r="B2660" i="111"/>
  <c r="B2659" i="111"/>
  <c r="B2658" i="111"/>
  <c r="B2657" i="111"/>
  <c r="B2656" i="111"/>
  <c r="B2655" i="111"/>
  <c r="B2654" i="111"/>
  <c r="B2674" i="111"/>
  <c r="B2673" i="111"/>
  <c r="B2672" i="111"/>
  <c r="B2671" i="111"/>
  <c r="B2670" i="111"/>
  <c r="B2669" i="111"/>
  <c r="B2668" i="111"/>
  <c r="B2638" i="111"/>
  <c r="B2602" i="111"/>
  <c r="B2576" i="111"/>
  <c r="B2513" i="111"/>
  <c r="B2482" i="111"/>
  <c r="B2456" i="111"/>
  <c r="B2393" i="111"/>
  <c r="B2637" i="111"/>
  <c r="B2601" i="111"/>
  <c r="B2512" i="111"/>
  <c r="B2481" i="111"/>
  <c r="B2392" i="111"/>
  <c r="B2636" i="111"/>
  <c r="B2600" i="111"/>
  <c r="B2575" i="111"/>
  <c r="B2511" i="111"/>
  <c r="B2480" i="111"/>
  <c r="B2455" i="111"/>
  <c r="B2391" i="111"/>
  <c r="B2635" i="111"/>
  <c r="B2599" i="111"/>
  <c r="B2574" i="111"/>
  <c r="B2510" i="111"/>
  <c r="B2479" i="111"/>
  <c r="B2454" i="111"/>
  <c r="B2390" i="111"/>
  <c r="B2634" i="111"/>
  <c r="B2598" i="111"/>
  <c r="B2573" i="111"/>
  <c r="B2478" i="111"/>
  <c r="B2453" i="111"/>
  <c r="B2633" i="111"/>
  <c r="B2597" i="111"/>
  <c r="B2572" i="111"/>
  <c r="B2477" i="111"/>
  <c r="B2452" i="111"/>
  <c r="B2632" i="111"/>
  <c r="B2596" i="111"/>
  <c r="B2571" i="111"/>
  <c r="B2476" i="111"/>
  <c r="B2451" i="111"/>
  <c r="B2631" i="111"/>
  <c r="B2595" i="111"/>
  <c r="B2509" i="111"/>
  <c r="B2475" i="111"/>
  <c r="B2389" i="111"/>
  <c r="B2318" i="111"/>
  <c r="B2286" i="111"/>
  <c r="B2254" i="111"/>
  <c r="B2265" i="111"/>
  <c r="B2218" i="111"/>
  <c r="B2242" i="111"/>
  <c r="B2187" i="111"/>
  <c r="B2155" i="111"/>
  <c r="B2166" i="111"/>
  <c r="B2108" i="111"/>
  <c r="B2144" i="111"/>
  <c r="B2132" i="111"/>
  <c r="B2317" i="111"/>
  <c r="B2285" i="111"/>
  <c r="B2253" i="111"/>
  <c r="B2264" i="111"/>
  <c r="B2217" i="111"/>
  <c r="B2241" i="111"/>
  <c r="B2186" i="111"/>
  <c r="B2154" i="111"/>
  <c r="B2165" i="111"/>
  <c r="B2107" i="111"/>
  <c r="B2143" i="111"/>
  <c r="B2131" i="111"/>
  <c r="B2316" i="111"/>
  <c r="B2284" i="111"/>
  <c r="B2252" i="111"/>
  <c r="B2263" i="111"/>
  <c r="B2216" i="111"/>
  <c r="B2240" i="111"/>
  <c r="B2185" i="111"/>
  <c r="B2153" i="111"/>
  <c r="B2164" i="111"/>
  <c r="B2106" i="111"/>
  <c r="B2142" i="111"/>
  <c r="B2130" i="111"/>
  <c r="B2315" i="111"/>
  <c r="B2283" i="111"/>
  <c r="B2251" i="111"/>
  <c r="B2262" i="111"/>
  <c r="B2215" i="111"/>
  <c r="B2239" i="111"/>
  <c r="B2184" i="111"/>
  <c r="B2152" i="111"/>
  <c r="B2163" i="111"/>
  <c r="B2105" i="111"/>
  <c r="B2141" i="111"/>
  <c r="B2129" i="111"/>
  <c r="B2314" i="111"/>
  <c r="B2282" i="111"/>
  <c r="B2250" i="111"/>
  <c r="B2261" i="111"/>
  <c r="B2214" i="111"/>
  <c r="B2238" i="111"/>
  <c r="B2183" i="111"/>
  <c r="B2151" i="111"/>
  <c r="B2162" i="111"/>
  <c r="B2104" i="111"/>
  <c r="B2140" i="111"/>
  <c r="B2128" i="111"/>
  <c r="B2313" i="111"/>
  <c r="B2281" i="111"/>
  <c r="B2249" i="111"/>
  <c r="B2260" i="111"/>
  <c r="B2213" i="111"/>
  <c r="B2237" i="111"/>
  <c r="B2182" i="111"/>
  <c r="B2150" i="111"/>
  <c r="B2161" i="111"/>
  <c r="B2103" i="111"/>
  <c r="B2139" i="111"/>
  <c r="B2127" i="111"/>
  <c r="B2312" i="111"/>
  <c r="B2280" i="111"/>
  <c r="B2248" i="111"/>
  <c r="B2259" i="111"/>
  <c r="B2212" i="111"/>
  <c r="B2236" i="111"/>
  <c r="B2181" i="111"/>
  <c r="B2149" i="111"/>
  <c r="B2160" i="111"/>
  <c r="B2102" i="111"/>
  <c r="B2138" i="111"/>
  <c r="B2126" i="111"/>
  <c r="B2311" i="111"/>
  <c r="B2279" i="111"/>
  <c r="B2247" i="111"/>
  <c r="B2258" i="111"/>
  <c r="B2211" i="111"/>
  <c r="B2235" i="111"/>
  <c r="B2180" i="111"/>
  <c r="B2148" i="111"/>
  <c r="B2159" i="111"/>
  <c r="B2101" i="111"/>
  <c r="B2137" i="111"/>
  <c r="B2125" i="111"/>
  <c r="B2310" i="111"/>
  <c r="B2278" i="111"/>
  <c r="B2246" i="111"/>
  <c r="B2257" i="111"/>
  <c r="B2210" i="111"/>
  <c r="B2234" i="111"/>
  <c r="B2179" i="111"/>
  <c r="B2147" i="111"/>
  <c r="B2158" i="111"/>
  <c r="B2100" i="111"/>
  <c r="B2136" i="111"/>
  <c r="B2124" i="111"/>
  <c r="B2309" i="111"/>
  <c r="B2277" i="111"/>
  <c r="B2245" i="111"/>
  <c r="B2256" i="111"/>
  <c r="B2209" i="111"/>
  <c r="B2233" i="111"/>
  <c r="B2178" i="111"/>
  <c r="B2146" i="111"/>
  <c r="B2157" i="111"/>
  <c r="B2099" i="111"/>
  <c r="B2135" i="111"/>
  <c r="B2123" i="111"/>
  <c r="B2308" i="111"/>
  <c r="B2276" i="111"/>
  <c r="B2244" i="111"/>
  <c r="B2255" i="111"/>
  <c r="B2208" i="111"/>
  <c r="B2232" i="111"/>
  <c r="B2177" i="111"/>
  <c r="B2145" i="111"/>
  <c r="B2156" i="111"/>
  <c r="B2098" i="111"/>
  <c r="B2134" i="111"/>
  <c r="B2122" i="111"/>
  <c r="B2339" i="111"/>
  <c r="B2307" i="111"/>
  <c r="B2231" i="111"/>
  <c r="B2207" i="111"/>
  <c r="B2121" i="111"/>
  <c r="B2338" i="111"/>
  <c r="B2306" i="111"/>
  <c r="B2230" i="111"/>
  <c r="B2206" i="111"/>
  <c r="B2120" i="111"/>
  <c r="B2337" i="111"/>
  <c r="B2305" i="111"/>
  <c r="B2229" i="111"/>
  <c r="B2205" i="111"/>
  <c r="B2119" i="111"/>
  <c r="B2336" i="111"/>
  <c r="B2304" i="111"/>
  <c r="B2228" i="111"/>
  <c r="B2204" i="111"/>
  <c r="B2118" i="111"/>
  <c r="B2335" i="111"/>
  <c r="B2303" i="111"/>
  <c r="B2243" i="111"/>
  <c r="B2203" i="111"/>
  <c r="B2133" i="111"/>
  <c r="B2334" i="111"/>
  <c r="B2302" i="111"/>
  <c r="B2275" i="111"/>
  <c r="B2227" i="111"/>
  <c r="B2202" i="111"/>
  <c r="B2176" i="111"/>
  <c r="B2117" i="111"/>
  <c r="B2333" i="111"/>
  <c r="B2301" i="111"/>
  <c r="B2274" i="111"/>
  <c r="B2226" i="111"/>
  <c r="B2201" i="111"/>
  <c r="B2175" i="111"/>
  <c r="B2116" i="111"/>
  <c r="B2332" i="111"/>
  <c r="B2300" i="111"/>
  <c r="B2273" i="111"/>
  <c r="B2225" i="111"/>
  <c r="B2200" i="111"/>
  <c r="B2174" i="111"/>
  <c r="B2115" i="111"/>
  <c r="B2331" i="111"/>
  <c r="B2299" i="111"/>
  <c r="B2272" i="111"/>
  <c r="B2199" i="111"/>
  <c r="B2173" i="111"/>
  <c r="B2330" i="111"/>
  <c r="B2298" i="111"/>
  <c r="B2271" i="111"/>
  <c r="B2198" i="111"/>
  <c r="B2172" i="111"/>
  <c r="B2329" i="111"/>
  <c r="B2297" i="111"/>
  <c r="B2224" i="111"/>
  <c r="B2197" i="111"/>
  <c r="B2114" i="111"/>
  <c r="B2328" i="111"/>
  <c r="B2296" i="111"/>
  <c r="B2223" i="111"/>
  <c r="B2196" i="111"/>
  <c r="B2113" i="111"/>
  <c r="B2327" i="111"/>
  <c r="B2295" i="111"/>
  <c r="B2222" i="111"/>
  <c r="B2195" i="111"/>
  <c r="B2112" i="111"/>
  <c r="B2326" i="111"/>
  <c r="B2294" i="111"/>
  <c r="B2221" i="111"/>
  <c r="B2194" i="111"/>
  <c r="B2111" i="111"/>
  <c r="B2377" i="111"/>
  <c r="B2376" i="111"/>
  <c r="B2375" i="111"/>
  <c r="B2374" i="111"/>
  <c r="B2373" i="111"/>
  <c r="B2372" i="111"/>
  <c r="B2371" i="111"/>
  <c r="B2353" i="111"/>
  <c r="B2352" i="111"/>
  <c r="B2351" i="111"/>
  <c r="B2350" i="111"/>
  <c r="B2349" i="111"/>
  <c r="B2348" i="111"/>
  <c r="B2347" i="111"/>
  <c r="B2370" i="111"/>
  <c r="B2369" i="111"/>
  <c r="B2368" i="111"/>
  <c r="B2367" i="111"/>
  <c r="B2366" i="111"/>
  <c r="B2365" i="111"/>
  <c r="B2364" i="111"/>
  <c r="B2346" i="111"/>
  <c r="B2345" i="111"/>
  <c r="B2344" i="111"/>
  <c r="B2343" i="111"/>
  <c r="B2342" i="111"/>
  <c r="B2341" i="111"/>
  <c r="B2340" i="111"/>
  <c r="B2356" i="111"/>
  <c r="B2355" i="111"/>
  <c r="B2354" i="111"/>
  <c r="B2363" i="111"/>
  <c r="B2362" i="111"/>
  <c r="B2361" i="111"/>
  <c r="B2360" i="111"/>
  <c r="B2359" i="111"/>
  <c r="B2358" i="111"/>
  <c r="B2357" i="111"/>
  <c r="B2325" i="111"/>
  <c r="B2293" i="111"/>
  <c r="B2270" i="111"/>
  <c r="B2193" i="111"/>
  <c r="B2171" i="111"/>
  <c r="B2324" i="111"/>
  <c r="B2292" i="111"/>
  <c r="B2269" i="111"/>
  <c r="B2192" i="111"/>
  <c r="B2170" i="111"/>
  <c r="B2323" i="111"/>
  <c r="B2291" i="111"/>
  <c r="B2268" i="111"/>
  <c r="B2220" i="111"/>
  <c r="B2191" i="111"/>
  <c r="B2169" i="111"/>
  <c r="B2110" i="111"/>
  <c r="B2322" i="111"/>
  <c r="B2290" i="111"/>
  <c r="B2267" i="111"/>
  <c r="B2190" i="111"/>
  <c r="B2168" i="111"/>
  <c r="B2321" i="111"/>
  <c r="B2289" i="111"/>
  <c r="B2266" i="111"/>
  <c r="B2189" i="111"/>
  <c r="B2167" i="111"/>
  <c r="B2320" i="111"/>
  <c r="B2288" i="111"/>
  <c r="B2319" i="111"/>
  <c r="B2287" i="111"/>
  <c r="B2219" i="111"/>
  <c r="B2188" i="111"/>
  <c r="B2109" i="111"/>
  <c r="B2038" i="111"/>
  <c r="B2006" i="111"/>
  <c r="B1973" i="111"/>
  <c r="B1984" i="111"/>
  <c r="B1937" i="111"/>
  <c r="B1961" i="111"/>
  <c r="B1905" i="111"/>
  <c r="B1872" i="111"/>
  <c r="B1883" i="111"/>
  <c r="B1825" i="111"/>
  <c r="B1861" i="111"/>
  <c r="B1849" i="111"/>
  <c r="B2037" i="111"/>
  <c r="B2005" i="111"/>
  <c r="B1972" i="111"/>
  <c r="B1983" i="111"/>
  <c r="B1936" i="111"/>
  <c r="B1960" i="111"/>
  <c r="B1904" i="111"/>
  <c r="B1871" i="111"/>
  <c r="B1882" i="111"/>
  <c r="B1824" i="111"/>
  <c r="B1860" i="111"/>
  <c r="B1848" i="111"/>
  <c r="B2036" i="111"/>
  <c r="B2004" i="111"/>
  <c r="B1971" i="111"/>
  <c r="B1982" i="111"/>
  <c r="B1935" i="111"/>
  <c r="B1959" i="111"/>
  <c r="B1903" i="111"/>
  <c r="B1870" i="111"/>
  <c r="B1881" i="111"/>
  <c r="B1823" i="111"/>
  <c r="B1859" i="111"/>
  <c r="B1847" i="111"/>
  <c r="B2035" i="111"/>
  <c r="B2003" i="111"/>
  <c r="B1970" i="111"/>
  <c r="B1981" i="111"/>
  <c r="B1934" i="111"/>
  <c r="B1958" i="111"/>
  <c r="B1902" i="111"/>
  <c r="B1869" i="111"/>
  <c r="B1880" i="111"/>
  <c r="B1822" i="111"/>
  <c r="B1858" i="111"/>
  <c r="B1846" i="111"/>
  <c r="B2034" i="111"/>
  <c r="B2002" i="111"/>
  <c r="B1969" i="111"/>
  <c r="B1980" i="111"/>
  <c r="B1933" i="111"/>
  <c r="B1957" i="111"/>
  <c r="B1901" i="111"/>
  <c r="B1868" i="111"/>
  <c r="B1879" i="111"/>
  <c r="B1821" i="111"/>
  <c r="B1857" i="111"/>
  <c r="B1845" i="111"/>
  <c r="B2033" i="111"/>
  <c r="B2001" i="111"/>
  <c r="B1968" i="111"/>
  <c r="B1979" i="111"/>
  <c r="B1932" i="111"/>
  <c r="B1956" i="111"/>
  <c r="B1900" i="111"/>
  <c r="B1867" i="111"/>
  <c r="B1878" i="111"/>
  <c r="B1820" i="111"/>
  <c r="B1856" i="111"/>
  <c r="B1844" i="111"/>
  <c r="B2032" i="111"/>
  <c r="B2000" i="111"/>
  <c r="B1967" i="111"/>
  <c r="B1978" i="111"/>
  <c r="B1931" i="111"/>
  <c r="B1955" i="111"/>
  <c r="B1899" i="111"/>
  <c r="B1866" i="111"/>
  <c r="B1877" i="111"/>
  <c r="B1819" i="111"/>
  <c r="B1855" i="111"/>
  <c r="B1843" i="111"/>
  <c r="B2031" i="111"/>
  <c r="B1999" i="111"/>
  <c r="B1966" i="111"/>
  <c r="B1977" i="111"/>
  <c r="B1930" i="111"/>
  <c r="B1954" i="111"/>
  <c r="B1898" i="111"/>
  <c r="B1865" i="111"/>
  <c r="B1876" i="111"/>
  <c r="B1818" i="111"/>
  <c r="B1854" i="111"/>
  <c r="B1842" i="111"/>
  <c r="B2030" i="111"/>
  <c r="B1998" i="111"/>
  <c r="B1965" i="111"/>
  <c r="B1976" i="111"/>
  <c r="B1929" i="111"/>
  <c r="B1953" i="111"/>
  <c r="B1897" i="111"/>
  <c r="B1864" i="111"/>
  <c r="B1875" i="111"/>
  <c r="B1817" i="111"/>
  <c r="B1853" i="111"/>
  <c r="B1841" i="111"/>
  <c r="B2029" i="111"/>
  <c r="B1997" i="111"/>
  <c r="B1964" i="111"/>
  <c r="B1975" i="111"/>
  <c r="B1928" i="111"/>
  <c r="B1952" i="111"/>
  <c r="B1896" i="111"/>
  <c r="B1863" i="111"/>
  <c r="B1874" i="111"/>
  <c r="B1816" i="111"/>
  <c r="B1852" i="111"/>
  <c r="B1840" i="111"/>
  <c r="B2028" i="111"/>
  <c r="B1996" i="111"/>
  <c r="B1963" i="111"/>
  <c r="B1974" i="111"/>
  <c r="B1927" i="111"/>
  <c r="B1951" i="111"/>
  <c r="B1895" i="111"/>
  <c r="B1862" i="111"/>
  <c r="B1873" i="111"/>
  <c r="B1815" i="111"/>
  <c r="B1851" i="111"/>
  <c r="B1839" i="111"/>
  <c r="B2059" i="111"/>
  <c r="B2027" i="111"/>
  <c r="B1950" i="111"/>
  <c r="B1926" i="111"/>
  <c r="B1838" i="111"/>
  <c r="B2058" i="111"/>
  <c r="B2026" i="111"/>
  <c r="B1949" i="111"/>
  <c r="B1925" i="111"/>
  <c r="B1837" i="111"/>
  <c r="B2057" i="111"/>
  <c r="B2025" i="111"/>
  <c r="B1948" i="111"/>
  <c r="B1924" i="111"/>
  <c r="B1836" i="111"/>
  <c r="B2056" i="111"/>
  <c r="B2024" i="111"/>
  <c r="B1947" i="111"/>
  <c r="B1923" i="111"/>
  <c r="B1835" i="111"/>
  <c r="B2055" i="111"/>
  <c r="B2023" i="111"/>
  <c r="B1962" i="111"/>
  <c r="B1922" i="111"/>
  <c r="B1850" i="111"/>
  <c r="B2054" i="111"/>
  <c r="B2022" i="111"/>
  <c r="B1995" i="111"/>
  <c r="B1946" i="111"/>
  <c r="B1921" i="111"/>
  <c r="B1894" i="111"/>
  <c r="B1834" i="111"/>
  <c r="B2053" i="111"/>
  <c r="B2021" i="111"/>
  <c r="B1994" i="111"/>
  <c r="B1945" i="111"/>
  <c r="B1920" i="111"/>
  <c r="B1893" i="111"/>
  <c r="B1833" i="111"/>
  <c r="B2052" i="111"/>
  <c r="B2020" i="111"/>
  <c r="B1993" i="111"/>
  <c r="B1944" i="111"/>
  <c r="B1919" i="111"/>
  <c r="B1892" i="111"/>
  <c r="B1832" i="111"/>
  <c r="B2051" i="111"/>
  <c r="B2019" i="111"/>
  <c r="B1992" i="111"/>
  <c r="B1918" i="111"/>
  <c r="B1891" i="111"/>
  <c r="B2050" i="111"/>
  <c r="B2018" i="111"/>
  <c r="B1991" i="111"/>
  <c r="B1917" i="111"/>
  <c r="B1890" i="111"/>
  <c r="B2049" i="111"/>
  <c r="B2017" i="111"/>
  <c r="B1943" i="111"/>
  <c r="B1916" i="111"/>
  <c r="B1831" i="111"/>
  <c r="B2048" i="111"/>
  <c r="B2016" i="111"/>
  <c r="B1942" i="111"/>
  <c r="B1915" i="111"/>
  <c r="B1830" i="111"/>
  <c r="B2047" i="111"/>
  <c r="B2015" i="111"/>
  <c r="B1941" i="111"/>
  <c r="B1914" i="111"/>
  <c r="B1829" i="111"/>
  <c r="B2046" i="111"/>
  <c r="B2014" i="111"/>
  <c r="B1940" i="111"/>
  <c r="B1913" i="111"/>
  <c r="B1828" i="111"/>
  <c r="B2097" i="111"/>
  <c r="B2096" i="111"/>
  <c r="B2095" i="111"/>
  <c r="B2094" i="111"/>
  <c r="B2093" i="111"/>
  <c r="B2092" i="111"/>
  <c r="B2091" i="111"/>
  <c r="B2071" i="111"/>
  <c r="B2070" i="111"/>
  <c r="B2069" i="111"/>
  <c r="B2068" i="111"/>
  <c r="B2067" i="111"/>
  <c r="B2066" i="111"/>
  <c r="B2065" i="111"/>
  <c r="B2090" i="111"/>
  <c r="B2089" i="111"/>
  <c r="B2088" i="111"/>
  <c r="B2087" i="111"/>
  <c r="B2086" i="111"/>
  <c r="B2085" i="111"/>
  <c r="B2084" i="111"/>
  <c r="B2064" i="111"/>
  <c r="B2063" i="111"/>
  <c r="B2062" i="111"/>
  <c r="B2061" i="111"/>
  <c r="B2060" i="111"/>
  <c r="B2076" i="111"/>
  <c r="B2075" i="111"/>
  <c r="B2074" i="111"/>
  <c r="B2073" i="111"/>
  <c r="B2072" i="111"/>
  <c r="B2083" i="111"/>
  <c r="B2082" i="111"/>
  <c r="B2081" i="111"/>
  <c r="B2080" i="111"/>
  <c r="B2079" i="111"/>
  <c r="B2078" i="111"/>
  <c r="B2077" i="111"/>
  <c r="B2045" i="111"/>
  <c r="B2013" i="111"/>
  <c r="B1990" i="111"/>
  <c r="B1912" i="111"/>
  <c r="B1889" i="111"/>
  <c r="B2044" i="111"/>
  <c r="B2012" i="111"/>
  <c r="B1989" i="111"/>
  <c r="B1911" i="111"/>
  <c r="B1888" i="111"/>
  <c r="B2043" i="111"/>
  <c r="B2011" i="111"/>
  <c r="B1988" i="111"/>
  <c r="B1939" i="111"/>
  <c r="B1910" i="111"/>
  <c r="B1887" i="111"/>
  <c r="B1827" i="111"/>
  <c r="B2042" i="111"/>
  <c r="B2010" i="111"/>
  <c r="B1987" i="111"/>
  <c r="B1909" i="111"/>
  <c r="B1886" i="111"/>
  <c r="B2041" i="111"/>
  <c r="B2009" i="111"/>
  <c r="B1986" i="111"/>
  <c r="B1908" i="111"/>
  <c r="B1885" i="111"/>
  <c r="B2040" i="111"/>
  <c r="B2008" i="111"/>
  <c r="B1985" i="111"/>
  <c r="B1907" i="111"/>
  <c r="B1884" i="111"/>
  <c r="B2039" i="111"/>
  <c r="B2007" i="111"/>
  <c r="B1938" i="111"/>
  <c r="B1906" i="111"/>
  <c r="B1826" i="111"/>
  <c r="B1755" i="111"/>
  <c r="B1721" i="111"/>
  <c r="B1695" i="111"/>
  <c r="B1642" i="111"/>
  <c r="B1682" i="111"/>
  <c r="B1668" i="111"/>
  <c r="B1608" i="111"/>
  <c r="B1569" i="111"/>
  <c r="B1582" i="111"/>
  <c r="B1516" i="111"/>
  <c r="B1556" i="111"/>
  <c r="B1542" i="111"/>
  <c r="B1754" i="111"/>
  <c r="B1720" i="111"/>
  <c r="B1694" i="111"/>
  <c r="B1641" i="111"/>
  <c r="B1681" i="111"/>
  <c r="B1667" i="111"/>
  <c r="B1607" i="111"/>
  <c r="B1568" i="111"/>
  <c r="B1581" i="111"/>
  <c r="B1555" i="111"/>
  <c r="B1541" i="111"/>
  <c r="B1753" i="111"/>
  <c r="B1719" i="111"/>
  <c r="B1693" i="111"/>
  <c r="B1640" i="111"/>
  <c r="B1680" i="111"/>
  <c r="B1666" i="111"/>
  <c r="B1606" i="111"/>
  <c r="B1567" i="111"/>
  <c r="B1580" i="111"/>
  <c r="B1515" i="111"/>
  <c r="B1554" i="111"/>
  <c r="B1540" i="111"/>
  <c r="B1752" i="111"/>
  <c r="B1718" i="111"/>
  <c r="B1692" i="111"/>
  <c r="B1639" i="111"/>
  <c r="B1679" i="111"/>
  <c r="B1665" i="111"/>
  <c r="B1605" i="111"/>
  <c r="B1566" i="111"/>
  <c r="B1579" i="111"/>
  <c r="B1514" i="111"/>
  <c r="B1553" i="111"/>
  <c r="B1539" i="111"/>
  <c r="B1751" i="111"/>
  <c r="B1717" i="111"/>
  <c r="B1691" i="111"/>
  <c r="B1638" i="111"/>
  <c r="B1678" i="111"/>
  <c r="B1664" i="111"/>
  <c r="B1604" i="111"/>
  <c r="B1565" i="111"/>
  <c r="B1578" i="111"/>
  <c r="B1513" i="111"/>
  <c r="B1552" i="111"/>
  <c r="B1538" i="111"/>
  <c r="B1750" i="111"/>
  <c r="B1716" i="111"/>
  <c r="B1690" i="111"/>
  <c r="B1637" i="111"/>
  <c r="B1677" i="111"/>
  <c r="B1663" i="111"/>
  <c r="B1603" i="111"/>
  <c r="B1564" i="111"/>
  <c r="B1577" i="111"/>
  <c r="B1512" i="111"/>
  <c r="B1551" i="111"/>
  <c r="B1537" i="111"/>
  <c r="B1749" i="111"/>
  <c r="B1715" i="111"/>
  <c r="B1689" i="111"/>
  <c r="B1636" i="111"/>
  <c r="B1676" i="111"/>
  <c r="B1662" i="111"/>
  <c r="B1602" i="111"/>
  <c r="B1563" i="111"/>
  <c r="B1576" i="111"/>
  <c r="B1511" i="111"/>
  <c r="B1550" i="111"/>
  <c r="B1536" i="111"/>
  <c r="B1748" i="111"/>
  <c r="B1714" i="111"/>
  <c r="B1688" i="111"/>
  <c r="B1635" i="111"/>
  <c r="B1675" i="111"/>
  <c r="B1661" i="111"/>
  <c r="B1601" i="111"/>
  <c r="B1562" i="111"/>
  <c r="B1575" i="111"/>
  <c r="B1510" i="111"/>
  <c r="B1549" i="111"/>
  <c r="B1535" i="111"/>
  <c r="B1747" i="111"/>
  <c r="B1713" i="111"/>
  <c r="B1687" i="111"/>
  <c r="B1634" i="111"/>
  <c r="B1674" i="111"/>
  <c r="B1660" i="111"/>
  <c r="B1600" i="111"/>
  <c r="B1561" i="111"/>
  <c r="B1574" i="111"/>
  <c r="B1509" i="111"/>
  <c r="B1548" i="111"/>
  <c r="B1534" i="111"/>
  <c r="B1746" i="111"/>
  <c r="B1712" i="111"/>
  <c r="B1686" i="111"/>
  <c r="B1633" i="111"/>
  <c r="B1673" i="111"/>
  <c r="B1659" i="111"/>
  <c r="B1599" i="111"/>
  <c r="B1560" i="111"/>
  <c r="B1573" i="111"/>
  <c r="B1508" i="111"/>
  <c r="B1547" i="111"/>
  <c r="B1533" i="111"/>
  <c r="B1745" i="111"/>
  <c r="B1711" i="111"/>
  <c r="B1685" i="111"/>
  <c r="B1632" i="111"/>
  <c r="B1672" i="111"/>
  <c r="B1658" i="111"/>
  <c r="B1598" i="111"/>
  <c r="B1559" i="111"/>
  <c r="B1572" i="111"/>
  <c r="B1507" i="111"/>
  <c r="B1546" i="111"/>
  <c r="B1532" i="111"/>
  <c r="B1744" i="111"/>
  <c r="B1710" i="111"/>
  <c r="B1684" i="111"/>
  <c r="B1631" i="111"/>
  <c r="B1671" i="111"/>
  <c r="B1657" i="111"/>
  <c r="B1597" i="111"/>
  <c r="B1558" i="111"/>
  <c r="B1571" i="111"/>
  <c r="B1506" i="111"/>
  <c r="B1545" i="111"/>
  <c r="B1531" i="111"/>
  <c r="B1743" i="111"/>
  <c r="B1709" i="111"/>
  <c r="B1683" i="111"/>
  <c r="B1630" i="111"/>
  <c r="B1670" i="111"/>
  <c r="B1656" i="111"/>
  <c r="B1596" i="111"/>
  <c r="B1557" i="111"/>
  <c r="B1570" i="111"/>
  <c r="B1505" i="111"/>
  <c r="B1544" i="111"/>
  <c r="B1530" i="111"/>
  <c r="B1776" i="111"/>
  <c r="B1742" i="111"/>
  <c r="B1655" i="111"/>
  <c r="B1629" i="111"/>
  <c r="B1529" i="111"/>
  <c r="B1775" i="111"/>
  <c r="B1741" i="111"/>
  <c r="B1654" i="111"/>
  <c r="B1628" i="111"/>
  <c r="B1528" i="111"/>
  <c r="B1774" i="111"/>
  <c r="B1740" i="111"/>
  <c r="B1653" i="111"/>
  <c r="B1627" i="111"/>
  <c r="B1527" i="111"/>
  <c r="B1773" i="111"/>
  <c r="B1739" i="111"/>
  <c r="B1652" i="111"/>
  <c r="B1626" i="111"/>
  <c r="B1526" i="111"/>
  <c r="B1772" i="111"/>
  <c r="B1738" i="111"/>
  <c r="B1669" i="111"/>
  <c r="B1625" i="111"/>
  <c r="B1543" i="111"/>
  <c r="B1771" i="111"/>
  <c r="B1737" i="111"/>
  <c r="B1708" i="111"/>
  <c r="B1651" i="111"/>
  <c r="B1624" i="111"/>
  <c r="B1595" i="111"/>
  <c r="B1525" i="111"/>
  <c r="B1770" i="111"/>
  <c r="B1736" i="111"/>
  <c r="B1707" i="111"/>
  <c r="B1650" i="111"/>
  <c r="B1623" i="111"/>
  <c r="B1594" i="111"/>
  <c r="B1524" i="111"/>
  <c r="B1769" i="111"/>
  <c r="B1735" i="111"/>
  <c r="B1706" i="111"/>
  <c r="B1649" i="111"/>
  <c r="B1622" i="111"/>
  <c r="B1593" i="111"/>
  <c r="B1523" i="111"/>
  <c r="B1768" i="111"/>
  <c r="B1734" i="111"/>
  <c r="B1705" i="111"/>
  <c r="B1621" i="111"/>
  <c r="B1592" i="111"/>
  <c r="B1767" i="111"/>
  <c r="B1733" i="111"/>
  <c r="B1704" i="111"/>
  <c r="B1620" i="111"/>
  <c r="B1591" i="111"/>
  <c r="B1766" i="111"/>
  <c r="B1732" i="111"/>
  <c r="B1648" i="111"/>
  <c r="B1619" i="111"/>
  <c r="B1522" i="111"/>
  <c r="B1765" i="111"/>
  <c r="B1731" i="111"/>
  <c r="B1618" i="111"/>
  <c r="B1764" i="111"/>
  <c r="B1730" i="111"/>
  <c r="B1703" i="111"/>
  <c r="B1647" i="111"/>
  <c r="B1617" i="111"/>
  <c r="B1590" i="111"/>
  <c r="B1521" i="111"/>
  <c r="B1763" i="111"/>
  <c r="B1729" i="111"/>
  <c r="B1702" i="111"/>
  <c r="B1646" i="111"/>
  <c r="B1616" i="111"/>
  <c r="B1589" i="111"/>
  <c r="B1520" i="111"/>
  <c r="B1762" i="111"/>
  <c r="B1728" i="111"/>
  <c r="B1701" i="111"/>
  <c r="B1645" i="111"/>
  <c r="B1615" i="111"/>
  <c r="B1588" i="111"/>
  <c r="B1519" i="111"/>
  <c r="B1814" i="111"/>
  <c r="B1813" i="111"/>
  <c r="B1812" i="111"/>
  <c r="B1811" i="111"/>
  <c r="B1810" i="111"/>
  <c r="B1809" i="111"/>
  <c r="B1808" i="111"/>
  <c r="B1790" i="111"/>
  <c r="B1789" i="111"/>
  <c r="B1788" i="111"/>
  <c r="B1787" i="111"/>
  <c r="B1786" i="111"/>
  <c r="B1785" i="111"/>
  <c r="B1784" i="111"/>
  <c r="B1807" i="111"/>
  <c r="B1806" i="111"/>
  <c r="B1805" i="111"/>
  <c r="B1804" i="111"/>
  <c r="B1803" i="111"/>
  <c r="B1802" i="111"/>
  <c r="B1801" i="111"/>
  <c r="B1783" i="111"/>
  <c r="B1782" i="111"/>
  <c r="B1781" i="111"/>
  <c r="B1780" i="111"/>
  <c r="B1779" i="111"/>
  <c r="B1778" i="111"/>
  <c r="B1777" i="111"/>
  <c r="B1793" i="111"/>
  <c r="B1792" i="111"/>
  <c r="B1791" i="111"/>
  <c r="B1800" i="111"/>
  <c r="B1799" i="111"/>
  <c r="B1798" i="111"/>
  <c r="B1797" i="111"/>
  <c r="B1796" i="111"/>
  <c r="B1795" i="111"/>
  <c r="B1794" i="111"/>
  <c r="B1761" i="111"/>
  <c r="B1727" i="111"/>
  <c r="B1700" i="111"/>
  <c r="B1614" i="111"/>
  <c r="B1587" i="111"/>
  <c r="B1760" i="111"/>
  <c r="B1726" i="111"/>
  <c r="B1699" i="111"/>
  <c r="B1613" i="111"/>
  <c r="B1586" i="111"/>
  <c r="B1759" i="111"/>
  <c r="B1725" i="111"/>
  <c r="B1698" i="111"/>
  <c r="B1644" i="111"/>
  <c r="B1612" i="111"/>
  <c r="B1585" i="111"/>
  <c r="B1518" i="111"/>
  <c r="B1758" i="111"/>
  <c r="B1724" i="111"/>
  <c r="B1697" i="111"/>
  <c r="B1611" i="111"/>
  <c r="B1584" i="111"/>
  <c r="B1757" i="111"/>
  <c r="B1723" i="111"/>
  <c r="B1696" i="111"/>
  <c r="B1610" i="111"/>
  <c r="B1583" i="111"/>
  <c r="B1756" i="111"/>
  <c r="B1722" i="111"/>
  <c r="B1643" i="111"/>
  <c r="B1609" i="111"/>
  <c r="B1517" i="111"/>
  <c r="B1446" i="111"/>
  <c r="B1409" i="111"/>
  <c r="B1372" i="111"/>
  <c r="B1383" i="111"/>
  <c r="B1333" i="111"/>
  <c r="B1362" i="111"/>
  <c r="B1296" i="111"/>
  <c r="B1259" i="111"/>
  <c r="B1270" i="111"/>
  <c r="B1207" i="111"/>
  <c r="B1249" i="111"/>
  <c r="B1237" i="111"/>
  <c r="B1445" i="111"/>
  <c r="B1408" i="111"/>
  <c r="B1382" i="111"/>
  <c r="B1332" i="111"/>
  <c r="B1361" i="111"/>
  <c r="B1295" i="111"/>
  <c r="B1258" i="111"/>
  <c r="B1269" i="111"/>
  <c r="B1206" i="111"/>
  <c r="B1248" i="111"/>
  <c r="B1236" i="111"/>
  <c r="B1444" i="111"/>
  <c r="B1407" i="111"/>
  <c r="B1371" i="111"/>
  <c r="B1381" i="111"/>
  <c r="B1331" i="111"/>
  <c r="B1360" i="111"/>
  <c r="B1294" i="111"/>
  <c r="B1257" i="111"/>
  <c r="B1268" i="111"/>
  <c r="B1205" i="111"/>
  <c r="B1247" i="111"/>
  <c r="B1235" i="111"/>
  <c r="B1443" i="111"/>
  <c r="B1406" i="111"/>
  <c r="B1370" i="111"/>
  <c r="B1380" i="111"/>
  <c r="B1330" i="111"/>
  <c r="B1359" i="111"/>
  <c r="B1293" i="111"/>
  <c r="B1256" i="111"/>
  <c r="B1267" i="111"/>
  <c r="B1204" i="111"/>
  <c r="B1246" i="111"/>
  <c r="B1234" i="111"/>
  <c r="B1442" i="111"/>
  <c r="B1405" i="111"/>
  <c r="B1369" i="111"/>
  <c r="B1379" i="111"/>
  <c r="B1329" i="111"/>
  <c r="B1358" i="111"/>
  <c r="B1292" i="111"/>
  <c r="B1255" i="111"/>
  <c r="B1266" i="111"/>
  <c r="B1203" i="111"/>
  <c r="B1245" i="111"/>
  <c r="B1233" i="111"/>
  <c r="B1441" i="111"/>
  <c r="B1404" i="111"/>
  <c r="B1368" i="111"/>
  <c r="B1378" i="111"/>
  <c r="B1328" i="111"/>
  <c r="B1291" i="111"/>
  <c r="B1254" i="111"/>
  <c r="B1265" i="111"/>
  <c r="B1202" i="111"/>
  <c r="B1244" i="111"/>
  <c r="B1232" i="111"/>
  <c r="B1440" i="111"/>
  <c r="B1403" i="111"/>
  <c r="B1367" i="111"/>
  <c r="B1377" i="111"/>
  <c r="B1327" i="111"/>
  <c r="B1357" i="111"/>
  <c r="B1290" i="111"/>
  <c r="B1253" i="111"/>
  <c r="B1264" i="111"/>
  <c r="B1201" i="111"/>
  <c r="B1243" i="111"/>
  <c r="B1231" i="111"/>
  <c r="B1439" i="111"/>
  <c r="B1402" i="111"/>
  <c r="B1366" i="111"/>
  <c r="B1376" i="111"/>
  <c r="B1326" i="111"/>
  <c r="B1356" i="111"/>
  <c r="B1289" i="111"/>
  <c r="B1252" i="111"/>
  <c r="B1263" i="111"/>
  <c r="B1200" i="111"/>
  <c r="B1242" i="111"/>
  <c r="B1230" i="111"/>
  <c r="B1438" i="111"/>
  <c r="B1401" i="111"/>
  <c r="B1365" i="111"/>
  <c r="B1375" i="111"/>
  <c r="B1325" i="111"/>
  <c r="B1355" i="111"/>
  <c r="B1288" i="111"/>
  <c r="B1251" i="111"/>
  <c r="B1262" i="111"/>
  <c r="B1199" i="111"/>
  <c r="B1241" i="111"/>
  <c r="B1229" i="111"/>
  <c r="B1437" i="111"/>
  <c r="B1400" i="111"/>
  <c r="B1374" i="111"/>
  <c r="B1324" i="111"/>
  <c r="B1354" i="111"/>
  <c r="B1287" i="111"/>
  <c r="B1261" i="111"/>
  <c r="B1198" i="111"/>
  <c r="B1240" i="111"/>
  <c r="B1228" i="111"/>
  <c r="B1436" i="111"/>
  <c r="B1399" i="111"/>
  <c r="B1364" i="111"/>
  <c r="B1373" i="111"/>
  <c r="B1323" i="111"/>
  <c r="B1353" i="111"/>
  <c r="B1286" i="111"/>
  <c r="B1250" i="111"/>
  <c r="B1260" i="111"/>
  <c r="B1197" i="111"/>
  <c r="B1239" i="111"/>
  <c r="B1227" i="111"/>
  <c r="B1472" i="111"/>
  <c r="B1435" i="111"/>
  <c r="B1352" i="111"/>
  <c r="B1322" i="111"/>
  <c r="B1226" i="111"/>
  <c r="B1471" i="111"/>
  <c r="B1434" i="111"/>
  <c r="B1351" i="111"/>
  <c r="B1321" i="111"/>
  <c r="B1225" i="111"/>
  <c r="B1470" i="111"/>
  <c r="B1433" i="111"/>
  <c r="B1350" i="111"/>
  <c r="B1320" i="111"/>
  <c r="B1224" i="111"/>
  <c r="B1469" i="111"/>
  <c r="B1432" i="111"/>
  <c r="B1349" i="111"/>
  <c r="B1319" i="111"/>
  <c r="B1223" i="111"/>
  <c r="B1468" i="111"/>
  <c r="B1431" i="111"/>
  <c r="B1363" i="111"/>
  <c r="B1318" i="111"/>
  <c r="B1238" i="111"/>
  <c r="B1467" i="111"/>
  <c r="B1430" i="111"/>
  <c r="B1348" i="111"/>
  <c r="B1317" i="111"/>
  <c r="B1222" i="111"/>
  <c r="B1466" i="111"/>
  <c r="B1429" i="111"/>
  <c r="B1347" i="111"/>
  <c r="B1316" i="111"/>
  <c r="B1221" i="111"/>
  <c r="B1465" i="111"/>
  <c r="B1428" i="111"/>
  <c r="B1346" i="111"/>
  <c r="B1315" i="111"/>
  <c r="B1220" i="111"/>
  <c r="B1464" i="111"/>
  <c r="B1427" i="111"/>
  <c r="B1345" i="111"/>
  <c r="B1314" i="111"/>
  <c r="B1219" i="111"/>
  <c r="B1463" i="111"/>
  <c r="B1426" i="111"/>
  <c r="B1398" i="111"/>
  <c r="B1313" i="111"/>
  <c r="B1285" i="111"/>
  <c r="B1462" i="111"/>
  <c r="B1425" i="111"/>
  <c r="B1397" i="111"/>
  <c r="B1312" i="111"/>
  <c r="B1284" i="111"/>
  <c r="B1461" i="111"/>
  <c r="B1424" i="111"/>
  <c r="B1396" i="111"/>
  <c r="B1344" i="111"/>
  <c r="B1311" i="111"/>
  <c r="B1283" i="111"/>
  <c r="B1218" i="111"/>
  <c r="B1460" i="111"/>
  <c r="B1423" i="111"/>
  <c r="B1395" i="111"/>
  <c r="B1343" i="111"/>
  <c r="B1310" i="111"/>
  <c r="B1282" i="111"/>
  <c r="B1217" i="111"/>
  <c r="B1459" i="111"/>
  <c r="B1422" i="111"/>
  <c r="B1394" i="111"/>
  <c r="B1342" i="111"/>
  <c r="B1309" i="111"/>
  <c r="B1281" i="111"/>
  <c r="B1216" i="111"/>
  <c r="B1458" i="111"/>
  <c r="B1421" i="111"/>
  <c r="B1393" i="111"/>
  <c r="B1308" i="111"/>
  <c r="B1280" i="111"/>
  <c r="B1457" i="111"/>
  <c r="B1420" i="111"/>
  <c r="B1392" i="111"/>
  <c r="B1307" i="111"/>
  <c r="B1279" i="111"/>
  <c r="B1456" i="111"/>
  <c r="B1419" i="111"/>
  <c r="B1391" i="111"/>
  <c r="B1341" i="111"/>
  <c r="B1306" i="111"/>
  <c r="B1278" i="111"/>
  <c r="B1215" i="111"/>
  <c r="B1455" i="111"/>
  <c r="B1418" i="111"/>
  <c r="B1390" i="111"/>
  <c r="B1340" i="111"/>
  <c r="B1305" i="111"/>
  <c r="B1277" i="111"/>
  <c r="B1214" i="111"/>
  <c r="B1454" i="111"/>
  <c r="B1417" i="111"/>
  <c r="B1389" i="111"/>
  <c r="B1339" i="111"/>
  <c r="B1304" i="111"/>
  <c r="B1276" i="111"/>
  <c r="B1213" i="111"/>
  <c r="B1504" i="111"/>
  <c r="B1503" i="111"/>
  <c r="B1502" i="111"/>
  <c r="B1501" i="111"/>
  <c r="B1486" i="111"/>
  <c r="B1485" i="111"/>
  <c r="B1484" i="111"/>
  <c r="B1483" i="111"/>
  <c r="B1482" i="111"/>
  <c r="B1481" i="111"/>
  <c r="B1480" i="111"/>
  <c r="B1500" i="111"/>
  <c r="B1499" i="111"/>
  <c r="B1498" i="111"/>
  <c r="B1497" i="111"/>
  <c r="B1496" i="111"/>
  <c r="B1495" i="111"/>
  <c r="B1494" i="111"/>
  <c r="B1479" i="111"/>
  <c r="B1478" i="111"/>
  <c r="B1477" i="111"/>
  <c r="B1476" i="111"/>
  <c r="B1475" i="111"/>
  <c r="B1474" i="111"/>
  <c r="B1473" i="111"/>
  <c r="B1493" i="111"/>
  <c r="B1492" i="111"/>
  <c r="B1491" i="111"/>
  <c r="B1490" i="111"/>
  <c r="B1489" i="111"/>
  <c r="B1488" i="111"/>
  <c r="B1487" i="111"/>
  <c r="B1453" i="111"/>
  <c r="B1416" i="111"/>
  <c r="B1388" i="111"/>
  <c r="B1303" i="111"/>
  <c r="B1275" i="111"/>
  <c r="B1452" i="111"/>
  <c r="B1415" i="111"/>
  <c r="B1338" i="111"/>
  <c r="B1302" i="111"/>
  <c r="B1212" i="111"/>
  <c r="B1451" i="111"/>
  <c r="B1414" i="111"/>
  <c r="B1387" i="111"/>
  <c r="B1337" i="111"/>
  <c r="B1301" i="111"/>
  <c r="B1274" i="111"/>
  <c r="B1211" i="111"/>
  <c r="B1450" i="111"/>
  <c r="B1413" i="111"/>
  <c r="B1386" i="111"/>
  <c r="B1336" i="111"/>
  <c r="B1300" i="111"/>
  <c r="B1273" i="111"/>
  <c r="B1210" i="111"/>
  <c r="B1449" i="111"/>
  <c r="B1412" i="111"/>
  <c r="B1385" i="111"/>
  <c r="B1335" i="111"/>
  <c r="B1299" i="111"/>
  <c r="B1272" i="111"/>
  <c r="B1209" i="111"/>
  <c r="B1448" i="111"/>
  <c r="B1411" i="111"/>
  <c r="B1384" i="111"/>
  <c r="B1298" i="111"/>
  <c r="B1271" i="111"/>
  <c r="B1447" i="111"/>
  <c r="B1410" i="111"/>
  <c r="B1334" i="111"/>
  <c r="B1297" i="111"/>
  <c r="B1208" i="111"/>
  <c r="B1135" i="111"/>
  <c r="B1096" i="111"/>
  <c r="B1069" i="111"/>
  <c r="B1008" i="111"/>
  <c r="B969" i="111"/>
  <c r="B942" i="111"/>
  <c r="B880" i="111"/>
  <c r="B1134" i="111"/>
  <c r="B1095" i="111"/>
  <c r="B1058" i="111"/>
  <c r="B1068" i="111"/>
  <c r="B1007" i="111"/>
  <c r="B1049" i="111"/>
  <c r="B1039" i="111"/>
  <c r="B968" i="111"/>
  <c r="B931" i="111"/>
  <c r="B941" i="111"/>
  <c r="B879" i="111"/>
  <c r="B921" i="111"/>
  <c r="B911" i="111"/>
  <c r="B1133" i="111"/>
  <c r="B1094" i="111"/>
  <c r="B1057" i="111"/>
  <c r="B1067" i="111"/>
  <c r="B1006" i="111"/>
  <c r="B1048" i="111"/>
  <c r="B1038" i="111"/>
  <c r="B967" i="111"/>
  <c r="B930" i="111"/>
  <c r="B940" i="111"/>
  <c r="B878" i="111"/>
  <c r="B920" i="111"/>
  <c r="B910" i="111"/>
  <c r="B1132" i="111"/>
  <c r="B1093" i="111"/>
  <c r="B1056" i="111"/>
  <c r="B1066" i="111"/>
  <c r="B1005" i="111"/>
  <c r="B1047" i="111"/>
  <c r="B1037" i="111"/>
  <c r="B966" i="111"/>
  <c r="B929" i="111"/>
  <c r="B939" i="111"/>
  <c r="B877" i="111"/>
  <c r="B919" i="111"/>
  <c r="B909" i="111"/>
  <c r="B1131" i="111"/>
  <c r="B1092" i="111"/>
  <c r="B1055" i="111"/>
  <c r="B1065" i="111"/>
  <c r="B1004" i="111"/>
  <c r="B1046" i="111"/>
  <c r="B1036" i="111"/>
  <c r="B965" i="111"/>
  <c r="B928" i="111"/>
  <c r="B938" i="111"/>
  <c r="B876" i="111"/>
  <c r="B918" i="111"/>
  <c r="B908" i="111"/>
  <c r="B1130" i="111"/>
  <c r="B1091" i="111"/>
  <c r="B1054" i="111"/>
  <c r="B1064" i="111"/>
  <c r="B1003" i="111"/>
  <c r="B1045" i="111"/>
  <c r="B1035" i="111"/>
  <c r="B964" i="111"/>
  <c r="B927" i="111"/>
  <c r="B937" i="111"/>
  <c r="B875" i="111"/>
  <c r="B917" i="111"/>
  <c r="B907" i="111"/>
  <c r="B1129" i="111"/>
  <c r="B1090" i="111"/>
  <c r="B1053" i="111"/>
  <c r="B1063" i="111"/>
  <c r="B1002" i="111"/>
  <c r="B1044" i="111"/>
  <c r="B1034" i="111"/>
  <c r="B963" i="111"/>
  <c r="B926" i="111"/>
  <c r="B936" i="111"/>
  <c r="B874" i="111"/>
  <c r="B916" i="111"/>
  <c r="B906" i="111"/>
  <c r="B1128" i="111"/>
  <c r="B1089" i="111"/>
  <c r="B1052" i="111"/>
  <c r="B1062" i="111"/>
  <c r="B1001" i="111"/>
  <c r="B1043" i="111"/>
  <c r="B1033" i="111"/>
  <c r="B962" i="111"/>
  <c r="B925" i="111"/>
  <c r="B935" i="111"/>
  <c r="B873" i="111"/>
  <c r="B915" i="111"/>
  <c r="B905" i="111"/>
  <c r="B1127" i="111"/>
  <c r="B1088" i="111"/>
  <c r="B1051" i="111"/>
  <c r="B1061" i="111"/>
  <c r="B1000" i="111"/>
  <c r="B1042" i="111"/>
  <c r="B1032" i="111"/>
  <c r="B961" i="111"/>
  <c r="B924" i="111"/>
  <c r="B934" i="111"/>
  <c r="B872" i="111"/>
  <c r="B914" i="111"/>
  <c r="B904" i="111"/>
  <c r="B1126" i="111"/>
  <c r="B1087" i="111"/>
  <c r="B1060" i="111"/>
  <c r="B999" i="111"/>
  <c r="B1041" i="111"/>
  <c r="B1031" i="111"/>
  <c r="B960" i="111"/>
  <c r="B923" i="111"/>
  <c r="B933" i="111"/>
  <c r="B871" i="111"/>
  <c r="B913" i="111"/>
  <c r="B903" i="111"/>
  <c r="B1125" i="111"/>
  <c r="B1086" i="111"/>
  <c r="B1050" i="111"/>
  <c r="B1059" i="111"/>
  <c r="B998" i="111"/>
  <c r="B1040" i="111"/>
  <c r="B1030" i="111"/>
  <c r="B959" i="111"/>
  <c r="B922" i="111"/>
  <c r="B932" i="111"/>
  <c r="B870" i="111"/>
  <c r="B912" i="111"/>
  <c r="B902" i="111"/>
  <c r="B1163" i="111"/>
  <c r="B1124" i="111"/>
  <c r="B1029" i="111"/>
  <c r="B997" i="111"/>
  <c r="B901" i="111"/>
  <c r="B1162" i="111"/>
  <c r="B1123" i="111"/>
  <c r="B1028" i="111"/>
  <c r="B996" i="111"/>
  <c r="B900" i="111"/>
  <c r="B1161" i="111"/>
  <c r="B1122" i="111"/>
  <c r="B1027" i="111"/>
  <c r="B995" i="111"/>
  <c r="B899" i="111"/>
  <c r="B1160" i="111"/>
  <c r="B1121" i="111"/>
  <c r="B1026" i="111"/>
  <c r="B994" i="111"/>
  <c r="B898" i="111"/>
  <c r="B1159" i="111"/>
  <c r="B1120" i="111"/>
  <c r="B1025" i="111"/>
  <c r="B993" i="111"/>
  <c r="B897" i="111"/>
  <c r="B1158" i="111"/>
  <c r="B1119" i="111"/>
  <c r="B1024" i="111"/>
  <c r="B992" i="111"/>
  <c r="B896" i="111"/>
  <c r="B1157" i="111"/>
  <c r="B1118" i="111"/>
  <c r="B1085" i="111"/>
  <c r="B1023" i="111"/>
  <c r="B991" i="111"/>
  <c r="B958" i="111"/>
  <c r="B895" i="111"/>
  <c r="B1156" i="111"/>
  <c r="B1117" i="111"/>
  <c r="B1084" i="111"/>
  <c r="B990" i="111"/>
  <c r="B957" i="111"/>
  <c r="B1155" i="111"/>
  <c r="B1116" i="111"/>
  <c r="B1022" i="111"/>
  <c r="B989" i="111"/>
  <c r="B894" i="111"/>
  <c r="B1154" i="111"/>
  <c r="B1115" i="111"/>
  <c r="B1083" i="111"/>
  <c r="B1021" i="111"/>
  <c r="B988" i="111"/>
  <c r="B956" i="111"/>
  <c r="B893" i="111"/>
  <c r="B1153" i="111"/>
  <c r="B1114" i="111"/>
  <c r="B1020" i="111"/>
  <c r="B987" i="111"/>
  <c r="B892" i="111"/>
  <c r="B1152" i="111"/>
  <c r="B1113" i="111"/>
  <c r="B1019" i="111"/>
  <c r="B986" i="111"/>
  <c r="B891" i="111"/>
  <c r="B1151" i="111"/>
  <c r="B1112" i="111"/>
  <c r="B1018" i="111"/>
  <c r="B985" i="111"/>
  <c r="B890" i="111"/>
  <c r="B1150" i="111"/>
  <c r="B1111" i="111"/>
  <c r="B1082" i="111"/>
  <c r="B1017" i="111"/>
  <c r="B984" i="111"/>
  <c r="B955" i="111"/>
  <c r="B889" i="111"/>
  <c r="B1149" i="111"/>
  <c r="B1110" i="111"/>
  <c r="B1081" i="111"/>
  <c r="B1016" i="111"/>
  <c r="B983" i="111"/>
  <c r="B954" i="111"/>
  <c r="B888" i="111"/>
  <c r="B1148" i="111"/>
  <c r="B1109" i="111"/>
  <c r="B1080" i="111"/>
  <c r="B982" i="111"/>
  <c r="B953" i="111"/>
  <c r="B1147" i="111"/>
  <c r="B1108" i="111"/>
  <c r="B1079" i="111"/>
  <c r="B981" i="111"/>
  <c r="B952" i="111"/>
  <c r="B1146" i="111"/>
  <c r="B1107" i="111"/>
  <c r="B1078" i="111"/>
  <c r="B1015" i="111"/>
  <c r="B980" i="111"/>
  <c r="B951" i="111"/>
  <c r="B887" i="111"/>
  <c r="B1145" i="111"/>
  <c r="B1106" i="111"/>
  <c r="B1077" i="111"/>
  <c r="B1014" i="111"/>
  <c r="B979" i="111"/>
  <c r="B950" i="111"/>
  <c r="B886" i="111"/>
  <c r="B1144" i="111"/>
  <c r="B1105" i="111"/>
  <c r="B1076" i="111"/>
  <c r="B1013" i="111"/>
  <c r="B978" i="111"/>
  <c r="B949" i="111"/>
  <c r="B885" i="111"/>
  <c r="B1196" i="111"/>
  <c r="B1195" i="111"/>
  <c r="B1194" i="111"/>
  <c r="B1193" i="111"/>
  <c r="B1192" i="111"/>
  <c r="B1177" i="111"/>
  <c r="B1176" i="111"/>
  <c r="B1175" i="111"/>
  <c r="B1174" i="111"/>
  <c r="B1173" i="111"/>
  <c r="B1172" i="111"/>
  <c r="B1171" i="111"/>
  <c r="B1191" i="111"/>
  <c r="B1190" i="111"/>
  <c r="B1189" i="111"/>
  <c r="B1188" i="111"/>
  <c r="B1187" i="111"/>
  <c r="B1186" i="111"/>
  <c r="B1185" i="111"/>
  <c r="B1170" i="111"/>
  <c r="B1169" i="111"/>
  <c r="B1168" i="111"/>
  <c r="B1167" i="111"/>
  <c r="B1166" i="111"/>
  <c r="B1165" i="111"/>
  <c r="B1164" i="111"/>
  <c r="B1184" i="111"/>
  <c r="B1183" i="111"/>
  <c r="B1182" i="111"/>
  <c r="B1181" i="111"/>
  <c r="B1180" i="111"/>
  <c r="B1179" i="111"/>
  <c r="B1178" i="111"/>
  <c r="B1143" i="111"/>
  <c r="B1104" i="111"/>
  <c r="B1075" i="111"/>
  <c r="B1012" i="111"/>
  <c r="B977" i="111"/>
  <c r="B948" i="111"/>
  <c r="B884" i="111"/>
  <c r="B1142" i="111"/>
  <c r="B1103" i="111"/>
  <c r="B1011" i="111"/>
  <c r="B976" i="111"/>
  <c r="B883" i="111"/>
  <c r="B1141" i="111"/>
  <c r="B1102" i="111"/>
  <c r="B1074" i="111"/>
  <c r="B975" i="111"/>
  <c r="B947" i="111"/>
  <c r="B1140" i="111"/>
  <c r="B1101" i="111"/>
  <c r="B1073" i="111"/>
  <c r="B1010" i="111"/>
  <c r="B974" i="111"/>
  <c r="B946" i="111"/>
  <c r="B882" i="111"/>
  <c r="B1139" i="111"/>
  <c r="B1100" i="111"/>
  <c r="B1072" i="111"/>
  <c r="B973" i="111"/>
  <c r="B945" i="111"/>
  <c r="B1138" i="111"/>
  <c r="B1099" i="111"/>
  <c r="B1071" i="111"/>
  <c r="B972" i="111"/>
  <c r="B944" i="111"/>
  <c r="B1137" i="111"/>
  <c r="B1098" i="111"/>
  <c r="B1070" i="111"/>
  <c r="B971" i="111"/>
  <c r="B943" i="111"/>
  <c r="B1136" i="111"/>
  <c r="B1097" i="111"/>
  <c r="B1009" i="111"/>
  <c r="B970" i="111"/>
  <c r="B881" i="111"/>
  <c r="B795" i="111"/>
  <c r="B727" i="111"/>
  <c r="B614" i="111"/>
  <c r="B546" i="111"/>
  <c r="B423" i="111"/>
  <c r="B794" i="111"/>
  <c r="B726" i="111"/>
  <c r="B613" i="111"/>
  <c r="B545" i="111"/>
  <c r="B422" i="111"/>
  <c r="B793" i="111"/>
  <c r="B725" i="111"/>
  <c r="B612" i="111"/>
  <c r="B544" i="111"/>
  <c r="B421" i="111"/>
  <c r="B792" i="111"/>
  <c r="B724" i="111"/>
  <c r="B611" i="111"/>
  <c r="B543" i="111"/>
  <c r="B420" i="111"/>
  <c r="B791" i="111"/>
  <c r="B723" i="111"/>
  <c r="B610" i="111"/>
  <c r="B542" i="111"/>
  <c r="B419" i="111"/>
  <c r="B790" i="111"/>
  <c r="B722" i="111"/>
  <c r="B609" i="111"/>
  <c r="B541" i="111"/>
  <c r="B418" i="111"/>
  <c r="B789" i="111"/>
  <c r="B721" i="111"/>
  <c r="B608" i="111"/>
  <c r="B540" i="111"/>
  <c r="B417" i="111"/>
  <c r="B788" i="111"/>
  <c r="B720" i="111"/>
  <c r="B607" i="111"/>
  <c r="B539" i="111"/>
  <c r="B416" i="111"/>
  <c r="B787" i="111"/>
  <c r="B719" i="111"/>
  <c r="B606" i="111"/>
  <c r="B538" i="111"/>
  <c r="B415" i="111"/>
  <c r="B786" i="111"/>
  <c r="B718" i="111"/>
  <c r="B605" i="111"/>
  <c r="B537" i="111"/>
  <c r="B414" i="111"/>
  <c r="B785" i="111"/>
  <c r="B717" i="111"/>
  <c r="B604" i="111"/>
  <c r="B536" i="111"/>
  <c r="B413" i="111"/>
  <c r="B784" i="111"/>
  <c r="B716" i="111"/>
  <c r="B603" i="111"/>
  <c r="B535" i="111"/>
  <c r="B412" i="111"/>
  <c r="B783" i="111"/>
  <c r="B715" i="111"/>
  <c r="B602" i="111"/>
  <c r="B534" i="111"/>
  <c r="B411" i="111"/>
  <c r="B782" i="111"/>
  <c r="B714" i="111"/>
  <c r="B601" i="111"/>
  <c r="B533" i="111"/>
  <c r="B410" i="111"/>
  <c r="B781" i="111"/>
  <c r="B713" i="111"/>
  <c r="B600" i="111"/>
  <c r="B532" i="111"/>
  <c r="B409" i="111"/>
  <c r="B780" i="111"/>
  <c r="B712" i="111"/>
  <c r="B599" i="111"/>
  <c r="B531" i="111"/>
  <c r="B408" i="111"/>
  <c r="B779" i="111"/>
  <c r="B711" i="111"/>
  <c r="B598" i="111"/>
  <c r="B530" i="111"/>
  <c r="B407" i="111"/>
  <c r="B844" i="111"/>
  <c r="B842" i="111"/>
  <c r="B839" i="111"/>
  <c r="B837" i="111"/>
  <c r="B834" i="111"/>
  <c r="B778" i="111"/>
  <c r="B710" i="111"/>
  <c r="B669" i="111"/>
  <c r="B682" i="111"/>
  <c r="B597" i="111"/>
  <c r="B656" i="111"/>
  <c r="B529" i="111"/>
  <c r="B491" i="111"/>
  <c r="B504" i="111"/>
  <c r="B406" i="111"/>
  <c r="B478" i="111"/>
  <c r="B465" i="111"/>
  <c r="BA26" i="174" s="1"/>
  <c r="B777" i="111"/>
  <c r="B709" i="111"/>
  <c r="B668" i="111"/>
  <c r="B681" i="111"/>
  <c r="B596" i="111"/>
  <c r="B655" i="111"/>
  <c r="B528" i="111"/>
  <c r="B490" i="111"/>
  <c r="B503" i="111"/>
  <c r="B405" i="111"/>
  <c r="B477" i="111"/>
  <c r="B464" i="111"/>
  <c r="B776" i="111"/>
  <c r="B708" i="111"/>
  <c r="B667" i="111"/>
  <c r="B680" i="111"/>
  <c r="B595" i="111"/>
  <c r="B654" i="111"/>
  <c r="B527" i="111"/>
  <c r="B489" i="111"/>
  <c r="B502" i="111"/>
  <c r="B404" i="111"/>
  <c r="B476" i="111"/>
  <c r="B463" i="111"/>
  <c r="B775" i="111"/>
  <c r="B707" i="111"/>
  <c r="B666" i="111"/>
  <c r="B679" i="111"/>
  <c r="B594" i="111"/>
  <c r="B653" i="111"/>
  <c r="B526" i="111"/>
  <c r="B488" i="111"/>
  <c r="B501" i="111"/>
  <c r="B403" i="111"/>
  <c r="B475" i="111"/>
  <c r="B462" i="111"/>
  <c r="B774" i="111"/>
  <c r="B706" i="111"/>
  <c r="B665" i="111"/>
  <c r="B678" i="111"/>
  <c r="B593" i="111"/>
  <c r="B652" i="111"/>
  <c r="B525" i="111"/>
  <c r="B487" i="111"/>
  <c r="B500" i="111"/>
  <c r="B402" i="111"/>
  <c r="B474" i="111"/>
  <c r="B461" i="111"/>
  <c r="B773" i="111"/>
  <c r="B705" i="111"/>
  <c r="B664" i="111"/>
  <c r="B677" i="111"/>
  <c r="B592" i="111"/>
  <c r="B651" i="111"/>
  <c r="B524" i="111"/>
  <c r="B486" i="111"/>
  <c r="B499" i="111"/>
  <c r="B401" i="111"/>
  <c r="B473" i="111"/>
  <c r="B460" i="111"/>
  <c r="B772" i="111"/>
  <c r="AR155" i="119" s="1"/>
  <c r="B704" i="111"/>
  <c r="B663" i="111"/>
  <c r="B676" i="111"/>
  <c r="B591" i="111"/>
  <c r="B650" i="111"/>
  <c r="B523" i="111"/>
  <c r="B485" i="111"/>
  <c r="B498" i="111"/>
  <c r="B400" i="111"/>
  <c r="B472" i="111"/>
  <c r="B459" i="111"/>
  <c r="B771" i="111"/>
  <c r="AR152" i="119" s="1"/>
  <c r="B703" i="111"/>
  <c r="B662" i="111"/>
  <c r="B675" i="111"/>
  <c r="B590" i="111"/>
  <c r="B649" i="111"/>
  <c r="B522" i="111"/>
  <c r="B484" i="111"/>
  <c r="B497" i="111"/>
  <c r="B399" i="111"/>
  <c r="B471" i="111"/>
  <c r="B458" i="111"/>
  <c r="B770" i="111"/>
  <c r="B702" i="111"/>
  <c r="B661" i="111"/>
  <c r="B674" i="111"/>
  <c r="B589" i="111"/>
  <c r="B648" i="111"/>
  <c r="B521" i="111"/>
  <c r="B483" i="111"/>
  <c r="B496" i="111"/>
  <c r="B398" i="111"/>
  <c r="B470" i="111"/>
  <c r="B457" i="111"/>
  <c r="B769" i="111"/>
  <c r="B701" i="111"/>
  <c r="B660" i="111"/>
  <c r="B673" i="111"/>
  <c r="B588" i="111"/>
  <c r="B647" i="111"/>
  <c r="B520" i="111"/>
  <c r="B482" i="111"/>
  <c r="B495" i="111"/>
  <c r="B397" i="111"/>
  <c r="B469" i="111"/>
  <c r="B456" i="111"/>
  <c r="B768" i="111"/>
  <c r="B700" i="111"/>
  <c r="B659" i="111"/>
  <c r="B672" i="111"/>
  <c r="B587" i="111"/>
  <c r="B646" i="111"/>
  <c r="B519" i="111"/>
  <c r="B481" i="111"/>
  <c r="B494" i="111"/>
  <c r="B396" i="111"/>
  <c r="B468" i="111"/>
  <c r="B455" i="111"/>
  <c r="B767" i="111"/>
  <c r="B699" i="111"/>
  <c r="B658" i="111"/>
  <c r="B671" i="111"/>
  <c r="B586" i="111"/>
  <c r="B645" i="111"/>
  <c r="B518" i="111"/>
  <c r="B480" i="111"/>
  <c r="B493" i="111"/>
  <c r="B395" i="111"/>
  <c r="B467" i="111"/>
  <c r="B454" i="111"/>
  <c r="B766" i="111"/>
  <c r="B698" i="111"/>
  <c r="B657" i="111"/>
  <c r="B670" i="111"/>
  <c r="B585" i="111"/>
  <c r="B644" i="111"/>
  <c r="B517" i="111"/>
  <c r="B479" i="111"/>
  <c r="B492" i="111"/>
  <c r="B394" i="111"/>
  <c r="B466" i="111"/>
  <c r="B154" i="111"/>
  <c r="B134" i="111"/>
  <c r="B164" i="111"/>
  <c r="B174" i="111"/>
  <c r="B194" i="111"/>
  <c r="B204" i="111"/>
  <c r="B184" i="111"/>
  <c r="B214" i="111"/>
  <c r="B224" i="111"/>
  <c r="B234" i="111"/>
  <c r="B145" i="111"/>
  <c r="B155" i="111"/>
  <c r="B135" i="111"/>
  <c r="B165" i="111"/>
  <c r="B175" i="111"/>
  <c r="B195" i="111"/>
  <c r="B205" i="111"/>
  <c r="B185" i="111"/>
  <c r="B215" i="111"/>
  <c r="B225" i="111"/>
  <c r="B235" i="111"/>
  <c r="B146" i="111"/>
  <c r="B156" i="111"/>
  <c r="B136" i="111"/>
  <c r="B166" i="111"/>
  <c r="B176" i="111"/>
  <c r="B196" i="111"/>
  <c r="B206" i="111"/>
  <c r="B186" i="111"/>
  <c r="B216" i="111"/>
  <c r="B226" i="111"/>
  <c r="B236" i="111"/>
  <c r="B147" i="111"/>
  <c r="B157" i="111"/>
  <c r="B137" i="111"/>
  <c r="B167" i="111"/>
  <c r="B177" i="111"/>
  <c r="B197" i="111"/>
  <c r="B207" i="111"/>
  <c r="B187" i="111"/>
  <c r="B217" i="111"/>
  <c r="B227" i="111"/>
  <c r="B237" i="111"/>
  <c r="B148" i="111"/>
  <c r="B158" i="111"/>
  <c r="B138" i="111"/>
  <c r="B168" i="111"/>
  <c r="B178" i="111"/>
  <c r="B198" i="111"/>
  <c r="B208" i="111"/>
  <c r="B188" i="111"/>
  <c r="B218" i="111"/>
  <c r="B228" i="111"/>
  <c r="B238" i="111"/>
  <c r="B149" i="111"/>
  <c r="B159" i="111"/>
  <c r="B139" i="111"/>
  <c r="B169" i="111"/>
  <c r="B179" i="111"/>
  <c r="B199" i="111"/>
  <c r="B209" i="111"/>
  <c r="B189" i="111"/>
  <c r="B219" i="111"/>
  <c r="B229" i="111"/>
  <c r="B239" i="111"/>
  <c r="B150" i="111"/>
  <c r="B160" i="111"/>
  <c r="B140" i="111"/>
  <c r="B170" i="111"/>
  <c r="B180" i="111"/>
  <c r="B200" i="111"/>
  <c r="B210" i="111"/>
  <c r="B190" i="111"/>
  <c r="B220" i="111"/>
  <c r="B230" i="111"/>
  <c r="B240" i="111"/>
  <c r="B151" i="111"/>
  <c r="B161" i="111"/>
  <c r="B141" i="111"/>
  <c r="B171" i="111"/>
  <c r="B181" i="111"/>
  <c r="B201" i="111"/>
  <c r="B211" i="111"/>
  <c r="B191" i="111"/>
  <c r="B221" i="111"/>
  <c r="B231" i="111"/>
  <c r="B241" i="111"/>
  <c r="B152" i="111"/>
  <c r="B162" i="111"/>
  <c r="B142" i="111"/>
  <c r="B172" i="111"/>
  <c r="B182" i="111"/>
  <c r="B202" i="111"/>
  <c r="B212" i="111"/>
  <c r="B192" i="111"/>
  <c r="B222" i="111"/>
  <c r="B232" i="111"/>
  <c r="B242" i="111"/>
  <c r="B153" i="111"/>
  <c r="B163" i="111"/>
  <c r="B143" i="111"/>
  <c r="BP26" i="174" s="1"/>
  <c r="B173" i="111"/>
  <c r="B183" i="111"/>
  <c r="B203" i="111"/>
  <c r="B213" i="111"/>
  <c r="B193" i="111"/>
  <c r="B223" i="111"/>
  <c r="B233" i="111"/>
  <c r="B243" i="111"/>
  <c r="B274" i="111"/>
  <c r="B318" i="111"/>
  <c r="B332" i="111"/>
  <c r="B376" i="111"/>
  <c r="B390" i="111"/>
  <c r="B275" i="111"/>
  <c r="B319" i="111"/>
  <c r="B333" i="111"/>
  <c r="B377" i="111"/>
  <c r="B391" i="111"/>
  <c r="B276" i="111"/>
  <c r="B320" i="111"/>
  <c r="B334" i="111"/>
  <c r="B378" i="111"/>
  <c r="B392" i="111"/>
  <c r="B277" i="111"/>
  <c r="B321" i="111"/>
  <c r="B335" i="111"/>
  <c r="B379" i="111"/>
  <c r="B393" i="111"/>
  <c r="B278" i="111"/>
  <c r="B288" i="111"/>
  <c r="B264" i="111"/>
  <c r="B298" i="111"/>
  <c r="B308" i="111"/>
  <c r="B336" i="111"/>
  <c r="B346" i="111"/>
  <c r="B322" i="111"/>
  <c r="B356" i="111"/>
  <c r="B366" i="111"/>
  <c r="B380" i="111"/>
  <c r="B279" i="111"/>
  <c r="B289" i="111"/>
  <c r="B265" i="111"/>
  <c r="B299" i="111"/>
  <c r="B309" i="111"/>
  <c r="B337" i="111"/>
  <c r="B347" i="111"/>
  <c r="B323" i="111"/>
  <c r="B357" i="111"/>
  <c r="B367" i="111"/>
  <c r="B381" i="111"/>
  <c r="B280" i="111"/>
  <c r="B290" i="111"/>
  <c r="B266" i="111"/>
  <c r="B300" i="111"/>
  <c r="B310" i="111"/>
  <c r="B338" i="111"/>
  <c r="B348" i="111"/>
  <c r="B324" i="111"/>
  <c r="B358" i="111"/>
  <c r="B368" i="111"/>
  <c r="B382" i="111"/>
  <c r="B281" i="111"/>
  <c r="B291" i="111"/>
  <c r="B267" i="111"/>
  <c r="B301" i="111"/>
  <c r="B311" i="111"/>
  <c r="B339" i="111"/>
  <c r="B349" i="111"/>
  <c r="B325" i="111"/>
  <c r="B359" i="111"/>
  <c r="B369" i="111"/>
  <c r="B383" i="111"/>
  <c r="B282" i="111"/>
  <c r="B292" i="111"/>
  <c r="B268" i="111"/>
  <c r="B302" i="111"/>
  <c r="B312" i="111"/>
  <c r="B340" i="111"/>
  <c r="B350" i="111"/>
  <c r="B326" i="111"/>
  <c r="B360" i="111"/>
  <c r="B370" i="111"/>
  <c r="B384" i="111"/>
  <c r="B283" i="111"/>
  <c r="B293" i="111"/>
  <c r="B269" i="111"/>
  <c r="B303" i="111"/>
  <c r="B313" i="111"/>
  <c r="B341" i="111"/>
  <c r="B351" i="111"/>
  <c r="B327" i="111"/>
  <c r="B361" i="111"/>
  <c r="B371" i="111"/>
  <c r="B385" i="111"/>
  <c r="B284" i="111"/>
  <c r="B294" i="111"/>
  <c r="B270" i="111"/>
  <c r="B304" i="111"/>
  <c r="B314" i="111"/>
  <c r="B342" i="111"/>
  <c r="B352" i="111"/>
  <c r="B328" i="111"/>
  <c r="B362" i="111"/>
  <c r="B372" i="111"/>
  <c r="B386" i="111"/>
  <c r="B285" i="111"/>
  <c r="B295" i="111"/>
  <c r="B271" i="111"/>
  <c r="B305" i="111"/>
  <c r="B315" i="111"/>
  <c r="B343" i="111"/>
  <c r="B353" i="111"/>
  <c r="B329" i="111"/>
  <c r="B363" i="111"/>
  <c r="B373" i="111"/>
  <c r="B387" i="111"/>
  <c r="B286" i="111"/>
  <c r="B296" i="111"/>
  <c r="B272" i="111"/>
  <c r="B306" i="111"/>
  <c r="B316" i="111"/>
  <c r="B344" i="111"/>
  <c r="B354" i="111"/>
  <c r="B330" i="111"/>
  <c r="B364" i="111"/>
  <c r="B374" i="111"/>
  <c r="B388" i="111"/>
  <c r="B287" i="111"/>
  <c r="B297" i="111"/>
  <c r="B273" i="111"/>
  <c r="B307" i="111"/>
  <c r="B317" i="111"/>
  <c r="B345" i="111"/>
  <c r="B355" i="111"/>
  <c r="B331" i="111"/>
  <c r="B365" i="111"/>
  <c r="B375" i="111"/>
  <c r="B389" i="111"/>
  <c r="B581" i="111"/>
  <c r="B582" i="111"/>
  <c r="B583" i="111"/>
  <c r="B584" i="111"/>
  <c r="B615" i="111"/>
  <c r="B616" i="111"/>
  <c r="B617" i="111"/>
  <c r="B429" i="111"/>
  <c r="B430" i="111"/>
  <c r="B431" i="111"/>
  <c r="B432" i="111"/>
  <c r="B433" i="111"/>
  <c r="B434" i="111"/>
  <c r="B435" i="111"/>
  <c r="B436" i="111"/>
  <c r="B437" i="111"/>
  <c r="B438" i="111"/>
  <c r="B439" i="111"/>
  <c r="B440" i="111"/>
  <c r="B441" i="111"/>
  <c r="B442" i="111"/>
  <c r="B443" i="111"/>
  <c r="B824" i="111"/>
  <c r="B825" i="111"/>
  <c r="B826" i="111"/>
  <c r="B827" i="111"/>
  <c r="B828" i="111"/>
  <c r="B829" i="111"/>
  <c r="B830" i="111"/>
  <c r="B557" i="111"/>
  <c r="B558" i="111"/>
  <c r="B559" i="111"/>
  <c r="B560" i="111"/>
  <c r="B561" i="111"/>
  <c r="B562" i="111"/>
  <c r="B563" i="111"/>
  <c r="B569" i="111"/>
  <c r="B570" i="111"/>
  <c r="B571" i="111"/>
  <c r="B572" i="111"/>
  <c r="B573" i="111"/>
  <c r="B574" i="111"/>
  <c r="B575" i="111"/>
  <c r="B576" i="111"/>
  <c r="B577" i="111"/>
  <c r="B578" i="111"/>
  <c r="B579" i="111"/>
  <c r="B580" i="111"/>
  <c r="B564" i="111"/>
  <c r="B565" i="111"/>
  <c r="B566" i="111"/>
  <c r="B567" i="111"/>
  <c r="B568" i="111"/>
  <c r="B550" i="111"/>
  <c r="B551" i="111"/>
  <c r="B552" i="111"/>
  <c r="B553" i="111"/>
  <c r="B554" i="111"/>
  <c r="B555" i="111"/>
  <c r="B556" i="111"/>
  <c r="B424" i="111"/>
  <c r="B425" i="111"/>
  <c r="B426" i="111"/>
  <c r="B427" i="111"/>
  <c r="B428" i="111"/>
  <c r="B804" i="111"/>
  <c r="B805" i="111"/>
  <c r="B806" i="111"/>
  <c r="B807" i="111"/>
  <c r="B808" i="111"/>
  <c r="B831" i="111"/>
  <c r="B832" i="111"/>
  <c r="B833" i="111"/>
  <c r="B835" i="111"/>
  <c r="B836" i="111"/>
  <c r="B754" i="111"/>
  <c r="B755" i="111"/>
  <c r="B756" i="111"/>
  <c r="B757" i="111"/>
  <c r="B758" i="111"/>
  <c r="B444" i="111"/>
  <c r="B445" i="111"/>
  <c r="B446" i="111"/>
  <c r="B447" i="111"/>
  <c r="B448" i="111"/>
  <c r="B449" i="111"/>
  <c r="B450" i="111"/>
  <c r="B865" i="111"/>
  <c r="B866" i="111"/>
  <c r="B867" i="111"/>
  <c r="B868" i="111"/>
  <c r="B869" i="111"/>
  <c r="B853" i="111"/>
  <c r="B854" i="111"/>
  <c r="B855" i="111"/>
  <c r="B856" i="111"/>
  <c r="B857" i="111"/>
  <c r="B618" i="111"/>
  <c r="B619" i="111"/>
  <c r="B620" i="111"/>
  <c r="B621" i="111"/>
  <c r="B622" i="111"/>
  <c r="B819" i="111"/>
  <c r="B820" i="111"/>
  <c r="B821" i="111"/>
  <c r="B822" i="111"/>
  <c r="B823" i="111"/>
  <c r="B451" i="111"/>
  <c r="B452" i="111"/>
  <c r="B505" i="111"/>
  <c r="B506" i="111"/>
  <c r="B507" i="111"/>
  <c r="B749" i="111"/>
  <c r="B750" i="111"/>
  <c r="B751" i="111"/>
  <c r="B752" i="111"/>
  <c r="B753" i="111"/>
  <c r="B687" i="111"/>
  <c r="B688" i="111"/>
  <c r="B689" i="111"/>
  <c r="B690" i="111"/>
  <c r="B691" i="111"/>
  <c r="B848" i="111"/>
  <c r="B849" i="111"/>
  <c r="B850" i="111"/>
  <c r="B851" i="111"/>
  <c r="B852" i="111"/>
  <c r="AR93" i="119" s="1"/>
  <c r="B508" i="111"/>
  <c r="B510" i="111"/>
  <c r="B512" i="111"/>
  <c r="B514" i="111"/>
  <c r="B739" i="111"/>
  <c r="B740" i="111"/>
  <c r="B741" i="111"/>
  <c r="B742" i="111"/>
  <c r="B743" i="111"/>
  <c r="B744" i="111"/>
  <c r="B745" i="111"/>
  <c r="B746" i="111"/>
  <c r="B747" i="111"/>
  <c r="B748" i="111"/>
  <c r="B729" i="111"/>
  <c r="B730" i="111"/>
  <c r="B731" i="111"/>
  <c r="B732" i="111"/>
  <c r="B733" i="111"/>
  <c r="B734" i="111"/>
  <c r="B735" i="111"/>
  <c r="B736" i="111"/>
  <c r="B737" i="111"/>
  <c r="B738" i="111"/>
  <c r="B633" i="111"/>
  <c r="B635" i="111"/>
  <c r="B637" i="111"/>
  <c r="B639" i="111"/>
  <c r="B641" i="111"/>
  <c r="B814" i="111"/>
  <c r="B815" i="111"/>
  <c r="B816" i="111"/>
  <c r="B817" i="111"/>
  <c r="B818" i="111"/>
  <c r="B809" i="111"/>
  <c r="B810" i="111"/>
  <c r="B811" i="111"/>
  <c r="B812" i="111"/>
  <c r="B813" i="111"/>
  <c r="B692" i="111"/>
  <c r="B693" i="111"/>
  <c r="B694" i="111"/>
  <c r="B695" i="111"/>
  <c r="B696" i="111"/>
  <c r="B697" i="111"/>
  <c r="B728" i="111"/>
  <c r="B858" i="111"/>
  <c r="B859" i="111"/>
  <c r="B860" i="111"/>
  <c r="B861" i="111"/>
  <c r="B862" i="111"/>
  <c r="B863" i="111"/>
  <c r="B864" i="111"/>
  <c r="B838" i="111"/>
  <c r="B840" i="111"/>
  <c r="B841" i="111"/>
  <c r="B843" i="111"/>
  <c r="B845" i="111"/>
  <c r="B846" i="111"/>
  <c r="B847" i="111"/>
  <c r="B759" i="111"/>
  <c r="B760" i="111"/>
  <c r="B761" i="111"/>
  <c r="B762" i="111"/>
  <c r="B763" i="111"/>
  <c r="B764" i="111"/>
  <c r="B765" i="111"/>
  <c r="B796" i="111"/>
  <c r="B797" i="111"/>
  <c r="B798" i="111"/>
  <c r="B799" i="111"/>
  <c r="B800" i="111"/>
  <c r="B801" i="111"/>
  <c r="B802" i="111"/>
  <c r="B803" i="111"/>
  <c r="B515" i="111"/>
  <c r="B516" i="111"/>
  <c r="B547" i="111"/>
  <c r="B548" i="111"/>
  <c r="B549" i="111"/>
  <c r="B509" i="111"/>
  <c r="B511" i="111"/>
  <c r="B513" i="111"/>
  <c r="B634" i="111"/>
  <c r="B636" i="111"/>
  <c r="B638" i="111"/>
  <c r="B640" i="111"/>
  <c r="B642" i="111"/>
  <c r="B643" i="111"/>
  <c r="B683" i="111"/>
  <c r="B684" i="111"/>
  <c r="B685" i="111"/>
  <c r="B686" i="111"/>
  <c r="B623" i="111"/>
  <c r="B624" i="111"/>
  <c r="B625" i="111"/>
  <c r="B626" i="111"/>
  <c r="B627" i="111"/>
  <c r="B628" i="111"/>
  <c r="B629" i="111"/>
  <c r="B630" i="111"/>
  <c r="B631" i="111"/>
  <c r="B632" i="111"/>
  <c r="B453" i="111"/>
  <c r="B144" i="111"/>
  <c r="U11" i="82"/>
  <c r="T11" i="82"/>
  <c r="T19" i="82" s="1"/>
  <c r="U2" i="82"/>
  <c r="T2" i="82"/>
  <c r="AB11" i="109"/>
  <c r="AB19" i="109" s="1"/>
  <c r="AC5" i="109"/>
  <c r="AC2" i="109"/>
  <c r="AB5" i="109"/>
  <c r="AB2" i="109"/>
  <c r="AE15" i="80"/>
  <c r="AE7" i="80"/>
  <c r="AE10" i="80" s="1"/>
  <c r="AC10" i="80"/>
  <c r="AD10" i="80"/>
  <c r="AF10" i="80"/>
  <c r="AF19" i="80" s="1"/>
  <c r="AG10" i="80"/>
  <c r="AC18" i="80"/>
  <c r="AD18" i="80"/>
  <c r="AE18" i="80"/>
  <c r="AF18" i="80"/>
  <c r="AG18" i="80"/>
  <c r="AC19" i="80"/>
  <c r="AG19" i="80"/>
  <c r="AC2" i="45"/>
  <c r="AJ10" i="109"/>
  <c r="AK10" i="109"/>
  <c r="AL10" i="109"/>
  <c r="AM10" i="109"/>
  <c r="AN10" i="109"/>
  <c r="AJ19" i="109"/>
  <c r="AK19" i="109"/>
  <c r="AL19" i="109"/>
  <c r="AM19" i="109"/>
  <c r="AN19" i="109"/>
  <c r="AK20" i="109"/>
  <c r="AG10" i="109"/>
  <c r="AH10" i="109"/>
  <c r="AI10" i="109"/>
  <c r="AG19" i="109"/>
  <c r="AH19" i="109"/>
  <c r="AI19" i="109"/>
  <c r="AI20" i="109" s="1"/>
  <c r="AC11" i="109"/>
  <c r="AC19" i="109" s="1"/>
  <c r="AA10" i="109"/>
  <c r="N18" i="110"/>
  <c r="N10" i="110"/>
  <c r="T18" i="110"/>
  <c r="S18" i="110"/>
  <c r="R18" i="110"/>
  <c r="Q18" i="110"/>
  <c r="P18" i="110"/>
  <c r="O18" i="110"/>
  <c r="M18" i="110"/>
  <c r="L18" i="110"/>
  <c r="K18" i="110"/>
  <c r="J18" i="110"/>
  <c r="I18" i="110"/>
  <c r="H18" i="110"/>
  <c r="G18" i="110"/>
  <c r="F18" i="110"/>
  <c r="E18" i="110"/>
  <c r="D18" i="110"/>
  <c r="C18" i="110"/>
  <c r="B18" i="110"/>
  <c r="T10" i="110"/>
  <c r="S10" i="110"/>
  <c r="R10" i="110"/>
  <c r="R19" i="110" s="1"/>
  <c r="Q10" i="110"/>
  <c r="P10" i="110"/>
  <c r="O10" i="110"/>
  <c r="N19" i="110"/>
  <c r="M10" i="110"/>
  <c r="L10" i="110"/>
  <c r="K10" i="110"/>
  <c r="J10" i="110"/>
  <c r="I10" i="110"/>
  <c r="H10" i="110"/>
  <c r="G10" i="110"/>
  <c r="F10" i="110"/>
  <c r="E10" i="110"/>
  <c r="D10" i="110"/>
  <c r="C10" i="110"/>
  <c r="B10" i="110"/>
  <c r="H19" i="109"/>
  <c r="AF19" i="109"/>
  <c r="AE19" i="109"/>
  <c r="AD19" i="109"/>
  <c r="AA19" i="109"/>
  <c r="Z19" i="109"/>
  <c r="Y19" i="109"/>
  <c r="X19" i="109"/>
  <c r="W19" i="109"/>
  <c r="V19" i="109"/>
  <c r="U19" i="109"/>
  <c r="T19" i="109"/>
  <c r="S19" i="109"/>
  <c r="R19" i="109"/>
  <c r="Q19" i="109"/>
  <c r="P19" i="109"/>
  <c r="O19" i="109"/>
  <c r="N19" i="109"/>
  <c r="M19" i="109"/>
  <c r="L19" i="109"/>
  <c r="K19" i="109"/>
  <c r="J19" i="109"/>
  <c r="I19" i="109"/>
  <c r="G19" i="109"/>
  <c r="F19" i="109"/>
  <c r="E19" i="109"/>
  <c r="D19" i="109"/>
  <c r="C19" i="109"/>
  <c r="B19" i="109"/>
  <c r="AF10" i="109"/>
  <c r="AE10" i="109"/>
  <c r="AD10" i="109"/>
  <c r="Z10" i="109"/>
  <c r="Y10" i="109"/>
  <c r="X10" i="109"/>
  <c r="W10" i="109"/>
  <c r="V10" i="109"/>
  <c r="U10" i="109"/>
  <c r="T10" i="109"/>
  <c r="S10" i="109"/>
  <c r="R10" i="109"/>
  <c r="Q10" i="109"/>
  <c r="P10" i="109"/>
  <c r="O10" i="109"/>
  <c r="N10" i="109"/>
  <c r="M10" i="109"/>
  <c r="L10" i="109"/>
  <c r="K10" i="109"/>
  <c r="J10" i="109"/>
  <c r="I10" i="109"/>
  <c r="H10" i="109"/>
  <c r="G10" i="109"/>
  <c r="G20" i="109" s="1"/>
  <c r="F10" i="109"/>
  <c r="E10" i="109"/>
  <c r="D10" i="109"/>
  <c r="C10" i="109"/>
  <c r="C20" i="109" s="1"/>
  <c r="B10" i="109"/>
  <c r="D19" i="95"/>
  <c r="X18" i="99"/>
  <c r="X19" i="99"/>
  <c r="AD18" i="99"/>
  <c r="Z18" i="99"/>
  <c r="Z19" i="99" s="1"/>
  <c r="T18" i="95"/>
  <c r="F5" i="31"/>
  <c r="E5" i="31"/>
  <c r="D5" i="31"/>
  <c r="C5" i="31"/>
  <c r="B5" i="31"/>
  <c r="O5" i="31"/>
  <c r="F6" i="31"/>
  <c r="E6" i="31"/>
  <c r="D6" i="31"/>
  <c r="C6" i="31"/>
  <c r="B6" i="31"/>
  <c r="S18" i="108"/>
  <c r="S19" i="108"/>
  <c r="Z18" i="108"/>
  <c r="Z19" i="108" s="1"/>
  <c r="Z10" i="108"/>
  <c r="Y18" i="108"/>
  <c r="X18" i="108"/>
  <c r="W18" i="108"/>
  <c r="V18" i="108"/>
  <c r="T18" i="108"/>
  <c r="R18" i="108"/>
  <c r="R19" i="108" s="1"/>
  <c r="Q18" i="108"/>
  <c r="Q19" i="108" s="1"/>
  <c r="P18" i="108"/>
  <c r="P19" i="108" s="1"/>
  <c r="O18" i="108"/>
  <c r="O19" i="108" s="1"/>
  <c r="N18" i="108"/>
  <c r="M18" i="108"/>
  <c r="M19" i="108" s="1"/>
  <c r="L18" i="108"/>
  <c r="K18" i="108"/>
  <c r="K19" i="108" s="1"/>
  <c r="J18" i="108"/>
  <c r="I18" i="108"/>
  <c r="I19" i="108" s="1"/>
  <c r="H18" i="108"/>
  <c r="G18" i="108"/>
  <c r="G19" i="108" s="1"/>
  <c r="F18" i="108"/>
  <c r="E18" i="108"/>
  <c r="E19" i="108" s="1"/>
  <c r="D18" i="108"/>
  <c r="C18" i="108"/>
  <c r="C19" i="108" s="1"/>
  <c r="B18" i="108"/>
  <c r="AD19" i="108"/>
  <c r="AC19" i="108"/>
  <c r="AB19" i="108"/>
  <c r="AA19" i="108"/>
  <c r="Y19" i="108"/>
  <c r="X19" i="108"/>
  <c r="W19" i="108"/>
  <c r="V19" i="108"/>
  <c r="U19" i="108"/>
  <c r="T19" i="108"/>
  <c r="N19" i="108"/>
  <c r="L19" i="108"/>
  <c r="J19" i="108"/>
  <c r="H19" i="108"/>
  <c r="F19" i="108"/>
  <c r="D19" i="108"/>
  <c r="B19" i="108"/>
  <c r="D18" i="107"/>
  <c r="B18" i="107"/>
  <c r="C18" i="107"/>
  <c r="E18" i="107"/>
  <c r="D10" i="107"/>
  <c r="D19" i="107" s="1"/>
  <c r="B10" i="107"/>
  <c r="B19" i="107" s="1"/>
  <c r="C10" i="107"/>
  <c r="E10" i="107"/>
  <c r="AC18" i="99"/>
  <c r="AB18" i="99"/>
  <c r="AA18" i="99"/>
  <c r="Y18" i="99"/>
  <c r="W18" i="99"/>
  <c r="V18" i="99"/>
  <c r="V19" i="99"/>
  <c r="U18" i="99"/>
  <c r="U19" i="99" s="1"/>
  <c r="T18" i="99"/>
  <c r="T19" i="99" s="1"/>
  <c r="S18" i="99"/>
  <c r="S19" i="99" s="1"/>
  <c r="R18" i="99"/>
  <c r="R19" i="99" s="1"/>
  <c r="Q18" i="99"/>
  <c r="Q19" i="99" s="1"/>
  <c r="P18" i="99"/>
  <c r="O18" i="99"/>
  <c r="O19" i="99" s="1"/>
  <c r="N18" i="99"/>
  <c r="N19" i="99" s="1"/>
  <c r="M18" i="99"/>
  <c r="M19" i="99" s="1"/>
  <c r="L18" i="99"/>
  <c r="L19" i="99" s="1"/>
  <c r="K18" i="99"/>
  <c r="K19" i="99" s="1"/>
  <c r="J18" i="99"/>
  <c r="J19" i="99" s="1"/>
  <c r="I18" i="99"/>
  <c r="I19" i="99" s="1"/>
  <c r="H18" i="99"/>
  <c r="H10" i="99"/>
  <c r="G18" i="99"/>
  <c r="F18" i="99"/>
  <c r="E18" i="99"/>
  <c r="E19" i="99" s="1"/>
  <c r="D18" i="99"/>
  <c r="D19" i="99"/>
  <c r="C18" i="99"/>
  <c r="B18" i="99"/>
  <c r="AD19" i="99"/>
  <c r="AC19" i="99"/>
  <c r="AB19" i="99"/>
  <c r="AA19" i="99"/>
  <c r="Y19" i="99"/>
  <c r="W19" i="99"/>
  <c r="P19" i="99"/>
  <c r="H19" i="99"/>
  <c r="G19" i="99"/>
  <c r="F19" i="99"/>
  <c r="C19" i="99"/>
  <c r="B19" i="99"/>
  <c r="Z18" i="98"/>
  <c r="X18" i="98"/>
  <c r="X19" i="98" s="1"/>
  <c r="W18" i="98"/>
  <c r="W19" i="98" s="1"/>
  <c r="V18" i="98"/>
  <c r="V19" i="98" s="1"/>
  <c r="U18" i="98"/>
  <c r="U19" i="98" s="1"/>
  <c r="T18" i="98"/>
  <c r="T19" i="98" s="1"/>
  <c r="S18" i="98"/>
  <c r="R18" i="98"/>
  <c r="R19" i="98" s="1"/>
  <c r="P18" i="98"/>
  <c r="O18" i="98"/>
  <c r="N18" i="98"/>
  <c r="M18" i="98"/>
  <c r="M10" i="98"/>
  <c r="L18" i="98"/>
  <c r="L19" i="98" s="1"/>
  <c r="K18" i="98"/>
  <c r="K19" i="98" s="1"/>
  <c r="J18" i="98"/>
  <c r="J19" i="98" s="1"/>
  <c r="I18" i="98"/>
  <c r="I19" i="98" s="1"/>
  <c r="H18" i="98"/>
  <c r="H19" i="98" s="1"/>
  <c r="G10" i="98"/>
  <c r="G18" i="98"/>
  <c r="F18" i="98"/>
  <c r="E18" i="98"/>
  <c r="D18" i="98"/>
  <c r="C18" i="98"/>
  <c r="B18" i="98"/>
  <c r="AD19" i="98"/>
  <c r="AC19" i="98"/>
  <c r="AB19" i="98"/>
  <c r="AA19" i="98"/>
  <c r="Z19" i="98"/>
  <c r="Y19" i="98"/>
  <c r="S19" i="98"/>
  <c r="Q19" i="98"/>
  <c r="P19" i="98"/>
  <c r="O19" i="98"/>
  <c r="N19" i="98"/>
  <c r="F19" i="98"/>
  <c r="E19" i="98"/>
  <c r="D19" i="98"/>
  <c r="C19" i="98"/>
  <c r="B19" i="98"/>
  <c r="H18" i="97"/>
  <c r="S18" i="97"/>
  <c r="AD18" i="97"/>
  <c r="AD19" i="97" s="1"/>
  <c r="AC18" i="97"/>
  <c r="AC19" i="97" s="1"/>
  <c r="AB18" i="97"/>
  <c r="AB19" i="97" s="1"/>
  <c r="AB10" i="97"/>
  <c r="AA18" i="97"/>
  <c r="Z18" i="97"/>
  <c r="Y18" i="97"/>
  <c r="X18" i="97"/>
  <c r="W18" i="97"/>
  <c r="V18" i="97"/>
  <c r="U18" i="97"/>
  <c r="T18" i="97"/>
  <c r="S19" i="97"/>
  <c r="R18" i="97"/>
  <c r="Q18" i="97"/>
  <c r="P18" i="97"/>
  <c r="O18" i="97"/>
  <c r="M18" i="97"/>
  <c r="M19" i="97" s="1"/>
  <c r="L18" i="97"/>
  <c r="L19" i="97" s="1"/>
  <c r="K18" i="97"/>
  <c r="K19" i="97" s="1"/>
  <c r="J18" i="97"/>
  <c r="J19" i="97" s="1"/>
  <c r="I18" i="97"/>
  <c r="I19" i="97" s="1"/>
  <c r="H19" i="97"/>
  <c r="F18" i="97"/>
  <c r="E18" i="97"/>
  <c r="D18" i="97"/>
  <c r="C18" i="97"/>
  <c r="B18" i="97"/>
  <c r="AA19" i="97"/>
  <c r="Z19" i="97"/>
  <c r="Y19" i="97"/>
  <c r="X19" i="97"/>
  <c r="W19" i="97"/>
  <c r="V19" i="97"/>
  <c r="U19" i="97"/>
  <c r="T19" i="97"/>
  <c r="R19" i="97"/>
  <c r="Q19" i="97"/>
  <c r="P19" i="97"/>
  <c r="O19" i="97"/>
  <c r="N19" i="97"/>
  <c r="G19" i="97"/>
  <c r="F19" i="97"/>
  <c r="E19" i="97"/>
  <c r="D19" i="97"/>
  <c r="C19" i="97"/>
  <c r="B19" i="97"/>
  <c r="Z18" i="96"/>
  <c r="Z19" i="96" s="1"/>
  <c r="Y18" i="96"/>
  <c r="Y19" i="96" s="1"/>
  <c r="X18" i="96"/>
  <c r="W18" i="96"/>
  <c r="W19" i="96" s="1"/>
  <c r="V18" i="96"/>
  <c r="V19" i="96" s="1"/>
  <c r="U18" i="96"/>
  <c r="U19" i="96" s="1"/>
  <c r="T18" i="96"/>
  <c r="T19" i="96" s="1"/>
  <c r="S18" i="96"/>
  <c r="S19" i="96" s="1"/>
  <c r="R18" i="96"/>
  <c r="R19" i="96" s="1"/>
  <c r="Q18" i="96"/>
  <c r="Q19" i="96" s="1"/>
  <c r="P18" i="96"/>
  <c r="P19" i="96" s="1"/>
  <c r="O18" i="96"/>
  <c r="N18" i="96"/>
  <c r="M18" i="96"/>
  <c r="M19" i="96" s="1"/>
  <c r="L18" i="96"/>
  <c r="L19" i="96" s="1"/>
  <c r="K18" i="96"/>
  <c r="J18" i="96"/>
  <c r="I18" i="96"/>
  <c r="I19" i="96" s="1"/>
  <c r="H18" i="96"/>
  <c r="H19" i="96" s="1"/>
  <c r="G18" i="96"/>
  <c r="G19" i="96" s="1"/>
  <c r="F18" i="96"/>
  <c r="E18" i="96"/>
  <c r="E19" i="96" s="1"/>
  <c r="D18" i="96"/>
  <c r="D19" i="96" s="1"/>
  <c r="C18" i="96"/>
  <c r="B18" i="96"/>
  <c r="B19" i="96" s="1"/>
  <c r="AD19" i="96"/>
  <c r="AC19" i="96"/>
  <c r="AB19" i="96"/>
  <c r="AA19" i="96"/>
  <c r="X19" i="96"/>
  <c r="O19" i="96"/>
  <c r="N19" i="96"/>
  <c r="J19" i="96"/>
  <c r="K19" i="96"/>
  <c r="F19" i="96"/>
  <c r="C19" i="96"/>
  <c r="AD18" i="95"/>
  <c r="AC18" i="95"/>
  <c r="AC19" i="95" s="1"/>
  <c r="AB18" i="95"/>
  <c r="AA18" i="95"/>
  <c r="AA19" i="95" s="1"/>
  <c r="Z18" i="95"/>
  <c r="Y18" i="95"/>
  <c r="Y19" i="95" s="1"/>
  <c r="X18" i="95"/>
  <c r="X19" i="95" s="1"/>
  <c r="W18" i="95"/>
  <c r="W19" i="95" s="1"/>
  <c r="V18" i="95"/>
  <c r="V19" i="95" s="1"/>
  <c r="U18" i="95"/>
  <c r="T19" i="95"/>
  <c r="S18" i="95"/>
  <c r="S19" i="95" s="1"/>
  <c r="R18" i="95"/>
  <c r="Q18" i="95"/>
  <c r="Q19" i="95" s="1"/>
  <c r="P18" i="95"/>
  <c r="P19" i="95" s="1"/>
  <c r="O18" i="95"/>
  <c r="O19" i="95" s="1"/>
  <c r="N18" i="95"/>
  <c r="N19" i="95" s="1"/>
  <c r="M18" i="95"/>
  <c r="M19" i="95" s="1"/>
  <c r="L18" i="95"/>
  <c r="L19" i="95" s="1"/>
  <c r="K18" i="95"/>
  <c r="K19" i="95" s="1"/>
  <c r="J18" i="95"/>
  <c r="I18" i="95"/>
  <c r="I19" i="95" s="1"/>
  <c r="H18" i="95"/>
  <c r="H10" i="95"/>
  <c r="G18" i="95"/>
  <c r="G19" i="95" s="1"/>
  <c r="F10" i="95"/>
  <c r="E18" i="95"/>
  <c r="E19" i="95" s="1"/>
  <c r="F18" i="95"/>
  <c r="C18" i="95"/>
  <c r="C19" i="95" s="1"/>
  <c r="B18" i="95"/>
  <c r="AD19" i="95"/>
  <c r="AB19" i="95"/>
  <c r="Z19" i="95"/>
  <c r="U19" i="95"/>
  <c r="R19" i="95"/>
  <c r="J19" i="95"/>
  <c r="B19" i="95"/>
  <c r="Z18" i="94"/>
  <c r="Y18" i="94"/>
  <c r="X18" i="94"/>
  <c r="W18" i="94"/>
  <c r="W19" i="94" s="1"/>
  <c r="V18" i="94"/>
  <c r="V19" i="94" s="1"/>
  <c r="U18" i="94"/>
  <c r="U19" i="94" s="1"/>
  <c r="T18" i="94"/>
  <c r="S18" i="94"/>
  <c r="R18" i="94"/>
  <c r="Q18" i="94"/>
  <c r="P18" i="94"/>
  <c r="O18" i="94"/>
  <c r="O19" i="94" s="1"/>
  <c r="O10" i="94"/>
  <c r="N18" i="94"/>
  <c r="M18" i="94"/>
  <c r="L18" i="94"/>
  <c r="L19" i="94" s="1"/>
  <c r="K18" i="94"/>
  <c r="J18" i="94"/>
  <c r="I18" i="94"/>
  <c r="H18" i="94"/>
  <c r="G18" i="94"/>
  <c r="G19" i="94" s="1"/>
  <c r="F18" i="94"/>
  <c r="F19" i="94"/>
  <c r="E18" i="94"/>
  <c r="D18" i="94"/>
  <c r="C18" i="94"/>
  <c r="B18" i="94"/>
  <c r="B19" i="94"/>
  <c r="AB19" i="94"/>
  <c r="AD19" i="94"/>
  <c r="AC19" i="94"/>
  <c r="AA19" i="94"/>
  <c r="Z19" i="94"/>
  <c r="Y19" i="94"/>
  <c r="S19" i="94"/>
  <c r="R19" i="94"/>
  <c r="Q19" i="94"/>
  <c r="N19" i="94"/>
  <c r="J19" i="94"/>
  <c r="K19" i="94"/>
  <c r="H19" i="94"/>
  <c r="D19" i="94"/>
  <c r="C19" i="94"/>
  <c r="S18" i="93"/>
  <c r="T18" i="93"/>
  <c r="T19" i="93" s="1"/>
  <c r="AF18" i="93"/>
  <c r="AF19" i="93" s="1"/>
  <c r="AD18" i="93"/>
  <c r="AC18" i="93"/>
  <c r="AB18" i="93"/>
  <c r="AA18" i="93"/>
  <c r="AA19" i="93" s="1"/>
  <c r="Z18" i="93"/>
  <c r="Y18" i="93"/>
  <c r="X18" i="93"/>
  <c r="W19" i="93"/>
  <c r="W18" i="93"/>
  <c r="V18" i="93"/>
  <c r="V19" i="93" s="1"/>
  <c r="U18" i="93"/>
  <c r="U19" i="93" s="1"/>
  <c r="Q18" i="93"/>
  <c r="Q19" i="93" s="1"/>
  <c r="R18" i="93"/>
  <c r="R19" i="93" s="1"/>
  <c r="P18" i="93"/>
  <c r="P19" i="93" s="1"/>
  <c r="N18" i="93"/>
  <c r="N19" i="93" s="1"/>
  <c r="M18" i="93"/>
  <c r="M19" i="93" s="1"/>
  <c r="L18" i="93"/>
  <c r="L19" i="93" s="1"/>
  <c r="K18" i="93"/>
  <c r="K19" i="93" s="1"/>
  <c r="I18" i="93"/>
  <c r="I19" i="93" s="1"/>
  <c r="J19" i="93"/>
  <c r="AE19" i="93"/>
  <c r="AD19" i="93"/>
  <c r="AC19" i="93"/>
  <c r="AB19" i="93"/>
  <c r="Z19" i="93"/>
  <c r="Y19" i="93"/>
  <c r="X19" i="93"/>
  <c r="S19" i="93"/>
  <c r="O19" i="93"/>
  <c r="H19" i="93"/>
  <c r="G19" i="93"/>
  <c r="F19" i="93"/>
  <c r="E19" i="93"/>
  <c r="D19" i="93"/>
  <c r="C19" i="93"/>
  <c r="B19" i="93"/>
  <c r="D19" i="92"/>
  <c r="E19" i="92"/>
  <c r="F19" i="92"/>
  <c r="G19" i="92"/>
  <c r="F18" i="92"/>
  <c r="E18" i="92"/>
  <c r="D18" i="92"/>
  <c r="Z18" i="92"/>
  <c r="Y18" i="92"/>
  <c r="Y19" i="92" s="1"/>
  <c r="X18" i="92"/>
  <c r="W18" i="92"/>
  <c r="V18" i="92"/>
  <c r="V19" i="92" s="1"/>
  <c r="U18" i="92"/>
  <c r="U19" i="92" s="1"/>
  <c r="T18" i="92"/>
  <c r="T10" i="92"/>
  <c r="S18" i="92"/>
  <c r="R18" i="92"/>
  <c r="Q18" i="92"/>
  <c r="P18" i="92"/>
  <c r="O18" i="92"/>
  <c r="O19" i="92" s="1"/>
  <c r="N18" i="92"/>
  <c r="M18" i="92"/>
  <c r="L18" i="92"/>
  <c r="L19" i="92" s="1"/>
  <c r="K18" i="92"/>
  <c r="K19" i="92" s="1"/>
  <c r="J18" i="92"/>
  <c r="J19" i="92" s="1"/>
  <c r="I18" i="92"/>
  <c r="I19" i="92" s="1"/>
  <c r="H18" i="92"/>
  <c r="G18" i="92"/>
  <c r="B18" i="92"/>
  <c r="B19" i="92" s="1"/>
  <c r="C18" i="92"/>
  <c r="AC19" i="92"/>
  <c r="AB19" i="92"/>
  <c r="Z19" i="92"/>
  <c r="R19" i="92"/>
  <c r="Q19" i="92"/>
  <c r="AA18" i="91"/>
  <c r="Z18" i="91"/>
  <c r="Y18" i="91"/>
  <c r="X18" i="91"/>
  <c r="W18" i="91"/>
  <c r="V18" i="91"/>
  <c r="U18" i="91"/>
  <c r="T18" i="91"/>
  <c r="S18" i="91"/>
  <c r="R18" i="91"/>
  <c r="Q18" i="91"/>
  <c r="P18" i="91"/>
  <c r="O18" i="91"/>
  <c r="N18" i="91"/>
  <c r="M18" i="91"/>
  <c r="L18" i="91"/>
  <c r="L19" i="91" s="1"/>
  <c r="K18" i="91"/>
  <c r="K19" i="91" s="1"/>
  <c r="J18" i="91"/>
  <c r="I18" i="91"/>
  <c r="H18" i="91"/>
  <c r="G18" i="91"/>
  <c r="G10" i="91"/>
  <c r="F18" i="91"/>
  <c r="E18" i="91"/>
  <c r="D18" i="91"/>
  <c r="D19" i="91" s="1"/>
  <c r="C18" i="91"/>
  <c r="C19" i="91" s="1"/>
  <c r="AD19" i="91"/>
  <c r="AC19" i="91"/>
  <c r="AA19" i="91"/>
  <c r="Z19" i="91"/>
  <c r="W19" i="91"/>
  <c r="V19" i="91"/>
  <c r="S19" i="91"/>
  <c r="R19" i="91"/>
  <c r="O19" i="91"/>
  <c r="E19" i="91"/>
  <c r="U18" i="90"/>
  <c r="U6" i="90"/>
  <c r="U2" i="90"/>
  <c r="T2" i="90"/>
  <c r="T10" i="90" s="1"/>
  <c r="T19" i="90" s="1"/>
  <c r="S2" i="90"/>
  <c r="R7" i="90"/>
  <c r="R3" i="90"/>
  <c r="R2" i="90"/>
  <c r="J10" i="90"/>
  <c r="Z10" i="90"/>
  <c r="AA10" i="90"/>
  <c r="AA19" i="90" s="1"/>
  <c r="AB10" i="90"/>
  <c r="AB19" i="90" s="1"/>
  <c r="J19" i="90"/>
  <c r="Z19" i="90"/>
  <c r="I10" i="90"/>
  <c r="H10" i="90"/>
  <c r="H19" i="90" s="1"/>
  <c r="Y10" i="90"/>
  <c r="Y19" i="90" s="1"/>
  <c r="X10" i="90"/>
  <c r="X19" i="90" s="1"/>
  <c r="W10" i="90"/>
  <c r="V10" i="90"/>
  <c r="V19" i="90" s="1"/>
  <c r="S10" i="90"/>
  <c r="Q10" i="90"/>
  <c r="Q19" i="90" s="1"/>
  <c r="P10" i="90"/>
  <c r="P19" i="90" s="1"/>
  <c r="M10" i="90"/>
  <c r="L10" i="90"/>
  <c r="L19" i="90" s="1"/>
  <c r="O10" i="90"/>
  <c r="N10" i="90"/>
  <c r="N19" i="90" s="1"/>
  <c r="K10" i="90"/>
  <c r="K19" i="90" s="1"/>
  <c r="G10" i="90"/>
  <c r="G19" i="90" s="1"/>
  <c r="F10" i="90"/>
  <c r="E10" i="90"/>
  <c r="E19" i="90" s="1"/>
  <c r="D10" i="90"/>
  <c r="D19" i="90" s="1"/>
  <c r="C10" i="90"/>
  <c r="C19" i="90" s="1"/>
  <c r="B10" i="90"/>
  <c r="H7" i="89"/>
  <c r="H18" i="89"/>
  <c r="H6" i="89"/>
  <c r="H4" i="89"/>
  <c r="AD10" i="89"/>
  <c r="AC10" i="89"/>
  <c r="AB10" i="89"/>
  <c r="AA10" i="89"/>
  <c r="AA19" i="89" s="1"/>
  <c r="Z10" i="89"/>
  <c r="Y10" i="89"/>
  <c r="X10" i="89"/>
  <c r="W10" i="89"/>
  <c r="V10" i="89"/>
  <c r="U10" i="89"/>
  <c r="T10" i="89"/>
  <c r="S10" i="89"/>
  <c r="R10" i="89"/>
  <c r="Q10" i="89"/>
  <c r="P10" i="89"/>
  <c r="O10" i="89"/>
  <c r="N10" i="89"/>
  <c r="M10" i="89"/>
  <c r="L10" i="89"/>
  <c r="K10" i="89"/>
  <c r="J10" i="89"/>
  <c r="I10" i="89"/>
  <c r="G10" i="89"/>
  <c r="F10" i="89"/>
  <c r="E10" i="89"/>
  <c r="D10" i="89"/>
  <c r="C10" i="89"/>
  <c r="B10" i="89"/>
  <c r="X10" i="88"/>
  <c r="V3" i="88"/>
  <c r="T2" i="88"/>
  <c r="S17" i="88"/>
  <c r="S11" i="88"/>
  <c r="S2" i="88"/>
  <c r="S10" i="88" s="1"/>
  <c r="R11" i="88"/>
  <c r="R6" i="88"/>
  <c r="R3" i="88"/>
  <c r="R2" i="88"/>
  <c r="O10" i="88"/>
  <c r="Y10" i="88"/>
  <c r="Z10" i="88"/>
  <c r="O19" i="88"/>
  <c r="Y19" i="88"/>
  <c r="Z19" i="88"/>
  <c r="Z20" i="88" s="1"/>
  <c r="N19" i="88"/>
  <c r="M19" i="88"/>
  <c r="X19" i="88"/>
  <c r="W19" i="88"/>
  <c r="U19" i="88"/>
  <c r="V19" i="88"/>
  <c r="T19" i="88"/>
  <c r="R19" i="88"/>
  <c r="Q19" i="88"/>
  <c r="P19" i="88"/>
  <c r="L19" i="88"/>
  <c r="K19" i="88"/>
  <c r="J19" i="88"/>
  <c r="I19" i="88"/>
  <c r="H19" i="88"/>
  <c r="G19" i="88"/>
  <c r="F19" i="88"/>
  <c r="E19" i="88"/>
  <c r="D19" i="88"/>
  <c r="C19" i="88"/>
  <c r="B19" i="88"/>
  <c r="N10" i="88"/>
  <c r="M10" i="88"/>
  <c r="W10" i="88"/>
  <c r="U10" i="88"/>
  <c r="V10" i="88"/>
  <c r="T10" i="88"/>
  <c r="Q10" i="88"/>
  <c r="P10" i="88"/>
  <c r="L10" i="88"/>
  <c r="K10" i="88"/>
  <c r="J10" i="88"/>
  <c r="I10" i="88"/>
  <c r="H10" i="88"/>
  <c r="G10" i="88"/>
  <c r="F10" i="88"/>
  <c r="E10" i="88"/>
  <c r="D10" i="88"/>
  <c r="C10" i="88"/>
  <c r="B10" i="88"/>
  <c r="H8" i="87"/>
  <c r="H10" i="87" s="1"/>
  <c r="H16" i="87"/>
  <c r="H14" i="87"/>
  <c r="H18" i="87" s="1"/>
  <c r="AD18" i="87"/>
  <c r="AC18" i="87"/>
  <c r="AB18" i="87"/>
  <c r="AA18" i="87"/>
  <c r="Z18" i="87"/>
  <c r="Y18" i="87"/>
  <c r="X18" i="87"/>
  <c r="W18" i="87"/>
  <c r="V18" i="87"/>
  <c r="U18" i="87"/>
  <c r="T18" i="87"/>
  <c r="S18" i="87"/>
  <c r="R18" i="87"/>
  <c r="Q18" i="87"/>
  <c r="P18" i="87"/>
  <c r="O18" i="87"/>
  <c r="N18" i="87"/>
  <c r="M18" i="87"/>
  <c r="L18" i="87"/>
  <c r="K18" i="87"/>
  <c r="J18" i="87"/>
  <c r="I18" i="87"/>
  <c r="G18" i="87"/>
  <c r="F18" i="87"/>
  <c r="E18" i="87"/>
  <c r="D18" i="87"/>
  <c r="C18" i="87"/>
  <c r="B18" i="87"/>
  <c r="AD10" i="87"/>
  <c r="AC10" i="87"/>
  <c r="AB10" i="87"/>
  <c r="AA10" i="87"/>
  <c r="Z10" i="87"/>
  <c r="Y10" i="87"/>
  <c r="X10" i="87"/>
  <c r="W10" i="87"/>
  <c r="V10" i="87"/>
  <c r="U10" i="87"/>
  <c r="T10" i="87"/>
  <c r="S10" i="87"/>
  <c r="R10" i="87"/>
  <c r="Q10" i="87"/>
  <c r="P10" i="87"/>
  <c r="O10" i="87"/>
  <c r="N10" i="87"/>
  <c r="M10" i="87"/>
  <c r="M19" i="87" s="1"/>
  <c r="L10" i="87"/>
  <c r="K10" i="87"/>
  <c r="J10" i="87"/>
  <c r="I10" i="87"/>
  <c r="G10" i="87"/>
  <c r="F10" i="87"/>
  <c r="E10" i="87"/>
  <c r="D10" i="87"/>
  <c r="D19" i="87" s="1"/>
  <c r="C10" i="87"/>
  <c r="B10" i="87"/>
  <c r="Z18" i="85"/>
  <c r="Y18" i="85"/>
  <c r="X18" i="85"/>
  <c r="W18" i="85"/>
  <c r="V18" i="85"/>
  <c r="U18" i="85"/>
  <c r="T18" i="85"/>
  <c r="S18" i="85"/>
  <c r="R18" i="85"/>
  <c r="Q18" i="85"/>
  <c r="P18" i="85"/>
  <c r="O18" i="85"/>
  <c r="N18" i="85"/>
  <c r="M18" i="85"/>
  <c r="L18" i="85"/>
  <c r="K18" i="85"/>
  <c r="J18" i="85"/>
  <c r="I18" i="85"/>
  <c r="H18" i="85"/>
  <c r="G18" i="85"/>
  <c r="F18" i="85"/>
  <c r="E18" i="85"/>
  <c r="D18" i="85"/>
  <c r="C18" i="85"/>
  <c r="B18" i="85"/>
  <c r="Z10" i="85"/>
  <c r="Y10" i="85"/>
  <c r="X10" i="85"/>
  <c r="W10" i="85"/>
  <c r="W19" i="85" s="1"/>
  <c r="V10" i="85"/>
  <c r="U10" i="85"/>
  <c r="T10" i="85"/>
  <c r="S10" i="85"/>
  <c r="S19" i="85" s="1"/>
  <c r="R10" i="85"/>
  <c r="Q10" i="85"/>
  <c r="P10" i="85"/>
  <c r="O10" i="85"/>
  <c r="O19" i="85" s="1"/>
  <c r="N10" i="85"/>
  <c r="M10" i="85"/>
  <c r="L10" i="85"/>
  <c r="K10" i="85"/>
  <c r="J10" i="85"/>
  <c r="J19" i="85" s="1"/>
  <c r="I10" i="85"/>
  <c r="H10" i="85"/>
  <c r="H19" i="85" s="1"/>
  <c r="G10" i="85"/>
  <c r="F10" i="85"/>
  <c r="E10" i="85"/>
  <c r="D10" i="85"/>
  <c r="C10" i="85"/>
  <c r="B10" i="85"/>
  <c r="B19" i="85" s="1"/>
  <c r="C18" i="84"/>
  <c r="D18" i="84"/>
  <c r="E18" i="84"/>
  <c r="F18" i="84"/>
  <c r="G18" i="84"/>
  <c r="H18" i="84"/>
  <c r="I18" i="84"/>
  <c r="J18" i="84"/>
  <c r="K18" i="84"/>
  <c r="L18" i="84"/>
  <c r="M18" i="84"/>
  <c r="N18" i="84"/>
  <c r="O18" i="84"/>
  <c r="P18" i="84"/>
  <c r="Q18" i="84"/>
  <c r="R18" i="84"/>
  <c r="R19" i="84" s="1"/>
  <c r="S18" i="84"/>
  <c r="T18" i="84"/>
  <c r="U18" i="84"/>
  <c r="E19" i="84"/>
  <c r="K19" i="84"/>
  <c r="D10" i="84"/>
  <c r="E10" i="84"/>
  <c r="F10" i="84"/>
  <c r="G10" i="84"/>
  <c r="G19" i="84" s="1"/>
  <c r="H10" i="84"/>
  <c r="H19" i="84" s="1"/>
  <c r="I10" i="84"/>
  <c r="I19" i="84" s="1"/>
  <c r="J10" i="84"/>
  <c r="K10" i="84"/>
  <c r="L10" i="84"/>
  <c r="L19" i="84" s="1"/>
  <c r="M10" i="84"/>
  <c r="M19" i="84" s="1"/>
  <c r="N10" i="84"/>
  <c r="O10" i="84"/>
  <c r="O19" i="84" s="1"/>
  <c r="P10" i="84"/>
  <c r="P19" i="84" s="1"/>
  <c r="Q10" i="84"/>
  <c r="Q19" i="84" s="1"/>
  <c r="R10" i="84"/>
  <c r="S10" i="84"/>
  <c r="S19" i="84" s="1"/>
  <c r="T10" i="84"/>
  <c r="T19" i="84" s="1"/>
  <c r="U10" i="84"/>
  <c r="U19" i="84" s="1"/>
  <c r="B18" i="84"/>
  <c r="C10" i="84"/>
  <c r="C19" i="84" s="1"/>
  <c r="B10" i="84"/>
  <c r="L10" i="83"/>
  <c r="G10" i="83"/>
  <c r="Z18" i="83"/>
  <c r="Y18" i="83"/>
  <c r="X18" i="83"/>
  <c r="V18" i="83"/>
  <c r="W18" i="83"/>
  <c r="U18" i="83"/>
  <c r="T18" i="83"/>
  <c r="S18" i="83"/>
  <c r="R18" i="83"/>
  <c r="Q18" i="83"/>
  <c r="P18" i="83"/>
  <c r="O18" i="83"/>
  <c r="N18" i="83"/>
  <c r="M18" i="83"/>
  <c r="K18" i="83"/>
  <c r="L18" i="83"/>
  <c r="J18" i="83"/>
  <c r="I18" i="83"/>
  <c r="H18" i="83"/>
  <c r="G18" i="83"/>
  <c r="G19" i="83" s="1"/>
  <c r="F18" i="83"/>
  <c r="E18" i="83"/>
  <c r="D18" i="83"/>
  <c r="C18" i="83"/>
  <c r="B18" i="83"/>
  <c r="Z10" i="83"/>
  <c r="Y10" i="83"/>
  <c r="X10" i="83"/>
  <c r="V10" i="83"/>
  <c r="W10" i="83"/>
  <c r="U10" i="83"/>
  <c r="T10" i="83"/>
  <c r="S10" i="83"/>
  <c r="R10" i="83"/>
  <c r="Q10" i="83"/>
  <c r="P10" i="83"/>
  <c r="O10" i="83"/>
  <c r="N10" i="83"/>
  <c r="M10" i="83"/>
  <c r="K10" i="83"/>
  <c r="J10" i="83"/>
  <c r="J19" i="83" s="1"/>
  <c r="I10" i="83"/>
  <c r="I19" i="83" s="1"/>
  <c r="H10" i="83"/>
  <c r="F10" i="83"/>
  <c r="E10" i="83"/>
  <c r="E19" i="83" s="1"/>
  <c r="D10" i="83"/>
  <c r="D19" i="83" s="1"/>
  <c r="C10" i="83"/>
  <c r="B10" i="83"/>
  <c r="B19" i="83" s="1"/>
  <c r="E19" i="82"/>
  <c r="F19" i="82"/>
  <c r="U19" i="82"/>
  <c r="O19" i="82"/>
  <c r="R19" i="82"/>
  <c r="S19" i="82"/>
  <c r="Q19" i="82"/>
  <c r="P19" i="82"/>
  <c r="N19" i="82"/>
  <c r="M19" i="82"/>
  <c r="L19" i="82"/>
  <c r="K19" i="82"/>
  <c r="J19" i="82"/>
  <c r="I19" i="82"/>
  <c r="H19" i="82"/>
  <c r="C19" i="82"/>
  <c r="G19" i="82"/>
  <c r="D19" i="82"/>
  <c r="B19" i="82"/>
  <c r="U10" i="82"/>
  <c r="T10" i="82"/>
  <c r="O10" i="82"/>
  <c r="R10" i="82"/>
  <c r="S10" i="82"/>
  <c r="Q10" i="82"/>
  <c r="P10" i="82"/>
  <c r="N10" i="82"/>
  <c r="M10" i="82"/>
  <c r="L10" i="82"/>
  <c r="K10" i="82"/>
  <c r="J10" i="82"/>
  <c r="I10" i="82"/>
  <c r="H10" i="82"/>
  <c r="C10" i="82"/>
  <c r="G10" i="82"/>
  <c r="F10" i="82"/>
  <c r="E10" i="82"/>
  <c r="D10" i="82"/>
  <c r="B10" i="82"/>
  <c r="BS23" i="174" l="1"/>
  <c r="BN22" i="174"/>
  <c r="AX22" i="174"/>
  <c r="AH22" i="174"/>
  <c r="BD9" i="174"/>
  <c r="BM9" i="174"/>
  <c r="AM9" i="174"/>
  <c r="AV9" i="174"/>
  <c r="BE9" i="174"/>
  <c r="BL23" i="174"/>
  <c r="BN23" i="174"/>
  <c r="AI9" i="174"/>
  <c r="AR9" i="174"/>
  <c r="BA9" i="174"/>
  <c r="BP9" i="174"/>
  <c r="AJ9" i="174"/>
  <c r="BP23" i="174"/>
  <c r="AY23" i="174"/>
  <c r="AY9" i="174"/>
  <c r="BS9" i="174"/>
  <c r="AW9" i="174"/>
  <c r="BL9" i="174"/>
  <c r="AQ9" i="174"/>
  <c r="BK9" i="174"/>
  <c r="AO9" i="174"/>
  <c r="AR23" i="174"/>
  <c r="AL23" i="174"/>
  <c r="AM26" i="174"/>
  <c r="AR85" i="119"/>
  <c r="AR72" i="119"/>
  <c r="AZ23" i="174"/>
  <c r="BG23" i="174"/>
  <c r="BJ23" i="174"/>
  <c r="AS23" i="174"/>
  <c r="AK16" i="174"/>
  <c r="BR23" i="174"/>
  <c r="BU23" i="174"/>
  <c r="BH23" i="174"/>
  <c r="AJ23" i="174"/>
  <c r="AQ23" i="174"/>
  <c r="AT23" i="174"/>
  <c r="AW23" i="174"/>
  <c r="AN17" i="174"/>
  <c r="AS8" i="174"/>
  <c r="AK8" i="174"/>
  <c r="AQ16" i="174"/>
  <c r="BI8" i="174"/>
  <c r="BE16" i="174"/>
  <c r="BK26" i="174"/>
  <c r="BO23" i="174"/>
  <c r="AM23" i="174"/>
  <c r="AX23" i="174"/>
  <c r="BM23" i="174"/>
  <c r="AO23" i="174"/>
  <c r="AZ8" i="174"/>
  <c r="BF8" i="174"/>
  <c r="BH17" i="174"/>
  <c r="AP17" i="174"/>
  <c r="AX8" i="174"/>
  <c r="AT8" i="174"/>
  <c r="BQ8" i="174"/>
  <c r="BQ16" i="174"/>
  <c r="BT17" i="174"/>
  <c r="BB26" i="174"/>
  <c r="BC23" i="174"/>
  <c r="AI23" i="174"/>
  <c r="BB23" i="174"/>
  <c r="AH23" i="174"/>
  <c r="BE23" i="174"/>
  <c r="AN8" i="174"/>
  <c r="BN8" i="174"/>
  <c r="BE8" i="174"/>
  <c r="AV8" i="174"/>
  <c r="AW16" i="174"/>
  <c r="AV17" i="174"/>
  <c r="AY26" i="174"/>
  <c r="BB8" i="174"/>
  <c r="BG16" i="174"/>
  <c r="BA8" i="174"/>
  <c r="BA16" i="174"/>
  <c r="BU16" i="174"/>
  <c r="BD17" i="174"/>
  <c r="AI26" i="174"/>
  <c r="BC26" i="174"/>
  <c r="AR8" i="174"/>
  <c r="AY16" i="174"/>
  <c r="BT23" i="174"/>
  <c r="BD23" i="174"/>
  <c r="AN23" i="174"/>
  <c r="BK23" i="174"/>
  <c r="AU23" i="174"/>
  <c r="BF23" i="174"/>
  <c r="AP23" i="174"/>
  <c r="BQ23" i="174"/>
  <c r="BA23" i="174"/>
  <c r="AK23" i="174"/>
  <c r="BD8" i="174"/>
  <c r="AO8" i="174"/>
  <c r="BJ8" i="174"/>
  <c r="AP8" i="174"/>
  <c r="BL8" i="174"/>
  <c r="AO16" i="174"/>
  <c r="BM16" i="174"/>
  <c r="AR17" i="174"/>
  <c r="BL17" i="174"/>
  <c r="AU26" i="174"/>
  <c r="BS26" i="174"/>
  <c r="AM16" i="174"/>
  <c r="BK17" i="174"/>
  <c r="AV26" i="174"/>
  <c r="BO26" i="174"/>
  <c r="AL8" i="174"/>
  <c r="BP8" i="174"/>
  <c r="AT16" i="174"/>
  <c r="BA17" i="174"/>
  <c r="BM26" i="174"/>
  <c r="AH26" i="174"/>
  <c r="BJ17" i="174"/>
  <c r="AS16" i="174"/>
  <c r="BI16" i="174"/>
  <c r="AJ17" i="174"/>
  <c r="AZ17" i="174"/>
  <c r="BP17" i="174"/>
  <c r="AQ26" i="174"/>
  <c r="BG26" i="174"/>
  <c r="AL16" i="174"/>
  <c r="AX16" i="174"/>
  <c r="BO16" i="174"/>
  <c r="AR26" i="174"/>
  <c r="BS16" i="174"/>
  <c r="BH16" i="174"/>
  <c r="BF16" i="174"/>
  <c r="AT17" i="174"/>
  <c r="BC16" i="174"/>
  <c r="AZ26" i="174"/>
  <c r="BE26" i="174"/>
  <c r="AP16" i="174"/>
  <c r="AQ17" i="174"/>
  <c r="BU26" i="174"/>
  <c r="AX26" i="174"/>
  <c r="BU8" i="174"/>
  <c r="AH16" i="174"/>
  <c r="AN16" i="174"/>
  <c r="BT16" i="174"/>
  <c r="BQ17" i="174"/>
  <c r="BJ26" i="174"/>
  <c r="BE17" i="174"/>
  <c r="BU17" i="174"/>
  <c r="BR8" i="174"/>
  <c r="BJ16" i="174"/>
  <c r="AU17" i="174"/>
  <c r="AJ16" i="174"/>
  <c r="BI17" i="174"/>
  <c r="AH17" i="174"/>
  <c r="AX17" i="174"/>
  <c r="BR16" i="174"/>
  <c r="BT26" i="174"/>
  <c r="AS26" i="174"/>
  <c r="AI17" i="174"/>
  <c r="BR17" i="174"/>
  <c r="BC17" i="174"/>
  <c r="AT26" i="174"/>
  <c r="AR41" i="119"/>
  <c r="AR32" i="119"/>
  <c r="AW26" i="174"/>
  <c r="BR26" i="174"/>
  <c r="AV16" i="174"/>
  <c r="AL17" i="174"/>
  <c r="BN16" i="174"/>
  <c r="BB17" i="174"/>
  <c r="AO26" i="174"/>
  <c r="BQ26" i="174"/>
  <c r="BB16" i="174"/>
  <c r="AU16" i="174"/>
  <c r="BN17" i="174"/>
  <c r="BG17" i="174"/>
  <c r="AY17" i="174"/>
  <c r="AS17" i="174"/>
  <c r="AP26" i="174"/>
  <c r="AJ26" i="174"/>
  <c r="BT8" i="174"/>
  <c r="AN26" i="174"/>
  <c r="BH8" i="174"/>
  <c r="AK26" i="174"/>
  <c r="BM8" i="174"/>
  <c r="AW8" i="174"/>
  <c r="AR16" i="174"/>
  <c r="AI16" i="174"/>
  <c r="BD16" i="174"/>
  <c r="AK17" i="174"/>
  <c r="BF17" i="174"/>
  <c r="AL26" i="174"/>
  <c r="BH26" i="174"/>
  <c r="AH8" i="174"/>
  <c r="BL16" i="174"/>
  <c r="AZ16" i="174"/>
  <c r="AM17" i="174"/>
  <c r="BO17" i="174"/>
  <c r="BD26" i="174"/>
  <c r="BP16" i="174"/>
  <c r="AW17" i="174"/>
  <c r="AO17" i="174"/>
  <c r="BK16" i="174"/>
  <c r="BS17" i="174"/>
  <c r="BM17" i="174"/>
  <c r="BI26" i="174"/>
  <c r="BF26" i="174"/>
  <c r="BL26" i="174"/>
  <c r="BN26" i="174"/>
  <c r="AR49" i="119"/>
  <c r="AR100" i="119"/>
  <c r="AR4" i="119"/>
  <c r="AK14" i="174"/>
  <c r="AJ7" i="174"/>
  <c r="AR66" i="119"/>
  <c r="AR69" i="119"/>
  <c r="AR15" i="119"/>
  <c r="AR50" i="119"/>
  <c r="AJ11" i="174"/>
  <c r="AR63" i="119"/>
  <c r="BU27" i="174"/>
  <c r="AS10" i="174"/>
  <c r="AQ12" i="174"/>
  <c r="AR40" i="119"/>
  <c r="AR92" i="119"/>
  <c r="AR65" i="119"/>
  <c r="AP13" i="174"/>
  <c r="AL6" i="174"/>
  <c r="AR73" i="119"/>
  <c r="AR82" i="119"/>
  <c r="AR64" i="119"/>
  <c r="AR84" i="119"/>
  <c r="AR43" i="119"/>
  <c r="AR60" i="119"/>
  <c r="AR148" i="119"/>
  <c r="AR154" i="119"/>
  <c r="AR162" i="119"/>
  <c r="AR144" i="119"/>
  <c r="AR113" i="119"/>
  <c r="AR151" i="119"/>
  <c r="AR160" i="119"/>
  <c r="AR139" i="119"/>
  <c r="AR97" i="119"/>
  <c r="AR103" i="119"/>
  <c r="AO14" i="174"/>
  <c r="BN13" i="174"/>
  <c r="AX13" i="174"/>
  <c r="AH13" i="174"/>
  <c r="BG12" i="174"/>
  <c r="BP11" i="174"/>
  <c r="AZ11" i="174"/>
  <c r="BI10" i="174"/>
  <c r="BT7" i="174"/>
  <c r="BD7" i="174"/>
  <c r="AN7" i="174"/>
  <c r="BM6" i="174"/>
  <c r="AW6" i="174"/>
  <c r="AJ6" i="174"/>
  <c r="AY6" i="174"/>
  <c r="AI6" i="174"/>
  <c r="AT6" i="174"/>
  <c r="BM27" i="174"/>
  <c r="BA27" i="174"/>
  <c r="BH27" i="174"/>
  <c r="AR27" i="174"/>
  <c r="BO27" i="174"/>
  <c r="AY27" i="174"/>
  <c r="AI27" i="174"/>
  <c r="BF27" i="174"/>
  <c r="AP27" i="174"/>
  <c r="AK18" i="174"/>
  <c r="AO18" i="174"/>
  <c r="AS18" i="174"/>
  <c r="AW18" i="174"/>
  <c r="BA18" i="174"/>
  <c r="BE18" i="174"/>
  <c r="BI18" i="174"/>
  <c r="BM18" i="174"/>
  <c r="BQ18" i="174"/>
  <c r="BU18" i="174"/>
  <c r="AH18" i="174"/>
  <c r="AL18" i="174"/>
  <c r="AP18" i="174"/>
  <c r="AT18" i="174"/>
  <c r="AX18" i="174"/>
  <c r="BB18" i="174"/>
  <c r="BF18" i="174"/>
  <c r="BJ18" i="174"/>
  <c r="BN18" i="174"/>
  <c r="BR18" i="174"/>
  <c r="AI18" i="174"/>
  <c r="AM18" i="174"/>
  <c r="AQ18" i="174"/>
  <c r="AU18" i="174"/>
  <c r="AY18" i="174"/>
  <c r="AV18" i="174"/>
  <c r="BG18" i="174"/>
  <c r="BO18" i="174"/>
  <c r="AJ18" i="174"/>
  <c r="AZ18" i="174"/>
  <c r="BH18" i="174"/>
  <c r="BP18" i="174"/>
  <c r="AN18" i="174"/>
  <c r="BC18" i="174"/>
  <c r="BK18" i="174"/>
  <c r="BS18" i="174"/>
  <c r="AR18" i="174"/>
  <c r="BD18" i="174"/>
  <c r="BL18" i="174"/>
  <c r="BT18" i="174"/>
  <c r="AH11" i="174"/>
  <c r="AM11" i="174"/>
  <c r="AS11" i="174"/>
  <c r="AX11" i="174"/>
  <c r="BC11" i="174"/>
  <c r="BI11" i="174"/>
  <c r="BN11" i="174"/>
  <c r="BS11" i="174"/>
  <c r="AI11" i="174"/>
  <c r="AO11" i="174"/>
  <c r="AT11" i="174"/>
  <c r="AY11" i="174"/>
  <c r="BE11" i="174"/>
  <c r="BJ11" i="174"/>
  <c r="BO11" i="174"/>
  <c r="BU11" i="174"/>
  <c r="AK11" i="174"/>
  <c r="AP11" i="174"/>
  <c r="AU11" i="174"/>
  <c r="BA11" i="174"/>
  <c r="BF11" i="174"/>
  <c r="BK11" i="174"/>
  <c r="BQ11" i="174"/>
  <c r="AL11" i="174"/>
  <c r="AQ11" i="174"/>
  <c r="AW11" i="174"/>
  <c r="BB11" i="174"/>
  <c r="BG11" i="174"/>
  <c r="BM11" i="174"/>
  <c r="BR11" i="174"/>
  <c r="AR59" i="119"/>
  <c r="AR122" i="119"/>
  <c r="AJ15" i="174"/>
  <c r="AN15" i="174"/>
  <c r="AR15" i="174"/>
  <c r="AV15" i="174"/>
  <c r="AZ15" i="174"/>
  <c r="BD15" i="174"/>
  <c r="BH15" i="174"/>
  <c r="BL15" i="174"/>
  <c r="BP15" i="174"/>
  <c r="BT15" i="174"/>
  <c r="AK15" i="174"/>
  <c r="AO15" i="174"/>
  <c r="AS15" i="174"/>
  <c r="AW15" i="174"/>
  <c r="BA15" i="174"/>
  <c r="BE15" i="174"/>
  <c r="BI15" i="174"/>
  <c r="BM15" i="174"/>
  <c r="BQ15" i="174"/>
  <c r="BU15" i="174"/>
  <c r="AH15" i="174"/>
  <c r="AL15" i="174"/>
  <c r="AP15" i="174"/>
  <c r="AT15" i="174"/>
  <c r="AX15" i="174"/>
  <c r="BB15" i="174"/>
  <c r="BF15" i="174"/>
  <c r="BJ15" i="174"/>
  <c r="BN15" i="174"/>
  <c r="BR15" i="174"/>
  <c r="AI15" i="174"/>
  <c r="AM15" i="174"/>
  <c r="AQ15" i="174"/>
  <c r="AU15" i="174"/>
  <c r="AY15" i="174"/>
  <c r="BC15" i="174"/>
  <c r="BG15" i="174"/>
  <c r="BK15" i="174"/>
  <c r="BO15" i="174"/>
  <c r="BS15" i="174"/>
  <c r="AL10" i="174"/>
  <c r="AQ10" i="174"/>
  <c r="AV10" i="174"/>
  <c r="BB10" i="174"/>
  <c r="BG10" i="174"/>
  <c r="BL10" i="174"/>
  <c r="BR10" i="174"/>
  <c r="AH10" i="174"/>
  <c r="AM10" i="174"/>
  <c r="AR10" i="174"/>
  <c r="AX10" i="174"/>
  <c r="BC10" i="174"/>
  <c r="BH10" i="174"/>
  <c r="BN10" i="174"/>
  <c r="BS10" i="174"/>
  <c r="AI10" i="174"/>
  <c r="AN10" i="174"/>
  <c r="AT10" i="174"/>
  <c r="AY10" i="174"/>
  <c r="BD10" i="174"/>
  <c r="BJ10" i="174"/>
  <c r="BO10" i="174"/>
  <c r="BT10" i="174"/>
  <c r="AJ10" i="174"/>
  <c r="AP10" i="174"/>
  <c r="AU10" i="174"/>
  <c r="AZ10" i="174"/>
  <c r="BF10" i="174"/>
  <c r="BK10" i="174"/>
  <c r="BP10" i="174"/>
  <c r="AJ12" i="174"/>
  <c r="AO12" i="174"/>
  <c r="AT12" i="174"/>
  <c r="AZ12" i="174"/>
  <c r="BE12" i="174"/>
  <c r="BJ12" i="174"/>
  <c r="BP12" i="174"/>
  <c r="BU12" i="174"/>
  <c r="AK12" i="174"/>
  <c r="AP12" i="174"/>
  <c r="AV12" i="174"/>
  <c r="BA12" i="174"/>
  <c r="BF12" i="174"/>
  <c r="BL12" i="174"/>
  <c r="BQ12" i="174"/>
  <c r="AL12" i="174"/>
  <c r="AR12" i="174"/>
  <c r="AW12" i="174"/>
  <c r="BB12" i="174"/>
  <c r="BH12" i="174"/>
  <c r="BM12" i="174"/>
  <c r="BR12" i="174"/>
  <c r="AH12" i="174"/>
  <c r="AN12" i="174"/>
  <c r="AS12" i="174"/>
  <c r="AX12" i="174"/>
  <c r="BD12" i="174"/>
  <c r="BI12" i="174"/>
  <c r="BN12" i="174"/>
  <c r="BT12" i="174"/>
  <c r="BJ13" i="174"/>
  <c r="AT13" i="174"/>
  <c r="BS12" i="174"/>
  <c r="BC12" i="174"/>
  <c r="AM12" i="174"/>
  <c r="BL11" i="174"/>
  <c r="AV11" i="174"/>
  <c r="BU10" i="174"/>
  <c r="BE10" i="174"/>
  <c r="AO10" i="174"/>
  <c r="BP7" i="174"/>
  <c r="AZ7" i="174"/>
  <c r="BI6" i="174"/>
  <c r="AS6" i="174"/>
  <c r="BK6" i="174"/>
  <c r="AU6" i="174"/>
  <c r="BF6" i="174"/>
  <c r="AP6" i="174"/>
  <c r="BQ27" i="174"/>
  <c r="BT27" i="174"/>
  <c r="BD27" i="174"/>
  <c r="AN27" i="174"/>
  <c r="BK27" i="174"/>
  <c r="AU27" i="174"/>
  <c r="BR27" i="174"/>
  <c r="BB27" i="174"/>
  <c r="AL27" i="174"/>
  <c r="AR90" i="119"/>
  <c r="AR11" i="119"/>
  <c r="AR58" i="119"/>
  <c r="AI21" i="174"/>
  <c r="AM21" i="174"/>
  <c r="AQ21" i="174"/>
  <c r="AU21" i="174"/>
  <c r="AY21" i="174"/>
  <c r="BC21" i="174"/>
  <c r="BG21" i="174"/>
  <c r="BK21" i="174"/>
  <c r="BO21" i="174"/>
  <c r="BS21" i="174"/>
  <c r="AJ21" i="174"/>
  <c r="AN21" i="174"/>
  <c r="AR21" i="174"/>
  <c r="AV21" i="174"/>
  <c r="AZ21" i="174"/>
  <c r="BD21" i="174"/>
  <c r="BH21" i="174"/>
  <c r="BL21" i="174"/>
  <c r="BP21" i="174"/>
  <c r="BT21" i="174"/>
  <c r="AK21" i="174"/>
  <c r="AO21" i="174"/>
  <c r="AS21" i="174"/>
  <c r="AW21" i="174"/>
  <c r="BA21" i="174"/>
  <c r="BE21" i="174"/>
  <c r="BI21" i="174"/>
  <c r="BM21" i="174"/>
  <c r="BQ21" i="174"/>
  <c r="BU21" i="174"/>
  <c r="AH21" i="174"/>
  <c r="AL21" i="174"/>
  <c r="AP21" i="174"/>
  <c r="AT21" i="174"/>
  <c r="AX21" i="174"/>
  <c r="BB21" i="174"/>
  <c r="BF21" i="174"/>
  <c r="BJ21" i="174"/>
  <c r="BN21" i="174"/>
  <c r="BR21" i="174"/>
  <c r="AH14" i="174"/>
  <c r="AM14" i="174"/>
  <c r="AR14" i="174"/>
  <c r="AW14" i="174"/>
  <c r="BA14" i="174"/>
  <c r="BE14" i="174"/>
  <c r="BI14" i="174"/>
  <c r="BM14" i="174"/>
  <c r="BQ14" i="174"/>
  <c r="BU14" i="174"/>
  <c r="AI14" i="174"/>
  <c r="AN14" i="174"/>
  <c r="AT14" i="174"/>
  <c r="AX14" i="174"/>
  <c r="BB14" i="174"/>
  <c r="BF14" i="174"/>
  <c r="BJ14" i="174"/>
  <c r="BN14" i="174"/>
  <c r="BR14" i="174"/>
  <c r="AJ14" i="174"/>
  <c r="AP14" i="174"/>
  <c r="AU14" i="174"/>
  <c r="AY14" i="174"/>
  <c r="BC14" i="174"/>
  <c r="BG14" i="174"/>
  <c r="BK14" i="174"/>
  <c r="BO14" i="174"/>
  <c r="BS14" i="174"/>
  <c r="AL14" i="174"/>
  <c r="AQ14" i="174"/>
  <c r="AV14" i="174"/>
  <c r="AZ14" i="174"/>
  <c r="BD14" i="174"/>
  <c r="BH14" i="174"/>
  <c r="BL14" i="174"/>
  <c r="BP14" i="174"/>
  <c r="BT14" i="174"/>
  <c r="AL7" i="174"/>
  <c r="AQ7" i="174"/>
  <c r="AW7" i="174"/>
  <c r="BB7" i="174"/>
  <c r="BG7" i="174"/>
  <c r="BM7" i="174"/>
  <c r="BR7" i="174"/>
  <c r="AH7" i="174"/>
  <c r="AM7" i="174"/>
  <c r="AS7" i="174"/>
  <c r="AX7" i="174"/>
  <c r="BC7" i="174"/>
  <c r="BI7" i="174"/>
  <c r="BN7" i="174"/>
  <c r="BS7" i="174"/>
  <c r="AI7" i="174"/>
  <c r="AO7" i="174"/>
  <c r="AT7" i="174"/>
  <c r="AY7" i="174"/>
  <c r="BE7" i="174"/>
  <c r="BJ7" i="174"/>
  <c r="BO7" i="174"/>
  <c r="BU7" i="174"/>
  <c r="AK7" i="174"/>
  <c r="AP7" i="174"/>
  <c r="AU7" i="174"/>
  <c r="BA7" i="174"/>
  <c r="BF7" i="174"/>
  <c r="BK7" i="174"/>
  <c r="BQ7" i="174"/>
  <c r="AR133" i="119"/>
  <c r="AR161" i="119"/>
  <c r="AJ20" i="174"/>
  <c r="AN20" i="174"/>
  <c r="AR20" i="174"/>
  <c r="AV20" i="174"/>
  <c r="AZ20" i="174"/>
  <c r="BD20" i="174"/>
  <c r="BH20" i="174"/>
  <c r="BL20" i="174"/>
  <c r="BP20" i="174"/>
  <c r="BT20" i="174"/>
  <c r="AK20" i="174"/>
  <c r="AO20" i="174"/>
  <c r="AS20" i="174"/>
  <c r="AW20" i="174"/>
  <c r="BA20" i="174"/>
  <c r="BE20" i="174"/>
  <c r="BI20" i="174"/>
  <c r="BM20" i="174"/>
  <c r="BQ20" i="174"/>
  <c r="BU20" i="174"/>
  <c r="AH20" i="174"/>
  <c r="AL20" i="174"/>
  <c r="AP20" i="174"/>
  <c r="AT20" i="174"/>
  <c r="AX20" i="174"/>
  <c r="BB20" i="174"/>
  <c r="BF20" i="174"/>
  <c r="BJ20" i="174"/>
  <c r="BN20" i="174"/>
  <c r="BR20" i="174"/>
  <c r="AI20" i="174"/>
  <c r="AM20" i="174"/>
  <c r="AQ20" i="174"/>
  <c r="AU20" i="174"/>
  <c r="AY20" i="174"/>
  <c r="BC20" i="174"/>
  <c r="BG20" i="174"/>
  <c r="BK20" i="174"/>
  <c r="BO20" i="174"/>
  <c r="BS20" i="174"/>
  <c r="AS27" i="174"/>
  <c r="BF13" i="174"/>
  <c r="BO12" i="174"/>
  <c r="AY12" i="174"/>
  <c r="AI12" i="174"/>
  <c r="BH11" i="174"/>
  <c r="AR11" i="174"/>
  <c r="BQ10" i="174"/>
  <c r="BA10" i="174"/>
  <c r="AK10" i="174"/>
  <c r="BL7" i="174"/>
  <c r="AV7" i="174"/>
  <c r="BU6" i="174"/>
  <c r="BE6" i="174"/>
  <c r="AO6" i="174"/>
  <c r="BG6" i="174"/>
  <c r="AQ6" i="174"/>
  <c r="BB6" i="174"/>
  <c r="BP27" i="174"/>
  <c r="AZ27" i="174"/>
  <c r="AJ27" i="174"/>
  <c r="BG27" i="174"/>
  <c r="AQ27" i="174"/>
  <c r="BN27" i="174"/>
  <c r="AX27" i="174"/>
  <c r="AH27" i="174"/>
  <c r="AR61" i="119"/>
  <c r="AJ19" i="174"/>
  <c r="AN19" i="174"/>
  <c r="AR19" i="174"/>
  <c r="AV19" i="174"/>
  <c r="AZ19" i="174"/>
  <c r="BD19" i="174"/>
  <c r="AK19" i="174"/>
  <c r="AH19" i="174"/>
  <c r="AO19" i="174"/>
  <c r="AT19" i="174"/>
  <c r="AY19" i="174"/>
  <c r="BE19" i="174"/>
  <c r="BI19" i="174"/>
  <c r="BM19" i="174"/>
  <c r="BQ19" i="174"/>
  <c r="BU19" i="174"/>
  <c r="AI19" i="174"/>
  <c r="AP19" i="174"/>
  <c r="AU19" i="174"/>
  <c r="BA19" i="174"/>
  <c r="BF19" i="174"/>
  <c r="BJ19" i="174"/>
  <c r="BN19" i="174"/>
  <c r="BR19" i="174"/>
  <c r="AL19" i="174"/>
  <c r="AQ19" i="174"/>
  <c r="AW19" i="174"/>
  <c r="BB19" i="174"/>
  <c r="BG19" i="174"/>
  <c r="BK19" i="174"/>
  <c r="BO19" i="174"/>
  <c r="BS19" i="174"/>
  <c r="AM19" i="174"/>
  <c r="AS19" i="174"/>
  <c r="AX19" i="174"/>
  <c r="BC19" i="174"/>
  <c r="BH19" i="174"/>
  <c r="BL19" i="174"/>
  <c r="BP19" i="174"/>
  <c r="BT19" i="174"/>
  <c r="AK13" i="174"/>
  <c r="AQ13" i="174"/>
  <c r="AV13" i="174"/>
  <c r="BA13" i="174"/>
  <c r="BG13" i="174"/>
  <c r="BL13" i="174"/>
  <c r="BQ13" i="174"/>
  <c r="AM13" i="174"/>
  <c r="AR13" i="174"/>
  <c r="AW13" i="174"/>
  <c r="BC13" i="174"/>
  <c r="BH13" i="174"/>
  <c r="BM13" i="174"/>
  <c r="BS13" i="174"/>
  <c r="AI13" i="174"/>
  <c r="AN13" i="174"/>
  <c r="AS13" i="174"/>
  <c r="AY13" i="174"/>
  <c r="BD13" i="174"/>
  <c r="BI13" i="174"/>
  <c r="BO13" i="174"/>
  <c r="BT13" i="174"/>
  <c r="AJ13" i="174"/>
  <c r="AO13" i="174"/>
  <c r="AU13" i="174"/>
  <c r="AZ13" i="174"/>
  <c r="BE13" i="174"/>
  <c r="BK13" i="174"/>
  <c r="BP13" i="174"/>
  <c r="BU13" i="174"/>
  <c r="BJ6" i="174"/>
  <c r="BO6" i="174"/>
  <c r="AN6" i="174"/>
  <c r="BD6" i="174"/>
  <c r="BP6" i="174"/>
  <c r="AR6" i="174"/>
  <c r="BH6" i="174"/>
  <c r="BR6" i="174"/>
  <c r="AV6" i="174"/>
  <c r="BL6" i="174"/>
  <c r="BS6" i="174"/>
  <c r="AZ6" i="174"/>
  <c r="BN6" i="174"/>
  <c r="BT6" i="174"/>
  <c r="AR146" i="119"/>
  <c r="AR156" i="119"/>
  <c r="BI27" i="174"/>
  <c r="AS14" i="174"/>
  <c r="BR13" i="174"/>
  <c r="BB13" i="174"/>
  <c r="AL13" i="174"/>
  <c r="BK12" i="174"/>
  <c r="AU12" i="174"/>
  <c r="BT11" i="174"/>
  <c r="BD11" i="174"/>
  <c r="AN11" i="174"/>
  <c r="BM10" i="174"/>
  <c r="AW10" i="174"/>
  <c r="BH7" i="174"/>
  <c r="AR7" i="174"/>
  <c r="BQ6" i="174"/>
  <c r="BA6" i="174"/>
  <c r="AK6" i="174"/>
  <c r="BC6" i="174"/>
  <c r="AM6" i="174"/>
  <c r="AX6" i="174"/>
  <c r="AH6" i="174"/>
  <c r="AW27" i="174"/>
  <c r="AK27" i="174"/>
  <c r="BL27" i="174"/>
  <c r="AV27" i="174"/>
  <c r="BS27" i="174"/>
  <c r="BC27" i="174"/>
  <c r="AM27" i="174"/>
  <c r="BJ27" i="174"/>
  <c r="AT27" i="174"/>
  <c r="BE27" i="174"/>
  <c r="AO27" i="174"/>
  <c r="AR91" i="119"/>
  <c r="AR24" i="119"/>
  <c r="AR23" i="119"/>
  <c r="AR20" i="119"/>
  <c r="AR102" i="119"/>
  <c r="AR48" i="119"/>
  <c r="AR44" i="119"/>
  <c r="AR47" i="119"/>
  <c r="AR10" i="119"/>
  <c r="AR150" i="119"/>
  <c r="AR169" i="119"/>
  <c r="AR124" i="119"/>
  <c r="AR158" i="119"/>
  <c r="AR14" i="119"/>
  <c r="AR105" i="119"/>
  <c r="AR28" i="119"/>
  <c r="AR30" i="119"/>
  <c r="AR5" i="119"/>
  <c r="AR29" i="119"/>
  <c r="AR83" i="119"/>
  <c r="AR67" i="119"/>
  <c r="AR62" i="119"/>
  <c r="AR53" i="119"/>
  <c r="AR79" i="119"/>
  <c r="AR12" i="119"/>
  <c r="AR131" i="119"/>
  <c r="AR163" i="119"/>
  <c r="AR128" i="119"/>
  <c r="AR168" i="119"/>
  <c r="AR112" i="119"/>
  <c r="AR118" i="119"/>
  <c r="AR141" i="119"/>
  <c r="AR46" i="119"/>
  <c r="AR77" i="119"/>
  <c r="AR54" i="119"/>
  <c r="AR26" i="119"/>
  <c r="AR70" i="119"/>
  <c r="AR68" i="119"/>
  <c r="AR95" i="119"/>
  <c r="AR129" i="119"/>
  <c r="AR167" i="119"/>
  <c r="AR157" i="119"/>
  <c r="AR114" i="119"/>
  <c r="AR159" i="119"/>
  <c r="AR76" i="119"/>
  <c r="AR27" i="119"/>
  <c r="AU49" i="119"/>
  <c r="AK46" i="119"/>
  <c r="AF43" i="119"/>
  <c r="AV48" i="119"/>
  <c r="AI44" i="119"/>
  <c r="AN47" i="119"/>
  <c r="BE46" i="119"/>
  <c r="AN46" i="119"/>
  <c r="BP46" i="119"/>
  <c r="AZ46" i="119"/>
  <c r="AI46" i="119"/>
  <c r="BG46" i="119"/>
  <c r="AP46" i="119"/>
  <c r="BN46" i="119"/>
  <c r="AX46" i="119"/>
  <c r="AG46" i="119"/>
  <c r="BJ49" i="119"/>
  <c r="AT49" i="119"/>
  <c r="BE49" i="119"/>
  <c r="AN49" i="119"/>
  <c r="BP49" i="119"/>
  <c r="AZ49" i="119"/>
  <c r="AI49" i="119"/>
  <c r="BG49" i="119"/>
  <c r="AP49" i="119"/>
  <c r="BO44" i="119"/>
  <c r="AY44" i="119"/>
  <c r="AH44" i="119"/>
  <c r="BF44" i="119"/>
  <c r="AO44" i="119"/>
  <c r="BQ44" i="119"/>
  <c r="BA44" i="119"/>
  <c r="AJ44" i="119"/>
  <c r="BL44" i="119"/>
  <c r="AV44" i="119"/>
  <c r="BK48" i="119"/>
  <c r="AU48" i="119"/>
  <c r="BR48" i="119"/>
  <c r="BB48" i="119"/>
  <c r="AK48" i="119"/>
  <c r="BM48" i="119"/>
  <c r="AW48" i="119"/>
  <c r="AF48" i="119"/>
  <c r="BH48" i="119"/>
  <c r="AQ48" i="119"/>
  <c r="BP43" i="119"/>
  <c r="AZ43" i="119"/>
  <c r="AI43" i="119"/>
  <c r="BG43" i="119"/>
  <c r="AP43" i="119"/>
  <c r="BN43" i="119"/>
  <c r="AX43" i="119"/>
  <c r="AG43" i="119"/>
  <c r="BI43" i="119"/>
  <c r="AS43" i="119"/>
  <c r="BH47" i="119"/>
  <c r="AQ47" i="119"/>
  <c r="BO47" i="119"/>
  <c r="AY47" i="119"/>
  <c r="AH47" i="119"/>
  <c r="BF47" i="119"/>
  <c r="AO47" i="119"/>
  <c r="BQ47" i="119"/>
  <c r="BA47" i="119"/>
  <c r="AJ47" i="119"/>
  <c r="BQ46" i="119"/>
  <c r="BA46" i="119"/>
  <c r="AJ46" i="119"/>
  <c r="BL46" i="119"/>
  <c r="AV46" i="119"/>
  <c r="BS46" i="119"/>
  <c r="BC46" i="119"/>
  <c r="AL46" i="119"/>
  <c r="BJ46" i="119"/>
  <c r="AT46" i="119"/>
  <c r="BF49" i="119"/>
  <c r="AO49" i="119"/>
  <c r="BQ49" i="119"/>
  <c r="BA49" i="119"/>
  <c r="AJ49" i="119"/>
  <c r="BL49" i="119"/>
  <c r="AV49" i="119"/>
  <c r="BS49" i="119"/>
  <c r="BC49" i="119"/>
  <c r="AL49" i="119"/>
  <c r="BK44" i="119"/>
  <c r="AU44" i="119"/>
  <c r="BR44" i="119"/>
  <c r="BB44" i="119"/>
  <c r="AK44" i="119"/>
  <c r="BM44" i="119"/>
  <c r="AW44" i="119"/>
  <c r="AF44" i="119"/>
  <c r="BH44" i="119"/>
  <c r="AQ44" i="119"/>
  <c r="BG48" i="119"/>
  <c r="AP48" i="119"/>
  <c r="BN48" i="119"/>
  <c r="AX48" i="119"/>
  <c r="AG48" i="119"/>
  <c r="BI48" i="119"/>
  <c r="AS48" i="119"/>
  <c r="BT48" i="119"/>
  <c r="BD48" i="119"/>
  <c r="AM48" i="119"/>
  <c r="BL43" i="119"/>
  <c r="AV43" i="119"/>
  <c r="BS43" i="119"/>
  <c r="BC43" i="119"/>
  <c r="AL43" i="119"/>
  <c r="BJ43" i="119"/>
  <c r="AT43" i="119"/>
  <c r="BE43" i="119"/>
  <c r="AN43" i="119"/>
  <c r="BT47" i="119"/>
  <c r="BD47" i="119"/>
  <c r="AM47" i="119"/>
  <c r="BK47" i="119"/>
  <c r="AU47" i="119"/>
  <c r="BR47" i="119"/>
  <c r="BB47" i="119"/>
  <c r="AK47" i="119"/>
  <c r="BM47" i="119"/>
  <c r="AW47" i="119"/>
  <c r="AF47" i="119"/>
  <c r="BM46" i="119"/>
  <c r="AW46" i="119"/>
  <c r="AF46" i="119"/>
  <c r="BH46" i="119"/>
  <c r="AQ46" i="119"/>
  <c r="BO46" i="119"/>
  <c r="AY46" i="119"/>
  <c r="AH46" i="119"/>
  <c r="BF46" i="119"/>
  <c r="AO46" i="119"/>
  <c r="BR49" i="119"/>
  <c r="BB49" i="119"/>
  <c r="AK49" i="119"/>
  <c r="BM49" i="119"/>
  <c r="AW49" i="119"/>
  <c r="AF49" i="119"/>
  <c r="BH49" i="119"/>
  <c r="AQ49" i="119"/>
  <c r="BO49" i="119"/>
  <c r="AY49" i="119"/>
  <c r="AH49" i="119"/>
  <c r="BG44" i="119"/>
  <c r="AP44" i="119"/>
  <c r="BN44" i="119"/>
  <c r="AX44" i="119"/>
  <c r="AG44" i="119"/>
  <c r="BI44" i="119"/>
  <c r="AS44" i="119"/>
  <c r="BT44" i="119"/>
  <c r="BD44" i="119"/>
  <c r="AM44" i="119"/>
  <c r="BS48" i="119"/>
  <c r="BC48" i="119"/>
  <c r="AL48" i="119"/>
  <c r="BJ48" i="119"/>
  <c r="AT48" i="119"/>
  <c r="BE48" i="119"/>
  <c r="AN48" i="119"/>
  <c r="BP48" i="119"/>
  <c r="AZ48" i="119"/>
  <c r="AI48" i="119"/>
  <c r="BH43" i="119"/>
  <c r="AQ43" i="119"/>
  <c r="BO43" i="119"/>
  <c r="AY43" i="119"/>
  <c r="AH43" i="119"/>
  <c r="BF43" i="119"/>
  <c r="AO43" i="119"/>
  <c r="BQ43" i="119"/>
  <c r="BA43" i="119"/>
  <c r="AJ43" i="119"/>
  <c r="BP47" i="119"/>
  <c r="AZ47" i="119"/>
  <c r="AI47" i="119"/>
  <c r="BG47" i="119"/>
  <c r="AP47" i="119"/>
  <c r="BN47" i="119"/>
  <c r="AX47" i="119"/>
  <c r="AG47" i="119"/>
  <c r="BI47" i="119"/>
  <c r="AS47" i="119"/>
  <c r="AF4" i="119"/>
  <c r="BI46" i="119"/>
  <c r="AS46" i="119"/>
  <c r="BT46" i="119"/>
  <c r="BD46" i="119"/>
  <c r="AM46" i="119"/>
  <c r="BK46" i="119"/>
  <c r="AU46" i="119"/>
  <c r="BR46" i="119"/>
  <c r="BB46" i="119"/>
  <c r="BN49" i="119"/>
  <c r="AX49" i="119"/>
  <c r="AG49" i="119"/>
  <c r="BI49" i="119"/>
  <c r="AS49" i="119"/>
  <c r="BT49" i="119"/>
  <c r="BD49" i="119"/>
  <c r="AM49" i="119"/>
  <c r="BK49" i="119"/>
  <c r="BS44" i="119"/>
  <c r="BC44" i="119"/>
  <c r="AL44" i="119"/>
  <c r="BJ44" i="119"/>
  <c r="AT44" i="119"/>
  <c r="BE44" i="119"/>
  <c r="AN44" i="119"/>
  <c r="BP44" i="119"/>
  <c r="AZ44" i="119"/>
  <c r="BO48" i="119"/>
  <c r="AY48" i="119"/>
  <c r="AH48" i="119"/>
  <c r="BF48" i="119"/>
  <c r="AO48" i="119"/>
  <c r="BQ48" i="119"/>
  <c r="BA48" i="119"/>
  <c r="AJ48" i="119"/>
  <c r="BL48" i="119"/>
  <c r="BT43" i="119"/>
  <c r="BD43" i="119"/>
  <c r="AM43" i="119"/>
  <c r="BK43" i="119"/>
  <c r="AU43" i="119"/>
  <c r="BR43" i="119"/>
  <c r="BB43" i="119"/>
  <c r="AK43" i="119"/>
  <c r="BM43" i="119"/>
  <c r="AW43" i="119"/>
  <c r="BL47" i="119"/>
  <c r="AV47" i="119"/>
  <c r="BS47" i="119"/>
  <c r="BC47" i="119"/>
  <c r="AL47" i="119"/>
  <c r="BJ47" i="119"/>
  <c r="AT47" i="119"/>
  <c r="BE47" i="119"/>
  <c r="AL146" i="119"/>
  <c r="AS156" i="119"/>
  <c r="AN59" i="119"/>
  <c r="AL122" i="119"/>
  <c r="AL162" i="119"/>
  <c r="AM60" i="119"/>
  <c r="BD60" i="119"/>
  <c r="BT60" i="119"/>
  <c r="AS60" i="119"/>
  <c r="BI60" i="119"/>
  <c r="AG60" i="119"/>
  <c r="AX60" i="119"/>
  <c r="AQ60" i="119"/>
  <c r="BH60" i="119"/>
  <c r="AF60" i="119"/>
  <c r="AW60" i="119"/>
  <c r="BM60" i="119"/>
  <c r="AK60" i="119"/>
  <c r="BB60" i="119"/>
  <c r="BR60" i="119"/>
  <c r="AU60" i="119"/>
  <c r="BK60" i="119"/>
  <c r="AS148" i="119"/>
  <c r="BI148" i="119"/>
  <c r="AG148" i="119"/>
  <c r="AX148" i="119"/>
  <c r="BN148" i="119"/>
  <c r="AP148" i="119"/>
  <c r="BG148" i="119"/>
  <c r="AI148" i="119"/>
  <c r="AZ148" i="119"/>
  <c r="BP148" i="119"/>
  <c r="AF148" i="119"/>
  <c r="AW148" i="119"/>
  <c r="BM148" i="119"/>
  <c r="AK148" i="119"/>
  <c r="BB148" i="119"/>
  <c r="BR148" i="119"/>
  <c r="AU148" i="119"/>
  <c r="BK148" i="119"/>
  <c r="AM148" i="119"/>
  <c r="BD148" i="119"/>
  <c r="BT148" i="119"/>
  <c r="AJ148" i="119"/>
  <c r="BA148" i="119"/>
  <c r="BQ148" i="119"/>
  <c r="AO148" i="119"/>
  <c r="BF148" i="119"/>
  <c r="AH148" i="119"/>
  <c r="AY148" i="119"/>
  <c r="BO148" i="119"/>
  <c r="AQ148" i="119"/>
  <c r="BH148" i="119"/>
  <c r="AN148" i="119"/>
  <c r="BE148" i="119"/>
  <c r="AT148" i="119"/>
  <c r="BJ148" i="119"/>
  <c r="AL148" i="119"/>
  <c r="BC148" i="119"/>
  <c r="BS148" i="119"/>
  <c r="AV148" i="119"/>
  <c r="BL148" i="119"/>
  <c r="AL154" i="119"/>
  <c r="BR122" i="119"/>
  <c r="BB122" i="119"/>
  <c r="AK122" i="119"/>
  <c r="BM122" i="119"/>
  <c r="AW122" i="119"/>
  <c r="AF122" i="119"/>
  <c r="BH122" i="119"/>
  <c r="AQ122" i="119"/>
  <c r="BO122" i="119"/>
  <c r="AY122" i="119"/>
  <c r="AH122" i="119"/>
  <c r="BL156" i="119"/>
  <c r="AV156" i="119"/>
  <c r="BS156" i="119"/>
  <c r="BC156" i="119"/>
  <c r="AL156" i="119"/>
  <c r="BJ156" i="119"/>
  <c r="AT156" i="119"/>
  <c r="BE156" i="119"/>
  <c r="AN156" i="119"/>
  <c r="BR146" i="119"/>
  <c r="BB146" i="119"/>
  <c r="AK146" i="119"/>
  <c r="BM146" i="119"/>
  <c r="AW146" i="119"/>
  <c r="AF146" i="119"/>
  <c r="BH146" i="119"/>
  <c r="AQ146" i="119"/>
  <c r="BO146" i="119"/>
  <c r="AY146" i="119"/>
  <c r="AH146" i="119"/>
  <c r="BH59" i="119"/>
  <c r="AQ59" i="119"/>
  <c r="BO59" i="119"/>
  <c r="AY59" i="119"/>
  <c r="AH59" i="119"/>
  <c r="BF59" i="119"/>
  <c r="AO59" i="119"/>
  <c r="BQ59" i="119"/>
  <c r="BA59" i="119"/>
  <c r="AJ59" i="119"/>
  <c r="BR162" i="119"/>
  <c r="BB162" i="119"/>
  <c r="AK162" i="119"/>
  <c r="BM162" i="119"/>
  <c r="AW162" i="119"/>
  <c r="AF162" i="119"/>
  <c r="BH162" i="119"/>
  <c r="AQ162" i="119"/>
  <c r="BO162" i="119"/>
  <c r="AY162" i="119"/>
  <c r="AH162" i="119"/>
  <c r="BJ154" i="119"/>
  <c r="AT154" i="119"/>
  <c r="BE154" i="119"/>
  <c r="AN154" i="119"/>
  <c r="BP154" i="119"/>
  <c r="AZ154" i="119"/>
  <c r="AI154" i="119"/>
  <c r="BG154" i="119"/>
  <c r="AP154" i="119"/>
  <c r="BG60" i="119"/>
  <c r="AL60" i="119"/>
  <c r="BF60" i="119"/>
  <c r="BQ60" i="119"/>
  <c r="AJ60" i="119"/>
  <c r="AV60" i="119"/>
  <c r="AG131" i="119"/>
  <c r="AX131" i="119"/>
  <c r="BN131" i="119"/>
  <c r="AP131" i="119"/>
  <c r="BG131" i="119"/>
  <c r="AI131" i="119"/>
  <c r="AZ131" i="119"/>
  <c r="BP131" i="119"/>
  <c r="AN131" i="119"/>
  <c r="BE131" i="119"/>
  <c r="AK131" i="119"/>
  <c r="BB131" i="119"/>
  <c r="BR131" i="119"/>
  <c r="AU131" i="119"/>
  <c r="BK131" i="119"/>
  <c r="AM131" i="119"/>
  <c r="BD131" i="119"/>
  <c r="BT131" i="119"/>
  <c r="AS131" i="119"/>
  <c r="BI131" i="119"/>
  <c r="AO131" i="119"/>
  <c r="BF131" i="119"/>
  <c r="AH131" i="119"/>
  <c r="AY131" i="119"/>
  <c r="BO131" i="119"/>
  <c r="AQ131" i="119"/>
  <c r="BH131" i="119"/>
  <c r="AF131" i="119"/>
  <c r="AW131" i="119"/>
  <c r="BM131" i="119"/>
  <c r="AT131" i="119"/>
  <c r="BJ131" i="119"/>
  <c r="AL131" i="119"/>
  <c r="BC131" i="119"/>
  <c r="BS131" i="119"/>
  <c r="AV131" i="119"/>
  <c r="BL131" i="119"/>
  <c r="AJ131" i="119"/>
  <c r="BA131" i="119"/>
  <c r="BQ131" i="119"/>
  <c r="BN122" i="119"/>
  <c r="AX122" i="119"/>
  <c r="AG122" i="119"/>
  <c r="BI122" i="119"/>
  <c r="AS122" i="119"/>
  <c r="BT122" i="119"/>
  <c r="BD122" i="119"/>
  <c r="AM122" i="119"/>
  <c r="BK122" i="119"/>
  <c r="AU122" i="119"/>
  <c r="BH156" i="119"/>
  <c r="AQ156" i="119"/>
  <c r="BO156" i="119"/>
  <c r="AY156" i="119"/>
  <c r="AH156" i="119"/>
  <c r="BF156" i="119"/>
  <c r="AO156" i="119"/>
  <c r="BQ156" i="119"/>
  <c r="BA156" i="119"/>
  <c r="AJ156" i="119"/>
  <c r="BN146" i="119"/>
  <c r="AX146" i="119"/>
  <c r="AG146" i="119"/>
  <c r="BI146" i="119"/>
  <c r="AS146" i="119"/>
  <c r="BT146" i="119"/>
  <c r="BD146" i="119"/>
  <c r="AM146" i="119"/>
  <c r="BK146" i="119"/>
  <c r="AU146" i="119"/>
  <c r="BT59" i="119"/>
  <c r="BD59" i="119"/>
  <c r="AM59" i="119"/>
  <c r="BK59" i="119"/>
  <c r="AU59" i="119"/>
  <c r="BR59" i="119"/>
  <c r="BB59" i="119"/>
  <c r="AK59" i="119"/>
  <c r="BM59" i="119"/>
  <c r="AW59" i="119"/>
  <c r="AF59" i="119"/>
  <c r="BN162" i="119"/>
  <c r="AX162" i="119"/>
  <c r="AG162" i="119"/>
  <c r="BI162" i="119"/>
  <c r="AS162" i="119"/>
  <c r="BT162" i="119"/>
  <c r="BD162" i="119"/>
  <c r="AM162" i="119"/>
  <c r="BK162" i="119"/>
  <c r="AU162" i="119"/>
  <c r="BF154" i="119"/>
  <c r="AO154" i="119"/>
  <c r="BQ154" i="119"/>
  <c r="BA154" i="119"/>
  <c r="AJ154" i="119"/>
  <c r="BL154" i="119"/>
  <c r="AV154" i="119"/>
  <c r="BS154" i="119"/>
  <c r="BC154" i="119"/>
  <c r="AH154" i="119"/>
  <c r="BC60" i="119"/>
  <c r="AH60" i="119"/>
  <c r="AT60" i="119"/>
  <c r="BE60" i="119"/>
  <c r="BP60" i="119"/>
  <c r="AI60" i="119"/>
  <c r="BJ122" i="119"/>
  <c r="AT122" i="119"/>
  <c r="BE122" i="119"/>
  <c r="AN122" i="119"/>
  <c r="BP122" i="119"/>
  <c r="AZ122" i="119"/>
  <c r="AI122" i="119"/>
  <c r="BG122" i="119"/>
  <c r="AP122" i="119"/>
  <c r="BT156" i="119"/>
  <c r="BD156" i="119"/>
  <c r="AM156" i="119"/>
  <c r="BK156" i="119"/>
  <c r="AU156" i="119"/>
  <c r="BR156" i="119"/>
  <c r="BB156" i="119"/>
  <c r="AK156" i="119"/>
  <c r="BM156" i="119"/>
  <c r="AW156" i="119"/>
  <c r="AF156" i="119"/>
  <c r="BJ146" i="119"/>
  <c r="AT146" i="119"/>
  <c r="BE146" i="119"/>
  <c r="AN146" i="119"/>
  <c r="BP146" i="119"/>
  <c r="AZ146" i="119"/>
  <c r="AI146" i="119"/>
  <c r="BG146" i="119"/>
  <c r="AP146" i="119"/>
  <c r="BP59" i="119"/>
  <c r="AZ59" i="119"/>
  <c r="AI59" i="119"/>
  <c r="BG59" i="119"/>
  <c r="AP59" i="119"/>
  <c r="BN59" i="119"/>
  <c r="AX59" i="119"/>
  <c r="AG59" i="119"/>
  <c r="BI59" i="119"/>
  <c r="AS59" i="119"/>
  <c r="BJ162" i="119"/>
  <c r="AT162" i="119"/>
  <c r="BE162" i="119"/>
  <c r="AN162" i="119"/>
  <c r="BP162" i="119"/>
  <c r="AZ162" i="119"/>
  <c r="AI162" i="119"/>
  <c r="BG162" i="119"/>
  <c r="AP162" i="119"/>
  <c r="BR154" i="119"/>
  <c r="BB154" i="119"/>
  <c r="AK154" i="119"/>
  <c r="BM154" i="119"/>
  <c r="AW154" i="119"/>
  <c r="AF154" i="119"/>
  <c r="BH154" i="119"/>
  <c r="AQ154" i="119"/>
  <c r="BO154" i="119"/>
  <c r="AY154" i="119"/>
  <c r="BS60" i="119"/>
  <c r="AY60" i="119"/>
  <c r="BN60" i="119"/>
  <c r="AO60" i="119"/>
  <c r="BA60" i="119"/>
  <c r="BL60" i="119"/>
  <c r="AO163" i="119"/>
  <c r="BF163" i="119"/>
  <c r="AH163" i="119"/>
  <c r="AY163" i="119"/>
  <c r="BO163" i="119"/>
  <c r="AQ163" i="119"/>
  <c r="BH163" i="119"/>
  <c r="AF163" i="119"/>
  <c r="AW163" i="119"/>
  <c r="BM163" i="119"/>
  <c r="AT163" i="119"/>
  <c r="BJ163" i="119"/>
  <c r="AL163" i="119"/>
  <c r="BC163" i="119"/>
  <c r="BS163" i="119"/>
  <c r="AV163" i="119"/>
  <c r="BL163" i="119"/>
  <c r="AJ163" i="119"/>
  <c r="BA163" i="119"/>
  <c r="BQ163" i="119"/>
  <c r="AG163" i="119"/>
  <c r="AX163" i="119"/>
  <c r="BN163" i="119"/>
  <c r="AP163" i="119"/>
  <c r="BG163" i="119"/>
  <c r="AI163" i="119"/>
  <c r="AZ163" i="119"/>
  <c r="BP163" i="119"/>
  <c r="AN163" i="119"/>
  <c r="BE163" i="119"/>
  <c r="AK163" i="119"/>
  <c r="BB163" i="119"/>
  <c r="BR163" i="119"/>
  <c r="AU163" i="119"/>
  <c r="BK163" i="119"/>
  <c r="AM163" i="119"/>
  <c r="BD163" i="119"/>
  <c r="BT163" i="119"/>
  <c r="AS163" i="119"/>
  <c r="BI163" i="119"/>
  <c r="AG58" i="119"/>
  <c r="AX58" i="119"/>
  <c r="BN58" i="119"/>
  <c r="AP58" i="119"/>
  <c r="BG58" i="119"/>
  <c r="AI58" i="119"/>
  <c r="AZ58" i="119"/>
  <c r="BP58" i="119"/>
  <c r="AN58" i="119"/>
  <c r="BE58" i="119"/>
  <c r="AK58" i="119"/>
  <c r="BB58" i="119"/>
  <c r="BR58" i="119"/>
  <c r="AU58" i="119"/>
  <c r="BK58" i="119"/>
  <c r="AM58" i="119"/>
  <c r="BD58" i="119"/>
  <c r="BT58" i="119"/>
  <c r="AS58" i="119"/>
  <c r="BI58" i="119"/>
  <c r="AO58" i="119"/>
  <c r="BF58" i="119"/>
  <c r="AH58" i="119"/>
  <c r="AY58" i="119"/>
  <c r="BO58" i="119"/>
  <c r="AQ58" i="119"/>
  <c r="BH58" i="119"/>
  <c r="AF58" i="119"/>
  <c r="AW58" i="119"/>
  <c r="BM58" i="119"/>
  <c r="AT58" i="119"/>
  <c r="BJ58" i="119"/>
  <c r="AL58" i="119"/>
  <c r="BC58" i="119"/>
  <c r="BS58" i="119"/>
  <c r="AV58" i="119"/>
  <c r="BL58" i="119"/>
  <c r="AJ58" i="119"/>
  <c r="BA58" i="119"/>
  <c r="BQ58" i="119"/>
  <c r="AV133" i="119"/>
  <c r="BL133" i="119"/>
  <c r="AJ133" i="119"/>
  <c r="BA133" i="119"/>
  <c r="BQ133" i="119"/>
  <c r="AO133" i="119"/>
  <c r="BF133" i="119"/>
  <c r="AH133" i="119"/>
  <c r="AY133" i="119"/>
  <c r="BO133" i="119"/>
  <c r="AI133" i="119"/>
  <c r="AZ133" i="119"/>
  <c r="BP133" i="119"/>
  <c r="AN133" i="119"/>
  <c r="BE133" i="119"/>
  <c r="AT133" i="119"/>
  <c r="BJ133" i="119"/>
  <c r="AL133" i="119"/>
  <c r="BC133" i="119"/>
  <c r="BS133" i="119"/>
  <c r="AM133" i="119"/>
  <c r="BD133" i="119"/>
  <c r="BT133" i="119"/>
  <c r="AS133" i="119"/>
  <c r="BI133" i="119"/>
  <c r="AG133" i="119"/>
  <c r="AX133" i="119"/>
  <c r="BN133" i="119"/>
  <c r="AP133" i="119"/>
  <c r="BG133" i="119"/>
  <c r="AQ133" i="119"/>
  <c r="BH133" i="119"/>
  <c r="AF133" i="119"/>
  <c r="AW133" i="119"/>
  <c r="BM133" i="119"/>
  <c r="AK133" i="119"/>
  <c r="BB133" i="119"/>
  <c r="BR133" i="119"/>
  <c r="AU133" i="119"/>
  <c r="BK133" i="119"/>
  <c r="AM161" i="119"/>
  <c r="BD161" i="119"/>
  <c r="BT161" i="119"/>
  <c r="AS161" i="119"/>
  <c r="BI161" i="119"/>
  <c r="AG161" i="119"/>
  <c r="AX161" i="119"/>
  <c r="BN161" i="119"/>
  <c r="AP161" i="119"/>
  <c r="BG161" i="119"/>
  <c r="AQ161" i="119"/>
  <c r="BH161" i="119"/>
  <c r="AF161" i="119"/>
  <c r="AW161" i="119"/>
  <c r="BM161" i="119"/>
  <c r="AK161" i="119"/>
  <c r="BB161" i="119"/>
  <c r="BR161" i="119"/>
  <c r="AU161" i="119"/>
  <c r="BK161" i="119"/>
  <c r="AV161" i="119"/>
  <c r="BL161" i="119"/>
  <c r="AJ161" i="119"/>
  <c r="BA161" i="119"/>
  <c r="BQ161" i="119"/>
  <c r="AO161" i="119"/>
  <c r="BF161" i="119"/>
  <c r="AH161" i="119"/>
  <c r="AY161" i="119"/>
  <c r="BO161" i="119"/>
  <c r="AI161" i="119"/>
  <c r="AZ161" i="119"/>
  <c r="BP161" i="119"/>
  <c r="AN161" i="119"/>
  <c r="BE161" i="119"/>
  <c r="AT161" i="119"/>
  <c r="BJ161" i="119"/>
  <c r="AL161" i="119"/>
  <c r="BC161" i="119"/>
  <c r="BS161" i="119"/>
  <c r="BB61" i="119"/>
  <c r="BR61" i="119"/>
  <c r="AI61" i="119"/>
  <c r="AZ61" i="119"/>
  <c r="BP61" i="119"/>
  <c r="AN61" i="119"/>
  <c r="BE61" i="119"/>
  <c r="AK61" i="119"/>
  <c r="AH61" i="119"/>
  <c r="AY61" i="119"/>
  <c r="BF61" i="119"/>
  <c r="BO61" i="119"/>
  <c r="AM61" i="119"/>
  <c r="BD61" i="119"/>
  <c r="BT61" i="119"/>
  <c r="AS61" i="119"/>
  <c r="BM61" i="119"/>
  <c r="AO61" i="119"/>
  <c r="AL61" i="119"/>
  <c r="BC61" i="119"/>
  <c r="BI61" i="119"/>
  <c r="BJ61" i="119"/>
  <c r="BS61" i="119"/>
  <c r="AQ61" i="119"/>
  <c r="BH61" i="119"/>
  <c r="AF61" i="119"/>
  <c r="AW61" i="119"/>
  <c r="BQ61" i="119"/>
  <c r="AT61" i="119"/>
  <c r="AP61" i="119"/>
  <c r="BG61" i="119"/>
  <c r="AG61" i="119"/>
  <c r="BN61" i="119"/>
  <c r="AV61" i="119"/>
  <c r="BL61" i="119"/>
  <c r="AJ61" i="119"/>
  <c r="BA61" i="119"/>
  <c r="AX61" i="119"/>
  <c r="AU61" i="119"/>
  <c r="BK61" i="119"/>
  <c r="BF122" i="119"/>
  <c r="AO122" i="119"/>
  <c r="BQ122" i="119"/>
  <c r="BA122" i="119"/>
  <c r="AJ122" i="119"/>
  <c r="BL122" i="119"/>
  <c r="AV122" i="119"/>
  <c r="BS122" i="119"/>
  <c r="BC122" i="119"/>
  <c r="BP156" i="119"/>
  <c r="AZ156" i="119"/>
  <c r="AI156" i="119"/>
  <c r="BG156" i="119"/>
  <c r="AP156" i="119"/>
  <c r="BN156" i="119"/>
  <c r="AX156" i="119"/>
  <c r="AG156" i="119"/>
  <c r="BI156" i="119"/>
  <c r="BF146" i="119"/>
  <c r="AO146" i="119"/>
  <c r="BQ146" i="119"/>
  <c r="BA146" i="119"/>
  <c r="AJ146" i="119"/>
  <c r="BL146" i="119"/>
  <c r="AV146" i="119"/>
  <c r="BS146" i="119"/>
  <c r="BC146" i="119"/>
  <c r="BL59" i="119"/>
  <c r="AV59" i="119"/>
  <c r="BS59" i="119"/>
  <c r="BC59" i="119"/>
  <c r="AL59" i="119"/>
  <c r="BJ59" i="119"/>
  <c r="AT59" i="119"/>
  <c r="BE59" i="119"/>
  <c r="BF162" i="119"/>
  <c r="AO162" i="119"/>
  <c r="BQ162" i="119"/>
  <c r="BA162" i="119"/>
  <c r="AJ162" i="119"/>
  <c r="BL162" i="119"/>
  <c r="AV162" i="119"/>
  <c r="BS162" i="119"/>
  <c r="BC162" i="119"/>
  <c r="BN154" i="119"/>
  <c r="AX154" i="119"/>
  <c r="AG154" i="119"/>
  <c r="BI154" i="119"/>
  <c r="AS154" i="119"/>
  <c r="BT154" i="119"/>
  <c r="BD154" i="119"/>
  <c r="AM154" i="119"/>
  <c r="BK154" i="119"/>
  <c r="AU154" i="119"/>
  <c r="BO60" i="119"/>
  <c r="AP60" i="119"/>
  <c r="BJ60" i="119"/>
  <c r="AN60" i="119"/>
  <c r="AZ60" i="119"/>
  <c r="AH24" i="119"/>
  <c r="AL24" i="119"/>
  <c r="AP24" i="119"/>
  <c r="AU24" i="119"/>
  <c r="AY24" i="119"/>
  <c r="BC24" i="119"/>
  <c r="BG24" i="119"/>
  <c r="BK24" i="119"/>
  <c r="BO24" i="119"/>
  <c r="BS24" i="119"/>
  <c r="AI24" i="119"/>
  <c r="AM24" i="119"/>
  <c r="AQ24" i="119"/>
  <c r="AV24" i="119"/>
  <c r="AZ24" i="119"/>
  <c r="BD24" i="119"/>
  <c r="BH24" i="119"/>
  <c r="BL24" i="119"/>
  <c r="BP24" i="119"/>
  <c r="BT24" i="119"/>
  <c r="AF24" i="119"/>
  <c r="AJ24" i="119"/>
  <c r="AN24" i="119"/>
  <c r="AS24" i="119"/>
  <c r="AW24" i="119"/>
  <c r="BA24" i="119"/>
  <c r="BE24" i="119"/>
  <c r="BI24" i="119"/>
  <c r="BM24" i="119"/>
  <c r="BQ24" i="119"/>
  <c r="AG24" i="119"/>
  <c r="AK24" i="119"/>
  <c r="AO24" i="119"/>
  <c r="AT24" i="119"/>
  <c r="AX24" i="119"/>
  <c r="BB24" i="119"/>
  <c r="BF24" i="119"/>
  <c r="BJ24" i="119"/>
  <c r="BN24" i="119"/>
  <c r="BR24" i="119"/>
  <c r="AF73" i="119"/>
  <c r="AJ73" i="119"/>
  <c r="AN73" i="119"/>
  <c r="AS73" i="119"/>
  <c r="AW73" i="119"/>
  <c r="BA73" i="119"/>
  <c r="BE73" i="119"/>
  <c r="BI73" i="119"/>
  <c r="BM73" i="119"/>
  <c r="BQ73" i="119"/>
  <c r="AG73" i="119"/>
  <c r="AK73" i="119"/>
  <c r="AO73" i="119"/>
  <c r="AT73" i="119"/>
  <c r="AX73" i="119"/>
  <c r="BB73" i="119"/>
  <c r="BF73" i="119"/>
  <c r="BJ73" i="119"/>
  <c r="BN73" i="119"/>
  <c r="BR73" i="119"/>
  <c r="AH73" i="119"/>
  <c r="AL73" i="119"/>
  <c r="AP73" i="119"/>
  <c r="AU73" i="119"/>
  <c r="AY73" i="119"/>
  <c r="BC73" i="119"/>
  <c r="BG73" i="119"/>
  <c r="BK73" i="119"/>
  <c r="BO73" i="119"/>
  <c r="BS73" i="119"/>
  <c r="AI73" i="119"/>
  <c r="AM73" i="119"/>
  <c r="AQ73" i="119"/>
  <c r="AV73" i="119"/>
  <c r="AZ73" i="119"/>
  <c r="BD73" i="119"/>
  <c r="BH73" i="119"/>
  <c r="BL73" i="119"/>
  <c r="BP73" i="119"/>
  <c r="BT73" i="119"/>
  <c r="AG72" i="119"/>
  <c r="AK72" i="119"/>
  <c r="AO72" i="119"/>
  <c r="AT72" i="119"/>
  <c r="AX72" i="119"/>
  <c r="BB72" i="119"/>
  <c r="BF72" i="119"/>
  <c r="BJ72" i="119"/>
  <c r="BN72" i="119"/>
  <c r="BR72" i="119"/>
  <c r="AH72" i="119"/>
  <c r="AL72" i="119"/>
  <c r="AP72" i="119"/>
  <c r="AU72" i="119"/>
  <c r="AY72" i="119"/>
  <c r="BC72" i="119"/>
  <c r="BG72" i="119"/>
  <c r="BK72" i="119"/>
  <c r="BO72" i="119"/>
  <c r="BS72" i="119"/>
  <c r="AI72" i="119"/>
  <c r="AM72" i="119"/>
  <c r="AQ72" i="119"/>
  <c r="AV72" i="119"/>
  <c r="AZ72" i="119"/>
  <c r="BD72" i="119"/>
  <c r="BH72" i="119"/>
  <c r="BL72" i="119"/>
  <c r="BP72" i="119"/>
  <c r="BT72" i="119"/>
  <c r="AF72" i="119"/>
  <c r="AJ72" i="119"/>
  <c r="AN72" i="119"/>
  <c r="AS72" i="119"/>
  <c r="AW72" i="119"/>
  <c r="BA72" i="119"/>
  <c r="BE72" i="119"/>
  <c r="BI72" i="119"/>
  <c r="BM72" i="119"/>
  <c r="BQ72" i="119"/>
  <c r="AI70" i="119"/>
  <c r="AM70" i="119"/>
  <c r="AQ70" i="119"/>
  <c r="AV70" i="119"/>
  <c r="AZ70" i="119"/>
  <c r="BD70" i="119"/>
  <c r="BH70" i="119"/>
  <c r="BL70" i="119"/>
  <c r="BP70" i="119"/>
  <c r="BT70" i="119"/>
  <c r="AF70" i="119"/>
  <c r="AJ70" i="119"/>
  <c r="AN70" i="119"/>
  <c r="AS70" i="119"/>
  <c r="AW70" i="119"/>
  <c r="BA70" i="119"/>
  <c r="BE70" i="119"/>
  <c r="BI70" i="119"/>
  <c r="BM70" i="119"/>
  <c r="BQ70" i="119"/>
  <c r="AG70" i="119"/>
  <c r="AK70" i="119"/>
  <c r="AO70" i="119"/>
  <c r="AT70" i="119"/>
  <c r="AX70" i="119"/>
  <c r="BB70" i="119"/>
  <c r="BF70" i="119"/>
  <c r="BJ70" i="119"/>
  <c r="BN70" i="119"/>
  <c r="BR70" i="119"/>
  <c r="AH70" i="119"/>
  <c r="AL70" i="119"/>
  <c r="AP70" i="119"/>
  <c r="AU70" i="119"/>
  <c r="AY70" i="119"/>
  <c r="BC70" i="119"/>
  <c r="BG70" i="119"/>
  <c r="BK70" i="119"/>
  <c r="BO70" i="119"/>
  <c r="BS70" i="119"/>
  <c r="AG92" i="119"/>
  <c r="AK92" i="119"/>
  <c r="AO92" i="119"/>
  <c r="AT92" i="119"/>
  <c r="AX92" i="119"/>
  <c r="BB92" i="119"/>
  <c r="BF92" i="119"/>
  <c r="BJ92" i="119"/>
  <c r="BN92" i="119"/>
  <c r="BR92" i="119"/>
  <c r="AH92" i="119"/>
  <c r="AL92" i="119"/>
  <c r="AP92" i="119"/>
  <c r="AU92" i="119"/>
  <c r="AY92" i="119"/>
  <c r="BC92" i="119"/>
  <c r="BG92" i="119"/>
  <c r="BK92" i="119"/>
  <c r="BO92" i="119"/>
  <c r="BS92" i="119"/>
  <c r="AI92" i="119"/>
  <c r="AM92" i="119"/>
  <c r="AQ92" i="119"/>
  <c r="AV92" i="119"/>
  <c r="AZ92" i="119"/>
  <c r="BD92" i="119"/>
  <c r="BH92" i="119"/>
  <c r="BL92" i="119"/>
  <c r="BP92" i="119"/>
  <c r="BT92" i="119"/>
  <c r="AF92" i="119"/>
  <c r="AJ92" i="119"/>
  <c r="AN92" i="119"/>
  <c r="AS92" i="119"/>
  <c r="AW92" i="119"/>
  <c r="BA92" i="119"/>
  <c r="BE92" i="119"/>
  <c r="BI92" i="119"/>
  <c r="BM92" i="119"/>
  <c r="BQ92" i="119"/>
  <c r="AF100" i="119"/>
  <c r="AJ100" i="119"/>
  <c r="AN100" i="119"/>
  <c r="AS100" i="119"/>
  <c r="AW100" i="119"/>
  <c r="BA100" i="119"/>
  <c r="BE100" i="119"/>
  <c r="BI100" i="119"/>
  <c r="BM100" i="119"/>
  <c r="BQ100" i="119"/>
  <c r="AG100" i="119"/>
  <c r="AK100" i="119"/>
  <c r="AO100" i="119"/>
  <c r="AT100" i="119"/>
  <c r="AX100" i="119"/>
  <c r="BB100" i="119"/>
  <c r="BF100" i="119"/>
  <c r="BJ100" i="119"/>
  <c r="BN100" i="119"/>
  <c r="BR100" i="119"/>
  <c r="AH100" i="119"/>
  <c r="AL100" i="119"/>
  <c r="AP100" i="119"/>
  <c r="AU100" i="119"/>
  <c r="AY100" i="119"/>
  <c r="BC100" i="119"/>
  <c r="BG100" i="119"/>
  <c r="BK100" i="119"/>
  <c r="BO100" i="119"/>
  <c r="BS100" i="119"/>
  <c r="AI100" i="119"/>
  <c r="AM100" i="119"/>
  <c r="AQ100" i="119"/>
  <c r="AV100" i="119"/>
  <c r="AZ100" i="119"/>
  <c r="BD100" i="119"/>
  <c r="BH100" i="119"/>
  <c r="BL100" i="119"/>
  <c r="BP100" i="119"/>
  <c r="BT100" i="119"/>
  <c r="AG63" i="119"/>
  <c r="AK63" i="119"/>
  <c r="AO63" i="119"/>
  <c r="AT63" i="119"/>
  <c r="AX63" i="119"/>
  <c r="BB63" i="119"/>
  <c r="AI63" i="119"/>
  <c r="AM63" i="119"/>
  <c r="AQ63" i="119"/>
  <c r="AF63" i="119"/>
  <c r="AJ63" i="119"/>
  <c r="AN63" i="119"/>
  <c r="AS63" i="119"/>
  <c r="AW63" i="119"/>
  <c r="BA63" i="119"/>
  <c r="BE63" i="119"/>
  <c r="AH63" i="119"/>
  <c r="AV63" i="119"/>
  <c r="BD63" i="119"/>
  <c r="BI63" i="119"/>
  <c r="BM63" i="119"/>
  <c r="BQ63" i="119"/>
  <c r="AL63" i="119"/>
  <c r="AY63" i="119"/>
  <c r="BF63" i="119"/>
  <c r="BJ63" i="119"/>
  <c r="BN63" i="119"/>
  <c r="BR63" i="119"/>
  <c r="AP63" i="119"/>
  <c r="AZ63" i="119"/>
  <c r="BG63" i="119"/>
  <c r="BK63" i="119"/>
  <c r="BO63" i="119"/>
  <c r="BS63" i="119"/>
  <c r="AU63" i="119"/>
  <c r="BC63" i="119"/>
  <c r="BH63" i="119"/>
  <c r="BL63" i="119"/>
  <c r="BP63" i="119"/>
  <c r="BT63" i="119"/>
  <c r="AI82" i="119"/>
  <c r="AM82" i="119"/>
  <c r="AQ82" i="119"/>
  <c r="AV82" i="119"/>
  <c r="AZ82" i="119"/>
  <c r="BD82" i="119"/>
  <c r="BH82" i="119"/>
  <c r="BL82" i="119"/>
  <c r="BP82" i="119"/>
  <c r="BT82" i="119"/>
  <c r="AF82" i="119"/>
  <c r="AJ82" i="119"/>
  <c r="AN82" i="119"/>
  <c r="AS82" i="119"/>
  <c r="AW82" i="119"/>
  <c r="BA82" i="119"/>
  <c r="BE82" i="119"/>
  <c r="BI82" i="119"/>
  <c r="BM82" i="119"/>
  <c r="BQ82" i="119"/>
  <c r="AG82" i="119"/>
  <c r="AK82" i="119"/>
  <c r="AO82" i="119"/>
  <c r="AT82" i="119"/>
  <c r="AX82" i="119"/>
  <c r="BB82" i="119"/>
  <c r="BF82" i="119"/>
  <c r="BJ82" i="119"/>
  <c r="BN82" i="119"/>
  <c r="BR82" i="119"/>
  <c r="AH82" i="119"/>
  <c r="AL82" i="119"/>
  <c r="AP82" i="119"/>
  <c r="AU82" i="119"/>
  <c r="AY82" i="119"/>
  <c r="BC82" i="119"/>
  <c r="BG82" i="119"/>
  <c r="BK82" i="119"/>
  <c r="BO82" i="119"/>
  <c r="BS82" i="119"/>
  <c r="AH83" i="119"/>
  <c r="AL83" i="119"/>
  <c r="AP83" i="119"/>
  <c r="AU83" i="119"/>
  <c r="AY83" i="119"/>
  <c r="BC83" i="119"/>
  <c r="BG83" i="119"/>
  <c r="BK83" i="119"/>
  <c r="BO83" i="119"/>
  <c r="BS83" i="119"/>
  <c r="AI83" i="119"/>
  <c r="AM83" i="119"/>
  <c r="AQ83" i="119"/>
  <c r="AV83" i="119"/>
  <c r="AZ83" i="119"/>
  <c r="BD83" i="119"/>
  <c r="BH83" i="119"/>
  <c r="BL83" i="119"/>
  <c r="BP83" i="119"/>
  <c r="BT83" i="119"/>
  <c r="AF83" i="119"/>
  <c r="AJ83" i="119"/>
  <c r="AN83" i="119"/>
  <c r="AS83" i="119"/>
  <c r="AW83" i="119"/>
  <c r="BA83" i="119"/>
  <c r="BE83" i="119"/>
  <c r="BI83" i="119"/>
  <c r="BM83" i="119"/>
  <c r="BQ83" i="119"/>
  <c r="AG83" i="119"/>
  <c r="AK83" i="119"/>
  <c r="AO83" i="119"/>
  <c r="AT83" i="119"/>
  <c r="AX83" i="119"/>
  <c r="BB83" i="119"/>
  <c r="BF83" i="119"/>
  <c r="BJ83" i="119"/>
  <c r="BN83" i="119"/>
  <c r="BR83" i="119"/>
  <c r="AH65" i="119"/>
  <c r="AL65" i="119"/>
  <c r="AP65" i="119"/>
  <c r="AU65" i="119"/>
  <c r="AY65" i="119"/>
  <c r="BC65" i="119"/>
  <c r="BG65" i="119"/>
  <c r="BK65" i="119"/>
  <c r="BO65" i="119"/>
  <c r="BS65" i="119"/>
  <c r="AI65" i="119"/>
  <c r="AM65" i="119"/>
  <c r="AQ65" i="119"/>
  <c r="AV65" i="119"/>
  <c r="AZ65" i="119"/>
  <c r="BD65" i="119"/>
  <c r="BH65" i="119"/>
  <c r="BL65" i="119"/>
  <c r="BP65" i="119"/>
  <c r="BT65" i="119"/>
  <c r="AF65" i="119"/>
  <c r="AJ65" i="119"/>
  <c r="AN65" i="119"/>
  <c r="AS65" i="119"/>
  <c r="AW65" i="119"/>
  <c r="BA65" i="119"/>
  <c r="BE65" i="119"/>
  <c r="BI65" i="119"/>
  <c r="BM65" i="119"/>
  <c r="BQ65" i="119"/>
  <c r="AG65" i="119"/>
  <c r="AK65" i="119"/>
  <c r="AO65" i="119"/>
  <c r="AT65" i="119"/>
  <c r="AX65" i="119"/>
  <c r="BB65" i="119"/>
  <c r="BF65" i="119"/>
  <c r="BJ65" i="119"/>
  <c r="BN65" i="119"/>
  <c r="BR65" i="119"/>
  <c r="AI64" i="119"/>
  <c r="AM64" i="119"/>
  <c r="AQ64" i="119"/>
  <c r="AV64" i="119"/>
  <c r="AZ64" i="119"/>
  <c r="BD64" i="119"/>
  <c r="BH64" i="119"/>
  <c r="BL64" i="119"/>
  <c r="BP64" i="119"/>
  <c r="BT64" i="119"/>
  <c r="AF64" i="119"/>
  <c r="AJ64" i="119"/>
  <c r="AN64" i="119"/>
  <c r="AS64" i="119"/>
  <c r="AW64" i="119"/>
  <c r="BA64" i="119"/>
  <c r="BE64" i="119"/>
  <c r="BI64" i="119"/>
  <c r="BM64" i="119"/>
  <c r="BQ64" i="119"/>
  <c r="AG64" i="119"/>
  <c r="AK64" i="119"/>
  <c r="AO64" i="119"/>
  <c r="AT64" i="119"/>
  <c r="AX64" i="119"/>
  <c r="BB64" i="119"/>
  <c r="BF64" i="119"/>
  <c r="BJ64" i="119"/>
  <c r="BN64" i="119"/>
  <c r="BR64" i="119"/>
  <c r="AH64" i="119"/>
  <c r="AL64" i="119"/>
  <c r="AP64" i="119"/>
  <c r="AU64" i="119"/>
  <c r="AY64" i="119"/>
  <c r="BC64" i="119"/>
  <c r="BG64" i="119"/>
  <c r="BK64" i="119"/>
  <c r="BO64" i="119"/>
  <c r="BS64" i="119"/>
  <c r="AF67" i="119"/>
  <c r="AJ67" i="119"/>
  <c r="AN67" i="119"/>
  <c r="AS67" i="119"/>
  <c r="AW67" i="119"/>
  <c r="BA67" i="119"/>
  <c r="BE67" i="119"/>
  <c r="BI67" i="119"/>
  <c r="BM67" i="119"/>
  <c r="BQ67" i="119"/>
  <c r="AG67" i="119"/>
  <c r="AK67" i="119"/>
  <c r="AO67" i="119"/>
  <c r="AT67" i="119"/>
  <c r="AX67" i="119"/>
  <c r="BB67" i="119"/>
  <c r="BF67" i="119"/>
  <c r="BJ67" i="119"/>
  <c r="BN67" i="119"/>
  <c r="BR67" i="119"/>
  <c r="AH67" i="119"/>
  <c r="AL67" i="119"/>
  <c r="AP67" i="119"/>
  <c r="AU67" i="119"/>
  <c r="AY67" i="119"/>
  <c r="BC67" i="119"/>
  <c r="BG67" i="119"/>
  <c r="BK67" i="119"/>
  <c r="BO67" i="119"/>
  <c r="BS67" i="119"/>
  <c r="AI67" i="119"/>
  <c r="AM67" i="119"/>
  <c r="AQ67" i="119"/>
  <c r="AV67" i="119"/>
  <c r="AZ67" i="119"/>
  <c r="BD67" i="119"/>
  <c r="BH67" i="119"/>
  <c r="BL67" i="119"/>
  <c r="BP67" i="119"/>
  <c r="BT67" i="119"/>
  <c r="AG66" i="119"/>
  <c r="AK66" i="119"/>
  <c r="AO66" i="119"/>
  <c r="AT66" i="119"/>
  <c r="AX66" i="119"/>
  <c r="BB66" i="119"/>
  <c r="BF66" i="119"/>
  <c r="BJ66" i="119"/>
  <c r="BN66" i="119"/>
  <c r="BR66" i="119"/>
  <c r="AH66" i="119"/>
  <c r="AL66" i="119"/>
  <c r="AP66" i="119"/>
  <c r="AU66" i="119"/>
  <c r="AY66" i="119"/>
  <c r="BC66" i="119"/>
  <c r="BG66" i="119"/>
  <c r="BK66" i="119"/>
  <c r="BO66" i="119"/>
  <c r="BS66" i="119"/>
  <c r="AI66" i="119"/>
  <c r="AM66" i="119"/>
  <c r="AQ66" i="119"/>
  <c r="AV66" i="119"/>
  <c r="AZ66" i="119"/>
  <c r="BD66" i="119"/>
  <c r="BH66" i="119"/>
  <c r="BL66" i="119"/>
  <c r="BP66" i="119"/>
  <c r="BT66" i="119"/>
  <c r="AF66" i="119"/>
  <c r="AJ66" i="119"/>
  <c r="AN66" i="119"/>
  <c r="AS66" i="119"/>
  <c r="AW66" i="119"/>
  <c r="BA66" i="119"/>
  <c r="BE66" i="119"/>
  <c r="BI66" i="119"/>
  <c r="BM66" i="119"/>
  <c r="BQ66" i="119"/>
  <c r="AI23" i="119"/>
  <c r="AM23" i="119"/>
  <c r="AQ23" i="119"/>
  <c r="AV23" i="119"/>
  <c r="AZ23" i="119"/>
  <c r="BD23" i="119"/>
  <c r="BH23" i="119"/>
  <c r="BL23" i="119"/>
  <c r="BP23" i="119"/>
  <c r="BT23" i="119"/>
  <c r="AF23" i="119"/>
  <c r="AJ23" i="119"/>
  <c r="AN23" i="119"/>
  <c r="AS23" i="119"/>
  <c r="AW23" i="119"/>
  <c r="BA23" i="119"/>
  <c r="BE23" i="119"/>
  <c r="BI23" i="119"/>
  <c r="BM23" i="119"/>
  <c r="BQ23" i="119"/>
  <c r="AG23" i="119"/>
  <c r="AK23" i="119"/>
  <c r="AO23" i="119"/>
  <c r="AT23" i="119"/>
  <c r="AX23" i="119"/>
  <c r="BB23" i="119"/>
  <c r="BF23" i="119"/>
  <c r="BJ23" i="119"/>
  <c r="BN23" i="119"/>
  <c r="BR23" i="119"/>
  <c r="AH23" i="119"/>
  <c r="AL23" i="119"/>
  <c r="AP23" i="119"/>
  <c r="AU23" i="119"/>
  <c r="AY23" i="119"/>
  <c r="BC23" i="119"/>
  <c r="BG23" i="119"/>
  <c r="BK23" i="119"/>
  <c r="BO23" i="119"/>
  <c r="BS23" i="119"/>
  <c r="AI93" i="119"/>
  <c r="AM93" i="119"/>
  <c r="AQ93" i="119"/>
  <c r="AV93" i="119"/>
  <c r="AZ93" i="119"/>
  <c r="BD93" i="119"/>
  <c r="BH93" i="119"/>
  <c r="BL93" i="119"/>
  <c r="BP93" i="119"/>
  <c r="BT93" i="119"/>
  <c r="AF93" i="119"/>
  <c r="AJ93" i="119"/>
  <c r="AN93" i="119"/>
  <c r="AS93" i="119"/>
  <c r="AW93" i="119"/>
  <c r="BA93" i="119"/>
  <c r="BE93" i="119"/>
  <c r="BI93" i="119"/>
  <c r="BM93" i="119"/>
  <c r="BQ93" i="119"/>
  <c r="AG93" i="119"/>
  <c r="AK93" i="119"/>
  <c r="AO93" i="119"/>
  <c r="AT93" i="119"/>
  <c r="AX93" i="119"/>
  <c r="BB93" i="119"/>
  <c r="BF93" i="119"/>
  <c r="BJ93" i="119"/>
  <c r="BN93" i="119"/>
  <c r="BR93" i="119"/>
  <c r="AH93" i="119"/>
  <c r="AL93" i="119"/>
  <c r="AP93" i="119"/>
  <c r="AU93" i="119"/>
  <c r="AY93" i="119"/>
  <c r="BC93" i="119"/>
  <c r="BG93" i="119"/>
  <c r="BK93" i="119"/>
  <c r="BO93" i="119"/>
  <c r="BS93" i="119"/>
  <c r="AH62" i="119"/>
  <c r="AL62" i="119"/>
  <c r="AP62" i="119"/>
  <c r="AU62" i="119"/>
  <c r="AY62" i="119"/>
  <c r="BC62" i="119"/>
  <c r="BG62" i="119"/>
  <c r="BK62" i="119"/>
  <c r="BO62" i="119"/>
  <c r="BS62" i="119"/>
  <c r="AF62" i="119"/>
  <c r="AJ62" i="119"/>
  <c r="AN62" i="119"/>
  <c r="AS62" i="119"/>
  <c r="AW62" i="119"/>
  <c r="BA62" i="119"/>
  <c r="BE62" i="119"/>
  <c r="BI62" i="119"/>
  <c r="BM62" i="119"/>
  <c r="BQ62" i="119"/>
  <c r="AG62" i="119"/>
  <c r="AK62" i="119"/>
  <c r="AO62" i="119"/>
  <c r="AT62" i="119"/>
  <c r="AX62" i="119"/>
  <c r="BB62" i="119"/>
  <c r="BF62" i="119"/>
  <c r="BJ62" i="119"/>
  <c r="BN62" i="119"/>
  <c r="BR62" i="119"/>
  <c r="AQ62" i="119"/>
  <c r="BH62" i="119"/>
  <c r="AV62" i="119"/>
  <c r="BL62" i="119"/>
  <c r="AI62" i="119"/>
  <c r="AZ62" i="119"/>
  <c r="BP62" i="119"/>
  <c r="AM62" i="119"/>
  <c r="BD62" i="119"/>
  <c r="BT62" i="119"/>
  <c r="AH68" i="119"/>
  <c r="AL68" i="119"/>
  <c r="AP68" i="119"/>
  <c r="AU68" i="119"/>
  <c r="AY68" i="119"/>
  <c r="BC68" i="119"/>
  <c r="BG68" i="119"/>
  <c r="BK68" i="119"/>
  <c r="BO68" i="119"/>
  <c r="BS68" i="119"/>
  <c r="AI68" i="119"/>
  <c r="AM68" i="119"/>
  <c r="AQ68" i="119"/>
  <c r="AV68" i="119"/>
  <c r="AZ68" i="119"/>
  <c r="BD68" i="119"/>
  <c r="BH68" i="119"/>
  <c r="BL68" i="119"/>
  <c r="BP68" i="119"/>
  <c r="BT68" i="119"/>
  <c r="AF68" i="119"/>
  <c r="AJ68" i="119"/>
  <c r="AN68" i="119"/>
  <c r="AS68" i="119"/>
  <c r="AW68" i="119"/>
  <c r="BA68" i="119"/>
  <c r="BE68" i="119"/>
  <c r="BI68" i="119"/>
  <c r="BM68" i="119"/>
  <c r="BQ68" i="119"/>
  <c r="AG68" i="119"/>
  <c r="AK68" i="119"/>
  <c r="AO68" i="119"/>
  <c r="AT68" i="119"/>
  <c r="AX68" i="119"/>
  <c r="BB68" i="119"/>
  <c r="BF68" i="119"/>
  <c r="BJ68" i="119"/>
  <c r="BN68" i="119"/>
  <c r="BR68" i="119"/>
  <c r="AH20" i="119"/>
  <c r="AL20" i="119"/>
  <c r="AP20" i="119"/>
  <c r="AU20" i="119"/>
  <c r="AY20" i="119"/>
  <c r="BC20" i="119"/>
  <c r="BG20" i="119"/>
  <c r="BK20" i="119"/>
  <c r="BO20" i="119"/>
  <c r="BS20" i="119"/>
  <c r="AI20" i="119"/>
  <c r="AM20" i="119"/>
  <c r="AQ20" i="119"/>
  <c r="AV20" i="119"/>
  <c r="AZ20" i="119"/>
  <c r="BD20" i="119"/>
  <c r="BH20" i="119"/>
  <c r="BL20" i="119"/>
  <c r="BP20" i="119"/>
  <c r="BT20" i="119"/>
  <c r="AF20" i="119"/>
  <c r="AJ20" i="119"/>
  <c r="AN20" i="119"/>
  <c r="AS20" i="119"/>
  <c r="AW20" i="119"/>
  <c r="BA20" i="119"/>
  <c r="BE20" i="119"/>
  <c r="BI20" i="119"/>
  <c r="BM20" i="119"/>
  <c r="BQ20" i="119"/>
  <c r="AG20" i="119"/>
  <c r="AK20" i="119"/>
  <c r="AO20" i="119"/>
  <c r="AT20" i="119"/>
  <c r="AX20" i="119"/>
  <c r="BB20" i="119"/>
  <c r="BF20" i="119"/>
  <c r="BJ20" i="119"/>
  <c r="BN20" i="119"/>
  <c r="BR20" i="119"/>
  <c r="AG84" i="119"/>
  <c r="AK84" i="119"/>
  <c r="AO84" i="119"/>
  <c r="AT84" i="119"/>
  <c r="AX84" i="119"/>
  <c r="BB84" i="119"/>
  <c r="BF84" i="119"/>
  <c r="BJ84" i="119"/>
  <c r="BN84" i="119"/>
  <c r="BR84" i="119"/>
  <c r="AH84" i="119"/>
  <c r="AL84" i="119"/>
  <c r="AP84" i="119"/>
  <c r="AU84" i="119"/>
  <c r="AY84" i="119"/>
  <c r="BC84" i="119"/>
  <c r="BG84" i="119"/>
  <c r="BK84" i="119"/>
  <c r="BO84" i="119"/>
  <c r="BS84" i="119"/>
  <c r="AI84" i="119"/>
  <c r="AM84" i="119"/>
  <c r="AQ84" i="119"/>
  <c r="AV84" i="119"/>
  <c r="AZ84" i="119"/>
  <c r="BD84" i="119"/>
  <c r="BH84" i="119"/>
  <c r="BL84" i="119"/>
  <c r="BP84" i="119"/>
  <c r="BT84" i="119"/>
  <c r="AF84" i="119"/>
  <c r="AJ84" i="119"/>
  <c r="AN84" i="119"/>
  <c r="AS84" i="119"/>
  <c r="AW84" i="119"/>
  <c r="BA84" i="119"/>
  <c r="BE84" i="119"/>
  <c r="BI84" i="119"/>
  <c r="BM84" i="119"/>
  <c r="BQ84" i="119"/>
  <c r="AH53" i="119"/>
  <c r="AL53" i="119"/>
  <c r="AP53" i="119"/>
  <c r="AU53" i="119"/>
  <c r="AY53" i="119"/>
  <c r="BC53" i="119"/>
  <c r="BG53" i="119"/>
  <c r="BK53" i="119"/>
  <c r="BO53" i="119"/>
  <c r="BS53" i="119"/>
  <c r="AI53" i="119"/>
  <c r="AM53" i="119"/>
  <c r="AQ53" i="119"/>
  <c r="AV53" i="119"/>
  <c r="AZ53" i="119"/>
  <c r="BD53" i="119"/>
  <c r="BH53" i="119"/>
  <c r="BL53" i="119"/>
  <c r="BP53" i="119"/>
  <c r="BT53" i="119"/>
  <c r="AF53" i="119"/>
  <c r="AJ53" i="119"/>
  <c r="AN53" i="119"/>
  <c r="AS53" i="119"/>
  <c r="AW53" i="119"/>
  <c r="BA53" i="119"/>
  <c r="BE53" i="119"/>
  <c r="BI53" i="119"/>
  <c r="BM53" i="119"/>
  <c r="BQ53" i="119"/>
  <c r="AG53" i="119"/>
  <c r="AK53" i="119"/>
  <c r="AO53" i="119"/>
  <c r="AT53" i="119"/>
  <c r="AX53" i="119"/>
  <c r="BB53" i="119"/>
  <c r="BF53" i="119"/>
  <c r="BJ53" i="119"/>
  <c r="BN53" i="119"/>
  <c r="BR53" i="119"/>
  <c r="AG95" i="119"/>
  <c r="AK95" i="119"/>
  <c r="AO95" i="119"/>
  <c r="AT95" i="119"/>
  <c r="AX95" i="119"/>
  <c r="BB95" i="119"/>
  <c r="BF95" i="119"/>
  <c r="BJ95" i="119"/>
  <c r="AH95" i="119"/>
  <c r="AL95" i="119"/>
  <c r="AP95" i="119"/>
  <c r="AU95" i="119"/>
  <c r="AY95" i="119"/>
  <c r="BC95" i="119"/>
  <c r="BG95" i="119"/>
  <c r="BK95" i="119"/>
  <c r="BO95" i="119"/>
  <c r="BS95" i="119"/>
  <c r="AI95" i="119"/>
  <c r="AM95" i="119"/>
  <c r="AQ95" i="119"/>
  <c r="AV95" i="119"/>
  <c r="AZ95" i="119"/>
  <c r="BD95" i="119"/>
  <c r="BH95" i="119"/>
  <c r="BL95" i="119"/>
  <c r="BP95" i="119"/>
  <c r="BT95" i="119"/>
  <c r="AN95" i="119"/>
  <c r="BE95" i="119"/>
  <c r="BQ95" i="119"/>
  <c r="AS95" i="119"/>
  <c r="BI95" i="119"/>
  <c r="BR95" i="119"/>
  <c r="AF95" i="119"/>
  <c r="AW95" i="119"/>
  <c r="BM95" i="119"/>
  <c r="AJ95" i="119"/>
  <c r="BA95" i="119"/>
  <c r="BN95" i="119"/>
  <c r="AH102" i="119"/>
  <c r="AL102" i="119"/>
  <c r="AP102" i="119"/>
  <c r="AU102" i="119"/>
  <c r="AY102" i="119"/>
  <c r="BC102" i="119"/>
  <c r="BG102" i="119"/>
  <c r="BK102" i="119"/>
  <c r="BO102" i="119"/>
  <c r="BS102" i="119"/>
  <c r="AI102" i="119"/>
  <c r="AM102" i="119"/>
  <c r="AQ102" i="119"/>
  <c r="AV102" i="119"/>
  <c r="AZ102" i="119"/>
  <c r="BD102" i="119"/>
  <c r="BH102" i="119"/>
  <c r="BL102" i="119"/>
  <c r="BP102" i="119"/>
  <c r="BT102" i="119"/>
  <c r="AF102" i="119"/>
  <c r="AJ102" i="119"/>
  <c r="AN102" i="119"/>
  <c r="AS102" i="119"/>
  <c r="AW102" i="119"/>
  <c r="BA102" i="119"/>
  <c r="BE102" i="119"/>
  <c r="BI102" i="119"/>
  <c r="BM102" i="119"/>
  <c r="BQ102" i="119"/>
  <c r="AG102" i="119"/>
  <c r="AK102" i="119"/>
  <c r="AO102" i="119"/>
  <c r="AT102" i="119"/>
  <c r="AX102" i="119"/>
  <c r="BB102" i="119"/>
  <c r="BF102" i="119"/>
  <c r="BJ102" i="119"/>
  <c r="BN102" i="119"/>
  <c r="BR102" i="119"/>
  <c r="AG15" i="119"/>
  <c r="AK15" i="119"/>
  <c r="AO15" i="119"/>
  <c r="AT15" i="119"/>
  <c r="AX15" i="119"/>
  <c r="BB15" i="119"/>
  <c r="BF15" i="119"/>
  <c r="BJ15" i="119"/>
  <c r="BN15" i="119"/>
  <c r="BR15" i="119"/>
  <c r="AH15" i="119"/>
  <c r="AL15" i="119"/>
  <c r="AP15" i="119"/>
  <c r="AU15" i="119"/>
  <c r="AY15" i="119"/>
  <c r="BC15" i="119"/>
  <c r="BG15" i="119"/>
  <c r="BK15" i="119"/>
  <c r="BO15" i="119"/>
  <c r="BS15" i="119"/>
  <c r="AI15" i="119"/>
  <c r="AM15" i="119"/>
  <c r="AQ15" i="119"/>
  <c r="AV15" i="119"/>
  <c r="AZ15" i="119"/>
  <c r="BD15" i="119"/>
  <c r="BH15" i="119"/>
  <c r="BL15" i="119"/>
  <c r="BP15" i="119"/>
  <c r="BT15" i="119"/>
  <c r="AF15" i="119"/>
  <c r="AJ15" i="119"/>
  <c r="AN15" i="119"/>
  <c r="AS15" i="119"/>
  <c r="AW15" i="119"/>
  <c r="BA15" i="119"/>
  <c r="BE15" i="119"/>
  <c r="BI15" i="119"/>
  <c r="BM15" i="119"/>
  <c r="BQ15" i="119"/>
  <c r="AF69" i="119"/>
  <c r="AJ69" i="119"/>
  <c r="AN69" i="119"/>
  <c r="AS69" i="119"/>
  <c r="AW69" i="119"/>
  <c r="BA69" i="119"/>
  <c r="BE69" i="119"/>
  <c r="BI69" i="119"/>
  <c r="BM69" i="119"/>
  <c r="BQ69" i="119"/>
  <c r="AG69" i="119"/>
  <c r="AK69" i="119"/>
  <c r="AO69" i="119"/>
  <c r="AT69" i="119"/>
  <c r="AX69" i="119"/>
  <c r="BB69" i="119"/>
  <c r="BF69" i="119"/>
  <c r="BJ69" i="119"/>
  <c r="BN69" i="119"/>
  <c r="BR69" i="119"/>
  <c r="AH69" i="119"/>
  <c r="AL69" i="119"/>
  <c r="AP69" i="119"/>
  <c r="AU69" i="119"/>
  <c r="AY69" i="119"/>
  <c r="BC69" i="119"/>
  <c r="BG69" i="119"/>
  <c r="BK69" i="119"/>
  <c r="BO69" i="119"/>
  <c r="BS69" i="119"/>
  <c r="AI69" i="119"/>
  <c r="AM69" i="119"/>
  <c r="AQ69" i="119"/>
  <c r="AV69" i="119"/>
  <c r="AZ69" i="119"/>
  <c r="BD69" i="119"/>
  <c r="BH69" i="119"/>
  <c r="BL69" i="119"/>
  <c r="BP69" i="119"/>
  <c r="BT69" i="119"/>
  <c r="AH91" i="119"/>
  <c r="AL91" i="119"/>
  <c r="AP91" i="119"/>
  <c r="AU91" i="119"/>
  <c r="AY91" i="119"/>
  <c r="BC91" i="119"/>
  <c r="BG91" i="119"/>
  <c r="BK91" i="119"/>
  <c r="BO91" i="119"/>
  <c r="BS91" i="119"/>
  <c r="AI91" i="119"/>
  <c r="AM91" i="119"/>
  <c r="AQ91" i="119"/>
  <c r="AV91" i="119"/>
  <c r="AZ91" i="119"/>
  <c r="BD91" i="119"/>
  <c r="BH91" i="119"/>
  <c r="BL91" i="119"/>
  <c r="BP91" i="119"/>
  <c r="BT91" i="119"/>
  <c r="AF91" i="119"/>
  <c r="AJ91" i="119"/>
  <c r="AN91" i="119"/>
  <c r="AS91" i="119"/>
  <c r="AW91" i="119"/>
  <c r="BA91" i="119"/>
  <c r="BE91" i="119"/>
  <c r="BI91" i="119"/>
  <c r="BM91" i="119"/>
  <c r="BQ91" i="119"/>
  <c r="AG91" i="119"/>
  <c r="AK91" i="119"/>
  <c r="AO91" i="119"/>
  <c r="AT91" i="119"/>
  <c r="AX91" i="119"/>
  <c r="BB91" i="119"/>
  <c r="BF91" i="119"/>
  <c r="BJ91" i="119"/>
  <c r="BN91" i="119"/>
  <c r="BR91" i="119"/>
  <c r="AH79" i="119"/>
  <c r="AL79" i="119"/>
  <c r="AP79" i="119"/>
  <c r="AU79" i="119"/>
  <c r="AY79" i="119"/>
  <c r="BC79" i="119"/>
  <c r="BG79" i="119"/>
  <c r="BK79" i="119"/>
  <c r="BO79" i="119"/>
  <c r="BS79" i="119"/>
  <c r="AI79" i="119"/>
  <c r="AM79" i="119"/>
  <c r="AQ79" i="119"/>
  <c r="AV79" i="119"/>
  <c r="AZ79" i="119"/>
  <c r="BD79" i="119"/>
  <c r="BH79" i="119"/>
  <c r="BL79" i="119"/>
  <c r="BP79" i="119"/>
  <c r="BT79" i="119"/>
  <c r="AF79" i="119"/>
  <c r="AJ79" i="119"/>
  <c r="AN79" i="119"/>
  <c r="AS79" i="119"/>
  <c r="AW79" i="119"/>
  <c r="BA79" i="119"/>
  <c r="BE79" i="119"/>
  <c r="BI79" i="119"/>
  <c r="BM79" i="119"/>
  <c r="BQ79" i="119"/>
  <c r="AG79" i="119"/>
  <c r="AK79" i="119"/>
  <c r="AO79" i="119"/>
  <c r="AT79" i="119"/>
  <c r="AX79" i="119"/>
  <c r="BB79" i="119"/>
  <c r="BF79" i="119"/>
  <c r="BJ79" i="119"/>
  <c r="BN79" i="119"/>
  <c r="BR79" i="119"/>
  <c r="AE4" i="119"/>
  <c r="AJ4" i="119"/>
  <c r="AN4" i="119"/>
  <c r="AS4" i="119"/>
  <c r="AW4" i="119"/>
  <c r="BA4" i="119"/>
  <c r="BE4" i="119"/>
  <c r="BI4" i="119"/>
  <c r="BM4" i="119"/>
  <c r="BQ4" i="119"/>
  <c r="BU4" i="119"/>
  <c r="AG4" i="119"/>
  <c r="AK4" i="119"/>
  <c r="AO4" i="119"/>
  <c r="AT4" i="119"/>
  <c r="AX4" i="119"/>
  <c r="BB4" i="119"/>
  <c r="BF4" i="119"/>
  <c r="BJ4" i="119"/>
  <c r="BN4" i="119"/>
  <c r="BR4" i="119"/>
  <c r="AH4" i="119"/>
  <c r="AL4" i="119"/>
  <c r="AP4" i="119"/>
  <c r="AU4" i="119"/>
  <c r="AY4" i="119"/>
  <c r="BC4" i="119"/>
  <c r="BG4" i="119"/>
  <c r="BK4" i="119"/>
  <c r="BO4" i="119"/>
  <c r="BS4" i="119"/>
  <c r="AI4" i="119"/>
  <c r="AM4" i="119"/>
  <c r="AQ4" i="119"/>
  <c r="AV4" i="119"/>
  <c r="AZ4" i="119"/>
  <c r="BD4" i="119"/>
  <c r="BH4" i="119"/>
  <c r="BL4" i="119"/>
  <c r="BP4" i="119"/>
  <c r="BT4" i="119"/>
  <c r="AI90" i="119"/>
  <c r="AM90" i="119"/>
  <c r="AQ90" i="119"/>
  <c r="AV90" i="119"/>
  <c r="AZ90" i="119"/>
  <c r="BD90" i="119"/>
  <c r="BH90" i="119"/>
  <c r="BL90" i="119"/>
  <c r="BP90" i="119"/>
  <c r="BT90" i="119"/>
  <c r="AF90" i="119"/>
  <c r="AJ90" i="119"/>
  <c r="AN90" i="119"/>
  <c r="AS90" i="119"/>
  <c r="AW90" i="119"/>
  <c r="BA90" i="119"/>
  <c r="BE90" i="119"/>
  <c r="BI90" i="119"/>
  <c r="BM90" i="119"/>
  <c r="BQ90" i="119"/>
  <c r="AG90" i="119"/>
  <c r="AK90" i="119"/>
  <c r="AO90" i="119"/>
  <c r="AT90" i="119"/>
  <c r="AX90" i="119"/>
  <c r="BB90" i="119"/>
  <c r="BF90" i="119"/>
  <c r="BJ90" i="119"/>
  <c r="BN90" i="119"/>
  <c r="BR90" i="119"/>
  <c r="AH90" i="119"/>
  <c r="AL90" i="119"/>
  <c r="AP90" i="119"/>
  <c r="AU90" i="119"/>
  <c r="AY90" i="119"/>
  <c r="BC90" i="119"/>
  <c r="BG90" i="119"/>
  <c r="BK90" i="119"/>
  <c r="BO90" i="119"/>
  <c r="BS90" i="119"/>
  <c r="AH12" i="119"/>
  <c r="AL12" i="119"/>
  <c r="AP12" i="119"/>
  <c r="AU12" i="119"/>
  <c r="AY12" i="119"/>
  <c r="BC12" i="119"/>
  <c r="BG12" i="119"/>
  <c r="BK12" i="119"/>
  <c r="BO12" i="119"/>
  <c r="BS12" i="119"/>
  <c r="AI12" i="119"/>
  <c r="AM12" i="119"/>
  <c r="AQ12" i="119"/>
  <c r="AV12" i="119"/>
  <c r="AZ12" i="119"/>
  <c r="BD12" i="119"/>
  <c r="BH12" i="119"/>
  <c r="BL12" i="119"/>
  <c r="BP12" i="119"/>
  <c r="BT12" i="119"/>
  <c r="AF12" i="119"/>
  <c r="AJ12" i="119"/>
  <c r="AN12" i="119"/>
  <c r="AS12" i="119"/>
  <c r="AW12" i="119"/>
  <c r="BA12" i="119"/>
  <c r="BE12" i="119"/>
  <c r="BI12" i="119"/>
  <c r="BM12" i="119"/>
  <c r="BQ12" i="119"/>
  <c r="AG12" i="119"/>
  <c r="AK12" i="119"/>
  <c r="AO12" i="119"/>
  <c r="AT12" i="119"/>
  <c r="AX12" i="119"/>
  <c r="BB12" i="119"/>
  <c r="BF12" i="119"/>
  <c r="BJ12" i="119"/>
  <c r="BN12" i="119"/>
  <c r="BR12" i="119"/>
  <c r="AI11" i="119"/>
  <c r="AM11" i="119"/>
  <c r="AQ11" i="119"/>
  <c r="AV11" i="119"/>
  <c r="AZ11" i="119"/>
  <c r="BD11" i="119"/>
  <c r="BH11" i="119"/>
  <c r="BL11" i="119"/>
  <c r="BP11" i="119"/>
  <c r="BT11" i="119"/>
  <c r="AF11" i="119"/>
  <c r="AJ11" i="119"/>
  <c r="AN11" i="119"/>
  <c r="AS11" i="119"/>
  <c r="AW11" i="119"/>
  <c r="BA11" i="119"/>
  <c r="BE11" i="119"/>
  <c r="BI11" i="119"/>
  <c r="BM11" i="119"/>
  <c r="BQ11" i="119"/>
  <c r="AG11" i="119"/>
  <c r="AK11" i="119"/>
  <c r="AO11" i="119"/>
  <c r="AT11" i="119"/>
  <c r="AX11" i="119"/>
  <c r="BB11" i="119"/>
  <c r="BF11" i="119"/>
  <c r="BJ11" i="119"/>
  <c r="BN11" i="119"/>
  <c r="BR11" i="119"/>
  <c r="AH11" i="119"/>
  <c r="AL11" i="119"/>
  <c r="AP11" i="119"/>
  <c r="AU11" i="119"/>
  <c r="AY11" i="119"/>
  <c r="BC11" i="119"/>
  <c r="BG11" i="119"/>
  <c r="BK11" i="119"/>
  <c r="BO11" i="119"/>
  <c r="BS11" i="119"/>
  <c r="AF10" i="119"/>
  <c r="AJ10" i="119"/>
  <c r="AN10" i="119"/>
  <c r="AS10" i="119"/>
  <c r="AW10" i="119"/>
  <c r="BA10" i="119"/>
  <c r="BE10" i="119"/>
  <c r="BI10" i="119"/>
  <c r="BM10" i="119"/>
  <c r="BQ10" i="119"/>
  <c r="AG10" i="119"/>
  <c r="AK10" i="119"/>
  <c r="AO10" i="119"/>
  <c r="AT10" i="119"/>
  <c r="AX10" i="119"/>
  <c r="BB10" i="119"/>
  <c r="BF10" i="119"/>
  <c r="BJ10" i="119"/>
  <c r="BN10" i="119"/>
  <c r="BR10" i="119"/>
  <c r="AH10" i="119"/>
  <c r="AL10" i="119"/>
  <c r="AP10" i="119"/>
  <c r="AU10" i="119"/>
  <c r="AY10" i="119"/>
  <c r="BC10" i="119"/>
  <c r="BG10" i="119"/>
  <c r="BK10" i="119"/>
  <c r="BO10" i="119"/>
  <c r="BS10" i="119"/>
  <c r="AI10" i="119"/>
  <c r="AM10" i="119"/>
  <c r="AQ10" i="119"/>
  <c r="AV10" i="119"/>
  <c r="AZ10" i="119"/>
  <c r="BD10" i="119"/>
  <c r="BH10" i="119"/>
  <c r="BL10" i="119"/>
  <c r="BP10" i="119"/>
  <c r="BT10" i="119"/>
  <c r="AG50" i="119"/>
  <c r="AK50" i="119"/>
  <c r="AO50" i="119"/>
  <c r="AT50" i="119"/>
  <c r="AX50" i="119"/>
  <c r="BB50" i="119"/>
  <c r="BF50" i="119"/>
  <c r="BJ50" i="119"/>
  <c r="BN50" i="119"/>
  <c r="BR50" i="119"/>
  <c r="AH50" i="119"/>
  <c r="AL50" i="119"/>
  <c r="AP50" i="119"/>
  <c r="AU50" i="119"/>
  <c r="AY50" i="119"/>
  <c r="BC50" i="119"/>
  <c r="BG50" i="119"/>
  <c r="BK50" i="119"/>
  <c r="BO50" i="119"/>
  <c r="BS50" i="119"/>
  <c r="AI50" i="119"/>
  <c r="AM50" i="119"/>
  <c r="AQ50" i="119"/>
  <c r="AV50" i="119"/>
  <c r="AZ50" i="119"/>
  <c r="BD50" i="119"/>
  <c r="BH50" i="119"/>
  <c r="BL50" i="119"/>
  <c r="BP50" i="119"/>
  <c r="BT50" i="119"/>
  <c r="AF50" i="119"/>
  <c r="AJ50" i="119"/>
  <c r="AN50" i="119"/>
  <c r="AS50" i="119"/>
  <c r="AW50" i="119"/>
  <c r="BA50" i="119"/>
  <c r="BE50" i="119"/>
  <c r="BI50" i="119"/>
  <c r="BM50" i="119"/>
  <c r="BQ50" i="119"/>
  <c r="AF152" i="119"/>
  <c r="AJ152" i="119"/>
  <c r="AN152" i="119"/>
  <c r="AS152" i="119"/>
  <c r="AW152" i="119"/>
  <c r="BA152" i="119"/>
  <c r="BE152" i="119"/>
  <c r="BI152" i="119"/>
  <c r="BM152" i="119"/>
  <c r="BQ152" i="119"/>
  <c r="AG152" i="119"/>
  <c r="AK152" i="119"/>
  <c r="AO152" i="119"/>
  <c r="AT152" i="119"/>
  <c r="AX152" i="119"/>
  <c r="BB152" i="119"/>
  <c r="BF152" i="119"/>
  <c r="BJ152" i="119"/>
  <c r="BN152" i="119"/>
  <c r="BR152" i="119"/>
  <c r="AH152" i="119"/>
  <c r="AL152" i="119"/>
  <c r="AP152" i="119"/>
  <c r="AU152" i="119"/>
  <c r="AY152" i="119"/>
  <c r="BC152" i="119"/>
  <c r="BG152" i="119"/>
  <c r="BK152" i="119"/>
  <c r="BO152" i="119"/>
  <c r="BS152" i="119"/>
  <c r="AI152" i="119"/>
  <c r="AM152" i="119"/>
  <c r="AQ152" i="119"/>
  <c r="AV152" i="119"/>
  <c r="AZ152" i="119"/>
  <c r="BD152" i="119"/>
  <c r="BH152" i="119"/>
  <c r="BL152" i="119"/>
  <c r="BP152" i="119"/>
  <c r="BT152" i="119"/>
  <c r="AG155" i="119"/>
  <c r="AK155" i="119"/>
  <c r="AO155" i="119"/>
  <c r="AT155" i="119"/>
  <c r="AX155" i="119"/>
  <c r="BB155" i="119"/>
  <c r="BF155" i="119"/>
  <c r="BJ155" i="119"/>
  <c r="BN155" i="119"/>
  <c r="BR155" i="119"/>
  <c r="AH155" i="119"/>
  <c r="AL155" i="119"/>
  <c r="AP155" i="119"/>
  <c r="AU155" i="119"/>
  <c r="AY155" i="119"/>
  <c r="BC155" i="119"/>
  <c r="BG155" i="119"/>
  <c r="BK155" i="119"/>
  <c r="BO155" i="119"/>
  <c r="BS155" i="119"/>
  <c r="AI155" i="119"/>
  <c r="AM155" i="119"/>
  <c r="AQ155" i="119"/>
  <c r="AV155" i="119"/>
  <c r="AZ155" i="119"/>
  <c r="BD155" i="119"/>
  <c r="BH155" i="119"/>
  <c r="BL155" i="119"/>
  <c r="BP155" i="119"/>
  <c r="BT155" i="119"/>
  <c r="AF155" i="119"/>
  <c r="AJ155" i="119"/>
  <c r="AN155" i="119"/>
  <c r="AS155" i="119"/>
  <c r="AW155" i="119"/>
  <c r="BA155" i="119"/>
  <c r="BE155" i="119"/>
  <c r="BI155" i="119"/>
  <c r="BM155" i="119"/>
  <c r="BQ155" i="119"/>
  <c r="AF144" i="119"/>
  <c r="AJ144" i="119"/>
  <c r="AN144" i="119"/>
  <c r="AS144" i="119"/>
  <c r="AW144" i="119"/>
  <c r="BA144" i="119"/>
  <c r="BE144" i="119"/>
  <c r="BI144" i="119"/>
  <c r="BM144" i="119"/>
  <c r="BQ144" i="119"/>
  <c r="AG144" i="119"/>
  <c r="AK144" i="119"/>
  <c r="AO144" i="119"/>
  <c r="AT144" i="119"/>
  <c r="AX144" i="119"/>
  <c r="BB144" i="119"/>
  <c r="BF144" i="119"/>
  <c r="BJ144" i="119"/>
  <c r="BN144" i="119"/>
  <c r="BR144" i="119"/>
  <c r="AH144" i="119"/>
  <c r="AL144" i="119"/>
  <c r="AP144" i="119"/>
  <c r="AU144" i="119"/>
  <c r="AY144" i="119"/>
  <c r="BC144" i="119"/>
  <c r="BG144" i="119"/>
  <c r="BK144" i="119"/>
  <c r="BO144" i="119"/>
  <c r="BS144" i="119"/>
  <c r="AI144" i="119"/>
  <c r="AM144" i="119"/>
  <c r="AQ144" i="119"/>
  <c r="AV144" i="119"/>
  <c r="AZ144" i="119"/>
  <c r="BD144" i="119"/>
  <c r="BH144" i="119"/>
  <c r="BL144" i="119"/>
  <c r="BP144" i="119"/>
  <c r="BT144" i="119"/>
  <c r="AF128" i="119"/>
  <c r="AJ128" i="119"/>
  <c r="AN128" i="119"/>
  <c r="AS128" i="119"/>
  <c r="AW128" i="119"/>
  <c r="BA128" i="119"/>
  <c r="BE128" i="119"/>
  <c r="BI128" i="119"/>
  <c r="BM128" i="119"/>
  <c r="BQ128" i="119"/>
  <c r="AG128" i="119"/>
  <c r="AK128" i="119"/>
  <c r="AO128" i="119"/>
  <c r="AT128" i="119"/>
  <c r="AX128" i="119"/>
  <c r="BB128" i="119"/>
  <c r="BF128" i="119"/>
  <c r="BJ128" i="119"/>
  <c r="BN128" i="119"/>
  <c r="AH128" i="119"/>
  <c r="AL128" i="119"/>
  <c r="AP128" i="119"/>
  <c r="AU128" i="119"/>
  <c r="AY128" i="119"/>
  <c r="BC128" i="119"/>
  <c r="BG128" i="119"/>
  <c r="BK128" i="119"/>
  <c r="BO128" i="119"/>
  <c r="BS128" i="119"/>
  <c r="AI128" i="119"/>
  <c r="AM128" i="119"/>
  <c r="AQ128" i="119"/>
  <c r="AV128" i="119"/>
  <c r="AZ128" i="119"/>
  <c r="BP128" i="119"/>
  <c r="BD128" i="119"/>
  <c r="BR128" i="119"/>
  <c r="BH128" i="119"/>
  <c r="BT128" i="119"/>
  <c r="BL128" i="119"/>
  <c r="AI129" i="119"/>
  <c r="AG129" i="119"/>
  <c r="AH129" i="119"/>
  <c r="AM129" i="119"/>
  <c r="AQ129" i="119"/>
  <c r="AV129" i="119"/>
  <c r="AZ129" i="119"/>
  <c r="BD129" i="119"/>
  <c r="BH129" i="119"/>
  <c r="BL129" i="119"/>
  <c r="BP129" i="119"/>
  <c r="BT129" i="119"/>
  <c r="AJ129" i="119"/>
  <c r="AN129" i="119"/>
  <c r="AS129" i="119"/>
  <c r="AW129" i="119"/>
  <c r="BA129" i="119"/>
  <c r="BE129" i="119"/>
  <c r="BI129" i="119"/>
  <c r="BM129" i="119"/>
  <c r="BQ129" i="119"/>
  <c r="AK129" i="119"/>
  <c r="AO129" i="119"/>
  <c r="AT129" i="119"/>
  <c r="AX129" i="119"/>
  <c r="BB129" i="119"/>
  <c r="BF129" i="119"/>
  <c r="BJ129" i="119"/>
  <c r="BN129" i="119"/>
  <c r="BR129" i="119"/>
  <c r="AF129" i="119"/>
  <c r="AL129" i="119"/>
  <c r="AP129" i="119"/>
  <c r="AU129" i="119"/>
  <c r="AY129" i="119"/>
  <c r="BC129" i="119"/>
  <c r="BG129" i="119"/>
  <c r="BK129" i="119"/>
  <c r="BO129" i="119"/>
  <c r="BS129" i="119"/>
  <c r="AH150" i="119"/>
  <c r="AL150" i="119"/>
  <c r="AP150" i="119"/>
  <c r="AU150" i="119"/>
  <c r="AY150" i="119"/>
  <c r="BC150" i="119"/>
  <c r="BG150" i="119"/>
  <c r="BK150" i="119"/>
  <c r="BO150" i="119"/>
  <c r="BS150" i="119"/>
  <c r="AI150" i="119"/>
  <c r="AM150" i="119"/>
  <c r="AQ150" i="119"/>
  <c r="AV150" i="119"/>
  <c r="AZ150" i="119"/>
  <c r="BD150" i="119"/>
  <c r="BH150" i="119"/>
  <c r="BL150" i="119"/>
  <c r="BP150" i="119"/>
  <c r="BT150" i="119"/>
  <c r="AF150" i="119"/>
  <c r="AJ150" i="119"/>
  <c r="AN150" i="119"/>
  <c r="AS150" i="119"/>
  <c r="AW150" i="119"/>
  <c r="BA150" i="119"/>
  <c r="BE150" i="119"/>
  <c r="BI150" i="119"/>
  <c r="BM150" i="119"/>
  <c r="BQ150" i="119"/>
  <c r="AG150" i="119"/>
  <c r="AK150" i="119"/>
  <c r="AO150" i="119"/>
  <c r="AT150" i="119"/>
  <c r="AX150" i="119"/>
  <c r="BB150" i="119"/>
  <c r="BF150" i="119"/>
  <c r="BJ150" i="119"/>
  <c r="BN150" i="119"/>
  <c r="BR150" i="119"/>
  <c r="AG113" i="119"/>
  <c r="AK113" i="119"/>
  <c r="AO113" i="119"/>
  <c r="AT113" i="119"/>
  <c r="AX113" i="119"/>
  <c r="BB113" i="119"/>
  <c r="BF113" i="119"/>
  <c r="BJ113" i="119"/>
  <c r="BN113" i="119"/>
  <c r="BR113" i="119"/>
  <c r="AH113" i="119"/>
  <c r="AM113" i="119"/>
  <c r="AS113" i="119"/>
  <c r="AY113" i="119"/>
  <c r="BD113" i="119"/>
  <c r="BI113" i="119"/>
  <c r="BO113" i="119"/>
  <c r="BT113" i="119"/>
  <c r="AI113" i="119"/>
  <c r="AN113" i="119"/>
  <c r="AU113" i="119"/>
  <c r="AZ113" i="119"/>
  <c r="BE113" i="119"/>
  <c r="BK113" i="119"/>
  <c r="BP113" i="119"/>
  <c r="AJ113" i="119"/>
  <c r="AP113" i="119"/>
  <c r="AV113" i="119"/>
  <c r="BA113" i="119"/>
  <c r="BG113" i="119"/>
  <c r="BL113" i="119"/>
  <c r="BQ113" i="119"/>
  <c r="AF113" i="119"/>
  <c r="AL113" i="119"/>
  <c r="AQ113" i="119"/>
  <c r="AW113" i="119"/>
  <c r="BC113" i="119"/>
  <c r="BH113" i="119"/>
  <c r="BM113" i="119"/>
  <c r="BS113" i="119"/>
  <c r="AF168" i="119"/>
  <c r="AJ168" i="119"/>
  <c r="AN168" i="119"/>
  <c r="AS168" i="119"/>
  <c r="AW168" i="119"/>
  <c r="BA168" i="119"/>
  <c r="BE168" i="119"/>
  <c r="BI168" i="119"/>
  <c r="BM168" i="119"/>
  <c r="BQ168" i="119"/>
  <c r="AG168" i="119"/>
  <c r="AK168" i="119"/>
  <c r="AO168" i="119"/>
  <c r="AT168" i="119"/>
  <c r="AX168" i="119"/>
  <c r="BB168" i="119"/>
  <c r="BF168" i="119"/>
  <c r="BJ168" i="119"/>
  <c r="BN168" i="119"/>
  <c r="BR168" i="119"/>
  <c r="AH168" i="119"/>
  <c r="AL168" i="119"/>
  <c r="AP168" i="119"/>
  <c r="AU168" i="119"/>
  <c r="AY168" i="119"/>
  <c r="BC168" i="119"/>
  <c r="BG168" i="119"/>
  <c r="BK168" i="119"/>
  <c r="BO168" i="119"/>
  <c r="BS168" i="119"/>
  <c r="AI168" i="119"/>
  <c r="AM168" i="119"/>
  <c r="AQ168" i="119"/>
  <c r="AV168" i="119"/>
  <c r="AZ168" i="119"/>
  <c r="BD168" i="119"/>
  <c r="BH168" i="119"/>
  <c r="BL168" i="119"/>
  <c r="BP168" i="119"/>
  <c r="BT168" i="119"/>
  <c r="AG167" i="119"/>
  <c r="AK167" i="119"/>
  <c r="AO167" i="119"/>
  <c r="AT167" i="119"/>
  <c r="AX167" i="119"/>
  <c r="BB167" i="119"/>
  <c r="BF167" i="119"/>
  <c r="BJ167" i="119"/>
  <c r="BN167" i="119"/>
  <c r="BR167" i="119"/>
  <c r="AH167" i="119"/>
  <c r="AL167" i="119"/>
  <c r="AP167" i="119"/>
  <c r="AU167" i="119"/>
  <c r="AY167" i="119"/>
  <c r="BC167" i="119"/>
  <c r="BG167" i="119"/>
  <c r="BK167" i="119"/>
  <c r="BO167" i="119"/>
  <c r="BS167" i="119"/>
  <c r="AI167" i="119"/>
  <c r="AM167" i="119"/>
  <c r="AQ167" i="119"/>
  <c r="AV167" i="119"/>
  <c r="AZ167" i="119"/>
  <c r="BD167" i="119"/>
  <c r="BH167" i="119"/>
  <c r="BL167" i="119"/>
  <c r="BP167" i="119"/>
  <c r="BT167" i="119"/>
  <c r="AF167" i="119"/>
  <c r="AJ167" i="119"/>
  <c r="AN167" i="119"/>
  <c r="AS167" i="119"/>
  <c r="AW167" i="119"/>
  <c r="BA167" i="119"/>
  <c r="BE167" i="119"/>
  <c r="BI167" i="119"/>
  <c r="BM167" i="119"/>
  <c r="BQ167" i="119"/>
  <c r="AI169" i="119"/>
  <c r="AM169" i="119"/>
  <c r="AQ169" i="119"/>
  <c r="AV169" i="119"/>
  <c r="AZ169" i="119"/>
  <c r="BD169" i="119"/>
  <c r="BH169" i="119"/>
  <c r="AF169" i="119"/>
  <c r="AJ169" i="119"/>
  <c r="AN169" i="119"/>
  <c r="AS169" i="119"/>
  <c r="AW169" i="119"/>
  <c r="BA169" i="119"/>
  <c r="BE169" i="119"/>
  <c r="BI169" i="119"/>
  <c r="BM169" i="119"/>
  <c r="BQ169" i="119"/>
  <c r="AG169" i="119"/>
  <c r="AK169" i="119"/>
  <c r="AO169" i="119"/>
  <c r="AT169" i="119"/>
  <c r="AX169" i="119"/>
  <c r="BB169" i="119"/>
  <c r="BF169" i="119"/>
  <c r="BJ169" i="119"/>
  <c r="BN169" i="119"/>
  <c r="BR169" i="119"/>
  <c r="AH169" i="119"/>
  <c r="AL169" i="119"/>
  <c r="AP169" i="119"/>
  <c r="AU169" i="119"/>
  <c r="AY169" i="119"/>
  <c r="BC169" i="119"/>
  <c r="BG169" i="119"/>
  <c r="BK169" i="119"/>
  <c r="BS169" i="119"/>
  <c r="BL169" i="119"/>
  <c r="BT169" i="119"/>
  <c r="BO169" i="119"/>
  <c r="BP169" i="119"/>
  <c r="AG151" i="119"/>
  <c r="AK151" i="119"/>
  <c r="AO151" i="119"/>
  <c r="AT151" i="119"/>
  <c r="AX151" i="119"/>
  <c r="BB151" i="119"/>
  <c r="BF151" i="119"/>
  <c r="BJ151" i="119"/>
  <c r="BN151" i="119"/>
  <c r="BR151" i="119"/>
  <c r="AH151" i="119"/>
  <c r="AL151" i="119"/>
  <c r="AP151" i="119"/>
  <c r="AU151" i="119"/>
  <c r="AY151" i="119"/>
  <c r="BC151" i="119"/>
  <c r="BG151" i="119"/>
  <c r="BK151" i="119"/>
  <c r="BO151" i="119"/>
  <c r="BS151" i="119"/>
  <c r="AI151" i="119"/>
  <c r="AM151" i="119"/>
  <c r="AQ151" i="119"/>
  <c r="AV151" i="119"/>
  <c r="AZ151" i="119"/>
  <c r="BD151" i="119"/>
  <c r="BH151" i="119"/>
  <c r="BL151" i="119"/>
  <c r="BP151" i="119"/>
  <c r="BT151" i="119"/>
  <c r="AF151" i="119"/>
  <c r="AJ151" i="119"/>
  <c r="AN151" i="119"/>
  <c r="AS151" i="119"/>
  <c r="AW151" i="119"/>
  <c r="BA151" i="119"/>
  <c r="BE151" i="119"/>
  <c r="BI151" i="119"/>
  <c r="BM151" i="119"/>
  <c r="BQ151" i="119"/>
  <c r="AH112" i="119"/>
  <c r="AL112" i="119"/>
  <c r="AP112" i="119"/>
  <c r="AU112" i="119"/>
  <c r="AY112" i="119"/>
  <c r="BC112" i="119"/>
  <c r="BG112" i="119"/>
  <c r="BK112" i="119"/>
  <c r="BO112" i="119"/>
  <c r="BS112" i="119"/>
  <c r="AF112" i="119"/>
  <c r="AK112" i="119"/>
  <c r="AQ112" i="119"/>
  <c r="AW112" i="119"/>
  <c r="BB112" i="119"/>
  <c r="BH112" i="119"/>
  <c r="BM112" i="119"/>
  <c r="BR112" i="119"/>
  <c r="AG112" i="119"/>
  <c r="AM112" i="119"/>
  <c r="AS112" i="119"/>
  <c r="AX112" i="119"/>
  <c r="BD112" i="119"/>
  <c r="BI112" i="119"/>
  <c r="BN112" i="119"/>
  <c r="BT112" i="119"/>
  <c r="AI112" i="119"/>
  <c r="AN112" i="119"/>
  <c r="AT112" i="119"/>
  <c r="AZ112" i="119"/>
  <c r="BE112" i="119"/>
  <c r="BJ112" i="119"/>
  <c r="BP112" i="119"/>
  <c r="AJ112" i="119"/>
  <c r="AO112" i="119"/>
  <c r="AV112" i="119"/>
  <c r="BA112" i="119"/>
  <c r="BF112" i="119"/>
  <c r="BL112" i="119"/>
  <c r="BQ112" i="119"/>
  <c r="AI157" i="119"/>
  <c r="AM157" i="119"/>
  <c r="AQ157" i="119"/>
  <c r="AV157" i="119"/>
  <c r="AZ157" i="119"/>
  <c r="BD157" i="119"/>
  <c r="BH157" i="119"/>
  <c r="BL157" i="119"/>
  <c r="BP157" i="119"/>
  <c r="BT157" i="119"/>
  <c r="AF157" i="119"/>
  <c r="AJ157" i="119"/>
  <c r="AN157" i="119"/>
  <c r="AS157" i="119"/>
  <c r="AW157" i="119"/>
  <c r="BA157" i="119"/>
  <c r="BE157" i="119"/>
  <c r="BI157" i="119"/>
  <c r="BM157" i="119"/>
  <c r="BQ157" i="119"/>
  <c r="AG157" i="119"/>
  <c r="AK157" i="119"/>
  <c r="AO157" i="119"/>
  <c r="AT157" i="119"/>
  <c r="AX157" i="119"/>
  <c r="BB157" i="119"/>
  <c r="BF157" i="119"/>
  <c r="BJ157" i="119"/>
  <c r="BN157" i="119"/>
  <c r="BR157" i="119"/>
  <c r="AH157" i="119"/>
  <c r="AL157" i="119"/>
  <c r="AP157" i="119"/>
  <c r="AU157" i="119"/>
  <c r="AY157" i="119"/>
  <c r="BC157" i="119"/>
  <c r="BG157" i="119"/>
  <c r="BK157" i="119"/>
  <c r="BO157" i="119"/>
  <c r="BS157" i="119"/>
  <c r="AF124" i="119"/>
  <c r="AJ124" i="119"/>
  <c r="AN124" i="119"/>
  <c r="AS124" i="119"/>
  <c r="AW124" i="119"/>
  <c r="BA124" i="119"/>
  <c r="BE124" i="119"/>
  <c r="BI124" i="119"/>
  <c r="BM124" i="119"/>
  <c r="BQ124" i="119"/>
  <c r="AG124" i="119"/>
  <c r="AK124" i="119"/>
  <c r="AO124" i="119"/>
  <c r="AT124" i="119"/>
  <c r="AX124" i="119"/>
  <c r="BB124" i="119"/>
  <c r="BF124" i="119"/>
  <c r="BJ124" i="119"/>
  <c r="BN124" i="119"/>
  <c r="BR124" i="119"/>
  <c r="AH124" i="119"/>
  <c r="AL124" i="119"/>
  <c r="AP124" i="119"/>
  <c r="AU124" i="119"/>
  <c r="AY124" i="119"/>
  <c r="BC124" i="119"/>
  <c r="BG124" i="119"/>
  <c r="BK124" i="119"/>
  <c r="BO124" i="119"/>
  <c r="BS124" i="119"/>
  <c r="AI124" i="119"/>
  <c r="AM124" i="119"/>
  <c r="AQ124" i="119"/>
  <c r="AV124" i="119"/>
  <c r="AZ124" i="119"/>
  <c r="BD124" i="119"/>
  <c r="BH124" i="119"/>
  <c r="BL124" i="119"/>
  <c r="BP124" i="119"/>
  <c r="BT124" i="119"/>
  <c r="AF160" i="119"/>
  <c r="AJ160" i="119"/>
  <c r="AN160" i="119"/>
  <c r="AS160" i="119"/>
  <c r="AW160" i="119"/>
  <c r="BA160" i="119"/>
  <c r="BE160" i="119"/>
  <c r="BI160" i="119"/>
  <c r="BM160" i="119"/>
  <c r="BQ160" i="119"/>
  <c r="AG160" i="119"/>
  <c r="AK160" i="119"/>
  <c r="AO160" i="119"/>
  <c r="AT160" i="119"/>
  <c r="AX160" i="119"/>
  <c r="BB160" i="119"/>
  <c r="BF160" i="119"/>
  <c r="BJ160" i="119"/>
  <c r="BN160" i="119"/>
  <c r="BR160" i="119"/>
  <c r="AH160" i="119"/>
  <c r="AL160" i="119"/>
  <c r="AP160" i="119"/>
  <c r="AU160" i="119"/>
  <c r="AY160" i="119"/>
  <c r="BC160" i="119"/>
  <c r="BG160" i="119"/>
  <c r="BK160" i="119"/>
  <c r="BO160" i="119"/>
  <c r="BS160" i="119"/>
  <c r="AI160" i="119"/>
  <c r="AM160" i="119"/>
  <c r="AQ160" i="119"/>
  <c r="AV160" i="119"/>
  <c r="AZ160" i="119"/>
  <c r="BD160" i="119"/>
  <c r="BH160" i="119"/>
  <c r="BL160" i="119"/>
  <c r="BP160" i="119"/>
  <c r="BT160" i="119"/>
  <c r="AH118" i="119"/>
  <c r="AL118" i="119"/>
  <c r="AP118" i="119"/>
  <c r="AU118" i="119"/>
  <c r="AY118" i="119"/>
  <c r="BC118" i="119"/>
  <c r="BG118" i="119"/>
  <c r="BK118" i="119"/>
  <c r="BO118" i="119"/>
  <c r="BS118" i="119"/>
  <c r="AI118" i="119"/>
  <c r="AM118" i="119"/>
  <c r="AQ118" i="119"/>
  <c r="AV118" i="119"/>
  <c r="AZ118" i="119"/>
  <c r="BD118" i="119"/>
  <c r="BH118" i="119"/>
  <c r="BL118" i="119"/>
  <c r="BP118" i="119"/>
  <c r="BT118" i="119"/>
  <c r="AF118" i="119"/>
  <c r="AJ118" i="119"/>
  <c r="AN118" i="119"/>
  <c r="AS118" i="119"/>
  <c r="AW118" i="119"/>
  <c r="BA118" i="119"/>
  <c r="BE118" i="119"/>
  <c r="BI118" i="119"/>
  <c r="BM118" i="119"/>
  <c r="BQ118" i="119"/>
  <c r="AG118" i="119"/>
  <c r="AK118" i="119"/>
  <c r="AO118" i="119"/>
  <c r="AT118" i="119"/>
  <c r="AX118" i="119"/>
  <c r="BB118" i="119"/>
  <c r="BF118" i="119"/>
  <c r="BJ118" i="119"/>
  <c r="BN118" i="119"/>
  <c r="BR118" i="119"/>
  <c r="AF114" i="119"/>
  <c r="AJ114" i="119"/>
  <c r="AN114" i="119"/>
  <c r="AS114" i="119"/>
  <c r="AW114" i="119"/>
  <c r="BA114" i="119"/>
  <c r="BE114" i="119"/>
  <c r="BI114" i="119"/>
  <c r="BM114" i="119"/>
  <c r="BQ114" i="119"/>
  <c r="AI114" i="119"/>
  <c r="AO114" i="119"/>
  <c r="AU114" i="119"/>
  <c r="AZ114" i="119"/>
  <c r="BF114" i="119"/>
  <c r="BK114" i="119"/>
  <c r="BP114" i="119"/>
  <c r="AK114" i="119"/>
  <c r="AP114" i="119"/>
  <c r="AV114" i="119"/>
  <c r="BB114" i="119"/>
  <c r="BG114" i="119"/>
  <c r="BL114" i="119"/>
  <c r="BR114" i="119"/>
  <c r="AG114" i="119"/>
  <c r="AL114" i="119"/>
  <c r="AQ114" i="119"/>
  <c r="AX114" i="119"/>
  <c r="BC114" i="119"/>
  <c r="BH114" i="119"/>
  <c r="BN114" i="119"/>
  <c r="BS114" i="119"/>
  <c r="AH114" i="119"/>
  <c r="AM114" i="119"/>
  <c r="AT114" i="119"/>
  <c r="AY114" i="119"/>
  <c r="BD114" i="119"/>
  <c r="BJ114" i="119"/>
  <c r="BO114" i="119"/>
  <c r="BT114" i="119"/>
  <c r="AH158" i="119"/>
  <c r="AL158" i="119"/>
  <c r="AP158" i="119"/>
  <c r="AU158" i="119"/>
  <c r="AY158" i="119"/>
  <c r="BC158" i="119"/>
  <c r="BG158" i="119"/>
  <c r="BK158" i="119"/>
  <c r="BO158" i="119"/>
  <c r="BS158" i="119"/>
  <c r="AI158" i="119"/>
  <c r="AM158" i="119"/>
  <c r="AQ158" i="119"/>
  <c r="AV158" i="119"/>
  <c r="AZ158" i="119"/>
  <c r="BD158" i="119"/>
  <c r="BH158" i="119"/>
  <c r="BL158" i="119"/>
  <c r="BP158" i="119"/>
  <c r="BT158" i="119"/>
  <c r="AF158" i="119"/>
  <c r="AJ158" i="119"/>
  <c r="AN158" i="119"/>
  <c r="AS158" i="119"/>
  <c r="AW158" i="119"/>
  <c r="BA158" i="119"/>
  <c r="BE158" i="119"/>
  <c r="BI158" i="119"/>
  <c r="BM158" i="119"/>
  <c r="BQ158" i="119"/>
  <c r="AG158" i="119"/>
  <c r="AK158" i="119"/>
  <c r="AO158" i="119"/>
  <c r="AT158" i="119"/>
  <c r="AX158" i="119"/>
  <c r="BB158" i="119"/>
  <c r="BF158" i="119"/>
  <c r="BJ158" i="119"/>
  <c r="BN158" i="119"/>
  <c r="BR158" i="119"/>
  <c r="AG139" i="119"/>
  <c r="AK139" i="119"/>
  <c r="AO139" i="119"/>
  <c r="AT139" i="119"/>
  <c r="AX139" i="119"/>
  <c r="BB139" i="119"/>
  <c r="BF139" i="119"/>
  <c r="BJ139" i="119"/>
  <c r="BN139" i="119"/>
  <c r="BR139" i="119"/>
  <c r="AH139" i="119"/>
  <c r="AL139" i="119"/>
  <c r="AP139" i="119"/>
  <c r="AU139" i="119"/>
  <c r="AY139" i="119"/>
  <c r="BC139" i="119"/>
  <c r="BG139" i="119"/>
  <c r="BK139" i="119"/>
  <c r="BO139" i="119"/>
  <c r="BS139" i="119"/>
  <c r="AI139" i="119"/>
  <c r="AM139" i="119"/>
  <c r="AQ139" i="119"/>
  <c r="AV139" i="119"/>
  <c r="AZ139" i="119"/>
  <c r="BD139" i="119"/>
  <c r="BH139" i="119"/>
  <c r="BL139" i="119"/>
  <c r="BP139" i="119"/>
  <c r="BT139" i="119"/>
  <c r="AF139" i="119"/>
  <c r="AJ139" i="119"/>
  <c r="AN139" i="119"/>
  <c r="AS139" i="119"/>
  <c r="AW139" i="119"/>
  <c r="BA139" i="119"/>
  <c r="BE139" i="119"/>
  <c r="BI139" i="119"/>
  <c r="BM139" i="119"/>
  <c r="BQ139" i="119"/>
  <c r="AI141" i="119"/>
  <c r="AM141" i="119"/>
  <c r="AQ141" i="119"/>
  <c r="AV141" i="119"/>
  <c r="AZ141" i="119"/>
  <c r="BD141" i="119"/>
  <c r="BH141" i="119"/>
  <c r="BL141" i="119"/>
  <c r="BP141" i="119"/>
  <c r="BT141" i="119"/>
  <c r="AF141" i="119"/>
  <c r="AJ141" i="119"/>
  <c r="AN141" i="119"/>
  <c r="AS141" i="119"/>
  <c r="AW141" i="119"/>
  <c r="BA141" i="119"/>
  <c r="BE141" i="119"/>
  <c r="BI141" i="119"/>
  <c r="BM141" i="119"/>
  <c r="BQ141" i="119"/>
  <c r="AG141" i="119"/>
  <c r="AK141" i="119"/>
  <c r="AO141" i="119"/>
  <c r="AT141" i="119"/>
  <c r="AX141" i="119"/>
  <c r="BB141" i="119"/>
  <c r="BF141" i="119"/>
  <c r="BJ141" i="119"/>
  <c r="BN141" i="119"/>
  <c r="BR141" i="119"/>
  <c r="AH141" i="119"/>
  <c r="AL141" i="119"/>
  <c r="AP141" i="119"/>
  <c r="AU141" i="119"/>
  <c r="AY141" i="119"/>
  <c r="BC141" i="119"/>
  <c r="BG141" i="119"/>
  <c r="BK141" i="119"/>
  <c r="BO141" i="119"/>
  <c r="BS141" i="119"/>
  <c r="AG159" i="119"/>
  <c r="AK159" i="119"/>
  <c r="AO159" i="119"/>
  <c r="AT159" i="119"/>
  <c r="AX159" i="119"/>
  <c r="BB159" i="119"/>
  <c r="BF159" i="119"/>
  <c r="BJ159" i="119"/>
  <c r="BN159" i="119"/>
  <c r="BR159" i="119"/>
  <c r="AH159" i="119"/>
  <c r="AL159" i="119"/>
  <c r="AP159" i="119"/>
  <c r="AU159" i="119"/>
  <c r="AY159" i="119"/>
  <c r="BC159" i="119"/>
  <c r="BG159" i="119"/>
  <c r="BK159" i="119"/>
  <c r="BO159" i="119"/>
  <c r="BS159" i="119"/>
  <c r="AI159" i="119"/>
  <c r="AM159" i="119"/>
  <c r="AQ159" i="119"/>
  <c r="AV159" i="119"/>
  <c r="AZ159" i="119"/>
  <c r="BD159" i="119"/>
  <c r="BH159" i="119"/>
  <c r="BL159" i="119"/>
  <c r="BP159" i="119"/>
  <c r="BT159" i="119"/>
  <c r="AF159" i="119"/>
  <c r="AJ159" i="119"/>
  <c r="AN159" i="119"/>
  <c r="AS159" i="119"/>
  <c r="AW159" i="119"/>
  <c r="BA159" i="119"/>
  <c r="BE159" i="119"/>
  <c r="BI159" i="119"/>
  <c r="BM159" i="119"/>
  <c r="BQ159" i="119"/>
  <c r="AH41" i="119"/>
  <c r="AL41" i="119"/>
  <c r="AP41" i="119"/>
  <c r="AU41" i="119"/>
  <c r="AY41" i="119"/>
  <c r="BC41" i="119"/>
  <c r="BG41" i="119"/>
  <c r="BK41" i="119"/>
  <c r="BO41" i="119"/>
  <c r="BS41" i="119"/>
  <c r="AI41" i="119"/>
  <c r="AM41" i="119"/>
  <c r="AQ41" i="119"/>
  <c r="AV41" i="119"/>
  <c r="AZ41" i="119"/>
  <c r="BD41" i="119"/>
  <c r="BH41" i="119"/>
  <c r="BL41" i="119"/>
  <c r="BP41" i="119"/>
  <c r="BT41" i="119"/>
  <c r="AF41" i="119"/>
  <c r="AJ41" i="119"/>
  <c r="AN41" i="119"/>
  <c r="AS41" i="119"/>
  <c r="AW41" i="119"/>
  <c r="BA41" i="119"/>
  <c r="BE41" i="119"/>
  <c r="BI41" i="119"/>
  <c r="BM41" i="119"/>
  <c r="BQ41" i="119"/>
  <c r="AG41" i="119"/>
  <c r="AK41" i="119"/>
  <c r="AO41" i="119"/>
  <c r="AT41" i="119"/>
  <c r="AX41" i="119"/>
  <c r="BB41" i="119"/>
  <c r="BF41" i="119"/>
  <c r="BJ41" i="119"/>
  <c r="BN41" i="119"/>
  <c r="BR41" i="119"/>
  <c r="AI40" i="119"/>
  <c r="AM40" i="119"/>
  <c r="AQ40" i="119"/>
  <c r="AV40" i="119"/>
  <c r="AZ40" i="119"/>
  <c r="BD40" i="119"/>
  <c r="BH40" i="119"/>
  <c r="BL40" i="119"/>
  <c r="BP40" i="119"/>
  <c r="BT40" i="119"/>
  <c r="AF40" i="119"/>
  <c r="AJ40" i="119"/>
  <c r="AN40" i="119"/>
  <c r="AS40" i="119"/>
  <c r="AW40" i="119"/>
  <c r="BA40" i="119"/>
  <c r="BE40" i="119"/>
  <c r="BI40" i="119"/>
  <c r="BM40" i="119"/>
  <c r="BQ40" i="119"/>
  <c r="AG40" i="119"/>
  <c r="AK40" i="119"/>
  <c r="AO40" i="119"/>
  <c r="AT40" i="119"/>
  <c r="AX40" i="119"/>
  <c r="BB40" i="119"/>
  <c r="BF40" i="119"/>
  <c r="BJ40" i="119"/>
  <c r="BN40" i="119"/>
  <c r="BR40" i="119"/>
  <c r="AH40" i="119"/>
  <c r="AL40" i="119"/>
  <c r="AP40" i="119"/>
  <c r="AU40" i="119"/>
  <c r="AY40" i="119"/>
  <c r="BC40" i="119"/>
  <c r="BG40" i="119"/>
  <c r="BK40" i="119"/>
  <c r="BO40" i="119"/>
  <c r="BS40" i="119"/>
  <c r="AF14" i="119"/>
  <c r="AJ14" i="119"/>
  <c r="AN14" i="119"/>
  <c r="AS14" i="119"/>
  <c r="AW14" i="119"/>
  <c r="BA14" i="119"/>
  <c r="BE14" i="119"/>
  <c r="BI14" i="119"/>
  <c r="BM14" i="119"/>
  <c r="BQ14" i="119"/>
  <c r="AG14" i="119"/>
  <c r="AK14" i="119"/>
  <c r="AO14" i="119"/>
  <c r="AT14" i="119"/>
  <c r="AX14" i="119"/>
  <c r="BB14" i="119"/>
  <c r="BF14" i="119"/>
  <c r="BJ14" i="119"/>
  <c r="BN14" i="119"/>
  <c r="BR14" i="119"/>
  <c r="AH14" i="119"/>
  <c r="AL14" i="119"/>
  <c r="AP14" i="119"/>
  <c r="AU14" i="119"/>
  <c r="AY14" i="119"/>
  <c r="BC14" i="119"/>
  <c r="BG14" i="119"/>
  <c r="BK14" i="119"/>
  <c r="BO14" i="119"/>
  <c r="BS14" i="119"/>
  <c r="AI14" i="119"/>
  <c r="AM14" i="119"/>
  <c r="AQ14" i="119"/>
  <c r="AV14" i="119"/>
  <c r="AZ14" i="119"/>
  <c r="BD14" i="119"/>
  <c r="BH14" i="119"/>
  <c r="BL14" i="119"/>
  <c r="BP14" i="119"/>
  <c r="BT14" i="119"/>
  <c r="AF77" i="119"/>
  <c r="AJ77" i="119"/>
  <c r="AN77" i="119"/>
  <c r="AS77" i="119"/>
  <c r="AW77" i="119"/>
  <c r="BA77" i="119"/>
  <c r="BE77" i="119"/>
  <c r="BI77" i="119"/>
  <c r="BM77" i="119"/>
  <c r="BQ77" i="119"/>
  <c r="AG77" i="119"/>
  <c r="AK77" i="119"/>
  <c r="AO77" i="119"/>
  <c r="AT77" i="119"/>
  <c r="AX77" i="119"/>
  <c r="BB77" i="119"/>
  <c r="BF77" i="119"/>
  <c r="BJ77" i="119"/>
  <c r="BN77" i="119"/>
  <c r="BR77" i="119"/>
  <c r="AH77" i="119"/>
  <c r="AL77" i="119"/>
  <c r="AP77" i="119"/>
  <c r="AU77" i="119"/>
  <c r="AY77" i="119"/>
  <c r="BC77" i="119"/>
  <c r="BG77" i="119"/>
  <c r="BK77" i="119"/>
  <c r="BO77" i="119"/>
  <c r="BS77" i="119"/>
  <c r="AI77" i="119"/>
  <c r="AM77" i="119"/>
  <c r="AQ77" i="119"/>
  <c r="AV77" i="119"/>
  <c r="AZ77" i="119"/>
  <c r="BD77" i="119"/>
  <c r="BH77" i="119"/>
  <c r="BL77" i="119"/>
  <c r="BP77" i="119"/>
  <c r="BT77" i="119"/>
  <c r="AG76" i="119"/>
  <c r="AK76" i="119"/>
  <c r="AO76" i="119"/>
  <c r="AT76" i="119"/>
  <c r="AX76" i="119"/>
  <c r="BB76" i="119"/>
  <c r="BF76" i="119"/>
  <c r="BJ76" i="119"/>
  <c r="BN76" i="119"/>
  <c r="BR76" i="119"/>
  <c r="AH76" i="119"/>
  <c r="AL76" i="119"/>
  <c r="AP76" i="119"/>
  <c r="AU76" i="119"/>
  <c r="AY76" i="119"/>
  <c r="BC76" i="119"/>
  <c r="BG76" i="119"/>
  <c r="BK76" i="119"/>
  <c r="BO76" i="119"/>
  <c r="BS76" i="119"/>
  <c r="AI76" i="119"/>
  <c r="AM76" i="119"/>
  <c r="AQ76" i="119"/>
  <c r="AV76" i="119"/>
  <c r="AZ76" i="119"/>
  <c r="BD76" i="119"/>
  <c r="BH76" i="119"/>
  <c r="BL76" i="119"/>
  <c r="BP76" i="119"/>
  <c r="BT76" i="119"/>
  <c r="AF76" i="119"/>
  <c r="AJ76" i="119"/>
  <c r="AN76" i="119"/>
  <c r="AS76" i="119"/>
  <c r="AW76" i="119"/>
  <c r="BA76" i="119"/>
  <c r="BE76" i="119"/>
  <c r="BI76" i="119"/>
  <c r="BM76" i="119"/>
  <c r="BQ76" i="119"/>
  <c r="AI97" i="119"/>
  <c r="AM97" i="119"/>
  <c r="AQ97" i="119"/>
  <c r="AV97" i="119"/>
  <c r="AZ97" i="119"/>
  <c r="BD97" i="119"/>
  <c r="BH97" i="119"/>
  <c r="BL97" i="119"/>
  <c r="BP97" i="119"/>
  <c r="BT97" i="119"/>
  <c r="AF97" i="119"/>
  <c r="AJ97" i="119"/>
  <c r="AN97" i="119"/>
  <c r="AS97" i="119"/>
  <c r="AW97" i="119"/>
  <c r="BA97" i="119"/>
  <c r="BE97" i="119"/>
  <c r="BI97" i="119"/>
  <c r="BM97" i="119"/>
  <c r="BQ97" i="119"/>
  <c r="AG97" i="119"/>
  <c r="AK97" i="119"/>
  <c r="AO97" i="119"/>
  <c r="AT97" i="119"/>
  <c r="AX97" i="119"/>
  <c r="BB97" i="119"/>
  <c r="BF97" i="119"/>
  <c r="BJ97" i="119"/>
  <c r="BN97" i="119"/>
  <c r="BR97" i="119"/>
  <c r="AH97" i="119"/>
  <c r="AL97" i="119"/>
  <c r="AP97" i="119"/>
  <c r="AU97" i="119"/>
  <c r="AY97" i="119"/>
  <c r="BC97" i="119"/>
  <c r="BG97" i="119"/>
  <c r="BK97" i="119"/>
  <c r="BO97" i="119"/>
  <c r="BS97" i="119"/>
  <c r="AH105" i="119"/>
  <c r="AL105" i="119"/>
  <c r="AP105" i="119"/>
  <c r="AU105" i="119"/>
  <c r="AY105" i="119"/>
  <c r="BC105" i="119"/>
  <c r="BG105" i="119"/>
  <c r="BK105" i="119"/>
  <c r="BO105" i="119"/>
  <c r="BS105" i="119"/>
  <c r="AI105" i="119"/>
  <c r="AM105" i="119"/>
  <c r="AQ105" i="119"/>
  <c r="AV105" i="119"/>
  <c r="AZ105" i="119"/>
  <c r="BD105" i="119"/>
  <c r="BH105" i="119"/>
  <c r="BL105" i="119"/>
  <c r="BP105" i="119"/>
  <c r="BT105" i="119"/>
  <c r="AF105" i="119"/>
  <c r="AJ105" i="119"/>
  <c r="AN105" i="119"/>
  <c r="AS105" i="119"/>
  <c r="AW105" i="119"/>
  <c r="BA105" i="119"/>
  <c r="BE105" i="119"/>
  <c r="BI105" i="119"/>
  <c r="BM105" i="119"/>
  <c r="BQ105" i="119"/>
  <c r="AG105" i="119"/>
  <c r="AK105" i="119"/>
  <c r="AO105" i="119"/>
  <c r="AT105" i="119"/>
  <c r="AX105" i="119"/>
  <c r="BB105" i="119"/>
  <c r="BF105" i="119"/>
  <c r="BJ105" i="119"/>
  <c r="BN105" i="119"/>
  <c r="BR105" i="119"/>
  <c r="AH5" i="119"/>
  <c r="AL5" i="119"/>
  <c r="AP5" i="119"/>
  <c r="AU5" i="119"/>
  <c r="AY5" i="119"/>
  <c r="BC5" i="119"/>
  <c r="BG5" i="119"/>
  <c r="BK5" i="119"/>
  <c r="BO5" i="119"/>
  <c r="BS5" i="119"/>
  <c r="AI5" i="119"/>
  <c r="AM5" i="119"/>
  <c r="AQ5" i="119"/>
  <c r="AV5" i="119"/>
  <c r="AZ5" i="119"/>
  <c r="BD5" i="119"/>
  <c r="BH5" i="119"/>
  <c r="BL5" i="119"/>
  <c r="BP5" i="119"/>
  <c r="BT5" i="119"/>
  <c r="AF5" i="119"/>
  <c r="AJ5" i="119"/>
  <c r="AN5" i="119"/>
  <c r="AS5" i="119"/>
  <c r="AW5" i="119"/>
  <c r="BA5" i="119"/>
  <c r="BE5" i="119"/>
  <c r="BI5" i="119"/>
  <c r="BM5" i="119"/>
  <c r="BQ5" i="119"/>
  <c r="AG5" i="119"/>
  <c r="AK5" i="119"/>
  <c r="AO5" i="119"/>
  <c r="AT5" i="119"/>
  <c r="AX5" i="119"/>
  <c r="BB5" i="119"/>
  <c r="BF5" i="119"/>
  <c r="BJ5" i="119"/>
  <c r="BN5" i="119"/>
  <c r="BR5" i="119"/>
  <c r="AG54" i="119"/>
  <c r="AK54" i="119"/>
  <c r="AO54" i="119"/>
  <c r="AT54" i="119"/>
  <c r="AX54" i="119"/>
  <c r="BB54" i="119"/>
  <c r="BF54" i="119"/>
  <c r="BJ54" i="119"/>
  <c r="BN54" i="119"/>
  <c r="BR54" i="119"/>
  <c r="AH54" i="119"/>
  <c r="AL54" i="119"/>
  <c r="AP54" i="119"/>
  <c r="AU54" i="119"/>
  <c r="AY54" i="119"/>
  <c r="BC54" i="119"/>
  <c r="BG54" i="119"/>
  <c r="BK54" i="119"/>
  <c r="BO54" i="119"/>
  <c r="BS54" i="119"/>
  <c r="AI54" i="119"/>
  <c r="AM54" i="119"/>
  <c r="AQ54" i="119"/>
  <c r="AV54" i="119"/>
  <c r="AZ54" i="119"/>
  <c r="BD54" i="119"/>
  <c r="BH54" i="119"/>
  <c r="BL54" i="119"/>
  <c r="BP54" i="119"/>
  <c r="BT54" i="119"/>
  <c r="AF54" i="119"/>
  <c r="AJ54" i="119"/>
  <c r="AN54" i="119"/>
  <c r="AS54" i="119"/>
  <c r="AW54" i="119"/>
  <c r="BA54" i="119"/>
  <c r="BE54" i="119"/>
  <c r="BI54" i="119"/>
  <c r="BM54" i="119"/>
  <c r="BQ54" i="119"/>
  <c r="AF26" i="119"/>
  <c r="AJ26" i="119"/>
  <c r="AN26" i="119"/>
  <c r="AS26" i="119"/>
  <c r="AW26" i="119"/>
  <c r="BA26" i="119"/>
  <c r="BE26" i="119"/>
  <c r="BI26" i="119"/>
  <c r="BM26" i="119"/>
  <c r="BQ26" i="119"/>
  <c r="AG26" i="119"/>
  <c r="AK26" i="119"/>
  <c r="AO26" i="119"/>
  <c r="AT26" i="119"/>
  <c r="AX26" i="119"/>
  <c r="BB26" i="119"/>
  <c r="BF26" i="119"/>
  <c r="BJ26" i="119"/>
  <c r="BN26" i="119"/>
  <c r="BR26" i="119"/>
  <c r="AH26" i="119"/>
  <c r="AL26" i="119"/>
  <c r="AP26" i="119"/>
  <c r="AU26" i="119"/>
  <c r="AY26" i="119"/>
  <c r="BC26" i="119"/>
  <c r="BG26" i="119"/>
  <c r="BK26" i="119"/>
  <c r="BO26" i="119"/>
  <c r="BS26" i="119"/>
  <c r="AI26" i="119"/>
  <c r="AM26" i="119"/>
  <c r="AQ26" i="119"/>
  <c r="AV26" i="119"/>
  <c r="AZ26" i="119"/>
  <c r="BD26" i="119"/>
  <c r="BH26" i="119"/>
  <c r="BL26" i="119"/>
  <c r="BP26" i="119"/>
  <c r="BT26" i="119"/>
  <c r="AI27" i="119"/>
  <c r="AM27" i="119"/>
  <c r="AQ27" i="119"/>
  <c r="AV27" i="119"/>
  <c r="AZ27" i="119"/>
  <c r="BD27" i="119"/>
  <c r="BH27" i="119"/>
  <c r="BL27" i="119"/>
  <c r="BP27" i="119"/>
  <c r="BT27" i="119"/>
  <c r="AF27" i="119"/>
  <c r="AJ27" i="119"/>
  <c r="AN27" i="119"/>
  <c r="AS27" i="119"/>
  <c r="AW27" i="119"/>
  <c r="BA27" i="119"/>
  <c r="BE27" i="119"/>
  <c r="BI27" i="119"/>
  <c r="BM27" i="119"/>
  <c r="BQ27" i="119"/>
  <c r="AG27" i="119"/>
  <c r="AK27" i="119"/>
  <c r="AO27" i="119"/>
  <c r="AT27" i="119"/>
  <c r="AX27" i="119"/>
  <c r="BB27" i="119"/>
  <c r="BF27" i="119"/>
  <c r="BJ27" i="119"/>
  <c r="BN27" i="119"/>
  <c r="BR27" i="119"/>
  <c r="AH27" i="119"/>
  <c r="AL27" i="119"/>
  <c r="AP27" i="119"/>
  <c r="AU27" i="119"/>
  <c r="AY27" i="119"/>
  <c r="BC27" i="119"/>
  <c r="BG27" i="119"/>
  <c r="BK27" i="119"/>
  <c r="BO27" i="119"/>
  <c r="BS27" i="119"/>
  <c r="AH28" i="119"/>
  <c r="AL28" i="119"/>
  <c r="AP28" i="119"/>
  <c r="AU28" i="119"/>
  <c r="AY28" i="119"/>
  <c r="BC28" i="119"/>
  <c r="BG28" i="119"/>
  <c r="BK28" i="119"/>
  <c r="BO28" i="119"/>
  <c r="BS28" i="119"/>
  <c r="AI28" i="119"/>
  <c r="AM28" i="119"/>
  <c r="AQ28" i="119"/>
  <c r="AV28" i="119"/>
  <c r="AZ28" i="119"/>
  <c r="BD28" i="119"/>
  <c r="BH28" i="119"/>
  <c r="BL28" i="119"/>
  <c r="BP28" i="119"/>
  <c r="BT28" i="119"/>
  <c r="AF28" i="119"/>
  <c r="AJ28" i="119"/>
  <c r="AN28" i="119"/>
  <c r="AS28" i="119"/>
  <c r="AW28" i="119"/>
  <c r="BA28" i="119"/>
  <c r="BE28" i="119"/>
  <c r="BI28" i="119"/>
  <c r="BM28" i="119"/>
  <c r="BQ28" i="119"/>
  <c r="AG28" i="119"/>
  <c r="AK28" i="119"/>
  <c r="AO28" i="119"/>
  <c r="AT28" i="119"/>
  <c r="AX28" i="119"/>
  <c r="BB28" i="119"/>
  <c r="BF28" i="119"/>
  <c r="BJ28" i="119"/>
  <c r="BN28" i="119"/>
  <c r="BR28" i="119"/>
  <c r="AG29" i="119"/>
  <c r="AK29" i="119"/>
  <c r="AO29" i="119"/>
  <c r="AT29" i="119"/>
  <c r="AX29" i="119"/>
  <c r="BB29" i="119"/>
  <c r="BF29" i="119"/>
  <c r="BJ29" i="119"/>
  <c r="BN29" i="119"/>
  <c r="BR29" i="119"/>
  <c r="AH29" i="119"/>
  <c r="AL29" i="119"/>
  <c r="AP29" i="119"/>
  <c r="AU29" i="119"/>
  <c r="AY29" i="119"/>
  <c r="BC29" i="119"/>
  <c r="BG29" i="119"/>
  <c r="BK29" i="119"/>
  <c r="BO29" i="119"/>
  <c r="BS29" i="119"/>
  <c r="AI29" i="119"/>
  <c r="AM29" i="119"/>
  <c r="AQ29" i="119"/>
  <c r="AV29" i="119"/>
  <c r="AZ29" i="119"/>
  <c r="BD29" i="119"/>
  <c r="BH29" i="119"/>
  <c r="BL29" i="119"/>
  <c r="BP29" i="119"/>
  <c r="BT29" i="119"/>
  <c r="AF29" i="119"/>
  <c r="AJ29" i="119"/>
  <c r="AN29" i="119"/>
  <c r="AS29" i="119"/>
  <c r="AW29" i="119"/>
  <c r="BA29" i="119"/>
  <c r="BE29" i="119"/>
  <c r="BI29" i="119"/>
  <c r="BM29" i="119"/>
  <c r="BQ29" i="119"/>
  <c r="AF30" i="119"/>
  <c r="AJ30" i="119"/>
  <c r="AN30" i="119"/>
  <c r="AS30" i="119"/>
  <c r="AW30" i="119"/>
  <c r="BA30" i="119"/>
  <c r="BE30" i="119"/>
  <c r="BI30" i="119"/>
  <c r="BM30" i="119"/>
  <c r="BQ30" i="119"/>
  <c r="AG30" i="119"/>
  <c r="AK30" i="119"/>
  <c r="AO30" i="119"/>
  <c r="AT30" i="119"/>
  <c r="AX30" i="119"/>
  <c r="BB30" i="119"/>
  <c r="BF30" i="119"/>
  <c r="BJ30" i="119"/>
  <c r="BN30" i="119"/>
  <c r="BR30" i="119"/>
  <c r="AH30" i="119"/>
  <c r="AL30" i="119"/>
  <c r="AP30" i="119"/>
  <c r="AU30" i="119"/>
  <c r="AY30" i="119"/>
  <c r="BC30" i="119"/>
  <c r="BG30" i="119"/>
  <c r="BK30" i="119"/>
  <c r="BO30" i="119"/>
  <c r="BS30" i="119"/>
  <c r="AI30" i="119"/>
  <c r="AM30" i="119"/>
  <c r="AQ30" i="119"/>
  <c r="AV30" i="119"/>
  <c r="AZ30" i="119"/>
  <c r="BD30" i="119"/>
  <c r="BH30" i="119"/>
  <c r="BL30" i="119"/>
  <c r="BP30" i="119"/>
  <c r="BT30" i="119"/>
  <c r="AH32" i="119"/>
  <c r="AL32" i="119"/>
  <c r="AP32" i="119"/>
  <c r="AU32" i="119"/>
  <c r="AY32" i="119"/>
  <c r="BC32" i="119"/>
  <c r="BG32" i="119"/>
  <c r="BK32" i="119"/>
  <c r="BO32" i="119"/>
  <c r="BS32" i="119"/>
  <c r="AI32" i="119"/>
  <c r="AM32" i="119"/>
  <c r="AQ32" i="119"/>
  <c r="AV32" i="119"/>
  <c r="AZ32" i="119"/>
  <c r="BD32" i="119"/>
  <c r="BH32" i="119"/>
  <c r="BL32" i="119"/>
  <c r="BP32" i="119"/>
  <c r="BT32" i="119"/>
  <c r="AF32" i="119"/>
  <c r="AJ32" i="119"/>
  <c r="AN32" i="119"/>
  <c r="AS32" i="119"/>
  <c r="AW32" i="119"/>
  <c r="BA32" i="119"/>
  <c r="BE32" i="119"/>
  <c r="BI32" i="119"/>
  <c r="BM32" i="119"/>
  <c r="BQ32" i="119"/>
  <c r="AG32" i="119"/>
  <c r="AK32" i="119"/>
  <c r="AO32" i="119"/>
  <c r="AT32" i="119"/>
  <c r="AX32" i="119"/>
  <c r="BB32" i="119"/>
  <c r="BF32" i="119"/>
  <c r="BJ32" i="119"/>
  <c r="BN32" i="119"/>
  <c r="BR32" i="119"/>
  <c r="AF85" i="119"/>
  <c r="AJ85" i="119"/>
  <c r="AN85" i="119"/>
  <c r="AS85" i="119"/>
  <c r="AW85" i="119"/>
  <c r="BA85" i="119"/>
  <c r="BE85" i="119"/>
  <c r="BI85" i="119"/>
  <c r="BM85" i="119"/>
  <c r="BQ85" i="119"/>
  <c r="AG85" i="119"/>
  <c r="AK85" i="119"/>
  <c r="AO85" i="119"/>
  <c r="AT85" i="119"/>
  <c r="AX85" i="119"/>
  <c r="BB85" i="119"/>
  <c r="BF85" i="119"/>
  <c r="BJ85" i="119"/>
  <c r="BN85" i="119"/>
  <c r="BR85" i="119"/>
  <c r="AH85" i="119"/>
  <c r="AL85" i="119"/>
  <c r="AP85" i="119"/>
  <c r="AU85" i="119"/>
  <c r="AY85" i="119"/>
  <c r="BC85" i="119"/>
  <c r="BG85" i="119"/>
  <c r="BK85" i="119"/>
  <c r="BO85" i="119"/>
  <c r="BS85" i="119"/>
  <c r="AI85" i="119"/>
  <c r="AM85" i="119"/>
  <c r="AQ85" i="119"/>
  <c r="AV85" i="119"/>
  <c r="AZ85" i="119"/>
  <c r="BD85" i="119"/>
  <c r="BH85" i="119"/>
  <c r="BL85" i="119"/>
  <c r="BP85" i="119"/>
  <c r="BT85" i="119"/>
  <c r="AF103" i="119"/>
  <c r="AJ103" i="119"/>
  <c r="AN103" i="119"/>
  <c r="AS103" i="119"/>
  <c r="AW103" i="119"/>
  <c r="BA103" i="119"/>
  <c r="BE103" i="119"/>
  <c r="BI103" i="119"/>
  <c r="BM103" i="119"/>
  <c r="BQ103" i="119"/>
  <c r="AG103" i="119"/>
  <c r="AK103" i="119"/>
  <c r="AO103" i="119"/>
  <c r="AT103" i="119"/>
  <c r="AX103" i="119"/>
  <c r="BB103" i="119"/>
  <c r="BF103" i="119"/>
  <c r="BJ103" i="119"/>
  <c r="BN103" i="119"/>
  <c r="BR103" i="119"/>
  <c r="AH103" i="119"/>
  <c r="AL103" i="119"/>
  <c r="AP103" i="119"/>
  <c r="AU103" i="119"/>
  <c r="AY103" i="119"/>
  <c r="BC103" i="119"/>
  <c r="BG103" i="119"/>
  <c r="BK103" i="119"/>
  <c r="BO103" i="119"/>
  <c r="BS103" i="119"/>
  <c r="AI103" i="119"/>
  <c r="AM103" i="119"/>
  <c r="AQ103" i="119"/>
  <c r="AV103" i="119"/>
  <c r="AZ103" i="119"/>
  <c r="BD103" i="119"/>
  <c r="BH103" i="119"/>
  <c r="BL103" i="119"/>
  <c r="BP103" i="119"/>
  <c r="BT103" i="119"/>
  <c r="P20" i="82"/>
  <c r="AC10" i="109"/>
  <c r="AN20" i="109"/>
  <c r="AJ20" i="109"/>
  <c r="AB10" i="109"/>
  <c r="AB20" i="109" s="1"/>
  <c r="AD19" i="80"/>
  <c r="AE19" i="80"/>
  <c r="AH20" i="109"/>
  <c r="AG20" i="109"/>
  <c r="AM20" i="109"/>
  <c r="AL20" i="109"/>
  <c r="AA20" i="109"/>
  <c r="AE20" i="109"/>
  <c r="O19" i="110"/>
  <c r="S19" i="110"/>
  <c r="P19" i="110"/>
  <c r="T19" i="110"/>
  <c r="J19" i="110"/>
  <c r="F19" i="110"/>
  <c r="B19" i="110"/>
  <c r="Q19" i="110"/>
  <c r="E19" i="110"/>
  <c r="C19" i="110"/>
  <c r="G19" i="110"/>
  <c r="K19" i="110"/>
  <c r="D19" i="110"/>
  <c r="H19" i="110"/>
  <c r="L19" i="110"/>
  <c r="I19" i="110"/>
  <c r="M19" i="110"/>
  <c r="E20" i="109"/>
  <c r="B20" i="109"/>
  <c r="H20" i="109"/>
  <c r="J20" i="109"/>
  <c r="N20" i="109"/>
  <c r="Q20" i="109"/>
  <c r="U20" i="109"/>
  <c r="Y20" i="109"/>
  <c r="AC20" i="109"/>
  <c r="F20" i="109"/>
  <c r="D20" i="109"/>
  <c r="I20" i="109"/>
  <c r="X20" i="109"/>
  <c r="AF20" i="109"/>
  <c r="M20" i="109"/>
  <c r="T20" i="109"/>
  <c r="K20" i="109"/>
  <c r="O20" i="109"/>
  <c r="R20" i="109"/>
  <c r="V20" i="109"/>
  <c r="Z20" i="109"/>
  <c r="AD20" i="109"/>
  <c r="L20" i="109"/>
  <c r="P20" i="109"/>
  <c r="S20" i="109"/>
  <c r="W20" i="109"/>
  <c r="E19" i="107"/>
  <c r="C19" i="107"/>
  <c r="M19" i="98"/>
  <c r="G19" i="98"/>
  <c r="F19" i="95"/>
  <c r="H19" i="95"/>
  <c r="E19" i="94"/>
  <c r="I19" i="94"/>
  <c r="M19" i="94"/>
  <c r="P19" i="94"/>
  <c r="T19" i="94"/>
  <c r="X19" i="94"/>
  <c r="C19" i="92"/>
  <c r="P19" i="92"/>
  <c r="S19" i="92"/>
  <c r="W19" i="92"/>
  <c r="AA19" i="92"/>
  <c r="AD19" i="92"/>
  <c r="H19" i="92"/>
  <c r="N19" i="92"/>
  <c r="M19" i="92"/>
  <c r="T19" i="92"/>
  <c r="X19" i="92"/>
  <c r="T19" i="91"/>
  <c r="F19" i="91"/>
  <c r="M19" i="91"/>
  <c r="P19" i="91"/>
  <c r="AB19" i="91"/>
  <c r="G19" i="91"/>
  <c r="J19" i="91"/>
  <c r="N19" i="91"/>
  <c r="Q19" i="91"/>
  <c r="U19" i="91"/>
  <c r="Y19" i="91"/>
  <c r="I19" i="91"/>
  <c r="X19" i="91"/>
  <c r="H19" i="91"/>
  <c r="U10" i="90"/>
  <c r="U19" i="90" s="1"/>
  <c r="R10" i="90"/>
  <c r="R19" i="90" s="1"/>
  <c r="B19" i="90"/>
  <c r="F19" i="90"/>
  <c r="O19" i="90"/>
  <c r="M19" i="90"/>
  <c r="S19" i="90"/>
  <c r="W19" i="90"/>
  <c r="I19" i="90"/>
  <c r="H10" i="89"/>
  <c r="F19" i="89"/>
  <c r="M19" i="89"/>
  <c r="P19" i="89"/>
  <c r="T19" i="89"/>
  <c r="X19" i="89"/>
  <c r="C19" i="89"/>
  <c r="K19" i="89"/>
  <c r="Q19" i="89"/>
  <c r="U19" i="89"/>
  <c r="Y19" i="89"/>
  <c r="D19" i="89"/>
  <c r="N19" i="89"/>
  <c r="R19" i="89"/>
  <c r="V19" i="89"/>
  <c r="Z19" i="89"/>
  <c r="AD19" i="89"/>
  <c r="B19" i="89"/>
  <c r="J19" i="89"/>
  <c r="AB19" i="89"/>
  <c r="G19" i="89"/>
  <c r="AC19" i="89"/>
  <c r="E19" i="89"/>
  <c r="I19" i="89"/>
  <c r="L19" i="89"/>
  <c r="O19" i="89"/>
  <c r="S19" i="89"/>
  <c r="W19" i="89"/>
  <c r="H19" i="89"/>
  <c r="Y20" i="88"/>
  <c r="R10" i="88"/>
  <c r="S19" i="88"/>
  <c r="O20" i="88"/>
  <c r="E20" i="88"/>
  <c r="I20" i="88"/>
  <c r="K20" i="88"/>
  <c r="R20" i="88"/>
  <c r="U20" i="88"/>
  <c r="M20" i="88"/>
  <c r="F20" i="88"/>
  <c r="J20" i="88"/>
  <c r="B20" i="88"/>
  <c r="L20" i="88"/>
  <c r="D20" i="88"/>
  <c r="H20" i="88"/>
  <c r="Q20" i="88"/>
  <c r="V20" i="88"/>
  <c r="X20" i="88"/>
  <c r="C20" i="88"/>
  <c r="G20" i="88"/>
  <c r="P20" i="88"/>
  <c r="T20" i="88"/>
  <c r="S20" i="88"/>
  <c r="W20" i="88"/>
  <c r="N20" i="88"/>
  <c r="AC19" i="87"/>
  <c r="Y19" i="87"/>
  <c r="U19" i="87"/>
  <c r="Q19" i="87"/>
  <c r="P19" i="87"/>
  <c r="T19" i="87"/>
  <c r="X19" i="87"/>
  <c r="AB19" i="87"/>
  <c r="E19" i="87"/>
  <c r="J19" i="87"/>
  <c r="B19" i="87"/>
  <c r="F19" i="87"/>
  <c r="N19" i="87"/>
  <c r="R19" i="87"/>
  <c r="V19" i="87"/>
  <c r="Z19" i="87"/>
  <c r="AD19" i="87"/>
  <c r="C19" i="87"/>
  <c r="G19" i="87"/>
  <c r="L19" i="87"/>
  <c r="O19" i="87"/>
  <c r="S19" i="87"/>
  <c r="W19" i="87"/>
  <c r="AA19" i="87"/>
  <c r="K19" i="87"/>
  <c r="I19" i="87"/>
  <c r="H19" i="87"/>
  <c r="U19" i="85"/>
  <c r="Y19" i="85"/>
  <c r="Z19" i="85"/>
  <c r="X19" i="85"/>
  <c r="V19" i="85"/>
  <c r="T19" i="85"/>
  <c r="R19" i="85"/>
  <c r="Q19" i="85"/>
  <c r="P19" i="85"/>
  <c r="N19" i="85"/>
  <c r="M19" i="85"/>
  <c r="E19" i="85"/>
  <c r="K19" i="85"/>
  <c r="L19" i="85"/>
  <c r="I19" i="85"/>
  <c r="G19" i="85"/>
  <c r="F19" i="85"/>
  <c r="D19" i="85"/>
  <c r="C19" i="85"/>
  <c r="D19" i="84"/>
  <c r="N19" i="84"/>
  <c r="J19" i="84"/>
  <c r="F19" i="84"/>
  <c r="B19" i="84"/>
  <c r="K19" i="83"/>
  <c r="X19" i="83"/>
  <c r="T19" i="83"/>
  <c r="P19" i="83"/>
  <c r="S19" i="83"/>
  <c r="O19" i="83"/>
  <c r="V19" i="83"/>
  <c r="H19" i="83"/>
  <c r="N19" i="83"/>
  <c r="R19" i="83"/>
  <c r="W19" i="83"/>
  <c r="Z19" i="83"/>
  <c r="C19" i="83"/>
  <c r="L19" i="83"/>
  <c r="M19" i="83"/>
  <c r="Q19" i="83"/>
  <c r="U19" i="83"/>
  <c r="Y19" i="83"/>
  <c r="F19" i="83"/>
  <c r="C20" i="82"/>
  <c r="E20" i="82"/>
  <c r="G20" i="82"/>
  <c r="K20" i="82"/>
  <c r="M20" i="82"/>
  <c r="S20" i="82"/>
  <c r="U20" i="82"/>
  <c r="I20" i="82"/>
  <c r="O20" i="82"/>
  <c r="B20" i="82"/>
  <c r="F20" i="82"/>
  <c r="H20" i="82"/>
  <c r="N20" i="82"/>
  <c r="R20" i="82"/>
  <c r="D20" i="82"/>
  <c r="J20" i="82"/>
  <c r="L20" i="82"/>
  <c r="Q20" i="82"/>
  <c r="T20" i="82"/>
  <c r="G10" i="81"/>
  <c r="AA18" i="81"/>
  <c r="Z18" i="81"/>
  <c r="Y18" i="81"/>
  <c r="X18" i="81"/>
  <c r="W18" i="81"/>
  <c r="V18" i="81"/>
  <c r="U18" i="81"/>
  <c r="T18" i="81"/>
  <c r="S18" i="81"/>
  <c r="R18" i="81"/>
  <c r="Q18" i="81"/>
  <c r="P18" i="81"/>
  <c r="O18" i="81"/>
  <c r="N18" i="81"/>
  <c r="M18" i="81"/>
  <c r="L18" i="81"/>
  <c r="K18" i="81"/>
  <c r="J18" i="81"/>
  <c r="I18" i="81"/>
  <c r="H18" i="81"/>
  <c r="G18" i="81"/>
  <c r="F18" i="81"/>
  <c r="E18" i="81"/>
  <c r="D18" i="81"/>
  <c r="C18" i="81"/>
  <c r="B18" i="81"/>
  <c r="AA10" i="81"/>
  <c r="Z10" i="81"/>
  <c r="Y10" i="81"/>
  <c r="X10" i="81"/>
  <c r="X19" i="81" s="1"/>
  <c r="W10" i="81"/>
  <c r="V10" i="81"/>
  <c r="U10" i="81"/>
  <c r="T10" i="81"/>
  <c r="T19" i="81" s="1"/>
  <c r="S10" i="81"/>
  <c r="R10" i="81"/>
  <c r="Q10" i="81"/>
  <c r="P10" i="81"/>
  <c r="P19" i="81" s="1"/>
  <c r="O10" i="81"/>
  <c r="N10" i="81"/>
  <c r="M10" i="81"/>
  <c r="L10" i="81"/>
  <c r="L19" i="81" s="1"/>
  <c r="K10" i="81"/>
  <c r="J10" i="81"/>
  <c r="I10" i="81"/>
  <c r="H10" i="81"/>
  <c r="F10" i="81"/>
  <c r="E10" i="81"/>
  <c r="D10" i="81"/>
  <c r="C10" i="81"/>
  <c r="B10" i="81"/>
  <c r="T10" i="80"/>
  <c r="G12" i="10"/>
  <c r="F12" i="10"/>
  <c r="E12" i="10"/>
  <c r="AB18" i="80"/>
  <c r="AA18" i="80"/>
  <c r="Z18" i="80"/>
  <c r="Y18" i="80"/>
  <c r="X18" i="80"/>
  <c r="S18" i="80"/>
  <c r="W18" i="80"/>
  <c r="V18" i="80"/>
  <c r="U18" i="80"/>
  <c r="T18" i="80"/>
  <c r="T19" i="80" s="1"/>
  <c r="R18" i="80"/>
  <c r="Q18" i="80"/>
  <c r="P18" i="80"/>
  <c r="O18" i="80"/>
  <c r="N18" i="80"/>
  <c r="M18" i="80"/>
  <c r="L18" i="80"/>
  <c r="K18" i="80"/>
  <c r="J18" i="80"/>
  <c r="C18" i="80"/>
  <c r="I18" i="80"/>
  <c r="H18" i="80"/>
  <c r="G18" i="80"/>
  <c r="F18" i="80"/>
  <c r="E18" i="80"/>
  <c r="D18" i="80"/>
  <c r="B18" i="80"/>
  <c r="AB10" i="80"/>
  <c r="AA10" i="80"/>
  <c r="Z10" i="80"/>
  <c r="Y10" i="80"/>
  <c r="X10" i="80"/>
  <c r="S10" i="80"/>
  <c r="W10" i="80"/>
  <c r="V10" i="80"/>
  <c r="U10" i="80"/>
  <c r="R10" i="80"/>
  <c r="Q10" i="80"/>
  <c r="P10" i="80"/>
  <c r="O10" i="80"/>
  <c r="N10" i="80"/>
  <c r="N19" i="80" s="1"/>
  <c r="M10" i="80"/>
  <c r="L10" i="80"/>
  <c r="K10" i="80"/>
  <c r="J10" i="80"/>
  <c r="J19" i="80" s="1"/>
  <c r="C10" i="80"/>
  <c r="I10" i="80"/>
  <c r="H10" i="80"/>
  <c r="G10" i="80"/>
  <c r="F10" i="80"/>
  <c r="E10" i="80"/>
  <c r="D10" i="80"/>
  <c r="B10" i="80"/>
  <c r="N18" i="79"/>
  <c r="M18" i="79"/>
  <c r="L18" i="79"/>
  <c r="K18" i="79"/>
  <c r="J18" i="79"/>
  <c r="I18" i="79"/>
  <c r="I19" i="79" s="1"/>
  <c r="H18" i="79"/>
  <c r="G18" i="79"/>
  <c r="F18" i="79"/>
  <c r="E18" i="79"/>
  <c r="D18" i="79"/>
  <c r="C18" i="79"/>
  <c r="B18" i="79"/>
  <c r="N10" i="79"/>
  <c r="N19" i="79" s="1"/>
  <c r="M10" i="79"/>
  <c r="L10" i="79"/>
  <c r="K10" i="79"/>
  <c r="K19" i="79" s="1"/>
  <c r="J10" i="79"/>
  <c r="I10" i="79"/>
  <c r="H10" i="79"/>
  <c r="G10" i="79"/>
  <c r="F10" i="79"/>
  <c r="F19" i="79" s="1"/>
  <c r="E10" i="79"/>
  <c r="D10" i="79"/>
  <c r="C10" i="79"/>
  <c r="B10" i="79"/>
  <c r="Y18" i="78"/>
  <c r="X18" i="78"/>
  <c r="W18" i="78"/>
  <c r="V18" i="78"/>
  <c r="U18" i="78"/>
  <c r="T18" i="78"/>
  <c r="S18" i="78"/>
  <c r="R18" i="78"/>
  <c r="Q18" i="78"/>
  <c r="P18" i="78"/>
  <c r="O18" i="78"/>
  <c r="N18" i="78"/>
  <c r="M18" i="78"/>
  <c r="L18" i="78"/>
  <c r="K18" i="78"/>
  <c r="J18" i="78"/>
  <c r="I18" i="78"/>
  <c r="H18" i="78"/>
  <c r="G18" i="78"/>
  <c r="F18" i="78"/>
  <c r="E18" i="78"/>
  <c r="D18" i="78"/>
  <c r="C18" i="78"/>
  <c r="B18" i="78"/>
  <c r="Y10" i="78"/>
  <c r="Y19" i="78" s="1"/>
  <c r="X10" i="78"/>
  <c r="W10" i="78"/>
  <c r="W19" i="78" s="1"/>
  <c r="V10" i="78"/>
  <c r="U10" i="78"/>
  <c r="U19" i="78" s="1"/>
  <c r="T10" i="78"/>
  <c r="S10" i="78"/>
  <c r="R10" i="78"/>
  <c r="Q10" i="78"/>
  <c r="Q19" i="78" s="1"/>
  <c r="P10" i="78"/>
  <c r="O10" i="78"/>
  <c r="O19" i="78" s="1"/>
  <c r="N10" i="78"/>
  <c r="M10" i="78"/>
  <c r="L10" i="78"/>
  <c r="K10" i="78"/>
  <c r="K19" i="78" s="1"/>
  <c r="J10" i="78"/>
  <c r="I10" i="78"/>
  <c r="H10" i="78"/>
  <c r="H19" i="78" s="1"/>
  <c r="G10" i="78"/>
  <c r="F10" i="78"/>
  <c r="E10" i="78"/>
  <c r="D10" i="78"/>
  <c r="D19" i="78" s="1"/>
  <c r="C10" i="78"/>
  <c r="B10" i="78"/>
  <c r="N18" i="77"/>
  <c r="M18" i="77"/>
  <c r="L18" i="77"/>
  <c r="K18" i="77"/>
  <c r="J18" i="77"/>
  <c r="I18" i="77"/>
  <c r="H18" i="77"/>
  <c r="G18" i="77"/>
  <c r="F18" i="77"/>
  <c r="E18" i="77"/>
  <c r="D18" i="77"/>
  <c r="C18" i="77"/>
  <c r="B18" i="77"/>
  <c r="N10" i="77"/>
  <c r="M10" i="77"/>
  <c r="L10" i="77"/>
  <c r="K10" i="77"/>
  <c r="J10" i="77"/>
  <c r="J19" i="77" s="1"/>
  <c r="I10" i="77"/>
  <c r="H10" i="77"/>
  <c r="G10" i="77"/>
  <c r="F10" i="77"/>
  <c r="F19" i="77" s="1"/>
  <c r="E10" i="77"/>
  <c r="D10" i="77"/>
  <c r="C10" i="77"/>
  <c r="B10" i="77"/>
  <c r="W10" i="76"/>
  <c r="Y18" i="76"/>
  <c r="X18" i="76"/>
  <c r="W18" i="76"/>
  <c r="V18" i="76"/>
  <c r="U18" i="76"/>
  <c r="T18" i="76"/>
  <c r="S18" i="76"/>
  <c r="R18" i="76"/>
  <c r="Q18" i="76"/>
  <c r="P18" i="76"/>
  <c r="O18" i="76"/>
  <c r="N18" i="76"/>
  <c r="M18" i="76"/>
  <c r="L18" i="76"/>
  <c r="K18" i="76"/>
  <c r="J18" i="76"/>
  <c r="I18" i="76"/>
  <c r="H18" i="76"/>
  <c r="G18" i="76"/>
  <c r="F18" i="76"/>
  <c r="E18" i="76"/>
  <c r="D18" i="76"/>
  <c r="C18" i="76"/>
  <c r="B18" i="76"/>
  <c r="Y10" i="76"/>
  <c r="Y19" i="76" s="1"/>
  <c r="X10" i="76"/>
  <c r="V10" i="76"/>
  <c r="U10" i="76"/>
  <c r="T10" i="76"/>
  <c r="S10" i="76"/>
  <c r="R10" i="76"/>
  <c r="Q10" i="76"/>
  <c r="P10" i="76"/>
  <c r="O10" i="76"/>
  <c r="N10" i="76"/>
  <c r="M10" i="76"/>
  <c r="L10" i="76"/>
  <c r="K10" i="76"/>
  <c r="J10" i="76"/>
  <c r="I10" i="76"/>
  <c r="H10" i="76"/>
  <c r="G10" i="76"/>
  <c r="F10" i="76"/>
  <c r="E10" i="76"/>
  <c r="D10" i="76"/>
  <c r="C10" i="76"/>
  <c r="B10" i="76"/>
  <c r="N18" i="75"/>
  <c r="M18" i="75"/>
  <c r="L18" i="75"/>
  <c r="K18" i="75"/>
  <c r="J18" i="75"/>
  <c r="I18" i="75"/>
  <c r="H18" i="75"/>
  <c r="G18" i="75"/>
  <c r="F18" i="75"/>
  <c r="E18" i="75"/>
  <c r="D18" i="75"/>
  <c r="C18" i="75"/>
  <c r="B18" i="75"/>
  <c r="N10" i="75"/>
  <c r="M10" i="75"/>
  <c r="L10" i="75"/>
  <c r="K10" i="75"/>
  <c r="K19" i="75" s="1"/>
  <c r="J10" i="75"/>
  <c r="I10" i="75"/>
  <c r="H10" i="75"/>
  <c r="G10" i="75"/>
  <c r="F10" i="75"/>
  <c r="E10" i="75"/>
  <c r="D10" i="75"/>
  <c r="C10" i="75"/>
  <c r="C19" i="75" s="1"/>
  <c r="B10" i="75"/>
  <c r="Z18" i="74"/>
  <c r="Y18" i="74"/>
  <c r="X18" i="74"/>
  <c r="W18" i="74"/>
  <c r="V18" i="74"/>
  <c r="U18" i="74"/>
  <c r="T18" i="74"/>
  <c r="S18" i="74"/>
  <c r="R18" i="74"/>
  <c r="Q18" i="74"/>
  <c r="P18" i="74"/>
  <c r="O18" i="74"/>
  <c r="N18" i="74"/>
  <c r="M18" i="74"/>
  <c r="L18" i="74"/>
  <c r="K18" i="74"/>
  <c r="J18" i="74"/>
  <c r="I18" i="74"/>
  <c r="H18" i="74"/>
  <c r="G18" i="74"/>
  <c r="F18" i="74"/>
  <c r="E18" i="74"/>
  <c r="D18" i="74"/>
  <c r="C18" i="74"/>
  <c r="B18" i="74"/>
  <c r="Z10" i="74"/>
  <c r="Y10" i="74"/>
  <c r="X10" i="74"/>
  <c r="X19" i="74" s="1"/>
  <c r="W10" i="74"/>
  <c r="V10" i="74"/>
  <c r="U10" i="74"/>
  <c r="T10" i="74"/>
  <c r="T19" i="74" s="1"/>
  <c r="S10" i="74"/>
  <c r="R10" i="74"/>
  <c r="Q10" i="74"/>
  <c r="P10" i="74"/>
  <c r="P19" i="74" s="1"/>
  <c r="O10" i="74"/>
  <c r="O19" i="74" s="1"/>
  <c r="N10" i="74"/>
  <c r="M10" i="74"/>
  <c r="L10" i="74"/>
  <c r="K10" i="74"/>
  <c r="K19" i="74" s="1"/>
  <c r="J10" i="74"/>
  <c r="I10" i="74"/>
  <c r="H10" i="74"/>
  <c r="G10" i="74"/>
  <c r="G19" i="74" s="1"/>
  <c r="F10" i="74"/>
  <c r="E10" i="74"/>
  <c r="D10" i="74"/>
  <c r="C10" i="74"/>
  <c r="C19" i="74" s="1"/>
  <c r="B10" i="74"/>
  <c r="N18" i="73"/>
  <c r="M18" i="73"/>
  <c r="L18" i="73"/>
  <c r="K18" i="73"/>
  <c r="J18" i="73"/>
  <c r="I18" i="73"/>
  <c r="H18" i="73"/>
  <c r="G18" i="73"/>
  <c r="F18" i="73"/>
  <c r="E18" i="73"/>
  <c r="D18" i="73"/>
  <c r="C18" i="73"/>
  <c r="B18" i="73"/>
  <c r="N10" i="73"/>
  <c r="N19" i="73" s="1"/>
  <c r="M10" i="73"/>
  <c r="L10" i="73"/>
  <c r="K10" i="73"/>
  <c r="J10" i="73"/>
  <c r="I10" i="73"/>
  <c r="H10" i="73"/>
  <c r="H19" i="73" s="1"/>
  <c r="G10" i="73"/>
  <c r="F10" i="73"/>
  <c r="F19" i="73" s="1"/>
  <c r="E10" i="73"/>
  <c r="D10" i="73"/>
  <c r="C10" i="73"/>
  <c r="B10" i="73"/>
  <c r="O10" i="72"/>
  <c r="Z18" i="72"/>
  <c r="Y18" i="72"/>
  <c r="X18" i="72"/>
  <c r="W18" i="72"/>
  <c r="V18" i="72"/>
  <c r="U18" i="72"/>
  <c r="T18" i="72"/>
  <c r="S18" i="72"/>
  <c r="R18" i="72"/>
  <c r="Q18" i="72"/>
  <c r="P18" i="72"/>
  <c r="O18" i="72"/>
  <c r="N18" i="72"/>
  <c r="M18" i="72"/>
  <c r="L18" i="72"/>
  <c r="K18" i="72"/>
  <c r="J18" i="72"/>
  <c r="I18" i="72"/>
  <c r="H18" i="72"/>
  <c r="G18" i="72"/>
  <c r="F18" i="72"/>
  <c r="E18" i="72"/>
  <c r="D18" i="72"/>
  <c r="C18" i="72"/>
  <c r="B18" i="72"/>
  <c r="Z10" i="72"/>
  <c r="Y10" i="72"/>
  <c r="Y19" i="72" s="1"/>
  <c r="X10" i="72"/>
  <c r="W10" i="72"/>
  <c r="V10" i="72"/>
  <c r="U10" i="72"/>
  <c r="U19" i="72" s="1"/>
  <c r="T10" i="72"/>
  <c r="S10" i="72"/>
  <c r="S19" i="72" s="1"/>
  <c r="R10" i="72"/>
  <c r="Q10" i="72"/>
  <c r="P10" i="72"/>
  <c r="P19" i="72" s="1"/>
  <c r="N10" i="72"/>
  <c r="M10" i="72"/>
  <c r="L10" i="72"/>
  <c r="K10" i="72"/>
  <c r="J10" i="72"/>
  <c r="I10" i="72"/>
  <c r="H10" i="72"/>
  <c r="G10" i="72"/>
  <c r="F10" i="72"/>
  <c r="E10" i="72"/>
  <c r="D10" i="72"/>
  <c r="D19" i="72" s="1"/>
  <c r="C10" i="72"/>
  <c r="B10" i="72"/>
  <c r="G10" i="71"/>
  <c r="T18" i="71"/>
  <c r="S18" i="71"/>
  <c r="R18" i="71"/>
  <c r="Q18" i="71"/>
  <c r="P18" i="71"/>
  <c r="O18" i="71"/>
  <c r="N18" i="71"/>
  <c r="M18" i="71"/>
  <c r="L18" i="71"/>
  <c r="K18" i="71"/>
  <c r="J18" i="71"/>
  <c r="I18" i="71"/>
  <c r="H18" i="71"/>
  <c r="G18" i="71"/>
  <c r="F18" i="71"/>
  <c r="E18" i="71"/>
  <c r="D18" i="71"/>
  <c r="C18" i="71"/>
  <c r="B18" i="71"/>
  <c r="T10" i="71"/>
  <c r="S10" i="71"/>
  <c r="R10" i="71"/>
  <c r="R19" i="71" s="1"/>
  <c r="Q10" i="71"/>
  <c r="P10" i="71"/>
  <c r="O10" i="71"/>
  <c r="N10" i="71"/>
  <c r="M10" i="71"/>
  <c r="L10" i="71"/>
  <c r="K10" i="71"/>
  <c r="J10" i="71"/>
  <c r="I10" i="71"/>
  <c r="H10" i="71"/>
  <c r="F10" i="71"/>
  <c r="F19" i="71" s="1"/>
  <c r="E10" i="71"/>
  <c r="D10" i="71"/>
  <c r="C10" i="71"/>
  <c r="B10" i="71"/>
  <c r="J10" i="70"/>
  <c r="C10" i="70"/>
  <c r="AF18" i="70"/>
  <c r="AE18" i="70"/>
  <c r="AD18" i="70"/>
  <c r="AC18" i="70"/>
  <c r="AB18" i="70"/>
  <c r="AA18" i="70"/>
  <c r="Z18" i="70"/>
  <c r="Y18" i="70"/>
  <c r="X18" i="70"/>
  <c r="W18" i="70"/>
  <c r="V18" i="70"/>
  <c r="U18" i="70"/>
  <c r="T18" i="70"/>
  <c r="S18" i="70"/>
  <c r="R18" i="70"/>
  <c r="Q18" i="70"/>
  <c r="P18" i="70"/>
  <c r="O18" i="70"/>
  <c r="N18" i="70"/>
  <c r="M18" i="70"/>
  <c r="L18" i="70"/>
  <c r="K18" i="70"/>
  <c r="J18" i="70"/>
  <c r="I18" i="70"/>
  <c r="H18" i="70"/>
  <c r="G18" i="70"/>
  <c r="F18" i="70"/>
  <c r="E18" i="70"/>
  <c r="D18" i="70"/>
  <c r="C18" i="70"/>
  <c r="B18" i="70"/>
  <c r="AF10" i="70"/>
  <c r="AF19" i="70" s="1"/>
  <c r="AE10" i="70"/>
  <c r="AD10" i="70"/>
  <c r="AC10" i="70"/>
  <c r="AB10" i="70"/>
  <c r="AB19" i="70" s="1"/>
  <c r="AA10" i="70"/>
  <c r="Z10" i="70"/>
  <c r="Y10" i="70"/>
  <c r="X10" i="70"/>
  <c r="X19" i="70" s="1"/>
  <c r="W10" i="70"/>
  <c r="V10" i="70"/>
  <c r="U10" i="70"/>
  <c r="T10" i="70"/>
  <c r="S10" i="70"/>
  <c r="R10" i="70"/>
  <c r="Q10" i="70"/>
  <c r="P10" i="70"/>
  <c r="O10" i="70"/>
  <c r="N10" i="70"/>
  <c r="M10" i="70"/>
  <c r="L10" i="70"/>
  <c r="K10" i="70"/>
  <c r="I10" i="70"/>
  <c r="H10" i="70"/>
  <c r="G10" i="70"/>
  <c r="F10" i="70"/>
  <c r="E10" i="70"/>
  <c r="D10" i="70"/>
  <c r="B10" i="70"/>
  <c r="T18" i="69"/>
  <c r="S18" i="69"/>
  <c r="R18" i="69"/>
  <c r="Q18" i="69"/>
  <c r="P18" i="69"/>
  <c r="O18" i="69"/>
  <c r="N18" i="69"/>
  <c r="M18" i="69"/>
  <c r="L18" i="69"/>
  <c r="K18" i="69"/>
  <c r="J18" i="69"/>
  <c r="I18" i="69"/>
  <c r="H18" i="69"/>
  <c r="G18" i="69"/>
  <c r="F18" i="69"/>
  <c r="E18" i="69"/>
  <c r="D18" i="69"/>
  <c r="C18" i="69"/>
  <c r="B18" i="69"/>
  <c r="T10" i="69"/>
  <c r="T19" i="69" s="1"/>
  <c r="S10" i="69"/>
  <c r="S19" i="69" s="1"/>
  <c r="R10" i="69"/>
  <c r="Q10" i="69"/>
  <c r="Q19" i="69" s="1"/>
  <c r="P10" i="69"/>
  <c r="P19" i="69" s="1"/>
  <c r="O10" i="69"/>
  <c r="O19" i="69" s="1"/>
  <c r="N10" i="69"/>
  <c r="M10" i="69"/>
  <c r="L10" i="69"/>
  <c r="K10" i="69"/>
  <c r="K19" i="69" s="1"/>
  <c r="J10" i="69"/>
  <c r="I10" i="69"/>
  <c r="I19" i="69" s="1"/>
  <c r="H10" i="69"/>
  <c r="G10" i="69"/>
  <c r="F10" i="69"/>
  <c r="E10" i="69"/>
  <c r="D10" i="69"/>
  <c r="C10" i="69"/>
  <c r="C19" i="69" s="1"/>
  <c r="B10" i="69"/>
  <c r="AF18" i="68"/>
  <c r="AE18" i="68"/>
  <c r="AD18" i="68"/>
  <c r="AC18" i="68"/>
  <c r="AB18" i="68"/>
  <c r="AA18" i="68"/>
  <c r="Z18" i="68"/>
  <c r="Y18" i="68"/>
  <c r="X18" i="68"/>
  <c r="W18" i="68"/>
  <c r="V18" i="68"/>
  <c r="U18" i="68"/>
  <c r="T18" i="68"/>
  <c r="S18" i="68"/>
  <c r="R18" i="68"/>
  <c r="Q18" i="68"/>
  <c r="P18" i="68"/>
  <c r="O18" i="68"/>
  <c r="N18" i="68"/>
  <c r="M18" i="68"/>
  <c r="L18" i="68"/>
  <c r="K18" i="68"/>
  <c r="J18" i="68"/>
  <c r="I18" i="68"/>
  <c r="G18" i="68"/>
  <c r="F18" i="68"/>
  <c r="E18" i="68"/>
  <c r="D18" i="68"/>
  <c r="C18" i="68"/>
  <c r="B18" i="68"/>
  <c r="AF10" i="68"/>
  <c r="AE10" i="68"/>
  <c r="AD10" i="68"/>
  <c r="AC10" i="68"/>
  <c r="AB10" i="68"/>
  <c r="AA10" i="68"/>
  <c r="Z10" i="68"/>
  <c r="Y10" i="68"/>
  <c r="X10" i="68"/>
  <c r="W10" i="68"/>
  <c r="V10" i="68"/>
  <c r="U10" i="68"/>
  <c r="T10" i="68"/>
  <c r="S10" i="68"/>
  <c r="R10" i="68"/>
  <c r="Q10" i="68"/>
  <c r="P10" i="68"/>
  <c r="O10" i="68"/>
  <c r="N10" i="68"/>
  <c r="M10" i="68"/>
  <c r="L10" i="68"/>
  <c r="K10" i="68"/>
  <c r="J10" i="68"/>
  <c r="I10" i="68"/>
  <c r="H10" i="68"/>
  <c r="G10" i="68"/>
  <c r="G19" i="68" s="1"/>
  <c r="F10" i="68"/>
  <c r="E10" i="68"/>
  <c r="D10" i="68"/>
  <c r="C10" i="68"/>
  <c r="B10" i="68"/>
  <c r="T18" i="67"/>
  <c r="S18" i="67"/>
  <c r="R18" i="67"/>
  <c r="Q18" i="67"/>
  <c r="P18" i="67"/>
  <c r="O18" i="67"/>
  <c r="N18" i="67"/>
  <c r="M18" i="67"/>
  <c r="L18" i="67"/>
  <c r="K18" i="67"/>
  <c r="J18" i="67"/>
  <c r="I18" i="67"/>
  <c r="H18" i="67"/>
  <c r="G18" i="67"/>
  <c r="F18" i="67"/>
  <c r="E18" i="67"/>
  <c r="D18" i="67"/>
  <c r="C18" i="67"/>
  <c r="B18" i="67"/>
  <c r="T10" i="67"/>
  <c r="S10" i="67"/>
  <c r="R10" i="67"/>
  <c r="R19" i="67" s="1"/>
  <c r="Q10" i="67"/>
  <c r="Q19" i="67" s="1"/>
  <c r="P10" i="67"/>
  <c r="O10" i="67"/>
  <c r="N10" i="67"/>
  <c r="M10" i="67"/>
  <c r="L10" i="67"/>
  <c r="K10" i="67"/>
  <c r="J10" i="67"/>
  <c r="I10" i="67"/>
  <c r="H10" i="67"/>
  <c r="G10" i="67"/>
  <c r="F10" i="67"/>
  <c r="E10" i="67"/>
  <c r="D10" i="67"/>
  <c r="C10" i="67"/>
  <c r="B10" i="67"/>
  <c r="N18" i="66"/>
  <c r="N10" i="66"/>
  <c r="L10" i="66"/>
  <c r="H10" i="66"/>
  <c r="H18" i="66"/>
  <c r="I18" i="66"/>
  <c r="AA18" i="66"/>
  <c r="Z18" i="66"/>
  <c r="Y18" i="66"/>
  <c r="X18" i="66"/>
  <c r="W18" i="66"/>
  <c r="V18" i="66"/>
  <c r="U18" i="66"/>
  <c r="T18" i="66"/>
  <c r="S18" i="66"/>
  <c r="R18" i="66"/>
  <c r="Q18" i="66"/>
  <c r="P18" i="66"/>
  <c r="O18" i="66"/>
  <c r="M18" i="66"/>
  <c r="L18" i="66"/>
  <c r="K18" i="66"/>
  <c r="J18" i="66"/>
  <c r="G18" i="66"/>
  <c r="F18" i="66"/>
  <c r="E18" i="66"/>
  <c r="D18" i="66"/>
  <c r="C18" i="66"/>
  <c r="B18" i="66"/>
  <c r="AA10" i="66"/>
  <c r="Z10" i="66"/>
  <c r="Y10" i="66"/>
  <c r="X10" i="66"/>
  <c r="W10" i="66"/>
  <c r="V10" i="66"/>
  <c r="U10" i="66"/>
  <c r="T10" i="66"/>
  <c r="S10" i="66"/>
  <c r="R10" i="66"/>
  <c r="R19" i="66" s="1"/>
  <c r="Q10" i="66"/>
  <c r="P10" i="66"/>
  <c r="O10" i="66"/>
  <c r="M10" i="66"/>
  <c r="M19" i="66" s="1"/>
  <c r="K10" i="66"/>
  <c r="J10" i="66"/>
  <c r="I10" i="66"/>
  <c r="I19" i="66" s="1"/>
  <c r="G10" i="66"/>
  <c r="G19" i="66" s="1"/>
  <c r="F10" i="66"/>
  <c r="E10" i="66"/>
  <c r="D10" i="66"/>
  <c r="C10" i="66"/>
  <c r="B10" i="66"/>
  <c r="N18" i="65"/>
  <c r="M18" i="65"/>
  <c r="L18" i="65"/>
  <c r="K18" i="65"/>
  <c r="J18" i="65"/>
  <c r="I18" i="65"/>
  <c r="H18" i="65"/>
  <c r="G18" i="65"/>
  <c r="F18" i="65"/>
  <c r="E18" i="65"/>
  <c r="D18" i="65"/>
  <c r="C18" i="65"/>
  <c r="B18" i="65"/>
  <c r="N10" i="65"/>
  <c r="N19" i="65" s="1"/>
  <c r="M10" i="65"/>
  <c r="L10" i="65"/>
  <c r="K10" i="65"/>
  <c r="J10" i="65"/>
  <c r="J19" i="65" s="1"/>
  <c r="I10" i="65"/>
  <c r="H10" i="65"/>
  <c r="G10" i="65"/>
  <c r="F10" i="65"/>
  <c r="E10" i="65"/>
  <c r="D10" i="65"/>
  <c r="C10" i="65"/>
  <c r="B10" i="65"/>
  <c r="G10" i="64"/>
  <c r="Z18" i="64"/>
  <c r="Y18" i="64"/>
  <c r="X18" i="64"/>
  <c r="W18" i="64"/>
  <c r="V18" i="64"/>
  <c r="U18" i="64"/>
  <c r="T18" i="64"/>
  <c r="S18" i="64"/>
  <c r="R18" i="64"/>
  <c r="Q18" i="64"/>
  <c r="P18" i="64"/>
  <c r="O18" i="64"/>
  <c r="N18" i="64"/>
  <c r="M18" i="64"/>
  <c r="L18" i="64"/>
  <c r="K18" i="64"/>
  <c r="J18" i="64"/>
  <c r="I18" i="64"/>
  <c r="H18" i="64"/>
  <c r="G18" i="64"/>
  <c r="G19" i="64" s="1"/>
  <c r="F18" i="64"/>
  <c r="E18" i="64"/>
  <c r="D18" i="64"/>
  <c r="C18" i="64"/>
  <c r="B18" i="64"/>
  <c r="Z10" i="64"/>
  <c r="Y10" i="64"/>
  <c r="X10" i="64"/>
  <c r="W10" i="64"/>
  <c r="V10" i="64"/>
  <c r="U10" i="64"/>
  <c r="T10" i="64"/>
  <c r="S10" i="64"/>
  <c r="R10" i="64"/>
  <c r="Q10" i="64"/>
  <c r="P10" i="64"/>
  <c r="O10" i="64"/>
  <c r="N10" i="64"/>
  <c r="M10" i="64"/>
  <c r="L10" i="64"/>
  <c r="K10" i="64"/>
  <c r="J10" i="64"/>
  <c r="I10" i="64"/>
  <c r="H10" i="64"/>
  <c r="F10" i="64"/>
  <c r="E10" i="64"/>
  <c r="D10" i="64"/>
  <c r="C10" i="64"/>
  <c r="B10" i="64"/>
  <c r="N18" i="63"/>
  <c r="L18" i="63"/>
  <c r="M18" i="63"/>
  <c r="J18" i="63"/>
  <c r="K18" i="63"/>
  <c r="I18" i="63"/>
  <c r="H18" i="63"/>
  <c r="G18" i="63"/>
  <c r="F18" i="63"/>
  <c r="E18" i="63"/>
  <c r="D18" i="63"/>
  <c r="C18" i="63"/>
  <c r="B18" i="63"/>
  <c r="N10" i="63"/>
  <c r="L10" i="63"/>
  <c r="M10" i="63"/>
  <c r="J10" i="63"/>
  <c r="K10" i="63"/>
  <c r="I10" i="63"/>
  <c r="H10" i="63"/>
  <c r="G10" i="63"/>
  <c r="F10" i="63"/>
  <c r="E10" i="63"/>
  <c r="D10" i="63"/>
  <c r="C10" i="63"/>
  <c r="B10" i="63"/>
  <c r="AB18" i="62"/>
  <c r="AA18" i="62"/>
  <c r="Z18" i="62"/>
  <c r="Y18" i="62"/>
  <c r="X18" i="62"/>
  <c r="W18" i="62"/>
  <c r="V18" i="62"/>
  <c r="U18" i="62"/>
  <c r="T18" i="62"/>
  <c r="S18" i="62"/>
  <c r="R18" i="62"/>
  <c r="Q18" i="62"/>
  <c r="P18" i="62"/>
  <c r="O18" i="62"/>
  <c r="N18" i="62"/>
  <c r="M18" i="62"/>
  <c r="L18" i="62"/>
  <c r="K18" i="62"/>
  <c r="J18" i="62"/>
  <c r="I18" i="62"/>
  <c r="H18" i="62"/>
  <c r="G18" i="62"/>
  <c r="F18" i="62"/>
  <c r="E18" i="62"/>
  <c r="D18" i="62"/>
  <c r="C18" i="62"/>
  <c r="B18" i="62"/>
  <c r="AB10" i="62"/>
  <c r="AA10" i="62"/>
  <c r="Z10" i="62"/>
  <c r="Y10" i="62"/>
  <c r="Y19" i="62" s="1"/>
  <c r="X10" i="62"/>
  <c r="W10" i="62"/>
  <c r="V10" i="62"/>
  <c r="U10" i="62"/>
  <c r="T10" i="62"/>
  <c r="S10" i="62"/>
  <c r="R10" i="62"/>
  <c r="R19" i="62" s="1"/>
  <c r="Q10" i="62"/>
  <c r="P10" i="62"/>
  <c r="O10" i="62"/>
  <c r="N10" i="62"/>
  <c r="N19" i="62" s="1"/>
  <c r="M10" i="62"/>
  <c r="L10" i="62"/>
  <c r="K10" i="62"/>
  <c r="K19" i="62" s="1"/>
  <c r="J10" i="62"/>
  <c r="I10" i="62"/>
  <c r="H10" i="62"/>
  <c r="G10" i="62"/>
  <c r="F10" i="62"/>
  <c r="E10" i="62"/>
  <c r="D10" i="62"/>
  <c r="C10" i="62"/>
  <c r="C19" i="62" s="1"/>
  <c r="B10" i="62"/>
  <c r="O18" i="61"/>
  <c r="M18" i="61"/>
  <c r="N18" i="61"/>
  <c r="K18" i="61"/>
  <c r="L18" i="61"/>
  <c r="J18" i="61"/>
  <c r="I18" i="61"/>
  <c r="H18" i="61"/>
  <c r="G18" i="61"/>
  <c r="F18" i="61"/>
  <c r="E18" i="61"/>
  <c r="D18" i="61"/>
  <c r="C18" i="61"/>
  <c r="B18" i="61"/>
  <c r="O10" i="61"/>
  <c r="O19" i="61" s="1"/>
  <c r="M10" i="61"/>
  <c r="N10" i="61"/>
  <c r="N19" i="61" s="1"/>
  <c r="K10" i="61"/>
  <c r="K19" i="61" s="1"/>
  <c r="L10" i="61"/>
  <c r="L19" i="61" s="1"/>
  <c r="J10" i="61"/>
  <c r="I10" i="61"/>
  <c r="I19" i="61" s="1"/>
  <c r="H10" i="61"/>
  <c r="H19" i="61" s="1"/>
  <c r="G10" i="61"/>
  <c r="G19" i="61" s="1"/>
  <c r="F10" i="61"/>
  <c r="E10" i="61"/>
  <c r="E19" i="61" s="1"/>
  <c r="D10" i="61"/>
  <c r="D19" i="61" s="1"/>
  <c r="C10" i="61"/>
  <c r="C19" i="61" s="1"/>
  <c r="B10" i="61"/>
  <c r="AB18" i="60"/>
  <c r="AA18" i="60"/>
  <c r="Z18" i="60"/>
  <c r="Y18" i="60"/>
  <c r="X18" i="60"/>
  <c r="W18" i="60"/>
  <c r="V18" i="60"/>
  <c r="U18" i="60"/>
  <c r="T18" i="60"/>
  <c r="S18" i="60"/>
  <c r="R18" i="60"/>
  <c r="Q18" i="60"/>
  <c r="P18" i="60"/>
  <c r="O18" i="60"/>
  <c r="N18" i="60"/>
  <c r="M18" i="60"/>
  <c r="L18" i="60"/>
  <c r="K18" i="60"/>
  <c r="J18" i="60"/>
  <c r="I18" i="60"/>
  <c r="H18" i="60"/>
  <c r="G18" i="60"/>
  <c r="F18" i="60"/>
  <c r="E18" i="60"/>
  <c r="C18" i="60"/>
  <c r="D18" i="60"/>
  <c r="B18" i="60"/>
  <c r="AB10" i="60"/>
  <c r="AA10" i="60"/>
  <c r="Z10" i="60"/>
  <c r="Y10" i="60"/>
  <c r="X10" i="60"/>
  <c r="W10" i="60"/>
  <c r="V10" i="60"/>
  <c r="U10" i="60"/>
  <c r="T10" i="60"/>
  <c r="S10" i="60"/>
  <c r="R10" i="60"/>
  <c r="Q10" i="60"/>
  <c r="P10" i="60"/>
  <c r="O10" i="60"/>
  <c r="N10" i="60"/>
  <c r="M10" i="60"/>
  <c r="L10" i="60"/>
  <c r="K10" i="60"/>
  <c r="J10" i="60"/>
  <c r="I10" i="60"/>
  <c r="H10" i="60"/>
  <c r="G10" i="60"/>
  <c r="F10" i="60"/>
  <c r="E10" i="60"/>
  <c r="C10" i="60"/>
  <c r="D10" i="60"/>
  <c r="B10" i="60"/>
  <c r="G10" i="59"/>
  <c r="G18" i="59"/>
  <c r="N18" i="59"/>
  <c r="M18" i="59"/>
  <c r="L18" i="59"/>
  <c r="K18" i="59"/>
  <c r="J18" i="59"/>
  <c r="I18" i="59"/>
  <c r="H18" i="59"/>
  <c r="F18" i="59"/>
  <c r="E18" i="59"/>
  <c r="D18" i="59"/>
  <c r="C18" i="59"/>
  <c r="B18" i="59"/>
  <c r="N10" i="59"/>
  <c r="M10" i="59"/>
  <c r="L10" i="59"/>
  <c r="K10" i="59"/>
  <c r="J10" i="59"/>
  <c r="I10" i="59"/>
  <c r="H10" i="59"/>
  <c r="F10" i="59"/>
  <c r="E10" i="59"/>
  <c r="D10" i="59"/>
  <c r="C10" i="59"/>
  <c r="B10" i="59"/>
  <c r="AA18" i="58"/>
  <c r="AA10" i="58"/>
  <c r="J10" i="58"/>
  <c r="J18" i="58"/>
  <c r="I10" i="58"/>
  <c r="W18" i="58"/>
  <c r="V18" i="58"/>
  <c r="U18" i="58"/>
  <c r="AF18" i="58"/>
  <c r="AE18" i="58"/>
  <c r="AD18" i="58"/>
  <c r="AC18" i="58"/>
  <c r="AB18" i="58"/>
  <c r="Z18" i="58"/>
  <c r="Y18" i="58"/>
  <c r="X18" i="58"/>
  <c r="T18" i="58"/>
  <c r="S18" i="58"/>
  <c r="R18" i="58"/>
  <c r="Q18" i="58"/>
  <c r="P18" i="58"/>
  <c r="O18" i="58"/>
  <c r="N18" i="58"/>
  <c r="M18" i="58"/>
  <c r="L18" i="58"/>
  <c r="K18" i="58"/>
  <c r="I18" i="58"/>
  <c r="H18" i="58"/>
  <c r="G18" i="58"/>
  <c r="F18" i="58"/>
  <c r="E18" i="58"/>
  <c r="D18" i="58"/>
  <c r="C18" i="58"/>
  <c r="B18" i="58"/>
  <c r="W10" i="58"/>
  <c r="V10" i="58"/>
  <c r="U10" i="58"/>
  <c r="AF10" i="58"/>
  <c r="AE10" i="58"/>
  <c r="AD10" i="58"/>
  <c r="AC10" i="58"/>
  <c r="AB10" i="58"/>
  <c r="Z10" i="58"/>
  <c r="Y10" i="58"/>
  <c r="X10" i="58"/>
  <c r="T10" i="58"/>
  <c r="S10" i="58"/>
  <c r="R10" i="58"/>
  <c r="Q10" i="58"/>
  <c r="P10" i="58"/>
  <c r="O10" i="58"/>
  <c r="N10" i="58"/>
  <c r="M10" i="58"/>
  <c r="L10" i="58"/>
  <c r="K10" i="58"/>
  <c r="H10" i="58"/>
  <c r="G10" i="58"/>
  <c r="F10" i="58"/>
  <c r="E10" i="58"/>
  <c r="D10" i="58"/>
  <c r="C10" i="58"/>
  <c r="B10" i="58"/>
  <c r="N18" i="57"/>
  <c r="M18" i="57"/>
  <c r="L18" i="57"/>
  <c r="K18" i="57"/>
  <c r="J18" i="57"/>
  <c r="I18" i="57"/>
  <c r="H18" i="57"/>
  <c r="G18" i="57"/>
  <c r="F18" i="57"/>
  <c r="E18" i="57"/>
  <c r="D18" i="57"/>
  <c r="C18" i="57"/>
  <c r="B18" i="57"/>
  <c r="N10" i="57"/>
  <c r="M10" i="57"/>
  <c r="L10" i="57"/>
  <c r="K10" i="57"/>
  <c r="J10" i="57"/>
  <c r="I10" i="57"/>
  <c r="H10" i="57"/>
  <c r="G10" i="57"/>
  <c r="F10" i="57"/>
  <c r="E10" i="57"/>
  <c r="D10" i="57"/>
  <c r="C10" i="57"/>
  <c r="B10" i="57"/>
  <c r="AH18" i="56"/>
  <c r="AG18" i="56"/>
  <c r="AF18" i="56"/>
  <c r="AE18" i="56"/>
  <c r="AD18" i="56"/>
  <c r="AC18" i="56"/>
  <c r="AB18" i="56"/>
  <c r="AA18" i="56"/>
  <c r="Z18" i="56"/>
  <c r="V18" i="56"/>
  <c r="Y18" i="56"/>
  <c r="X18" i="56"/>
  <c r="W18" i="56"/>
  <c r="U18" i="56"/>
  <c r="T18" i="56"/>
  <c r="S18" i="56"/>
  <c r="R18" i="56"/>
  <c r="Q18" i="56"/>
  <c r="P18" i="56"/>
  <c r="O18" i="56"/>
  <c r="N18" i="56"/>
  <c r="M18" i="56"/>
  <c r="L18" i="56"/>
  <c r="K18" i="56"/>
  <c r="J18" i="56"/>
  <c r="I18" i="56"/>
  <c r="H18" i="56"/>
  <c r="G18" i="56"/>
  <c r="F18" i="56"/>
  <c r="E18" i="56"/>
  <c r="D18" i="56"/>
  <c r="C18" i="56"/>
  <c r="AH10" i="56"/>
  <c r="AG10" i="56"/>
  <c r="AF10" i="56"/>
  <c r="AF19" i="56" s="1"/>
  <c r="AE10" i="56"/>
  <c r="AD10" i="56"/>
  <c r="AC10" i="56"/>
  <c r="AB10" i="56"/>
  <c r="AB19" i="56" s="1"/>
  <c r="AA10" i="56"/>
  <c r="Z10" i="56"/>
  <c r="V10" i="56"/>
  <c r="Y10" i="56"/>
  <c r="Y19" i="56" s="1"/>
  <c r="X10" i="56"/>
  <c r="W10" i="56"/>
  <c r="U10" i="56"/>
  <c r="T10" i="56"/>
  <c r="T19" i="56" s="1"/>
  <c r="S10" i="56"/>
  <c r="R10" i="56"/>
  <c r="Q10" i="56"/>
  <c r="P10" i="56"/>
  <c r="P19" i="56" s="1"/>
  <c r="O10" i="56"/>
  <c r="N10" i="56"/>
  <c r="M10" i="56"/>
  <c r="L10" i="56"/>
  <c r="L19" i="56" s="1"/>
  <c r="K10" i="56"/>
  <c r="J10" i="56"/>
  <c r="I10" i="56"/>
  <c r="H10" i="56"/>
  <c r="H19" i="56" s="1"/>
  <c r="G10" i="56"/>
  <c r="F10" i="56"/>
  <c r="E10" i="56"/>
  <c r="D10" i="56"/>
  <c r="C10" i="56"/>
  <c r="B18" i="56"/>
  <c r="B10" i="56"/>
  <c r="L18" i="55"/>
  <c r="K18" i="55"/>
  <c r="J18" i="55"/>
  <c r="I18" i="55"/>
  <c r="H18" i="55"/>
  <c r="G18" i="55"/>
  <c r="F18" i="55"/>
  <c r="E18" i="55"/>
  <c r="D18" i="55"/>
  <c r="C18" i="55"/>
  <c r="B18" i="55"/>
  <c r="L10" i="55"/>
  <c r="K10" i="55"/>
  <c r="J10" i="55"/>
  <c r="I10" i="55"/>
  <c r="H10" i="55"/>
  <c r="G10" i="55"/>
  <c r="F10" i="55"/>
  <c r="E10" i="55"/>
  <c r="D10" i="55"/>
  <c r="C10" i="55"/>
  <c r="B10" i="55"/>
  <c r="U7" i="53"/>
  <c r="U10" i="53" s="1"/>
  <c r="U15" i="53"/>
  <c r="U18" i="53" s="1"/>
  <c r="T15" i="53"/>
  <c r="T7" i="53"/>
  <c r="T10" i="53" s="1"/>
  <c r="T19" i="53" s="1"/>
  <c r="S15" i="53"/>
  <c r="S18" i="53" s="1"/>
  <c r="G15" i="53"/>
  <c r="G18" i="53" s="1"/>
  <c r="E15" i="53"/>
  <c r="B15" i="53"/>
  <c r="B18" i="53" s="1"/>
  <c r="AA18" i="53"/>
  <c r="Z18" i="53"/>
  <c r="Y18" i="53"/>
  <c r="X18" i="53"/>
  <c r="W18" i="53"/>
  <c r="V18" i="53"/>
  <c r="T18" i="53"/>
  <c r="R18" i="53"/>
  <c r="Q18" i="53"/>
  <c r="P18" i="53"/>
  <c r="O18" i="53"/>
  <c r="N18" i="53"/>
  <c r="M18" i="53"/>
  <c r="L18" i="53"/>
  <c r="K18" i="53"/>
  <c r="J18" i="53"/>
  <c r="I18" i="53"/>
  <c r="H18" i="53"/>
  <c r="F18" i="53"/>
  <c r="D18" i="53"/>
  <c r="C18" i="53"/>
  <c r="AA10" i="53"/>
  <c r="Z10" i="53"/>
  <c r="Y10" i="53"/>
  <c r="X10" i="53"/>
  <c r="W10" i="53"/>
  <c r="V10" i="53"/>
  <c r="S10" i="53"/>
  <c r="R10" i="53"/>
  <c r="Q10" i="53"/>
  <c r="P10" i="53"/>
  <c r="O10" i="53"/>
  <c r="N10" i="53"/>
  <c r="M10" i="53"/>
  <c r="L10" i="53"/>
  <c r="K10" i="53"/>
  <c r="J10" i="53"/>
  <c r="I10" i="53"/>
  <c r="H10" i="53"/>
  <c r="G10" i="53"/>
  <c r="F10" i="53"/>
  <c r="E10" i="53"/>
  <c r="D10" i="53"/>
  <c r="C10" i="53"/>
  <c r="B10" i="53"/>
  <c r="R18" i="52"/>
  <c r="Q18" i="52"/>
  <c r="P18" i="52"/>
  <c r="O18" i="52"/>
  <c r="N18" i="52"/>
  <c r="M18" i="52"/>
  <c r="L18" i="52"/>
  <c r="K18" i="52"/>
  <c r="J18" i="52"/>
  <c r="I18" i="52"/>
  <c r="H18" i="52"/>
  <c r="G18" i="52"/>
  <c r="F18" i="52"/>
  <c r="E18" i="52"/>
  <c r="D18" i="52"/>
  <c r="C18" i="52"/>
  <c r="B18" i="52"/>
  <c r="R10" i="52"/>
  <c r="Q10" i="52"/>
  <c r="Q19" i="52" s="1"/>
  <c r="P10" i="52"/>
  <c r="O10" i="52"/>
  <c r="N10" i="52"/>
  <c r="M10" i="52"/>
  <c r="M19" i="52" s="1"/>
  <c r="L10" i="52"/>
  <c r="K10" i="52"/>
  <c r="K19" i="52" s="1"/>
  <c r="J10" i="52"/>
  <c r="I10" i="52"/>
  <c r="H10" i="52"/>
  <c r="G10" i="52"/>
  <c r="F10" i="52"/>
  <c r="E10" i="52"/>
  <c r="D10" i="52"/>
  <c r="C10" i="52"/>
  <c r="B10" i="52"/>
  <c r="X15" i="51"/>
  <c r="X18" i="51" s="1"/>
  <c r="X7" i="51"/>
  <c r="W15" i="51"/>
  <c r="W18" i="51" s="1"/>
  <c r="W7" i="51"/>
  <c r="V15" i="51"/>
  <c r="V18" i="51" s="1"/>
  <c r="V7" i="51"/>
  <c r="U15" i="51"/>
  <c r="U7" i="51"/>
  <c r="G15" i="51"/>
  <c r="G18" i="51" s="1"/>
  <c r="G7" i="51"/>
  <c r="E15" i="51"/>
  <c r="E18" i="51" s="1"/>
  <c r="E7" i="51"/>
  <c r="E10" i="51" s="1"/>
  <c r="D15" i="51"/>
  <c r="D18" i="51" s="1"/>
  <c r="D7" i="51"/>
  <c r="B15" i="51"/>
  <c r="B18" i="51" s="1"/>
  <c r="B7" i="51"/>
  <c r="B10" i="51" s="1"/>
  <c r="AE18" i="51"/>
  <c r="AD18" i="51"/>
  <c r="AC18" i="51"/>
  <c r="AB18" i="51"/>
  <c r="AA18" i="51"/>
  <c r="Z18" i="51"/>
  <c r="Y18" i="51"/>
  <c r="T18" i="51"/>
  <c r="S18" i="51"/>
  <c r="R18" i="51"/>
  <c r="Q18" i="51"/>
  <c r="P18" i="51"/>
  <c r="O18" i="51"/>
  <c r="N18" i="51"/>
  <c r="M18" i="51"/>
  <c r="L18" i="51"/>
  <c r="K18" i="51"/>
  <c r="J18" i="51"/>
  <c r="I18" i="51"/>
  <c r="H18" i="51"/>
  <c r="F18" i="51"/>
  <c r="C18" i="51"/>
  <c r="AE10" i="51"/>
  <c r="AD10" i="51"/>
  <c r="AC10" i="51"/>
  <c r="AB10" i="51"/>
  <c r="AA10" i="51"/>
  <c r="Z10" i="51"/>
  <c r="Y10" i="51"/>
  <c r="X10" i="51"/>
  <c r="W10" i="51"/>
  <c r="V10" i="51"/>
  <c r="T10" i="51"/>
  <c r="U10" i="51"/>
  <c r="S10" i="51"/>
  <c r="R10" i="51"/>
  <c r="Q10" i="51"/>
  <c r="Q19" i="51" s="1"/>
  <c r="P10" i="51"/>
  <c r="O10" i="51"/>
  <c r="N10" i="51"/>
  <c r="M10" i="51"/>
  <c r="M19" i="51" s="1"/>
  <c r="L10" i="51"/>
  <c r="K10" i="51"/>
  <c r="J10" i="51"/>
  <c r="I10" i="51"/>
  <c r="I19" i="51" s="1"/>
  <c r="H10" i="51"/>
  <c r="G10" i="51"/>
  <c r="F10" i="51"/>
  <c r="D10" i="51"/>
  <c r="C10" i="51"/>
  <c r="L10" i="50"/>
  <c r="E10" i="50"/>
  <c r="T18" i="50"/>
  <c r="S18" i="50"/>
  <c r="R18" i="50"/>
  <c r="Q18" i="50"/>
  <c r="P18" i="50"/>
  <c r="O18" i="50"/>
  <c r="N18" i="50"/>
  <c r="M18" i="50"/>
  <c r="L18" i="50"/>
  <c r="K18" i="50"/>
  <c r="J18" i="50"/>
  <c r="I18" i="50"/>
  <c r="H18" i="50"/>
  <c r="G18" i="50"/>
  <c r="F18" i="50"/>
  <c r="E18" i="50"/>
  <c r="D18" i="50"/>
  <c r="C18" i="50"/>
  <c r="B18" i="50"/>
  <c r="T10" i="50"/>
  <c r="S10" i="50"/>
  <c r="S19" i="50" s="1"/>
  <c r="R10" i="50"/>
  <c r="Q10" i="50"/>
  <c r="P10" i="50"/>
  <c r="O10" i="50"/>
  <c r="O19" i="50" s="1"/>
  <c r="N10" i="50"/>
  <c r="M10" i="50"/>
  <c r="K10" i="50"/>
  <c r="J10" i="50"/>
  <c r="J19" i="50" s="1"/>
  <c r="I10" i="50"/>
  <c r="H10" i="50"/>
  <c r="G10" i="50"/>
  <c r="G19" i="50" s="1"/>
  <c r="F10" i="50"/>
  <c r="F19" i="50" s="1"/>
  <c r="D10" i="50"/>
  <c r="C10" i="50"/>
  <c r="C19" i="50" s="1"/>
  <c r="B10" i="50"/>
  <c r="V18" i="49"/>
  <c r="Z15" i="49"/>
  <c r="Z7" i="49"/>
  <c r="Z10" i="49" s="1"/>
  <c r="Y15" i="49"/>
  <c r="Y18" i="49" s="1"/>
  <c r="Y7" i="49"/>
  <c r="X15" i="49"/>
  <c r="X18" i="49" s="1"/>
  <c r="X7" i="49"/>
  <c r="X10" i="49" s="1"/>
  <c r="W15" i="49"/>
  <c r="V7" i="49"/>
  <c r="V10" i="49" s="1"/>
  <c r="N7" i="49"/>
  <c r="L7" i="49"/>
  <c r="J7" i="49"/>
  <c r="I15" i="49"/>
  <c r="I7" i="49"/>
  <c r="I10" i="49" s="1"/>
  <c r="F15" i="49"/>
  <c r="F7" i="49"/>
  <c r="E18" i="49"/>
  <c r="E10" i="49"/>
  <c r="C15" i="49"/>
  <c r="C7" i="49"/>
  <c r="AG18" i="49"/>
  <c r="AF18" i="49"/>
  <c r="AE18" i="49"/>
  <c r="AD18" i="49"/>
  <c r="AC18" i="49"/>
  <c r="AB18" i="49"/>
  <c r="AA18" i="49"/>
  <c r="Z18" i="49"/>
  <c r="W18" i="49"/>
  <c r="U18" i="49"/>
  <c r="T18" i="49"/>
  <c r="S18" i="49"/>
  <c r="R18" i="49"/>
  <c r="Q18" i="49"/>
  <c r="P18" i="49"/>
  <c r="O18" i="49"/>
  <c r="N18" i="49"/>
  <c r="M18" i="49"/>
  <c r="L18" i="49"/>
  <c r="K18" i="49"/>
  <c r="J18" i="49"/>
  <c r="H18" i="49"/>
  <c r="G18" i="49"/>
  <c r="F18" i="49"/>
  <c r="D18" i="49"/>
  <c r="C18" i="49"/>
  <c r="B18" i="49"/>
  <c r="AG10" i="49"/>
  <c r="AF10" i="49"/>
  <c r="AE10" i="49"/>
  <c r="AD10" i="49"/>
  <c r="AC10" i="49"/>
  <c r="AB10" i="49"/>
  <c r="AA10" i="49"/>
  <c r="Y10" i="49"/>
  <c r="W10" i="49"/>
  <c r="U10" i="49"/>
  <c r="T10" i="49"/>
  <c r="S10" i="49"/>
  <c r="R10" i="49"/>
  <c r="Q10" i="49"/>
  <c r="P10" i="49"/>
  <c r="O10" i="49"/>
  <c r="N10" i="49"/>
  <c r="M10" i="49"/>
  <c r="L10" i="49"/>
  <c r="K10" i="49"/>
  <c r="J10" i="49"/>
  <c r="H10" i="49"/>
  <c r="G10" i="49"/>
  <c r="F10" i="49"/>
  <c r="D10" i="49"/>
  <c r="C10" i="49"/>
  <c r="B10" i="49"/>
  <c r="E18" i="48"/>
  <c r="F10" i="48"/>
  <c r="AA18" i="47"/>
  <c r="AA10" i="47"/>
  <c r="AA19" i="47" s="1"/>
  <c r="Y7" i="47"/>
  <c r="X15" i="47"/>
  <c r="X18" i="47" s="1"/>
  <c r="X7" i="47"/>
  <c r="V7" i="47"/>
  <c r="V10" i="47" s="1"/>
  <c r="U7" i="47"/>
  <c r="N7" i="47"/>
  <c r="L7" i="47"/>
  <c r="J7" i="47"/>
  <c r="J10" i="47" s="1"/>
  <c r="J15" i="47"/>
  <c r="I15" i="47"/>
  <c r="I7" i="47"/>
  <c r="I10" i="47" s="1"/>
  <c r="F7" i="47"/>
  <c r="F10" i="47" s="1"/>
  <c r="D7" i="47"/>
  <c r="D10" i="47" s="1"/>
  <c r="N18" i="48"/>
  <c r="M18" i="48"/>
  <c r="L18" i="48"/>
  <c r="K18" i="48"/>
  <c r="J18" i="48"/>
  <c r="I18" i="48"/>
  <c r="H18" i="48"/>
  <c r="G18" i="48"/>
  <c r="F18" i="48"/>
  <c r="D18" i="48"/>
  <c r="C18" i="48"/>
  <c r="B18" i="48"/>
  <c r="N10" i="48"/>
  <c r="N19" i="48" s="1"/>
  <c r="M10" i="48"/>
  <c r="L10" i="48"/>
  <c r="K10" i="48"/>
  <c r="J10" i="48"/>
  <c r="J19" i="48" s="1"/>
  <c r="I10" i="48"/>
  <c r="H10" i="48"/>
  <c r="G10" i="48"/>
  <c r="E10" i="48"/>
  <c r="E19" i="48" s="1"/>
  <c r="D10" i="48"/>
  <c r="C10" i="48"/>
  <c r="B10" i="48"/>
  <c r="AE18" i="47"/>
  <c r="AD18" i="47"/>
  <c r="AC18" i="47"/>
  <c r="AB18" i="47"/>
  <c r="Z18" i="47"/>
  <c r="Y18" i="47"/>
  <c r="W18" i="47"/>
  <c r="V18" i="47"/>
  <c r="U18" i="47"/>
  <c r="T18" i="47"/>
  <c r="S18" i="47"/>
  <c r="R18" i="47"/>
  <c r="Q18" i="47"/>
  <c r="P18" i="47"/>
  <c r="O18" i="47"/>
  <c r="N18" i="47"/>
  <c r="M18" i="47"/>
  <c r="L18" i="47"/>
  <c r="K18" i="47"/>
  <c r="J18" i="47"/>
  <c r="I18" i="47"/>
  <c r="H18" i="47"/>
  <c r="G18" i="47"/>
  <c r="F18" i="47"/>
  <c r="E18" i="47"/>
  <c r="D18" i="47"/>
  <c r="C18" i="47"/>
  <c r="B18" i="47"/>
  <c r="AE10" i="47"/>
  <c r="AD10" i="47"/>
  <c r="AC10" i="47"/>
  <c r="AB10" i="47"/>
  <c r="AB19" i="47" s="1"/>
  <c r="Z10" i="47"/>
  <c r="Y10" i="47"/>
  <c r="W10" i="47"/>
  <c r="U10" i="47"/>
  <c r="U19" i="47" s="1"/>
  <c r="T10" i="47"/>
  <c r="S10" i="47"/>
  <c r="R10" i="47"/>
  <c r="Q10" i="47"/>
  <c r="Q19" i="47" s="1"/>
  <c r="P10" i="47"/>
  <c r="O10" i="47"/>
  <c r="N10" i="47"/>
  <c r="M10" i="47"/>
  <c r="M19" i="47" s="1"/>
  <c r="L10" i="47"/>
  <c r="K10" i="47"/>
  <c r="H10" i="47"/>
  <c r="G10" i="47"/>
  <c r="E10" i="47"/>
  <c r="C10" i="47"/>
  <c r="B10" i="47"/>
  <c r="M10" i="46"/>
  <c r="D10" i="46"/>
  <c r="B18" i="46"/>
  <c r="N18" i="46"/>
  <c r="M18" i="46"/>
  <c r="L18" i="46"/>
  <c r="K18" i="46"/>
  <c r="J18" i="46"/>
  <c r="I18" i="46"/>
  <c r="H18" i="46"/>
  <c r="G18" i="46"/>
  <c r="F18" i="46"/>
  <c r="E18" i="46"/>
  <c r="D18" i="46"/>
  <c r="C18" i="46"/>
  <c r="N10" i="46"/>
  <c r="M19" i="46"/>
  <c r="L10" i="46"/>
  <c r="K10" i="46"/>
  <c r="J10" i="46"/>
  <c r="I10" i="46"/>
  <c r="H10" i="46"/>
  <c r="G10" i="46"/>
  <c r="F10" i="46"/>
  <c r="E10" i="46"/>
  <c r="C10" i="46"/>
  <c r="B10" i="46"/>
  <c r="H18" i="45"/>
  <c r="H10" i="45"/>
  <c r="D7" i="45"/>
  <c r="D10" i="45" s="1"/>
  <c r="V7" i="45"/>
  <c r="V10" i="45" s="1"/>
  <c r="G7" i="45"/>
  <c r="F7" i="45"/>
  <c r="F10" i="45" s="1"/>
  <c r="AH18" i="45"/>
  <c r="AG18" i="45"/>
  <c r="AF18" i="45"/>
  <c r="AE18" i="45"/>
  <c r="AD18" i="45"/>
  <c r="AC18" i="45"/>
  <c r="AB18" i="45"/>
  <c r="AA18" i="45"/>
  <c r="Z18" i="45"/>
  <c r="Y18" i="45"/>
  <c r="X18" i="45"/>
  <c r="W18" i="45"/>
  <c r="V18" i="45"/>
  <c r="U18" i="45"/>
  <c r="T18" i="45"/>
  <c r="S18" i="45"/>
  <c r="R18" i="45"/>
  <c r="Q18" i="45"/>
  <c r="P18" i="45"/>
  <c r="O18" i="45"/>
  <c r="N18" i="45"/>
  <c r="M18" i="45"/>
  <c r="L18" i="45"/>
  <c r="K18" i="45"/>
  <c r="J18" i="45"/>
  <c r="I18" i="45"/>
  <c r="G18" i="45"/>
  <c r="F18" i="45"/>
  <c r="E18" i="45"/>
  <c r="D18" i="45"/>
  <c r="C18" i="45"/>
  <c r="B18" i="45"/>
  <c r="AH10" i="45"/>
  <c r="AG10" i="45"/>
  <c r="AF10" i="45"/>
  <c r="AF19" i="45" s="1"/>
  <c r="AE10" i="45"/>
  <c r="AD10" i="45"/>
  <c r="AC10" i="45"/>
  <c r="AB10" i="45"/>
  <c r="AB19" i="45" s="1"/>
  <c r="AA10" i="45"/>
  <c r="Z10" i="45"/>
  <c r="Y10" i="45"/>
  <c r="X10" i="45"/>
  <c r="X19" i="45" s="1"/>
  <c r="W10" i="45"/>
  <c r="U10" i="45"/>
  <c r="T10" i="45"/>
  <c r="S10" i="45"/>
  <c r="R10" i="45"/>
  <c r="Q10" i="45"/>
  <c r="P10" i="45"/>
  <c r="O10" i="45"/>
  <c r="N10" i="45"/>
  <c r="M10" i="45"/>
  <c r="L10" i="45"/>
  <c r="K10" i="45"/>
  <c r="J10" i="45"/>
  <c r="I10" i="45"/>
  <c r="G10" i="45"/>
  <c r="E10" i="45"/>
  <c r="C10" i="45"/>
  <c r="B10" i="45"/>
  <c r="L18" i="44"/>
  <c r="K18" i="44"/>
  <c r="J18" i="44"/>
  <c r="I18" i="44"/>
  <c r="H18" i="44"/>
  <c r="G18" i="44"/>
  <c r="F18" i="44"/>
  <c r="E18" i="44"/>
  <c r="D18" i="44"/>
  <c r="C18" i="44"/>
  <c r="B18" i="44"/>
  <c r="L10" i="44"/>
  <c r="K10" i="44"/>
  <c r="K19" i="44" s="1"/>
  <c r="J10" i="44"/>
  <c r="I10" i="44"/>
  <c r="I19" i="44" s="1"/>
  <c r="H10" i="44"/>
  <c r="G10" i="44"/>
  <c r="G19" i="44" s="1"/>
  <c r="F10" i="44"/>
  <c r="F19" i="44" s="1"/>
  <c r="E10" i="44"/>
  <c r="E19" i="44" s="1"/>
  <c r="D10" i="44"/>
  <c r="C10" i="44"/>
  <c r="C19" i="44" s="1"/>
  <c r="B10" i="44"/>
  <c r="B19" i="44" s="1"/>
  <c r="H7" i="43"/>
  <c r="S7" i="43"/>
  <c r="T7" i="43"/>
  <c r="T10" i="43" s="1"/>
  <c r="W15" i="43"/>
  <c r="W18" i="43" s="1"/>
  <c r="W7" i="43"/>
  <c r="W10" i="43" s="1"/>
  <c r="V7" i="43"/>
  <c r="V15" i="43"/>
  <c r="V18" i="43" s="1"/>
  <c r="U7" i="43"/>
  <c r="U10" i="43" s="1"/>
  <c r="T15" i="43"/>
  <c r="T18" i="43" s="1"/>
  <c r="M7" i="43"/>
  <c r="M10" i="43" s="1"/>
  <c r="K7" i="43"/>
  <c r="K10" i="43" s="1"/>
  <c r="I7" i="43"/>
  <c r="I10" i="43" s="1"/>
  <c r="H15" i="43"/>
  <c r="G7" i="43"/>
  <c r="F15" i="43"/>
  <c r="F18" i="43" s="1"/>
  <c r="F7" i="43"/>
  <c r="F10" i="43" s="1"/>
  <c r="D15" i="43"/>
  <c r="D18" i="43" s="1"/>
  <c r="D7" i="43"/>
  <c r="D10" i="43" s="1"/>
  <c r="AB18" i="43"/>
  <c r="AA18" i="43"/>
  <c r="Z18" i="43"/>
  <c r="Y18" i="43"/>
  <c r="X18" i="43"/>
  <c r="U18" i="43"/>
  <c r="S18" i="43"/>
  <c r="R18" i="43"/>
  <c r="Q18" i="43"/>
  <c r="P18" i="43"/>
  <c r="O18" i="43"/>
  <c r="N18" i="43"/>
  <c r="M18" i="43"/>
  <c r="L18" i="43"/>
  <c r="K18" i="43"/>
  <c r="J18" i="43"/>
  <c r="I18" i="43"/>
  <c r="H18" i="43"/>
  <c r="G18" i="43"/>
  <c r="E18" i="43"/>
  <c r="C18" i="43"/>
  <c r="B18" i="43"/>
  <c r="AB10" i="43"/>
  <c r="AA10" i="43"/>
  <c r="Z10" i="43"/>
  <c r="Y10" i="43"/>
  <c r="X10" i="43"/>
  <c r="R10" i="43"/>
  <c r="Q10" i="43"/>
  <c r="P10" i="43"/>
  <c r="O10" i="43"/>
  <c r="N10" i="43"/>
  <c r="L10" i="43"/>
  <c r="J10" i="43"/>
  <c r="G10" i="43"/>
  <c r="E10" i="43"/>
  <c r="B10" i="43"/>
  <c r="B19" i="43" s="1"/>
  <c r="G19" i="59" l="1"/>
  <c r="AA19" i="58"/>
  <c r="J19" i="43"/>
  <c r="M19" i="77"/>
  <c r="Q19" i="76"/>
  <c r="U19" i="76"/>
  <c r="W19" i="76"/>
  <c r="C19" i="76"/>
  <c r="G19" i="76"/>
  <c r="S19" i="76"/>
  <c r="X19" i="76"/>
  <c r="V19" i="74"/>
  <c r="Z19" i="74"/>
  <c r="C19" i="73"/>
  <c r="M19" i="70"/>
  <c r="E19" i="65"/>
  <c r="I19" i="65"/>
  <c r="B19" i="61"/>
  <c r="J19" i="61"/>
  <c r="I19" i="59"/>
  <c r="M19" i="59"/>
  <c r="K19" i="55"/>
  <c r="J19" i="53"/>
  <c r="D19" i="53"/>
  <c r="F19" i="53"/>
  <c r="M19" i="53"/>
  <c r="X19" i="53"/>
  <c r="AA19" i="53"/>
  <c r="L19" i="53"/>
  <c r="W19" i="53"/>
  <c r="C19" i="51"/>
  <c r="F19" i="48"/>
  <c r="C19" i="47"/>
  <c r="K19" i="47"/>
  <c r="O19" i="47"/>
  <c r="S19" i="47"/>
  <c r="C19" i="80"/>
  <c r="H19" i="80"/>
  <c r="AA19" i="80"/>
  <c r="D19" i="80"/>
  <c r="K19" i="80"/>
  <c r="D19" i="56"/>
  <c r="F19" i="56"/>
  <c r="J19" i="56"/>
  <c r="N19" i="56"/>
  <c r="R19" i="56"/>
  <c r="W19" i="56"/>
  <c r="Z19" i="56"/>
  <c r="AD19" i="56"/>
  <c r="AH19" i="56"/>
  <c r="E19" i="56"/>
  <c r="I19" i="56"/>
  <c r="M19" i="56"/>
  <c r="Q19" i="56"/>
  <c r="U19" i="56"/>
  <c r="V19" i="56"/>
  <c r="AC19" i="56"/>
  <c r="AG19" i="56"/>
  <c r="H19" i="45"/>
  <c r="O19" i="76"/>
  <c r="R19" i="76"/>
  <c r="V19" i="76"/>
  <c r="M19" i="76"/>
  <c r="P19" i="76"/>
  <c r="T19" i="76"/>
  <c r="J19" i="81"/>
  <c r="R19" i="81"/>
  <c r="Z19" i="81"/>
  <c r="N19" i="81"/>
  <c r="I19" i="81"/>
  <c r="M19" i="81"/>
  <c r="Q19" i="81"/>
  <c r="U19" i="81"/>
  <c r="Y19" i="81"/>
  <c r="H19" i="81"/>
  <c r="K19" i="81"/>
  <c r="O19" i="81"/>
  <c r="S19" i="81"/>
  <c r="W19" i="81"/>
  <c r="AA19" i="81"/>
  <c r="G19" i="81"/>
  <c r="V19" i="81"/>
  <c r="F19" i="81"/>
  <c r="E19" i="81"/>
  <c r="D19" i="81"/>
  <c r="C19" i="81"/>
  <c r="B19" i="81"/>
  <c r="S19" i="80"/>
  <c r="M19" i="80"/>
  <c r="P19" i="80"/>
  <c r="U19" i="80"/>
  <c r="X19" i="80"/>
  <c r="AB19" i="80"/>
  <c r="E19" i="80"/>
  <c r="F19" i="80"/>
  <c r="O19" i="80"/>
  <c r="Q19" i="80"/>
  <c r="V19" i="80"/>
  <c r="G19" i="80"/>
  <c r="R19" i="80"/>
  <c r="W19" i="80"/>
  <c r="Z19" i="80"/>
  <c r="I19" i="80"/>
  <c r="L19" i="80"/>
  <c r="Y19" i="80"/>
  <c r="B19" i="80"/>
  <c r="H19" i="79"/>
  <c r="M19" i="79"/>
  <c r="L19" i="79"/>
  <c r="J19" i="79"/>
  <c r="G19" i="79"/>
  <c r="E19" i="79"/>
  <c r="D19" i="79"/>
  <c r="C19" i="79"/>
  <c r="B19" i="79"/>
  <c r="X19" i="78"/>
  <c r="T19" i="78"/>
  <c r="V19" i="78"/>
  <c r="S19" i="78"/>
  <c r="R19" i="78"/>
  <c r="P19" i="78"/>
  <c r="N19" i="78"/>
  <c r="M19" i="78"/>
  <c r="F19" i="78"/>
  <c r="L19" i="78"/>
  <c r="J19" i="78"/>
  <c r="I19" i="78"/>
  <c r="G19" i="78"/>
  <c r="E19" i="78"/>
  <c r="C19" i="78"/>
  <c r="B19" i="78"/>
  <c r="C19" i="77"/>
  <c r="N19" i="77"/>
  <c r="L19" i="77"/>
  <c r="K19" i="77"/>
  <c r="I19" i="77"/>
  <c r="H19" i="77"/>
  <c r="G19" i="77"/>
  <c r="E19" i="77"/>
  <c r="D19" i="77"/>
  <c r="B19" i="77"/>
  <c r="N19" i="76"/>
  <c r="L19" i="76"/>
  <c r="K19" i="76"/>
  <c r="J19" i="76"/>
  <c r="I19" i="76"/>
  <c r="H19" i="76"/>
  <c r="F19" i="76"/>
  <c r="E19" i="76"/>
  <c r="D19" i="76"/>
  <c r="B19" i="76"/>
  <c r="F19" i="75"/>
  <c r="N19" i="75"/>
  <c r="I19" i="75"/>
  <c r="M19" i="75"/>
  <c r="L19" i="75"/>
  <c r="J19" i="75"/>
  <c r="H19" i="75"/>
  <c r="G19" i="75"/>
  <c r="E19" i="75"/>
  <c r="D19" i="75"/>
  <c r="B19" i="75"/>
  <c r="U19" i="74"/>
  <c r="Y19" i="74"/>
  <c r="F19" i="74"/>
  <c r="S19" i="74"/>
  <c r="R19" i="74"/>
  <c r="N19" i="74"/>
  <c r="Q19" i="74"/>
  <c r="W19" i="74"/>
  <c r="M19" i="74"/>
  <c r="L19" i="74"/>
  <c r="J19" i="74"/>
  <c r="I19" i="74"/>
  <c r="H19" i="74"/>
  <c r="E19" i="74"/>
  <c r="D19" i="74"/>
  <c r="B19" i="74"/>
  <c r="I19" i="48"/>
  <c r="M19" i="48"/>
  <c r="V19" i="49"/>
  <c r="P19" i="50"/>
  <c r="T19" i="50"/>
  <c r="H19" i="50"/>
  <c r="R19" i="50"/>
  <c r="AE19" i="51"/>
  <c r="D19" i="51"/>
  <c r="T19" i="51"/>
  <c r="B19" i="51"/>
  <c r="B19" i="52"/>
  <c r="H19" i="52"/>
  <c r="P19" i="52"/>
  <c r="B19" i="53"/>
  <c r="C19" i="53"/>
  <c r="N19" i="53"/>
  <c r="P19" i="53"/>
  <c r="Y19" i="53"/>
  <c r="C19" i="63"/>
  <c r="G19" i="63"/>
  <c r="J19" i="63"/>
  <c r="I19" i="73"/>
  <c r="M19" i="73"/>
  <c r="L19" i="73"/>
  <c r="K19" i="73"/>
  <c r="J19" i="73"/>
  <c r="G19" i="73"/>
  <c r="E19" i="73"/>
  <c r="D19" i="73"/>
  <c r="B19" i="73"/>
  <c r="V19" i="72"/>
  <c r="Z19" i="72"/>
  <c r="M19" i="72"/>
  <c r="L19" i="72"/>
  <c r="B19" i="72"/>
  <c r="J19" i="72"/>
  <c r="N19" i="72"/>
  <c r="Q19" i="72"/>
  <c r="W19" i="72"/>
  <c r="G19" i="72"/>
  <c r="O19" i="72"/>
  <c r="R19" i="72"/>
  <c r="T19" i="72"/>
  <c r="X19" i="72"/>
  <c r="E19" i="72"/>
  <c r="K19" i="72"/>
  <c r="I19" i="72"/>
  <c r="H19" i="72"/>
  <c r="F19" i="72"/>
  <c r="C19" i="72"/>
  <c r="P19" i="71"/>
  <c r="T19" i="71"/>
  <c r="D19" i="71"/>
  <c r="N19" i="71"/>
  <c r="L19" i="71"/>
  <c r="J19" i="71"/>
  <c r="I19" i="71"/>
  <c r="H19" i="71"/>
  <c r="B19" i="71"/>
  <c r="C19" i="71"/>
  <c r="G19" i="71"/>
  <c r="K19" i="71"/>
  <c r="O19" i="71"/>
  <c r="S19" i="71"/>
  <c r="E19" i="71"/>
  <c r="M19" i="71"/>
  <c r="Q19" i="71"/>
  <c r="Y19" i="70"/>
  <c r="P19" i="70"/>
  <c r="O19" i="70"/>
  <c r="R19" i="70"/>
  <c r="S19" i="70"/>
  <c r="U19" i="70"/>
  <c r="AC19" i="70"/>
  <c r="D19" i="70"/>
  <c r="T19" i="70"/>
  <c r="L19" i="70"/>
  <c r="I19" i="70"/>
  <c r="H19" i="70"/>
  <c r="E19" i="70"/>
  <c r="R19" i="69"/>
  <c r="B19" i="70"/>
  <c r="F19" i="70"/>
  <c r="J19" i="70"/>
  <c r="V19" i="70"/>
  <c r="Z19" i="70"/>
  <c r="AD19" i="70"/>
  <c r="C19" i="70"/>
  <c r="G19" i="70"/>
  <c r="K19" i="70"/>
  <c r="N19" i="70"/>
  <c r="Q19" i="70"/>
  <c r="W19" i="70"/>
  <c r="AA19" i="70"/>
  <c r="AE19" i="70"/>
  <c r="N19" i="69"/>
  <c r="M19" i="69"/>
  <c r="L19" i="69"/>
  <c r="J19" i="69"/>
  <c r="H19" i="69"/>
  <c r="G19" i="69"/>
  <c r="F19" i="69"/>
  <c r="E19" i="69"/>
  <c r="D19" i="69"/>
  <c r="B19" i="69"/>
  <c r="P19" i="68"/>
  <c r="Y19" i="68"/>
  <c r="AC19" i="68"/>
  <c r="U19" i="68"/>
  <c r="C19" i="67"/>
  <c r="G19" i="67"/>
  <c r="K19" i="67"/>
  <c r="O19" i="67"/>
  <c r="S19" i="67"/>
  <c r="P19" i="67"/>
  <c r="T19" i="67"/>
  <c r="H19" i="65"/>
  <c r="L19" i="65"/>
  <c r="M19" i="65"/>
  <c r="E19" i="68"/>
  <c r="S19" i="68"/>
  <c r="M19" i="68"/>
  <c r="V19" i="68"/>
  <c r="Z19" i="68"/>
  <c r="AD19" i="68"/>
  <c r="O19" i="68"/>
  <c r="R19" i="68"/>
  <c r="T19" i="68"/>
  <c r="X19" i="68"/>
  <c r="AB19" i="68"/>
  <c r="AF19" i="68"/>
  <c r="B19" i="68"/>
  <c r="J19" i="68"/>
  <c r="N19" i="68"/>
  <c r="Q19" i="68"/>
  <c r="W19" i="68"/>
  <c r="AA19" i="68"/>
  <c r="AE19" i="68"/>
  <c r="L19" i="68"/>
  <c r="K19" i="68"/>
  <c r="I19" i="68"/>
  <c r="H19" i="68"/>
  <c r="F19" i="68"/>
  <c r="D19" i="68"/>
  <c r="C19" i="68"/>
  <c r="N19" i="67"/>
  <c r="M19" i="67"/>
  <c r="L19" i="67"/>
  <c r="J19" i="67"/>
  <c r="I19" i="67"/>
  <c r="H19" i="67"/>
  <c r="F19" i="67"/>
  <c r="E19" i="67"/>
  <c r="D19" i="67"/>
  <c r="B19" i="67"/>
  <c r="V19" i="66"/>
  <c r="T19" i="66"/>
  <c r="X19" i="66"/>
  <c r="N19" i="66"/>
  <c r="Q19" i="66"/>
  <c r="W19" i="66"/>
  <c r="AA19" i="66"/>
  <c r="O19" i="66"/>
  <c r="S19" i="66"/>
  <c r="U19" i="66"/>
  <c r="Y19" i="66"/>
  <c r="P19" i="66"/>
  <c r="Z19" i="66"/>
  <c r="J19" i="66"/>
  <c r="L19" i="66"/>
  <c r="E19" i="66"/>
  <c r="K19" i="66"/>
  <c r="H19" i="66"/>
  <c r="F19" i="66"/>
  <c r="D19" i="66"/>
  <c r="C19" i="66"/>
  <c r="B19" i="66"/>
  <c r="K19" i="65"/>
  <c r="G19" i="65"/>
  <c r="F19" i="65"/>
  <c r="D19" i="65"/>
  <c r="C19" i="65"/>
  <c r="B19" i="65"/>
  <c r="B19" i="64"/>
  <c r="K19" i="64"/>
  <c r="C19" i="64"/>
  <c r="O19" i="64"/>
  <c r="S19" i="64"/>
  <c r="H19" i="64"/>
  <c r="X19" i="64"/>
  <c r="E19" i="64"/>
  <c r="Z19" i="64"/>
  <c r="Y19" i="64"/>
  <c r="W19" i="64"/>
  <c r="V19" i="64"/>
  <c r="U19" i="64"/>
  <c r="T19" i="64"/>
  <c r="Q19" i="64"/>
  <c r="R19" i="64"/>
  <c r="P19" i="64"/>
  <c r="N19" i="64"/>
  <c r="M19" i="64"/>
  <c r="L19" i="64"/>
  <c r="J19" i="64"/>
  <c r="I19" i="64"/>
  <c r="F19" i="64"/>
  <c r="D19" i="64"/>
  <c r="M19" i="63"/>
  <c r="H19" i="63"/>
  <c r="D19" i="63"/>
  <c r="B19" i="63"/>
  <c r="F19" i="63"/>
  <c r="K19" i="63"/>
  <c r="N19" i="63"/>
  <c r="E19" i="63"/>
  <c r="I19" i="63"/>
  <c r="L19" i="63"/>
  <c r="AB19" i="62"/>
  <c r="Z19" i="62"/>
  <c r="X19" i="62"/>
  <c r="V19" i="62"/>
  <c r="U19" i="62"/>
  <c r="S19" i="62"/>
  <c r="Q19" i="62"/>
  <c r="O19" i="62"/>
  <c r="L19" i="62"/>
  <c r="J19" i="62"/>
  <c r="H19" i="62"/>
  <c r="G19" i="62"/>
  <c r="F19" i="62"/>
  <c r="D19" i="62"/>
  <c r="B19" i="62"/>
  <c r="E19" i="62"/>
  <c r="I19" i="62"/>
  <c r="M19" i="62"/>
  <c r="P19" i="62"/>
  <c r="T19" i="62"/>
  <c r="W19" i="62"/>
  <c r="AA19" i="62"/>
  <c r="C19" i="56"/>
  <c r="G19" i="56"/>
  <c r="K19" i="56"/>
  <c r="O19" i="56"/>
  <c r="S19" i="56"/>
  <c r="X19" i="56"/>
  <c r="AA19" i="56"/>
  <c r="AE19" i="56"/>
  <c r="B19" i="56"/>
  <c r="M19" i="61"/>
  <c r="F19" i="61"/>
  <c r="AA19" i="60"/>
  <c r="W19" i="60"/>
  <c r="S19" i="60"/>
  <c r="P19" i="60"/>
  <c r="N19" i="60"/>
  <c r="M19" i="60"/>
  <c r="I19" i="60"/>
  <c r="E19" i="60"/>
  <c r="D19" i="60"/>
  <c r="G19" i="60"/>
  <c r="K19" i="60"/>
  <c r="Q19" i="60"/>
  <c r="U19" i="60"/>
  <c r="Y19" i="60"/>
  <c r="C19" i="60"/>
  <c r="H19" i="60"/>
  <c r="L19" i="60"/>
  <c r="O19" i="60"/>
  <c r="R19" i="60"/>
  <c r="V19" i="60"/>
  <c r="Z19" i="60"/>
  <c r="B19" i="60"/>
  <c r="F19" i="60"/>
  <c r="J19" i="60"/>
  <c r="T19" i="60"/>
  <c r="X19" i="60"/>
  <c r="AB19" i="60"/>
  <c r="E19" i="59"/>
  <c r="D19" i="59"/>
  <c r="L19" i="59"/>
  <c r="F19" i="59"/>
  <c r="J19" i="59"/>
  <c r="N19" i="59"/>
  <c r="C19" i="59"/>
  <c r="H19" i="59"/>
  <c r="K19" i="59"/>
  <c r="B19" i="59"/>
  <c r="L19" i="58"/>
  <c r="O19" i="58"/>
  <c r="S19" i="58"/>
  <c r="Z19" i="58"/>
  <c r="AE19" i="58"/>
  <c r="V19" i="58"/>
  <c r="I19" i="58"/>
  <c r="X19" i="58"/>
  <c r="AC19" i="58"/>
  <c r="U19" i="58"/>
  <c r="J19" i="58"/>
  <c r="H19" i="58"/>
  <c r="W19" i="58"/>
  <c r="Q19" i="58"/>
  <c r="AF19" i="58"/>
  <c r="AB19" i="58"/>
  <c r="T19" i="58"/>
  <c r="P19" i="58"/>
  <c r="M19" i="58"/>
  <c r="G19" i="58"/>
  <c r="E19" i="58"/>
  <c r="D19" i="58"/>
  <c r="B19" i="58"/>
  <c r="C19" i="58"/>
  <c r="F19" i="58"/>
  <c r="K19" i="58"/>
  <c r="N19" i="58"/>
  <c r="R19" i="58"/>
  <c r="Y19" i="58"/>
  <c r="AD19" i="58"/>
  <c r="E19" i="57"/>
  <c r="N19" i="57"/>
  <c r="K19" i="57"/>
  <c r="J19" i="57"/>
  <c r="F19" i="57"/>
  <c r="B19" i="57"/>
  <c r="C19" i="57"/>
  <c r="G19" i="57"/>
  <c r="I19" i="57"/>
  <c r="M19" i="57"/>
  <c r="D19" i="57"/>
  <c r="H19" i="57"/>
  <c r="L19" i="57"/>
  <c r="L19" i="55"/>
  <c r="J19" i="55"/>
  <c r="H19" i="55"/>
  <c r="G19" i="55"/>
  <c r="F19" i="55"/>
  <c r="E19" i="55"/>
  <c r="D19" i="55"/>
  <c r="B19" i="55"/>
  <c r="C19" i="55"/>
  <c r="I19" i="55"/>
  <c r="O19" i="53"/>
  <c r="Q19" i="53"/>
  <c r="V19" i="53"/>
  <c r="Z19" i="53"/>
  <c r="U19" i="53"/>
  <c r="S19" i="53"/>
  <c r="R19" i="53"/>
  <c r="K19" i="53"/>
  <c r="I19" i="53"/>
  <c r="H19" i="53"/>
  <c r="G19" i="53"/>
  <c r="E18" i="53"/>
  <c r="E19" i="53" s="1"/>
  <c r="L19" i="52"/>
  <c r="I19" i="52"/>
  <c r="G19" i="52"/>
  <c r="F19" i="52"/>
  <c r="E19" i="52"/>
  <c r="C19" i="52"/>
  <c r="D19" i="52"/>
  <c r="J19" i="52"/>
  <c r="N19" i="52"/>
  <c r="R19" i="52"/>
  <c r="O19" i="52"/>
  <c r="AC19" i="51"/>
  <c r="AA19" i="51"/>
  <c r="Y19" i="51"/>
  <c r="F19" i="51"/>
  <c r="K19" i="51"/>
  <c r="O19" i="51"/>
  <c r="S19" i="51"/>
  <c r="H19" i="51"/>
  <c r="P19" i="51"/>
  <c r="AB19" i="51"/>
  <c r="X19" i="51"/>
  <c r="W19" i="51"/>
  <c r="U18" i="51"/>
  <c r="U19" i="51" s="1"/>
  <c r="J19" i="51"/>
  <c r="N19" i="51"/>
  <c r="R19" i="51"/>
  <c r="V19" i="51"/>
  <c r="Z19" i="51"/>
  <c r="AD19" i="51"/>
  <c r="L19" i="51"/>
  <c r="G19" i="51"/>
  <c r="E19" i="51"/>
  <c r="N19" i="50"/>
  <c r="L19" i="50"/>
  <c r="K19" i="50"/>
  <c r="D19" i="50"/>
  <c r="B19" i="50"/>
  <c r="E19" i="50"/>
  <c r="I19" i="50"/>
  <c r="M19" i="50"/>
  <c r="Q19" i="50"/>
  <c r="I18" i="49"/>
  <c r="I19" i="49" s="1"/>
  <c r="L19" i="49"/>
  <c r="AG19" i="49"/>
  <c r="H19" i="49"/>
  <c r="AC19" i="49"/>
  <c r="P19" i="49"/>
  <c r="E19" i="49"/>
  <c r="U19" i="49"/>
  <c r="AD19" i="49"/>
  <c r="B19" i="49"/>
  <c r="J19" i="49"/>
  <c r="W19" i="49"/>
  <c r="AA19" i="49"/>
  <c r="AE19" i="49"/>
  <c r="M19" i="49"/>
  <c r="Z19" i="49"/>
  <c r="Y19" i="49"/>
  <c r="T19" i="49"/>
  <c r="R19" i="49"/>
  <c r="Q19" i="49"/>
  <c r="N19" i="49"/>
  <c r="F19" i="49"/>
  <c r="D19" i="49"/>
  <c r="C19" i="49"/>
  <c r="G19" i="49"/>
  <c r="K19" i="49"/>
  <c r="O19" i="49"/>
  <c r="S19" i="49"/>
  <c r="X19" i="49"/>
  <c r="AB19" i="49"/>
  <c r="AF19" i="49"/>
  <c r="B19" i="48"/>
  <c r="D19" i="48"/>
  <c r="H19" i="48"/>
  <c r="L19" i="48"/>
  <c r="C19" i="48"/>
  <c r="G19" i="48"/>
  <c r="K19" i="48"/>
  <c r="H19" i="47"/>
  <c r="AC19" i="47"/>
  <c r="L19" i="47"/>
  <c r="P19" i="47"/>
  <c r="T19" i="47"/>
  <c r="AD19" i="47"/>
  <c r="D19" i="47"/>
  <c r="X10" i="47"/>
  <c r="X19" i="47" s="1"/>
  <c r="W19" i="47"/>
  <c r="G19" i="47"/>
  <c r="E19" i="47"/>
  <c r="I19" i="47"/>
  <c r="B19" i="47"/>
  <c r="F19" i="47"/>
  <c r="J19" i="47"/>
  <c r="N19" i="47"/>
  <c r="R19" i="47"/>
  <c r="V19" i="47"/>
  <c r="Y19" i="47"/>
  <c r="Z19" i="47"/>
  <c r="AE19" i="47"/>
  <c r="I19" i="46"/>
  <c r="E19" i="46"/>
  <c r="F19" i="46"/>
  <c r="N19" i="46"/>
  <c r="J19" i="46"/>
  <c r="D19" i="46"/>
  <c r="H19" i="46"/>
  <c r="L19" i="46"/>
  <c r="B19" i="46"/>
  <c r="C19" i="46"/>
  <c r="G19" i="46"/>
  <c r="K19" i="46"/>
  <c r="M19" i="45"/>
  <c r="R19" i="45"/>
  <c r="W19" i="45"/>
  <c r="P19" i="45"/>
  <c r="Y19" i="45"/>
  <c r="AC19" i="45"/>
  <c r="AG19" i="45"/>
  <c r="E19" i="45"/>
  <c r="D19" i="45"/>
  <c r="F19" i="45"/>
  <c r="B19" i="45"/>
  <c r="Z19" i="45"/>
  <c r="AD19" i="45"/>
  <c r="AH19" i="45"/>
  <c r="U19" i="45"/>
  <c r="S19" i="45"/>
  <c r="N19" i="45"/>
  <c r="L19" i="45"/>
  <c r="J19" i="45"/>
  <c r="I19" i="45"/>
  <c r="C19" i="45"/>
  <c r="G19" i="45"/>
  <c r="K19" i="45"/>
  <c r="O19" i="45"/>
  <c r="Q19" i="45"/>
  <c r="T19" i="45"/>
  <c r="V19" i="45"/>
  <c r="AA19" i="45"/>
  <c r="AE19" i="45"/>
  <c r="D19" i="44"/>
  <c r="H19" i="44"/>
  <c r="L19" i="44"/>
  <c r="J19" i="44"/>
  <c r="Y19" i="43"/>
  <c r="E19" i="43"/>
  <c r="N19" i="43"/>
  <c r="R19" i="43"/>
  <c r="Z19" i="43"/>
  <c r="V10" i="43"/>
  <c r="V19" i="43" s="1"/>
  <c r="S10" i="43"/>
  <c r="S19" i="43" s="1"/>
  <c r="M19" i="43"/>
  <c r="I19" i="43"/>
  <c r="H10" i="43"/>
  <c r="H19" i="43" s="1"/>
  <c r="G19" i="43"/>
  <c r="F19" i="43"/>
  <c r="C19" i="43"/>
  <c r="K19" i="43"/>
  <c r="O19" i="43"/>
  <c r="Q19" i="43"/>
  <c r="T19" i="43"/>
  <c r="AA19" i="43"/>
  <c r="U19" i="43"/>
  <c r="D19" i="43"/>
  <c r="L19" i="43"/>
  <c r="P19" i="43"/>
  <c r="W19" i="43"/>
  <c r="X19" i="43"/>
  <c r="AB19" i="43"/>
  <c r="L18" i="41"/>
  <c r="K18" i="41"/>
  <c r="J18" i="41"/>
  <c r="I18" i="41"/>
  <c r="H18" i="41"/>
  <c r="G18" i="41"/>
  <c r="F18" i="41"/>
  <c r="E18" i="41"/>
  <c r="D18" i="41"/>
  <c r="C18" i="41"/>
  <c r="B18" i="41"/>
  <c r="L10" i="41"/>
  <c r="L19" i="41" s="1"/>
  <c r="K10" i="41"/>
  <c r="K19" i="41" s="1"/>
  <c r="J10" i="41"/>
  <c r="I10" i="41"/>
  <c r="H10" i="41"/>
  <c r="H19" i="41" s="1"/>
  <c r="G10" i="41"/>
  <c r="G19" i="41" s="1"/>
  <c r="F10" i="41"/>
  <c r="E10" i="41"/>
  <c r="D10" i="41"/>
  <c r="D19" i="41" s="1"/>
  <c r="C10" i="41"/>
  <c r="C19" i="41" s="1"/>
  <c r="B10" i="41"/>
  <c r="X18" i="40"/>
  <c r="Y18" i="40"/>
  <c r="Z18" i="40"/>
  <c r="AA18" i="40"/>
  <c r="AB18" i="40"/>
  <c r="X10" i="40"/>
  <c r="Y10" i="40"/>
  <c r="Z10" i="40"/>
  <c r="AA10" i="40"/>
  <c r="AB10" i="40"/>
  <c r="W15" i="40"/>
  <c r="W7" i="40"/>
  <c r="W10" i="40" s="1"/>
  <c r="V15" i="40"/>
  <c r="V18" i="40" s="1"/>
  <c r="V7" i="40"/>
  <c r="V10" i="40" s="1"/>
  <c r="U15" i="40"/>
  <c r="U18" i="40" s="1"/>
  <c r="U7" i="40"/>
  <c r="U10" i="40" s="1"/>
  <c r="T7" i="40"/>
  <c r="T10" i="40" s="1"/>
  <c r="S7" i="40"/>
  <c r="N7" i="40"/>
  <c r="N10" i="40" s="1"/>
  <c r="M7" i="40"/>
  <c r="M10" i="40" s="1"/>
  <c r="J15" i="40"/>
  <c r="J7" i="40"/>
  <c r="J10" i="40" s="1"/>
  <c r="H15" i="40"/>
  <c r="H7" i="40"/>
  <c r="H10" i="40" s="1"/>
  <c r="G15" i="40"/>
  <c r="G18" i="40" s="1"/>
  <c r="G7" i="40"/>
  <c r="G10" i="40" s="1"/>
  <c r="F15" i="40"/>
  <c r="F18" i="40" s="1"/>
  <c r="F7" i="40"/>
  <c r="F10" i="40" s="1"/>
  <c r="D15" i="40"/>
  <c r="D18" i="40" s="1"/>
  <c r="D7" i="40"/>
  <c r="D10" i="40" s="1"/>
  <c r="C7" i="40"/>
  <c r="C18" i="40"/>
  <c r="W18" i="40"/>
  <c r="T18" i="40"/>
  <c r="S18" i="40"/>
  <c r="R18" i="40"/>
  <c r="Q18" i="40"/>
  <c r="P18" i="40"/>
  <c r="O18" i="40"/>
  <c r="N18" i="40"/>
  <c r="M18" i="40"/>
  <c r="L18" i="40"/>
  <c r="K18" i="40"/>
  <c r="J18" i="40"/>
  <c r="I18" i="40"/>
  <c r="H18" i="40"/>
  <c r="E18" i="40"/>
  <c r="B18" i="40"/>
  <c r="R10" i="40"/>
  <c r="Q10" i="40"/>
  <c r="P10" i="40"/>
  <c r="O10" i="40"/>
  <c r="L10" i="40"/>
  <c r="K10" i="40"/>
  <c r="I10" i="40"/>
  <c r="E10" i="40"/>
  <c r="B10" i="40"/>
  <c r="I18" i="39"/>
  <c r="N18" i="39"/>
  <c r="M18" i="39"/>
  <c r="L18" i="39"/>
  <c r="K18" i="39"/>
  <c r="J18" i="39"/>
  <c r="H18" i="39"/>
  <c r="G18" i="39"/>
  <c r="F18" i="39"/>
  <c r="E18" i="39"/>
  <c r="D18" i="39"/>
  <c r="C18" i="39"/>
  <c r="B18" i="39"/>
  <c r="I10" i="39"/>
  <c r="I19" i="39" s="1"/>
  <c r="N10" i="39"/>
  <c r="N19" i="39" s="1"/>
  <c r="M10" i="39"/>
  <c r="L10" i="39"/>
  <c r="L19" i="39" s="1"/>
  <c r="K10" i="39"/>
  <c r="K19" i="39" s="1"/>
  <c r="J10" i="39"/>
  <c r="J19" i="39" s="1"/>
  <c r="H10" i="39"/>
  <c r="G10" i="39"/>
  <c r="G19" i="39" s="1"/>
  <c r="F10" i="39"/>
  <c r="F19" i="39" s="1"/>
  <c r="E10" i="39"/>
  <c r="E19" i="39" s="1"/>
  <c r="D10" i="39"/>
  <c r="C10" i="39"/>
  <c r="C19" i="39" s="1"/>
  <c r="B10" i="39"/>
  <c r="B19" i="39" s="1"/>
  <c r="V7" i="38"/>
  <c r="U15" i="38"/>
  <c r="U18" i="38" s="1"/>
  <c r="U7" i="38"/>
  <c r="T7" i="38"/>
  <c r="T10" i="38" s="1"/>
  <c r="S10" i="38"/>
  <c r="S18" i="38"/>
  <c r="P15" i="38"/>
  <c r="P7" i="38"/>
  <c r="O15" i="38"/>
  <c r="O18" i="38" s="1"/>
  <c r="O7" i="38"/>
  <c r="O10" i="38" s="1"/>
  <c r="N15" i="38"/>
  <c r="N7" i="38"/>
  <c r="L7" i="38"/>
  <c r="K7" i="38"/>
  <c r="K10" i="38" s="1"/>
  <c r="J15" i="38"/>
  <c r="J18" i="38" s="1"/>
  <c r="J7" i="38"/>
  <c r="J10" i="38" s="1"/>
  <c r="H7" i="38"/>
  <c r="H10" i="38" s="1"/>
  <c r="G7" i="38"/>
  <c r="G10" i="38" s="1"/>
  <c r="F7" i="38"/>
  <c r="F10" i="38" s="1"/>
  <c r="E7" i="38"/>
  <c r="C7" i="38"/>
  <c r="C10" i="38" s="1"/>
  <c r="R18" i="38"/>
  <c r="C18" i="38"/>
  <c r="W18" i="38"/>
  <c r="AA18" i="38"/>
  <c r="Z18" i="38"/>
  <c r="Y18" i="38"/>
  <c r="X18" i="38"/>
  <c r="V18" i="38"/>
  <c r="T18" i="38"/>
  <c r="Q18" i="38"/>
  <c r="P18" i="38"/>
  <c r="N18" i="38"/>
  <c r="L18" i="38"/>
  <c r="M18" i="38"/>
  <c r="K18" i="38"/>
  <c r="I18" i="38"/>
  <c r="G18" i="38"/>
  <c r="F18" i="38"/>
  <c r="E18" i="38"/>
  <c r="D18" i="38"/>
  <c r="B18" i="38"/>
  <c r="R10" i="38"/>
  <c r="W10" i="38"/>
  <c r="AA10" i="38"/>
  <c r="Z10" i="38"/>
  <c r="Y10" i="38"/>
  <c r="X10" i="38"/>
  <c r="U10" i="38"/>
  <c r="Q10" i="38"/>
  <c r="P10" i="38"/>
  <c r="N10" i="38"/>
  <c r="M10" i="38"/>
  <c r="I10" i="38"/>
  <c r="D10" i="38"/>
  <c r="B10" i="38"/>
  <c r="AC10" i="37"/>
  <c r="AD10" i="37"/>
  <c r="AE10" i="37"/>
  <c r="AF10" i="37"/>
  <c r="AC18" i="37"/>
  <c r="AD18" i="37"/>
  <c r="AE18" i="37"/>
  <c r="AE19" i="37" s="1"/>
  <c r="AF18" i="37"/>
  <c r="AC19" i="37"/>
  <c r="AD19" i="37"/>
  <c r="AF10" i="35"/>
  <c r="AG10" i="35"/>
  <c r="AH10" i="35"/>
  <c r="AF18" i="35"/>
  <c r="AG18" i="35"/>
  <c r="AH18" i="35"/>
  <c r="AG19" i="35"/>
  <c r="AH19" i="35"/>
  <c r="AN10" i="33"/>
  <c r="AO10" i="33"/>
  <c r="AP10" i="33"/>
  <c r="AQ10" i="33"/>
  <c r="AN18" i="33"/>
  <c r="AO18" i="33"/>
  <c r="AP18" i="33"/>
  <c r="AQ18" i="33"/>
  <c r="AN19" i="33"/>
  <c r="AO19" i="33"/>
  <c r="C18" i="23"/>
  <c r="B18" i="23"/>
  <c r="D18" i="23"/>
  <c r="E18" i="23"/>
  <c r="C10" i="23"/>
  <c r="B10" i="23"/>
  <c r="D10" i="23"/>
  <c r="E10" i="23"/>
  <c r="AB10" i="37"/>
  <c r="AB19" i="37" s="1"/>
  <c r="AB18" i="37"/>
  <c r="T7" i="37"/>
  <c r="T10" i="37" s="1"/>
  <c r="S15" i="37"/>
  <c r="O15" i="37"/>
  <c r="O18" i="37" s="1"/>
  <c r="H15" i="37"/>
  <c r="F15" i="37"/>
  <c r="C7" i="37"/>
  <c r="U15" i="37"/>
  <c r="U18" i="37" s="1"/>
  <c r="U7" i="37"/>
  <c r="T15" i="37"/>
  <c r="T18" i="37" s="1"/>
  <c r="S18" i="37"/>
  <c r="S7" i="37"/>
  <c r="S10" i="37" s="1"/>
  <c r="R15" i="37"/>
  <c r="R18" i="37" s="1"/>
  <c r="R7" i="37"/>
  <c r="R10" i="37" s="1"/>
  <c r="P15" i="37"/>
  <c r="P18" i="37" s="1"/>
  <c r="P7" i="37"/>
  <c r="O7" i="37"/>
  <c r="N15" i="37"/>
  <c r="N18" i="37" s="1"/>
  <c r="N7" i="37"/>
  <c r="L15" i="37"/>
  <c r="L18" i="37" s="1"/>
  <c r="L7" i="37"/>
  <c r="K15" i="37"/>
  <c r="K18" i="37" s="1"/>
  <c r="K7" i="37"/>
  <c r="K10" i="37" s="1"/>
  <c r="J15" i="37"/>
  <c r="J18" i="37" s="1"/>
  <c r="J7" i="37"/>
  <c r="I15" i="37"/>
  <c r="I18" i="37" s="1"/>
  <c r="I7" i="37"/>
  <c r="H7" i="37"/>
  <c r="H10" i="37" s="1"/>
  <c r="F18" i="37"/>
  <c r="F7" i="37"/>
  <c r="F10" i="37" s="1"/>
  <c r="E15" i="37"/>
  <c r="E7" i="37"/>
  <c r="C15" i="37"/>
  <c r="C18" i="37" s="1"/>
  <c r="C10" i="37"/>
  <c r="V18" i="37"/>
  <c r="W18" i="37"/>
  <c r="V10" i="37"/>
  <c r="W10" i="37"/>
  <c r="D10" i="37"/>
  <c r="E10" i="37"/>
  <c r="G10" i="37"/>
  <c r="I10" i="37"/>
  <c r="J10" i="37"/>
  <c r="L10" i="37"/>
  <c r="M10" i="37"/>
  <c r="N10" i="37"/>
  <c r="O10" i="37"/>
  <c r="P10" i="37"/>
  <c r="Q10" i="37"/>
  <c r="U10" i="37"/>
  <c r="X10" i="37"/>
  <c r="Y10" i="37"/>
  <c r="Z10" i="37"/>
  <c r="AA10" i="37"/>
  <c r="B10" i="37"/>
  <c r="B18" i="37"/>
  <c r="AA18" i="37"/>
  <c r="Y18" i="37"/>
  <c r="X18" i="37"/>
  <c r="Z18" i="37"/>
  <c r="Q18" i="37"/>
  <c r="M18" i="37"/>
  <c r="G18" i="37"/>
  <c r="D18" i="37"/>
  <c r="E18" i="37"/>
  <c r="G18" i="36"/>
  <c r="L18" i="36"/>
  <c r="K18" i="36"/>
  <c r="J18" i="36"/>
  <c r="I18" i="36"/>
  <c r="H18" i="36"/>
  <c r="F18" i="36"/>
  <c r="E18" i="36"/>
  <c r="D18" i="36"/>
  <c r="C18" i="36"/>
  <c r="B18" i="36"/>
  <c r="G10" i="36"/>
  <c r="G19" i="36" s="1"/>
  <c r="L10" i="36"/>
  <c r="L19" i="36" s="1"/>
  <c r="K10" i="36"/>
  <c r="K19" i="36" s="1"/>
  <c r="J10" i="36"/>
  <c r="I10" i="36"/>
  <c r="I19" i="36" s="1"/>
  <c r="H10" i="36"/>
  <c r="H19" i="36" s="1"/>
  <c r="F10" i="36"/>
  <c r="F19" i="36" s="1"/>
  <c r="E10" i="36"/>
  <c r="D10" i="36"/>
  <c r="D19" i="36" s="1"/>
  <c r="C10" i="36"/>
  <c r="C19" i="36" s="1"/>
  <c r="B10" i="36"/>
  <c r="B19" i="36" s="1"/>
  <c r="AB15" i="35"/>
  <c r="AB7" i="35"/>
  <c r="AB10" i="35" s="1"/>
  <c r="AA15" i="35"/>
  <c r="AA7" i="35"/>
  <c r="AA10" i="35" s="1"/>
  <c r="Y15" i="35"/>
  <c r="Y7" i="35"/>
  <c r="U15" i="35"/>
  <c r="U7" i="35"/>
  <c r="T7" i="35"/>
  <c r="S7" i="35"/>
  <c r="S10" i="35" s="1"/>
  <c r="R7" i="35"/>
  <c r="Q15" i="35"/>
  <c r="Q7" i="35"/>
  <c r="Q10" i="35" s="1"/>
  <c r="P15" i="35"/>
  <c r="P18" i="35" s="1"/>
  <c r="P7" i="35"/>
  <c r="P10" i="35" s="1"/>
  <c r="O7" i="35"/>
  <c r="O15" i="35"/>
  <c r="M15" i="35"/>
  <c r="M7" i="35"/>
  <c r="L15" i="35"/>
  <c r="L7" i="35"/>
  <c r="L10" i="35" s="1"/>
  <c r="K7" i="35"/>
  <c r="K15" i="35"/>
  <c r="J15" i="35"/>
  <c r="J7" i="35"/>
  <c r="I7" i="35"/>
  <c r="I15" i="35"/>
  <c r="G15" i="35"/>
  <c r="G18" i="35" s="1"/>
  <c r="G7" i="35"/>
  <c r="G10" i="35" s="1"/>
  <c r="F7" i="35"/>
  <c r="F10" i="35" s="1"/>
  <c r="F15" i="35"/>
  <c r="F18" i="35" s="1"/>
  <c r="E7" i="35"/>
  <c r="E10" i="35" s="1"/>
  <c r="D7" i="35"/>
  <c r="D10" i="35" s="1"/>
  <c r="D15" i="35"/>
  <c r="C7" i="35"/>
  <c r="C10" i="35" s="1"/>
  <c r="B18" i="35"/>
  <c r="C18" i="35"/>
  <c r="D18" i="35"/>
  <c r="E18" i="35"/>
  <c r="H18" i="35"/>
  <c r="I18" i="35"/>
  <c r="K18" i="35"/>
  <c r="N18" i="35"/>
  <c r="O18" i="35"/>
  <c r="Q18" i="35"/>
  <c r="R18" i="35"/>
  <c r="S18" i="35"/>
  <c r="T18" i="35"/>
  <c r="U18" i="35"/>
  <c r="V18" i="35"/>
  <c r="W18" i="35"/>
  <c r="X18" i="35"/>
  <c r="Y18" i="35"/>
  <c r="Z18" i="35"/>
  <c r="AA18" i="35"/>
  <c r="AB18" i="35"/>
  <c r="AC18" i="35"/>
  <c r="AD18" i="35"/>
  <c r="H10" i="35"/>
  <c r="H19" i="35" s="1"/>
  <c r="J10" i="35"/>
  <c r="M10" i="35"/>
  <c r="N10" i="35"/>
  <c r="N19" i="35" s="1"/>
  <c r="O10" i="35"/>
  <c r="R10" i="35"/>
  <c r="R19" i="35" s="1"/>
  <c r="T10" i="35"/>
  <c r="T19" i="35" s="1"/>
  <c r="U10" i="35"/>
  <c r="V10" i="35"/>
  <c r="V19" i="35" s="1"/>
  <c r="W10" i="35"/>
  <c r="X10" i="35"/>
  <c r="X19" i="35" s="1"/>
  <c r="Z10" i="35"/>
  <c r="Z19" i="35" s="1"/>
  <c r="AC10" i="35"/>
  <c r="AD10" i="35"/>
  <c r="AD19" i="35" s="1"/>
  <c r="AE10" i="35"/>
  <c r="K6" i="35"/>
  <c r="AE18" i="35"/>
  <c r="B10" i="35"/>
  <c r="B19" i="35" s="1"/>
  <c r="L15" i="34"/>
  <c r="L7" i="34"/>
  <c r="L18" i="34"/>
  <c r="K18" i="34"/>
  <c r="J18" i="34"/>
  <c r="I18" i="34"/>
  <c r="H18" i="34"/>
  <c r="G18" i="34"/>
  <c r="F18" i="34"/>
  <c r="E18" i="34"/>
  <c r="D18" i="34"/>
  <c r="C18" i="34"/>
  <c r="B18" i="34"/>
  <c r="L10" i="34"/>
  <c r="L19" i="34" s="1"/>
  <c r="K10" i="34"/>
  <c r="K19" i="34" s="1"/>
  <c r="J10" i="34"/>
  <c r="J19" i="34" s="1"/>
  <c r="I10" i="34"/>
  <c r="I19" i="34" s="1"/>
  <c r="H10" i="34"/>
  <c r="H19" i="34" s="1"/>
  <c r="G10" i="34"/>
  <c r="G19" i="34" s="1"/>
  <c r="F10" i="34"/>
  <c r="F19" i="34" s="1"/>
  <c r="E10" i="34"/>
  <c r="E19" i="34" s="1"/>
  <c r="D10" i="34"/>
  <c r="D19" i="34" s="1"/>
  <c r="C10" i="34"/>
  <c r="C19" i="34" s="1"/>
  <c r="B10" i="34"/>
  <c r="B19" i="34" s="1"/>
  <c r="C18" i="33"/>
  <c r="E18" i="33"/>
  <c r="I18" i="33"/>
  <c r="J18" i="33"/>
  <c r="K18" i="33"/>
  <c r="N18" i="33"/>
  <c r="O18" i="33"/>
  <c r="Q18" i="33"/>
  <c r="R18" i="33"/>
  <c r="S18" i="33"/>
  <c r="T18" i="33"/>
  <c r="U18" i="33"/>
  <c r="V18" i="33"/>
  <c r="W18" i="33"/>
  <c r="X18" i="33"/>
  <c r="AA18" i="33"/>
  <c r="AB18" i="33"/>
  <c r="AC18" i="33"/>
  <c r="AD18" i="33"/>
  <c r="AE18" i="33"/>
  <c r="AF18" i="33"/>
  <c r="J10" i="33"/>
  <c r="J19" i="33" s="1"/>
  <c r="N10" i="33"/>
  <c r="O10" i="33"/>
  <c r="Q10" i="33"/>
  <c r="R10" i="33"/>
  <c r="S10" i="33"/>
  <c r="T10" i="33"/>
  <c r="T19" i="33" s="1"/>
  <c r="U10" i="33"/>
  <c r="U19" i="33" s="1"/>
  <c r="V10" i="33"/>
  <c r="W10" i="33"/>
  <c r="X10" i="33"/>
  <c r="X19" i="33" s="1"/>
  <c r="Z10" i="33"/>
  <c r="AA10" i="33"/>
  <c r="AB10" i="33"/>
  <c r="AC10" i="33"/>
  <c r="AC19" i="33" s="1"/>
  <c r="AD10" i="33"/>
  <c r="AD19" i="33" s="1"/>
  <c r="AE10" i="33"/>
  <c r="AF10" i="33"/>
  <c r="AG10" i="33"/>
  <c r="AK10" i="33"/>
  <c r="Z7" i="33"/>
  <c r="Z15" i="33"/>
  <c r="Z18" i="33" s="1"/>
  <c r="AI15" i="33"/>
  <c r="AI18" i="33" s="1"/>
  <c r="B15" i="33"/>
  <c r="B18" i="33" s="1"/>
  <c r="Y7" i="33"/>
  <c r="Y10" i="33" s="1"/>
  <c r="AM7" i="33"/>
  <c r="AM10" i="33" s="1"/>
  <c r="AL7" i="33"/>
  <c r="AL10" i="33" s="1"/>
  <c r="AJ7" i="33"/>
  <c r="AJ10" i="33" s="1"/>
  <c r="AI7" i="33"/>
  <c r="AI10" i="33" s="1"/>
  <c r="AH15" i="33"/>
  <c r="AH18" i="33" s="1"/>
  <c r="AH7" i="33"/>
  <c r="AH10" i="33" s="1"/>
  <c r="P15" i="33"/>
  <c r="P18" i="33" s="1"/>
  <c r="P7" i="33"/>
  <c r="P10" i="33" s="1"/>
  <c r="M15" i="33"/>
  <c r="M18" i="33" s="1"/>
  <c r="M7" i="33"/>
  <c r="M10" i="33" s="1"/>
  <c r="L15" i="33"/>
  <c r="L18" i="33" s="1"/>
  <c r="L7" i="33"/>
  <c r="L10" i="33" s="1"/>
  <c r="K7" i="33"/>
  <c r="K10" i="33" s="1"/>
  <c r="I7" i="33"/>
  <c r="I10" i="33" s="1"/>
  <c r="I19" i="33" s="1"/>
  <c r="H15" i="33"/>
  <c r="H18" i="33" s="1"/>
  <c r="H7" i="33"/>
  <c r="H10" i="33" s="1"/>
  <c r="G15" i="33"/>
  <c r="G18" i="33" s="1"/>
  <c r="G7" i="33"/>
  <c r="G10" i="33" s="1"/>
  <c r="F7" i="33"/>
  <c r="F10" i="33" s="1"/>
  <c r="F19" i="33" s="1"/>
  <c r="F15" i="33"/>
  <c r="F18" i="33" s="1"/>
  <c r="E7" i="33"/>
  <c r="D15" i="33"/>
  <c r="D18" i="33" s="1"/>
  <c r="D7" i="33"/>
  <c r="D10" i="33" s="1"/>
  <c r="C7" i="33"/>
  <c r="B7" i="33"/>
  <c r="B10" i="33" s="1"/>
  <c r="Y18" i="33"/>
  <c r="AM18" i="33"/>
  <c r="C10" i="33"/>
  <c r="E10" i="33"/>
  <c r="AK18" i="33"/>
  <c r="AL18" i="33"/>
  <c r="AJ18" i="33"/>
  <c r="AG18" i="33"/>
  <c r="G18" i="32"/>
  <c r="H18" i="32"/>
  <c r="I18" i="32"/>
  <c r="G10" i="32"/>
  <c r="G19" i="32" s="1"/>
  <c r="H10" i="32"/>
  <c r="H19" i="32" s="1"/>
  <c r="I10" i="32"/>
  <c r="I19" i="32" s="1"/>
  <c r="J10" i="32"/>
  <c r="F10" i="32"/>
  <c r="AF18" i="32"/>
  <c r="AE18" i="32"/>
  <c r="AD18" i="32"/>
  <c r="AC18" i="32"/>
  <c r="AB18" i="32"/>
  <c r="AA18" i="32"/>
  <c r="Z18" i="32"/>
  <c r="Y18" i="32"/>
  <c r="X18" i="32"/>
  <c r="W18" i="32"/>
  <c r="V18" i="32"/>
  <c r="U18" i="32"/>
  <c r="T18" i="32"/>
  <c r="S18" i="32"/>
  <c r="R18" i="32"/>
  <c r="Q18" i="32"/>
  <c r="P18" i="32"/>
  <c r="O18" i="32"/>
  <c r="N18" i="32"/>
  <c r="M18" i="32"/>
  <c r="L18" i="32"/>
  <c r="K18" i="32"/>
  <c r="J18" i="32"/>
  <c r="F18" i="32"/>
  <c r="E18" i="32"/>
  <c r="D18" i="32"/>
  <c r="C18" i="32"/>
  <c r="B18" i="32"/>
  <c r="AF10" i="32"/>
  <c r="AF19" i="32" s="1"/>
  <c r="AE10" i="32"/>
  <c r="AD10" i="32"/>
  <c r="AC10" i="32"/>
  <c r="AC19" i="32" s="1"/>
  <c r="AB10" i="32"/>
  <c r="AB19" i="32" s="1"/>
  <c r="AA10" i="32"/>
  <c r="AA19" i="32" s="1"/>
  <c r="Z10" i="32"/>
  <c r="Z19" i="32" s="1"/>
  <c r="Y10" i="32"/>
  <c r="Y19" i="32" s="1"/>
  <c r="X10" i="32"/>
  <c r="X19" i="32" s="1"/>
  <c r="W10" i="32"/>
  <c r="W19" i="32" s="1"/>
  <c r="V10" i="32"/>
  <c r="V19" i="32" s="1"/>
  <c r="U10" i="32"/>
  <c r="T10" i="32"/>
  <c r="T19" i="32" s="1"/>
  <c r="S10" i="32"/>
  <c r="S19" i="32" s="1"/>
  <c r="R10" i="32"/>
  <c r="R19" i="32" s="1"/>
  <c r="Q10" i="32"/>
  <c r="Q19" i="32" s="1"/>
  <c r="P10" i="32"/>
  <c r="P19" i="32" s="1"/>
  <c r="O10" i="32"/>
  <c r="O19" i="32" s="1"/>
  <c r="N10" i="32"/>
  <c r="N19" i="32" s="1"/>
  <c r="M10" i="32"/>
  <c r="M19" i="32" s="1"/>
  <c r="L10" i="32"/>
  <c r="L19" i="32" s="1"/>
  <c r="K10" i="32"/>
  <c r="K19" i="32" s="1"/>
  <c r="J19" i="32"/>
  <c r="F19" i="32"/>
  <c r="E10" i="32"/>
  <c r="E19" i="32" s="1"/>
  <c r="D10" i="32"/>
  <c r="D19" i="32" s="1"/>
  <c r="C10" i="32"/>
  <c r="C19" i="32" s="1"/>
  <c r="B10" i="32"/>
  <c r="B19" i="32" s="1"/>
  <c r="O4" i="31"/>
  <c r="O3" i="31"/>
  <c r="O2" i="31"/>
  <c r="N3" i="31"/>
  <c r="N2" i="31"/>
  <c r="M2" i="31"/>
  <c r="L2" i="31"/>
  <c r="K4" i="31"/>
  <c r="K2" i="31"/>
  <c r="J4" i="31"/>
  <c r="J2" i="31"/>
  <c r="I5" i="31"/>
  <c r="I4" i="31"/>
  <c r="I2" i="31"/>
  <c r="H4" i="31"/>
  <c r="H2" i="31"/>
  <c r="G2" i="31"/>
  <c r="F4" i="31"/>
  <c r="F3" i="31"/>
  <c r="F2" i="31"/>
  <c r="E2" i="31"/>
  <c r="E4" i="31"/>
  <c r="E3" i="31"/>
  <c r="D4" i="31"/>
  <c r="D3" i="31"/>
  <c r="D2" i="31"/>
  <c r="C2" i="31"/>
  <c r="C4" i="31"/>
  <c r="C3" i="31"/>
  <c r="B2" i="31"/>
  <c r="B4" i="31"/>
  <c r="B3" i="31"/>
  <c r="C4" i="8"/>
  <c r="D4" i="8"/>
  <c r="E4" i="8"/>
  <c r="F4" i="8"/>
  <c r="G4" i="8"/>
  <c r="H4" i="8"/>
  <c r="I4" i="8"/>
  <c r="J4" i="8"/>
  <c r="K4" i="8"/>
  <c r="L4" i="8"/>
  <c r="M4" i="8"/>
  <c r="N4" i="8"/>
  <c r="O4" i="8"/>
  <c r="P4" i="8"/>
  <c r="Q4" i="8"/>
  <c r="R4" i="8"/>
  <c r="S4" i="8"/>
  <c r="T4" i="8"/>
  <c r="U4" i="8"/>
  <c r="V4" i="8"/>
  <c r="W4" i="8"/>
  <c r="X4" i="8"/>
  <c r="Y4" i="8"/>
  <c r="Z4" i="8"/>
  <c r="AA4" i="8"/>
  <c r="AB4" i="8"/>
  <c r="AC4" i="8"/>
  <c r="B4" i="8"/>
  <c r="K18" i="24"/>
  <c r="J18" i="24"/>
  <c r="I18" i="24"/>
  <c r="H18" i="24"/>
  <c r="G18" i="24"/>
  <c r="F18" i="24"/>
  <c r="E18" i="24"/>
  <c r="D18" i="24"/>
  <c r="C18" i="24"/>
  <c r="B18" i="24"/>
  <c r="K10" i="24"/>
  <c r="K19" i="24" s="1"/>
  <c r="J10" i="24"/>
  <c r="J19" i="24" s="1"/>
  <c r="I10" i="24"/>
  <c r="H10" i="24"/>
  <c r="G10" i="24"/>
  <c r="G19" i="24" s="1"/>
  <c r="F10" i="24"/>
  <c r="F19" i="24" s="1"/>
  <c r="E10" i="24"/>
  <c r="D10" i="24"/>
  <c r="C10" i="24"/>
  <c r="C19" i="24" s="1"/>
  <c r="B10" i="24"/>
  <c r="B19" i="24" s="1"/>
  <c r="D19" i="23"/>
  <c r="B19" i="23"/>
  <c r="C19" i="23"/>
  <c r="E19" i="23"/>
  <c r="F10" i="21"/>
  <c r="F18" i="21"/>
  <c r="F19" i="21" s="1"/>
  <c r="K18" i="21"/>
  <c r="J18" i="21"/>
  <c r="I18" i="21"/>
  <c r="H18" i="21"/>
  <c r="G18" i="21"/>
  <c r="E18" i="21"/>
  <c r="D18" i="21"/>
  <c r="C18" i="21"/>
  <c r="B18" i="21"/>
  <c r="K10" i="21"/>
  <c r="K19" i="21" s="1"/>
  <c r="J10" i="21"/>
  <c r="I10" i="21"/>
  <c r="I19" i="21" s="1"/>
  <c r="H10" i="21"/>
  <c r="G10" i="21"/>
  <c r="G19" i="21" s="1"/>
  <c r="E10" i="21"/>
  <c r="D10" i="21"/>
  <c r="D19" i="21" s="1"/>
  <c r="C10" i="21"/>
  <c r="C19" i="21" s="1"/>
  <c r="B10" i="21"/>
  <c r="B19" i="21" s="1"/>
  <c r="K2" i="19"/>
  <c r="K6" i="19" s="1"/>
  <c r="J2" i="19"/>
  <c r="J6" i="19" s="1"/>
  <c r="I2" i="19"/>
  <c r="I6" i="19" s="1"/>
  <c r="G2" i="19"/>
  <c r="F5" i="19"/>
  <c r="F4" i="19"/>
  <c r="F2" i="19"/>
  <c r="E2" i="19"/>
  <c r="E6" i="19" s="1"/>
  <c r="D4" i="19"/>
  <c r="D3" i="19"/>
  <c r="D2" i="19"/>
  <c r="C2" i="19"/>
  <c r="C3" i="19"/>
  <c r="F4" i="18"/>
  <c r="D4" i="18"/>
  <c r="B4" i="18"/>
  <c r="E4" i="18"/>
  <c r="H6" i="19"/>
  <c r="G6" i="19"/>
  <c r="B6" i="19"/>
  <c r="K5" i="18"/>
  <c r="I5" i="18"/>
  <c r="C5" i="18"/>
  <c r="K2" i="18"/>
  <c r="J2" i="18"/>
  <c r="I2" i="18"/>
  <c r="I6" i="18" s="1"/>
  <c r="H2" i="18"/>
  <c r="H6" i="18" s="1"/>
  <c r="G2" i="18"/>
  <c r="F3" i="18"/>
  <c r="F2" i="18"/>
  <c r="E2" i="18"/>
  <c r="E3" i="18"/>
  <c r="D3" i="18"/>
  <c r="D2" i="18"/>
  <c r="C3" i="18"/>
  <c r="C2" i="18"/>
  <c r="B2" i="18"/>
  <c r="B3" i="18"/>
  <c r="Y2" i="8"/>
  <c r="U2" i="8"/>
  <c r="N2" i="8"/>
  <c r="O2" i="8"/>
  <c r="M2" i="8"/>
  <c r="P2" i="8"/>
  <c r="L2" i="8"/>
  <c r="E2" i="8"/>
  <c r="B2" i="8"/>
  <c r="F7" i="10"/>
  <c r="E7" i="10"/>
  <c r="G7" i="10"/>
  <c r="E5" i="10"/>
  <c r="F5" i="10"/>
  <c r="G5" i="10"/>
  <c r="Z19" i="33" l="1"/>
  <c r="B19" i="33"/>
  <c r="K19" i="33"/>
  <c r="C19" i="33"/>
  <c r="AE19" i="33"/>
  <c r="AA19" i="33"/>
  <c r="V19" i="33"/>
  <c r="R19" i="33"/>
  <c r="O19" i="33"/>
  <c r="Q19" i="33"/>
  <c r="D19" i="39"/>
  <c r="H19" i="39"/>
  <c r="E19" i="36"/>
  <c r="J19" i="36"/>
  <c r="W19" i="37"/>
  <c r="V19" i="37"/>
  <c r="E19" i="33"/>
  <c r="AF19" i="33"/>
  <c r="AB19" i="33"/>
  <c r="W19" i="33"/>
  <c r="S19" i="33"/>
  <c r="N19" i="33"/>
  <c r="D19" i="33"/>
  <c r="AC19" i="35"/>
  <c r="K10" i="35"/>
  <c r="E6" i="10"/>
  <c r="E19" i="41"/>
  <c r="I19" i="41"/>
  <c r="B19" i="41"/>
  <c r="F19" i="41"/>
  <c r="J19" i="41"/>
  <c r="S10" i="40"/>
  <c r="S19" i="40" s="1"/>
  <c r="C10" i="40"/>
  <c r="C19" i="40" s="1"/>
  <c r="D19" i="40"/>
  <c r="B19" i="40"/>
  <c r="H19" i="40"/>
  <c r="L19" i="40"/>
  <c r="P19" i="40"/>
  <c r="W19" i="40"/>
  <c r="X19" i="40"/>
  <c r="AB19" i="40"/>
  <c r="E19" i="40"/>
  <c r="I19" i="40"/>
  <c r="M19" i="40"/>
  <c r="R19" i="40"/>
  <c r="Y19" i="40"/>
  <c r="F19" i="40"/>
  <c r="J19" i="40"/>
  <c r="N19" i="40"/>
  <c r="U19" i="40"/>
  <c r="Z19" i="40"/>
  <c r="G19" i="40"/>
  <c r="K19" i="40"/>
  <c r="O19" i="40"/>
  <c r="Q19" i="40"/>
  <c r="T19" i="40"/>
  <c r="V19" i="40"/>
  <c r="AA19" i="40"/>
  <c r="M19" i="39"/>
  <c r="H19" i="21"/>
  <c r="V10" i="38"/>
  <c r="S19" i="38"/>
  <c r="L10" i="38"/>
  <c r="L19" i="38" s="1"/>
  <c r="H18" i="38"/>
  <c r="E10" i="38"/>
  <c r="E19" i="38" s="1"/>
  <c r="AA19" i="38"/>
  <c r="C19" i="38"/>
  <c r="J19" i="38"/>
  <c r="N19" i="38"/>
  <c r="P19" i="38"/>
  <c r="V19" i="38"/>
  <c r="X19" i="38"/>
  <c r="W19" i="38"/>
  <c r="R19" i="38"/>
  <c r="T19" i="38"/>
  <c r="D19" i="38"/>
  <c r="I19" i="38"/>
  <c r="F19" i="38"/>
  <c r="K19" i="38"/>
  <c r="O19" i="38"/>
  <c r="Q19" i="38"/>
  <c r="U19" i="38"/>
  <c r="Y19" i="38"/>
  <c r="H19" i="38"/>
  <c r="B19" i="38"/>
  <c r="G19" i="38"/>
  <c r="M19" i="38"/>
  <c r="Z19" i="38"/>
  <c r="AF19" i="37"/>
  <c r="AF19" i="35"/>
  <c r="H19" i="33"/>
  <c r="L19" i="33"/>
  <c r="P19" i="33"/>
  <c r="G19" i="33"/>
  <c r="M19" i="33"/>
  <c r="AQ19" i="33"/>
  <c r="AG19" i="33"/>
  <c r="Y19" i="33"/>
  <c r="AP19" i="33"/>
  <c r="H18" i="37"/>
  <c r="Y19" i="37"/>
  <c r="U19" i="37"/>
  <c r="G19" i="37"/>
  <c r="X19" i="37"/>
  <c r="Q19" i="37"/>
  <c r="B19" i="37"/>
  <c r="R19" i="37"/>
  <c r="S19" i="37"/>
  <c r="P19" i="37"/>
  <c r="J19" i="37"/>
  <c r="H19" i="37"/>
  <c r="N19" i="37"/>
  <c r="E19" i="37"/>
  <c r="D19" i="37"/>
  <c r="L19" i="37"/>
  <c r="O19" i="37"/>
  <c r="M19" i="37"/>
  <c r="T19" i="37"/>
  <c r="F19" i="37"/>
  <c r="K19" i="37"/>
  <c r="AA19" i="37"/>
  <c r="C19" i="37"/>
  <c r="Z19" i="37"/>
  <c r="I19" i="37"/>
  <c r="AB19" i="35"/>
  <c r="Y10" i="35"/>
  <c r="Y19" i="35"/>
  <c r="U19" i="35"/>
  <c r="Q19" i="35"/>
  <c r="P19" i="35"/>
  <c r="M18" i="35"/>
  <c r="M19" i="35" s="1"/>
  <c r="L18" i="35"/>
  <c r="L19" i="35" s="1"/>
  <c r="J18" i="35"/>
  <c r="J19" i="35"/>
  <c r="I10" i="35"/>
  <c r="I19" i="35" s="1"/>
  <c r="F19" i="35"/>
  <c r="E19" i="35"/>
  <c r="D19" i="35"/>
  <c r="AA19" i="35"/>
  <c r="W19" i="35"/>
  <c r="S19" i="35"/>
  <c r="O19" i="35"/>
  <c r="K19" i="35"/>
  <c r="G19" i="35"/>
  <c r="C19" i="35"/>
  <c r="AE19" i="35"/>
  <c r="AK19" i="33"/>
  <c r="AH19" i="33"/>
  <c r="AM19" i="33"/>
  <c r="AI19" i="33"/>
  <c r="AL19" i="33"/>
  <c r="AJ19" i="33"/>
  <c r="U19" i="32"/>
  <c r="AE19" i="32"/>
  <c r="AD19" i="32"/>
  <c r="D19" i="24"/>
  <c r="H19" i="24"/>
  <c r="E19" i="24"/>
  <c r="I19" i="24"/>
  <c r="E19" i="21"/>
  <c r="J19" i="21"/>
  <c r="D6" i="19"/>
  <c r="K6" i="18"/>
  <c r="F6" i="19"/>
  <c r="C6" i="19"/>
  <c r="J6" i="18"/>
  <c r="F6" i="18"/>
  <c r="G6" i="18"/>
  <c r="E6" i="18"/>
  <c r="D6" i="18"/>
  <c r="C6" i="18"/>
  <c r="G8" i="10"/>
  <c r="B6" i="1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B13" authorId="0" shapeId="0" xr:uid="{0108BD10-97FD-4B3A-B5D3-7B18BD753CE4}">
      <text>
        <r>
          <rPr>
            <sz val="9"/>
            <color indexed="81"/>
            <rFont val="Tahoma"/>
            <family val="2"/>
          </rPr>
          <t>Includes bread given in hundredweight (cwt) and quarters</t>
        </r>
        <r>
          <rPr>
            <sz val="9"/>
            <color indexed="81"/>
            <rFont val="Tahoma"/>
            <charset val="1"/>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C1" authorId="0" shapeId="0" xr:uid="{17C32B24-41C1-4F7D-BEAB-30F055B2676D}">
      <text>
        <r>
          <rPr>
            <sz val="9"/>
            <color indexed="81"/>
            <rFont val="Tahoma"/>
            <family val="2"/>
          </rPr>
          <t xml:space="preserve">Columns in yellow are required for tabulation in Summary table
</t>
        </r>
      </text>
    </comment>
    <comment ref="E1" authorId="0" shapeId="0" xr:uid="{21B9C4B4-09C7-40D8-BD13-33AF60E352D5}">
      <text>
        <r>
          <rPr>
            <sz val="9"/>
            <color indexed="81"/>
            <rFont val="Tahoma"/>
            <charset val="1"/>
          </rPr>
          <t xml:space="preserve">If a commodity is highlighted in orange, it has not been entered into the Summary table, and will not be tabulated there.
</t>
        </r>
      </text>
    </comment>
    <comment ref="F1" authorId="0" shapeId="0" xr:uid="{D14AC660-AC0C-4958-B546-038494A6BEB3}">
      <text>
        <r>
          <rPr>
            <sz val="9"/>
            <color indexed="81"/>
            <rFont val="Tahoma"/>
            <family val="2"/>
          </rPr>
          <t>Only 'Total' is tabulated in Summary table</t>
        </r>
        <r>
          <rPr>
            <sz val="9"/>
            <color indexed="81"/>
            <rFont val="Tahoma"/>
            <charset val="1"/>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C1" authorId="0" shapeId="0" xr:uid="{10AA49B3-1682-4BDC-9DEE-17E5FFE49BC7}">
      <text>
        <r>
          <rPr>
            <sz val="9"/>
            <color indexed="81"/>
            <rFont val="Tahoma"/>
            <family val="2"/>
          </rPr>
          <t xml:space="preserve">Appear on tables, but not on database/summary sheet, either because incorporated into other units (i.e. cwt included in lbs) or because table not included in database (i.e. imports to West Indies)
</t>
        </r>
      </text>
    </comment>
    <comment ref="A11" authorId="0" shapeId="0" xr:uid="{4694515B-22AD-4E51-9DCF-91BD74304862}">
      <text>
        <r>
          <rPr>
            <sz val="9"/>
            <color indexed="81"/>
            <rFont val="Tahoma"/>
            <family val="2"/>
          </rPr>
          <t>Includes bread given in hundredweight (cwt) and quarters</t>
        </r>
        <r>
          <rPr>
            <sz val="9"/>
            <color indexed="81"/>
            <rFont val="Tahoma"/>
            <charset val="1"/>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D3" authorId="0" shapeId="0" xr:uid="{B8344814-0D43-4114-AF52-7DE7670236C1}">
      <text>
        <r>
          <rPr>
            <i/>
            <sz val="9"/>
            <color indexed="81"/>
            <rFont val="Tahoma"/>
            <family val="2"/>
          </rPr>
          <t>To use, enter figures to be converted in grey boxes - converted figure appears below.</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C2" authorId="0" shapeId="0" xr:uid="{C80C5ABB-739F-47BF-81DE-43560F18906D}">
      <text>
        <r>
          <rPr>
            <i/>
            <sz val="9"/>
            <color indexed="81"/>
            <rFont val="Tahoma"/>
            <family val="2"/>
          </rPr>
          <t>Input either Import/Export and the name (unit) of the commodity to see quantities per year</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K1" authorId="0" shapeId="0" xr:uid="{E6784772-0197-416E-8591-3C800806D5A1}">
      <text>
        <r>
          <rPr>
            <sz val="9"/>
            <color indexed="81"/>
            <rFont val="Tahoma"/>
            <family val="2"/>
          </rPr>
          <t>Includes bread given in hundredweight (cwt) and quarters</t>
        </r>
        <r>
          <rPr>
            <sz val="9"/>
            <color indexed="81"/>
            <rFont val="Tahoma"/>
            <charset val="1"/>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Emilie Lavallee</author>
    <author>tc={AAF921EE-1C32-40FD-A887-F6180E0663A3}</author>
    <author>tc={80BF16B0-D765-4599-AF42-A5A4D0603DD3}</author>
    <author>tc={95603515-C752-4F72-B510-4849C9EC079E}</author>
    <author>tc={85EF9B99-60BC-4332-A4C6-87BCE8ED5767}</author>
    <author>tc={D24761A8-8FFA-469C-8DF3-C398FAA31ADC}</author>
    <author>tc={7B3486B1-B7B0-4D0E-87FD-43A16089CD70}</author>
    <author>tc={6E815FAC-2BED-479D-8632-10306F19DAA7}</author>
    <author>tc={7F0BF080-3C02-44AC-8700-D89A02159C01}</author>
    <author>tc={6A1F898D-3268-425A-AB5F-0A8232E40E0F}</author>
    <author>tc={E9507A13-ED53-4574-80F5-826781078A16}</author>
    <author>tc={A43B91BB-DB58-4DF5-B392-BD348872BE6E}</author>
    <author>tc={0BF73990-6E87-4629-8D0D-650B31875DE0}</author>
    <author>tc={64EC60AE-11A3-4AF3-8C3E-76638894BA66}</author>
    <author>tc={9B764096-F610-4F64-AE78-C317B684C705}</author>
    <author>tc={773C9DC8-1C42-46F9-828B-E62D7CBBE8FE}</author>
    <author>tc={834D9198-64FC-4CEE-AC77-6070B173615C}</author>
  </authors>
  <commentList>
    <comment ref="A1" authorId="0" shapeId="0" xr:uid="{54F6D595-D189-42BF-9490-B99E2558B686}">
      <text>
        <r>
          <rPr>
            <sz val="9"/>
            <color indexed="81"/>
            <rFont val="Tahoma"/>
            <family val="2"/>
          </rPr>
          <t xml:space="preserve">Rows highlighted in light blue have been added into the Database.
</t>
        </r>
      </text>
    </comment>
    <comment ref="K1" authorId="0" shapeId="0" xr:uid="{69A02ED8-6437-4AE8-B435-B37E55A77D15}">
      <text>
        <r>
          <rPr>
            <b/>
            <sz val="9"/>
            <color indexed="81"/>
            <rFont val="Tahoma"/>
            <family val="2"/>
          </rPr>
          <t>Emilie Lavallee:</t>
        </r>
        <r>
          <rPr>
            <sz val="9"/>
            <color indexed="81"/>
            <rFont val="Tahoma"/>
            <family val="2"/>
          </rPr>
          <t xml:space="preserve">
Heading?</t>
        </r>
      </text>
    </comment>
    <comment ref="R1" authorId="0" shapeId="0" xr:uid="{6902E6EE-AE52-40AC-AD59-E3084C3400DA}">
      <text>
        <r>
          <rPr>
            <sz val="9"/>
            <color indexed="81"/>
            <rFont val="Tahoma"/>
            <family val="2"/>
          </rPr>
          <t>White oak staves and heading</t>
        </r>
      </text>
    </comment>
    <comment ref="R4" authorId="1" shapeId="0" xr:uid="{AAF921EE-1C32-40FD-A887-F6180E0663A3}">
      <text>
        <t>[Threaded comment]
Your version of Excel allows you to read this threaded comment; however, any edits to it will get removed if the file is opened in a newer version of Excel. Learn more: https://go.microsoft.com/fwlink/?linkid=870924
Comment:
    Unclear - check</t>
      </text>
    </comment>
    <comment ref="Q6" authorId="2" shapeId="0" xr:uid="{80BF16B0-D765-4599-AF42-A5A4D0603DD3}">
      <text>
        <t>[Threaded comment]
Your version of Excel allows you to read this threaded comment; however, any edits to it will get removed if the file is opened in a newer version of Excel. Learn more: https://go.microsoft.com/fwlink/?linkid=870924
Comment:
    Unclear - check</t>
      </text>
    </comment>
    <comment ref="Q9" authorId="3" shapeId="0" xr:uid="{95603515-C752-4F72-B510-4849C9EC079E}">
      <text>
        <t>[Threaded comment]
Your version of Excel allows you to read this threaded comment; however, any edits to it will get removed if the file is opened in a newer version of Excel. Learn more: https://go.microsoft.com/fwlink/?linkid=870924
Comment:
    Unclear - check</t>
      </text>
    </comment>
    <comment ref="R11" authorId="4" shapeId="0" xr:uid="{85EF9B99-60BC-4332-A4C6-87BCE8ED5767}">
      <text>
        <t>[Threaded comment]
Your version of Excel allows you to read this threaded comment; however, any edits to it will get removed if the file is opened in a newer version of Excel. Learn more: https://go.microsoft.com/fwlink/?linkid=870924
Comment:
    Unclear - check</t>
      </text>
    </comment>
    <comment ref="D13" authorId="5" shapeId="0" xr:uid="{D24761A8-8FFA-469C-8DF3-C398FAA31ADC}">
      <text>
        <t>[Threaded comment]
Your version of Excel allows you to read this threaded comment; however, any edits to it will get removed if the file is opened in a newer version of Excel. Learn more: https://go.microsoft.com/fwlink/?linkid=870924
Comment:
    Unclear - double check</t>
      </text>
    </comment>
    <comment ref="C17" authorId="0" shapeId="0" xr:uid="{E4A3DFF3-DF51-428C-800C-C7904F4C51F5}">
      <text>
        <r>
          <rPr>
            <i/>
            <sz val="9"/>
            <color indexed="81"/>
            <rFont val="Tahoma"/>
            <family val="2"/>
          </rPr>
          <t>Evident error: 266,431,817</t>
        </r>
        <r>
          <rPr>
            <sz val="9"/>
            <color indexed="81"/>
            <rFont val="Tahoma"/>
            <family val="2"/>
          </rPr>
          <t xml:space="preserve">
</t>
        </r>
      </text>
    </comment>
    <comment ref="B22" authorId="6" shapeId="0" xr:uid="{7B3486B1-B7B0-4D0E-87FD-43A16089CD70}">
      <text>
        <t>[Threaded comment]
Your version of Excel allows you to read this threaded comment; however, any edits to it will get removed if the file is opened in a newer version of Excel. Learn more: https://go.microsoft.com/fwlink/?linkid=870924
Comment:
    Unclear - check</t>
      </text>
    </comment>
    <comment ref="Q22" authorId="7" shapeId="0" xr:uid="{6E815FAC-2BED-479D-8632-10306F19DAA7}">
      <text>
        <t>[Threaded comment]
Your version of Excel allows you to read this threaded comment; however, any edits to it will get removed if the file is opened in a newer version of Excel. Learn more: https://go.microsoft.com/fwlink/?linkid=870924
Comment:
    Unclear - check</t>
      </text>
    </comment>
    <comment ref="K23" authorId="8" shapeId="0" xr:uid="{7F0BF080-3C02-44AC-8700-D89A02159C01}">
      <text>
        <t>[Threaded comment]
Your version of Excel allows you to read this threaded comment; however, any edits to it will get removed if the file is opened in a newer version of Excel. Learn more: https://go.microsoft.com/fwlink/?linkid=870924
Comment:
    Unclear - check</t>
      </text>
    </comment>
    <comment ref="L23" authorId="9" shapeId="0" xr:uid="{6A1F898D-3268-425A-AB5F-0A8232E40E0F}">
      <text>
        <t>[Threaded comment]
Your version of Excel allows you to read this threaded comment; however, any edits to it will get removed if the file is opened in a newer version of Excel. Learn more: https://go.microsoft.com/fwlink/?linkid=870924
Comment:
    Unclear - check</t>
      </text>
    </comment>
    <comment ref="T24" authorId="10" shapeId="0" xr:uid="{E9507A13-ED53-4574-80F5-826781078A16}">
      <text>
        <t>[Threaded comment]
Your version of Excel allows you to read this threaded comment; however, any edits to it will get removed if the file is opened in a newer version of Excel. Learn more: https://go.microsoft.com/fwlink/?linkid=870924
Comment:
    Unclear - check</t>
      </text>
    </comment>
    <comment ref="E25" authorId="11" shapeId="0" xr:uid="{A43B91BB-DB58-4DF5-B392-BD348872BE6E}">
      <text>
        <t>[Threaded comment]
Your version of Excel allows you to read this threaded comment; however, any edits to it will get removed if the file is opened in a newer version of Excel. Learn more: https://go.microsoft.com/fwlink/?linkid=870924
Comment:
    Unclear - check</t>
      </text>
    </comment>
    <comment ref="E26" authorId="12" shapeId="0" xr:uid="{0BF73990-6E87-4629-8D0D-650B31875DE0}">
      <text>
        <t>[Threaded comment]
Your version of Excel allows you to read this threaded comment; however, any edits to it will get removed if the file is opened in a newer version of Excel. Learn more: https://go.microsoft.com/fwlink/?linkid=870924
Comment:
    Unclear - check</t>
      </text>
    </comment>
    <comment ref="I27" authorId="13" shapeId="0" xr:uid="{64EC60AE-11A3-4AF3-8C3E-76638894BA66}">
      <text>
        <t>[Threaded comment]
Your version of Excel allows you to read this threaded comment; however, any edits to it will get removed if the file is opened in a newer version of Excel. Learn more: https://go.microsoft.com/fwlink/?linkid=870924
Comment:
    Unclear - check</t>
      </text>
    </comment>
    <comment ref="M27" authorId="14" shapeId="0" xr:uid="{9B764096-F610-4F64-AE78-C317B684C705}">
      <text>
        <t>[Threaded comment]
Your version of Excel allows you to read this threaded comment; however, any edits to it will get removed if the file is opened in a newer version of Excel. Learn more: https://go.microsoft.com/fwlink/?linkid=870924
Comment:
    Unclear - check</t>
      </text>
    </comment>
    <comment ref="U27" authorId="15" shapeId="0" xr:uid="{773C9DC8-1C42-46F9-828B-E62D7CBBE8FE}">
      <text>
        <t>[Threaded comment]
Your version of Excel allows you to read this threaded comment; however, any edits to it will get removed if the file is opened in a newer version of Excel. Learn more: https://go.microsoft.com/fwlink/?linkid=870924
Comment:
    Unclear - check</t>
      </text>
    </comment>
    <comment ref="W27" authorId="16" shapeId="0" xr:uid="{834D9198-64FC-4CEE-AC77-6070B173615C}">
      <text>
        <t>[Threaded comment]
Your version of Excel allows you to read this threaded comment; however, any edits to it will get removed if the file is opened in a newer version of Excel. Learn more: https://go.microsoft.com/fwlink/?linkid=870924
Comment:
    Unclear - check</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S19" authorId="0" shapeId="0" xr:uid="{5B6B42D1-5F94-4B20-BDC1-3D9510252A4A}">
      <text>
        <r>
          <rPr>
            <sz val="9"/>
            <color indexed="81"/>
            <rFont val="Tahoma"/>
            <family val="2"/>
          </rPr>
          <t>Table: 1,016</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1" authorId="0" shapeId="0" xr:uid="{B27BD761-1605-4F24-B490-E077C2A8A148}">
      <text>
        <r>
          <rPr>
            <sz val="9"/>
            <color indexed="81"/>
            <rFont val="Tahoma"/>
            <family val="2"/>
          </rPr>
          <t>Origins of commodities not given in table</t>
        </r>
        <r>
          <rPr>
            <sz val="9"/>
            <color indexed="81"/>
            <rFont val="Tahoma"/>
            <family val="2"/>
          </rPr>
          <t xml:space="preserve">
</t>
        </r>
      </text>
    </comment>
    <comment ref="H1" authorId="0" shapeId="0" xr:uid="{9692EFAC-475C-4B68-A8C6-70C4A86FD6C9}">
      <text>
        <r>
          <rPr>
            <sz val="9"/>
            <color indexed="81"/>
            <rFont val="Tahoma"/>
            <family val="2"/>
          </rPr>
          <t xml:space="preserve">Given in cwt = 112 lbs
</t>
        </r>
      </text>
    </comment>
    <comment ref="N1" authorId="0" shapeId="0" xr:uid="{FF3A86F3-BBF9-403A-A1D5-360F4846F3CD}">
      <text>
        <r>
          <rPr>
            <sz val="9"/>
            <color indexed="81"/>
            <rFont val="Tahoma"/>
            <family val="2"/>
          </rPr>
          <t xml:space="preserve">Table assigns tierces to dry fish
</t>
        </r>
      </text>
    </comment>
    <comment ref="B19" authorId="0" shapeId="0" xr:uid="{3AA87950-B33E-498D-9EAD-1555365BF8D8}">
      <text>
        <r>
          <rPr>
            <sz val="9"/>
            <color indexed="81"/>
            <rFont val="Tahoma"/>
            <family val="2"/>
          </rPr>
          <t>Table: 37,129 (diff 18,000)</t>
        </r>
      </text>
    </comment>
    <comment ref="D19" authorId="0" shapeId="0" xr:uid="{717E6CFB-D1B5-494D-A07C-20D7C9AC39A8}">
      <text>
        <r>
          <rPr>
            <sz val="9"/>
            <color indexed="81"/>
            <rFont val="Tahoma"/>
            <family val="2"/>
          </rPr>
          <t xml:space="preserve">Table: 64,631
</t>
        </r>
      </text>
    </comment>
    <comment ref="F19" authorId="0" shapeId="0" xr:uid="{D3E266CC-ACFC-4B84-B162-63C4DC5AA729}">
      <text>
        <r>
          <rPr>
            <sz val="9"/>
            <color indexed="81"/>
            <rFont val="Tahoma"/>
            <family val="2"/>
          </rPr>
          <t xml:space="preserve">Table: 9815
</t>
        </r>
      </text>
    </comment>
    <comment ref="X19" authorId="0" shapeId="0" xr:uid="{08EAF004-B7F1-467A-9F41-ED9594631094}">
      <text>
        <r>
          <rPr>
            <sz val="9"/>
            <color indexed="81"/>
            <rFont val="Tahoma"/>
            <family val="2"/>
          </rPr>
          <t xml:space="preserve">Table total: 24,836 (diff 9,000)
</t>
        </r>
      </text>
    </comment>
    <comment ref="Z19" authorId="0" shapeId="0" xr:uid="{F8B9344B-17AA-4A1C-A42F-160A98A264B9}">
      <text>
        <r>
          <rPr>
            <sz val="9"/>
            <color indexed="81"/>
            <rFont val="Tahoma"/>
            <family val="2"/>
          </rPr>
          <t>Table total: 33,557</t>
        </r>
      </text>
    </comment>
    <comment ref="AD19" authorId="0" shapeId="0" xr:uid="{58F73B9A-C59F-4BF8-967C-E2A997233E62}">
      <text>
        <r>
          <rPr>
            <sz val="9"/>
            <color indexed="81"/>
            <rFont val="Tahoma"/>
            <family val="2"/>
          </rPr>
          <t xml:space="preserve">Table: 1803 (diff 27)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O18" authorId="0" shapeId="0" xr:uid="{5C5C5573-A3C9-4E2F-9867-5CB611ADE3D7}">
      <text>
        <r>
          <rPr>
            <sz val="9"/>
            <color indexed="81"/>
            <rFont val="Tahoma"/>
            <family val="2"/>
          </rPr>
          <t>'trs' calculated as 1.5xbarrel</t>
        </r>
      </text>
    </comment>
    <comment ref="R19" authorId="0" shapeId="0" xr:uid="{E0E1FD3D-CE4E-4653-B97E-F58605932925}">
      <text>
        <r>
          <rPr>
            <sz val="9"/>
            <color indexed="81"/>
            <rFont val="Tahoma"/>
            <family val="2"/>
          </rPr>
          <t xml:space="preserve">Table: 12,351 (diff +202)
</t>
        </r>
      </text>
    </comment>
    <comment ref="S19" authorId="0" shapeId="0" xr:uid="{E177C6F9-308D-43E0-9922-9062FB4F5E78}">
      <text>
        <r>
          <rPr>
            <sz val="9"/>
            <color indexed="81"/>
            <rFont val="Tahoma"/>
            <family val="2"/>
          </rPr>
          <t xml:space="preserve">Table: 6,454 (diff 50)
</t>
        </r>
      </text>
    </comment>
    <comment ref="X19" authorId="0" shapeId="0" xr:uid="{A04A9B05-3494-4BE7-8311-8C807F95CBEF}">
      <text>
        <r>
          <rPr>
            <sz val="9"/>
            <color indexed="81"/>
            <rFont val="Tahoma"/>
            <family val="2"/>
          </rPr>
          <t>Table: 1,209</t>
        </r>
      </text>
    </comment>
    <comment ref="Z19" authorId="0" shapeId="0" xr:uid="{21A0956B-320A-4705-BE2D-95A359E932F2}">
      <text>
        <r>
          <rPr>
            <sz val="9"/>
            <color indexed="81"/>
            <rFont val="Tahoma"/>
            <family val="2"/>
          </rPr>
          <t>Table: 12,610</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H1" authorId="0" shapeId="0" xr:uid="{EED4E62B-5554-4C92-9D79-EC0FD3D7A1F4}">
      <text>
        <r>
          <rPr>
            <sz val="9"/>
            <color indexed="81"/>
            <rFont val="Tahoma"/>
            <family val="2"/>
          </rPr>
          <t xml:space="preserve">Given in cwt = 112 lbs
</t>
        </r>
      </text>
    </comment>
    <comment ref="Q19" authorId="0" shapeId="0" xr:uid="{6139452D-6571-4E07-BADF-B37BD9324F3A}">
      <text>
        <r>
          <rPr>
            <sz val="9"/>
            <color indexed="81"/>
            <rFont val="Tahoma"/>
            <family val="2"/>
          </rPr>
          <t xml:space="preserve">Table misadds: 2,017,480(diff 10)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Z1" authorId="0" shapeId="0" xr:uid="{3397FD3F-0608-4A0E-9A62-9B0F50508FD9}">
      <text>
        <r>
          <rPr>
            <b/>
            <sz val="9"/>
            <color indexed="81"/>
            <rFont val="Tahoma"/>
            <family val="2"/>
          </rPr>
          <t>No. of Lancewood Spars</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D1" authorId="0" shapeId="0" xr:uid="{4CF482BB-EF99-4CB2-A0FF-6F8322289DBE}">
      <text>
        <r>
          <rPr>
            <sz val="9"/>
            <color indexed="81"/>
            <rFont val="Tahoma"/>
            <family val="2"/>
          </rPr>
          <t xml:space="preserve">Not visible in fold of page (total figure found elsewhere)
</t>
        </r>
      </text>
    </comment>
    <comment ref="H1" authorId="0" shapeId="0" xr:uid="{2664E442-A411-43CF-9F33-E687E9D2A840}">
      <text>
        <r>
          <rPr>
            <sz val="9"/>
            <color indexed="81"/>
            <rFont val="Tahoma"/>
            <family val="2"/>
          </rPr>
          <t xml:space="preserve">Given in cwt = 112 lbs
</t>
        </r>
      </text>
    </comment>
    <comment ref="O19" authorId="0" shapeId="0" xr:uid="{234ADAF8-BDEB-44D8-A842-AED308E45B1C}">
      <text>
        <r>
          <rPr>
            <sz val="9"/>
            <color indexed="81"/>
            <rFont val="Tahoma"/>
            <family val="2"/>
          </rPr>
          <t xml:space="preserve">Table misadds: 42,376
</t>
        </r>
      </text>
    </comment>
    <comment ref="T19" authorId="0" shapeId="0" xr:uid="{97589C23-F14B-4C5F-851E-2A3A785261E3}">
      <text>
        <r>
          <rPr>
            <sz val="9"/>
            <color indexed="81"/>
            <rFont val="Tahoma"/>
            <family val="2"/>
          </rPr>
          <t xml:space="preserve">Table: 9,239,118 (diff 103,000)
</t>
        </r>
      </text>
    </comment>
    <comment ref="V19" authorId="0" shapeId="0" xr:uid="{E552574E-625D-4B3F-8FA6-E54C5D2AEEF0}">
      <text>
        <r>
          <rPr>
            <sz val="9"/>
            <color indexed="81"/>
            <rFont val="Tahoma"/>
            <family val="2"/>
          </rPr>
          <t>Table: 2,690</t>
        </r>
      </text>
    </comment>
    <comment ref="Y19" authorId="0" shapeId="0" xr:uid="{48A998A1-253D-46BE-8CFB-5C8154CB4387}">
      <text>
        <r>
          <rPr>
            <sz val="9"/>
            <color indexed="81"/>
            <rFont val="Tahoma"/>
            <family val="2"/>
          </rPr>
          <t>Table misadds: 15,444</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B19" authorId="0" shapeId="0" xr:uid="{D58F35CD-2E7C-4A01-B61D-D4F2FDFB6A1B}">
      <text>
        <r>
          <rPr>
            <sz val="9"/>
            <color indexed="81"/>
            <rFont val="Tahoma"/>
            <family val="2"/>
          </rPr>
          <t xml:space="preserve">Table: 61,285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H1" authorId="0" shapeId="0" xr:uid="{A47C56FD-5BAD-4F79-8789-22AD97076226}">
      <text>
        <r>
          <rPr>
            <sz val="9"/>
            <color indexed="81"/>
            <rFont val="Tahoma"/>
            <family val="2"/>
          </rPr>
          <t xml:space="preserve">Given in cwt = 112 lbs
</t>
        </r>
      </text>
    </comment>
    <comment ref="S19" authorId="0" shapeId="0" xr:uid="{50201A9A-0553-4068-89B2-09B42048E320}">
      <text>
        <r>
          <rPr>
            <sz val="9"/>
            <color indexed="81"/>
            <rFont val="Tahoma"/>
            <family val="2"/>
          </rPr>
          <t xml:space="preserve">Table: 1,058,483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B19" authorId="0" shapeId="0" xr:uid="{56FEBAD3-90DC-4B30-8296-61AC8857096D}">
      <text>
        <r>
          <rPr>
            <sz val="9"/>
            <color indexed="81"/>
            <rFont val="Tahoma"/>
            <family val="2"/>
          </rPr>
          <t>Table: 59840
(possibly 1+892 instead of 1,0892)</t>
        </r>
      </text>
    </comment>
    <comment ref="T19" authorId="0" shapeId="0" xr:uid="{641D6CE1-02C6-4C3E-A75E-0749216A6015}">
      <text>
        <r>
          <rPr>
            <sz val="9"/>
            <color indexed="81"/>
            <rFont val="Tahoma"/>
            <family val="2"/>
          </rPr>
          <t xml:space="preserve">Table: 1,406.5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B1" authorId="0" shapeId="0" xr:uid="{1F8D72DA-E041-4F05-97AB-D05C4B629981}">
      <text>
        <r>
          <rPr>
            <i/>
            <sz val="9"/>
            <color indexed="81"/>
            <rFont val="Tahoma"/>
            <family val="2"/>
          </rPr>
          <t>Seems to be lost in page fold</t>
        </r>
        <r>
          <rPr>
            <sz val="9"/>
            <color indexed="81"/>
            <rFont val="Tahoma"/>
            <family val="2"/>
          </rPr>
          <t xml:space="preserve">
</t>
        </r>
      </text>
    </comment>
    <comment ref="G1" authorId="0" shapeId="0" xr:uid="{F3A5A2F3-90C4-4110-83DB-9AC820DA1583}">
      <text>
        <r>
          <rPr>
            <sz val="9"/>
            <color indexed="81"/>
            <rFont val="Tahoma"/>
            <family val="2"/>
          </rPr>
          <t xml:space="preserve">Given in cwt = 112 lbs
</t>
        </r>
      </text>
    </comment>
    <comment ref="D19" authorId="0" shapeId="0" xr:uid="{184F5ED9-8EBB-4E10-A1CD-EB341EBF8F33}">
      <text>
        <r>
          <rPr>
            <sz val="9"/>
            <color indexed="81"/>
            <rFont val="Tahoma"/>
            <family val="2"/>
          </rPr>
          <t>Table misadds to 80,547.5</t>
        </r>
      </text>
    </comment>
    <comment ref="E19" authorId="0" shapeId="0" xr:uid="{D3BD5E03-79DE-4D42-9DD0-4FC838F635D4}">
      <text>
        <r>
          <rPr>
            <sz val="9"/>
            <color indexed="81"/>
            <rFont val="Tahoma"/>
            <family val="2"/>
          </rPr>
          <t xml:space="preserve">Table: 7,934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R1" authorId="0" shapeId="0" xr:uid="{5C0B5835-4A93-48C9-90FD-145FEA546C2E}">
      <text>
        <r>
          <rPr>
            <sz val="9"/>
            <color indexed="81"/>
            <rFont val="Tahoma"/>
            <family val="2"/>
          </rPr>
          <t xml:space="preserve">Woods given in tons and twentieth-tons
</t>
        </r>
      </text>
    </comment>
    <comment ref="A9" authorId="0" shapeId="0" xr:uid="{437FFB41-0D1F-445B-B84B-9304D0F95934}">
      <text>
        <r>
          <rPr>
            <b/>
            <sz val="9"/>
            <color indexed="81"/>
            <rFont val="Tahoma"/>
            <family val="2"/>
          </rPr>
          <t>Foreign ports within the tropics</t>
        </r>
        <r>
          <rPr>
            <sz val="9"/>
            <color indexed="81"/>
            <rFont val="Tahoma"/>
            <family val="2"/>
          </rPr>
          <t xml:space="preserve">
</t>
        </r>
      </text>
    </comment>
    <comment ref="A18" authorId="0" shapeId="0" xr:uid="{D6F6E7C5-B4D2-42F2-A0BA-BA02AA9F2235}">
      <text>
        <r>
          <rPr>
            <i/>
            <sz val="9"/>
            <color indexed="81"/>
            <rFont val="Tahoma"/>
            <family val="2"/>
          </rPr>
          <t>Table lists outports imported to, not origin imported from</t>
        </r>
        <r>
          <rPr>
            <sz val="9"/>
            <color indexed="81"/>
            <rFont val="Tahoma"/>
            <family val="2"/>
          </rPr>
          <t xml:space="preserve">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H1" authorId="0" shapeId="0" xr:uid="{DD4B9F27-3259-4236-A4B7-5422289788B2}">
      <text>
        <r>
          <rPr>
            <sz val="9"/>
            <color indexed="81"/>
            <rFont val="Tahoma"/>
            <family val="2"/>
          </rPr>
          <t xml:space="preserve">Given in cwt = 112 lbs
</t>
        </r>
      </text>
    </comment>
    <comment ref="A8" authorId="0" shapeId="0" xr:uid="{F6382C14-A3C3-47B7-9192-2C2FB700D8D8}">
      <text>
        <r>
          <rPr>
            <b/>
            <sz val="9"/>
            <color indexed="81"/>
            <rFont val="Tahoma"/>
            <family val="2"/>
          </rPr>
          <t>Foreign ports within the tropics</t>
        </r>
      </text>
    </comment>
    <comment ref="A18" authorId="0" shapeId="0" xr:uid="{7D9DFA3B-20CF-498D-B14F-36FC8E07521E}">
      <text>
        <r>
          <rPr>
            <i/>
            <sz val="9"/>
            <color indexed="81"/>
            <rFont val="Tahoma"/>
            <family val="2"/>
          </rPr>
          <t>Table lists outports imported to, not origin imported from</t>
        </r>
        <r>
          <rPr>
            <sz val="9"/>
            <color indexed="81"/>
            <rFont val="Tahoma"/>
            <family val="2"/>
          </rPr>
          <t xml:space="preserve">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1" authorId="0" shapeId="0" xr:uid="{83C42501-DE29-49D6-B606-BB788790BF3B}">
      <text>
        <r>
          <rPr>
            <b/>
            <sz val="9"/>
            <color indexed="81"/>
            <rFont val="Tahoma"/>
            <family val="2"/>
          </rPr>
          <t xml:space="preserve">Note: </t>
        </r>
        <r>
          <rPr>
            <sz val="9"/>
            <color indexed="81"/>
            <rFont val="Tahoma"/>
            <family val="2"/>
          </rPr>
          <t xml:space="preserve">It is proper to remark that the foregoing return is incomplete, because there are now three free-ports of clearance in the Island, where there is no Deputy Receiver-General, and from whence vessels are cleared by a Sub-Collector of his Majesty's Customs.
</t>
        </r>
      </text>
    </comment>
    <comment ref="R1" authorId="0" shapeId="0" xr:uid="{EC77D2DF-40F1-4DE1-920F-4A54FE30F5C0}">
      <text>
        <r>
          <rPr>
            <b/>
            <sz val="9"/>
            <color indexed="81"/>
            <rFont val="Tahoma"/>
            <family val="2"/>
          </rPr>
          <t xml:space="preserve">Woods: </t>
        </r>
        <r>
          <rPr>
            <sz val="9"/>
            <color indexed="81"/>
            <rFont val="Tahoma"/>
            <family val="2"/>
          </rPr>
          <t xml:space="preserve">Given in tons and twentieths of tons
</t>
        </r>
      </text>
    </comment>
    <comment ref="A5" authorId="0" shapeId="0" xr:uid="{004FDE7A-536F-4F55-B234-8B765617B528}">
      <text>
        <r>
          <rPr>
            <b/>
            <sz val="9"/>
            <color indexed="81"/>
            <rFont val="Tahoma"/>
            <family val="2"/>
          </rPr>
          <t>Foreign Ports beyond the Tropics</t>
        </r>
        <r>
          <rPr>
            <sz val="9"/>
            <color indexed="81"/>
            <rFont val="Tahoma"/>
            <family val="2"/>
          </rPr>
          <t xml:space="preserve">
</t>
        </r>
      </text>
    </comment>
    <comment ref="A7" authorId="0" shapeId="0" xr:uid="{3C0C0CFD-04EC-4740-891B-35B840069566}">
      <text>
        <r>
          <rPr>
            <b/>
            <sz val="9"/>
            <color indexed="81"/>
            <rFont val="Tahoma"/>
            <family val="2"/>
          </rPr>
          <t>Places within the tropics</t>
        </r>
        <r>
          <rPr>
            <sz val="9"/>
            <color indexed="81"/>
            <rFont val="Tahoma"/>
            <family val="2"/>
          </rPr>
          <t xml:space="preserve">
</t>
        </r>
      </text>
    </comment>
    <comment ref="W10" authorId="0" shapeId="0" xr:uid="{3C51C54E-D35A-4104-85A8-A93E72EC2D8A}">
      <text>
        <r>
          <rPr>
            <sz val="9"/>
            <color indexed="81"/>
            <rFont val="Tahoma"/>
            <family val="2"/>
          </rPr>
          <t xml:space="preserve">Table misreads 495
</t>
        </r>
      </text>
    </comment>
    <comment ref="A14" authorId="0" shapeId="0" xr:uid="{6D838237-B308-44A9-ADA0-58428DC0BA81}">
      <text>
        <r>
          <rPr>
            <b/>
            <sz val="9"/>
            <color indexed="81"/>
            <rFont val="Tahoma"/>
            <family val="2"/>
          </rPr>
          <t>Foreign Ports beyond the Tropics</t>
        </r>
        <r>
          <rPr>
            <sz val="9"/>
            <color indexed="81"/>
            <rFont val="Tahoma"/>
            <family val="2"/>
          </rPr>
          <t xml:space="preserve">
</t>
        </r>
      </text>
    </comment>
    <comment ref="A16" authorId="0" shapeId="0" xr:uid="{90120CD7-653C-4700-8602-DE4407D793BB}">
      <text>
        <r>
          <rPr>
            <b/>
            <sz val="9"/>
            <color indexed="81"/>
            <rFont val="Tahoma"/>
            <family val="2"/>
          </rPr>
          <t>Places within the tropics</t>
        </r>
        <r>
          <rPr>
            <sz val="9"/>
            <color indexed="81"/>
            <rFont val="Tahoma"/>
            <family val="2"/>
          </rPr>
          <t xml:space="preserve">
</t>
        </r>
      </text>
    </comment>
    <comment ref="R20" authorId="0" shapeId="0" xr:uid="{2DA4243C-6122-46C4-BB9B-2C8F73123CD4}">
      <text>
        <r>
          <rPr>
            <sz val="9"/>
            <color indexed="81"/>
            <rFont val="Tahoma"/>
            <family val="2"/>
          </rPr>
          <t>Table misadds to 6,348 tons 2/20</t>
        </r>
      </text>
    </comment>
    <comment ref="W20" authorId="0" shapeId="0" xr:uid="{3EAF27D1-8393-4B5A-B931-F492A3465C23}">
      <text>
        <r>
          <rPr>
            <sz val="9"/>
            <color indexed="81"/>
            <rFont val="Tahoma"/>
            <family val="2"/>
          </rPr>
          <t xml:space="preserve">Table: 1,581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H1" authorId="0" shapeId="0" xr:uid="{576D6293-1487-4152-9B27-F85EB7BE6435}">
      <text>
        <r>
          <rPr>
            <sz val="9"/>
            <color indexed="81"/>
            <rFont val="Tahoma"/>
            <family val="2"/>
          </rPr>
          <t xml:space="preserve">Given in cwt = 112 lbs
</t>
        </r>
      </text>
    </comment>
    <comment ref="S1" authorId="0" shapeId="0" xr:uid="{33F91E12-59CD-47D7-AD5B-49885CE40240}">
      <text>
        <r>
          <rPr>
            <b/>
            <sz val="9"/>
            <color indexed="81"/>
            <rFont val="Tahoma"/>
            <family val="2"/>
          </rPr>
          <t>Shingles, No.</t>
        </r>
        <r>
          <rPr>
            <sz val="9"/>
            <color indexed="81"/>
            <rFont val="Tahoma"/>
            <family val="2"/>
          </rPr>
          <t xml:space="preserve">
</t>
        </r>
      </text>
    </comment>
    <comment ref="A7" authorId="0" shapeId="0" xr:uid="{D6672F7A-4CAA-47F9-942B-D6510F9BDD18}">
      <text>
        <r>
          <rPr>
            <b/>
            <sz val="9"/>
            <color indexed="81"/>
            <rFont val="Tahoma"/>
            <family val="2"/>
          </rPr>
          <t>Places within the tropics</t>
        </r>
      </text>
    </comment>
    <comment ref="A15" authorId="0" shapeId="0" xr:uid="{9A137434-8788-4A3C-BF5D-B6D2A196F13A}">
      <text>
        <r>
          <rPr>
            <b/>
            <sz val="9"/>
            <color indexed="81"/>
            <rFont val="Tahoma"/>
            <family val="2"/>
          </rPr>
          <t>Places within the tropics</t>
        </r>
        <r>
          <rPr>
            <sz val="9"/>
            <color indexed="81"/>
            <rFont val="Tahoma"/>
            <family val="2"/>
          </rPr>
          <t xml:space="preserve">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9" authorId="0" shapeId="0" xr:uid="{48FD3737-3312-4E91-A17D-B39E39E5A8B2}">
      <text>
        <r>
          <rPr>
            <b/>
            <sz val="9"/>
            <color indexed="81"/>
            <rFont val="Tahoma"/>
            <family val="2"/>
          </rPr>
          <t>Foreign ports within the tropics</t>
        </r>
        <r>
          <rPr>
            <sz val="9"/>
            <color indexed="81"/>
            <rFont val="Tahoma"/>
            <family val="2"/>
          </rPr>
          <t xml:space="preserve">
</t>
        </r>
      </text>
    </comment>
    <comment ref="S10" authorId="0" shapeId="0" xr:uid="{9B76CAB8-3F2C-4BD0-A760-8738CA8D95A2}">
      <text>
        <r>
          <rPr>
            <sz val="9"/>
            <color indexed="81"/>
            <rFont val="Tahoma"/>
            <family val="2"/>
          </rPr>
          <t xml:space="preserve">Table transposes figures: 2,379.5
</t>
        </r>
      </text>
    </comment>
    <comment ref="A17" authorId="0" shapeId="0" xr:uid="{C1F8663B-E90B-4C9E-AE09-715AD8709DDD}">
      <text>
        <r>
          <rPr>
            <b/>
            <sz val="9"/>
            <color indexed="81"/>
            <rFont val="Tahoma"/>
            <family val="2"/>
          </rPr>
          <t>Foreign ports within the tropics</t>
        </r>
        <r>
          <rPr>
            <sz val="9"/>
            <color indexed="81"/>
            <rFont val="Tahoma"/>
            <family val="2"/>
          </rPr>
          <t xml:space="preserve">
</t>
        </r>
      </text>
    </comment>
    <comment ref="K18" authorId="0" shapeId="0" xr:uid="{23667F9A-95AD-487F-BF22-867817B9958F}">
      <text>
        <r>
          <rPr>
            <sz val="9"/>
            <color indexed="81"/>
            <rFont val="Tahoma"/>
            <family val="2"/>
          </rPr>
          <t xml:space="preserve">Table misadds to 8,653,522
</t>
        </r>
      </text>
    </comment>
    <comment ref="F19" authorId="0" shapeId="0" xr:uid="{9EDEE949-05D7-49E0-8B87-B7FE6FBAD745}">
      <text>
        <r>
          <rPr>
            <sz val="9"/>
            <color indexed="81"/>
            <rFont val="Tahoma"/>
            <family val="2"/>
          </rPr>
          <t xml:space="preserve">Table misadds to 2,513
</t>
        </r>
      </text>
    </comment>
    <comment ref="K19" authorId="0" shapeId="0" xr:uid="{9BB26198-F1DD-4E8D-B3B8-9ACE0859E2F9}">
      <text>
        <r>
          <rPr>
            <sz val="9"/>
            <color indexed="81"/>
            <rFont val="Tahoma"/>
            <family val="2"/>
          </rPr>
          <t>Table: 18,955,722</t>
        </r>
      </text>
    </comment>
    <comment ref="S19" authorId="0" shapeId="0" xr:uid="{54A0182B-91E9-4D85-9F45-4BFC31BC3466}">
      <text>
        <r>
          <rPr>
            <sz val="9"/>
            <color indexed="81"/>
            <rFont val="Tahoma"/>
            <family val="2"/>
          </rPr>
          <t xml:space="preserve">Table: 7,486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L1" authorId="0" shapeId="0" xr:uid="{4D252373-6A16-4700-8983-5D14A513E449}">
      <text>
        <r>
          <rPr>
            <b/>
            <sz val="9"/>
            <color indexed="81"/>
            <rFont val="Tahoma"/>
            <family val="2"/>
          </rPr>
          <t>No. of Shingles</t>
        </r>
        <r>
          <rPr>
            <sz val="9"/>
            <color indexed="81"/>
            <rFont val="Tahoma"/>
            <family val="2"/>
          </rPr>
          <t xml:space="preserve">
</t>
        </r>
      </text>
    </comment>
    <comment ref="A9" authorId="0" shapeId="0" xr:uid="{F07C7822-583C-45F9-BD89-0ED2420F46DB}">
      <text>
        <r>
          <rPr>
            <b/>
            <sz val="9"/>
            <color indexed="81"/>
            <rFont val="Tahoma"/>
            <family val="2"/>
          </rPr>
          <t>Foreign ports within the tropics</t>
        </r>
        <r>
          <rPr>
            <sz val="9"/>
            <color indexed="81"/>
            <rFont val="Tahoma"/>
            <family val="2"/>
          </rPr>
          <t xml:space="preserve">
</t>
        </r>
      </text>
    </comment>
    <comment ref="D10" authorId="0" shapeId="0" xr:uid="{5D581E0E-4BC3-4CD2-B3EC-A56C61D76397}">
      <text>
        <r>
          <rPr>
            <sz val="9"/>
            <color indexed="81"/>
            <rFont val="Tahoma"/>
            <family val="2"/>
          </rPr>
          <t>= 942 cwt 1 qtr 23 lbs
Table incorrectly adds to: 941 cwt  3 qtr 23 lbs</t>
        </r>
      </text>
    </comment>
    <comment ref="A17" authorId="0" shapeId="0" xr:uid="{9A3A988B-26C1-42F4-93E3-68CC0BAE20C1}">
      <text>
        <r>
          <rPr>
            <b/>
            <sz val="9"/>
            <color indexed="81"/>
            <rFont val="Tahoma"/>
            <family val="2"/>
          </rPr>
          <t xml:space="preserve">Foreign ports within the tropics
</t>
        </r>
        <r>
          <rPr>
            <sz val="9"/>
            <color indexed="81"/>
            <rFont val="Tahoma"/>
            <family val="2"/>
          </rPr>
          <t xml:space="preserve">
</t>
        </r>
      </text>
    </comment>
    <comment ref="D19" authorId="0" shapeId="0" xr:uid="{3439A334-9655-4748-816B-2A823C3FD234}">
      <text>
        <r>
          <rPr>
            <sz val="9"/>
            <color indexed="81"/>
            <rFont val="Tahoma"/>
            <family val="2"/>
          </rPr>
          <t xml:space="preserve">      = 1277 ctw 0 qtr 5 lbs
Table: 1276 cwt 2 qtr 5 lbs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9" authorId="0" shapeId="0" xr:uid="{968CF1F0-19C6-4936-8CC2-77757563F99F}">
      <text>
        <r>
          <rPr>
            <b/>
            <sz val="9"/>
            <color indexed="81"/>
            <rFont val="Tahoma"/>
            <family val="2"/>
          </rPr>
          <t>Foreign ports within the tropics</t>
        </r>
        <r>
          <rPr>
            <sz val="9"/>
            <color indexed="81"/>
            <rFont val="Tahoma"/>
            <family val="2"/>
          </rPr>
          <t xml:space="preserve">
</t>
        </r>
      </text>
    </comment>
    <comment ref="A17" authorId="0" shapeId="0" xr:uid="{E6D3D466-C554-46F4-AA8F-1C8090927D8D}">
      <text>
        <r>
          <rPr>
            <b/>
            <sz val="9"/>
            <color indexed="81"/>
            <rFont val="Tahoma"/>
            <family val="2"/>
          </rPr>
          <t>Foreign ports within the tropics</t>
        </r>
        <r>
          <rPr>
            <sz val="9"/>
            <color indexed="81"/>
            <rFont val="Tahoma"/>
            <family val="2"/>
          </rPr>
          <t xml:space="preserve">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M1" authorId="0" shapeId="0" xr:uid="{AD5CD294-3D52-4FF6-9AE9-D2CDC6864420}">
      <text>
        <r>
          <rPr>
            <b/>
            <sz val="9"/>
            <color indexed="81"/>
            <rFont val="Tahoma"/>
            <family val="2"/>
          </rPr>
          <t>No</t>
        </r>
        <r>
          <rPr>
            <b/>
            <sz val="9"/>
            <color indexed="81"/>
            <rFont val="Tahoma"/>
            <family val="2"/>
          </rPr>
          <t>. of Shingles</t>
        </r>
      </text>
    </comment>
    <comment ref="A9" authorId="0" shapeId="0" xr:uid="{242F5E21-7196-4DC6-A3CB-2E4C893B25D1}">
      <text>
        <r>
          <rPr>
            <b/>
            <sz val="9"/>
            <color indexed="81"/>
            <rFont val="Tahoma"/>
            <family val="2"/>
          </rPr>
          <t>Foreign ports within the tropics</t>
        </r>
        <r>
          <rPr>
            <sz val="9"/>
            <color indexed="81"/>
            <rFont val="Tahoma"/>
            <family val="2"/>
          </rPr>
          <t xml:space="preserve">
</t>
        </r>
      </text>
    </comment>
    <comment ref="A18" authorId="0" shapeId="0" xr:uid="{B0D15429-0FC2-4283-9144-412135D58E54}">
      <text>
        <r>
          <rPr>
            <b/>
            <sz val="9"/>
            <color indexed="81"/>
            <rFont val="Tahoma"/>
            <family val="2"/>
          </rPr>
          <t xml:space="preserve">Foreign ports within the tropics
</t>
        </r>
        <r>
          <rPr>
            <sz val="9"/>
            <color indexed="81"/>
            <rFont val="Tahoma"/>
            <family val="2"/>
          </rPr>
          <t xml:space="preserve">
</t>
        </r>
      </text>
    </comment>
    <comment ref="E20" authorId="0" shapeId="0" xr:uid="{123B9E11-F90C-41D9-BCE2-A318FAF82D12}">
      <text>
        <r>
          <rPr>
            <sz val="9"/>
            <color indexed="81"/>
            <rFont val="Tahoma"/>
            <family val="2"/>
          </rPr>
          <t xml:space="preserve">= 4543 cwt 2qtr 3lbs 
</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9" authorId="0" shapeId="0" xr:uid="{529414D8-3195-4E7D-B699-4D7379C638CE}">
      <text>
        <r>
          <rPr>
            <b/>
            <sz val="9"/>
            <color indexed="81"/>
            <rFont val="Tahoma"/>
            <family val="2"/>
          </rPr>
          <t>Foreign ports within the tropics</t>
        </r>
        <r>
          <rPr>
            <sz val="9"/>
            <color indexed="81"/>
            <rFont val="Tahoma"/>
            <family val="2"/>
          </rPr>
          <t xml:space="preserve">
</t>
        </r>
      </text>
    </comment>
    <comment ref="A17" authorId="0" shapeId="0" xr:uid="{B8AAB3A0-A0E5-4362-99F0-1747E0EE7882}">
      <text>
        <r>
          <rPr>
            <b/>
            <sz val="9"/>
            <color indexed="81"/>
            <rFont val="Tahoma"/>
            <family val="2"/>
          </rPr>
          <t>Foreign ports within the tropics</t>
        </r>
        <r>
          <rPr>
            <sz val="9"/>
            <color indexed="81"/>
            <rFont val="Tahoma"/>
            <family val="2"/>
          </rPr>
          <t xml:space="preserve">
</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F1" authorId="0" shapeId="0" xr:uid="{2E61EA3A-1484-47D3-8459-CA4516B5687B}">
      <text>
        <r>
          <rPr>
            <b/>
            <sz val="9"/>
            <color indexed="81"/>
            <rFont val="Tahoma"/>
            <family val="2"/>
          </rPr>
          <t>Bread (given in cwt. qrs. lbs.)</t>
        </r>
        <r>
          <rPr>
            <sz val="9"/>
            <color indexed="81"/>
            <rFont val="Tahoma"/>
            <family val="2"/>
          </rPr>
          <t xml:space="preserve">
</t>
        </r>
      </text>
    </comment>
    <comment ref="Q1" authorId="0" shapeId="0" xr:uid="{A0D598DE-F638-4545-AA69-42AB95156E77}">
      <text>
        <r>
          <rPr>
            <b/>
            <sz val="9"/>
            <color indexed="81"/>
            <rFont val="Tahoma"/>
            <family val="2"/>
          </rPr>
          <t>Shingles, No.</t>
        </r>
        <r>
          <rPr>
            <sz val="9"/>
            <color indexed="81"/>
            <rFont val="Tahoma"/>
            <family val="2"/>
          </rPr>
          <t xml:space="preserve">
</t>
        </r>
      </text>
    </comment>
    <comment ref="X1" authorId="0" shapeId="0" xr:uid="{88F8799C-3C42-4BB6-9BB6-9100338FF3B0}">
      <text>
        <r>
          <rPr>
            <sz val="9"/>
            <color indexed="81"/>
            <rFont val="Tahoma"/>
            <family val="2"/>
          </rPr>
          <t>From this point right, data from Return of imports from USA, 5 Jan-29 Sep 1826</t>
        </r>
      </text>
    </comment>
    <comment ref="AE1" authorId="0" shapeId="0" xr:uid="{A44F3676-7DB9-49E9-B60A-0029A8C12768}">
      <text>
        <r>
          <rPr>
            <sz val="9"/>
            <color indexed="81"/>
            <rFont val="Tahoma"/>
            <family val="2"/>
          </rPr>
          <t xml:space="preserve">Divided into sperm and tallow
</t>
        </r>
      </text>
    </comment>
    <comment ref="F4" authorId="0" shapeId="0" xr:uid="{90C5E91C-77BF-4230-B7F0-402E1E0D8763}">
      <text>
        <r>
          <rPr>
            <sz val="9"/>
            <color indexed="81"/>
            <rFont val="Tahoma"/>
            <family val="2"/>
          </rPr>
          <t xml:space="preserve">= 283  0  12
</t>
        </r>
      </text>
    </comment>
    <comment ref="F7" authorId="0" shapeId="0" xr:uid="{41317D40-0F00-44AA-8E6E-1584D54DA950}">
      <text>
        <r>
          <rPr>
            <sz val="9"/>
            <color indexed="81"/>
            <rFont val="Tahoma"/>
            <family val="2"/>
          </rPr>
          <t xml:space="preserve">= 1572  1  13
</t>
        </r>
      </text>
    </comment>
    <comment ref="A9" authorId="0" shapeId="0" xr:uid="{1754DCC5-E828-4EA2-B528-AFC16E41B10F}">
      <text>
        <r>
          <rPr>
            <b/>
            <sz val="9"/>
            <color indexed="81"/>
            <rFont val="Tahoma"/>
            <family val="2"/>
          </rPr>
          <t>Foreign ports within the tropics</t>
        </r>
        <r>
          <rPr>
            <sz val="9"/>
            <color indexed="81"/>
            <rFont val="Tahoma"/>
            <family val="2"/>
          </rPr>
          <t xml:space="preserve">
</t>
        </r>
      </text>
    </comment>
    <comment ref="F9" authorId="0" shapeId="0" xr:uid="{D4B92C15-4E43-447F-8CB5-67D026E1EC54}">
      <text>
        <r>
          <rPr>
            <sz val="9"/>
            <color indexed="81"/>
            <rFont val="Tahoma"/>
            <family val="2"/>
          </rPr>
          <t xml:space="preserve">= 0  1  0
</t>
        </r>
      </text>
    </comment>
    <comment ref="F10" authorId="0" shapeId="0" xr:uid="{0E595320-5339-4214-B814-B03A1B96ECCB}">
      <text>
        <r>
          <rPr>
            <sz val="9"/>
            <color indexed="81"/>
            <rFont val="Tahoma"/>
            <family val="2"/>
          </rPr>
          <t xml:space="preserve"> 1855  2  25
</t>
        </r>
      </text>
    </comment>
    <comment ref="F15" authorId="0" shapeId="0" xr:uid="{9E02A807-CBA0-4A4A-BF31-FEF13C006A7E}">
      <text>
        <r>
          <rPr>
            <sz val="9"/>
            <color indexed="81"/>
            <rFont val="Tahoma"/>
            <family val="2"/>
          </rPr>
          <t xml:space="preserve">= 664  2  20
</t>
        </r>
      </text>
    </comment>
    <comment ref="A17" authorId="0" shapeId="0" xr:uid="{0CAF242C-4A16-433F-95EF-13AAEC8CF3DF}">
      <text>
        <r>
          <rPr>
            <b/>
            <sz val="9"/>
            <color indexed="81"/>
            <rFont val="Tahoma"/>
            <family val="2"/>
          </rPr>
          <t xml:space="preserve">Foreign ports within the tropics
</t>
        </r>
        <r>
          <rPr>
            <sz val="9"/>
            <color indexed="81"/>
            <rFont val="Tahoma"/>
            <family val="2"/>
          </rPr>
          <t xml:space="preserve">
</t>
        </r>
      </text>
    </comment>
    <comment ref="C18" authorId="0" shapeId="0" xr:uid="{39EF281B-9194-4672-829C-23289DB1C9F8}">
      <text>
        <r>
          <rPr>
            <sz val="9"/>
            <color indexed="81"/>
            <rFont val="Tahoma"/>
            <family val="2"/>
          </rPr>
          <t>Table: 1860 (transposed numbers?)</t>
        </r>
      </text>
    </comment>
    <comment ref="C19" authorId="0" shapeId="0" xr:uid="{44FF5F0D-3586-4E8B-9803-74374BB22CD1}">
      <text>
        <r>
          <rPr>
            <sz val="9"/>
            <color indexed="81"/>
            <rFont val="Tahoma"/>
            <family val="2"/>
          </rPr>
          <t xml:space="preserve">Table: 10,093
</t>
        </r>
      </text>
    </comment>
    <comment ref="F19" authorId="0" shapeId="0" xr:uid="{21D9B8A3-2E00-4CD2-8881-5D3800613AA0}">
      <text>
        <r>
          <rPr>
            <sz val="9"/>
            <color indexed="81"/>
            <rFont val="Tahoma"/>
            <family val="2"/>
          </rPr>
          <t xml:space="preserve">=2520 cwt 1 qtr 17lbs
</t>
        </r>
      </text>
    </comment>
    <comment ref="X19" authorId="0" shapeId="0" xr:uid="{E8AFA80C-1812-4FF4-870E-199ED013A150}">
      <text>
        <r>
          <rPr>
            <sz val="9"/>
            <color indexed="81"/>
            <rFont val="Tahoma"/>
            <family val="2"/>
          </rPr>
          <t xml:space="preserve">Table misadds: 15
</t>
        </r>
      </text>
    </comment>
    <comment ref="Y19" authorId="0" shapeId="0" xr:uid="{BCC275E4-9C3C-4C6E-9794-7E2C0D459BE3}">
      <text>
        <r>
          <rPr>
            <sz val="9"/>
            <color indexed="81"/>
            <rFont val="Tahoma"/>
            <family val="2"/>
          </rPr>
          <t xml:space="preserve">Table misadds: 82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9" authorId="0" shapeId="0" xr:uid="{C349CBC8-8AC1-492D-8E34-A917E34FE8F6}">
      <text>
        <r>
          <rPr>
            <b/>
            <sz val="9"/>
            <color indexed="81"/>
            <rFont val="Tahoma"/>
            <family val="2"/>
          </rPr>
          <t>Foreign ports within the tropics</t>
        </r>
        <r>
          <rPr>
            <sz val="9"/>
            <color indexed="81"/>
            <rFont val="Tahoma"/>
            <family val="2"/>
          </rPr>
          <t xml:space="preserve">
</t>
        </r>
      </text>
    </comment>
    <comment ref="A17" authorId="0" shapeId="0" xr:uid="{4EF82EEE-40CA-4802-8FED-37849C147E52}">
      <text>
        <r>
          <rPr>
            <b/>
            <sz val="9"/>
            <color indexed="81"/>
            <rFont val="Tahoma"/>
            <family val="2"/>
          </rPr>
          <t>Foreign ports within the tropics</t>
        </r>
        <r>
          <rPr>
            <sz val="9"/>
            <color indexed="81"/>
            <rFont val="Tahoma"/>
            <family val="2"/>
          </rPr>
          <t xml:space="preserve">
</t>
        </r>
      </text>
    </comment>
    <comment ref="B18" authorId="0" shapeId="0" xr:uid="{CD294E5B-2445-4DA8-AD0D-BD37E7034BF0}">
      <text>
        <r>
          <rPr>
            <sz val="9"/>
            <color indexed="81"/>
            <rFont val="Tahoma"/>
            <family val="2"/>
          </rPr>
          <t xml:space="preserve">Table: 58,268 (diff 1)
</t>
        </r>
      </text>
    </comment>
    <comment ref="B19" authorId="0" shapeId="0" xr:uid="{7E514846-2073-4415-BB08-C47856B2F379}">
      <text>
        <r>
          <rPr>
            <sz val="9"/>
            <color indexed="81"/>
            <rFont val="Tahoma"/>
            <family val="2"/>
          </rPr>
          <t xml:space="preserve">Table: 73,813 (diff 1)
</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T1" authorId="0" shapeId="0" xr:uid="{E4AAD3FD-B0BE-42AB-B2F7-51BE424365C2}">
      <text>
        <r>
          <rPr>
            <b/>
            <sz val="9"/>
            <color indexed="81"/>
            <rFont val="Tahoma"/>
            <family val="2"/>
          </rPr>
          <t>Shingles, No.</t>
        </r>
        <r>
          <rPr>
            <sz val="9"/>
            <color indexed="81"/>
            <rFont val="Tahoma"/>
            <family val="2"/>
          </rPr>
          <t xml:space="preserve">
</t>
        </r>
      </text>
    </comment>
    <comment ref="A9" authorId="0" shapeId="0" xr:uid="{79A236CB-E242-4581-B152-6C5FEF9E868F}">
      <text>
        <r>
          <rPr>
            <b/>
            <sz val="9"/>
            <color indexed="81"/>
            <rFont val="Tahoma"/>
            <family val="2"/>
          </rPr>
          <t>Foreign ports within the tropics</t>
        </r>
        <r>
          <rPr>
            <sz val="9"/>
            <color indexed="81"/>
            <rFont val="Tahoma"/>
            <family val="2"/>
          </rPr>
          <t xml:space="preserve">
</t>
        </r>
      </text>
    </comment>
    <comment ref="A17" authorId="0" shapeId="0" xr:uid="{75433D12-4539-45B7-BE86-E149F867D1C6}">
      <text>
        <r>
          <rPr>
            <b/>
            <sz val="9"/>
            <color indexed="81"/>
            <rFont val="Tahoma"/>
            <family val="2"/>
          </rPr>
          <t xml:space="preserve">Foreign ports within the tropics
</t>
        </r>
        <r>
          <rPr>
            <sz val="9"/>
            <color indexed="81"/>
            <rFont val="Tahoma"/>
            <family val="2"/>
          </rPr>
          <t xml:space="preserve">
</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6" authorId="0" shapeId="0" xr:uid="{38F3ED74-892E-485A-B6BE-387DE0113BD4}">
      <text>
        <r>
          <rPr>
            <b/>
            <sz val="9"/>
            <color indexed="81"/>
            <rFont val="Tahoma"/>
            <family val="2"/>
          </rPr>
          <t>British Colonies</t>
        </r>
        <r>
          <rPr>
            <sz val="9"/>
            <color indexed="81"/>
            <rFont val="Tahoma"/>
            <family val="2"/>
          </rPr>
          <t xml:space="preserve">
</t>
        </r>
      </text>
    </comment>
    <comment ref="A9" authorId="0" shapeId="0" xr:uid="{D2A2131A-1CAC-4C99-8653-483D74601A8D}">
      <text>
        <r>
          <rPr>
            <b/>
            <sz val="9"/>
            <color indexed="81"/>
            <rFont val="Tahoma"/>
            <family val="2"/>
          </rPr>
          <t>Foreign ports within the tropics</t>
        </r>
        <r>
          <rPr>
            <sz val="9"/>
            <color indexed="81"/>
            <rFont val="Tahoma"/>
            <family val="2"/>
          </rPr>
          <t xml:space="preserve">
</t>
        </r>
      </text>
    </comment>
    <comment ref="A14" authorId="0" shapeId="0" xr:uid="{E0A777EF-C9B5-4902-834C-00045B1C06A3}">
      <text>
        <r>
          <rPr>
            <b/>
            <sz val="9"/>
            <color indexed="81"/>
            <rFont val="Tahoma"/>
            <family val="2"/>
          </rPr>
          <t>British Colonies</t>
        </r>
        <r>
          <rPr>
            <sz val="9"/>
            <color indexed="81"/>
            <rFont val="Tahoma"/>
            <family val="2"/>
          </rPr>
          <t xml:space="preserve">
</t>
        </r>
      </text>
    </comment>
    <comment ref="A17" authorId="0" shapeId="0" xr:uid="{E1C13249-D5F6-4825-AB17-7B5E25CC8F87}">
      <text>
        <r>
          <rPr>
            <b/>
            <sz val="9"/>
            <color indexed="81"/>
            <rFont val="Tahoma"/>
            <family val="2"/>
          </rPr>
          <t>Foreign ports within the tropics</t>
        </r>
        <r>
          <rPr>
            <sz val="9"/>
            <color indexed="81"/>
            <rFont val="Tahoma"/>
            <family val="2"/>
          </rPr>
          <t xml:space="preserve">
</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6" authorId="0" shapeId="0" xr:uid="{5CDA9B9F-10C3-4660-8DEE-CD0F801E722F}">
      <text>
        <r>
          <rPr>
            <b/>
            <sz val="9"/>
            <color indexed="81"/>
            <rFont val="Tahoma"/>
            <family val="2"/>
          </rPr>
          <t>British Colonies</t>
        </r>
        <r>
          <rPr>
            <sz val="9"/>
            <color indexed="81"/>
            <rFont val="Tahoma"/>
            <family val="2"/>
          </rPr>
          <t xml:space="preserve">
</t>
        </r>
      </text>
    </comment>
    <comment ref="A9" authorId="0" shapeId="0" xr:uid="{7C223360-686D-4286-B704-BBC4E283FFB9}">
      <text>
        <r>
          <rPr>
            <b/>
            <sz val="9"/>
            <color indexed="81"/>
            <rFont val="Tahoma"/>
            <family val="2"/>
          </rPr>
          <t>Foreign ports within the tropics</t>
        </r>
        <r>
          <rPr>
            <sz val="9"/>
            <color indexed="81"/>
            <rFont val="Tahoma"/>
            <family val="2"/>
          </rPr>
          <t xml:space="preserve">
</t>
        </r>
      </text>
    </comment>
    <comment ref="A14" authorId="0" shapeId="0" xr:uid="{BAC2A91F-1798-44F3-8CE5-695A536B43C0}">
      <text>
        <r>
          <rPr>
            <b/>
            <sz val="9"/>
            <color indexed="81"/>
            <rFont val="Tahoma"/>
            <family val="2"/>
          </rPr>
          <t>British Colonies</t>
        </r>
        <r>
          <rPr>
            <sz val="9"/>
            <color indexed="81"/>
            <rFont val="Tahoma"/>
            <family val="2"/>
          </rPr>
          <t xml:space="preserve">
</t>
        </r>
      </text>
    </comment>
    <comment ref="A17" authorId="0" shapeId="0" xr:uid="{5B5C90B4-5237-4A02-8339-625465560DD0}">
      <text>
        <r>
          <rPr>
            <b/>
            <sz val="9"/>
            <color indexed="81"/>
            <rFont val="Tahoma"/>
            <family val="2"/>
          </rPr>
          <t xml:space="preserve">Foreign ports within the tropics
</t>
        </r>
        <r>
          <rPr>
            <sz val="9"/>
            <color indexed="81"/>
            <rFont val="Tahoma"/>
            <family val="2"/>
          </rPr>
          <t xml:space="preserve">
</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CF4DE56D-86E7-428B-AF4D-2A3299D85F1C}">
      <text>
        <r>
          <rPr>
            <b/>
            <sz val="9"/>
            <color indexed="81"/>
            <rFont val="Tahoma"/>
            <family val="2"/>
          </rPr>
          <t>Spanish Main and islands within the tropics</t>
        </r>
      </text>
    </comment>
    <comment ref="A16" authorId="0" shapeId="0" xr:uid="{35482E38-85FD-4210-83A3-C01E724D17C0}">
      <text>
        <r>
          <rPr>
            <b/>
            <sz val="9"/>
            <color indexed="81"/>
            <rFont val="Tahoma"/>
            <family val="2"/>
          </rPr>
          <t>Spanish Main and islands within the tropics</t>
        </r>
        <r>
          <rPr>
            <sz val="9"/>
            <color indexed="81"/>
            <rFont val="Tahoma"/>
            <family val="2"/>
          </rPr>
          <t xml:space="preserve">
</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U1" authorId="0" shapeId="0" xr:uid="{30531FE3-9668-4628-BA97-39A7B52C76DC}">
      <text>
        <r>
          <rPr>
            <b/>
            <sz val="9"/>
            <color indexed="81"/>
            <rFont val="Tahoma"/>
            <family val="2"/>
          </rPr>
          <t>Shingles, No.</t>
        </r>
      </text>
    </comment>
    <comment ref="A8" authorId="0" shapeId="0" xr:uid="{FC86ACDE-5946-4D4C-8087-404DC9ADF300}">
      <text>
        <r>
          <rPr>
            <b/>
            <sz val="9"/>
            <color indexed="81"/>
            <rFont val="Tahoma"/>
            <family val="2"/>
          </rPr>
          <t>Spanish Main and islands within the tropics</t>
        </r>
        <r>
          <rPr>
            <sz val="9"/>
            <color indexed="81"/>
            <rFont val="Tahoma"/>
            <family val="2"/>
          </rPr>
          <t xml:space="preserve">
</t>
        </r>
      </text>
    </comment>
    <comment ref="A16" authorId="0" shapeId="0" xr:uid="{35E3E4BE-7A6C-4EE7-9DAB-8CB7BE45C68A}">
      <text>
        <r>
          <rPr>
            <b/>
            <sz val="9"/>
            <color indexed="81"/>
            <rFont val="Tahoma"/>
            <family val="2"/>
          </rPr>
          <t>Spanish Main and islands within the tropics</t>
        </r>
        <r>
          <rPr>
            <sz val="9"/>
            <color indexed="81"/>
            <rFont val="Tahoma"/>
            <family val="2"/>
          </rPr>
          <t xml:space="preserve">
</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DE1B187E-4990-46E2-AC84-F1ABE06103EA}">
      <text>
        <r>
          <rPr>
            <b/>
            <sz val="9"/>
            <color indexed="81"/>
            <rFont val="Tahoma"/>
            <family val="2"/>
          </rPr>
          <t>Spanish Main and islands within the tropics</t>
        </r>
      </text>
    </comment>
    <comment ref="A16" authorId="0" shapeId="0" xr:uid="{5DE48BEC-4CC5-4AA8-AE5E-AA489435BA9C}">
      <text>
        <r>
          <rPr>
            <b/>
            <sz val="9"/>
            <color indexed="81"/>
            <rFont val="Tahoma"/>
            <family val="2"/>
          </rPr>
          <t>Spanish Main and islands within the tropics</t>
        </r>
        <r>
          <rPr>
            <sz val="9"/>
            <color indexed="81"/>
            <rFont val="Tahoma"/>
            <family val="2"/>
          </rPr>
          <t xml:space="preserve">
</t>
        </r>
      </text>
    </comment>
    <comment ref="N18" authorId="0" shapeId="0" xr:uid="{8929FF76-BADF-4EA0-9037-DE1CA9381036}">
      <text>
        <r>
          <rPr>
            <sz val="9"/>
            <color indexed="81"/>
            <rFont val="Tahoma"/>
            <family val="2"/>
          </rPr>
          <t xml:space="preserve">Table: 8,661,011 (diff 2)
</t>
        </r>
      </text>
    </comment>
    <comment ref="N19" authorId="0" shapeId="0" xr:uid="{26A9B871-6F66-45C9-8168-E426A89BF109}">
      <text>
        <r>
          <rPr>
            <sz val="9"/>
            <color indexed="81"/>
            <rFont val="Tahoma"/>
            <family val="2"/>
          </rPr>
          <t xml:space="preserve">Table: 19,773,912
</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8284C6D8-BBE2-4B22-A129-66F0723256F1}">
      <text>
        <r>
          <rPr>
            <b/>
            <sz val="9"/>
            <color indexed="81"/>
            <rFont val="Tahoma"/>
            <family val="2"/>
          </rPr>
          <t>Spanish Main and islands within the tropics</t>
        </r>
        <r>
          <rPr>
            <sz val="9"/>
            <color indexed="81"/>
            <rFont val="Tahoma"/>
            <family val="2"/>
          </rPr>
          <t xml:space="preserve">
</t>
        </r>
      </text>
    </comment>
    <comment ref="A16" authorId="0" shapeId="0" xr:uid="{37F8F241-9EC2-4D60-90ED-9354AE9088A1}">
      <text>
        <r>
          <rPr>
            <b/>
            <sz val="9"/>
            <color indexed="81"/>
            <rFont val="Tahoma"/>
            <family val="2"/>
          </rPr>
          <t>Spanish Main and islands within the tropics</t>
        </r>
        <r>
          <rPr>
            <sz val="9"/>
            <color indexed="81"/>
            <rFont val="Tahoma"/>
            <family val="2"/>
          </rPr>
          <t xml:space="preserve">
</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87EAA427-B31E-42E3-AC1C-5E632FEF048E}">
      <text>
        <r>
          <rPr>
            <b/>
            <sz val="9"/>
            <color indexed="81"/>
            <rFont val="Tahoma"/>
            <family val="2"/>
          </rPr>
          <t>Spanish Main and islands within the tropics</t>
        </r>
      </text>
    </comment>
    <comment ref="A16" authorId="0" shapeId="0" xr:uid="{E5899B51-7BB5-4986-90EB-B0B8C5D3F613}">
      <text>
        <r>
          <rPr>
            <b/>
            <sz val="9"/>
            <color indexed="81"/>
            <rFont val="Tahoma"/>
            <family val="2"/>
          </rPr>
          <t>Spanish Main and islands within the tropics</t>
        </r>
        <r>
          <rPr>
            <sz val="9"/>
            <color indexed="81"/>
            <rFont val="Tahoma"/>
            <family val="2"/>
          </rPr>
          <t xml:space="preserve">
</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2E934AA3-3292-46BB-8380-46142E00D7AE}">
      <text>
        <r>
          <rPr>
            <b/>
            <sz val="9"/>
            <color indexed="81"/>
            <rFont val="Tahoma"/>
            <family val="2"/>
          </rPr>
          <t>Spanish Main and islands within the tropics</t>
        </r>
        <r>
          <rPr>
            <sz val="9"/>
            <color indexed="81"/>
            <rFont val="Tahoma"/>
            <family val="2"/>
          </rPr>
          <t xml:space="preserve">
</t>
        </r>
      </text>
    </comment>
    <comment ref="A16" authorId="0" shapeId="0" xr:uid="{62FA150F-B395-4CAE-B2E5-870F6578619E}">
      <text>
        <r>
          <rPr>
            <b/>
            <sz val="9"/>
            <color indexed="81"/>
            <rFont val="Tahoma"/>
            <family val="2"/>
          </rPr>
          <t>Spanish Main and islands within the tropics</t>
        </r>
        <r>
          <rPr>
            <sz val="9"/>
            <color indexed="81"/>
            <rFont val="Tahoma"/>
            <family val="2"/>
          </rPr>
          <t xml:space="preserve">
</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3EA04783-998A-4340-81A3-51AA6575B606}">
      <text>
        <r>
          <rPr>
            <b/>
            <sz val="9"/>
            <color indexed="81"/>
            <rFont val="Tahoma"/>
            <family val="2"/>
          </rPr>
          <t>Spanish Main and islands within the tropics</t>
        </r>
      </text>
    </comment>
    <comment ref="A16" authorId="0" shapeId="0" xr:uid="{535D7C97-8FCB-4C57-841D-48AA5502A5A6}">
      <text>
        <r>
          <rPr>
            <b/>
            <sz val="9"/>
            <color indexed="81"/>
            <rFont val="Tahoma"/>
            <family val="2"/>
          </rPr>
          <t>Spanish Main and islands within the tropics</t>
        </r>
        <r>
          <rPr>
            <sz val="9"/>
            <color indexed="81"/>
            <rFont val="Tahoma"/>
            <family val="2"/>
          </rPr>
          <t xml:space="preserve">
</t>
        </r>
      </text>
    </comment>
    <comment ref="L19" authorId="0" shapeId="0" xr:uid="{D71ADB2E-3900-4780-A217-3C37AB01D2C8}">
      <text>
        <r>
          <rPr>
            <sz val="9"/>
            <color indexed="81"/>
            <rFont val="Tahoma"/>
            <family val="2"/>
          </rPr>
          <t xml:space="preserve">Table misadds: 675
</t>
        </r>
      </text>
    </comment>
  </commentList>
</comments>
</file>

<file path=xl/comments39.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A1" authorId="0" shapeId="0" xr:uid="{290B3F0C-8028-4A9E-B8B9-C5344C758231}">
      <text>
        <r>
          <rPr>
            <sz val="9"/>
            <color indexed="81"/>
            <rFont val="Tahoma"/>
            <family val="2"/>
          </rPr>
          <t xml:space="preserve">From this point right, data from 'Additional Return of Imports from Great-Britain' table
</t>
        </r>
      </text>
    </comment>
    <comment ref="A8" authorId="0" shapeId="0" xr:uid="{39E02F79-153C-47A1-8163-97BBCEC9FEB8}">
      <text>
        <r>
          <rPr>
            <b/>
            <sz val="9"/>
            <color indexed="81"/>
            <rFont val="Tahoma"/>
            <family val="2"/>
          </rPr>
          <t xml:space="preserve">Spanish Main and islands within the tropics
</t>
        </r>
      </text>
    </comment>
    <comment ref="D10" authorId="0" shapeId="0" xr:uid="{FF67918D-6018-4805-9232-94959036E31B}">
      <text>
        <r>
          <rPr>
            <sz val="9"/>
            <color indexed="81"/>
            <rFont val="Tahoma"/>
            <family val="2"/>
          </rPr>
          <t>Table: 5,308</t>
        </r>
      </text>
    </comment>
    <comment ref="A17" authorId="0" shapeId="0" xr:uid="{DD7F35B3-AB23-4505-8C75-84A4C183E35E}">
      <text>
        <r>
          <rPr>
            <b/>
            <sz val="9"/>
            <color indexed="81"/>
            <rFont val="Tahoma"/>
            <family val="2"/>
          </rPr>
          <t>Spanish Main and islands within the tropics</t>
        </r>
        <r>
          <rPr>
            <sz val="9"/>
            <color indexed="81"/>
            <rFont val="Tahoma"/>
            <family val="2"/>
          </rPr>
          <t xml:space="preserve">
</t>
        </r>
      </text>
    </comment>
    <comment ref="D20" authorId="0" shapeId="0" xr:uid="{054C2654-B68D-41C2-9EF6-57FEE32A85B2}">
      <text>
        <r>
          <rPr>
            <sz val="9"/>
            <color indexed="81"/>
            <rFont val="Tahoma"/>
            <family val="2"/>
          </rPr>
          <t>Table: 5,308</t>
        </r>
      </text>
    </comment>
    <comment ref="W20" authorId="0" shapeId="0" xr:uid="{69F9BDCC-CDAB-4CFA-B4B8-51870E0E2BF7}">
      <text>
        <r>
          <rPr>
            <sz val="9"/>
            <color indexed="81"/>
            <rFont val="Tahoma"/>
            <family val="2"/>
          </rPr>
          <t xml:space="preserve">Table misadds: 1,562
</t>
        </r>
      </text>
    </comment>
  </commentList>
</comments>
</file>

<file path=xl/comments40.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8551DF33-F2CC-48AC-ADB9-3D04791F29D3}">
      <text>
        <r>
          <rPr>
            <b/>
            <sz val="9"/>
            <color indexed="81"/>
            <rFont val="Tahoma"/>
            <family val="2"/>
          </rPr>
          <t>Spanish Main and islands within the tropics</t>
        </r>
      </text>
    </comment>
    <comment ref="A16" authorId="0" shapeId="0" xr:uid="{F128DB14-0A80-4ACC-8FAE-0A24470B671B}">
      <text>
        <r>
          <rPr>
            <b/>
            <sz val="9"/>
            <color indexed="81"/>
            <rFont val="Tahoma"/>
            <family val="2"/>
          </rPr>
          <t>Spanish Main and islands within the tropics</t>
        </r>
        <r>
          <rPr>
            <sz val="9"/>
            <color indexed="81"/>
            <rFont val="Tahoma"/>
            <family val="2"/>
          </rPr>
          <t xml:space="preserve">
</t>
        </r>
      </text>
    </comment>
  </commentList>
</comments>
</file>

<file path=xl/comments41.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U1" authorId="0" shapeId="0" xr:uid="{175AD752-0E0B-4CB8-847F-9099ADEC17B8}">
      <text>
        <r>
          <rPr>
            <b/>
            <sz val="9"/>
            <color indexed="81"/>
            <rFont val="Tahoma"/>
            <family val="2"/>
          </rPr>
          <t>Shingles, No.</t>
        </r>
        <r>
          <rPr>
            <sz val="9"/>
            <color indexed="81"/>
            <rFont val="Tahoma"/>
            <family val="2"/>
          </rPr>
          <t xml:space="preserve">
</t>
        </r>
      </text>
    </comment>
    <comment ref="A8" authorId="0" shapeId="0" xr:uid="{98DD3718-C30A-4546-BA8C-D01AEB6E2075}">
      <text>
        <r>
          <rPr>
            <b/>
            <sz val="9"/>
            <color indexed="81"/>
            <rFont val="Tahoma"/>
            <family val="2"/>
          </rPr>
          <t>Spanish Main and neighbouring islands</t>
        </r>
      </text>
    </comment>
    <comment ref="A16" authorId="0" shapeId="0" xr:uid="{D75E1022-3DDD-4D9F-97AE-394A1B6A20CF}">
      <text>
        <r>
          <rPr>
            <b/>
            <sz val="9"/>
            <color indexed="81"/>
            <rFont val="Tahoma"/>
            <family val="2"/>
          </rPr>
          <t>Spanish Main and neighbouring islands</t>
        </r>
        <r>
          <rPr>
            <sz val="9"/>
            <color indexed="81"/>
            <rFont val="Tahoma"/>
            <family val="2"/>
          </rPr>
          <t xml:space="preserve">
</t>
        </r>
      </text>
    </comment>
    <comment ref="H18" authorId="0" shapeId="0" xr:uid="{6874FEFD-DF73-4778-A5ED-7970B9C71775}">
      <text>
        <r>
          <rPr>
            <sz val="9"/>
            <color indexed="81"/>
            <rFont val="Tahoma"/>
            <family val="2"/>
          </rPr>
          <t xml:space="preserve">Table gives outports total without specifying origin
</t>
        </r>
      </text>
    </comment>
    <comment ref="H19" authorId="0" shapeId="0" xr:uid="{D4A59473-94D2-4A04-A842-65D8CE25A616}">
      <text>
        <r>
          <rPr>
            <sz val="9"/>
            <color indexed="81"/>
            <rFont val="Tahoma"/>
            <family val="2"/>
          </rPr>
          <t xml:space="preserve">Table: 9,365
</t>
        </r>
      </text>
    </comment>
  </commentList>
</comments>
</file>

<file path=xl/comments42.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471DCE77-BB96-4CDB-B882-96738FECA785}">
      <text>
        <r>
          <rPr>
            <b/>
            <sz val="9"/>
            <color indexed="81"/>
            <rFont val="Tahoma"/>
            <family val="2"/>
          </rPr>
          <t>Spanish Main and islands within the tropics</t>
        </r>
      </text>
    </comment>
    <comment ref="A16" authorId="0" shapeId="0" xr:uid="{B7B83CDD-6294-4B0F-A743-0823B41F079C}">
      <text>
        <r>
          <rPr>
            <b/>
            <sz val="9"/>
            <color indexed="81"/>
            <rFont val="Tahoma"/>
            <family val="2"/>
          </rPr>
          <t>Spanish Main and islands within the tropics</t>
        </r>
        <r>
          <rPr>
            <sz val="9"/>
            <color indexed="81"/>
            <rFont val="Tahoma"/>
            <family val="2"/>
          </rPr>
          <t xml:space="preserve">
</t>
        </r>
      </text>
    </comment>
  </commentList>
</comments>
</file>

<file path=xl/comments43.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V1" authorId="0" shapeId="0" xr:uid="{9E7BE5E8-1FC7-4237-880B-837590177A97}">
      <text>
        <r>
          <rPr>
            <b/>
            <sz val="9"/>
            <color indexed="81"/>
            <rFont val="Tahoma"/>
            <family val="2"/>
          </rPr>
          <t>Shingles, No.</t>
        </r>
        <r>
          <rPr>
            <sz val="9"/>
            <color indexed="81"/>
            <rFont val="Tahoma"/>
            <family val="2"/>
          </rPr>
          <t xml:space="preserve">
</t>
        </r>
      </text>
    </comment>
    <comment ref="A8" authorId="0" shapeId="0" xr:uid="{447EB252-72A7-40B7-86BE-295FFEDF6A9D}">
      <text>
        <r>
          <rPr>
            <b/>
            <sz val="9"/>
            <color indexed="81"/>
            <rFont val="Tahoma"/>
            <family val="2"/>
          </rPr>
          <t>Spanish Main and islands within the tropics</t>
        </r>
        <r>
          <rPr>
            <sz val="9"/>
            <color indexed="81"/>
            <rFont val="Tahoma"/>
            <family val="2"/>
          </rPr>
          <t xml:space="preserve">
</t>
        </r>
      </text>
    </comment>
    <comment ref="V10" authorId="0" shapeId="0" xr:uid="{1D26430F-F76A-4C2B-AFA9-ECB3728AA438}">
      <text>
        <r>
          <rPr>
            <sz val="9"/>
            <color indexed="81"/>
            <rFont val="Tahoma"/>
            <family val="2"/>
          </rPr>
          <t xml:space="preserve">Table: 5,246,184 (diff 30,000)
</t>
        </r>
      </text>
    </comment>
    <comment ref="AA10" authorId="0" shapeId="0" xr:uid="{0B636C71-E608-46A2-A3C3-363260D2267F}">
      <text>
        <r>
          <rPr>
            <sz val="9"/>
            <color indexed="81"/>
            <rFont val="Tahoma"/>
            <family val="2"/>
          </rPr>
          <t>Table: 1,844</t>
        </r>
      </text>
    </comment>
    <comment ref="A16" authorId="0" shapeId="0" xr:uid="{38736589-A4F5-4F11-9C5A-FF254D7E5850}">
      <text>
        <r>
          <rPr>
            <b/>
            <sz val="9"/>
            <color indexed="81"/>
            <rFont val="Tahoma"/>
            <family val="2"/>
          </rPr>
          <t>Spanish Main and islands within the tropics</t>
        </r>
        <r>
          <rPr>
            <sz val="9"/>
            <color indexed="81"/>
            <rFont val="Tahoma"/>
            <family val="2"/>
          </rPr>
          <t xml:space="preserve">
</t>
        </r>
      </text>
    </comment>
    <comment ref="P19" authorId="0" shapeId="0" xr:uid="{70A13F14-01E6-41DC-8E8C-BDA7071D7B5D}">
      <text>
        <r>
          <rPr>
            <sz val="9"/>
            <color indexed="81"/>
            <rFont val="Tahoma"/>
            <family val="2"/>
          </rPr>
          <t>Table: 8,453</t>
        </r>
      </text>
    </comment>
    <comment ref="V19" authorId="0" shapeId="0" xr:uid="{EF58253F-BB36-42E2-8EE1-A9EF92F1C692}">
      <text>
        <r>
          <rPr>
            <sz val="9"/>
            <color indexed="81"/>
            <rFont val="Tahoma"/>
            <family val="2"/>
          </rPr>
          <t xml:space="preserve">Table: 10,329,918 (diff 100,000)
</t>
        </r>
      </text>
    </comment>
    <comment ref="AA19" authorId="0" shapeId="0" xr:uid="{ECF15D5B-FBA8-4CB4-9E5A-7D686EF8139A}">
      <text>
        <r>
          <rPr>
            <sz val="9"/>
            <color indexed="81"/>
            <rFont val="Tahoma"/>
            <family val="2"/>
          </rPr>
          <t xml:space="preserve">Table: 2,698
</t>
        </r>
      </text>
    </comment>
  </commentList>
</comments>
</file>

<file path=xl/comments44.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888C23E0-22A8-495E-90C4-2BC06AF2B52F}">
      <text>
        <r>
          <rPr>
            <b/>
            <sz val="9"/>
            <color indexed="81"/>
            <rFont val="Tahoma"/>
            <family val="2"/>
          </rPr>
          <t>Spanish Main and islands within the tropics</t>
        </r>
      </text>
    </comment>
    <comment ref="D10" authorId="0" shapeId="0" xr:uid="{AD05F3EF-F0F8-48E3-A1F0-FA70ECD45368}">
      <text>
        <r>
          <rPr>
            <sz val="9"/>
            <color indexed="81"/>
            <rFont val="Tahoma"/>
            <family val="2"/>
          </rPr>
          <t>Table: 1793 (diff 60)</t>
        </r>
      </text>
    </comment>
    <comment ref="A16" authorId="0" shapeId="0" xr:uid="{A3AA0623-CAB0-4805-B6E8-C92A66418C9E}">
      <text>
        <r>
          <rPr>
            <b/>
            <sz val="9"/>
            <color indexed="81"/>
            <rFont val="Tahoma"/>
            <family val="2"/>
          </rPr>
          <t>Spanish Main and islands within the tropics</t>
        </r>
        <r>
          <rPr>
            <sz val="9"/>
            <color indexed="81"/>
            <rFont val="Tahoma"/>
            <family val="2"/>
          </rPr>
          <t xml:space="preserve">
</t>
        </r>
      </text>
    </comment>
    <comment ref="D19" authorId="0" shapeId="0" xr:uid="{0AB7055B-6299-4C25-8CA5-74CB839E0E7A}">
      <text>
        <r>
          <rPr>
            <sz val="9"/>
            <color indexed="81"/>
            <rFont val="Tahoma"/>
            <family val="2"/>
          </rPr>
          <t xml:space="preserve">Table: 2,868
</t>
        </r>
      </text>
    </comment>
  </commentList>
</comments>
</file>

<file path=xl/comments45.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09E1CFE5-FE3A-496E-A15B-50903D285CE4}">
      <text>
        <r>
          <rPr>
            <b/>
            <sz val="9"/>
            <color indexed="81"/>
            <rFont val="Tahoma"/>
            <family val="2"/>
          </rPr>
          <t>Spanish Main and islands within the tropics</t>
        </r>
        <r>
          <rPr>
            <sz val="9"/>
            <color indexed="81"/>
            <rFont val="Tahoma"/>
            <family val="2"/>
          </rPr>
          <t xml:space="preserve">
</t>
        </r>
      </text>
    </comment>
    <comment ref="K15" authorId="0" shapeId="0" xr:uid="{287E793A-2466-4318-B0EE-B8FBD1F859AF}">
      <text>
        <r>
          <rPr>
            <sz val="9"/>
            <color indexed="81"/>
            <rFont val="Tahoma"/>
            <family val="2"/>
          </rPr>
          <t xml:space="preserve">Table: Figure for US is 1125, but total is 1122
</t>
        </r>
      </text>
    </comment>
    <comment ref="A16" authorId="0" shapeId="0" xr:uid="{A51BF327-D19C-452A-AF39-96F05787E5D4}">
      <text>
        <r>
          <rPr>
            <b/>
            <sz val="9"/>
            <color indexed="81"/>
            <rFont val="Tahoma"/>
            <family val="2"/>
          </rPr>
          <t>Spanish Main and islands within the tropics</t>
        </r>
        <r>
          <rPr>
            <sz val="9"/>
            <color indexed="81"/>
            <rFont val="Tahoma"/>
            <family val="2"/>
          </rPr>
          <t xml:space="preserve">
</t>
        </r>
      </text>
    </comment>
  </commentList>
</comments>
</file>

<file path=xl/comments46.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F219931A-BC7D-4C6B-BE16-D284D7DD8E63}">
      <text>
        <r>
          <rPr>
            <b/>
            <sz val="9"/>
            <color indexed="81"/>
            <rFont val="Tahoma"/>
            <family val="2"/>
          </rPr>
          <t>Spanish Main and islands within the tropics</t>
        </r>
      </text>
    </comment>
    <comment ref="A16" authorId="0" shapeId="0" xr:uid="{B460214D-DE3F-40B7-A60F-3FE41D7CCAB1}">
      <text>
        <r>
          <rPr>
            <b/>
            <sz val="9"/>
            <color indexed="81"/>
            <rFont val="Tahoma"/>
            <family val="2"/>
          </rPr>
          <t>Spanish Main and islands within the tropics</t>
        </r>
        <r>
          <rPr>
            <sz val="9"/>
            <color indexed="81"/>
            <rFont val="Tahoma"/>
            <family val="2"/>
          </rPr>
          <t xml:space="preserve">
</t>
        </r>
      </text>
    </comment>
    <comment ref="M18" authorId="0" shapeId="0" xr:uid="{E6C86F29-3F85-4EDD-989E-C64F7AAA956A}">
      <text>
        <r>
          <rPr>
            <sz val="9"/>
            <color indexed="81"/>
            <rFont val="Tahoma"/>
            <family val="2"/>
          </rPr>
          <t>Table: 23,938 (diff 9)</t>
        </r>
      </text>
    </comment>
  </commentList>
</comments>
</file>

<file path=xl/comments47.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7" authorId="0" shapeId="0" xr:uid="{854A25FF-51FD-43A7-9240-DAD80085E940}">
      <text>
        <r>
          <rPr>
            <b/>
            <sz val="9"/>
            <color indexed="81"/>
            <rFont val="Tahoma"/>
            <family val="2"/>
          </rPr>
          <t>United States within the tropics</t>
        </r>
        <r>
          <rPr>
            <sz val="9"/>
            <color indexed="81"/>
            <rFont val="Tahoma"/>
            <family val="2"/>
          </rPr>
          <t xml:space="preserve">
</t>
        </r>
      </text>
    </comment>
    <comment ref="A8" authorId="0" shapeId="0" xr:uid="{9E928497-CFB0-4F31-84A0-884917A36439}">
      <text>
        <r>
          <rPr>
            <b/>
            <sz val="9"/>
            <color indexed="81"/>
            <rFont val="Tahoma"/>
            <family val="2"/>
          </rPr>
          <t>Spanish Main and islands within the tropics</t>
        </r>
        <r>
          <rPr>
            <sz val="9"/>
            <color indexed="81"/>
            <rFont val="Tahoma"/>
            <family val="2"/>
          </rPr>
          <t xml:space="preserve">
</t>
        </r>
      </text>
    </comment>
    <comment ref="A15" authorId="0" shapeId="0" xr:uid="{79F9883F-E8B3-46B3-AB7D-05C34B98F651}">
      <text>
        <r>
          <rPr>
            <b/>
            <sz val="9"/>
            <color indexed="81"/>
            <rFont val="Tahoma"/>
            <family val="2"/>
          </rPr>
          <t>United States within the tropics</t>
        </r>
        <r>
          <rPr>
            <sz val="9"/>
            <color indexed="81"/>
            <rFont val="Tahoma"/>
            <family val="2"/>
          </rPr>
          <t xml:space="preserve">
</t>
        </r>
      </text>
    </comment>
    <comment ref="A16" authorId="0" shapeId="0" xr:uid="{BB1A01A4-3CF0-46D7-937E-7AD04FFC7C3B}">
      <text>
        <r>
          <rPr>
            <b/>
            <sz val="9"/>
            <color indexed="81"/>
            <rFont val="Tahoma"/>
            <family val="2"/>
          </rPr>
          <t>Spanish Main and islands within the tropics</t>
        </r>
        <r>
          <rPr>
            <sz val="9"/>
            <color indexed="81"/>
            <rFont val="Tahoma"/>
            <family val="2"/>
          </rPr>
          <t xml:space="preserve">
</t>
        </r>
      </text>
    </comment>
  </commentList>
</comments>
</file>

<file path=xl/comments48.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482E1719-E179-4BCB-BCA4-D529871D9A7A}">
      <text>
        <r>
          <rPr>
            <b/>
            <sz val="9"/>
            <color indexed="81"/>
            <rFont val="Tahoma"/>
            <family val="2"/>
          </rPr>
          <t xml:space="preserve">Spanish Main and islands within the tropics
</t>
        </r>
        <r>
          <rPr>
            <sz val="9"/>
            <color indexed="81"/>
            <rFont val="Tahoma"/>
            <family val="2"/>
          </rPr>
          <t xml:space="preserve">
</t>
        </r>
      </text>
    </comment>
    <comment ref="B10" authorId="0" shapeId="0" xr:uid="{50CF654F-DD84-462A-B8A2-82919ECE80D9}">
      <text>
        <r>
          <rPr>
            <sz val="9"/>
            <color indexed="81"/>
            <rFont val="Tahoma"/>
            <family val="2"/>
          </rPr>
          <t>Export table: 25,497 (diff 1,000)</t>
        </r>
      </text>
    </comment>
    <comment ref="D10" authorId="0" shapeId="0" xr:uid="{34742B84-416B-44ED-870F-7E0942B699ED}">
      <text>
        <r>
          <rPr>
            <sz val="9"/>
            <color indexed="81"/>
            <rFont val="Tahoma"/>
            <family val="2"/>
          </rPr>
          <t xml:space="preserve">Table: 1672 (diff 50)
</t>
        </r>
      </text>
    </comment>
    <comment ref="A16" authorId="0" shapeId="0" xr:uid="{D423544B-9518-4CE8-B289-F2DEA4181D47}">
      <text>
        <r>
          <rPr>
            <b/>
            <sz val="9"/>
            <color indexed="81"/>
            <rFont val="Tahoma"/>
            <family val="2"/>
          </rPr>
          <t xml:space="preserve">Spanish Main and islands within the tropics
</t>
        </r>
        <r>
          <rPr>
            <sz val="9"/>
            <color indexed="81"/>
            <rFont val="Tahoma"/>
            <family val="2"/>
          </rPr>
          <t xml:space="preserve">
</t>
        </r>
      </text>
    </comment>
    <comment ref="B19" authorId="0" shapeId="0" xr:uid="{FEED59CE-9966-4A19-A740-78F126B32E54}">
      <text>
        <r>
          <rPr>
            <sz val="9"/>
            <color indexed="81"/>
            <rFont val="Tahoma"/>
            <family val="2"/>
          </rPr>
          <t xml:space="preserve">Table: 118,767
</t>
        </r>
      </text>
    </comment>
  </commentList>
</comments>
</file>

<file path=xl/comments49.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FE1BEAA7-1EA9-46F8-A2AF-2D76A68EB9E8}">
      <text>
        <r>
          <rPr>
            <b/>
            <sz val="9"/>
            <color indexed="81"/>
            <rFont val="Tahoma"/>
            <family val="2"/>
          </rPr>
          <t>Spanish Main and islands within the tropics</t>
        </r>
        <r>
          <rPr>
            <sz val="9"/>
            <color indexed="81"/>
            <rFont val="Tahoma"/>
            <family val="2"/>
          </rPr>
          <t xml:space="preserve">
</t>
        </r>
      </text>
    </comment>
    <comment ref="A16" authorId="0" shapeId="0" xr:uid="{196BD000-1DD3-435D-89F8-CAEA46257D7F}">
      <text>
        <r>
          <rPr>
            <b/>
            <sz val="9"/>
            <color indexed="81"/>
            <rFont val="Tahoma"/>
            <family val="2"/>
          </rPr>
          <t xml:space="preserve">Spanish Main and islands within the tropics
</t>
        </r>
        <r>
          <rPr>
            <sz val="9"/>
            <color indexed="81"/>
            <rFont val="Tahoma"/>
            <family val="2"/>
          </rPr>
          <t xml:space="preserve">
</t>
        </r>
      </text>
    </comment>
  </commentList>
</comments>
</file>

<file path=xl/comments50.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8" authorId="0" shapeId="0" xr:uid="{1EA962B3-AB4A-4CD0-9B40-2B76E225415D}">
      <text>
        <r>
          <rPr>
            <b/>
            <sz val="9"/>
            <color indexed="81"/>
            <rFont val="Tahoma"/>
            <family val="2"/>
          </rPr>
          <t>Spanish Main, etc.</t>
        </r>
      </text>
    </comment>
    <comment ref="A16" authorId="0" shapeId="0" xr:uid="{C35F34B2-3319-4CB6-87B0-CF97C5AD085D}">
      <text>
        <r>
          <rPr>
            <b/>
            <sz val="9"/>
            <color indexed="81"/>
            <rFont val="Tahoma"/>
            <family val="2"/>
          </rPr>
          <t>Spanish Main, etc.</t>
        </r>
      </text>
    </comment>
  </commentList>
</comments>
</file>

<file path=xl/comments51.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F6" authorId="0" shapeId="0" xr:uid="{9A64700D-883F-4742-8CD3-51B796EFC688}">
      <text>
        <r>
          <rPr>
            <sz val="9"/>
            <color indexed="81"/>
            <rFont val="Tahoma"/>
            <family val="2"/>
          </rPr>
          <t xml:space="preserve">Br Plantations import table records as 0.5 tierce
</t>
        </r>
      </text>
    </comment>
    <comment ref="J6" authorId="0" shapeId="0" xr:uid="{2295C276-D32F-45E7-8C98-EF7045ACD5A7}">
      <text>
        <r>
          <rPr>
            <sz val="9"/>
            <color indexed="81"/>
            <rFont val="Tahoma"/>
            <family val="2"/>
          </rPr>
          <t>Br Plantations import table specifies Corn meal (barrels); general import table lists under Corn and meal (barrels)</t>
        </r>
      </text>
    </comment>
    <comment ref="S6" authorId="0" shapeId="0" xr:uid="{20EF47B9-7C5D-45EB-BA3F-32B6BCEC5A7B}">
      <text>
        <r>
          <rPr>
            <sz val="9"/>
            <color indexed="81"/>
            <rFont val="Tahoma"/>
            <family val="2"/>
          </rPr>
          <t>General import table misrecords as 13,500</t>
        </r>
      </text>
    </comment>
    <comment ref="AB6" authorId="0" shapeId="0" xr:uid="{FE68E713-D261-4429-8973-CB1962669A58}">
      <text>
        <r>
          <rPr>
            <sz val="9"/>
            <color indexed="81"/>
            <rFont val="Tahoma"/>
            <family val="2"/>
          </rPr>
          <t>General import table misreads: 1,550,377</t>
        </r>
      </text>
    </comment>
    <comment ref="A8" authorId="0" shapeId="0" xr:uid="{1970BCD5-530F-4F7B-82AF-A12C833443F7}">
      <text>
        <r>
          <rPr>
            <b/>
            <sz val="9"/>
            <color indexed="81"/>
            <rFont val="Tahoma"/>
            <family val="2"/>
          </rPr>
          <t>Spanish Main and islands within the tropics</t>
        </r>
        <r>
          <rPr>
            <sz val="9"/>
            <color indexed="81"/>
            <rFont val="Tahoma"/>
            <family val="2"/>
          </rPr>
          <t xml:space="preserve">
</t>
        </r>
      </text>
    </comment>
    <comment ref="A16" authorId="0" shapeId="0" xr:uid="{813CFA15-B066-48E0-B2C8-205FFB3792CE}">
      <text>
        <r>
          <rPr>
            <b/>
            <sz val="9"/>
            <color indexed="81"/>
            <rFont val="Tahoma"/>
            <family val="2"/>
          </rPr>
          <t>Spanish Main and islands within the tropics</t>
        </r>
      </text>
    </comment>
  </commentList>
</comments>
</file>

<file path=xl/comments52.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I6" authorId="0" shapeId="0" xr:uid="{09130D41-8F8E-4F01-8960-CB63BF6CFE0E}">
      <text>
        <r>
          <rPr>
            <sz val="9"/>
            <color indexed="81"/>
            <rFont val="Tahoma"/>
            <family val="2"/>
          </rPr>
          <t xml:space="preserve">General exports table gives as export to U.S.
</t>
        </r>
      </text>
    </comment>
    <comment ref="I7" authorId="0" shapeId="0" xr:uid="{9331DC40-765B-4DA3-B0C2-17385424D5CD}">
      <text>
        <r>
          <rPr>
            <sz val="9"/>
            <color indexed="81"/>
            <rFont val="Tahoma"/>
            <family val="2"/>
          </rPr>
          <t>General exports table gives as export to Spanish colonies</t>
        </r>
      </text>
    </comment>
    <comment ref="A8" authorId="0" shapeId="0" xr:uid="{A6FE6203-1BC0-4609-8CDE-02573BD5216F}">
      <text>
        <r>
          <rPr>
            <b/>
            <sz val="9"/>
            <color indexed="81"/>
            <rFont val="Tahoma"/>
            <family val="2"/>
          </rPr>
          <t>Spanish colonies, etc.</t>
        </r>
        <r>
          <rPr>
            <sz val="9"/>
            <color indexed="81"/>
            <rFont val="Tahoma"/>
            <family val="2"/>
          </rPr>
          <t xml:space="preserve">
</t>
        </r>
      </text>
    </comment>
    <comment ref="N10" authorId="0" shapeId="0" xr:uid="{A7DB7C90-3E32-4A3D-AA92-44B117ED9FC2}">
      <text>
        <r>
          <rPr>
            <sz val="9"/>
            <color indexed="81"/>
            <rFont val="Tahoma"/>
            <family val="2"/>
          </rPr>
          <t xml:space="preserve">General export table: 14,953,571
</t>
        </r>
      </text>
    </comment>
    <comment ref="A16" authorId="0" shapeId="0" xr:uid="{A5C5AF60-C167-4F27-A83A-E7522DDD7363}">
      <text>
        <r>
          <rPr>
            <b/>
            <sz val="9"/>
            <color indexed="81"/>
            <rFont val="Tahoma"/>
            <family val="2"/>
          </rPr>
          <t>Spanish colonies, etc.</t>
        </r>
      </text>
    </comment>
    <comment ref="M19" authorId="0" shapeId="0" xr:uid="{506E44D5-2BEC-411C-AF64-4F07EA7360F7}">
      <text>
        <r>
          <rPr>
            <sz val="9"/>
            <color indexed="81"/>
            <rFont val="Tahoma"/>
            <family val="2"/>
          </rPr>
          <t xml:space="preserve">General export table: 1124
(Kingston: 708, Outports: 316)
</t>
        </r>
      </text>
    </comment>
  </commentList>
</comments>
</file>

<file path=xl/comments53.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U1" authorId="0" shapeId="0" xr:uid="{9FAF728F-4742-4126-A19E-249E86DE4C08}">
      <text>
        <r>
          <rPr>
            <sz val="9"/>
            <color indexed="81"/>
            <rFont val="Tahoma"/>
            <family val="2"/>
          </rPr>
          <t xml:space="preserve">Table marks both as bushels
</t>
        </r>
      </text>
    </comment>
    <comment ref="A7" authorId="0" shapeId="0" xr:uid="{2276F5EE-D64C-41DF-B21A-5C4AE07516B3}">
      <text>
        <r>
          <rPr>
            <sz val="9"/>
            <color indexed="81"/>
            <rFont val="Tahoma"/>
            <family val="2"/>
          </rPr>
          <t xml:space="preserve">Table only gives Jan-Sep 1813 data
</t>
        </r>
      </text>
    </comment>
    <comment ref="A8" authorId="0" shapeId="0" xr:uid="{CBACCB08-C56F-427C-9D3F-CC11ED93C2E1}">
      <text>
        <r>
          <rPr>
            <sz val="9"/>
            <color indexed="81"/>
            <rFont val="Tahoma"/>
            <family val="2"/>
          </rPr>
          <t xml:space="preserve">Imports from the Spanish colonies and islands within the tropics
</t>
        </r>
      </text>
    </comment>
    <comment ref="A15" authorId="0" shapeId="0" xr:uid="{DFC25383-0B09-4873-8A39-0EE81FC8A714}">
      <text>
        <r>
          <rPr>
            <sz val="9"/>
            <color indexed="81"/>
            <rFont val="Tahoma"/>
            <family val="2"/>
          </rPr>
          <t xml:space="preserve">Table only gives Jan-Sep 1813 data
</t>
        </r>
      </text>
    </comment>
    <comment ref="A16" authorId="0" shapeId="0" xr:uid="{FC96778C-48DC-4075-9712-A23C6345F546}">
      <text>
        <r>
          <rPr>
            <sz val="9"/>
            <color indexed="81"/>
            <rFont val="Tahoma"/>
            <family val="2"/>
          </rPr>
          <t xml:space="preserve">Imports from the Spanish colonies and islands within the tropics
</t>
        </r>
      </text>
    </comment>
  </commentList>
</comments>
</file>

<file path=xl/comments54.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E14" authorId="0" shapeId="0" xr:uid="{3C91052D-F268-4D94-A251-093E1EC22456}">
      <text>
        <r>
          <rPr>
            <sz val="9"/>
            <color indexed="81"/>
            <rFont val="Tahoma"/>
            <family val="2"/>
          </rPr>
          <t xml:space="preserve">General exports table: 2,596 (final figures transposition)
</t>
        </r>
      </text>
    </comment>
  </commentList>
</comments>
</file>

<file path=xl/comments55.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C15" authorId="0" shapeId="0" xr:uid="{0AC8B37B-71A6-4CAD-BE9E-0DFA0CDF846A}">
      <text>
        <r>
          <rPr>
            <sz val="9"/>
            <color indexed="81"/>
            <rFont val="Tahoma"/>
            <family val="2"/>
          </rPr>
          <t xml:space="preserve">US Export Table: 13
</t>
        </r>
      </text>
    </comment>
  </commentList>
</comments>
</file>

<file path=xl/comments56.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B10" authorId="0" shapeId="0" xr:uid="{DA312EEB-BF2A-48CB-93FA-2DC3A160B1F8}">
      <text>
        <r>
          <rPr>
            <sz val="9"/>
            <color indexed="81"/>
            <rFont val="Tahoma"/>
            <family val="2"/>
          </rPr>
          <t xml:space="preserve">Table total 23,676 (amounts for Br Plantations and US match respective subtables)
</t>
        </r>
      </text>
    </comment>
    <comment ref="B19" authorId="0" shapeId="0" xr:uid="{E4CA820C-EFFF-4140-8964-0D4AE0387A47}">
      <text>
        <r>
          <rPr>
            <sz val="9"/>
            <color indexed="81"/>
            <rFont val="Tahoma"/>
            <family val="2"/>
          </rPr>
          <t xml:space="preserve">Table total: 104,457
</t>
        </r>
      </text>
    </comment>
  </commentList>
</comments>
</file>

<file path=xl/comments57.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J6" authorId="0" shapeId="0" xr:uid="{4B38F9E3-CE61-4B2A-B9FB-068DCD9A8DC7}">
      <text>
        <r>
          <rPr>
            <sz val="9"/>
            <color indexed="81"/>
            <rFont val="Tahoma"/>
            <family val="2"/>
          </rPr>
          <t xml:space="preserve">Exports to British colonies table misses off figure for exports from Kingston (total exports to Br colonies = 3)
</t>
        </r>
      </text>
    </comment>
    <comment ref="J18" authorId="0" shapeId="0" xr:uid="{B63CFF8C-E562-4786-93CF-18037BEF3E22}">
      <text>
        <r>
          <rPr>
            <sz val="9"/>
            <color indexed="81"/>
            <rFont val="Tahoma"/>
            <family val="2"/>
          </rPr>
          <t xml:space="preserve">General table misaddds: 1130
</t>
        </r>
      </text>
    </comment>
    <comment ref="J19" authorId="0" shapeId="0" xr:uid="{67C72B72-FCF1-4904-A6D0-90C586BFB91A}">
      <text>
        <r>
          <rPr>
            <sz val="9"/>
            <color indexed="81"/>
            <rFont val="Tahoma"/>
            <family val="2"/>
          </rPr>
          <t>General table: 1,470</t>
        </r>
      </text>
    </comment>
  </commentList>
</comments>
</file>

<file path=xl/comments58.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C1" authorId="0" shapeId="0" xr:uid="{8C575A9F-F34E-4FC9-87F9-110966AFA83D}">
      <text>
        <r>
          <rPr>
            <sz val="9"/>
            <color indexed="81"/>
            <rFont val="Tahoma"/>
            <family val="2"/>
          </rPr>
          <t>Table separates into Hyson, Souchong, Congo, Bohea, Twankay, and Pekoe
Assumed origin GB</t>
        </r>
      </text>
    </comment>
    <comment ref="AC11" authorId="0" shapeId="0" xr:uid="{9BF3B2EC-D50E-42AC-9622-8B2DDFEC9699}">
      <text>
        <r>
          <rPr>
            <sz val="9"/>
            <color indexed="81"/>
            <rFont val="Tahoma"/>
            <family val="2"/>
          </rPr>
          <t>Only 'Hyson' tea</t>
        </r>
      </text>
    </comment>
    <comment ref="P19" authorId="0" shapeId="0" xr:uid="{29F7D5AF-2F28-4D3D-9B6F-AF8112EEB04B}">
      <text>
        <r>
          <rPr>
            <sz val="9"/>
            <color indexed="81"/>
            <rFont val="Tahoma"/>
            <family val="2"/>
          </rPr>
          <t xml:space="preserve">Imports from British colonies table: 327 + 2 = 389 (probably mistranscription)
</t>
        </r>
      </text>
    </comment>
  </commentList>
</comments>
</file>

<file path=xl/comments59.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E15" authorId="0" shapeId="0" xr:uid="{EB20047C-D4C8-4212-B70D-D6B91FDD9848}">
      <text>
        <r>
          <rPr>
            <sz val="9"/>
            <color indexed="81"/>
            <rFont val="Tahoma"/>
            <family val="2"/>
          </rPr>
          <t xml:space="preserve">Exports to USA table = 19426 (possibly missing 113 on British bottoms)
</t>
        </r>
      </text>
    </comment>
  </commentList>
</comments>
</file>

<file path=xl/comments60.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J7" authorId="0" shapeId="0" xr:uid="{D2C9946E-7234-4155-BFF1-04593776E4DD}">
      <text>
        <r>
          <rPr>
            <sz val="9"/>
            <color indexed="81"/>
            <rFont val="Tahoma"/>
            <family val="2"/>
          </rPr>
          <t xml:space="preserve">General export table reads 996
</t>
        </r>
      </text>
    </comment>
    <comment ref="D14" authorId="0" shapeId="0" xr:uid="{C60805D9-EEC7-4025-BF83-740530E078CC}">
      <text>
        <r>
          <rPr>
            <sz val="9"/>
            <color indexed="81"/>
            <rFont val="Tahoma"/>
            <family val="2"/>
          </rPr>
          <t xml:space="preserve">General import table = 0
</t>
        </r>
      </text>
    </comment>
    <comment ref="E14" authorId="0" shapeId="0" xr:uid="{D82697C3-331F-4E05-8A02-4B2ACA962DE2}">
      <text>
        <r>
          <rPr>
            <sz val="9"/>
            <color indexed="81"/>
            <rFont val="Tahoma"/>
            <family val="2"/>
          </rPr>
          <t xml:space="preserve">General import table = 745
</t>
        </r>
      </text>
    </comment>
  </commentList>
</comments>
</file>

<file path=xl/comments61.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7" authorId="0" shapeId="0" xr:uid="{B9E00E9A-6E6E-4D74-8C04-C5297A2BCEF1}">
      <text>
        <r>
          <rPr>
            <b/>
            <sz val="9"/>
            <color indexed="81"/>
            <rFont val="Tahoma"/>
            <family val="2"/>
          </rPr>
          <t>American + British bottoms</t>
        </r>
      </text>
    </comment>
    <comment ref="A15" authorId="0" shapeId="0" xr:uid="{FFAED9BC-5FA8-4F09-A8F6-5E2957F7F7B7}">
      <text>
        <r>
          <rPr>
            <b/>
            <sz val="9"/>
            <color indexed="81"/>
            <rFont val="Tahoma"/>
            <family val="2"/>
          </rPr>
          <t>American + British bottoms</t>
        </r>
      </text>
    </comment>
  </commentList>
</comments>
</file>

<file path=xl/comments62.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L1" authorId="0" shapeId="0" xr:uid="{EE24381C-B0E0-4DA1-BEC4-43BDC7B153E7}">
      <text>
        <r>
          <rPr>
            <b/>
            <sz val="9"/>
            <color indexed="81"/>
            <rFont val="Tahoma"/>
            <family val="2"/>
          </rPr>
          <t>Only recorded on tables listing exports to HM's colonies &amp; the USA</t>
        </r>
        <r>
          <rPr>
            <sz val="9"/>
            <color indexed="81"/>
            <rFont val="Tahoma"/>
            <family val="2"/>
          </rPr>
          <t xml:space="preserve">
</t>
        </r>
      </text>
    </comment>
  </commentList>
</comments>
</file>

<file path=xl/comments63.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D1" authorId="0" shapeId="0" xr:uid="{7099D376-E2C8-465A-A116-5CF098317C32}">
      <text>
        <r>
          <rPr>
            <b/>
            <sz val="9"/>
            <color indexed="81"/>
            <rFont val="Tahoma"/>
            <family val="2"/>
          </rPr>
          <t>incl. half-barrels</t>
        </r>
        <r>
          <rPr>
            <sz val="9"/>
            <color indexed="81"/>
            <rFont val="Tahoma"/>
            <family val="2"/>
          </rPr>
          <t xml:space="preserve">
</t>
        </r>
      </text>
    </comment>
    <comment ref="F1" authorId="0" shapeId="0" xr:uid="{20CCC27C-2DC8-49F5-B183-583BB882B7C1}">
      <text>
        <r>
          <rPr>
            <b/>
            <sz val="9"/>
            <color indexed="81"/>
            <rFont val="Tahoma"/>
            <family val="2"/>
          </rPr>
          <t xml:space="preserve">incl. half-barrels
</t>
        </r>
        <r>
          <rPr>
            <sz val="9"/>
            <color indexed="81"/>
            <rFont val="Tahoma"/>
            <family val="2"/>
          </rPr>
          <t xml:space="preserve">
</t>
        </r>
      </text>
    </comment>
    <comment ref="I1" authorId="0" shapeId="0" xr:uid="{5885EBB4-B63E-4034-AE45-76508DB1E1C0}">
      <text>
        <r>
          <rPr>
            <b/>
            <sz val="9"/>
            <color indexed="81"/>
            <rFont val="Tahoma"/>
            <family val="2"/>
          </rPr>
          <t>incl. half-tierces</t>
        </r>
        <r>
          <rPr>
            <sz val="9"/>
            <color indexed="81"/>
            <rFont val="Tahoma"/>
            <family val="2"/>
          </rPr>
          <t xml:space="preserve">
</t>
        </r>
      </text>
    </comment>
    <comment ref="K1" authorId="0" shapeId="0" xr:uid="{321062DE-7BC8-4184-A67E-8C3270445564}">
      <text>
        <r>
          <rPr>
            <b/>
            <sz val="9"/>
            <color indexed="81"/>
            <rFont val="Tahoma"/>
            <family val="2"/>
          </rPr>
          <t>incl. barrels and half-barrels</t>
        </r>
        <r>
          <rPr>
            <sz val="9"/>
            <color indexed="81"/>
            <rFont val="Tahoma"/>
            <family val="2"/>
          </rPr>
          <t xml:space="preserve">
</t>
        </r>
      </text>
    </comment>
    <comment ref="O1" authorId="0" shapeId="0" xr:uid="{B16F9391-8DF9-4551-BDBF-33CC5805048B}">
      <text>
        <r>
          <rPr>
            <b/>
            <sz val="9"/>
            <color indexed="81"/>
            <rFont val="Tahoma"/>
            <family val="2"/>
          </rPr>
          <t>incl. half-barrles</t>
        </r>
        <r>
          <rPr>
            <sz val="9"/>
            <color indexed="81"/>
            <rFont val="Tahoma"/>
            <family val="2"/>
          </rPr>
          <t xml:space="preserve">
</t>
        </r>
      </text>
    </comment>
    <comment ref="P1" authorId="0" shapeId="0" xr:uid="{A2957C46-FFB0-4B5D-BEBF-AF1124BC4131}">
      <text>
        <r>
          <rPr>
            <sz val="9"/>
            <color indexed="81"/>
            <rFont val="Tahoma"/>
            <family val="2"/>
          </rPr>
          <t xml:space="preserve">incl. half-barrels
</t>
        </r>
      </text>
    </comment>
    <comment ref="Q1" authorId="0" shapeId="0" xr:uid="{5A0B63A7-F90D-46BA-B073-70089A421B21}">
      <text>
        <r>
          <rPr>
            <b/>
            <sz val="9"/>
            <color indexed="81"/>
            <rFont val="Tahoma"/>
            <family val="2"/>
          </rPr>
          <t>incl. half-firkins</t>
        </r>
        <r>
          <rPr>
            <sz val="9"/>
            <color indexed="81"/>
            <rFont val="Tahoma"/>
            <family val="2"/>
          </rPr>
          <t xml:space="preserve">
</t>
        </r>
      </text>
    </comment>
    <comment ref="AA1" authorId="0" shapeId="0" xr:uid="{3ED62AF6-5243-483E-9ACC-B9D511302807}">
      <text>
        <r>
          <rPr>
            <sz val="9"/>
            <color indexed="81"/>
            <rFont val="Tahoma"/>
            <family val="2"/>
          </rPr>
          <t xml:space="preserve">Table gives unit as 'thousands' (probably mistakenly)
</t>
        </r>
      </text>
    </comment>
    <comment ref="AB1" authorId="0" shapeId="0" xr:uid="{2D169A9C-9D7E-44E8-8FB4-A3A336C44D9C}">
      <text>
        <r>
          <rPr>
            <sz val="9"/>
            <color indexed="81"/>
            <rFont val="Tahoma"/>
            <family val="2"/>
          </rPr>
          <t xml:space="preserve">Table gives unit as 'thousands' (probably mistakenly)
</t>
        </r>
      </text>
    </comment>
    <comment ref="A7" authorId="0" shapeId="0" xr:uid="{44113EC3-E5A7-41F3-A1BD-DE33222C5D5A}">
      <text>
        <r>
          <rPr>
            <b/>
            <sz val="9"/>
            <color indexed="81"/>
            <rFont val="Tahoma"/>
            <family val="2"/>
          </rPr>
          <t xml:space="preserve">American + British bottoms
</t>
        </r>
        <r>
          <rPr>
            <sz val="9"/>
            <color indexed="81"/>
            <rFont val="Tahoma"/>
            <family val="2"/>
          </rPr>
          <t>These numbers are higher than those in Schedule No. 2</t>
        </r>
      </text>
    </comment>
    <comment ref="A15" authorId="0" shapeId="0" xr:uid="{693928CB-7155-469A-90A5-FC3A921EC39F}">
      <text>
        <r>
          <rPr>
            <b/>
            <sz val="9"/>
            <color indexed="81"/>
            <rFont val="Tahoma"/>
            <family val="2"/>
          </rPr>
          <t>American + British bottoms</t>
        </r>
      </text>
    </comment>
  </commentList>
</comments>
</file>

<file path=xl/comments64.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O1" authorId="0" shapeId="0" xr:uid="{D2C5DDE0-9D57-4BD7-82E5-6AB9776C6F84}">
      <text>
        <r>
          <rPr>
            <b/>
            <sz val="9"/>
            <color indexed="81"/>
            <rFont val="Tahoma"/>
            <family val="2"/>
          </rPr>
          <t>This and commodities to the left only given for exports to HM's colonies</t>
        </r>
        <r>
          <rPr>
            <sz val="9"/>
            <color indexed="81"/>
            <rFont val="Tahoma"/>
            <family val="2"/>
          </rPr>
          <t xml:space="preserve">
</t>
        </r>
      </text>
    </comment>
  </commentList>
</comments>
</file>

<file path=xl/comments65.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F1" authorId="0" shapeId="0" xr:uid="{B5A4DDF2-9A41-427F-82E2-E93F5CC3B51B}">
      <text>
        <r>
          <rPr>
            <b/>
            <sz val="9"/>
            <color indexed="81"/>
            <rFont val="Tahoma"/>
            <family val="2"/>
          </rPr>
          <t>Tierces + half-tierces</t>
        </r>
        <r>
          <rPr>
            <sz val="9"/>
            <color indexed="81"/>
            <rFont val="Tahoma"/>
            <family val="2"/>
          </rPr>
          <t xml:space="preserve">
</t>
        </r>
      </text>
    </comment>
    <comment ref="AI1" authorId="0" shapeId="0" xr:uid="{FA992F89-12AF-4CDB-98F5-369AFA91A927}">
      <text>
        <r>
          <rPr>
            <sz val="9"/>
            <color indexed="81"/>
            <rFont val="Tahoma"/>
            <family val="2"/>
          </rPr>
          <t xml:space="preserve">Table gives unit as 'thousands' (probably mistakenly)
</t>
        </r>
      </text>
    </comment>
    <comment ref="AJ1" authorId="0" shapeId="0" xr:uid="{DC4CDF85-2E2C-4AE4-BE8C-C35DBECF0020}">
      <text>
        <r>
          <rPr>
            <sz val="9"/>
            <color indexed="81"/>
            <rFont val="Tahoma"/>
            <family val="2"/>
          </rPr>
          <t xml:space="preserve">Table gives unit as 'thousands' (probably mistakenly)
</t>
        </r>
      </text>
    </comment>
    <comment ref="A7" authorId="0" shapeId="0" xr:uid="{7BC2EBB6-3F62-4F29-8CB2-76079A3F488F}">
      <text>
        <r>
          <rPr>
            <b/>
            <sz val="9"/>
            <color indexed="81"/>
            <rFont val="Tahoma"/>
            <family val="2"/>
          </rPr>
          <t>American + British bottoms</t>
        </r>
      </text>
    </comment>
    <comment ref="A15" authorId="0" shapeId="0" xr:uid="{ABD1C966-F8A9-4AE4-A98F-42185CBAF627}">
      <text>
        <r>
          <rPr>
            <b/>
            <sz val="9"/>
            <color indexed="81"/>
            <rFont val="Tahoma"/>
            <family val="2"/>
          </rPr>
          <t>American + British bottoms</t>
        </r>
      </text>
    </comment>
  </commentList>
</comments>
</file>

<file path=xl/comments66.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19" authorId="0" shapeId="0" xr:uid="{18F87EC8-C215-4710-9108-F5B87118EA95}">
      <text>
        <r>
          <rPr>
            <i/>
            <sz val="9"/>
            <color indexed="81"/>
            <rFont val="Tahoma"/>
            <family val="2"/>
          </rPr>
          <t>N.B. 714 horned cattle; 1384 mules; 169 horses; and 82 asses, imported in six months preceding 1st July 1799</t>
        </r>
        <r>
          <rPr>
            <sz val="9"/>
            <color indexed="81"/>
            <rFont val="Tahoma"/>
            <family val="2"/>
          </rPr>
          <t xml:space="preserve">
</t>
        </r>
      </text>
    </comment>
  </commentList>
</comments>
</file>

<file path=xl/comments67.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5" authorId="0" shapeId="0" xr:uid="{A7C8199E-CCD7-49E8-B082-C2569F2FAD75}">
      <text>
        <r>
          <rPr>
            <sz val="9"/>
            <color indexed="81"/>
            <rFont val="Tahoma"/>
            <family val="2"/>
          </rPr>
          <t xml:space="preserve">British N American ports, New Providence, Bermuda, Turk's Island, Grand Caymanas, Honduras
</t>
        </r>
      </text>
    </comment>
    <comment ref="A6" authorId="0" shapeId="0" xr:uid="{77A45B5F-41DA-4024-A67E-E7C3A652C911}">
      <text>
        <r>
          <rPr>
            <sz val="9"/>
            <color indexed="81"/>
            <rFont val="Tahoma"/>
            <family val="2"/>
          </rPr>
          <t>St Andreas, Jeremie, Cape Nichola Mole, St. Mare, Port-au-Prince</t>
        </r>
      </text>
    </comment>
  </commentList>
</comments>
</file>

<file path=xl/comments68.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1" authorId="0" shapeId="0" xr:uid="{4601DDA6-40AC-440E-AEA5-CA47260D6ADF}">
      <text>
        <r>
          <rPr>
            <sz val="9"/>
            <color indexed="81"/>
            <rFont val="Tahoma"/>
            <family val="2"/>
          </rPr>
          <t>Account of sundries, the growth, produce, or manufacture of the West-India islands and southern continent of America, imported under the authority of the free-port act, or under the terms of submission of part of St Domingo to his majesty's government, and afterwards exported, from the 1st Oct 1796 to the 30th Sep 1797, distinguishing to what places shipped</t>
        </r>
      </text>
    </comment>
    <comment ref="A6" authorId="0" shapeId="0" xr:uid="{718F96FE-D5BC-43FF-8A3C-660ADBE49B10}">
      <text>
        <r>
          <rPr>
            <sz val="9"/>
            <color indexed="81"/>
            <rFont val="Tahoma"/>
            <family val="2"/>
          </rPr>
          <t xml:space="preserve">Not including prize goods and 678,990lbs of coffee remaining to be shipped
</t>
        </r>
      </text>
    </comment>
  </commentList>
</comments>
</file>

<file path=xl/comments69.xml><?xml version="1.0" encoding="utf-8"?>
<comments xmlns="http://schemas.openxmlformats.org/spreadsheetml/2006/main" xmlns:mc="http://schemas.openxmlformats.org/markup-compatibility/2006" xmlns:xr="http://schemas.microsoft.com/office/spreadsheetml/2014/revision" mc:Ignorable="xr">
  <authors>
    <author>Emilie Lavallee</author>
  </authors>
  <commentList>
    <comment ref="A4" authorId="0" shapeId="0" xr:uid="{F731EEA2-9872-435F-82A9-F4D6AD77EBAD}">
      <text>
        <r>
          <rPr>
            <b/>
            <sz val="9"/>
            <color indexed="81"/>
            <rFont val="Tahoma"/>
            <family val="2"/>
          </rPr>
          <t>In N America &amp; St Domingo + Africa</t>
        </r>
        <r>
          <rPr>
            <sz val="9"/>
            <color indexed="81"/>
            <rFont val="Tahoma"/>
            <family val="2"/>
          </rPr>
          <t xml:space="preserve">
</t>
        </r>
      </text>
    </comment>
    <comment ref="C5" authorId="0" shapeId="0" xr:uid="{7886F52E-E041-4065-AF81-10F4B7333ADC}">
      <text>
        <r>
          <rPr>
            <b/>
            <sz val="9"/>
            <color indexed="81"/>
            <rFont val="Tahoma"/>
            <family val="2"/>
          </rPr>
          <t>Total 692 in table</t>
        </r>
        <r>
          <rPr>
            <sz val="9"/>
            <color indexed="81"/>
            <rFont val="Tahoma"/>
            <family val="2"/>
          </rPr>
          <t xml:space="preserve">
</t>
        </r>
      </text>
    </comment>
    <comment ref="I5" authorId="0" shapeId="0" xr:uid="{8F92A0A8-5952-4FCC-8A03-98CF8271861F}">
      <text>
        <r>
          <rPr>
            <sz val="9"/>
            <color indexed="81"/>
            <rFont val="Tahoma"/>
            <family val="2"/>
          </rPr>
          <t xml:space="preserve">Total 1229 in table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4213DBF-388B-49B1-AD3A-3DE793AAE5FD}" keepAlive="1" name="Query - Table10" description="Connection to the 'Table10' query in the workbook." type="5" refreshedVersion="7" background="1" saveData="1">
    <dbPr connection="Provider=Microsoft.Mashup.OleDb.1;Data Source=$Workbook$;Location=Table10;Extended Properties=&quot;&quot;" command="SELECT * FROM [Table10]"/>
  </connection>
</connections>
</file>

<file path=xl/sharedStrings.xml><?xml version="1.0" encoding="utf-8"?>
<sst xmlns="http://schemas.openxmlformats.org/spreadsheetml/2006/main" count="83556" uniqueCount="681">
  <si>
    <t>Kingston: from/to GB</t>
  </si>
  <si>
    <t>Kingston: from/to Ireland</t>
  </si>
  <si>
    <t>Kingston: from/to Europe</t>
  </si>
  <si>
    <t>Kingston: from/to Br Plantations</t>
  </si>
  <si>
    <t>Kingston: from/to US</t>
  </si>
  <si>
    <t>Kingston: from/to Spanish Main</t>
  </si>
  <si>
    <t>Kingston: from/to Foreign Plantations</t>
  </si>
  <si>
    <t>Kingston: Total</t>
  </si>
  <si>
    <t>Outports: from/to GB</t>
  </si>
  <si>
    <t>Outports: from/to Ireland</t>
  </si>
  <si>
    <t>Outports: from/to Br Plantations</t>
  </si>
  <si>
    <t>Outports: from/to US</t>
  </si>
  <si>
    <t>Outports: from/to Spanish Main</t>
  </si>
  <si>
    <t>Outports: from/to Foreign Plantations</t>
  </si>
  <si>
    <t>Outports: Total</t>
  </si>
  <si>
    <t>Total</t>
  </si>
  <si>
    <t>Kingston</t>
  </si>
  <si>
    <t>Outports</t>
  </si>
  <si>
    <t>GB</t>
  </si>
  <si>
    <t>From</t>
  </si>
  <si>
    <t>To</t>
  </si>
  <si>
    <t>Ireland</t>
  </si>
  <si>
    <t>Europe</t>
  </si>
  <si>
    <t>US</t>
  </si>
  <si>
    <t>Br Plantations</t>
  </si>
  <si>
    <t>Foreign Plantations</t>
  </si>
  <si>
    <t>Import</t>
  </si>
  <si>
    <t>Export</t>
  </si>
  <si>
    <t>Beef (barrels)</t>
  </si>
  <si>
    <t>Beef (half barrels)</t>
  </si>
  <si>
    <t>Beef and pork (barrels)</t>
  </si>
  <si>
    <t>Beer and cider (gallons)</t>
  </si>
  <si>
    <t>Beer and cider (tuns)</t>
  </si>
  <si>
    <t>Boards and timber (feet)</t>
  </si>
  <si>
    <t>Brandy (gallons)</t>
  </si>
  <si>
    <t>Bread (bags)</t>
  </si>
  <si>
    <t>Bread (barrels)</t>
  </si>
  <si>
    <t>Bread (cwt)</t>
  </si>
  <si>
    <t>Bread (half barrels)</t>
  </si>
  <si>
    <t>Bread (kegs)</t>
  </si>
  <si>
    <t>Bread (lb)</t>
  </si>
  <si>
    <t>Bread (quarters)</t>
  </si>
  <si>
    <t>Bread (quintals)</t>
  </si>
  <si>
    <t>Bread and flour (barrels)</t>
  </si>
  <si>
    <t>Bread and flour (kegs)</t>
  </si>
  <si>
    <t>Butter (firkins)</t>
  </si>
  <si>
    <t>Butter (half firkins)</t>
  </si>
  <si>
    <t>Butter (lb)</t>
  </si>
  <si>
    <t>Candles (boxes)</t>
  </si>
  <si>
    <t>Candles (lb)</t>
  </si>
  <si>
    <t>Casks</t>
  </si>
  <si>
    <t>Cedar posts</t>
  </si>
  <si>
    <t>Corn (bushels and barrels)</t>
  </si>
  <si>
    <t>Corn (bushels)</t>
  </si>
  <si>
    <t>Corn (casks)</t>
  </si>
  <si>
    <t>Corn meal (barrels)</t>
  </si>
  <si>
    <t>Corn meal (hogsheads)</t>
  </si>
  <si>
    <t>Corn meal and flour (barrels)</t>
  </si>
  <si>
    <t>Corn meal and flour (hogsheads)</t>
  </si>
  <si>
    <t>Fish (half barrels)</t>
  </si>
  <si>
    <t>Fish (kits)</t>
  </si>
  <si>
    <t>Fish (tierces)</t>
  </si>
  <si>
    <t>Flour (barrels)</t>
  </si>
  <si>
    <t>Gin (gallons)</t>
  </si>
  <si>
    <t>Handspikes</t>
  </si>
  <si>
    <t>Herrings (barrels)</t>
  </si>
  <si>
    <t>Hoops</t>
  </si>
  <si>
    <t>House frames</t>
  </si>
  <si>
    <t>Iron (tons)</t>
  </si>
  <si>
    <t>Livestock: asses</t>
  </si>
  <si>
    <t>Livestock: cattle</t>
  </si>
  <si>
    <t>Livestock: horses</t>
  </si>
  <si>
    <t>Livestock: mules</t>
  </si>
  <si>
    <t>Livestock: oxen</t>
  </si>
  <si>
    <t>Logwood (tons)</t>
  </si>
  <si>
    <t>Lumber (feet)</t>
  </si>
  <si>
    <t>Mahogany (boards)</t>
  </si>
  <si>
    <t>Mahogany (feet)</t>
  </si>
  <si>
    <t>Mahogany (logs)</t>
  </si>
  <si>
    <t>Mahogany (planks)</t>
  </si>
  <si>
    <t>Masts</t>
  </si>
  <si>
    <t>Oil (barrels)</t>
  </si>
  <si>
    <t>Oil (casks)</t>
  </si>
  <si>
    <t>Onions (lb)</t>
  </si>
  <si>
    <t>Ox-bows and yokes</t>
  </si>
  <si>
    <t>Pease (barrels)</t>
  </si>
  <si>
    <t>Pease (bushels)</t>
  </si>
  <si>
    <t>Pease (casks)</t>
  </si>
  <si>
    <t>Pilchards (barrels)</t>
  </si>
  <si>
    <t>Pork (barrels)</t>
  </si>
  <si>
    <t>Pork (half barrels)</t>
  </si>
  <si>
    <t>Potatoes (bushels)</t>
  </si>
  <si>
    <t>Potatoes (casks)</t>
  </si>
  <si>
    <t>Punchpacks</t>
  </si>
  <si>
    <t>Rice (bags)</t>
  </si>
  <si>
    <t>Rice (barrels)</t>
  </si>
  <si>
    <t>Rice (casks and bags)</t>
  </si>
  <si>
    <t>Rice (half tierces)</t>
  </si>
  <si>
    <t>Rice (lb)</t>
  </si>
  <si>
    <t>Rice (tierces)</t>
  </si>
  <si>
    <t>Salt (bushels)</t>
  </si>
  <si>
    <t>Shingles</t>
  </si>
  <si>
    <t>Soap (boxes)</t>
  </si>
  <si>
    <t>Soap (lb)</t>
  </si>
  <si>
    <t>Spars</t>
  </si>
  <si>
    <t>Staves (red oak)</t>
  </si>
  <si>
    <t>Staves (white oak)</t>
  </si>
  <si>
    <t>Staves and heading</t>
  </si>
  <si>
    <t>Tar (barrels)</t>
  </si>
  <si>
    <t>Tea (lb)</t>
  </si>
  <si>
    <t>Tobacco (lb)</t>
  </si>
  <si>
    <t>Turpentine (gallons)</t>
  </si>
  <si>
    <t>Wines (gallons)</t>
  </si>
  <si>
    <t>Wines (tuns)</t>
  </si>
  <si>
    <t>Arrow root (barrels)</t>
  </si>
  <si>
    <t>Arrow root (casks)</t>
  </si>
  <si>
    <t>Arrow root (kegs)</t>
  </si>
  <si>
    <t>Brandy (casks)</t>
  </si>
  <si>
    <t>Cabinet wood (pieces)</t>
  </si>
  <si>
    <t>Cedar (logs)</t>
  </si>
  <si>
    <t>Coals (casks)</t>
  </si>
  <si>
    <t>Coffee (bags)</t>
  </si>
  <si>
    <t>Coffee (barrels)</t>
  </si>
  <si>
    <t>Coffee (casks)</t>
  </si>
  <si>
    <t>Coffee (lb)</t>
  </si>
  <si>
    <t>Coffee (tierces)</t>
  </si>
  <si>
    <t>Cordage (coils)</t>
  </si>
  <si>
    <t>Cotton (bales)</t>
  </si>
  <si>
    <t>Ebony (tons)</t>
  </si>
  <si>
    <t>Fustic (tons)</t>
  </si>
  <si>
    <t>Ginger (bags)</t>
  </si>
  <si>
    <t>Ginger (barrels)</t>
  </si>
  <si>
    <t>Ginger (casks)</t>
  </si>
  <si>
    <t>Hides</t>
  </si>
  <si>
    <t xml:space="preserve">Lancewood spars </t>
  </si>
  <si>
    <t>Lignum vitae (tons)</t>
  </si>
  <si>
    <t>Lime juice (casks)</t>
  </si>
  <si>
    <t>Lime juice (puncheons)</t>
  </si>
  <si>
    <t>Mahogany and cedar (logs)</t>
  </si>
  <si>
    <t>Molasses (casks)</t>
  </si>
  <si>
    <t>Molasses (puncheons)</t>
  </si>
  <si>
    <t>Nicaragua wood (tons)</t>
  </si>
  <si>
    <t>Pimento (bags)</t>
  </si>
  <si>
    <t>Pimento (barrels)</t>
  </si>
  <si>
    <t>Pimento (casks)</t>
  </si>
  <si>
    <t>Pimento (lb)</t>
  </si>
  <si>
    <t>Provisions (barrels)</t>
  </si>
  <si>
    <t>Rum (casks)</t>
  </si>
  <si>
    <t>Rum (hogsheads)</t>
  </si>
  <si>
    <t>Rum (kegs)</t>
  </si>
  <si>
    <t>Rum (puncheons)</t>
  </si>
  <si>
    <t>Sail canvas (pieces)</t>
  </si>
  <si>
    <t>Salt (barrels)</t>
  </si>
  <si>
    <t>Slaves</t>
  </si>
  <si>
    <t>Sugar (barrels)</t>
  </si>
  <si>
    <t>Sugar (hogsheads)</t>
  </si>
  <si>
    <t>Sugar (tierces)</t>
  </si>
  <si>
    <t>Sweet meats (packages)</t>
  </si>
  <si>
    <t>Wine (hogsheads)</t>
  </si>
  <si>
    <t>Wine (quarter casks)</t>
  </si>
  <si>
    <t>GB &amp; Ireland</t>
  </si>
  <si>
    <t>Commodity</t>
  </si>
  <si>
    <t>Notes</t>
  </si>
  <si>
    <t>#</t>
  </si>
  <si>
    <t>Outports: from/to GB &amp; Ireland</t>
  </si>
  <si>
    <t>Bread</t>
  </si>
  <si>
    <t>Cwt</t>
  </si>
  <si>
    <t>Qrtr</t>
  </si>
  <si>
    <t>Lbs</t>
  </si>
  <si>
    <t>Kingston: from/to GB &amp; Ireland</t>
  </si>
  <si>
    <t>1 cwt (imp. hundredweight) = 4 quarters = 112 lbs
1 quarter = 28 lbs</t>
  </si>
  <si>
    <t>Wine (pipes)</t>
  </si>
  <si>
    <t>Livestock: sheep and hogs</t>
  </si>
  <si>
    <t>Enter</t>
  </si>
  <si>
    <t>VHA</t>
  </si>
  <si>
    <t>An account of all the articles imported into this island from his majesty's colonies in America</t>
  </si>
  <si>
    <t>Articles exported to his majesty's colonies</t>
  </si>
  <si>
    <t>Account of horses, mules, &amp;c imported into this island</t>
  </si>
  <si>
    <t>Produce exported to the United States</t>
  </si>
  <si>
    <t>An account of the provisions, lumber, &amp;c imported into this island from the United States of America</t>
  </si>
  <si>
    <t>Imports to the island of Jamaica from his majesty's colonies in America</t>
  </si>
  <si>
    <t>Folder</t>
  </si>
  <si>
    <t>Account of produce exported from the island of Jamaica to the United States of America</t>
  </si>
  <si>
    <t>Account of the provisions and lumber imported into the island of Jamaica from the United States of America</t>
  </si>
  <si>
    <t>List of horses, mules, &amp;c imported into the island of Jamaica</t>
  </si>
  <si>
    <t>Account of the tonnage of vessels which have traded to the island of Jamaica, and of all sugar-vessels trading round the island</t>
  </si>
  <si>
    <t>Account of all the provisions and lumber imported into this island from the United States of America</t>
  </si>
  <si>
    <t>Account of all the provisions and lumber imported into this island from the United States of America, in British vessels</t>
  </si>
  <si>
    <t>Exports to the United States of America, in British vessels</t>
  </si>
  <si>
    <t>Exports to the United States, in America vessels</t>
  </si>
  <si>
    <t>Account of sugar, rum, &amp;c, exported from this island</t>
  </si>
  <si>
    <t>Exports to his majesty's colonies in America</t>
  </si>
  <si>
    <t>Account of the tonnage of all vessels trading to this island, and of all droggers trading round this island</t>
  </si>
  <si>
    <t>Schedule No. 1: An account of the total import from North-America into the British West-Indian islands, in the years 1771, 1772, and 1773</t>
  </si>
  <si>
    <t>Schedule No. 2: An account of the provisions imported into this island from the United States of America, in British bottoms</t>
  </si>
  <si>
    <t>Schedule No. 2: An account of the provisions imported into this island from his majesty's colonies in America</t>
  </si>
  <si>
    <t>Schedule No. 3: An account of the different articles exported from this island to the United States of America, in American bottoms</t>
  </si>
  <si>
    <t>Schedule No. 3: An account of the different articles exported from this island to his majesty's colonies in America</t>
  </si>
  <si>
    <t>Account of horses, mules, &amp;c imported into the island of Jamaica</t>
  </si>
  <si>
    <t>Account of herrings imported into the island of Jamaica from Great-Britain and Ireland</t>
  </si>
  <si>
    <t>Account of sugar, rum, &amp;c, exported from the island of Jamaica</t>
  </si>
  <si>
    <t>Exports from the island of Jamaica to the British plantations</t>
  </si>
  <si>
    <t>Account of the tonnage of vessels trading to and within the island of Jamaica</t>
  </si>
  <si>
    <t>Account of provisions and lumber imported into the island of Jamaica from the British plantations</t>
  </si>
  <si>
    <t>Account of provisions and lumber imported into the island of Jamaica from the United States of America</t>
  </si>
  <si>
    <t>Exports from the island of Jamaica to the United States of America</t>
  </si>
  <si>
    <t>Account of the provisions imported into the island of Jamaica, from the British plantations</t>
  </si>
  <si>
    <t>Account of provisions and lumber imported into the island of Jamaica, from the United States of America</t>
  </si>
  <si>
    <t>Exports from the island of Jamaica to his majesty's colonies in America</t>
  </si>
  <si>
    <t>JHA 11</t>
  </si>
  <si>
    <t>Imports to the island of Jamaica from the United States of America</t>
  </si>
  <si>
    <t>JHA 12</t>
  </si>
  <si>
    <t>JHA 13</t>
  </si>
  <si>
    <t>JHA 14</t>
  </si>
  <si>
    <t>List of sugar, rum, &amp;c exported from the island of Jamaica</t>
  </si>
  <si>
    <t>JHA11</t>
  </si>
  <si>
    <t>Account of herrings imported from Great-Britain and Ireland</t>
  </si>
  <si>
    <t>Salted provisions imported into the island of Jamaica (1 Jun - 1 Dec 1805)</t>
  </si>
  <si>
    <t>Account of the sugar, rum, &amp;c. exported from the island of Jamaica</t>
  </si>
  <si>
    <t>Exports to the United States of America</t>
  </si>
  <si>
    <t>Imports of horses, mules, &amp;c</t>
  </si>
  <si>
    <t>Account of the tonnage of vessels trading to the island of Jamaica</t>
  </si>
  <si>
    <t>General exports from the island of Jamaica</t>
  </si>
  <si>
    <t>Imports to the island of Jamaica from the British plantations</t>
  </si>
  <si>
    <t>Schedule No. 2: Lumber imported (from USA)</t>
  </si>
  <si>
    <t>Schedule No. 3: An account of the different articles exported from this island to the United States of America, in British bottoms</t>
  </si>
  <si>
    <t>Schedule No. 3: Articles exported to his majesty's colonies in America, cont.</t>
  </si>
  <si>
    <t>JHA 10</t>
  </si>
  <si>
    <t>Account of sundry articles, the produce of the island of Jamaica, exported</t>
  </si>
  <si>
    <t>A list of sugar, rum, &amp;c exported from Jamaica</t>
  </si>
  <si>
    <t>A list of horned cattle, horses, &amp;c imported into Jamaica (1 Jul 1799 - 1 Jan 1801)</t>
  </si>
  <si>
    <t>A list of cattle imported into the island of Jamaica</t>
  </si>
  <si>
    <t>124011
124015</t>
  </si>
  <si>
    <t>Account of sundries, the growth, produce, or manufacture of the West-India islands and southern continent of America, imported</t>
  </si>
  <si>
    <t>Tea imported to Jamaica</t>
  </si>
  <si>
    <t>Tonnage of vessels trading to Jamaica</t>
  </si>
  <si>
    <t>Horses, mules etc imported to Jamaica</t>
  </si>
  <si>
    <t>Sugar, rum, etc. exported from Jamaica</t>
  </si>
  <si>
    <t>Provisions, lumber, etc. imported into Jamaica from the USA</t>
  </si>
  <si>
    <t>Provisions, lumber, etc. imported into Jamaica from the British colonies in America</t>
  </si>
  <si>
    <t>Produce exported from Jamaica to the USA</t>
  </si>
  <si>
    <t>Produce exported to the British colonies</t>
  </si>
  <si>
    <t>Herrings imported from GB and Ireland</t>
  </si>
  <si>
    <t>Herrings, etc. imported from GB and Ireland</t>
  </si>
  <si>
    <t>Tonnage of trading vessels</t>
  </si>
  <si>
    <t>General export from Jamaica</t>
  </si>
  <si>
    <t>Imports to Jamaica from the USA</t>
  </si>
  <si>
    <t>Imports to Jamaica from the British plantations</t>
  </si>
  <si>
    <t>Exports to the British plantations</t>
  </si>
  <si>
    <t>Herrings and pilchards imported from GB and Ireland</t>
  </si>
  <si>
    <t>General exports from Jamaica</t>
  </si>
  <si>
    <t>Exports from Jamaica to the British plantations</t>
  </si>
  <si>
    <t>Exports from Jamaica to the Spanish colonies and islands within the tropics</t>
  </si>
  <si>
    <t>Imports to Jamaica from the Spanish colonies and islands within the tropics</t>
  </si>
  <si>
    <t>Herring and pilchards imported to Jamaica</t>
  </si>
  <si>
    <t>Imports to Jamaica from the USA (Jan-Sep 1813)</t>
  </si>
  <si>
    <t>Imports to Jamaica from the Spanish Main and islands within the tropics</t>
  </si>
  <si>
    <t>Exports from Jamaica to the British plantations in America</t>
  </si>
  <si>
    <t>General imports into Jamaica</t>
  </si>
  <si>
    <t>Produce exported from Jamaica to the Spanish Main and islands within the tropics</t>
  </si>
  <si>
    <t>General return of imports to Jamaica</t>
  </si>
  <si>
    <t>General return of exports from Jamaica</t>
  </si>
  <si>
    <t>Account of the produce, the growth of Jamaica, exported (2 page)</t>
  </si>
  <si>
    <t>General return of imports from Jamaica</t>
  </si>
  <si>
    <t>Return of imports of other articles from USA (5 Jan - 29 Sep 1826)</t>
  </si>
  <si>
    <t>Wines imported into Jamaica</t>
  </si>
  <si>
    <t>Number and tonnage of trading vessels</t>
  </si>
  <si>
    <t>Return of sugar and rum exported from Jamaica (1 Aug 1831 - 1 Aug 1835)</t>
  </si>
  <si>
    <t>Imports into Jamaica</t>
  </si>
  <si>
    <t>Exports from Jamaica</t>
  </si>
  <si>
    <t>Return of exports</t>
  </si>
  <si>
    <t>An alphabetical account of good imported from the British N American colonies</t>
  </si>
  <si>
    <t>Return of the staple exports of Jamaica (10 Oct 1836 - 10 Oct 1837)</t>
  </si>
  <si>
    <t>Return of imports to Jamaica</t>
  </si>
  <si>
    <t>Return of exports from Jamaica</t>
  </si>
  <si>
    <t>Return of staple exports from Jamaica</t>
  </si>
  <si>
    <t>Staves</t>
  </si>
  <si>
    <t>Pease and beans (bushels)</t>
  </si>
  <si>
    <t>Poultry (dozens)</t>
  </si>
  <si>
    <t>Tar, pitch, and turpentine (barrels)</t>
  </si>
  <si>
    <t>Shook casks</t>
  </si>
  <si>
    <t>Soap and candles (boxes)</t>
  </si>
  <si>
    <t>West Indies: from/to Br Plantations</t>
  </si>
  <si>
    <t>West Indies: from/to US</t>
  </si>
  <si>
    <t>Jamaica: from/to GB</t>
  </si>
  <si>
    <t>Jamaica: from/to US</t>
  </si>
  <si>
    <t>Jamaica: from/to Ireland</t>
  </si>
  <si>
    <t>Jamaica: from/to Br Plantations</t>
  </si>
  <si>
    <t>West-Indies and S America: from/to GB</t>
  </si>
  <si>
    <t>West-Indies and S America: from/to Ireland</t>
  </si>
  <si>
    <t>West-Indies and S America: from/to Br Plantations</t>
  </si>
  <si>
    <t>West-Indies and S America: from/to US</t>
  </si>
  <si>
    <t>Cotton (bags)</t>
  </si>
  <si>
    <t>Cocoa (casks)</t>
  </si>
  <si>
    <t>Cocoa (bags)</t>
  </si>
  <si>
    <t>Indigo (casks)</t>
  </si>
  <si>
    <t>Indigo (bags)</t>
  </si>
  <si>
    <t>West-Indies and S America: Total</t>
  </si>
  <si>
    <t>Import: 
1 Jul 1799 - 1 Jan 1801</t>
  </si>
  <si>
    <t>Export:
1799-1800</t>
  </si>
  <si>
    <t>Exports:
1796-97</t>
  </si>
  <si>
    <t>Whose exports?</t>
  </si>
  <si>
    <t>//</t>
  </si>
  <si>
    <t>Export: 
1800-1801</t>
  </si>
  <si>
    <t>Jamaica: from/to Foreign Plantations</t>
  </si>
  <si>
    <t>Castor oil (casks)</t>
  </si>
  <si>
    <t>1800-01 (I)</t>
  </si>
  <si>
    <t>1800-01 (E)</t>
  </si>
  <si>
    <t>1799-1801 (I)</t>
  </si>
  <si>
    <t>1796-7 (I_WI)</t>
  </si>
  <si>
    <t>1799-1800 (E)</t>
  </si>
  <si>
    <t>1828-9 (I)</t>
  </si>
  <si>
    <t>1801-2 (E)</t>
  </si>
  <si>
    <t>1801-2 (I)</t>
  </si>
  <si>
    <t>Rum (barrels)</t>
  </si>
  <si>
    <t>Export:
1801-2</t>
  </si>
  <si>
    <t>Data available in general exports table</t>
  </si>
  <si>
    <t>E</t>
  </si>
  <si>
    <t>I</t>
  </si>
  <si>
    <t>Export:
1802-3</t>
  </si>
  <si>
    <t>1802-3 (E)</t>
  </si>
  <si>
    <t>1802-3 (I)</t>
  </si>
  <si>
    <t>Only adds molasses</t>
  </si>
  <si>
    <t>Pease and beans (casks)</t>
  </si>
  <si>
    <t>1803-4 (E)</t>
  </si>
  <si>
    <t>1803-4 (I)</t>
  </si>
  <si>
    <t>Account of all the articles imported into this island from his majesty's colonies in America</t>
  </si>
  <si>
    <t>Beer (hogsheads)</t>
  </si>
  <si>
    <t>Tobacco (casks)</t>
  </si>
  <si>
    <t>Naval stores (barrels)</t>
  </si>
  <si>
    <t>Livestock: Horses</t>
  </si>
  <si>
    <t>Livestock: Mules</t>
  </si>
  <si>
    <t>Livestock: Asses</t>
  </si>
  <si>
    <t>Livestock: Cattle</t>
  </si>
  <si>
    <t>Import: 
1804-5</t>
  </si>
  <si>
    <t>Corn and beans (casks)</t>
  </si>
  <si>
    <t>Corn and beans (bushels)</t>
  </si>
  <si>
    <t>1804-5 (I)</t>
  </si>
  <si>
    <t>1804-5 (E)</t>
  </si>
  <si>
    <t>Corn and pease (casks)</t>
  </si>
  <si>
    <t>Corn and pease (bushels)</t>
  </si>
  <si>
    <t>1805-6 (I)</t>
  </si>
  <si>
    <t>1805-6 (E)</t>
  </si>
  <si>
    <t>Doesn't fit dates (covered by other tables)</t>
  </si>
  <si>
    <t>Sheet</t>
  </si>
  <si>
    <t>Table Title</t>
  </si>
  <si>
    <t>Image</t>
  </si>
  <si>
    <t>I/E</t>
  </si>
  <si>
    <t>End Yr</t>
  </si>
  <si>
    <t>Start Yr</t>
  </si>
  <si>
    <t>Discrepancies - see general exports table</t>
  </si>
  <si>
    <t>Corn, pease, and beans (casks)</t>
  </si>
  <si>
    <t>Corn, pease, and beans (bushels)</t>
  </si>
  <si>
    <t>1806-7 (I)</t>
  </si>
  <si>
    <t>1806-7 (E)</t>
  </si>
  <si>
    <t>Export:
1806-7</t>
  </si>
  <si>
    <t>1807-8 (I)</t>
  </si>
  <si>
    <t>1807-8 (E)</t>
  </si>
  <si>
    <t>Tea origin?</t>
  </si>
  <si>
    <t>P1350114</t>
  </si>
  <si>
    <t>P1350116</t>
  </si>
  <si>
    <t>P1350118</t>
  </si>
  <si>
    <t>P1350119</t>
  </si>
  <si>
    <t>P1350120</t>
  </si>
  <si>
    <t>Import: 
1808-9</t>
  </si>
  <si>
    <t>1808-9 (I)</t>
  </si>
  <si>
    <t>1808-9 (E)</t>
  </si>
  <si>
    <t>Corn, pease, and beans (bags)</t>
  </si>
  <si>
    <t>1809-10 (I)</t>
  </si>
  <si>
    <t>1809-10 (E)</t>
  </si>
  <si>
    <t>1810-11 (I)</t>
  </si>
  <si>
    <t>1810-11 (E)</t>
  </si>
  <si>
    <t>1811-12 (I)</t>
  </si>
  <si>
    <t>Export:
1809-10</t>
  </si>
  <si>
    <t>Import: 
1809-10</t>
  </si>
  <si>
    <t>Export: 
1808-9</t>
  </si>
  <si>
    <t xml:space="preserve">Export:
</t>
  </si>
  <si>
    <t>Import: 
1811-12</t>
  </si>
  <si>
    <t>Import: 
1812-13</t>
  </si>
  <si>
    <t>1812-13 (I)</t>
  </si>
  <si>
    <t>1813-14 (E)</t>
  </si>
  <si>
    <t>1813-14 (I)</t>
  </si>
  <si>
    <t>Corn (bags)</t>
  </si>
  <si>
    <t>Pease and beans (barrels)</t>
  </si>
  <si>
    <t>Pease and beans (bags)</t>
  </si>
  <si>
    <t>1812-13 (E)</t>
  </si>
  <si>
    <t>Corn and meal (bushels)</t>
  </si>
  <si>
    <t>Corn and meal (bags)</t>
  </si>
  <si>
    <t>Corn and meal (barrels)</t>
  </si>
  <si>
    <t>Import: 
1813-14</t>
  </si>
  <si>
    <t>Data available in general imports table</t>
  </si>
  <si>
    <t>Discrepancies - see general imports table</t>
  </si>
  <si>
    <t>Lard (firkins)</t>
  </si>
  <si>
    <t>Sum discrepancies</t>
  </si>
  <si>
    <t>Export:
1814-15</t>
  </si>
  <si>
    <t>Import: 
1814-15</t>
  </si>
  <si>
    <t>Export:
1813-14</t>
  </si>
  <si>
    <t>Export:
1812-13</t>
  </si>
  <si>
    <t>Pease (bags)</t>
  </si>
  <si>
    <t>1815-6 (I)</t>
  </si>
  <si>
    <t>1815-6 (E)</t>
  </si>
  <si>
    <t>Import: 
1815-16</t>
  </si>
  <si>
    <t>Export:
1815-16</t>
  </si>
  <si>
    <t>Import: 
1816-17</t>
  </si>
  <si>
    <t>Export:
1816-17</t>
  </si>
  <si>
    <t>Table title cut from image</t>
  </si>
  <si>
    <t>Import: 
1817-18</t>
  </si>
  <si>
    <t>Export:
1817-18</t>
  </si>
  <si>
    <t>Import: 
1818-19</t>
  </si>
  <si>
    <t>Export:
1818-19</t>
  </si>
  <si>
    <t>Import: 
1820-21</t>
  </si>
  <si>
    <t>Export:
1820-21</t>
  </si>
  <si>
    <t>1819-20 (E)</t>
  </si>
  <si>
    <t>1819-20 (I)</t>
  </si>
  <si>
    <t>Import: 
1821-22</t>
  </si>
  <si>
    <t>1821-2 (I)</t>
  </si>
  <si>
    <t>1821-2 (E)</t>
  </si>
  <si>
    <t>Export:
1821-22</t>
  </si>
  <si>
    <t>Import: 
1810-11</t>
  </si>
  <si>
    <t>Import: 
1822-23</t>
  </si>
  <si>
    <t>1822-3 (I)</t>
  </si>
  <si>
    <t>1822-3 (E)</t>
  </si>
  <si>
    <t>Import: 
1823-24</t>
  </si>
  <si>
    <t>1823-4 (I)</t>
  </si>
  <si>
    <t>1823-4 (E)</t>
  </si>
  <si>
    <t>Export:
1823-24</t>
  </si>
  <si>
    <t>Import: 
1824-25</t>
  </si>
  <si>
    <t>1824-5 (I)</t>
  </si>
  <si>
    <t>Export:
1824-25</t>
  </si>
  <si>
    <t>1824-5 (E)</t>
  </si>
  <si>
    <t>Import: 
1825-26</t>
  </si>
  <si>
    <t>1825-6 (I)</t>
  </si>
  <si>
    <t>1825-6 (E)</t>
  </si>
  <si>
    <t>Export:
1825-26</t>
  </si>
  <si>
    <t>Import: 
1827-8</t>
  </si>
  <si>
    <t>Corn, beans, oats, etc. (bushels)</t>
  </si>
  <si>
    <t>1827-8 (I)</t>
  </si>
  <si>
    <t>1827-8 (E)</t>
  </si>
  <si>
    <t>Export:
1827-28</t>
  </si>
  <si>
    <t>Import: 
1828-29</t>
  </si>
  <si>
    <t>1828-9 (E)</t>
  </si>
  <si>
    <t>Export:
1828-29</t>
  </si>
  <si>
    <t>Corn, pease, oats, etc. (bushels)</t>
  </si>
  <si>
    <t>1831-2 (I)</t>
  </si>
  <si>
    <t>1831-2 (E)</t>
  </si>
  <si>
    <t>Export:
1831-32</t>
  </si>
  <si>
    <t>Woods</t>
  </si>
  <si>
    <t>1 ton = 20 cwt = 2240 lbs</t>
  </si>
  <si>
    <t>Does not give origin for outports</t>
  </si>
  <si>
    <t>1833-4 (I)</t>
  </si>
  <si>
    <t>Butter and lard (firkins)</t>
  </si>
  <si>
    <t>1833-4 (E)</t>
  </si>
  <si>
    <t>Export:
1833-34</t>
  </si>
  <si>
    <t>Does not give origin</t>
  </si>
  <si>
    <t>1834-5 (I)</t>
  </si>
  <si>
    <t>1834-5 (E)</t>
  </si>
  <si>
    <t>Import: 
1834-35</t>
  </si>
  <si>
    <t>Export:
1834-35</t>
  </si>
  <si>
    <t>Rice (casks, bags, and barrels)</t>
  </si>
  <si>
    <t>Rice (casks and barrels)</t>
  </si>
  <si>
    <t>Hoops (bundles)</t>
  </si>
  <si>
    <t>1835-6 (I)</t>
  </si>
  <si>
    <t>Import: 
1835-36</t>
  </si>
  <si>
    <t>1835-6 (E)</t>
  </si>
  <si>
    <t>154341
154353</t>
  </si>
  <si>
    <t>One commodity lost in fold</t>
  </si>
  <si>
    <t>Corn, pease, oats, etc. (barrels)</t>
  </si>
  <si>
    <t>Return of imports</t>
  </si>
  <si>
    <t>1836-7 (I)</t>
  </si>
  <si>
    <t>1836-7 (E)</t>
  </si>
  <si>
    <t>Export:
1836-7</t>
  </si>
  <si>
    <t>Import: 
1836-37</t>
  </si>
  <si>
    <t>Import: 
1837-38</t>
  </si>
  <si>
    <t>Export:
1837-38</t>
  </si>
  <si>
    <t>1837-8 (I)</t>
  </si>
  <si>
    <t>1837-8 (E)</t>
  </si>
  <si>
    <t>1838-9 (I)</t>
  </si>
  <si>
    <t>Amount</t>
  </si>
  <si>
    <t>Year Start</t>
  </si>
  <si>
    <t>Export:
1838-39</t>
  </si>
  <si>
    <t>Import: 
1838-39</t>
  </si>
  <si>
    <t>1838-9 (E)</t>
  </si>
  <si>
    <t>Import: 
1806-7</t>
  </si>
  <si>
    <t>Import: 
1807-8</t>
  </si>
  <si>
    <t>IMP</t>
  </si>
  <si>
    <t>EXP</t>
  </si>
  <si>
    <t>Outports: from/to Europe</t>
  </si>
  <si>
    <t>Not transcribed</t>
  </si>
  <si>
    <t>P1369212
P1360213</t>
  </si>
  <si>
    <t>Import: 
1819-20</t>
  </si>
  <si>
    <t>Export:
1819-20</t>
  </si>
  <si>
    <t>PDF</t>
  </si>
  <si>
    <t>Additional return of imports from GB of certain articles to Jamaica</t>
  </si>
  <si>
    <t>Spirits (gallons)</t>
  </si>
  <si>
    <t>Porter, beer, and cider (tuns)</t>
  </si>
  <si>
    <t>Porter, beer, and cider (gallons)</t>
  </si>
  <si>
    <t>Sugar, refined (lb)</t>
  </si>
  <si>
    <t>Butter and lard (lb)</t>
  </si>
  <si>
    <t>Hams and Cheese (lb)</t>
  </si>
  <si>
    <t>Boots and shoes (dozens)</t>
  </si>
  <si>
    <t>Chairs (dozens)</t>
  </si>
  <si>
    <t>Hams and cheese (lb)</t>
  </si>
  <si>
    <t>Import: 
1800-1801</t>
  </si>
  <si>
    <t>To/From</t>
  </si>
  <si>
    <t>Year End</t>
  </si>
  <si>
    <t>Export: 
1807-8</t>
  </si>
  <si>
    <t>Export:
1810-11</t>
  </si>
  <si>
    <t>1800-01</t>
  </si>
  <si>
    <t>1801-02</t>
  </si>
  <si>
    <t>1802-03</t>
  </si>
  <si>
    <t>1803-04</t>
  </si>
  <si>
    <t>1805-06</t>
  </si>
  <si>
    <t>1804-05</t>
  </si>
  <si>
    <t>1806-07</t>
  </si>
  <si>
    <t>1807-08</t>
  </si>
  <si>
    <t>1808-09</t>
  </si>
  <si>
    <t>1810-11</t>
  </si>
  <si>
    <t>1811-12</t>
  </si>
  <si>
    <t>1812-13</t>
  </si>
  <si>
    <t>1813-14</t>
  </si>
  <si>
    <t>1814-15</t>
  </si>
  <si>
    <t>1815-16</t>
  </si>
  <si>
    <t>1816-17</t>
  </si>
  <si>
    <t>1817-18</t>
  </si>
  <si>
    <t>1818-19</t>
  </si>
  <si>
    <t>1819-20</t>
  </si>
  <si>
    <t>1820-21</t>
  </si>
  <si>
    <t>1821-22</t>
  </si>
  <si>
    <t>1822-23</t>
  </si>
  <si>
    <t>1823-24</t>
  </si>
  <si>
    <t>1824-25</t>
  </si>
  <si>
    <t>1825-26</t>
  </si>
  <si>
    <t>1827-28</t>
  </si>
  <si>
    <t>1826-27</t>
  </si>
  <si>
    <t>1828-29</t>
  </si>
  <si>
    <t>1829-30</t>
  </si>
  <si>
    <t>1830-31</t>
  </si>
  <si>
    <t>1831-32</t>
  </si>
  <si>
    <t>1832-33</t>
  </si>
  <si>
    <t>1833-34</t>
  </si>
  <si>
    <t>1834-35</t>
  </si>
  <si>
    <t>1835-36</t>
  </si>
  <si>
    <t>1836-37</t>
  </si>
  <si>
    <t>1837-38</t>
  </si>
  <si>
    <t>1838-39</t>
  </si>
  <si>
    <t>1799-1800</t>
  </si>
  <si>
    <t>1797-98</t>
  </si>
  <si>
    <t>1796-97</t>
  </si>
  <si>
    <t>1798-99</t>
  </si>
  <si>
    <t>Turmeric (casks)</t>
  </si>
  <si>
    <t>Turmeric (bags)</t>
  </si>
  <si>
    <t>Commodities</t>
  </si>
  <si>
    <t>Year Range</t>
  </si>
  <si>
    <t>Table (I)</t>
  </si>
  <si>
    <t>Table (E)</t>
  </si>
  <si>
    <t>Exports:
1797-98 (to specific ports)</t>
  </si>
  <si>
    <t>Livestock 1799-1801 not incl.</t>
  </si>
  <si>
    <t>Cleared out at the port of Savanna-la-Mar for Great-Britain, 611 casks and 601 bags of coffee, without certificate, supposed weight 525,825 lb (added to Outports to GB figure)</t>
  </si>
  <si>
    <t>Import: 
1831-32</t>
  </si>
  <si>
    <t>Import: 
1833-34</t>
  </si>
  <si>
    <t>import</t>
  </si>
  <si>
    <t>Jamaica (Total)</t>
  </si>
  <si>
    <t>All Exports (Total)</t>
  </si>
  <si>
    <t>All Imports (Total)</t>
  </si>
  <si>
    <t>Livestock: Horses3</t>
  </si>
  <si>
    <t>Additional</t>
  </si>
  <si>
    <t>Fish, pickled (tierces)</t>
  </si>
  <si>
    <t>Fish, pickled (barrels)</t>
  </si>
  <si>
    <t>Fish, pickled (kits)</t>
  </si>
  <si>
    <t>Fish, pickled (kegs)</t>
  </si>
  <si>
    <t>Fish, dry (hogsheads)</t>
  </si>
  <si>
    <t>Fish, dry (casks)</t>
  </si>
  <si>
    <t>Fish, dry (boxes)</t>
  </si>
  <si>
    <t>Fish, dry (quintals)</t>
  </si>
  <si>
    <t>Import (to West Indies)
1771-73</t>
  </si>
  <si>
    <t>Import: 
1803-4</t>
  </si>
  <si>
    <t>Export: 
1805-6</t>
  </si>
  <si>
    <t>Import: 
1805-6</t>
  </si>
  <si>
    <t>Export: 
1804-5</t>
  </si>
  <si>
    <t>Export: 
1803-4</t>
  </si>
  <si>
    <t>Import: 
1802-3</t>
  </si>
  <si>
    <t>Import: 
1801-2</t>
  </si>
  <si>
    <t>Export:
1811-12</t>
  </si>
  <si>
    <t>Export:
1822-23</t>
  </si>
  <si>
    <t>1771-73 (I_WI)</t>
  </si>
  <si>
    <t>1796-97 (E_J)</t>
  </si>
  <si>
    <t>Export (from W Indies/S Am):
1796-97</t>
  </si>
  <si>
    <t>1797-98 (E_J)</t>
  </si>
  <si>
    <t>1811-12 (E)</t>
  </si>
  <si>
    <t>1809-10</t>
  </si>
  <si>
    <t>1814-15 (I)</t>
  </si>
  <si>
    <t>1814-15 (E)</t>
  </si>
  <si>
    <t>1816-17 (I)</t>
  </si>
  <si>
    <t>1816-17 (E)</t>
  </si>
  <si>
    <t>1817-18 (I)</t>
  </si>
  <si>
    <t>1817-18 (E)</t>
  </si>
  <si>
    <t>1818-19 (E)</t>
  </si>
  <si>
    <t>1818-19 (I)</t>
  </si>
  <si>
    <t>1820-21 (E)</t>
  </si>
  <si>
    <t>1820-21 (I)</t>
  </si>
  <si>
    <t>Commodity (drop-down)</t>
  </si>
  <si>
    <t>Cwt/qtr/lbs</t>
  </si>
  <si>
    <t>Export:
[YEARS]</t>
  </si>
  <si>
    <t>Summary Table</t>
  </si>
  <si>
    <t>1768-69</t>
  </si>
  <si>
    <t>1769-70</t>
  </si>
  <si>
    <t>1770-71</t>
  </si>
  <si>
    <t>1771-72</t>
  </si>
  <si>
    <t>1772-73</t>
  </si>
  <si>
    <t>1773-74</t>
  </si>
  <si>
    <t>1774-75</t>
  </si>
  <si>
    <t>1775-76</t>
  </si>
  <si>
    <t>1776-77</t>
  </si>
  <si>
    <t>1777-78</t>
  </si>
  <si>
    <t>1778-79</t>
  </si>
  <si>
    <t>1779-80</t>
  </si>
  <si>
    <t>1780-81</t>
  </si>
  <si>
    <t>1781-82</t>
  </si>
  <si>
    <t>1782-83</t>
  </si>
  <si>
    <t>1783-84</t>
  </si>
  <si>
    <t>1784-85</t>
  </si>
  <si>
    <t>1785-86</t>
  </si>
  <si>
    <t>1786-87</t>
  </si>
  <si>
    <t>1787-88</t>
  </si>
  <si>
    <t>1788-89</t>
  </si>
  <si>
    <t>1789-90</t>
  </si>
  <si>
    <t>1790-91</t>
  </si>
  <si>
    <t>1791-92</t>
  </si>
  <si>
    <t>1792-93</t>
  </si>
  <si>
    <t>1793-94</t>
  </si>
  <si>
    <t>1794-95</t>
  </si>
  <si>
    <t>1795-96</t>
  </si>
  <si>
    <t>1839-40</t>
  </si>
  <si>
    <t>1840-41</t>
  </si>
  <si>
    <t>1841-42</t>
  </si>
  <si>
    <t>1842-43</t>
  </si>
  <si>
    <t>1843-44</t>
  </si>
  <si>
    <t>1844-45</t>
  </si>
  <si>
    <t>1845-46</t>
  </si>
  <si>
    <t>1846-47</t>
  </si>
  <si>
    <t>1847-48</t>
  </si>
  <si>
    <t>1848-49</t>
  </si>
  <si>
    <t>1849-50</t>
  </si>
  <si>
    <t>1850-51</t>
  </si>
  <si>
    <t>1851-52</t>
  </si>
  <si>
    <t>1852-53</t>
  </si>
  <si>
    <t>1853-54</t>
  </si>
  <si>
    <t>1854-55</t>
  </si>
  <si>
    <t>1855-56</t>
  </si>
  <si>
    <t>1856-57</t>
  </si>
  <si>
    <t>1857-58</t>
  </si>
  <si>
    <t>1858-59</t>
  </si>
  <si>
    <t>1859-60</t>
  </si>
  <si>
    <t>1860-61</t>
  </si>
  <si>
    <t>1861-62</t>
  </si>
  <si>
    <t>1862-63</t>
  </si>
  <si>
    <t>1863-64</t>
  </si>
  <si>
    <t>1864-65</t>
  </si>
  <si>
    <t>Links to Import Table</t>
  </si>
  <si>
    <t>Links to Export Table</t>
  </si>
  <si>
    <t>1799-1801</t>
  </si>
  <si>
    <t>Pease, beans, and oats (bushels)</t>
  </si>
  <si>
    <t>Pickled fish (barrels)</t>
  </si>
  <si>
    <t>Fish (quintals)</t>
  </si>
  <si>
    <t>Malt (tuns)</t>
  </si>
  <si>
    <t>Malt (gallons)</t>
  </si>
  <si>
    <t>PP 1846</t>
  </si>
  <si>
    <t>Parliamentary Papers 1846
Imports, Year Ending:</t>
  </si>
  <si>
    <t>Parliamentary Papers 1846
Exports, Year Ending:</t>
  </si>
  <si>
    <t>Ginger (lb)</t>
  </si>
  <si>
    <t>Remarks</t>
  </si>
  <si>
    <t>1772</t>
  </si>
  <si>
    <t>1773</t>
  </si>
  <si>
    <t>1774</t>
  </si>
  <si>
    <t>1775</t>
  </si>
  <si>
    <t>1776</t>
  </si>
  <si>
    <t>1777</t>
  </si>
  <si>
    <t>1778</t>
  </si>
  <si>
    <t>1779</t>
  </si>
  <si>
    <t>1780</t>
  </si>
  <si>
    <t xml:space="preserve">Import: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</si>
</sst>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 #,##0.0_-;\-* #,##0.0_-;_-* &quot;-&quot;??_-;_-@_-"/>
  </numFmts>
  <fonts count="2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2"/>
      <color rgb="FF000000"/>
      <name val="Calibri"/>
      <family val="2"/>
      <scheme val="minor"/>
    </font>
    <font>
      <sz val="12"/>
      <color rgb="FF000000"/>
      <name val="Calibri"/>
      <family val="2"/>
      <scheme val="minor"/>
    </font>
    <font>
      <b/>
      <sz val="11"/>
      <color rgb="FF000000"/>
      <name val="Calibri"/>
      <family val="2"/>
      <scheme val="minor"/>
    </font>
    <font>
      <sz val="11"/>
      <color rgb="FF000000"/>
      <name val="Calibri"/>
      <family val="2"/>
      <scheme val="minor"/>
    </font>
    <font>
      <i/>
      <sz val="11"/>
      <color theme="1"/>
      <name val="Calibri"/>
      <family val="2"/>
      <scheme val="minor"/>
    </font>
    <font>
      <sz val="8"/>
      <name val="Calibri"/>
      <family val="2"/>
      <scheme val="minor"/>
    </font>
    <font>
      <sz val="9"/>
      <color indexed="81"/>
      <name val="Tahoma"/>
      <family val="2"/>
    </font>
    <font>
      <b/>
      <sz val="9"/>
      <color indexed="81"/>
      <name val="Tahoma"/>
      <family val="2"/>
    </font>
    <font>
      <i/>
      <sz val="9"/>
      <color indexed="81"/>
      <name val="Tahoma"/>
      <family val="2"/>
    </font>
    <font>
      <sz val="11"/>
      <color theme="0"/>
      <name val="Calibri"/>
      <family val="2"/>
      <scheme val="minor"/>
    </font>
    <font>
      <b/>
      <i/>
      <sz val="11"/>
      <color theme="0"/>
      <name val="Calibri"/>
      <family val="2"/>
      <scheme val="minor"/>
    </font>
    <font>
      <sz val="12"/>
      <color theme="1"/>
      <name val="Calibri"/>
      <family val="2"/>
      <scheme val="minor"/>
    </font>
    <font>
      <b/>
      <sz val="12"/>
      <color theme="0"/>
      <name val="Calibri"/>
      <family val="2"/>
      <scheme val="minor"/>
    </font>
    <font>
      <b/>
      <i/>
      <sz val="11"/>
      <color theme="1"/>
      <name val="Calibri"/>
      <family val="2"/>
      <scheme val="minor"/>
    </font>
    <font>
      <b/>
      <i/>
      <sz val="12"/>
      <name val="Calibri"/>
      <family val="2"/>
      <scheme val="minor"/>
    </font>
    <font>
      <b/>
      <sz val="12"/>
      <name val="Calibri"/>
      <family val="2"/>
      <scheme val="minor"/>
    </font>
    <font>
      <i/>
      <sz val="11"/>
      <name val="Calibri"/>
      <family val="2"/>
      <scheme val="minor"/>
    </font>
    <font>
      <sz val="11"/>
      <name val="Calibri"/>
      <family val="2"/>
      <scheme val="minor"/>
    </font>
    <font>
      <sz val="12"/>
      <name val="Calibri"/>
      <family val="2"/>
      <scheme val="minor"/>
    </font>
    <font>
      <u/>
      <sz val="11"/>
      <color theme="10"/>
      <name val="Calibri"/>
      <family val="2"/>
      <scheme val="minor"/>
    </font>
    <font>
      <i/>
      <sz val="8"/>
      <color theme="10"/>
      <name val="Calibri"/>
      <family val="2"/>
      <scheme val="minor"/>
    </font>
    <font>
      <sz val="9"/>
      <color indexed="81"/>
      <name val="Tahoma"/>
      <charset val="1"/>
    </font>
  </fonts>
  <fills count="16">
    <fill>
      <patternFill patternType="none"/>
    </fill>
    <fill>
      <patternFill patternType="gray125"/>
    </fill>
    <fill>
      <patternFill patternType="solid">
        <fgColor theme="2"/>
        <bgColor indexed="64"/>
      </patternFill>
    </fill>
    <fill>
      <patternFill patternType="solid">
        <fgColor theme="4"/>
        <b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499984740745262"/>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4" tint="0.7999816888943144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right/>
      <top style="thin">
        <color theme="4" tint="0.39997558519241921"/>
      </top>
      <bottom style="thin">
        <color theme="4" tint="0.3999755851924192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4"/>
      </right>
      <top style="thin">
        <color theme="4" tint="0.39997558519241921"/>
      </top>
      <bottom/>
      <diagonal/>
    </border>
    <border>
      <left/>
      <right style="thin">
        <color theme="4" tint="0.39997558519241921"/>
      </right>
      <top/>
      <bottom/>
      <diagonal/>
    </border>
    <border>
      <left/>
      <right/>
      <top/>
      <bottom style="double">
        <color indexed="64"/>
      </bottom>
      <diagonal/>
    </border>
    <border>
      <left/>
      <right/>
      <top/>
      <bottom style="thin">
        <color indexed="64"/>
      </bottom>
      <diagonal/>
    </border>
    <border>
      <left style="medium">
        <color indexed="64"/>
      </left>
      <right style="thin">
        <color theme="0" tint="-0.34998626667073579"/>
      </right>
      <top style="medium">
        <color indexed="64"/>
      </top>
      <bottom/>
      <diagonal/>
    </border>
    <border>
      <left style="thin">
        <color theme="0" tint="-0.34998626667073579"/>
      </left>
      <right style="thin">
        <color theme="0" tint="-0.34998626667073579"/>
      </right>
      <top style="medium">
        <color indexed="64"/>
      </top>
      <bottom/>
      <diagonal/>
    </border>
    <border>
      <left style="thin">
        <color theme="0" tint="-0.34998626667073579"/>
      </left>
      <right style="medium">
        <color indexed="64"/>
      </right>
      <top style="medium">
        <color indexed="64"/>
      </top>
      <bottom/>
      <diagonal/>
    </border>
    <border>
      <left style="thin">
        <color theme="0" tint="-0.34998626667073579"/>
      </left>
      <right style="thin">
        <color theme="0" tint="-0.34998626667073579"/>
      </right>
      <top/>
      <bottom/>
      <diagonal/>
    </border>
    <border>
      <left style="thin">
        <color theme="0" tint="-0.34998626667073579"/>
      </left>
      <right style="medium">
        <color indexed="64"/>
      </right>
      <top/>
      <bottom/>
      <diagonal/>
    </border>
    <border>
      <left style="thin">
        <color theme="0" tint="-0.34998626667073579"/>
      </left>
      <right style="thin">
        <color theme="0" tint="-0.34998626667073579"/>
      </right>
      <top/>
      <bottom style="medium">
        <color indexed="64"/>
      </bottom>
      <diagonal/>
    </border>
    <border>
      <left style="thin">
        <color theme="0" tint="-0.34998626667073579"/>
      </left>
      <right style="medium">
        <color indexed="64"/>
      </right>
      <top/>
      <bottom style="medium">
        <color indexed="64"/>
      </bottom>
      <diagonal/>
    </border>
    <border>
      <left style="thin">
        <color theme="4"/>
      </left>
      <right/>
      <top style="thin">
        <color theme="4"/>
      </top>
      <bottom/>
      <diagonal/>
    </border>
    <border>
      <left style="thin">
        <color theme="4"/>
      </left>
      <right/>
      <top style="thin">
        <color theme="4" tint="0.39997558519241921"/>
      </top>
      <bottom/>
      <diagonal/>
    </border>
    <border>
      <left/>
      <right/>
      <top style="thick">
        <color auto="1"/>
      </top>
      <bottom/>
      <diagonal/>
    </border>
    <border>
      <left/>
      <right/>
      <top/>
      <bottom style="thick">
        <color auto="1"/>
      </bottom>
      <diagonal/>
    </border>
    <border>
      <left/>
      <right/>
      <top style="thin">
        <color theme="4"/>
      </top>
      <bottom/>
      <diagonal/>
    </border>
    <border>
      <left/>
      <right style="thin">
        <color theme="4"/>
      </right>
      <top style="thin">
        <color theme="4"/>
      </top>
      <bottom/>
      <diagonal/>
    </border>
    <border>
      <left style="medium">
        <color indexed="64"/>
      </left>
      <right style="thin">
        <color theme="0" tint="-0.34998626667073579"/>
      </right>
      <top/>
      <bottom/>
      <diagonal/>
    </border>
    <border>
      <left style="medium">
        <color indexed="64"/>
      </left>
      <right style="thin">
        <color theme="0" tint="-0.34998626667073579"/>
      </right>
      <top/>
      <bottom style="medium">
        <color indexed="64"/>
      </bottom>
      <diagonal/>
    </border>
  </borders>
  <cellStyleXfs count="4">
    <xf numFmtId="0" fontId="0" fillId="0" borderId="0"/>
    <xf numFmtId="43" fontId="1" fillId="0" borderId="0" applyFont="0" applyFill="0" applyBorder="0" applyAlignment="0" applyProtection="0"/>
    <xf numFmtId="0" fontId="15" fillId="0" borderId="0"/>
    <xf numFmtId="0" fontId="23" fillId="0" borderId="0" applyNumberFormat="0" applyFill="0" applyBorder="0" applyAlignment="0" applyProtection="0"/>
  </cellStyleXfs>
  <cellXfs count="242">
    <xf numFmtId="0" fontId="0" fillId="0" borderId="0" xfId="0"/>
    <xf numFmtId="0" fontId="4" fillId="0" borderId="0" xfId="0" applyFont="1" applyAlignment="1">
      <alignment horizontal="center" wrapText="1"/>
    </xf>
    <xf numFmtId="0" fontId="5" fillId="0" borderId="0" xfId="0" applyFont="1"/>
    <xf numFmtId="0" fontId="0" fillId="0" borderId="0" xfId="0" applyFont="1"/>
    <xf numFmtId="0" fontId="0" fillId="0" borderId="0" xfId="0" applyAlignment="1">
      <alignment wrapText="1"/>
    </xf>
    <xf numFmtId="0" fontId="0" fillId="0" borderId="0" xfId="0" applyFont="1" applyAlignment="1">
      <alignment horizontal="right" vertical="center"/>
    </xf>
    <xf numFmtId="0" fontId="0" fillId="0" borderId="0" xfId="0" applyFont="1" applyAlignment="1">
      <alignment horizontal="left"/>
    </xf>
    <xf numFmtId="0" fontId="3" fillId="0" borderId="0" xfId="0" applyFont="1" applyBorder="1"/>
    <xf numFmtId="0" fontId="0" fillId="0" borderId="0" xfId="0" applyBorder="1"/>
    <xf numFmtId="0" fontId="8" fillId="0" borderId="0" xfId="0" applyFont="1" applyBorder="1"/>
    <xf numFmtId="2" fontId="3" fillId="0" borderId="0" xfId="0" applyNumberFormat="1" applyFont="1" applyBorder="1"/>
    <xf numFmtId="164" fontId="3" fillId="0" borderId="0" xfId="1" applyNumberFormat="1" applyFont="1" applyBorder="1"/>
    <xf numFmtId="0" fontId="0" fillId="0" borderId="0" xfId="0" applyAlignment="1">
      <alignment vertical="top"/>
    </xf>
    <xf numFmtId="0" fontId="0" fillId="0" borderId="0" xfId="0" applyFont="1" applyAlignment="1">
      <alignment horizontal="right" vertical="top"/>
    </xf>
    <xf numFmtId="0" fontId="3" fillId="0" borderId="0" xfId="0" applyFont="1" applyAlignment="1" applyProtection="1">
      <alignment horizontal="center" wrapText="1"/>
      <protection locked="0"/>
    </xf>
    <xf numFmtId="164" fontId="3" fillId="0" borderId="0" xfId="1" applyNumberFormat="1" applyFont="1" applyAlignment="1" applyProtection="1">
      <alignment horizontal="center" wrapText="1"/>
      <protection locked="0"/>
    </xf>
    <xf numFmtId="164" fontId="7" fillId="0" borderId="2" xfId="1" applyNumberFormat="1" applyFont="1" applyBorder="1" applyAlignment="1" applyProtection="1">
      <alignment horizontal="right" vertical="center"/>
      <protection locked="0"/>
    </xf>
    <xf numFmtId="164" fontId="0" fillId="0" borderId="2" xfId="1" applyNumberFormat="1" applyFont="1" applyBorder="1" applyAlignment="1" applyProtection="1">
      <alignment horizontal="right" vertical="center"/>
      <protection locked="0"/>
    </xf>
    <xf numFmtId="164" fontId="0" fillId="0" borderId="0" xfId="1" applyNumberFormat="1" applyFont="1"/>
    <xf numFmtId="164" fontId="7" fillId="2" borderId="2" xfId="1" applyNumberFormat="1" applyFont="1" applyFill="1" applyBorder="1" applyAlignment="1">
      <alignment horizontal="right" vertical="center"/>
    </xf>
    <xf numFmtId="164" fontId="7" fillId="2" borderId="2" xfId="1" applyNumberFormat="1" applyFont="1" applyFill="1" applyBorder="1" applyAlignment="1">
      <alignment horizontal="center" vertical="center"/>
    </xf>
    <xf numFmtId="164" fontId="7" fillId="2" borderId="3" xfId="1" applyNumberFormat="1" applyFont="1" applyFill="1" applyBorder="1" applyAlignment="1">
      <alignment horizontal="center" vertical="center"/>
    </xf>
    <xf numFmtId="164" fontId="7" fillId="0" borderId="2" xfId="1" applyNumberFormat="1" applyFont="1" applyBorder="1" applyAlignment="1" applyProtection="1">
      <alignment horizontal="center" vertical="center"/>
      <protection locked="0"/>
    </xf>
    <xf numFmtId="164" fontId="7" fillId="0" borderId="3" xfId="1" applyNumberFormat="1" applyFont="1" applyBorder="1" applyAlignment="1" applyProtection="1">
      <alignment horizontal="center" vertical="center"/>
      <protection locked="0"/>
    </xf>
    <xf numFmtId="164" fontId="0" fillId="0" borderId="2" xfId="1" applyNumberFormat="1" applyFont="1" applyBorder="1" applyAlignment="1" applyProtection="1">
      <alignment vertical="center"/>
      <protection locked="0"/>
    </xf>
    <xf numFmtId="164" fontId="0" fillId="0" borderId="3" xfId="1" applyNumberFormat="1" applyFont="1" applyBorder="1" applyAlignment="1" applyProtection="1">
      <alignment vertical="center"/>
      <protection locked="0"/>
    </xf>
    <xf numFmtId="164" fontId="0" fillId="0" borderId="0" xfId="1" applyNumberFormat="1" applyFont="1" applyAlignment="1">
      <alignment vertical="center"/>
    </xf>
    <xf numFmtId="164" fontId="2" fillId="3" borderId="0" xfId="1" applyNumberFormat="1" applyFont="1" applyFill="1" applyBorder="1" applyAlignment="1">
      <alignment horizontal="center" vertical="center" wrapText="1"/>
    </xf>
    <xf numFmtId="164" fontId="2" fillId="3" borderId="4" xfId="1" applyNumberFormat="1" applyFont="1" applyFill="1" applyBorder="1" applyAlignment="1" applyProtection="1">
      <alignment horizontal="center" vertical="center" wrapText="1"/>
      <protection locked="0"/>
    </xf>
    <xf numFmtId="164" fontId="6" fillId="2" borderId="4" xfId="1" applyNumberFormat="1" applyFont="1" applyFill="1" applyBorder="1" applyAlignment="1">
      <alignment horizontal="left" vertical="center" wrapText="1"/>
    </xf>
    <xf numFmtId="164" fontId="7" fillId="2" borderId="0" xfId="1" applyNumberFormat="1" applyFont="1" applyFill="1" applyBorder="1" applyAlignment="1">
      <alignment horizontal="right" vertical="center"/>
    </xf>
    <xf numFmtId="0" fontId="2" fillId="3" borderId="2" xfId="0" applyFont="1" applyFill="1" applyBorder="1" applyAlignment="1" applyProtection="1">
      <alignment horizontal="center" vertical="center" wrapText="1"/>
      <protection locked="0"/>
    </xf>
    <xf numFmtId="0" fontId="4" fillId="0" borderId="0" xfId="0" applyFont="1"/>
    <xf numFmtId="165" fontId="7" fillId="2" borderId="0" xfId="1" applyNumberFormat="1" applyFont="1" applyFill="1" applyBorder="1" applyAlignment="1">
      <alignment horizontal="right" vertical="center"/>
    </xf>
    <xf numFmtId="164" fontId="6" fillId="0" borderId="2" xfId="1" applyNumberFormat="1" applyFont="1" applyBorder="1" applyAlignment="1">
      <alignment horizontal="left" vertical="center" wrapText="1"/>
    </xf>
    <xf numFmtId="164" fontId="6" fillId="2" borderId="2" xfId="1" applyNumberFormat="1" applyFont="1" applyFill="1" applyBorder="1" applyAlignment="1">
      <alignment horizontal="left" vertical="center" wrapText="1"/>
    </xf>
    <xf numFmtId="0" fontId="2" fillId="3" borderId="0" xfId="0" applyFont="1" applyFill="1" applyBorder="1" applyAlignment="1" applyProtection="1">
      <alignment horizontal="center" vertical="center" wrapText="1"/>
      <protection locked="0"/>
    </xf>
    <xf numFmtId="0" fontId="0" fillId="0" borderId="0" xfId="0" applyFont="1" applyAlignment="1">
      <alignment horizontal="left" wrapText="1"/>
    </xf>
    <xf numFmtId="164" fontId="7" fillId="0" borderId="0" xfId="1" applyNumberFormat="1" applyFont="1" applyFill="1" applyBorder="1" applyAlignment="1">
      <alignment horizontal="right" vertical="center"/>
    </xf>
    <xf numFmtId="0" fontId="2" fillId="3" borderId="3" xfId="0" applyFont="1" applyFill="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165" fontId="0" fillId="0" borderId="2" xfId="1" applyNumberFormat="1" applyFont="1" applyBorder="1" applyAlignment="1" applyProtection="1">
      <alignment horizontal="right" vertical="center"/>
      <protection locked="0"/>
    </xf>
    <xf numFmtId="165" fontId="7" fillId="2" borderId="2" xfId="1" applyNumberFormat="1" applyFont="1" applyFill="1" applyBorder="1" applyAlignment="1">
      <alignment horizontal="right" vertical="center"/>
    </xf>
    <xf numFmtId="165" fontId="7" fillId="0" borderId="2" xfId="1" applyNumberFormat="1" applyFont="1" applyBorder="1" applyAlignment="1" applyProtection="1">
      <alignment horizontal="right" vertical="center"/>
      <protection locked="0"/>
    </xf>
    <xf numFmtId="164" fontId="0" fillId="0" borderId="0" xfId="0" applyNumberFormat="1" applyFont="1" applyAlignment="1">
      <alignment horizontal="right" vertical="center"/>
    </xf>
    <xf numFmtId="165" fontId="7" fillId="2" borderId="2" xfId="1" applyNumberFormat="1" applyFont="1" applyFill="1" applyBorder="1" applyAlignment="1">
      <alignment horizontal="center" vertical="center"/>
    </xf>
    <xf numFmtId="164" fontId="7" fillId="0" borderId="2" xfId="1" applyNumberFormat="1" applyFont="1" applyFill="1" applyBorder="1" applyAlignment="1" applyProtection="1">
      <alignment horizontal="right" vertical="center"/>
      <protection locked="0"/>
    </xf>
    <xf numFmtId="164" fontId="0" fillId="0" borderId="0" xfId="0" applyNumberFormat="1" applyFont="1"/>
    <xf numFmtId="0" fontId="0" fillId="0" borderId="0" xfId="0" applyAlignment="1">
      <alignment horizontal="center" vertical="top"/>
    </xf>
    <xf numFmtId="0" fontId="0" fillId="0" borderId="6" xfId="0" applyBorder="1" applyAlignment="1">
      <alignment vertical="top"/>
    </xf>
    <xf numFmtId="0" fontId="0" fillId="0" borderId="6" xfId="0" applyFont="1" applyBorder="1" applyAlignment="1">
      <alignment horizontal="right" vertical="top"/>
    </xf>
    <xf numFmtId="0" fontId="0" fillId="0" borderId="7" xfId="0" applyBorder="1" applyAlignment="1">
      <alignment vertical="top"/>
    </xf>
    <xf numFmtId="0" fontId="0" fillId="0" borderId="9" xfId="0" applyBorder="1" applyAlignment="1">
      <alignment vertical="top"/>
    </xf>
    <xf numFmtId="0" fontId="0" fillId="0" borderId="9" xfId="0" applyFont="1" applyBorder="1" applyAlignment="1">
      <alignment horizontal="right" vertical="top"/>
    </xf>
    <xf numFmtId="0" fontId="0" fillId="0" borderId="10" xfId="0" applyBorder="1" applyAlignment="1">
      <alignment vertical="top"/>
    </xf>
    <xf numFmtId="0" fontId="0" fillId="0" borderId="0" xfId="0" applyBorder="1" applyAlignment="1">
      <alignment vertical="top"/>
    </xf>
    <xf numFmtId="0" fontId="0" fillId="0" borderId="0" xfId="0" applyFont="1" applyBorder="1" applyAlignment="1">
      <alignment horizontal="right" vertical="top"/>
    </xf>
    <xf numFmtId="0" fontId="0" fillId="0" borderId="12" xfId="0" applyBorder="1" applyAlignment="1">
      <alignment vertical="top"/>
    </xf>
    <xf numFmtId="0" fontId="0" fillId="0" borderId="6" xfId="0" applyFont="1" applyBorder="1" applyAlignment="1">
      <alignment horizontal="right" vertical="top" wrapText="1"/>
    </xf>
    <xf numFmtId="0" fontId="8" fillId="0" borderId="6" xfId="0" applyFont="1" applyBorder="1" applyAlignment="1">
      <alignment vertical="top"/>
    </xf>
    <xf numFmtId="0" fontId="0" fillId="0" borderId="0" xfId="0" applyFont="1" applyBorder="1" applyAlignment="1">
      <alignment horizontal="right" vertical="top" wrapText="1"/>
    </xf>
    <xf numFmtId="0" fontId="0" fillId="0" borderId="6" xfId="0" applyFont="1" applyFill="1" applyBorder="1" applyAlignment="1">
      <alignment horizontal="right" vertical="top"/>
    </xf>
    <xf numFmtId="0" fontId="0" fillId="0" borderId="6" xfId="0" applyFill="1" applyBorder="1" applyAlignment="1">
      <alignment vertical="top"/>
    </xf>
    <xf numFmtId="0" fontId="0" fillId="0" borderId="0" xfId="0" applyFont="1" applyFill="1" applyBorder="1" applyAlignment="1">
      <alignment horizontal="right" vertical="top"/>
    </xf>
    <xf numFmtId="0" fontId="0" fillId="0" borderId="0" xfId="0" applyFill="1" applyBorder="1" applyAlignment="1">
      <alignment vertical="top"/>
    </xf>
    <xf numFmtId="0" fontId="0" fillId="0" borderId="9" xfId="0" applyFill="1" applyBorder="1" applyAlignment="1">
      <alignment vertical="top"/>
    </xf>
    <xf numFmtId="0" fontId="0" fillId="0" borderId="9" xfId="0" applyFont="1" applyFill="1" applyBorder="1" applyAlignment="1">
      <alignment horizontal="right" vertical="top"/>
    </xf>
    <xf numFmtId="0" fontId="0" fillId="0" borderId="0" xfId="0" applyFont="1" applyAlignment="1">
      <alignment horizontal="center" vertical="top"/>
    </xf>
    <xf numFmtId="0" fontId="3" fillId="0" borderId="6" xfId="0" applyFont="1" applyBorder="1" applyAlignment="1">
      <alignment horizontal="center" vertical="top"/>
    </xf>
    <xf numFmtId="0" fontId="0" fillId="0" borderId="6" xfId="0" applyFont="1" applyBorder="1" applyAlignment="1">
      <alignment horizontal="center" vertical="top"/>
    </xf>
    <xf numFmtId="0" fontId="0" fillId="0" borderId="9" xfId="0" applyFont="1" applyBorder="1" applyAlignment="1">
      <alignment horizontal="center" vertical="top"/>
    </xf>
    <xf numFmtId="0" fontId="3" fillId="0" borderId="6" xfId="0" applyFont="1" applyFill="1" applyBorder="1" applyAlignment="1">
      <alignment horizontal="center" vertical="top"/>
    </xf>
    <xf numFmtId="0" fontId="0" fillId="0" borderId="6" xfId="0" applyFont="1" applyFill="1" applyBorder="1" applyAlignment="1">
      <alignment horizontal="center" vertical="top"/>
    </xf>
    <xf numFmtId="0" fontId="3" fillId="0" borderId="0" xfId="0" applyFont="1" applyFill="1" applyBorder="1" applyAlignment="1">
      <alignment horizontal="center" vertical="top"/>
    </xf>
    <xf numFmtId="0" fontId="0" fillId="0" borderId="0" xfId="0" applyFont="1" applyFill="1" applyBorder="1" applyAlignment="1">
      <alignment horizontal="center" vertical="top"/>
    </xf>
    <xf numFmtId="0" fontId="0" fillId="0" borderId="9" xfId="0" applyFont="1" applyFill="1" applyBorder="1" applyAlignment="1">
      <alignment horizontal="center" vertical="top"/>
    </xf>
    <xf numFmtId="0" fontId="8" fillId="0" borderId="6" xfId="0" applyFont="1" applyBorder="1" applyAlignment="1">
      <alignment horizontal="center" vertical="top"/>
    </xf>
    <xf numFmtId="0" fontId="8" fillId="0" borderId="0" xfId="0" applyFont="1" applyBorder="1" applyAlignment="1">
      <alignment horizontal="center" vertical="top"/>
    </xf>
    <xf numFmtId="0" fontId="8" fillId="0" borderId="9" xfId="0" applyFont="1" applyBorder="1" applyAlignment="1">
      <alignment horizontal="center" vertical="top"/>
    </xf>
    <xf numFmtId="0" fontId="0" fillId="0" borderId="0" xfId="0" applyFont="1" applyBorder="1" applyAlignment="1">
      <alignment horizontal="center" vertical="top"/>
    </xf>
    <xf numFmtId="0" fontId="8" fillId="0" borderId="0" xfId="0" applyFont="1" applyAlignment="1">
      <alignment vertical="top" wrapText="1"/>
    </xf>
    <xf numFmtId="0" fontId="8" fillId="0" borderId="6" xfId="0" applyFont="1" applyBorder="1" applyAlignment="1">
      <alignment vertical="top" wrapText="1"/>
    </xf>
    <xf numFmtId="0" fontId="8" fillId="0" borderId="9" xfId="0" applyFont="1" applyBorder="1" applyAlignment="1">
      <alignment vertical="top" wrapText="1"/>
    </xf>
    <xf numFmtId="0" fontId="8" fillId="0" borderId="0" xfId="0" applyFont="1" applyBorder="1" applyAlignment="1">
      <alignment vertical="top" wrapText="1"/>
    </xf>
    <xf numFmtId="0" fontId="8" fillId="5" borderId="6" xfId="0" applyFont="1" applyFill="1" applyBorder="1" applyAlignment="1">
      <alignment vertical="top" wrapText="1"/>
    </xf>
    <xf numFmtId="0" fontId="8" fillId="5" borderId="0" xfId="0" applyFont="1" applyFill="1" applyBorder="1" applyAlignment="1">
      <alignment vertical="top" wrapText="1"/>
    </xf>
    <xf numFmtId="0" fontId="8" fillId="5" borderId="9" xfId="0" applyFont="1" applyFill="1" applyBorder="1" applyAlignment="1">
      <alignment vertical="top" wrapText="1"/>
    </xf>
    <xf numFmtId="0" fontId="8" fillId="0" borderId="6" xfId="0" applyFont="1" applyFill="1" applyBorder="1" applyAlignment="1">
      <alignment vertical="top" wrapText="1"/>
    </xf>
    <xf numFmtId="0" fontId="8" fillId="0" borderId="0" xfId="0" applyFont="1" applyFill="1" applyBorder="1" applyAlignment="1">
      <alignment vertical="top" wrapText="1"/>
    </xf>
    <xf numFmtId="0" fontId="8" fillId="0" borderId="9" xfId="0" applyFont="1" applyFill="1" applyBorder="1" applyAlignment="1">
      <alignment vertical="top" wrapText="1"/>
    </xf>
    <xf numFmtId="0" fontId="0" fillId="0" borderId="13" xfId="0" applyFont="1" applyBorder="1" applyAlignment="1">
      <alignment horizontal="right" vertical="top"/>
    </xf>
    <xf numFmtId="0" fontId="0" fillId="0" borderId="6" xfId="0" applyFont="1" applyBorder="1" applyAlignment="1">
      <alignment horizontal="left" vertical="top"/>
    </xf>
    <xf numFmtId="0" fontId="0" fillId="0" borderId="0" xfId="0" applyFont="1" applyBorder="1" applyAlignment="1">
      <alignment horizontal="left" vertical="top"/>
    </xf>
    <xf numFmtId="0" fontId="0" fillId="0" borderId="9" xfId="0" applyFont="1" applyBorder="1" applyAlignment="1">
      <alignment horizontal="left" vertical="top"/>
    </xf>
    <xf numFmtId="0" fontId="0" fillId="0" borderId="6" xfId="0" applyFont="1" applyBorder="1" applyAlignment="1">
      <alignment horizontal="left" vertical="top" wrapText="1"/>
    </xf>
    <xf numFmtId="0" fontId="13" fillId="6" borderId="6" xfId="0" applyFont="1" applyFill="1" applyBorder="1" applyAlignment="1">
      <alignment vertical="center"/>
    </xf>
    <xf numFmtId="0" fontId="2" fillId="6" borderId="6" xfId="0" applyFont="1" applyFill="1" applyBorder="1" applyAlignment="1">
      <alignment horizontal="center" vertical="center"/>
    </xf>
    <xf numFmtId="0" fontId="14" fillId="6" borderId="6" xfId="0" applyFont="1" applyFill="1" applyBorder="1" applyAlignment="1">
      <alignment horizontal="center" vertical="center" wrapText="1"/>
    </xf>
    <xf numFmtId="0" fontId="2" fillId="6" borderId="7" xfId="0" applyFont="1" applyFill="1" applyBorder="1" applyAlignment="1">
      <alignment horizontal="center" vertical="center"/>
    </xf>
    <xf numFmtId="0" fontId="3" fillId="0" borderId="0" xfId="0" applyFont="1" applyBorder="1" applyAlignment="1">
      <alignment horizontal="center" vertical="top"/>
    </xf>
    <xf numFmtId="0" fontId="8" fillId="4" borderId="0" xfId="0" applyFont="1" applyFill="1" applyAlignment="1">
      <alignment horizontal="left" wrapText="1"/>
    </xf>
    <xf numFmtId="0" fontId="0" fillId="0" borderId="15" xfId="0" applyFont="1" applyBorder="1" applyAlignment="1">
      <alignment horizontal="left" vertical="top"/>
    </xf>
    <xf numFmtId="0" fontId="0" fillId="0" borderId="13" xfId="0" applyFont="1" applyBorder="1" applyAlignment="1">
      <alignment horizontal="center" vertical="top"/>
    </xf>
    <xf numFmtId="0" fontId="0" fillId="0" borderId="13" xfId="0" applyBorder="1" applyAlignment="1">
      <alignment vertical="top"/>
    </xf>
    <xf numFmtId="0" fontId="0" fillId="0" borderId="16" xfId="0" applyBorder="1" applyAlignment="1">
      <alignment vertical="top"/>
    </xf>
    <xf numFmtId="0" fontId="8" fillId="7" borderId="13" xfId="0" applyFont="1" applyFill="1" applyBorder="1" applyAlignment="1">
      <alignment vertical="top" wrapText="1"/>
    </xf>
    <xf numFmtId="164" fontId="7" fillId="0" borderId="14" xfId="1" applyNumberFormat="1" applyFont="1" applyBorder="1" applyAlignment="1">
      <alignment horizontal="right" vertical="center"/>
    </xf>
    <xf numFmtId="0" fontId="7" fillId="0" borderId="14" xfId="0" applyFont="1" applyBorder="1" applyAlignment="1">
      <alignment horizontal="right" vertical="center"/>
    </xf>
    <xf numFmtId="165" fontId="7" fillId="0" borderId="14" xfId="1" applyNumberFormat="1" applyFont="1" applyBorder="1" applyAlignment="1">
      <alignment horizontal="right" vertical="center"/>
    </xf>
    <xf numFmtId="43" fontId="0" fillId="0" borderId="2" xfId="1" applyNumberFormat="1" applyFont="1" applyBorder="1" applyAlignment="1" applyProtection="1">
      <alignment horizontal="right" vertical="center"/>
      <protection locked="0"/>
    </xf>
    <xf numFmtId="43" fontId="7" fillId="2" borderId="2" xfId="1" applyNumberFormat="1" applyFont="1" applyFill="1" applyBorder="1" applyAlignment="1">
      <alignment horizontal="right" vertical="center"/>
    </xf>
    <xf numFmtId="43" fontId="7" fillId="0" borderId="2" xfId="1" applyNumberFormat="1" applyFont="1" applyBorder="1" applyAlignment="1" applyProtection="1">
      <alignment horizontal="right" vertical="center"/>
      <protection locked="0"/>
    </xf>
    <xf numFmtId="164" fontId="7" fillId="8" borderId="2" xfId="1" applyNumberFormat="1" applyFont="1" applyFill="1" applyBorder="1" applyAlignment="1">
      <alignment horizontal="right" vertical="center"/>
    </xf>
    <xf numFmtId="165" fontId="7" fillId="8" borderId="2" xfId="1" applyNumberFormat="1" applyFont="1" applyFill="1" applyBorder="1" applyAlignment="1">
      <alignment horizontal="right" vertical="center"/>
    </xf>
    <xf numFmtId="165" fontId="0" fillId="0" borderId="0" xfId="0" applyNumberFormat="1" applyFont="1" applyAlignment="1">
      <alignment horizontal="right" vertical="center"/>
    </xf>
    <xf numFmtId="43" fontId="7" fillId="8" borderId="2" xfId="1" applyNumberFormat="1" applyFont="1" applyFill="1" applyBorder="1" applyAlignment="1">
      <alignment horizontal="right" vertical="center"/>
    </xf>
    <xf numFmtId="43" fontId="0" fillId="0" borderId="0" xfId="0" applyNumberFormat="1" applyFont="1" applyAlignment="1">
      <alignment horizontal="right" vertical="center"/>
    </xf>
    <xf numFmtId="0" fontId="2" fillId="3" borderId="0" xfId="0" applyFont="1" applyFill="1" applyBorder="1" applyAlignment="1" applyProtection="1">
      <alignment horizontal="center" wrapText="1"/>
      <protection locked="0"/>
    </xf>
    <xf numFmtId="0" fontId="2" fillId="3" borderId="18" xfId="0" applyFont="1" applyFill="1" applyBorder="1" applyAlignment="1" applyProtection="1">
      <alignment horizontal="center" wrapText="1"/>
      <protection locked="0"/>
    </xf>
    <xf numFmtId="0" fontId="0" fillId="0" borderId="0" xfId="0" applyAlignment="1">
      <alignment vertical="center"/>
    </xf>
    <xf numFmtId="164" fontId="7" fillId="0" borderId="2" xfId="1" applyNumberFormat="1" applyFont="1" applyBorder="1" applyAlignment="1">
      <alignment horizontal="right" vertical="center"/>
    </xf>
    <xf numFmtId="164" fontId="0" fillId="0" borderId="2" xfId="1" applyNumberFormat="1" applyFont="1" applyBorder="1" applyAlignment="1">
      <alignment horizontal="right" vertical="center"/>
    </xf>
    <xf numFmtId="164" fontId="0" fillId="0" borderId="17" xfId="1" applyNumberFormat="1" applyFont="1" applyBorder="1" applyAlignment="1">
      <alignment horizontal="right" vertical="center"/>
    </xf>
    <xf numFmtId="0" fontId="8" fillId="0" borderId="12" xfId="0" applyFont="1" applyBorder="1" applyAlignment="1">
      <alignment vertical="top"/>
    </xf>
    <xf numFmtId="0" fontId="8" fillId="0" borderId="7" xfId="0" applyFont="1" applyBorder="1" applyAlignment="1">
      <alignment vertical="top" wrapText="1"/>
    </xf>
    <xf numFmtId="164" fontId="7" fillId="2" borderId="2" xfId="1" applyNumberFormat="1" applyFont="1" applyFill="1" applyBorder="1" applyAlignment="1" applyProtection="1">
      <alignment horizontal="right" vertical="center"/>
      <protection locked="0"/>
    </xf>
    <xf numFmtId="0" fontId="2" fillId="3" borderId="18" xfId="0" applyFont="1" applyFill="1" applyBorder="1" applyAlignment="1" applyProtection="1">
      <alignment horizontal="center" vertical="center" wrapText="1"/>
      <protection locked="0"/>
    </xf>
    <xf numFmtId="164" fontId="7" fillId="2" borderId="2" xfId="1" applyNumberFormat="1" applyFont="1" applyFill="1" applyBorder="1" applyAlignment="1" applyProtection="1">
      <alignment horizontal="center" vertical="center"/>
      <protection locked="0"/>
    </xf>
    <xf numFmtId="164" fontId="7" fillId="2" borderId="3" xfId="1" applyNumberFormat="1" applyFont="1" applyFill="1" applyBorder="1" applyAlignment="1" applyProtection="1">
      <alignment horizontal="center" vertical="center"/>
      <protection locked="0"/>
    </xf>
    <xf numFmtId="0" fontId="18" fillId="0" borderId="0" xfId="0" applyFont="1" applyBorder="1" applyAlignment="1">
      <alignment horizontal="center" vertical="center"/>
    </xf>
    <xf numFmtId="0" fontId="19"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Border="1"/>
    <xf numFmtId="0" fontId="21" fillId="0" borderId="0" xfId="0" applyFont="1" applyBorder="1"/>
    <xf numFmtId="0" fontId="21" fillId="0" borderId="0" xfId="0" applyFont="1"/>
    <xf numFmtId="0" fontId="22" fillId="0" borderId="0" xfId="0" applyFont="1" applyBorder="1"/>
    <xf numFmtId="0" fontId="20" fillId="0" borderId="0" xfId="0" applyFont="1"/>
    <xf numFmtId="164" fontId="21" fillId="0" borderId="0" xfId="1" applyNumberFormat="1" applyFont="1" applyBorder="1"/>
    <xf numFmtId="0" fontId="21" fillId="10" borderId="19" xfId="0" applyFont="1" applyFill="1" applyBorder="1"/>
    <xf numFmtId="0" fontId="21" fillId="10" borderId="0" xfId="0" applyFont="1" applyFill="1" applyBorder="1"/>
    <xf numFmtId="0" fontId="23" fillId="0" borderId="0" xfId="3" applyBorder="1" applyAlignment="1">
      <alignment vertical="top"/>
    </xf>
    <xf numFmtId="164" fontId="23" fillId="0" borderId="0" xfId="3" applyNumberFormat="1" applyFill="1" applyBorder="1" applyAlignment="1">
      <alignment horizontal="center" vertical="center"/>
    </xf>
    <xf numFmtId="0" fontId="21" fillId="0" borderId="0" xfId="0" applyFont="1" applyFill="1" applyBorder="1" applyAlignment="1">
      <alignment horizontal="center" vertical="center"/>
    </xf>
    <xf numFmtId="0" fontId="22" fillId="0" borderId="0" xfId="0" applyFont="1" applyFill="1" applyBorder="1" applyAlignment="1">
      <alignment horizontal="center" vertical="center"/>
    </xf>
    <xf numFmtId="164" fontId="22" fillId="0" borderId="0" xfId="1" applyNumberFormat="1" applyFont="1" applyFill="1" applyBorder="1" applyAlignment="1">
      <alignment horizontal="center" vertical="center"/>
    </xf>
    <xf numFmtId="0" fontId="22" fillId="0" borderId="0" xfId="0" applyFont="1" applyFill="1" applyAlignment="1">
      <alignment horizontal="center" vertical="center"/>
    </xf>
    <xf numFmtId="164" fontId="0" fillId="2" borderId="2" xfId="1" applyNumberFormat="1" applyFont="1" applyFill="1" applyBorder="1" applyAlignment="1" applyProtection="1">
      <alignment horizontal="right" vertical="center"/>
      <protection locked="0"/>
    </xf>
    <xf numFmtId="0" fontId="13" fillId="3" borderId="0" xfId="3" applyFont="1" applyFill="1" applyBorder="1" applyAlignment="1" applyProtection="1">
      <alignment horizontal="center" vertical="center" wrapText="1"/>
      <protection locked="0"/>
    </xf>
    <xf numFmtId="164" fontId="24" fillId="0" borderId="0" xfId="3" applyNumberFormat="1" applyFont="1" applyFill="1" applyBorder="1" applyAlignment="1">
      <alignment horizontal="center" vertical="center" wrapText="1"/>
    </xf>
    <xf numFmtId="0" fontId="0" fillId="0" borderId="0" xfId="0" applyFont="1" applyFill="1" applyAlignment="1">
      <alignment horizontal="right" vertical="center"/>
    </xf>
    <xf numFmtId="164" fontId="6" fillId="0" borderId="2" xfId="1" applyNumberFormat="1" applyFont="1" applyFill="1" applyBorder="1" applyAlignment="1">
      <alignment horizontal="left" vertical="center" wrapText="1"/>
    </xf>
    <xf numFmtId="0" fontId="0" fillId="0" borderId="0" xfId="0" applyFill="1"/>
    <xf numFmtId="164" fontId="0" fillId="0" borderId="0" xfId="1" applyNumberFormat="1" applyFont="1" applyFill="1"/>
    <xf numFmtId="0" fontId="19" fillId="11" borderId="0" xfId="0" applyFont="1" applyFill="1" applyBorder="1" applyAlignment="1">
      <alignment horizontal="center" vertical="center"/>
    </xf>
    <xf numFmtId="0" fontId="21" fillId="0" borderId="0" xfId="0" applyFont="1" applyFill="1" applyBorder="1"/>
    <xf numFmtId="0" fontId="21" fillId="0" borderId="20" xfId="0" applyFont="1" applyBorder="1"/>
    <xf numFmtId="165" fontId="0" fillId="0" borderId="3" xfId="1" applyNumberFormat="1" applyFont="1" applyBorder="1" applyAlignment="1" applyProtection="1">
      <alignment vertical="center"/>
      <protection locked="0"/>
    </xf>
    <xf numFmtId="164" fontId="6" fillId="8" borderId="2" xfId="1" applyNumberFormat="1" applyFont="1" applyFill="1" applyBorder="1" applyAlignment="1">
      <alignment horizontal="left" vertical="center" wrapText="1"/>
    </xf>
    <xf numFmtId="0" fontId="23" fillId="0" borderId="6" xfId="3" applyBorder="1" applyAlignment="1">
      <alignment vertical="top"/>
    </xf>
    <xf numFmtId="0" fontId="23" fillId="0" borderId="9" xfId="3" applyBorder="1" applyAlignment="1">
      <alignment vertical="top"/>
    </xf>
    <xf numFmtId="0" fontId="23" fillId="0" borderId="6" xfId="3" applyFill="1" applyBorder="1" applyAlignment="1">
      <alignment vertical="top"/>
    </xf>
    <xf numFmtId="0" fontId="23" fillId="0" borderId="0" xfId="3" applyFill="1" applyBorder="1" applyAlignment="1">
      <alignment vertical="top"/>
    </xf>
    <xf numFmtId="0" fontId="13" fillId="6" borderId="6" xfId="0" applyFont="1" applyFill="1" applyBorder="1" applyAlignment="1">
      <alignment horizontal="center" vertical="center"/>
    </xf>
    <xf numFmtId="0" fontId="0" fillId="0" borderId="0" xfId="0" applyFont="1" applyBorder="1" applyAlignment="1">
      <alignment vertical="top"/>
    </xf>
    <xf numFmtId="0" fontId="0" fillId="0" borderId="6" xfId="0" applyFont="1" applyBorder="1" applyAlignment="1">
      <alignment vertical="top"/>
    </xf>
    <xf numFmtId="0" fontId="0" fillId="0" borderId="9" xfId="0" applyFont="1" applyBorder="1" applyAlignment="1">
      <alignment vertical="top"/>
    </xf>
    <xf numFmtId="0" fontId="0" fillId="0" borderId="6" xfId="0" applyFont="1" applyFill="1" applyBorder="1" applyAlignment="1">
      <alignment vertical="top"/>
    </xf>
    <xf numFmtId="0" fontId="0" fillId="0" borderId="0" xfId="0" applyFont="1" applyFill="1" applyBorder="1" applyAlignment="1">
      <alignment vertical="top"/>
    </xf>
    <xf numFmtId="0" fontId="0" fillId="0" borderId="9" xfId="0" applyFont="1" applyFill="1" applyBorder="1" applyAlignment="1">
      <alignment vertical="top"/>
    </xf>
    <xf numFmtId="0" fontId="0" fillId="0" borderId="5" xfId="0" applyFont="1" applyBorder="1" applyAlignment="1">
      <alignment vertical="top"/>
    </xf>
    <xf numFmtId="0" fontId="0" fillId="0" borderId="11" xfId="0" applyFont="1" applyBorder="1" applyAlignment="1">
      <alignment vertical="top"/>
    </xf>
    <xf numFmtId="0" fontId="0" fillId="0" borderId="8" xfId="0" applyFont="1" applyBorder="1" applyAlignment="1">
      <alignment vertical="top"/>
    </xf>
    <xf numFmtId="0" fontId="0" fillId="0" borderId="0" xfId="0" applyFont="1" applyAlignment="1">
      <alignment vertical="top"/>
    </xf>
    <xf numFmtId="0" fontId="23" fillId="0" borderId="9" xfId="3" applyFill="1" applyBorder="1" applyAlignment="1">
      <alignment vertical="top"/>
    </xf>
    <xf numFmtId="0" fontId="0" fillId="0" borderId="1" xfId="0" applyBorder="1" applyAlignment="1">
      <alignment horizontal="center" vertical="center"/>
    </xf>
    <xf numFmtId="0" fontId="17" fillId="0" borderId="0" xfId="0" applyFont="1" applyAlignment="1">
      <alignment horizontal="center"/>
    </xf>
    <xf numFmtId="164" fontId="0" fillId="0" borderId="24" xfId="1" applyNumberFormat="1" applyFont="1" applyBorder="1"/>
    <xf numFmtId="164" fontId="0" fillId="0" borderId="25" xfId="1" applyNumberFormat="1" applyFont="1" applyBorder="1"/>
    <xf numFmtId="164" fontId="0" fillId="12" borderId="24" xfId="1" applyNumberFormat="1" applyFont="1" applyFill="1" applyBorder="1"/>
    <xf numFmtId="164" fontId="0" fillId="12" borderId="25" xfId="1" applyNumberFormat="1" applyFont="1" applyFill="1" applyBorder="1"/>
    <xf numFmtId="164" fontId="0" fillId="13" borderId="26" xfId="1" applyNumberFormat="1" applyFont="1" applyFill="1" applyBorder="1" applyAlignment="1">
      <alignment vertical="center"/>
    </xf>
    <xf numFmtId="164" fontId="0" fillId="13" borderId="27" xfId="1" applyNumberFormat="1" applyFont="1" applyFill="1" applyBorder="1" applyAlignment="1">
      <alignment vertical="center"/>
    </xf>
    <xf numFmtId="0" fontId="0" fillId="0" borderId="0" xfId="0" applyBorder="1" applyAlignment="1">
      <alignment horizontal="center" vertical="center"/>
    </xf>
    <xf numFmtId="0" fontId="16" fillId="9" borderId="22" xfId="0" applyFont="1" applyFill="1" applyBorder="1" applyAlignment="1">
      <alignment horizontal="center" vertical="center"/>
    </xf>
    <xf numFmtId="0" fontId="0" fillId="2" borderId="1" xfId="0" applyFill="1" applyBorder="1"/>
    <xf numFmtId="0" fontId="0" fillId="0" borderId="5" xfId="0" applyBorder="1"/>
    <xf numFmtId="0" fontId="3" fillId="0" borderId="6" xfId="0" applyFont="1" applyBorder="1"/>
    <xf numFmtId="0" fontId="0" fillId="0" borderId="7" xfId="0" applyBorder="1"/>
    <xf numFmtId="0" fontId="8" fillId="0" borderId="11" xfId="0" applyFont="1" applyBorder="1"/>
    <xf numFmtId="0" fontId="0" fillId="0" borderId="12" xfId="0" applyBorder="1"/>
    <xf numFmtId="0" fontId="0" fillId="0" borderId="11" xfId="0" applyBorder="1"/>
    <xf numFmtId="0" fontId="3" fillId="0" borderId="11" xfId="0" applyFont="1" applyBorder="1"/>
    <xf numFmtId="0" fontId="3" fillId="0" borderId="12" xfId="0" applyFont="1" applyBorder="1"/>
    <xf numFmtId="0" fontId="3" fillId="0" borderId="9" xfId="0" applyFont="1" applyBorder="1"/>
    <xf numFmtId="0" fontId="0" fillId="0" borderId="10" xfId="0" applyBorder="1"/>
    <xf numFmtId="0" fontId="3" fillId="0" borderId="8" xfId="0" applyFont="1" applyBorder="1"/>
    <xf numFmtId="164" fontId="0" fillId="0" borderId="0" xfId="1" applyNumberFormat="1" applyFont="1" applyAlignment="1">
      <alignment vertical="center" wrapText="1"/>
    </xf>
    <xf numFmtId="0" fontId="21" fillId="0" borderId="0" xfId="0" applyFont="1" applyAlignment="1">
      <alignment vertical="top"/>
    </xf>
    <xf numFmtId="0" fontId="20" fillId="0" borderId="30" xfId="0" applyFont="1" applyBorder="1" applyAlignment="1"/>
    <xf numFmtId="0" fontId="21" fillId="0" borderId="30" xfId="0" applyFont="1" applyBorder="1" applyAlignment="1"/>
    <xf numFmtId="164" fontId="21" fillId="0" borderId="30" xfId="1" applyNumberFormat="1" applyFont="1" applyBorder="1" applyAlignment="1"/>
    <xf numFmtId="0" fontId="21" fillId="0" borderId="0" xfId="0" applyFont="1" applyAlignment="1"/>
    <xf numFmtId="0" fontId="20" fillId="0" borderId="31" xfId="0" applyFont="1" applyBorder="1" applyAlignment="1">
      <alignment vertical="top"/>
    </xf>
    <xf numFmtId="0" fontId="21" fillId="0" borderId="31" xfId="0" applyFont="1" applyBorder="1" applyAlignment="1">
      <alignment vertical="top"/>
    </xf>
    <xf numFmtId="164" fontId="21" fillId="0" borderId="31" xfId="1" applyNumberFormat="1" applyFont="1" applyBorder="1" applyAlignment="1">
      <alignment vertical="top"/>
    </xf>
    <xf numFmtId="0" fontId="2" fillId="3" borderId="28" xfId="0" applyFont="1" applyFill="1" applyBorder="1" applyAlignment="1">
      <alignment horizontal="center" vertical="center" wrapText="1"/>
    </xf>
    <xf numFmtId="164" fontId="6" fillId="0" borderId="29" xfId="1" applyNumberFormat="1" applyFont="1" applyBorder="1" applyAlignment="1">
      <alignment horizontal="left" vertical="center" wrapText="1"/>
    </xf>
    <xf numFmtId="164" fontId="6" fillId="2" borderId="29" xfId="1" applyNumberFormat="1" applyFont="1" applyFill="1" applyBorder="1" applyAlignment="1">
      <alignment horizontal="left" vertical="center" wrapText="1"/>
    </xf>
    <xf numFmtId="0" fontId="0" fillId="7" borderId="0" xfId="0" applyFill="1"/>
    <xf numFmtId="0" fontId="0" fillId="7" borderId="0" xfId="0" applyFill="1" applyAlignment="1">
      <alignment wrapText="1"/>
    </xf>
    <xf numFmtId="0" fontId="3" fillId="0" borderId="0" xfId="0" applyFont="1" applyAlignment="1">
      <alignment horizontal="center" vertical="center"/>
    </xf>
    <xf numFmtId="0" fontId="19" fillId="14" borderId="0" xfId="0" applyFont="1" applyFill="1" applyBorder="1" applyAlignment="1">
      <alignment horizontal="center" vertical="center"/>
    </xf>
    <xf numFmtId="0" fontId="22" fillId="14" borderId="0" xfId="0" applyFont="1" applyFill="1" applyBorder="1" applyAlignment="1">
      <alignment horizontal="center" vertical="center"/>
    </xf>
    <xf numFmtId="0" fontId="20" fillId="0" borderId="0" xfId="0" applyFont="1" applyFill="1" applyBorder="1" applyAlignment="1">
      <alignment horizontal="right" vertical="center"/>
    </xf>
    <xf numFmtId="0" fontId="2" fillId="3" borderId="32"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3" fillId="4" borderId="0" xfId="0" applyFont="1" applyFill="1" applyAlignment="1">
      <alignment horizontal="center" vertical="center"/>
    </xf>
    <xf numFmtId="164" fontId="6" fillId="0" borderId="11" xfId="1" applyNumberFormat="1" applyFont="1" applyBorder="1" applyAlignment="1">
      <alignment horizontal="left" vertical="center" wrapText="1"/>
    </xf>
    <xf numFmtId="164" fontId="6" fillId="13" borderId="8" xfId="1" applyNumberFormat="1" applyFont="1" applyFill="1" applyBorder="1" applyAlignment="1">
      <alignment horizontal="left" vertical="center" wrapText="1"/>
    </xf>
    <xf numFmtId="164" fontId="6" fillId="12" borderId="11" xfId="1" applyNumberFormat="1" applyFont="1" applyFill="1" applyBorder="1" applyAlignment="1">
      <alignment horizontal="left" vertical="center" wrapText="1"/>
    </xf>
    <xf numFmtId="164" fontId="6" fillId="0" borderId="5" xfId="1" applyNumberFormat="1" applyFont="1" applyBorder="1" applyAlignment="1">
      <alignment horizontal="left" vertical="center" wrapText="1"/>
    </xf>
    <xf numFmtId="164" fontId="6" fillId="0" borderId="6" xfId="1" applyNumberFormat="1" applyFont="1" applyBorder="1" applyAlignment="1">
      <alignment horizontal="left" vertical="center" wrapText="1"/>
    </xf>
    <xf numFmtId="164" fontId="6" fillId="0" borderId="0" xfId="1" applyNumberFormat="1" applyFont="1" applyBorder="1" applyAlignment="1">
      <alignment horizontal="left" vertical="center" wrapText="1"/>
    </xf>
    <xf numFmtId="164" fontId="6" fillId="12" borderId="0" xfId="1" applyNumberFormat="1" applyFont="1" applyFill="1" applyBorder="1" applyAlignment="1">
      <alignment horizontal="left" vertical="center" wrapText="1"/>
    </xf>
    <xf numFmtId="164" fontId="6" fillId="13" borderId="9" xfId="1" applyNumberFormat="1" applyFont="1" applyFill="1" applyBorder="1" applyAlignment="1">
      <alignment horizontal="left" vertical="center" wrapText="1"/>
    </xf>
    <xf numFmtId="164" fontId="0" fillId="0" borderId="21" xfId="1" applyNumberFormat="1" applyFont="1" applyBorder="1"/>
    <xf numFmtId="164" fontId="0" fillId="0" borderId="22" xfId="1" applyNumberFormat="1" applyFont="1" applyBorder="1"/>
    <xf numFmtId="164" fontId="0" fillId="0" borderId="23" xfId="1" applyNumberFormat="1" applyFont="1" applyBorder="1"/>
    <xf numFmtId="164" fontId="0" fillId="0" borderId="34" xfId="1" applyNumberFormat="1" applyFont="1" applyBorder="1"/>
    <xf numFmtId="164" fontId="0" fillId="12" borderId="34" xfId="1" applyNumberFormat="1" applyFont="1" applyFill="1" applyBorder="1"/>
    <xf numFmtId="164" fontId="0" fillId="13" borderId="35" xfId="1" applyNumberFormat="1" applyFont="1" applyFill="1" applyBorder="1" applyAlignment="1">
      <alignment vertical="center"/>
    </xf>
    <xf numFmtId="164" fontId="3" fillId="0" borderId="0" xfId="1" applyNumberFormat="1" applyFont="1" applyFill="1" applyAlignment="1">
      <alignment horizontal="center" vertical="center"/>
    </xf>
    <xf numFmtId="0" fontId="3" fillId="0" borderId="0" xfId="0" applyFont="1" applyFill="1" applyAlignment="1">
      <alignment horizontal="center" vertical="center"/>
    </xf>
    <xf numFmtId="0" fontId="3" fillId="0" borderId="0" xfId="0" applyFont="1" applyAlignment="1">
      <alignment horizontal="center" vertical="center" wrapText="1"/>
    </xf>
    <xf numFmtId="0" fontId="17" fillId="0" borderId="0" xfId="0" applyFont="1" applyAlignment="1">
      <alignment horizontal="center" vertical="center" wrapText="1"/>
    </xf>
    <xf numFmtId="164" fontId="0" fillId="15" borderId="0" xfId="1" applyNumberFormat="1" applyFont="1" applyFill="1"/>
    <xf numFmtId="0" fontId="3" fillId="15" borderId="0" xfId="0" applyFont="1" applyFill="1" applyAlignment="1">
      <alignment horizontal="center" vertical="center"/>
    </xf>
    <xf numFmtId="0" fontId="0" fillId="0" borderId="0" xfId="0" applyNumberFormat="1"/>
    <xf numFmtId="0" fontId="19" fillId="0" borderId="0" xfId="0" applyFont="1" applyFill="1" applyBorder="1" applyAlignment="1">
      <alignment horizontal="center" vertical="center"/>
    </xf>
    <xf numFmtId="0" fontId="19" fillId="0" borderId="0" xfId="0" applyFont="1" applyFill="1" applyAlignment="1">
      <alignment horizontal="center" vertical="center"/>
    </xf>
    <xf numFmtId="0" fontId="23" fillId="0" borderId="0" xfId="3" applyFill="1" applyAlignment="1">
      <alignment horizontal="center" vertical="center"/>
    </xf>
    <xf numFmtId="164" fontId="0" fillId="0" borderId="0" xfId="1" applyNumberFormat="1" applyFont="1" applyFill="1" applyAlignment="1">
      <alignment horizontal="center" vertical="center" wrapText="1"/>
    </xf>
  </cellXfs>
  <cellStyles count="4">
    <cellStyle name="Comma" xfId="1" builtinId="3"/>
    <cellStyle name="Hyperlink" xfId="3" builtinId="8"/>
    <cellStyle name="Normal" xfId="0" builtinId="0"/>
    <cellStyle name="Normal 2" xfId="2" xr:uid="{A025BE70-F668-4B0F-9A22-BD2D56EB8877}"/>
  </cellStyles>
  <dxfs count="2059">
    <dxf>
      <numFmt numFmtId="0" formatCode="General"/>
    </dxf>
    <dxf>
      <numFmt numFmtId="0" formatCode="General"/>
    </dxf>
    <dxf>
      <font>
        <b val="0"/>
        <i val="0"/>
        <strike val="0"/>
        <condense val="0"/>
        <extend val="0"/>
        <outline val="0"/>
        <shadow val="0"/>
        <u val="none"/>
        <vertAlign val="baseline"/>
        <sz val="11"/>
        <color theme="1"/>
        <name val="Calibri"/>
        <family val="2"/>
        <scheme val="minor"/>
      </font>
      <numFmt numFmtId="164" formatCode="_-* #,##0_-;\-* #,##0_-;_-* &quot;-&quot;??_-;_-@_-"/>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none">
          <fgColor indexed="64"/>
          <bgColor auto="1"/>
        </patternFill>
      </fill>
    </dxf>
    <dxf>
      <font>
        <b/>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
      <fill>
        <patternFill>
          <bgColor theme="7" tint="0.79998168889431442"/>
        </patternFill>
      </fill>
    </dxf>
    <dxf>
      <fill>
        <patternFill patternType="none">
          <bgColor auto="1"/>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val="0"/>
        <i val="0"/>
        <strike val="0"/>
        <condense val="0"/>
        <extend val="0"/>
        <outline val="0"/>
        <shadow val="0"/>
        <u val="none"/>
        <vertAlign val="baseline"/>
        <sz val="11"/>
        <color theme="1"/>
        <name val="Calibri"/>
        <family val="2"/>
        <scheme val="minor"/>
      </font>
      <numFmt numFmtId="164" formatCode="_-* #,##0_-;\-* #,##0_-;_-* &quot;-&quot;??_-;_-@_-"/>
      <fill>
        <patternFill patternType="solid">
          <fgColor indexed="64"/>
          <bgColor theme="4" tint="0.79998168889431442"/>
        </patternFill>
      </fill>
    </dxf>
    <dxf>
      <font>
        <b/>
        <i val="0"/>
        <strike val="0"/>
        <condense val="0"/>
        <extend val="0"/>
        <outline val="0"/>
        <shadow val="0"/>
        <u val="none"/>
        <vertAlign val="baseline"/>
        <sz val="11"/>
        <color theme="1"/>
        <name val="Calibri"/>
        <family val="2"/>
        <scheme val="minor"/>
      </font>
      <fill>
        <patternFill patternType="solid">
          <fgColor indexed="64"/>
          <bgColor theme="4" tint="0.79998168889431442"/>
        </patternFill>
      </fill>
      <alignment horizontal="center" vertical="center" textRotation="0" indent="0" justifyLastLine="0" shrinkToFit="0" readingOrder="0"/>
    </dxf>
    <dxf>
      <font>
        <b val="0"/>
        <i val="0"/>
        <strike val="0"/>
        <condense val="0"/>
        <extend val="0"/>
        <outline val="0"/>
        <shadow val="0"/>
        <u val="none"/>
        <vertAlign val="baseline"/>
        <sz val="11"/>
        <color rgb="FF000000"/>
        <name val="Calibri"/>
        <family val="2"/>
        <scheme val="none"/>
      </font>
      <fill>
        <patternFill patternType="solid">
          <fgColor rgb="FF000000"/>
          <bgColor rgb="FFD9E1F2"/>
        </patternFill>
      </fill>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right style="thin">
          <color theme="4" tint="0.39997558519241921"/>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outline="0">
        <left/>
        <right/>
        <top style="thin">
          <color theme="4" tint="0.39997558519241921"/>
        </top>
        <bottom/>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outline="0">
        <left/>
        <right/>
        <top style="thin">
          <color theme="4" tint="0.39997558519241921"/>
        </top>
        <bottom/>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numFmt numFmtId="164" formatCode="_-* #,##0_-;\-* #,##0_-;_-* &quot;-&quot;??_-;_-@_-"/>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bottom"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theme="1"/>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rgb="FF8EA9DB"/>
        </left>
        <top style="thin">
          <color rgb="FF8EA9DB"/>
        </top>
        <bottom style="thin">
          <color rgb="FF8EA9DB"/>
        </bottom>
      </border>
    </dxf>
    <dxf>
      <font>
        <b val="0"/>
        <i val="0"/>
        <strike val="0"/>
        <condense val="0"/>
        <extend val="0"/>
        <outline val="0"/>
        <shadow val="0"/>
        <u val="none"/>
        <vertAlign val="baseline"/>
        <sz val="11"/>
        <color rgb="FF000000"/>
        <name val="Calibri"/>
        <family val="2"/>
        <scheme val="none"/>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bottom"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style="thin">
          <color theme="4" tint="0.39997558519241921"/>
        </bottom>
        <vertical/>
        <horizontal/>
      </border>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35" formatCode="_-* #,##0.00_-;\-* #,##0.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5" formatCode="_-* #,##0.0_-;\-* #,##0.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val="0"/>
        <i val="0"/>
        <strike val="0"/>
        <condense val="0"/>
        <extend val="0"/>
        <outline val="0"/>
        <shadow val="0"/>
        <u val="none"/>
        <vertAlign val="baseline"/>
        <sz val="11"/>
        <color rgb="FF000000"/>
        <name val="Calibri"/>
        <family val="2"/>
        <scheme val="minor"/>
      </font>
      <numFmt numFmtId="164" formatCode="_-* #,##0_-;\-* #,##0_-;_-* &quot;-&quot;??_-;_-@_-"/>
      <alignment horizontal="right" vertical="center" textRotation="0" wrapText="0" indent="0" justifyLastLine="0" shrinkToFit="0" readingOrder="0"/>
      <border diagonalUp="0" diagonalDown="0">
        <left/>
        <right/>
        <top style="thin">
          <color theme="4" tint="0.39997558519241921"/>
        </top>
        <bottom/>
        <vertical/>
        <horizontal/>
      </border>
      <protection locked="0" hidden="0"/>
    </dxf>
    <dxf>
      <font>
        <b/>
        <i val="0"/>
        <strike val="0"/>
        <condense val="0"/>
        <extend val="0"/>
        <outline val="0"/>
        <shadow val="0"/>
        <u val="none"/>
        <vertAlign val="baseline"/>
        <sz val="11"/>
        <color rgb="FF000000"/>
        <name val="Calibri"/>
        <family val="2"/>
        <scheme val="minor"/>
      </font>
      <numFmt numFmtId="164" formatCode="_-* #,##0_-;\-* #,##0_-;_-* &quot;-&quot;??_-;_-@_-"/>
      <alignment horizontal="left" vertical="center" textRotation="0" wrapText="1"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rder>
    </dxf>
    <dxf>
      <font>
        <b val="0"/>
        <i val="0"/>
        <strike val="0"/>
        <condense val="0"/>
        <extend val="0"/>
        <outline val="0"/>
        <shadow val="0"/>
        <u val="none"/>
        <vertAlign val="baseline"/>
        <sz val="11"/>
        <color rgb="FF000000"/>
        <name val="Calibri"/>
        <family val="2"/>
        <scheme val="minor"/>
      </font>
      <alignment horizontal="right" vertical="center" textRotation="0" wrapText="0" indent="0" justifyLastLine="0" shrinkToFit="0" readingOrder="0"/>
      <protection locked="0" hidden="0"/>
    </dxf>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1" indent="0" justifyLastLine="0" shrinkToFit="0" readingOrder="0"/>
      <protection locked="0" hidden="0"/>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b val="0"/>
        <i val="0"/>
        <strike val="0"/>
        <condense val="0"/>
        <extend val="0"/>
        <outline val="0"/>
        <shadow val="0"/>
        <u val="none"/>
        <vertAlign val="baseline"/>
        <sz val="11"/>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strike val="0"/>
        <outline val="0"/>
        <shadow val="0"/>
        <u val="none"/>
        <vertAlign val="baseline"/>
        <color auto="1"/>
        <name val="Calibri"/>
        <family val="2"/>
        <scheme val="minor"/>
      </font>
      <numFmt numFmtId="164" formatCode="_-* #,##0_-;\-* #,##0_-;_-* &quot;-&quot;??_-;_-@_-"/>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b val="0"/>
        <i val="0"/>
        <strike val="0"/>
        <condense val="0"/>
        <extend val="0"/>
        <outline val="0"/>
        <shadow val="0"/>
        <u val="none"/>
        <vertAlign val="baseline"/>
        <sz val="11"/>
        <color auto="1"/>
        <name val="Calibri"/>
        <family val="2"/>
        <scheme val="minor"/>
      </font>
    </dxf>
    <dxf>
      <font>
        <strike val="0"/>
        <outline val="0"/>
        <shadow val="0"/>
        <u val="none"/>
        <vertAlign val="baseline"/>
        <color auto="1"/>
        <name val="Calibri"/>
        <family val="2"/>
        <scheme val="minor"/>
      </font>
    </dxf>
    <dxf>
      <font>
        <b val="0"/>
        <i/>
        <strike val="0"/>
        <condense val="0"/>
        <extend val="0"/>
        <outline val="0"/>
        <shadow val="0"/>
        <u val="none"/>
        <vertAlign val="baseline"/>
        <sz val="11"/>
        <color auto="1"/>
        <name val="Calibri"/>
        <family val="2"/>
        <scheme val="minor"/>
      </font>
    </dxf>
    <dxf>
      <border outline="0">
        <left style="thin">
          <color indexed="64"/>
        </left>
        <right style="thin">
          <color indexed="64"/>
        </right>
        <top style="thin">
          <color indexed="64"/>
        </top>
        <bottom style="thin">
          <color indexed="64"/>
        </bottom>
      </border>
    </dxf>
    <dxf>
      <font>
        <strike val="0"/>
        <outline val="0"/>
        <shadow val="0"/>
        <u val="none"/>
        <vertAlign val="baseline"/>
        <color auto="1"/>
        <name val="Calibri"/>
        <family val="2"/>
        <scheme val="minor"/>
      </font>
    </dxf>
    <dxf>
      <font>
        <b/>
        <i val="0"/>
        <strike val="0"/>
        <condense val="0"/>
        <extend val="0"/>
        <outline val="0"/>
        <shadow val="0"/>
        <u val="none"/>
        <vertAlign val="baseline"/>
        <sz val="12"/>
        <color auto="1"/>
        <name val="Calibri"/>
        <family val="2"/>
        <scheme val="minor"/>
      </font>
      <alignment horizontal="center" vertical="center" textRotation="0" wrapText="0" indent="0" justifyLastLine="0" shrinkToFit="0" readingOrder="0"/>
    </dxf>
  </dxfs>
  <tableStyles count="0" defaultTableStyle="TableStyleLight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connections" Target="connection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styles" Target="styles.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theme" Target="theme/theme1.xml"/><Relationship Id="rId9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microsoft.com/office/2017/10/relationships/person" Target="persons/person.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persons/person.xml><?xml version="1.0" encoding="utf-8"?>
<personList xmlns="http://schemas.microsoft.com/office/spreadsheetml/2018/threadedcomments" xmlns:x="http://schemas.openxmlformats.org/spreadsheetml/2006/main">
  <person displayName="Emilie Lavallee" id="{5786DCAD-B90B-4E94-BCEB-F3F022634614}" userId="Emilie Lavallee" providerId="None"/>
</personList>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63C8BE9F-4177-4745-8088-B26D17CD1493}" autoFormatId="16" applyNumberFormats="0" applyBorderFormats="0" applyFontFormats="0" applyPatternFormats="0" applyAlignmentFormats="0" applyWidthHeightFormats="0">
  <queryTableRefresh nextId="4">
    <queryTableFields count="3">
      <queryTableField id="1" name="Attribute" tableColumnId="1"/>
      <queryTableField id="2" name="Parliamentary Papers 1846_x000a_Exports, Year Ending:" tableColumnId="2"/>
      <queryTableField id="3" name="Value" tableColumnId="3"/>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3F2E2F47-01C7-4EC9-A6E8-A37D3695939D}" name="Table31" displayName="Table31" ref="A1:CU169" totalsRowShown="0" headerRowDxfId="2058" dataDxfId="2057" tableBorderDxfId="2056">
  <autoFilter ref="A1:CU169" xr:uid="{3F2E2F47-01C7-4EC9-A6E8-A37D3695939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filterColumn colId="85" hiddenButton="1"/>
    <filterColumn colId="86" hiddenButton="1"/>
    <filterColumn colId="87" hiddenButton="1"/>
    <filterColumn colId="88" hiddenButton="1"/>
    <filterColumn colId="89" hiddenButton="1"/>
    <filterColumn colId="90" hiddenButton="1"/>
    <filterColumn colId="91" hiddenButton="1"/>
    <filterColumn colId="92" hiddenButton="1"/>
    <filterColumn colId="93" hiddenButton="1"/>
    <filterColumn colId="94" hiddenButton="1"/>
    <filterColumn colId="95" hiddenButton="1"/>
    <filterColumn colId="96" hiddenButton="1"/>
    <filterColumn colId="97" hiddenButton="1"/>
    <filterColumn colId="98" hiddenButton="1"/>
  </autoFilter>
  <tableColumns count="99">
    <tableColumn id="1" xr3:uid="{08DBEAB4-4CF3-494E-87F6-5C1683D74A98}" name="I/E" dataDxfId="2055"/>
    <tableColumn id="2" xr3:uid="{0636E457-D18B-4215-9CEC-80CAFC75AE09}" name="Commodities" dataDxfId="2054"/>
    <tableColumn id="46" xr3:uid="{06EFAAE2-B4EF-48C1-B18B-9DE004DB0014}" name="1768-69" dataDxfId="2053"/>
    <tableColumn id="47" xr3:uid="{46C05894-DD54-414C-8643-F9332EB9F35A}" name="1769-70" dataDxfId="2052"/>
    <tableColumn id="48" xr3:uid="{3E3E6B7F-8CF2-4228-937E-E6806C668E8F}" name="1770-71" dataDxfId="2051"/>
    <tableColumn id="49" xr3:uid="{B9243F31-2C7B-4A27-A573-F01009FD2DF9}" name="1771-72" dataDxfId="2050"/>
    <tableColumn id="50" xr3:uid="{58324974-37BD-4540-B947-CB8ADF08B9DE}" name="1772-73" dataDxfId="2049"/>
    <tableColumn id="51" xr3:uid="{CA17EF45-0A77-4FD0-BBBB-48D13DE58A4B}" name="1773-74" dataDxfId="2048"/>
    <tableColumn id="52" xr3:uid="{C6FBA429-63D4-4BC2-8263-1F7352B9D6DD}" name="1774-75" dataDxfId="2047"/>
    <tableColumn id="53" xr3:uid="{CAA01FCE-40FA-4CD1-941E-E04006EEFB44}" name="1775-76" dataDxfId="2046"/>
    <tableColumn id="54" xr3:uid="{682D8CD5-283D-4A8C-B965-CEC7E44DD0EA}" name="1776-77" dataDxfId="2045"/>
    <tableColumn id="55" xr3:uid="{4B9AE3BF-7E3A-4A2E-A996-848B9B430DE9}" name="1777-78" dataDxfId="2044"/>
    <tableColumn id="56" xr3:uid="{CA8F9D36-C458-41CF-BE45-2AF585DE815A}" name="1778-79" dataDxfId="2043"/>
    <tableColumn id="57" xr3:uid="{DF663518-882B-4B7F-BA81-E3933CD63BD3}" name="1779-80" dataDxfId="2042"/>
    <tableColumn id="58" xr3:uid="{D167EACB-CA25-4B43-9EFD-4999CD88667C}" name="1780-81" dataDxfId="2041"/>
    <tableColumn id="59" xr3:uid="{BAD1A14D-BE49-4FED-8509-1A404EFFA129}" name="1781-82" dataDxfId="2040"/>
    <tableColumn id="60" xr3:uid="{F8C6CA27-7D3E-481D-AB04-8816D14572DA}" name="1782-83" dataDxfId="2039"/>
    <tableColumn id="61" xr3:uid="{5EF00A52-70CE-4AA5-8252-B1C408A90CBD}" name="1783-84" dataDxfId="2038"/>
    <tableColumn id="62" xr3:uid="{AFE9726D-3360-4A01-973D-6F99CDF7FCF1}" name="1784-85" dataDxfId="2037"/>
    <tableColumn id="63" xr3:uid="{D150448B-FFEB-4D9A-AA67-D3C85ED38DF6}" name="1785-86" dataDxfId="2036"/>
    <tableColumn id="64" xr3:uid="{BCB2BF2A-57C4-4431-808C-BAACBC1CB945}" name="1786-87" dataDxfId="2035"/>
    <tableColumn id="65" xr3:uid="{DCDB91B5-F4B4-4BB1-84C4-05185DC6F101}" name="1787-88" dataDxfId="2034"/>
    <tableColumn id="66" xr3:uid="{C36CF0DF-51AC-419D-9FC7-DEEC3DDDEC82}" name="1788-89" dataDxfId="2033"/>
    <tableColumn id="67" xr3:uid="{1AA1A3DB-3A15-4C15-9BAF-1CA7053804B4}" name="1789-90" dataDxfId="2032"/>
    <tableColumn id="68" xr3:uid="{FC09E3AF-5BC7-43BA-88EA-78AD524044B4}" name="1790-91" dataDxfId="2031"/>
    <tableColumn id="69" xr3:uid="{3A57477B-89AF-43E0-8695-A481955B1664}" name="1791-92" dataDxfId="2030"/>
    <tableColumn id="70" xr3:uid="{F04659D2-0479-47D9-8621-799749B456A0}" name="1792-93" dataDxfId="2029"/>
    <tableColumn id="71" xr3:uid="{E63A0A14-1106-4058-AA45-9D184984E53A}" name="1793-94" dataDxfId="2028"/>
    <tableColumn id="72" xr3:uid="{DEA28306-309F-4A22-AC21-C1103897A361}" name="1794-95" dataDxfId="2027"/>
    <tableColumn id="73" xr3:uid="{58E41FEB-2D56-4D2B-9848-8A6AD55026B5}" name="1795-96" dataDxfId="2026"/>
    <tableColumn id="3" xr3:uid="{F5CAF839-BEAD-40B4-8D3D-CF89B210D761}" name="1796-97" dataDxfId="2025" dataCellStyle="Comma">
      <calculatedColumnFormula>SUMIFS(Database!$G:$G,Database!$E:$E,$B2,Database!$C:$C,AE$1,Database!$F:$F,"Total")</calculatedColumnFormula>
    </tableColumn>
    <tableColumn id="4" xr3:uid="{60A76E4A-0C86-46A2-8F62-68CFF55F4E20}" name="1797-98" dataDxfId="2024" dataCellStyle="Comma">
      <calculatedColumnFormula>SUMIFS(Database!$G:$G,Database!$E:$E,$B2,Database!$C:$C,AF$1,Database!$F:$F,"Total")</calculatedColumnFormula>
    </tableColumn>
    <tableColumn id="5" xr3:uid="{9D11BF4A-77D9-4E59-8F03-A4AD90BBDF44}" name="1798-99" dataDxfId="2023" dataCellStyle="Comma">
      <calculatedColumnFormula>SUMIFS(Database!$G:$G,Database!$E:$E,$B2,Database!$C:$C,AG$1,Database!$F:$F,"Total")</calculatedColumnFormula>
    </tableColumn>
    <tableColumn id="6" xr3:uid="{1EC712B7-6826-46B0-8EF7-04F59C4F26EB}" name="1799-1800" dataDxfId="2022" dataCellStyle="Comma">
      <calculatedColumnFormula>SUMIFS(Database!$G:$G,Database!$E:$E,$B2,Database!$C:$C,AH$1,Database!$F:$F,"Total")</calculatedColumnFormula>
    </tableColumn>
    <tableColumn id="7" xr3:uid="{206ECE61-F135-4BDF-AEBE-01B3D0196C8F}" name="1800-01" dataDxfId="2021" dataCellStyle="Comma">
      <calculatedColumnFormula>SUMIFS(Database!$G:$G,Database!$E:$E,$B2,Database!$C:$C,AI$1,Database!$F:$F,"Total")</calculatedColumnFormula>
    </tableColumn>
    <tableColumn id="8" xr3:uid="{802A2684-89BB-46D8-844D-3DCCF4A7E8A1}" name="1801-02" dataDxfId="2020" dataCellStyle="Comma">
      <calculatedColumnFormula>SUMIFS(Database!$G:$G,Database!$E:$E,$B2,Database!$C:$C,AJ$1,Database!$F:$F,"Total")</calculatedColumnFormula>
    </tableColumn>
    <tableColumn id="9" xr3:uid="{2BD9BF6E-8526-4C4D-9DD9-81BF3E282B37}" name="1802-03" dataDxfId="2019" dataCellStyle="Comma">
      <calculatedColumnFormula>SUMIFS(Database!$G:$G,Database!$E:$E,$B2,Database!$C:$C,AK$1,Database!$F:$F,"Total")</calculatedColumnFormula>
    </tableColumn>
    <tableColumn id="10" xr3:uid="{44092B49-96BA-4794-96FE-1C61660998B2}" name="1803-04" dataDxfId="2018" dataCellStyle="Comma">
      <calculatedColumnFormula>SUMIFS(Database!$G:$G,Database!$E:$E,$B2,Database!$C:$C,AL$1,Database!$F:$F,"Total")</calculatedColumnFormula>
    </tableColumn>
    <tableColumn id="11" xr3:uid="{81198106-EB79-4CD0-AE62-D2D11C0460CD}" name="1804-05" dataDxfId="2017" dataCellStyle="Comma">
      <calculatedColumnFormula>SUMIFS(Database!$G:$G,Database!$E:$E,$B2,Database!$C:$C,AM$1,Database!$F:$F,"Total")</calculatedColumnFormula>
    </tableColumn>
    <tableColumn id="12" xr3:uid="{127923C9-79C9-4B43-8410-833AB23D373A}" name="1805-06" dataDxfId="2016" dataCellStyle="Comma">
      <calculatedColumnFormula>SUMIFS(Database!$G:$G,Database!$E:$E,$B2,Database!$C:$C,AN$1,Database!$F:$F,"Total")</calculatedColumnFormula>
    </tableColumn>
    <tableColumn id="13" xr3:uid="{9F3BB629-F2DA-4818-844C-C4C5C5A8B6A1}" name="1806-07" dataDxfId="2015" dataCellStyle="Comma">
      <calculatedColumnFormula>SUMIFS(Database!$G:$G,Database!$E:$E,$B2,Database!$C:$C,AO$1,Database!$F:$F,"Total")</calculatedColumnFormula>
    </tableColumn>
    <tableColumn id="14" xr3:uid="{19243261-56A5-4C53-ADE6-4192FD8BBDED}" name="1807-08" dataDxfId="2014" dataCellStyle="Comma">
      <calculatedColumnFormula>SUMIFS(Database!$G:$G,Database!$E:$E,$B2,Database!$C:$C,AP$1,Database!$F:$F,"Total")</calculatedColumnFormula>
    </tableColumn>
    <tableColumn id="15" xr3:uid="{6E376C65-04DF-47D7-8B1F-8248DF96E0E1}" name="1808-09" dataDxfId="2013" dataCellStyle="Comma">
      <calculatedColumnFormula>SUMIFS(Database!$G:$G,Database!$E:$E,$B2,Database!$C:$C,AQ$1,Database!$F:$F,"Total")</calculatedColumnFormula>
    </tableColumn>
    <tableColumn id="45" xr3:uid="{A448B535-C1A7-4378-9B57-DF0C6CDC00B4}" name="1809-10" dataDxfId="2012" dataCellStyle="Comma"/>
    <tableColumn id="16" xr3:uid="{F9681B04-6ABA-4B97-B4DF-026544F27A31}" name="1810-11" dataDxfId="2011" dataCellStyle="Comma">
      <calculatedColumnFormula>SUMIFS(Database!$G:$G,Database!$E:$E,$B2,Database!$C:$C,AS$1,Database!$F:$F,"Total")</calculatedColumnFormula>
    </tableColumn>
    <tableColumn id="17" xr3:uid="{823FE319-9C86-4EE1-95E8-EA58358B0714}" name="1811-12" dataDxfId="2010" dataCellStyle="Comma">
      <calculatedColumnFormula>SUMIFS(Database!$G:$G,Database!$E:$E,$B2,Database!$C:$C,AT$1,Database!$F:$F,"Total")</calculatedColumnFormula>
    </tableColumn>
    <tableColumn id="18" xr3:uid="{7835F009-BA56-41A3-A894-3251AF403F19}" name="1812-13" dataDxfId="2009"/>
    <tableColumn id="19" xr3:uid="{8E68AA26-44AC-417F-A808-5D6D4D39114D}" name="1813-14" dataDxfId="2008"/>
    <tableColumn id="20" xr3:uid="{38815DD3-EC8A-4050-BC4A-5B76A1E27A87}" name="1814-15" dataDxfId="2007"/>
    <tableColumn id="21" xr3:uid="{F9BE3866-FDE6-4830-A3DC-D05CBACC2E5B}" name="1815-16" dataDxfId="2006"/>
    <tableColumn id="22" xr3:uid="{0D4EA9C0-743E-4EF9-95AB-1A73BECFE99E}" name="1816-17" dataDxfId="2005"/>
    <tableColumn id="23" xr3:uid="{A274AEAD-8286-42A9-A46A-8FD56D70F1B7}" name="1817-18" dataDxfId="2004"/>
    <tableColumn id="24" xr3:uid="{68A6722E-572B-4380-A7DC-12B188DE7118}" name="1818-19" dataDxfId="2003"/>
    <tableColumn id="25" xr3:uid="{A8348183-AEF5-41D6-989D-0F7A57DD42C9}" name="1819-20" dataDxfId="2002"/>
    <tableColumn id="26" xr3:uid="{3C3F23B6-3749-4EED-AEEE-F7DBD5E60611}" name="1820-21" dataDxfId="2001"/>
    <tableColumn id="27" xr3:uid="{4689C8D1-98B0-46BD-8E95-D9BD02DCC5CD}" name="1821-22" dataDxfId="2000"/>
    <tableColumn id="28" xr3:uid="{B11D44CC-F948-48E6-8122-949C1501DC86}" name="1822-23" dataDxfId="1999"/>
    <tableColumn id="29" xr3:uid="{25D54CAA-80D4-4046-8483-2FC5822DCED1}" name="1823-24" dataDxfId="1998"/>
    <tableColumn id="30" xr3:uid="{E9A2841D-1ED5-4ED3-85DE-BCCF75E4CBAF}" name="1824-25" dataDxfId="1997"/>
    <tableColumn id="31" xr3:uid="{B4D69273-2DFD-4006-9F01-8FF45ED82C55}" name="1825-26" dataDxfId="1996"/>
    <tableColumn id="32" xr3:uid="{59F0AFAC-AA8C-4051-8466-AC699E649060}" name="1826-27" dataDxfId="1995"/>
    <tableColumn id="33" xr3:uid="{E1B32505-91BE-4344-BBD1-B210CC5DC530}" name="1827-28" dataDxfId="1994"/>
    <tableColumn id="34" xr3:uid="{EC0BBBDF-295D-4796-9CDE-6B44603DCAA5}" name="1828-29" dataDxfId="1993"/>
    <tableColumn id="35" xr3:uid="{1FCDB69F-E403-4AE6-B6BA-01FBF31B35A0}" name="1829-30" dataDxfId="1992"/>
    <tableColumn id="36" xr3:uid="{CF5AE403-FA2A-4DCE-9F40-103AED9A825E}" name="1830-31" dataDxfId="1991"/>
    <tableColumn id="37" xr3:uid="{7B41E3D6-3422-4B77-BEDD-719FD9CC5E47}" name="1831-32" dataDxfId="1990"/>
    <tableColumn id="38" xr3:uid="{7FE8B118-DECA-4866-83FC-4F409652766C}" name="1832-33" dataDxfId="1989"/>
    <tableColumn id="39" xr3:uid="{DF3A6C1F-1E8E-4A58-B826-5188F5A29FB2}" name="1833-34" dataDxfId="1988"/>
    <tableColumn id="40" xr3:uid="{68150325-6819-4EF5-B3C5-7F714286D827}" name="1834-35" dataDxfId="1987"/>
    <tableColumn id="41" xr3:uid="{B933E35B-4A9A-4430-86CA-F66B8D1F5251}" name="1835-36" dataDxfId="1986"/>
    <tableColumn id="42" xr3:uid="{6230BEB8-5251-49BA-86C2-254B9BDE1257}" name="1836-37" dataDxfId="1985"/>
    <tableColumn id="43" xr3:uid="{1AFF282E-A7E9-4D64-8733-FF89491879B2}" name="1837-38" dataDxfId="1984"/>
    <tableColumn id="44" xr3:uid="{83EC2674-6235-49A1-963A-F04BCFC3E2E4}" name="1838-39" dataDxfId="1983"/>
    <tableColumn id="89" xr3:uid="{D3422B38-3FE4-43D1-9CD4-72FFC962D58E}" name="1839-40" dataDxfId="1982"/>
    <tableColumn id="90" xr3:uid="{A7B8F663-3A27-44FF-9869-2DA1FD69DABE}" name="1840-41" dataDxfId="1981"/>
    <tableColumn id="91" xr3:uid="{0113243C-E7EC-45B5-9E8D-914F9F6ADC2B}" name="1841-42" dataDxfId="1980"/>
    <tableColumn id="92" xr3:uid="{A411C20A-9A6D-4C95-9F32-FF4264D77FAF}" name="1842-43" dataDxfId="1979"/>
    <tableColumn id="93" xr3:uid="{93AA176D-0899-4C98-8879-CC7ED2D037AF}" name="1843-44" dataDxfId="1978"/>
    <tableColumn id="94" xr3:uid="{38F98F5A-8026-48C1-85B6-0750B036BFBD}" name="1844-45" dataDxfId="1977"/>
    <tableColumn id="95" xr3:uid="{E8341731-2FAA-4DD3-BA89-435CD49719A4}" name="1845-46" dataDxfId="1976"/>
    <tableColumn id="96" xr3:uid="{E1F442AE-77ED-44CA-B690-F4185834D855}" name="1846-47" dataDxfId="1975"/>
    <tableColumn id="97" xr3:uid="{27B3993A-83A8-424E-8C29-B756DD1D057C}" name="1847-48" dataDxfId="1974"/>
    <tableColumn id="98" xr3:uid="{D3D81220-E384-406F-B5DE-B9C632048C38}" name="1848-49" dataDxfId="1973"/>
    <tableColumn id="99" xr3:uid="{45ABCBB0-2C2D-4D4B-91D5-0ECF6E025830}" name="1849-50" dataDxfId="1972"/>
    <tableColumn id="100" xr3:uid="{D5F81F83-DCAC-408D-84D6-B146BF9A580C}" name="1850-51" dataDxfId="1971"/>
    <tableColumn id="101" xr3:uid="{C2CF1FC5-8992-40EE-A4C8-C6C257F927CF}" name="1851-52" dataDxfId="1970"/>
    <tableColumn id="102" xr3:uid="{A57AA65B-0A68-4D59-A2BD-FF85353E6CE5}" name="1852-53" dataDxfId="1969"/>
    <tableColumn id="103" xr3:uid="{CFF3C114-D3EC-409D-8568-86A164C6F17E}" name="1853-54" dataDxfId="1968"/>
    <tableColumn id="104" xr3:uid="{9898A398-1751-4805-A535-2277CE5DC23A}" name="1854-55" dataDxfId="1967"/>
    <tableColumn id="105" xr3:uid="{44E5F9BA-D953-481B-8B65-E8C4854AD580}" name="1855-56" dataDxfId="1966"/>
    <tableColumn id="106" xr3:uid="{7C98CE7A-BD18-4A6D-875D-F33A57BD991B}" name="1856-57" dataDxfId="1965"/>
    <tableColumn id="107" xr3:uid="{F13CB686-8305-42BA-B10C-0EE124ABF6B7}" name="1857-58" dataDxfId="1964"/>
    <tableColumn id="108" xr3:uid="{307C0F11-64CB-4F15-A856-CE398E407A08}" name="1858-59" dataDxfId="1963"/>
    <tableColumn id="109" xr3:uid="{CBBBEF97-6F56-4434-B0D2-40426E9B99DE}" name="1859-60" dataDxfId="1962"/>
    <tableColumn id="110" xr3:uid="{D2B47F19-D59C-4A58-AAC3-7DA32396ED50}" name="1860-61" dataDxfId="1961"/>
    <tableColumn id="111" xr3:uid="{637BB0BA-24AB-4C2D-8CF6-C836DD1571AC}" name="1861-62" dataDxfId="1960"/>
    <tableColumn id="112" xr3:uid="{5D07794F-850F-41D1-A1AB-9B7068C89149}" name="1862-63" dataDxfId="1959"/>
    <tableColumn id="113" xr3:uid="{31A253C1-713E-4C5C-AE95-4ECE26B72BFC}" name="1863-64" dataDxfId="1958"/>
    <tableColumn id="114" xr3:uid="{89C6AE91-3090-4C61-A03E-34FF16297DB3}" name="1864-65" dataDxfId="1957"/>
  </tableColumns>
  <tableStyleInfo name="TableStyleLight4" showFirstColumn="0" showLastColumn="0" showRowStripes="0" showColumnStripes="1"/>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B07EA1A5-4B11-45BD-B2C2-01A7AD8845E4}" name="Table1016" displayName="Table1016" ref="A1:AC27" totalsRowShown="0" headerRowDxfId="43" dataDxfId="42" dataCellStyle="Comma">
  <autoFilter ref="A1:AC27" xr:uid="{7F4A6CB4-8A1B-4666-8455-9B11D10113A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6C7E72C0-7AD4-4DA0-9F2D-AA4C2104D594}" name="Parliamentary Papers 1846_x000a_Imports, Year Ending:" dataDxfId="41"/>
    <tableColumn id="2" xr3:uid="{823E7F71-F337-450A-ABF3-C0AFB578B584}" name="Flour (barrels)" dataDxfId="40" dataCellStyle="Comma"/>
    <tableColumn id="3" xr3:uid="{8BF8917B-D7F5-4236-8E3B-6B8E347323A9}" name="Bread (lb)" dataDxfId="39" dataCellStyle="Comma"/>
    <tableColumn id="4" xr3:uid="{ACFF9D7F-7110-4B0F-958D-053EE63D12A2}" name="Corn meal (barrels)" dataDxfId="38" dataCellStyle="Comma"/>
    <tableColumn id="5" xr3:uid="{8D8DF49E-7B9A-4434-BC14-B299F6261977}" name="Rice (lb)" dataDxfId="37" dataCellStyle="Comma"/>
    <tableColumn id="6" xr3:uid="{067E7D66-FA1C-4015-B17E-B11FA6276B17}" name="Corn (bushels)" dataDxfId="36" dataCellStyle="Comma"/>
    <tableColumn id="7" xr3:uid="{C24A83F0-2114-4585-9690-133690409CBE}" name="Pease, beans, and oats (bushels)" dataDxfId="35" dataCellStyle="Comma"/>
    <tableColumn id="8" xr3:uid="{7F758025-0AAF-4EEF-8790-9DD64A697A78}" name="Beef (barrels)" dataDxfId="34" dataCellStyle="Comma"/>
    <tableColumn id="9" xr3:uid="{C297F087-EB61-42B5-A3A2-89BA7C930D7D}" name="Pork (barrels)" dataDxfId="33" dataCellStyle="Comma"/>
    <tableColumn id="10" xr3:uid="{D6E80328-4A86-4B8C-8B4E-2A1A0424BF88}" name="Pickled fish (barrels)" dataDxfId="32" dataCellStyle="Comma"/>
    <tableColumn id="11" xr3:uid="{37133F20-205E-4279-9DE7-5B5ABB3F1456}" name="Fish (quintals)" dataDxfId="31" dataCellStyle="Comma"/>
    <tableColumn id="12" xr3:uid="{BE5D725A-4DCE-45F8-A117-BF6768D8EB3E}" name="Butter and lard (firkins)" dataDxfId="30" dataCellStyle="Comma"/>
    <tableColumn id="13" xr3:uid="{183A13E7-F233-49F6-B288-97BA4980BC61}" name="Soap (boxes)" dataDxfId="29" dataCellStyle="Comma"/>
    <tableColumn id="14" xr3:uid="{C32D17BA-2785-4A60-BA69-A943D7316622}" name="Candles (boxes)" dataDxfId="28" dataCellStyle="Comma"/>
    <tableColumn id="15" xr3:uid="{FC2C5840-3B80-40AA-B059-BB91DA7B5731}" name="Brandy (gallons)" dataDxfId="27" dataCellStyle="Comma"/>
    <tableColumn id="16" xr3:uid="{4D7C08D7-5EDF-486F-A757-C3452BDAD924}" name="Gin (gallons)" dataDxfId="26" dataCellStyle="Comma"/>
    <tableColumn id="17" xr3:uid="{0E2D4EBB-BD07-4871-AEFC-F46207A14225}" name="Staves (red oak)" dataDxfId="25" dataCellStyle="Comma"/>
    <tableColumn id="18" xr3:uid="{AAC04BD5-D45D-4938-8FB5-B3A6009586AD}" name="Staves (white oak)" dataDxfId="24" dataCellStyle="Comma"/>
    <tableColumn id="20" xr3:uid="{3F845FC7-FED4-410A-A572-C94C6C4032FF}" name="Lumber (feet)" dataDxfId="23" dataCellStyle="Comma"/>
    <tableColumn id="21" xr3:uid="{B86A8C3A-EF7D-46CD-A92B-5D5F9B4BA3A2}" name="Shingles" dataDxfId="22" dataCellStyle="Comma"/>
    <tableColumn id="22" xr3:uid="{AB60BED9-0704-4F23-98D5-ABC10A4CA1D8}" name="Hoops" dataDxfId="21" dataCellStyle="Comma"/>
    <tableColumn id="23" xr3:uid="{A483D8B6-8C61-4E01-BE0C-D6B54326CA9A}" name="Livestock: Horses" dataDxfId="20" dataCellStyle="Comma"/>
    <tableColumn id="24" xr3:uid="{53A4F540-22E9-4416-84AE-0619E55DDF11}" name="Livestock: Mules" dataDxfId="19" dataCellStyle="Comma"/>
    <tableColumn id="25" xr3:uid="{D7EF77B7-6E01-44C6-8625-BCF07E03F85D}" name="Livestock: Asses" dataDxfId="18" dataCellStyle="Comma"/>
    <tableColumn id="26" xr3:uid="{11F5BA50-AD37-49F0-8308-3C472AF0DCB6}" name="Livestock: Cattle" dataDxfId="17" dataCellStyle="Comma"/>
    <tableColumn id="27" xr3:uid="{D2D587CE-C034-4AA2-B2C2-EDFF01E51794}" name="Malt (tuns)" dataDxfId="16" dataCellStyle="Comma"/>
    <tableColumn id="28" xr3:uid="{56E88D3B-F474-457C-BEC1-039B19EAFCCF}" name="Malt (gallons)" dataDxfId="15" dataCellStyle="Comma"/>
    <tableColumn id="29" xr3:uid="{60355F01-BB18-4F52-AF29-000450618A29}" name="Wines (tuns)" dataDxfId="14" dataCellStyle="Comma"/>
    <tableColumn id="30" xr3:uid="{E4665A80-3315-40CC-B7D9-31921B27DFAF}" name="Wines (gallons)" dataDxfId="13" dataCellStyle="Comma"/>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D0F65D0-7BBF-4D92-A994-4CED8D7A7522}" name="Table10_2" displayName="Table10_2" ref="A1:C10" tableType="queryTable" totalsRowShown="0">
  <autoFilter ref="A1:C10" xr:uid="{0D0F65D0-7BBF-4D92-A994-4CED8D7A7522}"/>
  <tableColumns count="3">
    <tableColumn id="1" xr3:uid="{8F4F8BFF-2973-4FF5-B909-F4D2A0138A92}" uniqueName="1" name="Year End" queryTableFieldId="1" dataDxfId="1"/>
    <tableColumn id="2" xr3:uid="{D74B70B0-6AEC-415B-B3E3-5A0F9844564E}" uniqueName="2" name="Commodity" queryTableFieldId="2" dataDxfId="0"/>
    <tableColumn id="3" xr3:uid="{827A8269-8DB8-4BEC-806D-61CE46F030DE}" uniqueName="3" name="Amount" queryTableFieldId="3"/>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F4A6CB4-8A1B-4666-8455-9B11D10113AB}" name="Table10" displayName="Table10" ref="A1:G71" totalsRowShown="0" headerRowDxfId="10" dataDxfId="9" dataCellStyle="Comma">
  <autoFilter ref="A1:G71" xr:uid="{7F4A6CB4-8A1B-4666-8455-9B11D10113AB}">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D9622150-852A-4AFA-AD51-2ADA372899D7}" name="Parliamentary Papers 1846_x000a_Exports, Year Ending:" dataDxfId="8"/>
    <tableColumn id="2" xr3:uid="{AF64CF72-DFAB-4FAE-9B33-721B5EEBD20B}" name="Sugar (hogsheads)" dataDxfId="7" dataCellStyle="Comma"/>
    <tableColumn id="3" xr3:uid="{FE3ADF1C-C136-4D01-8FAF-31DDD14F3F0E}" name="Rum (puncheons)" dataDxfId="6" dataCellStyle="Comma"/>
    <tableColumn id="4" xr3:uid="{749B28C0-5982-4B3A-A4E5-94041ADA8219}" name="Molasses (casks)" dataDxfId="5" dataCellStyle="Comma"/>
    <tableColumn id="5" xr3:uid="{A8A356EC-1252-4782-B2BA-BA0E8A7B291E}" name="Ginger (lb)" dataDxfId="4" dataCellStyle="Comma"/>
    <tableColumn id="6" xr3:uid="{D789CFBE-F0BB-4E24-9C9B-39E36C89393E}" name="Pimento (lb)" dataDxfId="3" dataCellStyle="Comma"/>
    <tableColumn id="7" xr3:uid="{25FB0D29-9509-4F57-9B1A-39380914B263}" name="Coffee (lb)" dataDxfId="2" dataCellStyle="Comma"/>
  </tableColumns>
  <tableStyleInfo name="TableStyleLight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4" xr:uid="{6DA06E7E-6142-42C6-BD25-41CEA8089C82}" name="Table134" displayName="Table134" ref="A1:Z19" totalsRowShown="0" headerRowDxfId="1956" dataDxfId="1955" tableBorderDxfId="1954" dataCellStyle="Comma">
  <autoFilter ref="A1:Z19" xr:uid="{6DA06E7E-6142-42C6-BD25-41CEA8089C8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B92AB550-E80E-4B7B-85B7-F6CA91D6383F}" name="Export:_x000a_1838-39" dataDxfId="1953" dataCellStyle="Comma"/>
    <tableColumn id="2" xr3:uid="{7F2C292E-44BE-4023-AA14-B09506D3C6CF}" name="Sugar (hogsheads)" dataDxfId="1952" dataCellStyle="Comma"/>
    <tableColumn id="3" xr3:uid="{ED226044-40CB-4E84-ACAE-2D8BB8DF217C}" name="Sugar (tierces)" dataDxfId="1951" dataCellStyle="Comma"/>
    <tableColumn id="4" xr3:uid="{D47FA85F-100A-4D16-AD74-9BB6E86D9A72}" name="Sugar (barrels)" dataDxfId="1950" dataCellStyle="Comma"/>
    <tableColumn id="5" xr3:uid="{3E2AA9F6-BFF6-483F-A1E5-108FBBB2A0F5}" name="Rum (puncheons)" dataDxfId="1949" dataCellStyle="Comma"/>
    <tableColumn id="6" xr3:uid="{53600E86-DA35-45E1-A94E-FE353473CB3B}" name="Rum (hogsheads)" dataDxfId="1948" dataCellStyle="Comma"/>
    <tableColumn id="7" xr3:uid="{760AD34C-1FB1-4893-B56E-126978E021A7}" name="Rum (casks)" dataDxfId="1947" dataCellStyle="Comma"/>
    <tableColumn id="8" xr3:uid="{BC0875BB-5219-4AEE-868B-B97276F4C046}" name="Coffee (tierces)" dataDxfId="1946" dataCellStyle="Comma"/>
    <tableColumn id="9" xr3:uid="{92989C5D-A1BC-4B22-9D1B-6E15B022EC46}" name="Coffee (casks)" dataDxfId="1945" dataCellStyle="Comma"/>
    <tableColumn id="10" xr3:uid="{8F464984-EDB3-499C-959C-6E9255B51D1D}" name="Coffee (barrels)" dataDxfId="1944" dataCellStyle="Comma"/>
    <tableColumn id="11" xr3:uid="{7226CA7A-DC4D-4EC5-8265-41DED0B54C95}" name="Coffee (bags)" dataDxfId="1943" dataCellStyle="Comma"/>
    <tableColumn id="12" xr3:uid="{E80B092D-998A-4169-9B4A-EB648BED79CC}" name="Molasses (casks)" dataDxfId="1942" dataCellStyle="Comma"/>
    <tableColumn id="13" xr3:uid="{F043001A-31E7-4689-A12D-61A6FB6D6CAF}" name="Ginger (barrels)" dataDxfId="1941" dataCellStyle="Comma"/>
    <tableColumn id="14" xr3:uid="{CFBAF00F-35AB-4692-9F86-ACEF5529D7C6}" name="Ginger (bags)" dataDxfId="1940" dataCellStyle="Comma"/>
    <tableColumn id="15" xr3:uid="{665438CD-718D-47A5-AD0B-D9A5DD36DE7D}" name="Pimento (barrels)" dataDxfId="1939" dataCellStyle="Comma"/>
    <tableColumn id="16" xr3:uid="{5737FD87-6D6A-4160-8BCA-8E7794A8CAF3}" name="Pimento (bags)" dataDxfId="1938" dataCellStyle="Comma"/>
    <tableColumn id="17" xr3:uid="{6D7410B5-0864-419F-BD6B-507B30825EC2}" name="Cotton (bales)" dataDxfId="1937" dataCellStyle="Comma"/>
    <tableColumn id="18" xr3:uid="{F1A105BB-F0FB-46BB-845D-AA8EEDB8FAF4}" name="Hides" dataDxfId="1936" dataCellStyle="Comma"/>
    <tableColumn id="19" xr3:uid="{3855AD22-938E-4F76-B46D-68A975F846F9}" name="Logwood (tons)" dataDxfId="1935" dataCellStyle="Comma"/>
    <tableColumn id="20" xr3:uid="{7BD6CA28-35BB-403F-A43E-1CCF8043E37F}" name="Fustic (tons)" dataDxfId="1934" dataCellStyle="Comma"/>
    <tableColumn id="21" xr3:uid="{AB1DF7EB-E1EE-4FBA-8DA7-96CF23C38278}" name="Nicaragua wood (tons)" dataDxfId="1933" dataCellStyle="Comma"/>
    <tableColumn id="22" xr3:uid="{17514920-872C-4C36-9957-1BA9B4ADE7E6}" name="Lignum vitae (tons)" dataDxfId="1932" dataCellStyle="Comma"/>
    <tableColumn id="23" xr3:uid="{6BF838C6-3929-4208-9660-4481E139BDC7}" name="Ebony (tons)" dataDxfId="1931" dataCellStyle="Comma"/>
    <tableColumn id="24" xr3:uid="{AE1832B0-87AE-4D74-BE68-996C7DC7A076}" name="Mahogany (logs)" dataDxfId="1930" dataCellStyle="Comma"/>
    <tableColumn id="25" xr3:uid="{88CB8372-6A6D-4DD0-8329-C85DBF62237E}" name="Cedar (logs)" dataDxfId="1929" dataCellStyle="Comma"/>
    <tableColumn id="26" xr3:uid="{B93DF113-42C5-40E8-A770-19DF0ED9E6A5}" name="Lancewood spars " dataDxfId="1928" dataCellStyle="Comma"/>
  </tableColumns>
  <tableStyleInfo name="TableStyleLight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2" xr:uid="{F1407539-FC7D-4414-9C6D-3D571DD62ED9}" name="Table132" displayName="Table132" ref="A1:AD19" totalsRowShown="0" headerRowDxfId="1927" dataDxfId="1926" tableBorderDxfId="1925" dataCellStyle="Comma">
  <autoFilter ref="A1:AD19" xr:uid="{F1407539-FC7D-4414-9C6D-3D571DD62ED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FF0A157C-5459-4054-BEA2-4AF9868C25B4}" name="Import: _x000a_1838-39" dataDxfId="1924" dataCellStyle="Comma"/>
    <tableColumn id="2" xr3:uid="{70F91407-DF85-4EC4-831E-92AA99A34A91}" name="Brandy (gallons)" dataDxfId="1923" dataCellStyle="Comma"/>
    <tableColumn id="3" xr3:uid="{6DAA5DEA-916A-4267-835B-90AEA18C4FA3}" name="Gin (gallons)" dataDxfId="1922" dataCellStyle="Comma"/>
    <tableColumn id="4" xr3:uid="{1892B084-63EB-4524-82D2-09375A9BCE59}" name="Flour (barrels)" dataDxfId="1921" dataCellStyle="Comma"/>
    <tableColumn id="5" xr3:uid="{A01B3D3E-BA6D-4FD8-AC76-63A2EF1463E3}" name="Corn meal (barrels)" dataDxfId="1920" dataCellStyle="Comma"/>
    <tableColumn id="6" xr3:uid="{67C7DDB7-1E27-443F-98ED-3A7BCB792257}" name="Bread (barrels)" dataDxfId="1919" dataCellStyle="Comma"/>
    <tableColumn id="7" xr3:uid="{A4BD9C5C-963A-4FC8-9780-910C7114E8C9}" name="Bread (bags)" dataDxfId="1918" dataCellStyle="Comma"/>
    <tableColumn id="8" xr3:uid="{80B5540D-926A-4FC5-99CE-1C8974B04D5A}" name="Bread (lb)" dataDxfId="1917" dataCellStyle="Comma"/>
    <tableColumn id="9" xr3:uid="{6A34E9F9-2219-4DBB-80E5-2FB4E6856B5B}" name="Rice (casks and bags)" dataDxfId="1916" dataCellStyle="Comma"/>
    <tableColumn id="10" xr3:uid="{4F9D10B8-5B47-4D52-AE60-3856CBE96CB6}" name="Rice (lb)" dataDxfId="1915" dataCellStyle="Comma"/>
    <tableColumn id="11" xr3:uid="{99A75D9C-DBFA-4AE2-A736-0296046B4D28}" name="Corn (bushels and barrels)" dataDxfId="1914" dataCellStyle="Comma"/>
    <tableColumn id="12" xr3:uid="{A60215ED-97DE-43E8-942E-1F47E6EAB86C}" name="Fish, dry (casks)" dataDxfId="1913" dataCellStyle="Comma"/>
    <tableColumn id="13" xr3:uid="{C5BAB030-47A0-42AB-BFED-19101ED3FDCA}" name="Fish, dry (boxes)" dataDxfId="1912" dataCellStyle="Comma"/>
    <tableColumn id="14" xr3:uid="{7AA21D19-9C31-43E8-80F1-962E3CA151DD}" name="Fish, pickled (tierces)" dataDxfId="1911" dataCellStyle="Comma"/>
    <tableColumn id="15" xr3:uid="{01F9A657-9B6A-4C68-9187-A9F74774BD90}" name="Fish, pickled (barrels)" dataDxfId="1910" dataCellStyle="Comma"/>
    <tableColumn id="16" xr3:uid="{4B6D43EC-25B8-43F8-9801-1B96CF6AAA7B}" name="Fish, pickled (kits)" dataDxfId="1909" dataCellStyle="Comma"/>
    <tableColumn id="17" xr3:uid="{5E6A3077-8CBD-4BCC-B8D0-38AD7046B2E8}" name="Staves (red oak)" dataDxfId="1908" dataCellStyle="Comma"/>
    <tableColumn id="18" xr3:uid="{DBD41285-9B24-48FA-B423-7F41E2A61124}" name="Staves (white oak)" dataDxfId="1907" dataCellStyle="Comma"/>
    <tableColumn id="19" xr3:uid="{12AE1A97-7552-4085-9C09-31EBA2E388A4}" name="Shingles" dataDxfId="1906" dataCellStyle="Comma"/>
    <tableColumn id="20" xr3:uid="{E6308192-667F-4164-A51B-240675820FE2}" name="Lumber (feet)" dataDxfId="1905" dataCellStyle="Comma"/>
    <tableColumn id="21" xr3:uid="{881E4780-1175-4BC6-8AC4-14AD98440577}" name="Hoops" dataDxfId="1904" dataCellStyle="Comma"/>
    <tableColumn id="22" xr3:uid="{A8400DEF-BE97-4ED0-B7CC-D08A7F07DE07}" name="Beef (barrels)" dataDxfId="1903" dataCellStyle="Comma"/>
    <tableColumn id="23" xr3:uid="{D08089ED-015E-483A-84AB-60D1E68F165E}" name="Pork (barrels)" dataDxfId="1902" dataCellStyle="Comma"/>
    <tableColumn id="24" xr3:uid="{03A1647F-9E03-47B2-B4F4-7F189CB5BFFC}" name="Butter and lard (firkins)" dataDxfId="1901" dataCellStyle="Comma"/>
    <tableColumn id="25" xr3:uid="{8380ECC5-40DA-4131-9305-B24A03978147}" name="Candles (boxes)" dataDxfId="1900" dataCellStyle="Comma"/>
    <tableColumn id="26" xr3:uid="{E10EF12D-8F61-47C1-AFCB-57BBD4FC9E5C}" name="Soap (boxes)" dataDxfId="1899" dataCellStyle="Comma"/>
    <tableColumn id="27" xr3:uid="{D2F6D87E-9AD0-4F3B-8DF8-47FD26012470}" name="Livestock: Horses" dataDxfId="1898" dataCellStyle="Comma"/>
    <tableColumn id="28" xr3:uid="{E1502EA3-FB40-4FEF-A2BD-FD69E4D4510F}" name="Livestock: Mules" dataDxfId="1897" dataCellStyle="Comma"/>
    <tableColumn id="29" xr3:uid="{11E592CB-DAEA-45B5-BF4F-959FF9BF2E3E}" name="Livestock: Asses" dataDxfId="1896" dataCellStyle="Comma"/>
    <tableColumn id="30" xr3:uid="{59DA59F5-F34F-4897-8CD5-64E6331EBAB3}" name="Livestock: Cattle" dataDxfId="1895" dataCellStyle="Comma"/>
  </tableColumns>
  <tableStyleInfo name="TableStyleLight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0" xr:uid="{37D88972-93BB-4D38-80EB-96232EBF2A8F}" name="Table130" displayName="Table130" ref="A1:Z19" totalsRowShown="0" headerRowDxfId="1894" dataDxfId="1893" tableBorderDxfId="1892" dataCellStyle="Comma">
  <autoFilter ref="A1:Z19" xr:uid="{37D88972-93BB-4D38-80EB-96232EBF2A8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C6D1364B-D448-4F00-AC07-9CE28C8F6A6B}" name="Export:_x000a_1837-38" dataDxfId="1891" dataCellStyle="Comma"/>
    <tableColumn id="2" xr3:uid="{4F96C145-8A34-4D43-8ED3-4B84CCF30C2C}" name="Sugar (hogsheads)" dataDxfId="1890" dataCellStyle="Comma"/>
    <tableColumn id="3" xr3:uid="{381F0B0C-8DA8-4B47-A8E4-769FEE94AA67}" name="Sugar (tierces)" dataDxfId="1889" dataCellStyle="Comma"/>
    <tableColumn id="4" xr3:uid="{50CFD52A-8742-456E-B277-2086A3F542B0}" name="Sugar (barrels)" dataDxfId="1888" dataCellStyle="Comma"/>
    <tableColumn id="5" xr3:uid="{96ABEF3C-BB0A-4FC6-A9A2-EFDD9FB985D2}" name="Rum (puncheons)" dataDxfId="1887" dataCellStyle="Comma"/>
    <tableColumn id="6" xr3:uid="{11712F08-13D9-41E6-A9B0-106CC3918F42}" name="Rum (hogsheads)" dataDxfId="1886" dataCellStyle="Comma"/>
    <tableColumn id="7" xr3:uid="{7D893359-F8D0-4896-8E4C-5FE4FEB15FCB}" name="Rum (casks)" dataDxfId="1885" dataCellStyle="Comma"/>
    <tableColumn id="8" xr3:uid="{E776F0B9-371E-414B-9B87-E68169E74EB5}" name="Coffee (tierces)" dataDxfId="1884" dataCellStyle="Comma"/>
    <tableColumn id="9" xr3:uid="{D34EA890-CFFB-48A9-AD7C-79DE5EB7FECD}" name="Coffee (barrels)" dataDxfId="1883" dataCellStyle="Comma"/>
    <tableColumn id="10" xr3:uid="{D5420362-0EDE-423C-ABEE-81D5A8C0DFB9}" name="Coffee (casks)" dataDxfId="1882" dataCellStyle="Comma"/>
    <tableColumn id="11" xr3:uid="{C87029F5-2FA8-4B9B-B9EF-E817C40DD646}" name="Coffee (bags)" dataDxfId="1881" dataCellStyle="Comma"/>
    <tableColumn id="12" xr3:uid="{2AD0C076-B149-40A6-B5D7-DDB3BC86E083}" name="Molasses (casks)" dataDxfId="1880" dataCellStyle="Comma"/>
    <tableColumn id="13" xr3:uid="{D5EE4DEB-E4FF-49B3-A0C1-F3437B803600}" name="Ginger (barrels)" dataDxfId="1879" dataCellStyle="Comma"/>
    <tableColumn id="14" xr3:uid="{CD2E233A-6188-4B3B-9DFA-5C32B484D2E7}" name="Ginger (bags)" dataDxfId="1878" dataCellStyle="Comma"/>
    <tableColumn id="15" xr3:uid="{612C36C9-7533-491D-B89E-AB4BDA138D97}" name="Pimento (barrels)" dataDxfId="1877" dataCellStyle="Comma"/>
    <tableColumn id="16" xr3:uid="{3BCC4327-8DF7-4D51-9A6B-3F1740E4EA56}" name="Pimento (bags)" dataDxfId="1876" dataCellStyle="Comma"/>
    <tableColumn id="17" xr3:uid="{9A81354C-E18E-42C4-8D05-484D28486902}" name="Cotton (bales)" dataDxfId="1875" dataCellStyle="Comma"/>
    <tableColumn id="18" xr3:uid="{1F302BAF-B595-48DA-98F3-E0AAAA2C72C7}" name="Hides" dataDxfId="1874" dataCellStyle="Comma"/>
    <tableColumn id="19" xr3:uid="{869BA2A6-F0C2-43A5-B91B-EE470D546CCD}" name="Logwood (tons)" dataDxfId="1873" dataCellStyle="Comma"/>
    <tableColumn id="20" xr3:uid="{F9ED6458-71C6-4623-9E03-BFB49D9823A8}" name="Fustic (tons)" dataDxfId="1872" dataCellStyle="Comma"/>
    <tableColumn id="21" xr3:uid="{C1988948-90A6-4438-9FFC-5C8BE9F0BE33}" name="Nicaragua wood (tons)" dataDxfId="1871" dataCellStyle="Comma"/>
    <tableColumn id="22" xr3:uid="{C63F6661-C10A-4097-8BFB-7E830A8563C4}" name="Lignum vitae (tons)" dataDxfId="1870" dataCellStyle="Comma"/>
    <tableColumn id="23" xr3:uid="{762E9748-0397-429C-989A-BAF1C70BCE77}" name="Ebony (tons)" dataDxfId="1869" dataCellStyle="Comma"/>
    <tableColumn id="24" xr3:uid="{088B07DF-233F-4E77-944C-71F42D6C5FB4}" name="Mahogany (logs)" dataDxfId="1868" dataCellStyle="Comma"/>
    <tableColumn id="25" xr3:uid="{7B42DFBC-FC58-4BBA-97FE-9F62B4382E89}" name="Cedar (logs)" dataDxfId="1867" dataCellStyle="Comma"/>
    <tableColumn id="26" xr3:uid="{059BAF90-36BA-4233-AC02-CEBA449D24E9}" name="Lancewood spars " dataDxfId="1866" dataCellStyle="Comma"/>
  </tableColumns>
  <tableStyleInfo name="TableStyleLight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8" xr:uid="{E4B4BE97-E722-4BF1-86CB-C4EB93741995}" name="Table128" displayName="Table128" ref="A1:AD19" totalsRowShown="0" headerRowDxfId="1865" dataDxfId="1864" tableBorderDxfId="1863" dataCellStyle="Comma">
  <autoFilter ref="A1:AD19" xr:uid="{E4B4BE97-E722-4BF1-86CB-C4EB9374199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709C2AA0-A802-46A4-88ED-9A0A409C088A}" name="Import: _x000a_1837-38" dataDxfId="1862" dataCellStyle="Comma"/>
    <tableColumn id="2" xr3:uid="{04091F64-BCC3-4FA6-921D-E18677B67CE2}" name="Brandy (gallons)" dataDxfId="1861" dataCellStyle="Comma"/>
    <tableColumn id="3" xr3:uid="{14D976A5-513C-4B16-90A3-50DF4F55EA54}" name="Gin (gallons)" dataDxfId="1860" dataCellStyle="Comma"/>
    <tableColumn id="4" xr3:uid="{22581012-29E1-4D1C-82A2-956693AA1223}" name="Flour (barrels)" dataDxfId="1859" dataCellStyle="Comma"/>
    <tableColumn id="5" xr3:uid="{2919B0A9-F101-4460-BCCC-9A9617162982}" name="Corn meal (barrels)" dataDxfId="1858" dataCellStyle="Comma"/>
    <tableColumn id="6" xr3:uid="{BF73CB34-B02A-45CF-B871-F55466018A7F}" name="Bread (barrels)" dataDxfId="1857" dataCellStyle="Comma"/>
    <tableColumn id="7" xr3:uid="{8116963F-0485-4F69-B393-CFEF98B9CAC5}" name="Bread (bags)" dataDxfId="1856" dataCellStyle="Comma"/>
    <tableColumn id="8" xr3:uid="{DC85568C-3EAF-4095-9A1E-0D89667EADDC}" name="Bread (lb)" dataDxfId="1855" dataCellStyle="Comma"/>
    <tableColumn id="9" xr3:uid="{13EAE48D-867A-4F64-8120-C40BBF76CE62}" name="Rice (casks and bags)" dataDxfId="1854" dataCellStyle="Comma"/>
    <tableColumn id="10" xr3:uid="{4B40ADEB-5B83-459E-8F46-FF20B6B3274D}" name="Rice (lb)" dataDxfId="1853" dataCellStyle="Comma"/>
    <tableColumn id="11" xr3:uid="{1000BC41-BF7D-4544-AA7F-65636F1859DA}" name="Corn (bushels and barrels)" dataDxfId="1852" dataCellStyle="Comma"/>
    <tableColumn id="12" xr3:uid="{279845A4-5F0D-436B-AD38-631357697862}" name="Fish, dry (casks)" dataDxfId="1851" dataCellStyle="Comma"/>
    <tableColumn id="13" xr3:uid="{2BE60BFC-BD8B-4F81-BEC3-5A6BA3B00573}" name="Fish, dry (boxes)" dataDxfId="1850" dataCellStyle="Comma"/>
    <tableColumn id="14" xr3:uid="{8484D00D-F2F0-4BA2-B53F-605AEEF93A4D}" name="Fish, pickled (tierces)" dataDxfId="1849" dataCellStyle="Comma"/>
    <tableColumn id="15" xr3:uid="{B603362F-124B-4EC5-B160-575E96084D62}" name="Fish, pickled (barrels)" dataDxfId="1848" dataCellStyle="Comma"/>
    <tableColumn id="16" xr3:uid="{86F986BD-E30E-47B7-BA71-C908FB03B530}" name="Fish, pickled (kits)" dataDxfId="1847" dataCellStyle="Comma"/>
    <tableColumn id="17" xr3:uid="{93B60E55-5066-434E-A26F-EA01CF12DBFB}" name="Staves (red oak)" dataDxfId="1846" dataCellStyle="Comma"/>
    <tableColumn id="18" xr3:uid="{D2AEA272-460A-4BB2-984D-94F46658793D}" name="Staves (white oak)" dataDxfId="1845" dataCellStyle="Comma"/>
    <tableColumn id="19" xr3:uid="{BCE92F06-4E8C-46FB-A6AF-80BD2CE71819}" name="Shingles" dataDxfId="1844" dataCellStyle="Comma"/>
    <tableColumn id="20" xr3:uid="{2D26A6B2-4644-4256-86C4-09E59EE76222}" name="Lumber (feet)" dataDxfId="1843" dataCellStyle="Comma"/>
    <tableColumn id="21" xr3:uid="{E467393C-98E9-4E90-8BDB-CFD3981250B8}" name="Hoops" dataDxfId="1842" dataCellStyle="Comma"/>
    <tableColumn id="22" xr3:uid="{2586EA78-7735-4702-9C91-B1DC49485116}" name="Beef (barrels)" dataDxfId="1841" dataCellStyle="Comma"/>
    <tableColumn id="23" xr3:uid="{BFBDF517-4476-4230-8A2A-42B6E9EEB00A}" name="Pork (barrels)" dataDxfId="1840" dataCellStyle="Comma"/>
    <tableColumn id="24" xr3:uid="{FE311F41-9E86-4911-ADFC-BBEC48BFA339}" name="Butter and lard (firkins)" dataDxfId="1839" dataCellStyle="Comma"/>
    <tableColumn id="25" xr3:uid="{7DC1A17A-9CEB-40F5-9FFA-6661447DF121}" name="Candles (boxes)" dataDxfId="1838" dataCellStyle="Comma"/>
    <tableColumn id="26" xr3:uid="{6E90CBD8-9A61-4959-AD31-B804DA9952E1}" name="Soap (boxes)" dataDxfId="1837" dataCellStyle="Comma"/>
    <tableColumn id="27" xr3:uid="{4336DB73-5060-4AB2-B327-4C6AA0047733}" name="Livestock: Horses" dataDxfId="1836" dataCellStyle="Comma"/>
    <tableColumn id="28" xr3:uid="{FC723FD8-F68B-4BED-A60A-294E011EBC11}" name="Livestock: Mules" dataDxfId="1835" dataCellStyle="Comma"/>
    <tableColumn id="29" xr3:uid="{709A83AD-AC0F-4693-BD81-318D4D91460A}" name="Livestock: Asses" dataDxfId="1834" dataCellStyle="Comma"/>
    <tableColumn id="30" xr3:uid="{4437F9DA-3861-467A-A77D-1FAE104195C3}" name="Livestock: Cattle" dataDxfId="1833" dataCellStyle="Comma"/>
  </tableColumns>
  <tableStyleInfo name="TableStyleLight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6" xr:uid="{3E19D85C-85A2-43BB-ABDC-4A45723C12AF}" name="Table126" displayName="Table126" ref="A1:Z19" totalsRowShown="0" headerRowDxfId="1832" dataDxfId="1831" tableBorderDxfId="1830" dataCellStyle="Comma">
  <autoFilter ref="A1:Z19" xr:uid="{3E19D85C-85A2-43BB-ABDC-4A45723C12A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B01105D5-351F-448C-9EFA-E39F873A4948}" name="Export:_x000a_1836-7" dataDxfId="1829" dataCellStyle="Comma"/>
    <tableColumn id="2" xr3:uid="{BEC8DDD2-4B9A-4F91-849E-84F713916D82}" name="Sugar (hogsheads)" dataDxfId="1828" dataCellStyle="Comma"/>
    <tableColumn id="3" xr3:uid="{2AAC97DF-1394-4CAF-8CA5-B49E6E1AE434}" name="Sugar (tierces)" dataDxfId="1827" dataCellStyle="Comma"/>
    <tableColumn id="4" xr3:uid="{1BB9CC31-7726-43E7-AAA0-856041E174E0}" name="Sugar (barrels)" dataDxfId="1826" dataCellStyle="Comma"/>
    <tableColumn id="5" xr3:uid="{044276C0-25A9-446B-9F68-7F938EE04DAA}" name="Rum (puncheons)" dataDxfId="1825" dataCellStyle="Comma"/>
    <tableColumn id="6" xr3:uid="{536C04CF-FAE6-4573-8C63-4B11EF0010E3}" name="Rum (hogsheads)" dataDxfId="1824" dataCellStyle="Comma"/>
    <tableColumn id="7" xr3:uid="{2398A476-8C2A-4B24-A4F8-5F007425B387}" name="Rum (casks)" dataDxfId="1823" dataCellStyle="Comma"/>
    <tableColumn id="8" xr3:uid="{DD0FA3E6-C7C9-4610-8F61-2D2A1BEDE5ED}" name="Coffee (tierces)" dataDxfId="1822" dataCellStyle="Comma"/>
    <tableColumn id="9" xr3:uid="{2FECE72E-F433-4B7E-8628-4D9053F35E62}" name="Coffee (barrels)" dataDxfId="1821" dataCellStyle="Comma"/>
    <tableColumn id="10" xr3:uid="{C9B6B83A-3F87-4CFD-85AE-02AD010C5171}" name="Coffee (casks)" dataDxfId="1820" dataCellStyle="Comma"/>
    <tableColumn id="11" xr3:uid="{F5DEED31-3CDE-4F75-8BB1-CDE80D74C2A7}" name="Coffee (bags)" dataDxfId="1819" dataCellStyle="Comma"/>
    <tableColumn id="12" xr3:uid="{38D6B561-0D38-43A3-B87D-DF5C2BCC568A}" name="Molasses (casks)" dataDxfId="1818" dataCellStyle="Comma"/>
    <tableColumn id="13" xr3:uid="{00012932-CA3A-4D69-8242-3C56722421B6}" name="Ginger (barrels)" dataDxfId="1817" dataCellStyle="Comma"/>
    <tableColumn id="14" xr3:uid="{8551FD9D-9487-46D8-B395-57485B24DDFC}" name="Ginger (bags)" dataDxfId="1816" dataCellStyle="Comma"/>
    <tableColumn id="15" xr3:uid="{7AF71AB1-9547-4D8C-AC2F-22F9976E291C}" name="Pimento (barrels)" dataDxfId="1815" dataCellStyle="Comma"/>
    <tableColumn id="16" xr3:uid="{F539B73D-8008-40B4-8FCC-15A54CFA49EE}" name="Pimento (bags)" dataDxfId="1814" dataCellStyle="Comma"/>
    <tableColumn id="17" xr3:uid="{B61F7D2B-C3CC-4B10-AA2E-66909309241D}" name="Cotton (bales)" dataDxfId="1813" dataCellStyle="Comma"/>
    <tableColumn id="18" xr3:uid="{B531F6F7-6771-49AC-9D5C-023E1A8B4379}" name="Hides" dataDxfId="1812" dataCellStyle="Comma"/>
    <tableColumn id="19" xr3:uid="{FF343AA4-B67B-49E1-8853-1515CA8D8F28}" name="Logwood (tons)" dataDxfId="1811" dataCellStyle="Comma"/>
    <tableColumn id="20" xr3:uid="{E1DA175F-E9E4-4305-A587-65F5DCA495AD}" name="Fustic (tons)" dataDxfId="1810" dataCellStyle="Comma"/>
    <tableColumn id="21" xr3:uid="{620BA922-BDBA-43C3-935A-2151537893FE}" name="Nicaragua wood (tons)" dataDxfId="1809" dataCellStyle="Comma"/>
    <tableColumn id="22" xr3:uid="{814C3E5D-23A5-4455-8AD1-580944B20996}" name="Lignum vitae (tons)" dataDxfId="1808" dataCellStyle="Comma"/>
    <tableColumn id="23" xr3:uid="{76513765-2EA9-4726-BCAF-D9392F344E34}" name="Ebony (tons)" dataDxfId="1807" dataCellStyle="Comma"/>
    <tableColumn id="24" xr3:uid="{66521B0A-5DA1-472E-8767-B6050F2E59AD}" name="Mahogany (logs)" dataDxfId="1806" dataCellStyle="Comma"/>
    <tableColumn id="25" xr3:uid="{9B6107C0-6D3C-4F6C-B238-F09523533B5A}" name="Cedar (logs)" dataDxfId="1805" dataCellStyle="Comma"/>
    <tableColumn id="26" xr3:uid="{5DCC6D28-B30D-4B9A-A8DD-DF4420CFB7C0}" name="Lancewood spars " dataDxfId="1804" dataCellStyle="Comma"/>
  </tableColumns>
  <tableStyleInfo name="TableStyleLight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4" xr:uid="{3157B35A-EDFF-45BE-A983-1F84E21A06A6}" name="Table124" displayName="Table124" ref="A1:AD19" totalsRowShown="0" headerRowDxfId="1803" dataDxfId="1802" tableBorderDxfId="1801" dataCellStyle="Comma">
  <autoFilter ref="A1:AD19" xr:uid="{3157B35A-EDFF-45BE-A983-1F84E21A06A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949098EA-6310-410F-8639-93E341052B6A}" name="Import: _x000a_1836-37" dataDxfId="1800" dataCellStyle="Comma"/>
    <tableColumn id="2" xr3:uid="{6C16D26F-A135-4C8C-8A0A-D9643011D92C}" name="Brandy (gallons)" dataDxfId="1799" dataCellStyle="Comma"/>
    <tableColumn id="3" xr3:uid="{72B37FB8-A140-4E45-961B-7C3CC9A665BC}" name="Gin (gallons)" dataDxfId="1798" dataCellStyle="Comma"/>
    <tableColumn id="4" xr3:uid="{F460FC09-25F9-47F4-BD7E-D10C08D0E3D2}" name="Flour (barrels)" dataDxfId="1797" dataCellStyle="Comma"/>
    <tableColumn id="5" xr3:uid="{63C4D8F6-6EA4-4D4B-A5EC-870FC0EEDEB1}" name="Corn meal (barrels)" dataDxfId="1796" dataCellStyle="Comma"/>
    <tableColumn id="6" xr3:uid="{A923CCF5-5A4A-49D2-A2C0-C7512A1314ED}" name="Bread (barrels)" dataDxfId="1795" dataCellStyle="Comma"/>
    <tableColumn id="7" xr3:uid="{70C468FE-4669-4DD8-A17F-EFEF66E791F3}" name="Bread (bags)" dataDxfId="1794" dataCellStyle="Comma"/>
    <tableColumn id="8" xr3:uid="{8BDBFFC6-2CC6-4415-BBE6-944CF89C772A}" name="Bread (lb)" dataDxfId="1793" dataCellStyle="Comma"/>
    <tableColumn id="9" xr3:uid="{68D12034-1EED-4922-8CAE-CAD41124216F}" name="Rice (casks and bags)" dataDxfId="1792" dataCellStyle="Comma"/>
    <tableColumn id="10" xr3:uid="{913BDC59-D35E-4F20-B701-9F4FC4EDCF09}" name="Rice (lb)" dataDxfId="1791" dataCellStyle="Comma"/>
    <tableColumn id="11" xr3:uid="{92461A2A-81DE-4239-A284-7B187EB4B260}" name="Corn, pease, oats, etc. (barrels)" dataDxfId="1790" dataCellStyle="Comma"/>
    <tableColumn id="12" xr3:uid="{E0A711CA-54A9-4458-9021-640F07F3D826}" name="Fish, dry (casks)" dataDxfId="1789" dataCellStyle="Comma"/>
    <tableColumn id="13" xr3:uid="{FCC84038-C488-4DA0-8CFE-51F0689799A9}" name="Fish, dry (boxes)" dataDxfId="1788" dataCellStyle="Comma"/>
    <tableColumn id="14" xr3:uid="{4DDE9D60-2D2B-4CF0-AC94-28083D36F724}" name="Fish, pickled (tierces)" dataDxfId="1787" dataCellStyle="Comma"/>
    <tableColumn id="15" xr3:uid="{AFBC61DF-1D83-4526-B452-9FD114A74591}" name="Fish, pickled (barrels)" dataDxfId="1786" dataCellStyle="Comma"/>
    <tableColumn id="16" xr3:uid="{71EABEB0-6C11-49EF-90B0-A73D75C370F8}" name="Fish, pickled (kits)" dataDxfId="1785" dataCellStyle="Comma"/>
    <tableColumn id="17" xr3:uid="{C11AA267-97D0-4D4A-A397-FE0DEE12F227}" name="Staves (red oak)" dataDxfId="1784" dataCellStyle="Comma"/>
    <tableColumn id="18" xr3:uid="{B8C8E1BB-BD34-4ED3-95FC-57B6B21FF15D}" name="Staves (white oak)" dataDxfId="1783" dataCellStyle="Comma"/>
    <tableColumn id="19" xr3:uid="{34C5EF95-FD05-4DF7-B890-27DBB6D633FD}" name="Shingles" dataDxfId="1782" dataCellStyle="Comma"/>
    <tableColumn id="20" xr3:uid="{08E035FC-05FD-4A64-9922-452DD94C518D}" name="Lumber (feet)" dataDxfId="1781" dataCellStyle="Comma"/>
    <tableColumn id="21" xr3:uid="{ECAB81AF-991A-449B-B134-C266FA50C3F8}" name="Hoops" dataDxfId="1780" dataCellStyle="Comma"/>
    <tableColumn id="22" xr3:uid="{99E91E8E-514E-460E-BDF7-99FE6B752075}" name="Beef (barrels)" dataDxfId="1779" dataCellStyle="Comma"/>
    <tableColumn id="23" xr3:uid="{D7F4244A-6A7D-4AAE-AC4E-6F5240175C0E}" name="Pork (barrels)" dataDxfId="1778" dataCellStyle="Comma"/>
    <tableColumn id="24" xr3:uid="{39D3B4E0-8130-49F2-99D3-6FC74657C073}" name="Butter and lard (firkins)" dataDxfId="1777" dataCellStyle="Comma"/>
    <tableColumn id="25" xr3:uid="{3A9094DF-9A9B-49B2-9E12-0D7E48AFA1AA}" name="Candles (boxes)" dataDxfId="1776" dataCellStyle="Comma"/>
    <tableColumn id="26" xr3:uid="{6A7B853B-3D1B-4C09-8A50-3E5225862ADB}" name="Soap (boxes)" dataDxfId="1775" dataCellStyle="Comma"/>
    <tableColumn id="27" xr3:uid="{E5E6448C-CA25-4DA9-82BB-12D9B4728B08}" name="Livestock: Horses" dataDxfId="1774" dataCellStyle="Comma"/>
    <tableColumn id="28" xr3:uid="{707D17D8-2811-4E4D-BBFE-5E56A6223EAA}" name="Livestock: Mules" dataDxfId="1773" dataCellStyle="Comma"/>
    <tableColumn id="29" xr3:uid="{2CACDAA0-A50C-44D2-AEBF-ED772BF3B298}" name="Livestock: Asses" dataDxfId="1772" dataCellStyle="Comma"/>
    <tableColumn id="30" xr3:uid="{4FF0EA48-525F-4F17-9648-FE9D214D376E}" name="Livestock: Cattle" dataDxfId="1771" dataCellStyle="Comma"/>
  </tableColumns>
  <tableStyleInfo name="TableStyleLight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2" xr:uid="{7EF07DF0-2C27-44C9-A36F-DFCD1C7367E6}" name="Table122" displayName="Table122" ref="A1:Z19" totalsRowShown="0" headerRowDxfId="1770" dataDxfId="1769" tableBorderDxfId="1768" dataCellStyle="Comma">
  <autoFilter ref="A1:Z19" xr:uid="{7EF07DF0-2C27-44C9-A36F-DFCD1C7367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F747AEE7-B49E-4C96-9452-CABCB94194F3}" name="Export:_x000a_" dataDxfId="1767" dataCellStyle="Comma"/>
    <tableColumn id="2" xr3:uid="{B5E50679-A376-47DB-A023-29B2EA748992}" name="Sugar (hogsheads)" dataDxfId="1766" dataCellStyle="Comma"/>
    <tableColumn id="3" xr3:uid="{F2EC3A96-7950-456D-81E5-8383C1393DA2}" name="Sugar (tierces)" dataDxfId="1765" dataCellStyle="Comma"/>
    <tableColumn id="4" xr3:uid="{D35B96CC-B760-43E1-9759-C58B6E0389E8}" name="Sugar (barrels)" dataDxfId="1764" dataCellStyle="Comma"/>
    <tableColumn id="5" xr3:uid="{77A76E8F-865F-4ADD-866E-DE8210F9AB0C}" name="Rum (puncheons)" dataDxfId="1763" dataCellStyle="Comma"/>
    <tableColumn id="6" xr3:uid="{7124AF49-44B0-4E0F-804F-89E1FB7FE18A}" name="Rum (hogsheads)" dataDxfId="1762" dataCellStyle="Comma"/>
    <tableColumn id="7" xr3:uid="{44FA5851-AFCF-451B-B00B-4D7E20906E5F}" name="Rum (casks)" dataDxfId="1761" dataCellStyle="Comma"/>
    <tableColumn id="8" xr3:uid="{FD76EB6F-1B05-4A68-A11B-C456D556D982}" name="Coffee (tierces)" dataDxfId="1760" dataCellStyle="Comma"/>
    <tableColumn id="9" xr3:uid="{7FBFA698-96A2-473D-97BB-38F87F0098C0}" name="Coffee (barrels)" dataDxfId="1759" dataCellStyle="Comma"/>
    <tableColumn id="10" xr3:uid="{F002E8DA-8031-4B41-8E49-C9F8EF59243B}" name="Coffee (casks)" dataDxfId="1758" dataCellStyle="Comma"/>
    <tableColumn id="11" xr3:uid="{44DC9BEE-2ED8-4763-A7EE-FBDB92C7BD97}" name="Coffee (bags)" dataDxfId="1757" dataCellStyle="Comma"/>
    <tableColumn id="12" xr3:uid="{D9A7D3F9-650B-456B-B08F-74FB89BC3628}" name="Molasses (casks)" dataDxfId="1756" dataCellStyle="Comma"/>
    <tableColumn id="13" xr3:uid="{F0E28F95-2058-475E-B173-46F5E8715036}" name="Ginger (barrels)" dataDxfId="1755" dataCellStyle="Comma"/>
    <tableColumn id="14" xr3:uid="{E3EE254C-2EE9-4ED5-95D4-93A3C5801DAA}" name="Ginger (bags)" dataDxfId="1754" dataCellStyle="Comma"/>
    <tableColumn id="15" xr3:uid="{84B6180F-1512-4632-9E0D-00EDFD8A096C}" name="Pimento (barrels)" dataDxfId="1753" dataCellStyle="Comma"/>
    <tableColumn id="16" xr3:uid="{A56A0B75-5D39-45F7-8433-72BF31B704D4}" name="Pimento (bags)" dataDxfId="1752" dataCellStyle="Comma"/>
    <tableColumn id="17" xr3:uid="{0E24E159-1E7F-47A2-8725-DAB7409AD778}" name="Cotton (bales)" dataDxfId="1751" dataCellStyle="Comma"/>
    <tableColumn id="18" xr3:uid="{E907E542-0176-4BC1-BD22-83314BCB684A}" name="Hides" dataDxfId="1750" dataCellStyle="Comma"/>
    <tableColumn id="19" xr3:uid="{06C72E7F-B580-4BB0-914D-4152A662ED4B}" name="Logwood (tons)" dataDxfId="1749" dataCellStyle="Comma"/>
    <tableColumn id="20" xr3:uid="{4B2550A4-707A-413F-B580-6E21D869EE16}" name="Fustic (tons)" dataDxfId="1748" dataCellStyle="Comma"/>
    <tableColumn id="21" xr3:uid="{5CFF138D-F201-4543-98E1-4F2F4EC32E87}" name="Nicaragua wood (tons)" dataDxfId="1747" dataCellStyle="Comma"/>
    <tableColumn id="22" xr3:uid="{EEA811C3-52BC-4906-BA0F-DC65581B6978}" name="Lignum vitae (tons)" dataDxfId="1746" dataCellStyle="Comma"/>
    <tableColumn id="23" xr3:uid="{B1D57BF3-4EE4-49DF-914E-AA1EEEA372BB}" name="Ebony (tons)" dataDxfId="1745" dataCellStyle="Comma"/>
    <tableColumn id="24" xr3:uid="{3FBA07D7-00FC-4C30-93FC-17D69EA0DB47}" name="Mahogany (logs)" dataDxfId="1744" dataCellStyle="Comma"/>
    <tableColumn id="25" xr3:uid="{F8BDBDF4-44CC-4BF9-801B-82D7FF1BEEB3}" name="Cedar (logs)" dataDxfId="1743" dataCellStyle="Comma"/>
    <tableColumn id="26" xr3:uid="{87F4E58D-962F-4F47-85A1-38A90379F842}" name="Lancewood spars " dataDxfId="1742" dataCellStyle="Comma"/>
  </tableColumns>
  <tableStyleInfo name="TableStyleLight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0" xr:uid="{B6E242D9-B35F-43A8-AB04-4BF9E7B3BFC1}" name="Table120" displayName="Table120" ref="A1:AF19" totalsRowShown="0" headerRowDxfId="1741" dataDxfId="1740" tableBorderDxfId="1739" dataCellStyle="Comma">
  <autoFilter ref="A1:AF19" xr:uid="{B6E242D9-B35F-43A8-AB04-4BF9E7B3BFC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autoFilter>
  <tableColumns count="32">
    <tableColumn id="1" xr3:uid="{551DC989-D797-457D-B25F-A866B991E478}" name="Import: _x000a_1835-36" dataDxfId="1738" dataCellStyle="Comma"/>
    <tableColumn id="2" xr3:uid="{9BF8CD53-FAAC-45ED-9303-0C2E1365B871}" name="Brandy (gallons)" dataDxfId="1737" dataCellStyle="Comma"/>
    <tableColumn id="3" xr3:uid="{83E01B18-FD57-44BD-9BF8-92AE7815BE56}" name="Gin (gallons)" dataDxfId="1736" dataCellStyle="Comma"/>
    <tableColumn id="4" xr3:uid="{E2BB6461-3ABC-438A-93EB-074A48A3AD11}" name="Flour (barrels)" dataDxfId="1735" dataCellStyle="Comma"/>
    <tableColumn id="5" xr3:uid="{F7F66E5F-0403-4716-A5B0-6C68F3A0A7AD}" name="Corn meal (barrels)" dataDxfId="1734" dataCellStyle="Comma"/>
    <tableColumn id="6" xr3:uid="{1DEFD945-E0F3-4EDF-8316-E453BF62DCEA}" name="Bread (barrels)" dataDxfId="1733" dataCellStyle="Comma"/>
    <tableColumn id="7" xr3:uid="{F058730D-2754-4A30-B506-116CE1D428E4}" name="Bread (bags)" dataDxfId="1732" dataCellStyle="Comma"/>
    <tableColumn id="8" xr3:uid="{E5947900-C79F-4222-810E-CCFD7BBCA7F2}" name="Bread (lb)" dataDxfId="1731" dataCellStyle="Comma"/>
    <tableColumn id="9" xr3:uid="{50F471A6-4802-4392-870E-1117AB0C6DE9}" name="Rice (casks and barrels)" dataDxfId="1730" dataCellStyle="Comma"/>
    <tableColumn id="10" xr3:uid="{91BF9527-B820-46AE-B881-5A4BC71945E5}" name="Rice (bags)" dataDxfId="1729" dataCellStyle="Comma"/>
    <tableColumn id="11" xr3:uid="{F8D9256D-BEE6-4F63-96DF-B1C18AC5E63D}" name="Rice (lb)" dataDxfId="1728" dataCellStyle="Comma"/>
    <tableColumn id="12" xr3:uid="{59AEBA2B-F5F9-4AB0-A6FB-FABDBADC6166}" name="Corn, pease, oats, etc. (barrels)" dataDxfId="1727" dataCellStyle="Comma"/>
    <tableColumn id="13" xr3:uid="{389BE5CD-F982-4E70-B7E2-03012F3A53F7}" name="Fish, dry (casks)" dataDxfId="1726" dataCellStyle="Comma"/>
    <tableColumn id="14" xr3:uid="{BD5D7839-FC74-42DB-9D5C-E9B7850D4F33}" name="Fish, dry (boxes)" dataDxfId="1725" dataCellStyle="Comma"/>
    <tableColumn id="15" xr3:uid="{F129CE3C-303F-4460-AC29-7F4F9E931BBB}" name="Fish, pickled (tierces)" dataDxfId="1724" dataCellStyle="Comma"/>
    <tableColumn id="16" xr3:uid="{80682FCC-1220-4D09-A1D1-C98C6B56C904}" name="Fish, pickled (barrels)" dataDxfId="1723" dataCellStyle="Comma"/>
    <tableColumn id="17" xr3:uid="{32901491-B4EF-46F4-92DB-8199CED8B150}" name="Fish, pickled (kits)" dataDxfId="1722" dataCellStyle="Comma"/>
    <tableColumn id="18" xr3:uid="{452AF8AB-E8BE-473D-922F-83FE35E0908E}" name="Staves (red oak)" dataDxfId="1721" dataCellStyle="Comma"/>
    <tableColumn id="19" xr3:uid="{471B24C8-6576-4905-9708-761FC39F0739}" name="Staves (white oak)" dataDxfId="1720" dataCellStyle="Comma"/>
    <tableColumn id="20" xr3:uid="{EA0B009A-17EC-4EBA-B094-C808C09CCAF1}" name="Shingles" dataDxfId="1719" dataCellStyle="Comma"/>
    <tableColumn id="21" xr3:uid="{FEB3813D-399D-4C6C-B680-66FFF7AE16E6}" name="Lumber (feet)" dataDxfId="1718" dataCellStyle="Comma"/>
    <tableColumn id="22" xr3:uid="{094F6D5F-8596-40BF-91CE-015203C850C5}" name="Hoops" dataDxfId="1717" dataCellStyle="Comma"/>
    <tableColumn id="23" xr3:uid="{43A45AAA-50DA-464F-A9F9-D75272F14E91}" name="Hoops (bundles)" dataDxfId="1716" dataCellStyle="Comma"/>
    <tableColumn id="24" xr3:uid="{03D62DB2-3432-4E98-AEC8-01C995AF70A0}" name="Beef (barrels)" dataDxfId="1715" dataCellStyle="Comma"/>
    <tableColumn id="25" xr3:uid="{C90120CF-8207-4F96-9D1A-B9B26A6B48C3}" name="Pork (barrels)" dataDxfId="1714" dataCellStyle="Comma"/>
    <tableColumn id="26" xr3:uid="{26BE7F7F-7314-467C-BF3F-154DE4868FA2}" name="Butter and lard (firkins)" dataDxfId="1713" dataCellStyle="Comma"/>
    <tableColumn id="27" xr3:uid="{F35881B1-CAB4-485F-A39C-FFCCEF87D2C4}" name="Candles (boxes)" dataDxfId="1712" dataCellStyle="Comma"/>
    <tableColumn id="28" xr3:uid="{41176B79-AF12-44E0-9B31-54BE0EBBE4D1}" name="Soap (boxes)" dataDxfId="1711" dataCellStyle="Comma"/>
    <tableColumn id="29" xr3:uid="{FE27E692-E3CB-4544-AEC5-2AD1BC84BD52}" name="Livestock: Horses" dataDxfId="1710" dataCellStyle="Comma"/>
    <tableColumn id="30" xr3:uid="{976A91B8-A56B-49D9-A4F8-279E05D6CFAF}" name="Livestock: Mules" dataDxfId="1709" dataCellStyle="Comma"/>
    <tableColumn id="31" xr3:uid="{1D63447E-3488-4D46-A40C-452DFA9D5E32}" name="Livestock: Asses" dataDxfId="1708" dataCellStyle="Comma"/>
    <tableColumn id="32" xr3:uid="{4CCA5F3A-A08C-4721-A309-FDF733418944}" name="Livestock: Cattle" dataDxfId="1707" dataCellStyle="Comma"/>
  </tableColumns>
  <tableStyleInfo name="TableStyleLight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8" xr:uid="{AB4033CD-E64B-460F-8D88-0D2BC2C1CD3C}" name="Table118" displayName="Table118" ref="A1:Z19" totalsRowShown="0" headerRowDxfId="1706" dataDxfId="1705" tableBorderDxfId="1704" dataCellStyle="Comma">
  <autoFilter ref="A1:Z19" xr:uid="{AB4033CD-E64B-460F-8D88-0D2BC2C1CD3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E3619797-79F9-411B-BB1D-86B18A3D4C6C}" name="Export:_x000a_1834-35" dataDxfId="1703" dataCellStyle="Comma"/>
    <tableColumn id="2" xr3:uid="{1241DCED-BAA6-4B42-9CF7-5DF7E55A1917}" name="Sugar (hogsheads)" dataDxfId="1702" dataCellStyle="Comma"/>
    <tableColumn id="3" xr3:uid="{BA2863AF-AB5C-453E-A6EB-388012AFEC2E}" name="Sugar (tierces)" dataDxfId="1701" dataCellStyle="Comma"/>
    <tableColumn id="4" xr3:uid="{D98B0232-7DEA-478C-B645-531419D2A97D}" name="Sugar (barrels)" dataDxfId="1700" dataCellStyle="Comma"/>
    <tableColumn id="5" xr3:uid="{A1F37A80-8E2D-451C-855D-8FDDA140189B}" name="Rum (puncheons)" dataDxfId="1699" dataCellStyle="Comma"/>
    <tableColumn id="6" xr3:uid="{56311028-7EF0-4F36-9C83-84D43E20B76E}" name="Rum (hogsheads)" dataDxfId="1698" dataCellStyle="Comma"/>
    <tableColumn id="7" xr3:uid="{5ED5FDB9-098D-45FD-AE04-584320802555}" name="Rum (casks)" dataDxfId="1697" dataCellStyle="Comma"/>
    <tableColumn id="8" xr3:uid="{F8BE1579-463A-41D8-8077-6178C59D8677}" name="Coffee (tierces)" dataDxfId="1696" dataCellStyle="Comma"/>
    <tableColumn id="9" xr3:uid="{4EC47337-A19F-40FE-9D79-68E662E70238}" name="Coffee (barrels)" dataDxfId="1695" dataCellStyle="Comma"/>
    <tableColumn id="10" xr3:uid="{D7F60A53-AB3E-4A22-8938-C0D573FC9124}" name="Coffee (bags)" dataDxfId="1694" dataCellStyle="Comma"/>
    <tableColumn id="11" xr3:uid="{15DD43C9-EDD2-4376-8A51-30DFC5B6870D}" name="Coffee (casks)" dataDxfId="1693" dataCellStyle="Comma"/>
    <tableColumn id="12" xr3:uid="{2ED78ABC-191A-4FA3-9C7E-7B6616CB2BF2}" name="Pimento (barrels)" dataDxfId="1692" dataCellStyle="Comma"/>
    <tableColumn id="13" xr3:uid="{AB5AC500-9B0C-4C47-B764-B92913576A8F}" name="Pimento (bags)" dataDxfId="1691" dataCellStyle="Comma"/>
    <tableColumn id="14" xr3:uid="{CEE6D898-92DD-41B7-BEE9-69D6B21A7F87}" name="Ginger (barrels)" dataDxfId="1690" dataCellStyle="Comma"/>
    <tableColumn id="15" xr3:uid="{A4ECC6ED-9CF4-447A-9671-402B04359FF2}" name="Ginger (bags)" dataDxfId="1689" dataCellStyle="Comma"/>
    <tableColumn id="16" xr3:uid="{B2121326-1EBA-4851-9246-B902FEEAE86B}" name="Molasses (casks)" dataDxfId="1688" dataCellStyle="Comma"/>
    <tableColumn id="17" xr3:uid="{E0E46132-1D1B-4196-8A10-F3B0F51B6AAB}" name="Cotton (bales)" dataDxfId="1687" dataCellStyle="Comma"/>
    <tableColumn id="18" xr3:uid="{9F8BD85E-05DA-4BFE-9DE8-8409D099A33E}" name="Hides" dataDxfId="1686" dataCellStyle="Comma"/>
    <tableColumn id="19" xr3:uid="{336C0977-2A49-4499-A284-B7341A2387B8}" name="Logwood (tons)" dataDxfId="1685" dataCellStyle="Comma"/>
    <tableColumn id="20" xr3:uid="{B72B240F-D0A4-4C01-93F3-DCA430F02B58}" name="Fustic (tons)" dataDxfId="1684" dataCellStyle="Comma"/>
    <tableColumn id="21" xr3:uid="{4F7D57A4-1F03-4B81-8BAD-E0F90A01B3B8}" name="Nicaragua wood (tons)" dataDxfId="1683" dataCellStyle="Comma"/>
    <tableColumn id="22" xr3:uid="{7031D109-92C3-4036-B7F1-A8A3049754E0}" name="Lignum vitae (tons)" dataDxfId="1682" dataCellStyle="Comma"/>
    <tableColumn id="23" xr3:uid="{C4347E8E-C608-426F-9082-865AF9B27C0E}" name="Ebony (tons)" dataDxfId="1681" dataCellStyle="Comma"/>
    <tableColumn id="24" xr3:uid="{516F6E3F-F0C4-45EA-8DEF-21C9CC788862}" name="Mahogany (logs)" dataDxfId="1680" dataCellStyle="Comma"/>
    <tableColumn id="25" xr3:uid="{22EF80B7-C5C6-448E-82C7-066C450F6DC8}" name="Cedar (logs)" dataDxfId="1679" dataCellStyle="Comma"/>
    <tableColumn id="26" xr3:uid="{A16E6E9E-6DFE-4C2C-A561-319FFE5C5345}" name="Lancewood spars " dataDxfId="1678" dataCellStyle="Comma"/>
  </tableColumns>
  <tableStyleInfo name="TableStyleLight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6" xr:uid="{E9D46798-6FAD-40CD-9DB0-AE38918AFE6A}" name="Table116" displayName="Table116" ref="A1:AD19" totalsRowShown="0" headerRowDxfId="1677" dataDxfId="1676" tableBorderDxfId="1675" dataCellStyle="Comma">
  <autoFilter ref="A1:AD19" xr:uid="{E9D46798-6FAD-40CD-9DB0-AE38918AFE6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32FDC879-5CBD-448E-ACCD-A39EEA525D4A}" name="Import: _x000a_1834-35" dataDxfId="1674" dataCellStyle="Comma"/>
    <tableColumn id="2" xr3:uid="{71A26506-5AF0-4408-995F-D89982D5CDD2}" name="Brandy (gallons)" dataDxfId="1673" dataCellStyle="Comma"/>
    <tableColumn id="3" xr3:uid="{BFBF1CE2-8383-4624-A453-9B4667459542}" name="Gin (gallons)" dataDxfId="1672" dataCellStyle="Comma"/>
    <tableColumn id="4" xr3:uid="{7FC092D5-4923-4A5A-81BD-09BEBCDB8CCE}" name="Flour (barrels)" dataDxfId="1671" dataCellStyle="Comma"/>
    <tableColumn id="5" xr3:uid="{08CC95F8-06CE-4388-A927-82F827FDF468}" name="Corn meal (barrels)" dataDxfId="1670" dataCellStyle="Comma"/>
    <tableColumn id="6" xr3:uid="{5EDDA1B6-B46F-41AA-80C8-720425227052}" name="Bread (barrels)" dataDxfId="1669" dataCellStyle="Comma"/>
    <tableColumn id="7" xr3:uid="{B8AA36E6-FEE1-4517-83DA-0C5F6EA083D7}" name="Bread (lb)" dataDxfId="1668" dataCellStyle="Comma"/>
    <tableColumn id="8" xr3:uid="{23BA141D-8F65-4B62-A35A-E5A7B0CE8FD5}" name="Rice (casks and bags)" dataDxfId="1667" dataCellStyle="Comma"/>
    <tableColumn id="9" xr3:uid="{740CFB18-58FC-4FA5-B03A-B673B1FBB06A}" name="Rice (lb)" dataDxfId="1666" dataCellStyle="Comma"/>
    <tableColumn id="10" xr3:uid="{81E61B1F-1CB6-4B26-9913-CB92646C62A5}" name="Bread (bags)" dataDxfId="1665" dataCellStyle="Comma"/>
    <tableColumn id="11" xr3:uid="{6745980C-B2EB-4EE5-ABF0-475C987D8C1A}" name="Corn, pease, oats, etc. (bushels)" dataDxfId="1664" dataCellStyle="Comma"/>
    <tableColumn id="12" xr3:uid="{4DEE07CE-DBC2-4C47-B481-AA3163DBC2FB}" name="Fish, dry (casks)" dataDxfId="1663" dataCellStyle="Comma"/>
    <tableColumn id="13" xr3:uid="{112A472E-9F09-41DD-AB91-6BE452F2FA36}" name="Fish, dry (boxes)" dataDxfId="1662" dataCellStyle="Comma"/>
    <tableColumn id="14" xr3:uid="{697DCE3F-7BBA-4FD4-BDB9-FEFA8C4F4EDA}" name="Fish, pickled (tierces)" dataDxfId="1661" dataCellStyle="Comma"/>
    <tableColumn id="15" xr3:uid="{D48D54D6-0E2D-427E-BBFE-B4F7E065EBA6}" name="Fish, pickled (barrels)" dataDxfId="1660" dataCellStyle="Comma"/>
    <tableColumn id="16" xr3:uid="{76E2775F-AFDB-47EC-92AC-AE8ABEBE2541}" name="Fish, pickled (kits)" dataDxfId="1659" dataCellStyle="Comma"/>
    <tableColumn id="17" xr3:uid="{E7241774-B75A-4A94-B70F-C086EE1F26A6}" name="Staves (red oak)" dataDxfId="1658" dataCellStyle="Comma"/>
    <tableColumn id="18" xr3:uid="{80E76553-94F2-45A8-9D77-54130873C082}" name="Staves (white oak)" dataDxfId="1657" dataCellStyle="Comma"/>
    <tableColumn id="19" xr3:uid="{DB6BF5CB-BED4-4323-931D-E9A89A93EFC9}" name="Shingles" dataDxfId="1656" dataCellStyle="Comma"/>
    <tableColumn id="20" xr3:uid="{812A1D4A-1B07-4735-9A40-05995F9112DB}" name="Lumber (feet)" dataDxfId="1655" dataCellStyle="Comma"/>
    <tableColumn id="21" xr3:uid="{609C921F-D2E2-4141-87C1-E94577326034}" name="Hoops" dataDxfId="1654" dataCellStyle="Comma"/>
    <tableColumn id="22" xr3:uid="{285DC5BA-A19D-4ADF-9EA1-D6291BCE587B}" name="Beef (barrels)" dataDxfId="1653" dataCellStyle="Comma"/>
    <tableColumn id="23" xr3:uid="{29FF55A5-7318-49A2-BA99-A21E0F0E76AA}" name="Pork (barrels)" dataDxfId="1652" dataCellStyle="Comma"/>
    <tableColumn id="24" xr3:uid="{7EEDFF16-5388-4EA7-BC16-E9B01F55B9E6}" name="Butter (firkins)" dataDxfId="1651" dataCellStyle="Comma"/>
    <tableColumn id="25" xr3:uid="{C29CB02E-E723-418D-9DA6-8899E4B9F972}" name="Candles (boxes)" dataDxfId="1650" dataCellStyle="Comma"/>
    <tableColumn id="26" xr3:uid="{06486FCE-B3D2-44E0-80CF-47EB1FB0DAFB}" name="Soap (boxes)" dataDxfId="1649" dataCellStyle="Comma"/>
    <tableColumn id="27" xr3:uid="{3A11DF13-32E1-427C-AA57-16071324ED61}" name="Livestock: Horses" dataDxfId="1648" dataCellStyle="Comma"/>
    <tableColumn id="28" xr3:uid="{0771A0CC-DD30-4C04-AC9C-B7E511F8F13C}" name="Livestock: Mules" dataDxfId="1647" dataCellStyle="Comma"/>
    <tableColumn id="29" xr3:uid="{39298D0A-CF0C-47C0-9737-C367C37EBFDF}" name="Livestock: Asses" dataDxfId="1646" dataCellStyle="Comma"/>
    <tableColumn id="30" xr3:uid="{B0C9AE00-630B-491C-9BA6-08CABBB27694}" name="Livestock: Cattle" dataDxfId="1645" dataCellStyle="Comma"/>
  </tableColumns>
  <tableStyleInfo name="TableStyleLight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4" xr:uid="{85E52EE4-8922-44B1-B76A-2CCC13B6E763}" name="Table114" displayName="Table114" ref="A1:Y19" totalsRowShown="0" headerRowDxfId="1644" dataDxfId="1643" tableBorderDxfId="1642" dataCellStyle="Comma">
  <autoFilter ref="A1:Y19" xr:uid="{85E52EE4-8922-44B1-B76A-2CCC13B6E76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autoFilter>
  <tableColumns count="25">
    <tableColumn id="1" xr3:uid="{315C24C0-6DC2-48D2-ADDD-C523C4A9D6D3}" name="Export:_x000a_1833-34" dataDxfId="1641" dataCellStyle="Comma"/>
    <tableColumn id="2" xr3:uid="{7DF8E606-6D7E-483E-9BFA-A671BD584C34}" name="Sugar (hogsheads)" dataDxfId="1640" dataCellStyle="Comma"/>
    <tableColumn id="3" xr3:uid="{144A6D68-5019-4F14-83C7-A376B1C15DC0}" name="Sugar (tierces)" dataDxfId="1639" dataCellStyle="Comma"/>
    <tableColumn id="4" xr3:uid="{9F64A0BF-9936-4C70-BF77-0FF068FDCB24}" name="Sugar (barrels)" dataDxfId="1638" dataCellStyle="Comma"/>
    <tableColumn id="5" xr3:uid="{EC18B481-85FE-4EE7-AC1F-C7E51A3A68D9}" name="Rum (puncheons)" dataDxfId="1637" dataCellStyle="Comma"/>
    <tableColumn id="6" xr3:uid="{A9D1DAB0-5DA7-4B17-943C-52F5C281C539}" name="Rum (hogsheads)" dataDxfId="1636" dataCellStyle="Comma"/>
    <tableColumn id="7" xr3:uid="{585A04E3-70CF-4498-B7AD-F1DA5459C077}" name="Rum (casks)" dataDxfId="1635" dataCellStyle="Comma"/>
    <tableColumn id="8" xr3:uid="{E1C92F1F-C97C-4606-9B3E-46ADB6081A90}" name="Coffee (tierces)" dataDxfId="1634" dataCellStyle="Comma"/>
    <tableColumn id="9" xr3:uid="{2F98919B-A498-4B29-AD79-8FB97C07BF28}" name="Coffee (barrels)" dataDxfId="1633" dataCellStyle="Comma"/>
    <tableColumn id="10" xr3:uid="{EA814D3A-5812-4EAA-942C-3CEE49947FB9}" name="Coffee (bags)" dataDxfId="1632" dataCellStyle="Comma"/>
    <tableColumn id="11" xr3:uid="{B1B6B329-9558-47EB-ABBB-1DF65633CF9B}" name="Molasses (casks)" dataDxfId="1631" dataCellStyle="Comma"/>
    <tableColumn id="12" xr3:uid="{211FBC7C-5D20-4968-AD29-CD232CB26322}" name="Pimento (barrels)" dataDxfId="1630" dataCellStyle="Comma"/>
    <tableColumn id="13" xr3:uid="{5E9E8983-AD63-4AC5-9BEB-A3EBF04F509D}" name="Pimento (bags)" dataDxfId="1629" dataCellStyle="Comma"/>
    <tableColumn id="14" xr3:uid="{5AE2E4E0-9EA2-4163-B2B2-7C1782DE6EBD}" name="Ginger (barrels)" dataDxfId="1628" dataCellStyle="Comma"/>
    <tableColumn id="15" xr3:uid="{2D374FE8-0D84-4F3A-8DCD-AF6FC429F5DB}" name="Ginger (bags)" dataDxfId="1627" dataCellStyle="Comma"/>
    <tableColumn id="16" xr3:uid="{97514D6F-2AB7-4418-B813-18A45938C179}" name="Cotton (bales)" dataDxfId="1626" dataCellStyle="Comma"/>
    <tableColumn id="17" xr3:uid="{8E957BFA-50A1-4974-B818-EA9011D3E42F}" name="Hides" dataDxfId="1625" dataCellStyle="Comma"/>
    <tableColumn id="18" xr3:uid="{DA0B57D9-28C0-4596-9DAF-D364EE142954}" name="Logwood (tons)" dataDxfId="1624" dataCellStyle="Comma"/>
    <tableColumn id="19" xr3:uid="{1C0BF84A-FE48-44F2-82C2-C1191DA4D37D}" name="Fustic (tons)" dataDxfId="1623" dataCellStyle="Comma"/>
    <tableColumn id="20" xr3:uid="{6A4DA6C2-9219-4F19-B4BB-CC70104DEC72}" name="Nicaragua wood (tons)" dataDxfId="1622" dataCellStyle="Comma"/>
    <tableColumn id="21" xr3:uid="{5A714F86-EF30-4252-BCD4-1A13F0B3D549}" name="Lignum vitae (tons)" dataDxfId="1621" dataCellStyle="Comma"/>
    <tableColumn id="22" xr3:uid="{1EC0899B-C308-453E-933F-9902C4BFEE68}" name="Ebony (tons)" dataDxfId="1620" dataCellStyle="Comma"/>
    <tableColumn id="23" xr3:uid="{82B53DF7-DD51-40F1-8A08-150C3B4663F9}" name="Mahogany (logs)" dataDxfId="1619" dataCellStyle="Comma"/>
    <tableColumn id="24" xr3:uid="{3B233F59-7E8C-424E-AD49-4C6B87499173}" name="Cedar (logs)" dataDxfId="1618" dataCellStyle="Comma"/>
    <tableColumn id="25" xr3:uid="{5BAA6682-39DB-4DE5-89B5-8F0C075A3CD3}" name="Lancewood spars " dataDxfId="1617" dataCellStyle="Comma"/>
  </tableColumns>
  <tableStyleInfo name="TableStyleLight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2" xr:uid="{0B030ED9-0C48-4A6E-A80D-82C1F624049E}" name="Table112" displayName="Table112" ref="A1:AD19" totalsRowShown="0" headerRowDxfId="1616" dataDxfId="1615" tableBorderDxfId="1614" dataCellStyle="Comma">
  <autoFilter ref="A1:AD19" xr:uid="{0B030ED9-0C48-4A6E-A80D-82C1F624049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797FD93D-7AA0-414A-83FE-0038B11ECA05}" name="Import: _x000a_1833-34" dataDxfId="1613" dataCellStyle="Comma"/>
    <tableColumn id="2" xr3:uid="{47CAE6F7-97A7-47BA-95C3-906435576F06}" name="Brandy (gallons)" dataDxfId="1612" dataCellStyle="Comma"/>
    <tableColumn id="3" xr3:uid="{BCB8A69B-498D-4106-8A23-60FF0E753E87}" name="Gin (gallons)" dataDxfId="1611" dataCellStyle="Comma"/>
    <tableColumn id="4" xr3:uid="{FD611CE5-BB86-4A00-9787-6998CB2CCAC0}" name="Flour (barrels)" dataDxfId="1610" dataCellStyle="Comma"/>
    <tableColumn id="5" xr3:uid="{0B5DDC03-BBFA-4C27-AAD6-2EE6B1055736}" name="Corn meal (barrels)" dataDxfId="1609" dataCellStyle="Comma"/>
    <tableColumn id="6" xr3:uid="{E9C37069-49A2-4437-980D-B8DA710E7BB2}" name="Bread (barrels)" dataDxfId="1608" dataCellStyle="Comma"/>
    <tableColumn id="7" xr3:uid="{C1E6444E-BC88-471E-A86E-43F9077151F1}" name="Bread (bags)" dataDxfId="1607" dataCellStyle="Comma"/>
    <tableColumn id="8" xr3:uid="{B111DB43-8C87-426B-BCC9-E7D78BADAE16}" name="Bread (lb)" dataDxfId="1606" dataCellStyle="Comma"/>
    <tableColumn id="9" xr3:uid="{9D39A52E-858D-464C-BE76-16CC93708B1F}" name="Rice (casks and bags)" dataDxfId="1605" dataCellStyle="Comma"/>
    <tableColumn id="10" xr3:uid="{AF713084-E89B-469B-B610-A52E082CAF9A}" name="Rice (lb)" dataDxfId="1604" dataCellStyle="Comma"/>
    <tableColumn id="11" xr3:uid="{47B2942E-B015-4D16-88C9-44463537EAD1}" name="Corn, pease, oats, etc. (bushels)" dataDxfId="1603" dataCellStyle="Comma"/>
    <tableColumn id="12" xr3:uid="{FAF16263-F37E-4481-B655-15CA594C0FC4}" name="Fish, dry (casks)" dataDxfId="1602" dataCellStyle="Comma"/>
    <tableColumn id="13" xr3:uid="{660B6C47-824B-4A72-81B6-DE10031B5553}" name="Fish, dry (boxes)" dataDxfId="1601" dataCellStyle="Comma"/>
    <tableColumn id="14" xr3:uid="{4E2686CA-57CD-4E38-A13D-F7052F64D567}" name="Fish, pickled (tierces)" dataDxfId="1600" dataCellStyle="Comma"/>
    <tableColumn id="15" xr3:uid="{A6F97C91-36CB-4846-A100-E3198F1EB3B7}" name="Fish, pickled (barrels)" dataDxfId="1599" dataCellStyle="Comma"/>
    <tableColumn id="16" xr3:uid="{1F739F3B-0B7D-4D13-BBFE-E05ECEDE6766}" name="Fish, pickled (kits)" dataDxfId="1598" dataCellStyle="Comma"/>
    <tableColumn id="17" xr3:uid="{A0C8E143-702A-4428-B8B2-5D9357EC6586}" name="Staves (red oak)" dataDxfId="1597" dataCellStyle="Comma"/>
    <tableColumn id="18" xr3:uid="{115C5793-EAB3-434F-8AE0-737AAA2A7995}" name="Staves (white oak)" dataDxfId="1596" dataCellStyle="Comma"/>
    <tableColumn id="19" xr3:uid="{6852023B-90F3-49C8-9BD7-F5F50C92EF50}" name="Shingles" dataDxfId="1595" dataCellStyle="Comma"/>
    <tableColumn id="20" xr3:uid="{1AD7521C-89C9-49FD-8D41-C932D06C07E8}" name="Lumber (feet)" dataDxfId="1594" dataCellStyle="Comma"/>
    <tableColumn id="21" xr3:uid="{0D80DF40-4177-4926-97DC-CE259B4712BA}" name="Hoops" dataDxfId="1593" dataCellStyle="Comma"/>
    <tableColumn id="22" xr3:uid="{AAD5547C-06B2-4891-8A19-57EA15F82FD0}" name="Beef (barrels)" dataDxfId="1592" dataCellStyle="Comma"/>
    <tableColumn id="23" xr3:uid="{09B13CFD-43BB-4028-AC6B-6A3E14D61790}" name="Pork (barrels)" dataDxfId="1591" dataCellStyle="Comma"/>
    <tableColumn id="24" xr3:uid="{1F68D901-6BA3-4138-A774-D3E7F05173DB}" name="Butter and lard (firkins)" dataDxfId="1590" dataCellStyle="Comma"/>
    <tableColumn id="25" xr3:uid="{310DEC40-4E1C-4996-9F09-1B7219D0D9EB}" name="Candles (boxes)" dataDxfId="1589" dataCellStyle="Comma"/>
    <tableColumn id="26" xr3:uid="{23C93E86-B9C9-450E-B7B7-6EEBBE7D742B}" name="Soap (boxes)" dataDxfId="1588" dataCellStyle="Comma"/>
    <tableColumn id="27" xr3:uid="{FA11161C-9C10-49EF-B833-2D57FA25D88A}" name="Livestock: Horses" dataDxfId="1587" dataCellStyle="Comma"/>
    <tableColumn id="28" xr3:uid="{86B040AA-77D2-453C-AC44-12D2996C45BB}" name="Livestock: Mules" dataDxfId="1586" dataCellStyle="Comma"/>
    <tableColumn id="29" xr3:uid="{16E48FB5-C89C-4B1A-A6F0-D9860592C773}" name="Livestock: Asses" dataDxfId="1585" dataCellStyle="Comma"/>
    <tableColumn id="30" xr3:uid="{4DD8A728-88C9-4F9A-A4DB-0BDFE104209B}" name="Livestock: Cattle" dataDxfId="1584" dataCellStyle="Comma"/>
  </tableColumns>
  <tableStyleInfo name="TableStyleLight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9" xr:uid="{513073A9-EC16-49AB-837F-1E7399E2CEB5}" name="Table109" displayName="Table109" ref="A1:X20" totalsRowShown="0" headerRowDxfId="1583" dataDxfId="1582" tableBorderDxfId="1581" dataCellStyle="Comma">
  <autoFilter ref="A1:X20" xr:uid="{513073A9-EC16-49AB-837F-1E7399E2CEB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autoFilter>
  <tableColumns count="24">
    <tableColumn id="1" xr3:uid="{DF4832D2-647D-4CE4-8C58-9A251D87D82F}" name="Export:_x000a_1831-32" dataDxfId="1580" dataCellStyle="Comma"/>
    <tableColumn id="2" xr3:uid="{EDD90B69-C54B-40FA-9651-99AD74A3A599}" name="Sugar (hogsheads)" dataDxfId="1579" dataCellStyle="Comma"/>
    <tableColumn id="3" xr3:uid="{B0DB5A51-680B-4463-803B-C538D63C5E1A}" name="Sugar (tierces)" dataDxfId="1578" dataCellStyle="Comma"/>
    <tableColumn id="4" xr3:uid="{97700AC9-D180-4645-B8E8-A9686477108C}" name="Sugar (barrels)" dataDxfId="1577" dataCellStyle="Comma"/>
    <tableColumn id="5" xr3:uid="{FF879F91-3AB2-461A-97F2-DB5317DC7721}" name="Rum (puncheons)" dataDxfId="1576" dataCellStyle="Comma"/>
    <tableColumn id="6" xr3:uid="{ABD42A51-B51C-4659-BA11-7BE866ECF0A7}" name="Rum (hogsheads)" dataDxfId="1575" dataCellStyle="Comma"/>
    <tableColumn id="7" xr3:uid="{3AD22C1F-888D-42DF-AEB0-CED0C76A0665}" name="Rum (casks)" dataDxfId="1574" dataCellStyle="Comma"/>
    <tableColumn id="8" xr3:uid="{306702D9-6E06-46F6-856C-A7D387D5C1A4}" name="Molasses (casks)" dataDxfId="1573" dataCellStyle="Comma"/>
    <tableColumn id="9" xr3:uid="{051F05F2-8C0B-46E8-8C5D-743961997416}" name="Ginger (casks)" dataDxfId="1572" dataCellStyle="Comma"/>
    <tableColumn id="10" xr3:uid="{EFDBBEB3-B0A9-4D51-A422-C8BAE1B989DA}" name="Ginger (bags)" dataDxfId="1571" dataCellStyle="Comma"/>
    <tableColumn id="11" xr3:uid="{E322768C-A69B-498A-9930-971CA1BCF594}" name="Pimento (barrels)" dataDxfId="1570" dataCellStyle="Comma"/>
    <tableColumn id="12" xr3:uid="{A1120665-094F-470B-BE3B-03CBA4EE9E76}" name="Pimento (bags)" dataDxfId="1569" dataCellStyle="Comma"/>
    <tableColumn id="13" xr3:uid="{4F056677-B4E5-44FA-9DD3-2B46F3B0D1C4}" name="Coffee (tierces)" dataDxfId="1568" dataCellStyle="Comma"/>
    <tableColumn id="14" xr3:uid="{239466C4-0D24-496E-95EA-224C6DC66ED2}" name="Coffee (barrels)" dataDxfId="1567" dataCellStyle="Comma"/>
    <tableColumn id="15" xr3:uid="{32645F5B-8B7C-4D08-996E-4DF530CC2B6A}" name="Coffee (bags)" dataDxfId="1566" dataCellStyle="Comma"/>
    <tableColumn id="16" xr3:uid="{8F0C3F19-600D-4248-99A6-F94DBB0C3529}" name="Cotton (bales)" dataDxfId="1565" dataCellStyle="Comma"/>
    <tableColumn id="17" xr3:uid="{AADB5A96-AFC5-4A3D-82C1-5F351BDD6DC8}" name="Hides" dataDxfId="1564" dataCellStyle="Comma"/>
    <tableColumn id="18" xr3:uid="{2888CFA5-91FF-4B7C-8ABA-653D8FE1D04F}" name="Logwood (tons)" dataDxfId="1563" dataCellStyle="Comma"/>
    <tableColumn id="19" xr3:uid="{03018965-F652-4752-9961-2CC383189A55}" name="Fustic (tons)" dataDxfId="1562" dataCellStyle="Comma"/>
    <tableColumn id="20" xr3:uid="{6AC3FB45-C800-4140-90A7-1EAF92172CED}" name="Nicaragua wood (tons)" dataDxfId="1561" dataCellStyle="Comma"/>
    <tableColumn id="21" xr3:uid="{CDEDCB2B-4F82-49B7-8ABD-037710A2C863}" name="Ebony (tons)" dataDxfId="1560" dataCellStyle="Comma"/>
    <tableColumn id="22" xr3:uid="{1C37C432-F268-4DB5-A865-A75AE05B6D50}" name="Lignum vitae (tons)" dataDxfId="1559" dataCellStyle="Comma"/>
    <tableColumn id="23" xr3:uid="{C448B774-FBF2-45E4-B4FE-CFAA10EF890C}" name="Mahogany and cedar (logs)" dataDxfId="1558" dataCellStyle="Comma"/>
    <tableColumn id="24" xr3:uid="{70501FE9-ED0E-49F9-81EA-B3AAEAE25993}" name="Lancewood spars " dataDxfId="1557" dataCellStyle="Comma"/>
  </tableColumns>
  <tableStyleInfo name="TableStyleLight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7" xr:uid="{719E38EF-4EC1-489A-B511-8C8069DD958A}" name="Table107" displayName="Table107" ref="A1:AD19" totalsRowShown="0" headerRowDxfId="1556" dataDxfId="1555" tableBorderDxfId="1554" dataCellStyle="Comma">
  <autoFilter ref="A1:AD19" xr:uid="{719E38EF-4EC1-489A-B511-8C8069DD958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0506585B-0C14-46D2-9207-87EDD4565845}" name="Import: _x000a_1831-32" dataDxfId="1553" dataCellStyle="Comma"/>
    <tableColumn id="2" xr3:uid="{1E67BFC2-A6EB-43A2-A1AB-3CAFC38E6F8F}" name="Brandy (gallons)" dataDxfId="1552" dataCellStyle="Comma"/>
    <tableColumn id="3" xr3:uid="{4B02DDB3-D6A4-421D-A0CA-EF2611D724A4}" name="Gin (gallons)" dataDxfId="1551" dataCellStyle="Comma"/>
    <tableColumn id="4" xr3:uid="{29FCB7BD-2895-4FEB-9BC5-73ABD4EFF0D0}" name="Flour (barrels)" dataDxfId="1550" dataCellStyle="Comma"/>
    <tableColumn id="5" xr3:uid="{6E9BB6C2-9384-44E6-B104-BB8B64844C52}" name="Corn meal (barrels)" dataDxfId="1549" dataCellStyle="Comma"/>
    <tableColumn id="6" xr3:uid="{F484EFF8-8C9F-4C30-91D8-A85E2AF77033}" name="Bread (barrels)" dataDxfId="1548" dataCellStyle="Comma"/>
    <tableColumn id="7" xr3:uid="{7678A4A7-521D-4685-B53B-A580FB3DDD39}" name="Bread (bags)" dataDxfId="1547" dataCellStyle="Comma"/>
    <tableColumn id="8" xr3:uid="{91E586B2-E3E8-4709-9E55-DB1AA0ED7A90}" name="Bread (lb)" dataDxfId="1546" dataCellStyle="Comma"/>
    <tableColumn id="9" xr3:uid="{5A03A9C9-015E-4131-B9FA-35EDF5E1D2FA}" name="Rice (casks and bags)" dataDxfId="1545" dataCellStyle="Comma"/>
    <tableColumn id="10" xr3:uid="{C8E48B0A-0405-45B8-B1C8-CE1626549F05}" name="Rice (lb)" dataDxfId="1544" dataCellStyle="Comma"/>
    <tableColumn id="11" xr3:uid="{9C5BBCCC-5AB1-4587-91EA-C4158A62888D}" name="Corn, pease, oats, etc. (bushels)" dataDxfId="1543" dataCellStyle="Comma"/>
    <tableColumn id="12" xr3:uid="{248D2DAF-7C66-4754-AC7A-21A70DF135DB}" name="Fish, dry (casks)" dataDxfId="1542" dataCellStyle="Comma"/>
    <tableColumn id="13" xr3:uid="{CCC367C1-C7E0-4261-B1A8-F1909F34F51E}" name="Fish, dry (boxes)" dataDxfId="1541" dataCellStyle="Comma"/>
    <tableColumn id="14" xr3:uid="{3C562698-E9E4-43EF-8675-FB6298262DA5}" name="Fish, pickled (tierces)" dataDxfId="1540" dataCellStyle="Comma"/>
    <tableColumn id="15" xr3:uid="{ABCA7CF6-AF9C-4945-9D01-9BBE37C0936A}" name="Fish, pickled (barrels)" dataDxfId="1539" dataCellStyle="Comma"/>
    <tableColumn id="16" xr3:uid="{9D4857C5-6CF7-445C-86AB-2077A1D44DA8}" name="Fish, pickled (kits)" dataDxfId="1538" dataCellStyle="Comma"/>
    <tableColumn id="17" xr3:uid="{83D66F1C-643E-4008-AAC3-DBA2F40EDB2A}" name="Staves (red oak)" dataDxfId="1537" dataCellStyle="Comma"/>
    <tableColumn id="18" xr3:uid="{F441BE78-3A4F-41AB-8401-877FC9F2CE05}" name="Staves (white oak)" dataDxfId="1536" dataCellStyle="Comma"/>
    <tableColumn id="19" xr3:uid="{7B8FCC42-BF7A-4830-AD65-2F569D09B8FD}" name="Shingles" dataDxfId="1535" dataCellStyle="Comma"/>
    <tableColumn id="20" xr3:uid="{DD67EBF6-F84D-463A-B449-E67B237BE3D5}" name="Lumber (feet)" dataDxfId="1534" dataCellStyle="Comma"/>
    <tableColumn id="21" xr3:uid="{012A2D8E-675F-47DE-AE55-5CE0B774735F}" name="Hoops" dataDxfId="1533" dataCellStyle="Comma"/>
    <tableColumn id="22" xr3:uid="{254CFB1A-B0D8-4FE0-ADCF-845D65A2AD4D}" name="Beef (barrels)" dataDxfId="1532" dataCellStyle="Comma"/>
    <tableColumn id="23" xr3:uid="{352622AF-A24A-4932-85E5-698DE015F1F3}" name="Pork (barrels)" dataDxfId="1531" dataCellStyle="Comma"/>
    <tableColumn id="24" xr3:uid="{3550ADA6-AE9D-4B54-AA91-FD17B4C744B9}" name="Butter (firkins)" dataDxfId="1530" dataCellStyle="Comma"/>
    <tableColumn id="25" xr3:uid="{313E1B60-1A8A-4307-969C-95AC2C255148}" name="Candles (boxes)" dataDxfId="1529" dataCellStyle="Comma"/>
    <tableColumn id="26" xr3:uid="{C895E042-8B47-4B4E-A2CE-717D10609962}" name="Soap (boxes)" dataDxfId="1528" dataCellStyle="Comma"/>
    <tableColumn id="27" xr3:uid="{07502D81-02E9-45A8-8075-275DB110B9C4}" name="Livestock: Horses" dataDxfId="1527" dataCellStyle="Comma"/>
    <tableColumn id="28" xr3:uid="{98646817-39E9-4C42-960B-4B99983CB1F7}" name="Livestock: Mules" dataDxfId="1526" dataCellStyle="Comma"/>
    <tableColumn id="29" xr3:uid="{95C7075C-B657-438C-BEBD-0811CEEA438C}" name="Livestock: Asses" dataDxfId="1525" dataCellStyle="Comma"/>
    <tableColumn id="30" xr3:uid="{408ACB0B-1865-4D16-823F-44B9087DAE9E}" name="Livestock: Cattle" dataDxfId="1524" dataCellStyle="Comma"/>
  </tableColumns>
  <tableStyleInfo name="TableStyleLight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5" xr:uid="{1B8B62A8-B245-4895-82D7-3F93B948C348}" name="Table105" displayName="Table105" ref="A1:Z19" totalsRowShown="0" headerRowDxfId="1523" dataDxfId="1522" tableBorderDxfId="1521" dataCellStyle="Comma">
  <autoFilter ref="A1:Z19" xr:uid="{1B8B62A8-B245-4895-82D7-3F93B948C34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780F366B-849B-475D-94B9-86F6C8417DCB}" name="Export:_x000a_1828-29" dataDxfId="1520" dataCellStyle="Comma"/>
    <tableColumn id="2" xr3:uid="{2351BDD9-814D-40F1-868C-53CC3512842B}" name="Sugar (hogsheads)" dataDxfId="1519" dataCellStyle="Comma"/>
    <tableColumn id="3" xr3:uid="{84FEC260-ECBF-4C18-8404-ECFF87C35815}" name="Sugar (tierces)" dataDxfId="1518" dataCellStyle="Comma"/>
    <tableColumn id="4" xr3:uid="{ECB789EA-6E8A-44E7-85F0-5FF3BA9C1514}" name="Sugar (barrels)" dataDxfId="1517" dataCellStyle="Comma"/>
    <tableColumn id="5" xr3:uid="{550AF4AB-759B-4DE2-97F9-7E95DB003835}" name="Rum (puncheons)" dataDxfId="1516" dataCellStyle="Comma"/>
    <tableColumn id="6" xr3:uid="{E04CF8D4-74C1-494F-B441-D74040EA5CCE}" name="Rum (hogsheads)" dataDxfId="1515" dataCellStyle="Comma"/>
    <tableColumn id="7" xr3:uid="{6C68B13D-5FA0-400E-A720-A319DB31EEF5}" name="Rum (casks)" dataDxfId="1514" dataCellStyle="Comma"/>
    <tableColumn id="8" xr3:uid="{AC23ABF3-62BC-404D-B7E6-9E053CB22E79}" name="Molasses (casks)" dataDxfId="1513" dataCellStyle="Comma"/>
    <tableColumn id="9" xr3:uid="{CECA774A-FDF7-445C-B031-427564ACEDE4}" name="Ginger (barrels)" dataDxfId="1512" dataCellStyle="Comma"/>
    <tableColumn id="10" xr3:uid="{5B30CEE2-A40E-4CA1-A39A-0C019DA5EB18}" name="Ginger (bags)" dataDxfId="1511" dataCellStyle="Comma"/>
    <tableColumn id="11" xr3:uid="{26BC25AA-66FC-405C-A174-4AB4E16027C7}" name="Coffee (lb)" dataDxfId="1510" dataCellStyle="Comma"/>
    <tableColumn id="12" xr3:uid="{5DC3ACC5-CB2F-454E-80B6-01C0434FE3BF}" name="Pimento (lb)" dataDxfId="1509" dataCellStyle="Comma"/>
    <tableColumn id="13" xr3:uid="{DF95242A-54E2-40F4-B673-E80E3DF81144}" name="Arrow root (barrels)" dataDxfId="1508" dataCellStyle="Comma"/>
    <tableColumn id="14" xr3:uid="{AEF43AA4-3C7D-4514-8AC6-D776A0563F12}" name="Arrow root (kegs)" dataDxfId="1507" dataCellStyle="Comma"/>
    <tableColumn id="15" xr3:uid="{04BE4096-D01C-43EC-B607-B892CB8EDF46}" name="Lime juice (puncheons)" dataDxfId="1506" dataCellStyle="Comma"/>
    <tableColumn id="16" xr3:uid="{D9CBD2A8-866C-4584-9819-425BA8CDD1D1}" name="Sweet meats (packages)" dataDxfId="1505" dataCellStyle="Comma"/>
    <tableColumn id="17" xr3:uid="{47F1D3CA-3E64-4E06-A2B9-84347469EBBC}" name="Cotton (bales)" dataDxfId="1504" dataCellStyle="Comma"/>
    <tableColumn id="18" xr3:uid="{81271AC8-50AD-4527-9607-1429762BA820}" name="Hides" dataDxfId="1503" dataCellStyle="Comma"/>
    <tableColumn id="19" xr3:uid="{CB48EF06-02A8-4465-BFD0-35BB80506C65}" name="Logwood (tons)" dataDxfId="1502" dataCellStyle="Comma"/>
    <tableColumn id="20" xr3:uid="{3C51125B-3B4F-42C4-86E8-6BDC101F0F7D}" name="Fustic (tons)" dataDxfId="1501" dataCellStyle="Comma"/>
    <tableColumn id="21" xr3:uid="{D11206C6-F9CC-435D-AE3C-CBCA857C6CE5}" name="Nicaragua wood (tons)" dataDxfId="1500" dataCellStyle="Comma"/>
    <tableColumn id="22" xr3:uid="{05B04EDC-96E6-4310-843C-251810A30A80}" name="Lignum vitae (tons)" dataDxfId="1499" dataCellStyle="Comma"/>
    <tableColumn id="23" xr3:uid="{51D975B4-E8A8-4E2B-AC8B-639379F6A5F0}" name="Ebony (tons)" dataDxfId="1498" dataCellStyle="Comma"/>
    <tableColumn id="24" xr3:uid="{138640E7-5CAE-4052-BF3F-B732ED0BFA97}" name="Mahogany and cedar (logs)" dataDxfId="1497" dataCellStyle="Comma"/>
    <tableColumn id="25" xr3:uid="{1F8088C1-4DCB-4847-90DA-3327FD9B1F4E}" name="Cabinet wood (pieces)" dataDxfId="1496" dataCellStyle="Comma"/>
    <tableColumn id="26" xr3:uid="{A34DEBBA-19B9-4262-B636-C42EF6F01EBA}" name="Lancewood spars " dataDxfId="1495" dataCellStyle="Comma"/>
  </tableColumns>
  <tableStyleInfo name="TableStyleLight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3" xr:uid="{4B0B8F04-9872-4467-98C3-CE123645D569}" name="Table103" displayName="Table103" ref="A1:R19" totalsRowShown="0" headerRowDxfId="1494" dataDxfId="1493" tableBorderDxfId="1492" dataCellStyle="Comma">
  <autoFilter ref="A1:R19" xr:uid="{4B0B8F04-9872-4467-98C3-CE123645D56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050279D6-9E23-4BB4-B30A-A72AC08B4122}" name="Import: _x000a_1828-29" dataDxfId="1491" dataCellStyle="Comma"/>
    <tableColumn id="2" xr3:uid="{3C6DEA05-AA56-4221-BA01-7C56AB8EA816}" name="Flour (barrels)" dataDxfId="1490" dataCellStyle="Comma"/>
    <tableColumn id="3" xr3:uid="{59E4A446-B46A-4F2A-B9AA-C42DBE84E0A8}" name="Corn meal (barrels)" dataDxfId="1489"/>
    <tableColumn id="4" xr3:uid="{F4075FBC-BF0E-426F-B611-9EB3F422BB13}" name="Bread (lb)" dataDxfId="1488" dataCellStyle="Comma"/>
    <tableColumn id="5" xr3:uid="{9F82A939-849F-41DF-8B33-5A69F5427DF1}" name="Rice (lb)" dataDxfId="1487" dataCellStyle="Comma"/>
    <tableColumn id="6" xr3:uid="{9F8ACE8A-90BB-4887-985F-1515DC88262C}" name="Corn, beans, oats, etc. (bushels)" dataDxfId="1486" dataCellStyle="Comma"/>
    <tableColumn id="7" xr3:uid="{B78D83B4-A928-4F66-B5A3-9DBA6DA77102}" name="Fish, dry (quintals)" dataDxfId="1485" dataCellStyle="Comma"/>
    <tableColumn id="8" xr3:uid="{5D2DF512-30EC-4897-86FF-DFB44ACDB9DC}" name="Fish, pickled (tierces)" dataDxfId="1484" dataCellStyle="Comma"/>
    <tableColumn id="9" xr3:uid="{6689B31A-D508-4C53-8749-2C0703D28895}" name="Fish, pickled (barrels)" dataDxfId="1483" dataCellStyle="Comma"/>
    <tableColumn id="10" xr3:uid="{0B26EE06-1F44-49B6-ACE4-2B82880B5B5D}" name="Fish, pickled (kits)" dataDxfId="1482" dataCellStyle="Comma"/>
    <tableColumn id="11" xr3:uid="{6C536788-42D2-49E0-AAFB-F940E97C0AD3}" name="Staves and heading" dataDxfId="1481" dataCellStyle="Comma"/>
    <tableColumn id="12" xr3:uid="{D78D71D9-619B-4355-8373-CA9445C8D45C}" name="Shingles" dataDxfId="1480" dataCellStyle="Comma"/>
    <tableColumn id="13" xr3:uid="{BF38C2F3-9C5B-42D4-9E5F-69BBD96D8B9D}" name="Lumber (feet)" dataDxfId="1479" dataCellStyle="Comma"/>
    <tableColumn id="14" xr3:uid="{978E936D-5E5A-4A27-AA35-29FA5C181649}" name="Hoops" dataDxfId="1478" dataCellStyle="Comma"/>
    <tableColumn id="15" xr3:uid="{B6BB17E3-A8B5-4071-BC70-AEFED85B0AE9}" name="Livestock: Horses" dataDxfId="1477" dataCellStyle="Comma"/>
    <tableColumn id="16" xr3:uid="{A5F259D4-D099-4B3A-ADB8-9C63FEAC132F}" name="Livestock: Mules" dataDxfId="1476" dataCellStyle="Comma"/>
    <tableColumn id="17" xr3:uid="{0EC100FC-DE72-48C6-8652-F5C4EC18FC7A}" name="Livestock: Asses" dataDxfId="1475" dataCellStyle="Comma"/>
    <tableColumn id="18" xr3:uid="{CC8EE71B-6854-412D-B40F-0F9D3648F532}" name="Livestock: Cattle" dataDxfId="1474" dataCellStyle="Comma"/>
  </tableColumns>
  <tableStyleInfo name="TableStyleLight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1" xr:uid="{510307EF-7F34-4B48-A0FB-62FB638B160B}" name="Table101" displayName="Table101" ref="A1:Z19" totalsRowShown="0" headerRowDxfId="1473" dataDxfId="1472" tableBorderDxfId="1471" dataCellStyle="Comma">
  <autoFilter ref="A1:Z19" xr:uid="{510307EF-7F34-4B48-A0FB-62FB638B160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CC6AAFB8-14D8-419F-AE82-2E98BA8372C4}" name="Export:_x000a_1827-28" dataDxfId="1470" dataCellStyle="Comma"/>
    <tableColumn id="2" xr3:uid="{7DBB8B7B-E0BF-4D57-8C6E-A8A04803019C}" name="Sugar (hogsheads)" dataDxfId="1469" dataCellStyle="Comma"/>
    <tableColumn id="3" xr3:uid="{4340A74F-CC38-41FC-8098-76259946CF1C}" name="Sugar (tierces)" dataDxfId="1468" dataCellStyle="Comma"/>
    <tableColumn id="4" xr3:uid="{4F49954C-A90C-4E96-AADE-7DB3CE18461A}" name="Sugar (barrels)" dataDxfId="1467" dataCellStyle="Comma"/>
    <tableColumn id="5" xr3:uid="{4588A155-C23D-4928-B232-60EFBF48E604}" name="Rum (puncheons)" dataDxfId="1466" dataCellStyle="Comma"/>
    <tableColumn id="6" xr3:uid="{22037343-F6DC-490C-87CF-C1FC10F1B69B}" name="Rum (hogsheads)" dataDxfId="1465" dataCellStyle="Comma"/>
    <tableColumn id="7" xr3:uid="{0C55994C-6A0E-4C74-842E-DB5BB1E0CFC2}" name="Rum (casks)" dataDxfId="1464" dataCellStyle="Comma"/>
    <tableColumn id="8" xr3:uid="{35BAB6D2-B2FD-48BD-8F6D-F755E0BA0EA2}" name="Molasses (casks)" dataDxfId="1463" dataCellStyle="Comma"/>
    <tableColumn id="9" xr3:uid="{3D10B451-F551-4991-B5D5-64597FEF329C}" name="Ginger (barrels)" dataDxfId="1462" dataCellStyle="Comma"/>
    <tableColumn id="10" xr3:uid="{63577DE1-E065-459F-8297-7A87694B0ACB}" name="Ginger (bags)" dataDxfId="1461" dataCellStyle="Comma"/>
    <tableColumn id="11" xr3:uid="{F4748F9D-D31A-41C9-BE05-0086C1738075}" name="Coffee (lb)" dataDxfId="1460" dataCellStyle="Comma"/>
    <tableColumn id="12" xr3:uid="{FE3A4868-EC01-445D-B7F2-C00A7023A157}" name="Pimento (lb)" dataDxfId="1459" dataCellStyle="Comma"/>
    <tableColumn id="13" xr3:uid="{8F7147DE-F304-4442-848A-BD2798D4D540}" name="Arrow root (barrels)" dataDxfId="1458" dataCellStyle="Comma"/>
    <tableColumn id="14" xr3:uid="{732FEDD2-D7AA-4831-9256-7A5DE045B63F}" name="Arrow root (kegs)" dataDxfId="1457" dataCellStyle="Comma"/>
    <tableColumn id="15" xr3:uid="{A7BA290E-F65C-4326-8639-CFEFCB5162A0}" name="Lime juice (puncheons)" dataDxfId="1456" dataCellStyle="Comma"/>
    <tableColumn id="16" xr3:uid="{E1AD3DF3-FF1B-4149-A1F0-0ABE10586145}" name="Sweet meats (packages)" dataDxfId="1455" dataCellStyle="Comma"/>
    <tableColumn id="17" xr3:uid="{6ECB4729-9847-4B47-B0B8-5DE76CFF8C27}" name="Cotton (bales)" dataDxfId="1454" dataCellStyle="Comma"/>
    <tableColumn id="18" xr3:uid="{65FBDEE2-8577-4792-9A1B-2C72994E1885}" name="Hides" dataDxfId="1453" dataCellStyle="Comma"/>
    <tableColumn id="19" xr3:uid="{93372853-DC75-4995-81FB-5B049DB4EEB4}" name="Logwood (tons)" dataDxfId="1452" dataCellStyle="Comma"/>
    <tableColumn id="20" xr3:uid="{1B50E8CF-0749-4C87-9F99-30744C26B8F1}" name="Fustic (tons)" dataDxfId="1451" dataCellStyle="Comma"/>
    <tableColumn id="21" xr3:uid="{F062AC4C-A03B-4639-AF6B-25833BFB2CE6}" name="Nicaragua wood (tons)" dataDxfId="1450" dataCellStyle="Comma"/>
    <tableColumn id="22" xr3:uid="{6DEE43F1-E0DC-4FFF-9DE0-DC0A5F4221D6}" name="Lignum vitae (tons)" dataDxfId="1449" dataCellStyle="Comma"/>
    <tableColumn id="23" xr3:uid="{6AD5FB91-54E6-4B62-A10B-76EBDC1C7D43}" name="Ebony (tons)" dataDxfId="1448" dataCellStyle="Comma"/>
    <tableColumn id="24" xr3:uid="{8C10ECD3-E393-4312-97B8-EA1295682434}" name="Mahogany and cedar (logs)" dataDxfId="1447" dataCellStyle="Comma"/>
    <tableColumn id="25" xr3:uid="{E7EDDF4E-1F41-4E09-82DF-DFD8A400A716}" name="Cabinet wood (pieces)" dataDxfId="1446" dataCellStyle="Comma"/>
    <tableColumn id="26" xr3:uid="{9097227B-CFBC-4310-BDA6-CFCAD59C1FA3}" name="Lancewood spars " dataDxfId="1445" dataCellStyle="Comma"/>
  </tableColumns>
  <tableStyleInfo name="TableStyleLight9"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9" xr:uid="{B5B5FFC6-D3A0-4F43-9272-931ADD395BF6}" name="Table99" displayName="Table99" ref="A1:U20" totalsRowShown="0" headerRowDxfId="1444" dataDxfId="1443" tableBorderDxfId="1442" dataCellStyle="Comma">
  <autoFilter ref="A1:U20" xr:uid="{B5B5FFC6-D3A0-4F43-9272-931ADD395BF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FE807E50-444F-4EA9-9F92-7C2D21E11801}" name="Import: _x000a_1827-8" dataDxfId="1441" dataCellStyle="Comma"/>
    <tableColumn id="2" xr3:uid="{FE581B0F-43D5-4734-902F-9FBE056244B9}" name="Flour (barrels)"/>
    <tableColumn id="3" xr3:uid="{3F4D95E3-EDB5-4477-AF50-3260D3F001E9}" name="Corn meal (barrels)" dataDxfId="1440" dataCellStyle="Comma"/>
    <tableColumn id="4" xr3:uid="{7E495FA7-6463-4198-BF91-988AC6DF1DCC}" name="Bread (bags)" dataDxfId="1439" dataCellStyle="Comma"/>
    <tableColumn id="5" xr3:uid="{032B7C7E-3136-45BC-BB17-B776A7EA69B1}" name="Bread (lb)" dataDxfId="1438" dataCellStyle="Comma"/>
    <tableColumn id="6" xr3:uid="{C6C637DA-5FD5-46D3-BAFD-97A29EB9F038}" name="Rice (lb)" dataDxfId="1437" dataCellStyle="Comma"/>
    <tableColumn id="7" xr3:uid="{2627894A-2DAA-4354-9C17-87C4162460E3}" name="Corn, beans, oats, etc. (bushels)" dataDxfId="1436" dataCellStyle="Comma"/>
    <tableColumn id="8" xr3:uid="{6B9A3F2C-C11D-4404-BFCF-B9E3219E3AA9}" name="Fish, dry (quintals)" dataDxfId="1435" dataCellStyle="Comma"/>
    <tableColumn id="9" xr3:uid="{875DF58F-E1FB-4B36-99E7-FE2B8D48954B}" name="Fish, pickled (tierces)" dataDxfId="1434" dataCellStyle="Comma"/>
    <tableColumn id="10" xr3:uid="{9F9EA00C-5B09-477D-98B2-FCF28315A2C0}" name="Fish, pickled (barrels)" dataDxfId="1433" dataCellStyle="Comma"/>
    <tableColumn id="11" xr3:uid="{ADA10DB6-35F0-4022-A0DD-6D8FBA5464BA}" name="Fish, pickled (kits)" dataDxfId="1432" dataCellStyle="Comma"/>
    <tableColumn id="12" xr3:uid="{E43CCF07-7232-4B0D-956F-090BC728E299}" name="Staves and heading" dataDxfId="1431" dataCellStyle="Comma"/>
    <tableColumn id="13" xr3:uid="{7B0CF618-B606-4B6F-A72B-232F2C9DEAC2}" name="Shingles" dataDxfId="1430" dataCellStyle="Comma"/>
    <tableColumn id="14" xr3:uid="{4A370BA0-1485-4C41-A47D-F7D894EA9A73}" name="Lumber (feet)" dataDxfId="1429" dataCellStyle="Comma"/>
    <tableColumn id="15" xr3:uid="{7903BBF4-31D7-461D-BB52-B6893615E07E}" name="Hoops" dataDxfId="1428" dataCellStyle="Comma"/>
    <tableColumn id="16" xr3:uid="{EBB743F5-9DFE-4BDB-9881-E71E0E9F308A}" name="Livestock: Horses" dataDxfId="1427" dataCellStyle="Comma"/>
    <tableColumn id="17" xr3:uid="{AF2F36C3-FD69-47C3-9296-E7B8D93210D6}" name="Livestock: Mules" dataDxfId="1426" dataCellStyle="Comma"/>
    <tableColumn id="18" xr3:uid="{E23F7AF7-9F41-4319-99E6-90E0AB25EA3A}" name="Livestock: Cattle" dataDxfId="1425" dataCellStyle="Comma"/>
    <tableColumn id="19" xr3:uid="{09531C65-CDA1-4FFB-B4B0-080F8275D894}" name="Livestock: Asses" dataDxfId="1424" dataCellStyle="Comma"/>
    <tableColumn id="20" xr3:uid="{3EBC7430-ED6F-46FB-85EE-A833B5B939ED}" name="Wines (tuns)" dataDxfId="1423" dataCellStyle="Comma"/>
    <tableColumn id="21" xr3:uid="{0DFEBA93-475D-4D74-8F43-CD17B8CE7F5F}" name="Wines (gallons)" dataDxfId="1422" dataCellStyle="Comma"/>
  </tableColumns>
  <tableStyleInfo name="TableStyleLight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AEEC6ECE-A890-4408-BA08-0D94C589DEAC}" name="Table97" displayName="Table97" ref="A1:X19" totalsRowShown="0" headerRowDxfId="1421" dataDxfId="1420" tableBorderDxfId="1419" dataCellStyle="Comma">
  <autoFilter ref="A1:X19" xr:uid="{AEEC6ECE-A890-4408-BA08-0D94C589DEA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autoFilter>
  <tableColumns count="24">
    <tableColumn id="1" xr3:uid="{0C6FAFCF-D1A6-4EE9-8370-F1C29FC63571}" name="Export:_x000a_1825-26" dataDxfId="1418" dataCellStyle="Comma"/>
    <tableColumn id="2" xr3:uid="{5887E4E7-D8D8-4A6D-B2DA-50100E638037}" name="Sugar (hogsheads)" dataDxfId="1417" dataCellStyle="Comma"/>
    <tableColumn id="3" xr3:uid="{4C7B10B6-56AF-4C45-951E-33E2D9C766E6}" name="Sugar (tierces)" dataDxfId="1416" dataCellStyle="Comma"/>
    <tableColumn id="4" xr3:uid="{3E784F0C-4384-4684-8867-4833B5A149D9}" name="Sugar (barrels)" dataDxfId="1415" dataCellStyle="Comma"/>
    <tableColumn id="5" xr3:uid="{6D6E73CF-27FF-4E65-9B07-16CDBD6A8B53}" name="Rum (puncheons)" dataDxfId="1414" dataCellStyle="Comma"/>
    <tableColumn id="6" xr3:uid="{04B3A22A-724B-4A00-B15F-B1503075FAC1}" name="Rum (hogsheads)" dataDxfId="1413" dataCellStyle="Comma"/>
    <tableColumn id="7" xr3:uid="{1C59BD71-89A5-4386-8999-9574E1CA6C42}" name="Rum (casks)" dataDxfId="1412" dataCellStyle="Comma"/>
    <tableColumn id="8" xr3:uid="{30ABCA7C-A710-4A44-8D1D-D43CE2317B02}" name="Molasses (casks)" dataDxfId="1411" dataCellStyle="Comma"/>
    <tableColumn id="9" xr3:uid="{62A433CA-4919-4E00-AEFB-2404D50E8BBA}" name="Ginger (casks)" dataDxfId="1410" dataCellStyle="Comma"/>
    <tableColumn id="10" xr3:uid="{1DA73FE3-410D-4B96-949F-CFCFBB1F9860}" name="Ginger (bags)" dataDxfId="1409" dataCellStyle="Comma"/>
    <tableColumn id="11" xr3:uid="{5C33B746-FD7F-4677-8345-883569763757}" name="Pimento (barrels)" dataDxfId="1408" dataCellStyle="Comma"/>
    <tableColumn id="12" xr3:uid="{CAD98003-65F9-4E89-A34A-DBE0EABB98A1}" name="Pimento (bags)" dataDxfId="1407" dataCellStyle="Comma"/>
    <tableColumn id="13" xr3:uid="{D4A1A50A-03C2-4455-A78C-801AF35CFD91}" name="Coffee (lb)" dataDxfId="1406" dataCellStyle="Comma"/>
    <tableColumn id="14" xr3:uid="{7817BAC2-8B83-4AF3-8039-67E18F12199E}" name="Arrow root (casks)" dataDxfId="1405" dataCellStyle="Comma"/>
    <tableColumn id="15" xr3:uid="{88D0B869-F685-4416-9827-E1965C155590}" name="Arrow root (kegs)" dataDxfId="1404" dataCellStyle="Comma"/>
    <tableColumn id="16" xr3:uid="{AC6D7030-DEB1-4B97-9455-8C55E2961997}" name="Lime juice (casks)" dataDxfId="1403" dataCellStyle="Comma"/>
    <tableColumn id="17" xr3:uid="{88277CDB-3AC8-4385-BFEF-A979D24A1C52}" name="Sweet meats (packages)" dataDxfId="1402" dataCellStyle="Comma"/>
    <tableColumn id="18" xr3:uid="{9D4A9061-219F-4FBA-A911-AF410BCE6D98}" name="Logwood (tons)" dataDxfId="1401" dataCellStyle="Comma"/>
    <tableColumn id="19" xr3:uid="{38B7E266-03FA-4CE9-9DD7-00C50B90FC86}" name="Fustic (tons)" dataDxfId="1400" dataCellStyle="Comma"/>
    <tableColumn id="20" xr3:uid="{23754C18-1DCE-456C-873A-DE068A5DBA30}" name="Nicaragua wood (tons)" dataDxfId="1399" dataCellStyle="Comma"/>
    <tableColumn id="21" xr3:uid="{548204AD-31B2-4538-8FF4-B1383843010A}" name="Ebony (tons)" dataDxfId="1398" dataCellStyle="Comma"/>
    <tableColumn id="22" xr3:uid="{EDA3BA76-C1D5-455D-8A9E-449AE3C987A9}" name="Lignum vitae (tons)" dataDxfId="1397" dataCellStyle="Comma"/>
    <tableColumn id="23" xr3:uid="{7620DEEC-86D2-4EE4-9728-8AEA9BFCEE28}" name="Mahogany and cedar (logs)" dataDxfId="1396" dataCellStyle="Comma"/>
    <tableColumn id="24" xr3:uid="{DEDC66C1-6187-4469-8E73-8007491AA5D6}" name="Lancewood spars " dataDxfId="1395" dataCellStyle="Comma"/>
  </tableColumns>
  <tableStyleInfo name="TableStyleLight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C414E4C0-0BC9-412B-86F3-D54A34F71B53}" name="Table95" displayName="Table95" ref="A1:AG19" totalsRowShown="0" headerRowDxfId="1394" dataDxfId="1393" tableBorderDxfId="1392" dataCellStyle="Comma">
  <autoFilter ref="A1:AG19" xr:uid="{C414E4C0-0BC9-412B-86F3-D54A34F71B5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20849315-B9C0-40EC-9E76-2A99459F4625}" name="Import: _x000a_1825-26" dataDxfId="1391" dataCellStyle="Comma"/>
    <tableColumn id="2" xr3:uid="{AEB367F8-2BA1-4EFB-8BAA-47D7AE25E464}" name="Flour (barrels)" dataDxfId="1390" dataCellStyle="Comma"/>
    <tableColumn id="3" xr3:uid="{46149229-CCCB-4217-89C7-E47A9B84D4CB}" name="Corn meal (barrels)" dataDxfId="1389" dataCellStyle="Comma"/>
    <tableColumn id="4" xr3:uid="{A79DD3E7-86D4-4EE2-968E-76F625CD3714}" name="Bread (barrels)" dataDxfId="1388" dataCellStyle="Comma"/>
    <tableColumn id="5" xr3:uid="{7F4EE1B3-E358-4870-9E9C-8A38343AB2A0}" name="Bread (bags)" dataDxfId="1387" dataCellStyle="Comma"/>
    <tableColumn id="6" xr3:uid="{94E21932-46D9-4A91-ACAF-6538E08E3EB2}" name="Bread (lb)" dataDxfId="1386" dataCellStyle="Comma"/>
    <tableColumn id="7" xr3:uid="{109D39F8-FD69-4478-9BAF-CB9EAE57E480}" name="Rice (tierces)" dataDxfId="1385" dataCellStyle="Comma"/>
    <tableColumn id="8" xr3:uid="{4849756F-C578-4BA9-9103-7E4C0677AEC6}" name="Rice (lb)" dataDxfId="1384" dataCellStyle="Comma"/>
    <tableColumn id="9" xr3:uid="{A3BF8F02-7344-454B-AF29-FDEFF28E4882}" name="Corn, pease, and beans (bushels)" dataDxfId="1383" dataCellStyle="Comma"/>
    <tableColumn id="10" xr3:uid="{40E359EE-B987-4B14-B2AC-970C08B1B773}" name="Fish, dry (hogsheads)" dataDxfId="1382" dataCellStyle="Comma"/>
    <tableColumn id="11" xr3:uid="{3C7327E4-EC5C-4DC8-8390-4C08A50367D8}" name="Fish, dry (casks)" dataDxfId="1381" dataCellStyle="Comma"/>
    <tableColumn id="12" xr3:uid="{5E776946-6A0D-4973-80FB-C9C9AF570A32}" name="Fish, dry (boxes)" dataDxfId="1380" dataCellStyle="Comma"/>
    <tableColumn id="13" xr3:uid="{B583E372-2645-4BAA-AC3C-44029F5E2C37}" name="Fish, pickled (tierces)" dataDxfId="1379" dataCellStyle="Comma"/>
    <tableColumn id="14" xr3:uid="{FB979295-5DD0-4604-AD88-CA3714B244BF}" name="Fish, pickled (barrels)" dataDxfId="1378" dataCellStyle="Comma"/>
    <tableColumn id="15" xr3:uid="{6D7174C8-2CAC-4C75-B7A9-0853B4466D35}" name="Fish, pickled (kits)" dataDxfId="1377" dataCellStyle="Comma"/>
    <tableColumn id="16" xr3:uid="{408761D4-5A45-405A-9874-EBD15E0C3BB9}" name="Staves and heading" dataDxfId="1376" dataCellStyle="Comma"/>
    <tableColumn id="17" xr3:uid="{00660E6D-D9E5-45F6-A723-3205EC02832B}" name="Shingles" dataDxfId="1375" dataCellStyle="Comma"/>
    <tableColumn id="18" xr3:uid="{F9BE1E29-ED18-4293-A3A4-AA237A4C42D5}" name="Lumber (feet)" dataDxfId="1374" dataCellStyle="Comma"/>
    <tableColumn id="19" xr3:uid="{8BCCB27C-9FF6-4F32-8A5B-CAE593337A29}" name="Hoops" dataDxfId="1373" dataCellStyle="Comma"/>
    <tableColumn id="20" xr3:uid="{DADAFC05-A281-4CB2-834A-3C96DB341170}" name="Livestock: Horses" dataDxfId="1372" dataCellStyle="Comma"/>
    <tableColumn id="21" xr3:uid="{8ABBD67F-E388-4EFF-BB20-07C8DB0A5780}" name="Livestock: Mules" dataDxfId="1371" dataCellStyle="Comma"/>
    <tableColumn id="22" xr3:uid="{3A84DD85-23A1-4070-8EC8-CB5D7E671DEE}" name="Livestock: Asses" dataDxfId="1370" dataCellStyle="Comma"/>
    <tableColumn id="23" xr3:uid="{4B7B3DDA-F0BE-4DD4-A767-C5BE9F93028C}" name="Livestock: Cattle" dataDxfId="1369" dataCellStyle="Comma"/>
    <tableColumn id="24" xr3:uid="{84DB9859-A71B-4375-A5AA-A8554D58AC13}" name="Beer and cider (tuns)" dataDxfId="1368" dataCellStyle="Comma"/>
    <tableColumn id="25" xr3:uid="{12DDEBD5-4E52-4BD7-98BA-C2A91FD001DA}" name="Beer and cider (gallons)" dataDxfId="1367" dataCellStyle="Comma"/>
    <tableColumn id="26" xr3:uid="{53FEF233-C2FD-4AAE-94FE-229994C28CA7}" name="Tobacco (lb)" dataDxfId="1366" dataCellStyle="Comma"/>
    <tableColumn id="27" xr3:uid="{F0205882-D136-4D91-821E-23C596B57951}" name="Soap (lb)" dataDxfId="1365" dataCellStyle="Comma"/>
    <tableColumn id="28" xr3:uid="{28EEADC2-1BBE-4E43-9C51-CC6A45711975}" name="Butter and lard (lb)" dataDxfId="1364" dataCellStyle="Comma"/>
    <tableColumn id="29" xr3:uid="{30BE0110-4049-4840-8E2B-C879034F2272}" name="Hams and cheese (lb)" dataDxfId="1363" dataCellStyle="Comma"/>
    <tableColumn id="30" xr3:uid="{91E9BD27-D5AB-4D08-8268-2DFDCCD68560}" name="Turpentine (gallons)" dataDxfId="1362" dataCellStyle="Comma"/>
    <tableColumn id="31" xr3:uid="{56E92A46-3BD7-40DC-9C62-18C59C211167}" name="Candles (lb)" dataDxfId="1361" dataCellStyle="Comma"/>
    <tableColumn id="32" xr3:uid="{94C13CF5-A259-43AA-87E7-8E8D693DFC42}" name="Boots and shoes (dozens)" dataDxfId="1360" dataCellStyle="Comma"/>
    <tableColumn id="33" xr3:uid="{257C043D-9735-4476-BE62-863F5FB8C3C9}" name="Chairs (dozens)" dataDxfId="1359" dataCellStyle="Comma"/>
  </tableColumns>
  <tableStyleInfo name="TableStyleLight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F9F4D23A-4D61-4A0E-956C-960428E6AC5F}" name="Table93" displayName="Table93" ref="A1:N19" totalsRowShown="0" headerRowDxfId="1358" dataDxfId="1357" tableBorderDxfId="1356" dataCellStyle="Comma">
  <autoFilter ref="A1:N19" xr:uid="{F9F4D23A-4D61-4A0E-956C-960428E6AC5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F97850C2-3B53-4B40-BCAD-074C6B1AA44E}" name="Export:_x000a_1824-25" dataDxfId="1355" dataCellStyle="Comma"/>
    <tableColumn id="2" xr3:uid="{8CED9DC6-CCB7-4CD4-AEC4-1DD9F25CC92F}" name="Sugar (hogsheads)" dataDxfId="1354" dataCellStyle="Comma"/>
    <tableColumn id="3" xr3:uid="{1D05F222-8E09-49A3-81A4-42BE01A2A107}" name="Sugar (tierces)" dataDxfId="1353" dataCellStyle="Comma"/>
    <tableColumn id="4" xr3:uid="{A67DC078-183B-402F-A0AA-3DB2C93B8297}" name="Sugar (barrels)" dataDxfId="1352" dataCellStyle="Comma"/>
    <tableColumn id="5" xr3:uid="{2BA597DB-EFE6-44B7-8685-D3A6A4B495C0}" name="Rum (puncheons)" dataDxfId="1351" dataCellStyle="Comma"/>
    <tableColumn id="6" xr3:uid="{0A313267-4CE5-48DE-8E97-D914D908BA4A}" name="Rum (hogsheads)" dataDxfId="1350" dataCellStyle="Comma"/>
    <tableColumn id="7" xr3:uid="{A7DE23A1-F960-48D6-992B-39CD4A409F5D}" name="Rum (casks)" dataDxfId="1349" dataCellStyle="Comma"/>
    <tableColumn id="8" xr3:uid="{254E8A21-7635-45CF-A829-588B069968BB}" name="Rum (barrels)" dataDxfId="1348" dataCellStyle="Comma"/>
    <tableColumn id="9" xr3:uid="{48D7C56D-0201-4B3D-B501-1A617533D0C6}" name="Molasses (casks)" dataDxfId="1347" dataCellStyle="Comma"/>
    <tableColumn id="10" xr3:uid="{199BECDD-7FD0-431C-91A0-0BA865119A7D}" name="Ginger (barrels)" dataDxfId="1346" dataCellStyle="Comma"/>
    <tableColumn id="11" xr3:uid="{D7ED5216-38B2-4D4A-AF46-E93875DB1828}" name="Ginger (bags)" dataDxfId="1345" dataCellStyle="Comma"/>
    <tableColumn id="12" xr3:uid="{7200A219-62FB-42E8-8A81-DB96E7A9548B}" name="Pimento (barrels)" dataDxfId="1344" dataCellStyle="Comma"/>
    <tableColumn id="13" xr3:uid="{35CDFE8A-103E-4588-8D81-F2FDC9E76CF0}" name="Pimento (bags)" dataDxfId="1343" dataCellStyle="Comma"/>
    <tableColumn id="14" xr3:uid="{06461732-055E-4B27-B314-424C42733B35}" name="Coffee (lb)" dataDxfId="1342" dataCellStyle="Comma"/>
  </tableColumns>
  <tableStyleInfo name="TableStyleLight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EE4B2CBC-6B56-4FB9-BA44-F4A00E47C99E}" name="Table91" displayName="Table91" ref="A1:Y19" totalsRowShown="0" headerRowDxfId="1341" dataDxfId="1340" tableBorderDxfId="1339" dataCellStyle="Comma">
  <autoFilter ref="A1:Y19" xr:uid="{EE4B2CBC-6B56-4FB9-BA44-F4A00E47C99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autoFilter>
  <tableColumns count="25">
    <tableColumn id="1" xr3:uid="{6613C337-C4DE-4543-8682-9B37A58DB701}" name="Import: _x000a_1824-25" dataDxfId="1338" dataCellStyle="Comma"/>
    <tableColumn id="2" xr3:uid="{C0F2DBF8-B222-4757-A92A-C772FB369AC6}" name="Flour (barrels)" dataDxfId="1337" dataCellStyle="Comma"/>
    <tableColumn id="3" xr3:uid="{49BBBE88-4900-432B-AF82-F6C720FA4F89}" name="Bread (barrels)" dataDxfId="1336" dataCellStyle="Comma"/>
    <tableColumn id="4" xr3:uid="{C1BC5C4A-D5D5-40DC-A89E-E66C108FEF51}" name="Bread (bags)" dataDxfId="1335" dataCellStyle="Comma"/>
    <tableColumn id="5" xr3:uid="{B466D4E7-8F6F-4B8F-99DF-4C2FCA5D7A0F}" name="Bread (kegs)" dataDxfId="1334" dataCellStyle="Comma"/>
    <tableColumn id="6" xr3:uid="{8DCEE8CE-1337-4717-9AD5-7058EFE9718E}" name="Rice (tierces)" dataDxfId="1333" dataCellStyle="Comma"/>
    <tableColumn id="7" xr3:uid="{5203C488-81B6-4788-AABA-CD7E70C545A4}" name="Rice (bags)" dataDxfId="1332" dataCellStyle="Comma"/>
    <tableColumn id="8" xr3:uid="{4C2C6A90-48A4-451E-BE2C-8FF20997090F}" name="Corn and meal (bushels)" dataDxfId="1331" dataCellStyle="Comma"/>
    <tableColumn id="9" xr3:uid="{E0745F60-8ACA-46C0-B86A-B8A2FAD7B47D}" name="Corn and meal (bags)" dataDxfId="1330" dataCellStyle="Comma"/>
    <tableColumn id="10" xr3:uid="{2818FB31-401A-4C94-9421-0E70AF804A22}" name="Corn and meal (barrels)" dataDxfId="1329" dataCellStyle="Comma"/>
    <tableColumn id="11" xr3:uid="{A6EF5A07-986D-4A05-87F8-2D5F6EE07662}" name="Pease and beans (barrels)" dataDxfId="1328" dataCellStyle="Comma"/>
    <tableColumn id="12" xr3:uid="{72053CFE-FAB4-46DF-AEDE-DD747330C5AC}" name="Pease and beans (bags)" dataDxfId="1327" dataCellStyle="Comma"/>
    <tableColumn id="13" xr3:uid="{D587DD3C-C0E3-40AA-BF85-1C3A14A371C5}" name="Fish, dry (hogsheads)" dataDxfId="1326" dataCellStyle="Comma"/>
    <tableColumn id="14" xr3:uid="{5D346F46-E808-47AB-B288-2660D238F4FC}" name="Fish, dry (casks)" dataDxfId="1325" dataCellStyle="Comma"/>
    <tableColumn id="15" xr3:uid="{63EC9185-AC88-437F-B053-52C5FB5E8497}" name="Fish, dry (boxes)" dataDxfId="1324" dataCellStyle="Comma"/>
    <tableColumn id="16" xr3:uid="{86F29F5C-A269-4443-8EAA-67DC06E86895}" name="Fish, pickled (tierces)" dataDxfId="1323" dataCellStyle="Comma"/>
    <tableColumn id="17" xr3:uid="{F9A5CF95-D178-481F-AD7B-A3E855613E3F}" name="Fish, pickled (barrels)" dataDxfId="1322" dataCellStyle="Comma"/>
    <tableColumn id="18" xr3:uid="{0C6E9378-A293-4CE9-A5CD-6BE80CC92C0E}" name="Fish, pickled (kits)" dataDxfId="1321" dataCellStyle="Comma"/>
    <tableColumn id="19" xr3:uid="{ADC5595B-2C31-405B-8CE2-9A4559B02CE8}" name="Staves and heading" dataDxfId="1320" dataCellStyle="Comma"/>
    <tableColumn id="20" xr3:uid="{4186EAE6-4942-4E92-A077-C3A9270E4CDB}" name="Shingles" dataDxfId="1319" dataCellStyle="Comma"/>
    <tableColumn id="21" xr3:uid="{D189A36A-2173-4DFA-8D43-D49328652CF2}" name="Lumber (feet)" dataDxfId="1318" dataCellStyle="Comma"/>
    <tableColumn id="22" xr3:uid="{EA89D1B5-E48A-44CB-BD63-9B08A5D10F78}" name="Livestock: Horses" dataDxfId="1317" dataCellStyle="Comma"/>
    <tableColumn id="23" xr3:uid="{ECC5A29A-91D6-425A-A577-9E21DA3BE7B5}" name="Livestock: Mules" dataDxfId="1316" dataCellStyle="Comma"/>
    <tableColumn id="24" xr3:uid="{875AFF16-1316-467F-B998-6C8B4A0807F5}" name="Livestock: Asses" dataDxfId="1315" dataCellStyle="Comma"/>
    <tableColumn id="25" xr3:uid="{9613A907-9489-4F1C-8EBB-5BFA89B55572}" name="Livestock: Cattle" dataDxfId="1314" dataCellStyle="Comma"/>
  </tableColumns>
  <tableStyleInfo name="TableStyleLight9"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76BEBC9A-FC8B-4ED8-AEED-2AC255560805}" name="Table89" displayName="Table89" ref="A1:N19" totalsRowShown="0" headerRowDxfId="1313" dataDxfId="1312" tableBorderDxfId="1311" dataCellStyle="Comma">
  <autoFilter ref="A1:N19" xr:uid="{76BEBC9A-FC8B-4ED8-AEED-2AC25556080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25CD84C2-73CF-4DB6-A77D-14FDCB752D52}" name="Export:_x000a_1823-24" dataDxfId="1310" dataCellStyle="Comma"/>
    <tableColumn id="2" xr3:uid="{7A2B4F7A-EBD6-4FD5-8800-780CE3C0432A}" name="Sugar (hogsheads)" dataDxfId="1309" dataCellStyle="Comma"/>
    <tableColumn id="3" xr3:uid="{CA7E10D3-CB4E-4112-8839-85A72FF7E21A}" name="Sugar (tierces)" dataDxfId="1308" dataCellStyle="Comma"/>
    <tableColumn id="4" xr3:uid="{C36C76F8-AF09-49B1-9953-CF04BDF20C7C}" name="Sugar (barrels)" dataDxfId="1307" dataCellStyle="Comma"/>
    <tableColumn id="5" xr3:uid="{9FAD8808-DE7E-42EB-820A-C18DAADD3C74}" name="Rum (puncheons)" dataDxfId="1306" dataCellStyle="Comma"/>
    <tableColumn id="6" xr3:uid="{605E772C-7F40-4A98-AB3B-B3BEB52E720C}" name="Rum (hogsheads)" dataDxfId="1305" dataCellStyle="Comma"/>
    <tableColumn id="7" xr3:uid="{BF015BF7-68CF-4689-85A3-6AADFA4EDD7C}" name="Rum (casks)" dataDxfId="1304" dataCellStyle="Comma"/>
    <tableColumn id="8" xr3:uid="{18E1A791-4B77-4FA7-BDE9-9609907FA7A7}" name="Rum (barrels)" dataDxfId="1303" dataCellStyle="Comma"/>
    <tableColumn id="9" xr3:uid="{03BACDA6-F65A-4551-8DB9-2D8431A80C4B}" name="Molasses (casks)" dataDxfId="1302" dataCellStyle="Comma"/>
    <tableColumn id="10" xr3:uid="{35AFAE67-6089-421F-955B-3730CB90636B}" name="Ginger (casks)" dataDxfId="1301" dataCellStyle="Comma"/>
    <tableColumn id="11" xr3:uid="{BB5ADD80-70C2-4D2C-B65C-128C3B61C5CA}" name="Ginger (bags)" dataDxfId="1300" dataCellStyle="Comma"/>
    <tableColumn id="12" xr3:uid="{FDDA474E-364C-480C-978C-71F3AE68489E}" name="Pimento (casks)" dataDxfId="1299" dataCellStyle="Comma"/>
    <tableColumn id="13" xr3:uid="{80B2E402-B31C-462E-AB2A-0A22966CE3E0}" name="Pimento (bags)" dataDxfId="1298" dataCellStyle="Comma"/>
    <tableColumn id="14" xr3:uid="{2851DFAE-0CC3-4393-BA8F-017AF9CCA799}" name="Coffee (lb)" dataDxfId="1297" dataCellStyle="Comma"/>
  </tableColumns>
  <tableStyleInfo name="TableStyleLight9"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7B3298B1-EA2C-4A96-B524-11B32A8D326C}" name="Table87" displayName="Table87" ref="A1:Y19" totalsRowShown="0" headerRowDxfId="1296" dataDxfId="1295" tableBorderDxfId="1294" dataCellStyle="Comma">
  <autoFilter ref="A1:Y19" xr:uid="{7B3298B1-EA2C-4A96-B524-11B32A8D326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autoFilter>
  <tableColumns count="25">
    <tableColumn id="1" xr3:uid="{C629E597-5650-4355-8ED3-1E63B6C2E56B}" name="Import: _x000a_1823-24" dataDxfId="1293" dataCellStyle="Comma"/>
    <tableColumn id="2" xr3:uid="{0416B0E0-396D-4145-823C-0EB7651C4F1C}" name="Flour (barrels)" dataDxfId="1292" dataCellStyle="Comma"/>
    <tableColumn id="3" xr3:uid="{89F7AC0D-7F46-45D4-AA1F-B0D0B21DE1AF}" name="Bread (barrels)" dataDxfId="1291" dataCellStyle="Comma"/>
    <tableColumn id="4" xr3:uid="{46849CF5-E3EA-434D-8AE8-7A6EE9224967}" name="Bread (bags)" dataDxfId="1290" dataCellStyle="Comma"/>
    <tableColumn id="5" xr3:uid="{89A00B93-566B-40C2-B8AC-A27E7E741B62}" name="Bread (kegs)" dataDxfId="1289" dataCellStyle="Comma"/>
    <tableColumn id="6" xr3:uid="{BDCC61F1-B82C-4EDF-8D8D-8D7A990AB8F6}" name="Rice (tierces)" dataDxfId="1288" dataCellStyle="Comma"/>
    <tableColumn id="7" xr3:uid="{308CAF08-D182-41B8-A503-FA3456391E64}" name="Rice (barrels)" dataDxfId="1287" dataCellStyle="Comma"/>
    <tableColumn id="8" xr3:uid="{3E70A7A4-CA0E-4277-9162-726D1CCFD287}" name="Rice (bags)" dataDxfId="1286" dataCellStyle="Comma"/>
    <tableColumn id="9" xr3:uid="{D7B79F46-6677-4B55-B21F-2A0753DB3ED5}" name="Corn and meal (bushels)" dataDxfId="1285" dataCellStyle="Comma"/>
    <tableColumn id="10" xr3:uid="{26C98125-526F-4772-A028-D5CFE1739858}" name="Corn and meal (barrels)" dataDxfId="1284" dataCellStyle="Comma"/>
    <tableColumn id="11" xr3:uid="{7D0B872E-67E1-49AE-939D-8C9EF2C89E4F}" name="Pease and beans (barrels)" dataDxfId="1283" dataCellStyle="Comma"/>
    <tableColumn id="12" xr3:uid="{9BDA96B8-8680-4C76-94E7-D590A5EF523F}" name="Pease and beans (bags)" dataDxfId="1282" dataCellStyle="Comma"/>
    <tableColumn id="13" xr3:uid="{2620D15F-4461-4903-AB6F-188974B54E6B}" name="Fish, dry (hogsheads)" dataDxfId="1281" dataCellStyle="Comma"/>
    <tableColumn id="14" xr3:uid="{7BED0DF0-4015-408C-95FE-878C1A626CF3}" name="Fish, dry (casks)" dataDxfId="1280" dataCellStyle="Comma"/>
    <tableColumn id="15" xr3:uid="{F08B3AB3-CD56-45C0-9E4B-638901A7DFC2}" name="Fish, dry (boxes)" dataDxfId="1279" dataCellStyle="Comma"/>
    <tableColumn id="16" xr3:uid="{78F9EAFF-ABC1-4E37-9919-3D1DD7D16007}" name="Fish, pickled (tierces)" dataDxfId="1278" dataCellStyle="Comma"/>
    <tableColumn id="17" xr3:uid="{97F3A35F-67E9-4EB4-95B6-A3B81576F88F}" name="Fish, pickled (barrels)" dataDxfId="1277" dataCellStyle="Comma"/>
    <tableColumn id="18" xr3:uid="{4C8F53E3-2CD0-4031-8B52-00C0C06B9105}" name="Fish, pickled (kits)" dataDxfId="1276" dataCellStyle="Comma"/>
    <tableColumn id="19" xr3:uid="{05782439-0826-4115-B37D-895F16404B7C}" name="Staves and heading" dataDxfId="1275" dataCellStyle="Comma"/>
    <tableColumn id="20" xr3:uid="{D86B26F5-8510-4466-BC6D-CF268B46D063}" name="Shingles" dataDxfId="1274" dataCellStyle="Comma"/>
    <tableColumn id="21" xr3:uid="{A856F03F-C945-4722-B8E8-0CC4B5A0EB92}" name="Lumber (feet)" dataDxfId="1273" dataCellStyle="Comma"/>
    <tableColumn id="22" xr3:uid="{977515E2-CA45-4FD2-AED0-9923D579ED9A}" name="Livestock: Horses" dataDxfId="1272" dataCellStyle="Comma"/>
    <tableColumn id="23" xr3:uid="{CBBA4308-4868-44A9-98DE-45E683550B3A}" name="Livestock: Mules" dataDxfId="1271" dataCellStyle="Comma"/>
    <tableColumn id="24" xr3:uid="{DBA61E37-5147-4608-9E78-0925E34B6026}" name="Livestock: Asses" dataDxfId="1270" dataCellStyle="Comma"/>
    <tableColumn id="25" xr3:uid="{F84DC50E-0076-4ED0-A7CC-00E62E069C2E}" name="Livestock: Cattle" dataDxfId="1269" dataCellStyle="Comma"/>
  </tableColumns>
  <tableStyleInfo name="TableStyleLight9"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2727C505-4937-4AF1-9748-5383C993ED83}" name="Table85" displayName="Table85" ref="A1:N19" totalsRowShown="0" headerRowDxfId="1268" dataDxfId="1267" tableBorderDxfId="1266" dataCellStyle="Comma">
  <autoFilter ref="A1:N19" xr:uid="{2727C505-4937-4AF1-9748-5383C993ED8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3BB0E592-416F-4361-AB1A-48E1B887B383}" name="Export:_x000a_1822-23" dataDxfId="1265" dataCellStyle="Comma"/>
    <tableColumn id="2" xr3:uid="{107921EE-640A-4EDD-A04F-A15F5BD8F187}" name="Sugar (hogsheads)" dataDxfId="1264" dataCellStyle="Comma"/>
    <tableColumn id="3" xr3:uid="{33AC42E1-7E38-4CD0-9C51-24134F19D118}" name="Sugar (tierces)" dataDxfId="1263" dataCellStyle="Comma"/>
    <tableColumn id="4" xr3:uid="{4D0D7D15-215B-496D-91F6-C8BE03AB05E9}" name="Sugar (barrels)" dataDxfId="1262" dataCellStyle="Comma"/>
    <tableColumn id="5" xr3:uid="{D4872C4F-D64F-43D9-8C26-CBD44B8776E7}" name="Rum (puncheons)" dataDxfId="1261" dataCellStyle="Comma"/>
    <tableColumn id="6" xr3:uid="{11405918-800B-4451-8897-B25071FBFE41}" name="Rum (hogsheads)" dataDxfId="1260" dataCellStyle="Comma"/>
    <tableColumn id="7" xr3:uid="{C69DD149-B495-42BE-B1A4-F37D97C74FCA}" name="Rum (casks)" dataDxfId="1259" dataCellStyle="Comma"/>
    <tableColumn id="8" xr3:uid="{1CDC37EE-D6C8-494E-8694-177C348685A1}" name="Rum (barrels)" dataDxfId="1258" dataCellStyle="Comma"/>
    <tableColumn id="9" xr3:uid="{1F039FFD-F432-40BE-B5D3-AB5DF57CF764}" name="Molasses (casks)" dataDxfId="1257" dataCellStyle="Comma"/>
    <tableColumn id="10" xr3:uid="{BE66F9E3-AF0B-497A-A3D2-3C62833F6799}" name="Ginger (casks)" dataDxfId="1256" dataCellStyle="Comma"/>
    <tableColumn id="11" xr3:uid="{E4DBC2CC-37A3-4034-AFF5-4695CB922066}" name="Ginger (bags)" dataDxfId="1255" dataCellStyle="Comma"/>
    <tableColumn id="12" xr3:uid="{A2AC2998-469B-47BB-83E3-6D93D609A7FD}" name="Pimento (casks)" dataDxfId="1254" dataCellStyle="Comma"/>
    <tableColumn id="13" xr3:uid="{7D88C84F-AD34-49C0-8106-E48574CC701D}" name="Pimento (bags)" dataDxfId="1253" dataCellStyle="Comma"/>
    <tableColumn id="14" xr3:uid="{74C4F8BF-499A-4D75-9B5F-4E59EAFB56A2}" name="Coffee (lb)" dataDxfId="1252" dataCellStyle="Comma"/>
  </tableColumns>
  <tableStyleInfo name="TableStyleLight9"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3A6F893C-724F-40A7-AE1C-D7912BB734A4}" name="Table83" displayName="Table83" ref="A1:Z19" totalsRowShown="0" headerRowDxfId="1251" dataDxfId="1250" tableBorderDxfId="1249" dataCellStyle="Comma">
  <autoFilter ref="A1:Z19" xr:uid="{3A6F893C-724F-40A7-AE1C-D7912BB734A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AA20848E-2F2C-4197-8709-B8B03ED5F8AC}" name="Import: _x000a_1822-23" dataDxfId="1248" dataCellStyle="Comma"/>
    <tableColumn id="2" xr3:uid="{1D5FAF38-9261-410A-9397-65BFD8D06654}" name="Flour (barrels)" dataDxfId="1247" dataCellStyle="Comma"/>
    <tableColumn id="3" xr3:uid="{099D93B2-1F1F-49DA-A7C1-EBDDA563FF5D}" name="Bread (barrels)" dataDxfId="1246" dataCellStyle="Comma"/>
    <tableColumn id="4" xr3:uid="{80E7B9D3-60BF-4B52-AD94-47B9BCDB63C3}" name="Bread (bags)" dataDxfId="1245" dataCellStyle="Comma"/>
    <tableColumn id="5" xr3:uid="{9F91012E-D574-40DB-81B8-2C998BFD229A}" name="Bread (kegs)" dataDxfId="1244" dataCellStyle="Comma"/>
    <tableColumn id="6" xr3:uid="{42E27E1E-0DE6-4E46-BE4C-E2F71420C3E2}" name="Rice (tierces)" dataDxfId="1243" dataCellStyle="Comma"/>
    <tableColumn id="7" xr3:uid="{6C380CF6-C1B0-43BC-89D2-019567C1E4F5}" name="Rice (barrels)" dataDxfId="1242" dataCellStyle="Comma"/>
    <tableColumn id="8" xr3:uid="{ACEA38EA-200D-4D19-97FC-7684E72913B9}" name="Rice (bags)" dataDxfId="1241" dataCellStyle="Comma"/>
    <tableColumn id="9" xr3:uid="{2CC233B9-01E3-48CA-8872-78E162F051A4}" name="Corn and meal (bushels)" dataDxfId="1240" dataCellStyle="Comma"/>
    <tableColumn id="10" xr3:uid="{6F501AB3-4CE1-45AA-803C-8F9D63CFA0E9}" name="Corn and meal (bags)" dataDxfId="1239" dataCellStyle="Comma"/>
    <tableColumn id="11" xr3:uid="{A145237F-5D42-4A65-B20F-E374A1B753BA}" name="Corn and meal (barrels)" dataDxfId="1238" dataCellStyle="Comma"/>
    <tableColumn id="12" xr3:uid="{8A28BFAA-081F-46C3-81C3-2E949CA659E7}" name="Pease and beans (barrels)" dataDxfId="1237" dataCellStyle="Comma"/>
    <tableColumn id="13" xr3:uid="{ADEBCB27-28E1-4E48-BDEE-91B95C3236B2}" name="Pease and beans (bags)" dataDxfId="1236" dataCellStyle="Comma"/>
    <tableColumn id="14" xr3:uid="{9AB94394-1CE7-4346-9B8E-817C6F257203}" name="Fish, dry (hogsheads)" dataDxfId="1235" dataCellStyle="Comma"/>
    <tableColumn id="15" xr3:uid="{24BDD337-F194-4AA8-879F-D42FAFEA48E0}" name="Fish, dry (casks)" dataDxfId="1234" dataCellStyle="Comma"/>
    <tableColumn id="16" xr3:uid="{9CFFE239-83A9-418C-ACA0-26DD44B46B7A}" name="Fish, dry (boxes)" dataDxfId="1233" dataCellStyle="Comma"/>
    <tableColumn id="17" xr3:uid="{C9A3B491-2704-401B-B77A-3B73F8CBA152}" name="Fish, pickled (tierces)" dataDxfId="1232" dataCellStyle="Comma"/>
    <tableColumn id="18" xr3:uid="{6BDB999D-70CA-4210-99EA-5F7CA5DC1A54}" name="Fish, pickled (barrels)" dataDxfId="1231" dataCellStyle="Comma"/>
    <tableColumn id="19" xr3:uid="{BB9D490E-373C-4C4E-9F0F-8FD17180A058}" name="Fish, pickled (kits)" dataDxfId="1230" dataCellStyle="Comma"/>
    <tableColumn id="20" xr3:uid="{836E3606-B76E-4CDA-89AF-CBEFADD5D681}" name="Staves and heading" dataDxfId="1229" dataCellStyle="Comma"/>
    <tableColumn id="21" xr3:uid="{886544CF-C9AB-4311-890A-0FD3B3F3BDA8}" name="Shingles" dataDxfId="1228" dataCellStyle="Comma"/>
    <tableColumn id="22" xr3:uid="{231DBE58-A195-43DD-9022-FC68D7216A88}" name="Lumber (feet)" dataDxfId="1227" dataCellStyle="Comma"/>
    <tableColumn id="23" xr3:uid="{AFD213DB-3F2A-4051-8897-012606CCF668}" name="Livestock: Horses" dataDxfId="1226" dataCellStyle="Comma"/>
    <tableColumn id="24" xr3:uid="{B50787C8-9889-4A9F-953B-F141B42C0AC2}" name="Livestock: Mules" dataDxfId="1225" dataCellStyle="Comma"/>
    <tableColumn id="25" xr3:uid="{A874CD26-4DA0-417D-87B2-C85479D75765}" name="Livestock: Asses" dataDxfId="1224" dataCellStyle="Comma"/>
    <tableColumn id="26" xr3:uid="{ED953D70-C663-4BD0-BCD3-85C9A40508F9}" name="Livestock: Cattle" dataDxfId="1223" dataCellStyle="Comma"/>
  </tableColumns>
  <tableStyleInfo name="TableStyleLight9"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10864C78-D493-414F-ADE3-88365150F4A2}" name="Table81" displayName="Table81" ref="A1:N19" totalsRowShown="0" headerRowDxfId="1222" dataDxfId="1221" tableBorderDxfId="1220" dataCellStyle="Comma">
  <autoFilter ref="A1:N19" xr:uid="{10864C78-D493-414F-ADE3-88365150F4A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0FAE0A2B-15F7-4E70-A660-5BFD500105AB}" name="Export:_x000a_1821-22" dataDxfId="1219" dataCellStyle="Comma"/>
    <tableColumn id="2" xr3:uid="{637932E4-89BF-49A7-93EC-F6AF3B5BE9C2}" name="Sugar (hogsheads)" dataDxfId="1218" dataCellStyle="Comma"/>
    <tableColumn id="3" xr3:uid="{9D120E41-7C03-4DB5-B538-106A0890A22C}" name="Sugar (tierces)" dataDxfId="1217" dataCellStyle="Comma"/>
    <tableColumn id="4" xr3:uid="{168B3A74-64A9-44A9-94D0-B67DA0EA4D24}" name="Sugar (barrels)" dataDxfId="1216" dataCellStyle="Comma"/>
    <tableColumn id="5" xr3:uid="{5A5B55AD-D479-417E-BAB6-D4F124FC0336}" name="Rum (puncheons)" dataDxfId="1215" dataCellStyle="Comma"/>
    <tableColumn id="6" xr3:uid="{8C9B5FA0-226E-4D9A-931C-B311A38E535D}" name="Rum (hogsheads)" dataDxfId="1214" dataCellStyle="Comma"/>
    <tableColumn id="7" xr3:uid="{D7BCF7C8-9609-451A-B14E-3F3C311135F2}" name="Rum (casks)" dataDxfId="1213" dataCellStyle="Comma"/>
    <tableColumn id="8" xr3:uid="{FDEE785B-07D9-4C8E-91B5-806B8F66C5A5}" name="Rum (barrels)" dataDxfId="1212" dataCellStyle="Comma"/>
    <tableColumn id="9" xr3:uid="{4963EF2F-C9D3-4A12-8030-78571D7BE604}" name="Molasses (casks)" dataDxfId="1211" dataCellStyle="Comma"/>
    <tableColumn id="10" xr3:uid="{9AB1AC34-893E-4772-9348-B48F5A960FE0}" name="Ginger (casks)" dataDxfId="1210" dataCellStyle="Comma"/>
    <tableColumn id="11" xr3:uid="{7E9AF2FB-65F7-4F51-AC9A-67A1A1DF025F}" name="Ginger (bags)" dataDxfId="1209" dataCellStyle="Comma"/>
    <tableColumn id="12" xr3:uid="{95860019-715C-4FAF-8813-141917BD1EEE}" name="Pimento (casks)" dataDxfId="1208" dataCellStyle="Comma"/>
    <tableColumn id="13" xr3:uid="{D0AFE216-BA12-43F0-89CA-C78A2D77C65E}" name="Pimento (bags)" dataDxfId="1207" dataCellStyle="Comma"/>
    <tableColumn id="14" xr3:uid="{B76663E2-66B3-4844-83AE-3CFE253E3590}" name="Coffee (lb)" dataDxfId="1206" dataCellStyle="Comma"/>
  </tableColumns>
  <tableStyleInfo name="TableStyleLight9"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ED82D631-98B6-4FD5-932D-7398AB709A80}" name="Table79" displayName="Table79" ref="A1:Z19" totalsRowShown="0" headerRowDxfId="1205" dataDxfId="1204" tableBorderDxfId="1203" dataCellStyle="Comma">
  <autoFilter ref="A1:Z19" xr:uid="{ED82D631-98B6-4FD5-932D-7398AB709A8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F2EBAA9F-D47D-4120-9204-A42B5602E51A}" name="Import: _x000a_1821-22" dataDxfId="1202" dataCellStyle="Comma"/>
    <tableColumn id="2" xr3:uid="{94077433-AD7E-48BD-804F-03A97F706C1C}" name="Flour (barrels)" dataDxfId="1201" dataCellStyle="Comma"/>
    <tableColumn id="3" xr3:uid="{E96B119D-E0C0-441A-BD3F-3F286BFE8093}" name="Bread (barrels)" dataDxfId="1200" dataCellStyle="Comma"/>
    <tableColumn id="4" xr3:uid="{9680E476-0DA4-4909-BDFC-D680E9E9C2F7}" name="Bread (bags)" dataDxfId="1199" dataCellStyle="Comma"/>
    <tableColumn id="5" xr3:uid="{04BDF7AD-5CDA-4930-97DD-98C9091FEB45}" name="Bread (kegs)" dataDxfId="1198" dataCellStyle="Comma"/>
    <tableColumn id="6" xr3:uid="{4976AD48-7D30-4D69-9F69-913F9610F098}" name="Rice (tierces)" dataDxfId="1197" dataCellStyle="Comma"/>
    <tableColumn id="7" xr3:uid="{BB05ACE6-5FC9-4464-892D-4A6FD9DD21AC}" name="Rice (barrels)" dataDxfId="1196" dataCellStyle="Comma"/>
    <tableColumn id="8" xr3:uid="{4D163BB1-4A2A-4813-B915-DF888233316E}" name="Rice (bags)" dataDxfId="1195" dataCellStyle="Comma"/>
    <tableColumn id="9" xr3:uid="{EE2CF374-1574-48D7-91C1-A4F2F6C6F3A8}" name="Corn and meal (bushels)" dataDxfId="1194" dataCellStyle="Comma"/>
    <tableColumn id="10" xr3:uid="{85A6E8CF-D488-48E6-9A65-FDA7BFE2974A}" name="Corn and meal (bags)" dataDxfId="1193" dataCellStyle="Comma"/>
    <tableColumn id="11" xr3:uid="{D7189D68-2325-4E81-8462-C21953E3D4C1}" name="Corn and meal (barrels)" dataDxfId="1192" dataCellStyle="Comma"/>
    <tableColumn id="12" xr3:uid="{9F28ED1B-2831-4A24-8EBB-5372852BCFBE}" name="Pease and beans (barrels)" dataDxfId="1191" dataCellStyle="Comma"/>
    <tableColumn id="13" xr3:uid="{22BDC02A-107B-4911-B7BE-164E17C7CC67}" name="Pease and beans (bags)" dataDxfId="1190" dataCellStyle="Comma"/>
    <tableColumn id="14" xr3:uid="{F150CDFC-27F7-4A7B-9001-62BB33440A31}" name="Fish, dry (hogsheads)" dataDxfId="1189" dataCellStyle="Comma"/>
    <tableColumn id="15" xr3:uid="{3C96A7B0-1BEA-4BB9-BC20-6505F839F36B}" name="Fish, dry (casks)" dataDxfId="1188" dataCellStyle="Comma"/>
    <tableColumn id="16" xr3:uid="{54AF3172-600C-4D7E-954C-E69B9DF3FE12}" name="Fish, dry (boxes)" dataDxfId="1187" dataCellStyle="Comma"/>
    <tableColumn id="17" xr3:uid="{3878B740-BF66-477D-AD03-A891120C5B96}" name="Fish, pickled (tierces)" dataDxfId="1186" dataCellStyle="Comma"/>
    <tableColumn id="18" xr3:uid="{42905E45-E250-4D2F-AD09-627E357331F6}" name="Fish, pickled (barrels)" dataDxfId="1185" dataCellStyle="Comma"/>
    <tableColumn id="19" xr3:uid="{3EE0B8CB-9622-437F-A9EC-964C81C2E11F}" name="Fish, pickled (kits)" dataDxfId="1184" dataCellStyle="Comma"/>
    <tableColumn id="20" xr3:uid="{9364B013-43FE-419A-9750-A4C447CE1D05}" name="Staves and heading" dataDxfId="1183" dataCellStyle="Comma"/>
    <tableColumn id="21" xr3:uid="{2398EC05-FAF8-4F14-BB5E-4131257FA3CC}" name="Shingles" dataDxfId="1182" dataCellStyle="Comma"/>
    <tableColumn id="22" xr3:uid="{938CB07F-560E-4138-8EBE-53BA564AB62B}" name="Lumber (feet)" dataDxfId="1181" dataCellStyle="Comma"/>
    <tableColumn id="23" xr3:uid="{889BA9FB-3BBF-4D04-8E19-3C040565E875}" name="Livestock: Horses" dataDxfId="1180" dataCellStyle="Comma"/>
    <tableColumn id="24" xr3:uid="{C7AE9B87-5F15-46B0-9B13-6E264822B215}" name="Livestock: Mules" dataDxfId="1179" dataCellStyle="Comma"/>
    <tableColumn id="25" xr3:uid="{9D68F46C-3B57-43EE-A89F-43DDAE97C16F}" name="Livestock: Asses" dataDxfId="1178" dataCellStyle="Comma"/>
    <tableColumn id="26" xr3:uid="{CE437633-B4C4-423C-93BD-9CFA15D311AB}" name="Livestock: Cattle" dataDxfId="1177" dataCellStyle="Comma"/>
  </tableColumns>
  <tableStyleInfo name="TableStyleLight9"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BAB08C52-67D0-441B-AAE3-3E2FCAE76155}" name="Table77" displayName="Table77" ref="A1:N19" totalsRowShown="0" headerRowDxfId="1176" dataDxfId="1175" tableBorderDxfId="1174" dataCellStyle="Comma">
  <autoFilter ref="A1:N19" xr:uid="{BAB08C52-67D0-441B-AAE3-3E2FCAE7615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735C0B0A-96EC-408C-AD1C-C94C76E804A7}" name="Export:_x000a_1820-21" dataDxfId="1173" dataCellStyle="Comma"/>
    <tableColumn id="2" xr3:uid="{3150EC8E-E9AA-4C7E-95BE-A0AD63529BE6}" name="Sugar (hogsheads)" dataDxfId="1172" dataCellStyle="Comma"/>
    <tableColumn id="3" xr3:uid="{49B6DFA9-11ED-4D99-BD5B-4FA5DA0275F8}" name="Sugar (tierces)" dataDxfId="1171" dataCellStyle="Comma"/>
    <tableColumn id="4" xr3:uid="{BDADB0B9-3A34-47A0-BDE8-E258ED146B04}" name="Sugar (barrels)" dataDxfId="1170" dataCellStyle="Comma"/>
    <tableColumn id="5" xr3:uid="{68552C97-6AA3-4006-8B3F-DC85102E6999}" name="Rum (puncheons)" dataDxfId="1169" dataCellStyle="Comma"/>
    <tableColumn id="6" xr3:uid="{899C1BB6-CC81-40A7-84FA-04919AE8E505}" name="Rum (hogsheads)" dataDxfId="1168" dataCellStyle="Comma"/>
    <tableColumn id="7" xr3:uid="{BA552B8E-ED2E-47B1-A54F-4BB79A4DB926}" name="Rum (casks)" dataDxfId="1167" dataCellStyle="Comma"/>
    <tableColumn id="8" xr3:uid="{CD72CD43-DDBB-4461-866B-C98C6A6CA174}" name="Rum (barrels)" dataDxfId="1166" dataCellStyle="Comma"/>
    <tableColumn id="9" xr3:uid="{1CEB14B7-6B11-40D5-9FBC-DB26D5F27C12}" name="Molasses (casks)" dataDxfId="1165" dataCellStyle="Comma"/>
    <tableColumn id="10" xr3:uid="{3EA95556-7026-4A0C-BFC8-B8552D4189A7}" name="Ginger (casks)" dataDxfId="1164" dataCellStyle="Comma"/>
    <tableColumn id="11" xr3:uid="{CF7C811B-77A3-4D7A-9147-031BD1BAACD7}" name="Ginger (bags)" dataDxfId="1163" dataCellStyle="Comma"/>
    <tableColumn id="12" xr3:uid="{AD68D75C-8FBC-49E3-A036-DA966DFEB262}" name="Pimento (casks)" dataDxfId="1162" dataCellStyle="Comma"/>
    <tableColumn id="13" xr3:uid="{86890106-D609-4A08-9E32-C0BAF9DDF280}" name="Pimento (bags)" dataDxfId="1161" dataCellStyle="Comma"/>
    <tableColumn id="14" xr3:uid="{81D697FA-F6B2-4206-BB57-70196041BAAD}" name="Coffee (lb)" dataDxfId="1160" dataCellStyle="Comma"/>
  </tableColumns>
  <tableStyleInfo name="TableStyleLight9"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AE22E287-C89D-42A3-8CFD-E427AA8D0E00}" name="Table75" displayName="Table75" ref="A1:Z19" totalsRowShown="0" headerRowDxfId="1159" dataDxfId="1158" tableBorderDxfId="1157" dataCellStyle="Comma">
  <autoFilter ref="A1:Z19" xr:uid="{AE22E287-C89D-42A3-8CFD-E427AA8D0E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1985E722-402E-42C7-8CB7-A4E20B06268B}" name="Import: _x000a_1820-21" dataDxfId="1156" dataCellStyle="Comma"/>
    <tableColumn id="2" xr3:uid="{7F5F92D4-F5F7-45D9-8A34-421357ED05C7}" name="Flour (barrels)" dataDxfId="1155" dataCellStyle="Comma"/>
    <tableColumn id="3" xr3:uid="{8F25F86A-C8E2-449C-A423-C33DEAFFD584}" name="Bread (barrels)" dataDxfId="1154" dataCellStyle="Comma"/>
    <tableColumn id="4" xr3:uid="{933C5664-A973-4A5A-818E-B4A39C67587A}" name="Bread (bags)" dataDxfId="1153" dataCellStyle="Comma"/>
    <tableColumn id="5" xr3:uid="{7F44210F-9C25-4941-B67B-992DF7E900EC}" name="Bread (kegs)" dataDxfId="1152" dataCellStyle="Comma"/>
    <tableColumn id="6" xr3:uid="{5325E97B-4488-4E83-AC15-4710E96E64F7}" name="Rice (tierces)" dataDxfId="1151" dataCellStyle="Comma"/>
    <tableColumn id="7" xr3:uid="{527863EB-B036-4E5D-AD8D-F25DD310E807}" name="Rice (barrels)" dataDxfId="1150" dataCellStyle="Comma"/>
    <tableColumn id="8" xr3:uid="{6B6CA751-C4D5-4575-A39D-9BDB926D7925}" name="Rice (bags)" dataDxfId="1149" dataCellStyle="Comma"/>
    <tableColumn id="9" xr3:uid="{ECE477AF-3A34-480E-B69A-5182341F3AB3}" name="Corn and meal (bushels)" dataDxfId="1148" dataCellStyle="Comma"/>
    <tableColumn id="10" xr3:uid="{C17F7A50-93EC-4162-AF9D-5448FAE09B2E}" name="Corn and meal (bags)" dataDxfId="1147" dataCellStyle="Comma"/>
    <tableColumn id="11" xr3:uid="{6BEC2D76-BFE7-4E87-B95E-4C3ED9AE647A}" name="Corn and meal (barrels)" dataDxfId="1146" dataCellStyle="Comma"/>
    <tableColumn id="12" xr3:uid="{ED4F0603-85A7-4A88-A594-ECE5654051FB}" name="Pease and beans (barrels)" dataDxfId="1145" dataCellStyle="Comma"/>
    <tableColumn id="13" xr3:uid="{9DAB4C6D-3289-4F60-9903-D8438A5AAF62}" name="Pease and beans (bags)" dataDxfId="1144" dataCellStyle="Comma"/>
    <tableColumn id="14" xr3:uid="{69066C96-E73F-477A-B7AA-8787ABCD9993}" name="Fish, dry (hogsheads)" dataDxfId="1143" dataCellStyle="Comma"/>
    <tableColumn id="15" xr3:uid="{5D18DFE7-A3A7-4188-ADA3-CEE65CE0E1D5}" name="Fish, dry (casks)" dataDxfId="1142" dataCellStyle="Comma"/>
    <tableColumn id="16" xr3:uid="{8AE788D7-1A3F-44DF-A26E-5AF79E362D34}" name="Fish, dry (boxes)" dataDxfId="1141" dataCellStyle="Comma"/>
    <tableColumn id="17" xr3:uid="{50FD035B-3B51-4439-95FA-44B72816B3FC}" name="Fish, pickled (tierces)" dataDxfId="1140" dataCellStyle="Comma"/>
    <tableColumn id="18" xr3:uid="{BEB0C073-1031-4D45-BB14-53EC4681E024}" name="Fish, pickled (barrels)" dataDxfId="1139" dataCellStyle="Comma"/>
    <tableColumn id="19" xr3:uid="{65770A06-FBC1-4033-9A83-03FB1B18EBC7}" name="Fish, pickled (kits)" dataDxfId="1138" dataCellStyle="Comma"/>
    <tableColumn id="20" xr3:uid="{EFB821DE-C4B7-4641-A36A-04E789AC2E20}" name="Staves and heading" dataDxfId="1137" dataCellStyle="Comma"/>
    <tableColumn id="21" xr3:uid="{F9220D8A-7E04-4CB8-A086-6BEAE9235C90}" name="Shingles" dataDxfId="1136" dataCellStyle="Comma"/>
    <tableColumn id="22" xr3:uid="{EE55B44E-B8F2-4357-B174-DBD4B981598D}" name="Lumber (feet)" dataDxfId="1135" dataCellStyle="Comma"/>
    <tableColumn id="23" xr3:uid="{1D85623E-6D5B-432E-AF07-0E214AE8F217}" name="Livestock: Horses" dataDxfId="1134" dataCellStyle="Comma"/>
    <tableColumn id="24" xr3:uid="{BE8F6AB1-FC02-4FD3-96D6-8AADB4F3F4AC}" name="Livestock: Mules" dataDxfId="1133" dataCellStyle="Comma"/>
    <tableColumn id="25" xr3:uid="{BDD36C4A-2737-48E9-B906-AFCA7C33BAEE}" name="Livestock: Asses" dataDxfId="1132" dataCellStyle="Comma"/>
    <tableColumn id="26" xr3:uid="{40E7C126-CFB2-400E-86E8-1605333B7932}" name="Livestock: Cattle" dataDxfId="1131" dataCellStyle="Comma"/>
  </tableColumns>
  <tableStyleInfo name="TableStyleLight9"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324CAFDA-4E0F-4654-9358-358DC53261A8}" name="Table73" displayName="Table73" ref="A1:N19" totalsRowShown="0" headerRowDxfId="1130" dataDxfId="1129" tableBorderDxfId="1128" dataCellStyle="Comma">
  <autoFilter ref="A1:N19" xr:uid="{324CAFDA-4E0F-4654-9358-358DC53261A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9AEED9BC-ADC3-40B6-A473-A855D3429A0A}" name="Export:_x000a_1819-20" dataDxfId="1127" dataCellStyle="Comma"/>
    <tableColumn id="2" xr3:uid="{CE513F5A-876D-46F5-ABFA-FBFBE5B03F2F}" name="Sugar (hogsheads)" dataDxfId="1126" dataCellStyle="Comma"/>
    <tableColumn id="3" xr3:uid="{6AAADAAC-A4FA-4CFA-8DEC-41B4401ED86F}" name="Sugar (tierces)" dataDxfId="1125" dataCellStyle="Comma"/>
    <tableColumn id="4" xr3:uid="{1A14855D-B356-4729-B530-9F0417F6E98B}" name="Sugar (barrels)" dataDxfId="1124" dataCellStyle="Comma"/>
    <tableColumn id="5" xr3:uid="{137D92A5-9EA5-468A-9FA6-0CD33602CAAF}" name="Rum (puncheons)" dataDxfId="1123" dataCellStyle="Comma"/>
    <tableColumn id="6" xr3:uid="{82406FD9-2200-4C7A-ACF0-38AA9C49F402}" name="Rum (hogsheads)" dataDxfId="1122" dataCellStyle="Comma"/>
    <tableColumn id="7" xr3:uid="{C7E054DF-4756-44A0-A84B-82F469EBE0EC}" name="Rum (casks)" dataDxfId="1121" dataCellStyle="Comma"/>
    <tableColumn id="8" xr3:uid="{28646CDA-03EB-4C7C-B941-BD799EE18608}" name="Rum (barrels)" dataDxfId="1120" dataCellStyle="Comma"/>
    <tableColumn id="9" xr3:uid="{636AD55F-94A3-42FF-8BCE-3AA4C0FC7C99}" name="Molasses (casks)" dataDxfId="1119" dataCellStyle="Comma"/>
    <tableColumn id="10" xr3:uid="{23F86506-1F0C-4CAC-9211-F3C385D1F8C1}" name="Ginger (casks)" dataDxfId="1118" dataCellStyle="Comma"/>
    <tableColumn id="11" xr3:uid="{D12D458A-0461-412F-9642-6D96B5601D4B}" name="Ginger (bags)" dataDxfId="1117" dataCellStyle="Comma"/>
    <tableColumn id="12" xr3:uid="{9BAF4FDE-B286-454C-A39F-308069725A66}" name="Pimento (casks)" dataDxfId="1116" dataCellStyle="Comma"/>
    <tableColumn id="13" xr3:uid="{3F15BF3C-C35E-404F-ACD6-8D6CA38AAF51}" name="Pimento (bags)" dataDxfId="1115" dataCellStyle="Comma"/>
    <tableColumn id="14" xr3:uid="{6B4D58AE-A693-4549-BEDB-4A16BF033C85}" name="Coffee (lb)" dataDxfId="1114" dataCellStyle="Comma"/>
  </tableColumns>
  <tableStyleInfo name="TableStyleLight9"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40B03267-0FE1-4D92-92EE-CA011C452612}" name="Table71" displayName="Table71" ref="A1:AN20" totalsRowShown="0" headerRowDxfId="1113" dataDxfId="1112" tableBorderDxfId="1111" dataCellStyle="Comma">
  <autoFilter ref="A1:AN20" xr:uid="{40B03267-0FE1-4D92-92EE-CA011C45261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autoFilter>
  <tableColumns count="40">
    <tableColumn id="1" xr3:uid="{33E5CBF4-53FD-4BC2-88C7-325713932FEF}" name="Import: _x000a_1819-20" dataDxfId="1110" dataCellStyle="Comma"/>
    <tableColumn id="2" xr3:uid="{8A5A0B62-9E6F-495E-925A-02559C7F5CD1}" name="Flour (barrels)" dataDxfId="1109" dataCellStyle="Comma"/>
    <tableColumn id="3" xr3:uid="{072E6A16-9117-4C5C-A76A-5E3DDE100436}" name="Bread (barrels)" dataDxfId="1108" dataCellStyle="Comma"/>
    <tableColumn id="4" xr3:uid="{139F6F16-89FD-47A9-887B-59E816E1B19C}" name="Bread (bags)" dataDxfId="1107" dataCellStyle="Comma"/>
    <tableColumn id="5" xr3:uid="{AAC34C0C-D6E4-4AAD-A433-7C047DCBF03A}" name="Bread (kegs)" dataDxfId="1106" dataCellStyle="Comma"/>
    <tableColumn id="6" xr3:uid="{C3EDAC8E-BD58-4A2D-B496-DEE286449096}" name="Rice (tierces)" dataDxfId="1105" dataCellStyle="Comma"/>
    <tableColumn id="7" xr3:uid="{645BD10F-22C7-4F90-A1E4-D91973E872A8}" name="Rice (barrels)" dataDxfId="1104" dataCellStyle="Comma"/>
    <tableColumn id="8" xr3:uid="{3D7F42BF-097E-4371-9995-486752CCEA88}" name="Rice (bags)" dataDxfId="1103" dataCellStyle="Comma"/>
    <tableColumn id="9" xr3:uid="{AA9F9A75-AFA8-459F-B970-244E84495BFD}" name="Corn and meal (bushels)" dataDxfId="1102" dataCellStyle="Comma"/>
    <tableColumn id="10" xr3:uid="{BA67BE6F-927F-4BAC-A4C4-72BD8ADAFB84}" name="Corn and meal (bags)" dataDxfId="1101" dataCellStyle="Comma"/>
    <tableColumn id="11" xr3:uid="{F90EB89C-66BE-42B8-9E54-3FCFBD5797C3}" name="Corn and meal (barrels)" dataDxfId="1100" dataCellStyle="Comma"/>
    <tableColumn id="12" xr3:uid="{72A9811D-1927-4F0A-8908-87337973DBE2}" name="Pease and beans (barrels)" dataDxfId="1099" dataCellStyle="Comma"/>
    <tableColumn id="13" xr3:uid="{0398D43B-CD3F-4F9E-8101-E77EE37C35CA}" name="Pease and beans (bags)" dataDxfId="1098" dataCellStyle="Comma"/>
    <tableColumn id="14" xr3:uid="{D9DB050F-3FF3-4EB0-BE1A-78007006120A}" name="Fish, dry (hogsheads)" dataDxfId="1097" dataCellStyle="Comma"/>
    <tableColumn id="15" xr3:uid="{59F18039-AB96-4788-8120-4E137C5BD5DD}" name="Fish, dry (casks)" dataDxfId="1096" dataCellStyle="Comma"/>
    <tableColumn id="16" xr3:uid="{45985E9D-4FE3-48F5-850E-35CEEEFBD1E8}" name="Fish, dry (boxes)" dataDxfId="1095" dataCellStyle="Comma"/>
    <tableColumn id="17" xr3:uid="{70A0C03D-C880-4A5B-8F98-382F8A5260E3}" name="Fish, pickled (tierces)" dataDxfId="1094" dataCellStyle="Comma"/>
    <tableColumn id="18" xr3:uid="{745DA4A1-3A6F-4552-9EC1-7CAB13CE14A2}" name="Fish, pickled (barrels)" dataDxfId="1093" dataCellStyle="Comma"/>
    <tableColumn id="19" xr3:uid="{CBF43AA0-E2E4-4A6A-A340-8D1AD88F8218}" name="Fish, pickled (kits)" dataDxfId="1092" dataCellStyle="Comma"/>
    <tableColumn id="20" xr3:uid="{54B73B38-83E7-4418-A739-CB72046AE4AB}" name="Staves and heading" dataDxfId="1091" dataCellStyle="Comma"/>
    <tableColumn id="21" xr3:uid="{6E9E77C7-674A-4FA8-9FF5-A9B50E58BF41}" name="Shingles" dataDxfId="1090" dataCellStyle="Comma"/>
    <tableColumn id="22" xr3:uid="{4BF53E52-4089-46BA-9172-68186404F492}" name="Lumber (feet)" dataDxfId="1089" dataCellStyle="Comma"/>
    <tableColumn id="23" xr3:uid="{01AB8CB9-0802-4010-808E-CE5D776DC9FF}" name="Livestock: Horses" dataDxfId="1088" dataCellStyle="Comma"/>
    <tableColumn id="24" xr3:uid="{E57E309D-16E6-4E0B-9A67-F7AFC9C2AFA2}" name="Livestock: Mules" dataDxfId="1087" dataCellStyle="Comma"/>
    <tableColumn id="25" xr3:uid="{A3E59A54-B9E4-4687-B0B4-BD791F6A3BB4}" name="Livestock: Asses" dataDxfId="1086" dataCellStyle="Comma"/>
    <tableColumn id="26" xr3:uid="{A92E9B71-5C6B-4B39-8D6A-B45A99AA90A5}" name="Livestock: Cattle" dataDxfId="1085" dataCellStyle="Comma"/>
    <tableColumn id="27" xr3:uid="{1AFFCA8B-4482-4693-A5F8-99272CC7DC57}" name="Spirits (gallons)" dataDxfId="1084" dataCellStyle="Comma"/>
    <tableColumn id="28" xr3:uid="{CACDA039-772C-4499-8CE8-C5341BF5AB89}" name="Wines (tuns)" dataDxfId="1083" dataCellStyle="Comma"/>
    <tableColumn id="29" xr3:uid="{D965925E-F7EF-428E-95DB-AA798954CB8E}" name="Wines (gallons)" dataDxfId="1082" dataCellStyle="Comma"/>
    <tableColumn id="30" xr3:uid="{3A2CC340-E503-4D89-8EFA-C2DC791A74F5}" name="Porter, beer, and cider (tuns)" dataDxfId="1081" dataCellStyle="Comma"/>
    <tableColumn id="31" xr3:uid="{DA97DB28-D52C-4AFB-9657-83E04D0C7653}" name="Porter, beer, and cider (gallons)" dataDxfId="1080" dataCellStyle="Comma"/>
    <tableColumn id="32" xr3:uid="{F64C640E-9CE4-4E8C-828B-47D584DE78D2}" name="Tea (lb)" dataDxfId="1079" dataCellStyle="Comma"/>
    <tableColumn id="33" xr3:uid="{31D6F9C1-4593-4049-8E54-18AEB55094B8}" name="Sugar, refined (lb)" dataDxfId="1078" dataCellStyle="Comma"/>
    <tableColumn id="34" xr3:uid="{8FB8DF29-8DA9-46EC-8D16-E2DE48B3CCD1}" name="Beef (barrels)" dataDxfId="1077" dataCellStyle="Comma"/>
    <tableColumn id="35" xr3:uid="{6EF55FFF-1F90-427A-BD34-14930BAB65C5}" name="Pork (barrels)" dataDxfId="1076" dataCellStyle="Comma"/>
    <tableColumn id="36" xr3:uid="{5E60656D-C3EE-48B5-8320-34DA5C5340E3}" name="Butter (firkins)" dataDxfId="1075" dataCellStyle="Comma"/>
    <tableColumn id="37" xr3:uid="{7F5D1B24-50F3-4688-B489-2F58540B2F72}" name="Lard (firkins)" dataDxfId="1074" dataCellStyle="Comma"/>
    <tableColumn id="38" xr3:uid="{0F7E7C6D-F1BA-4D31-BEB8-E375877EE36C}" name="Soap (boxes)" dataDxfId="1073" dataCellStyle="Comma"/>
    <tableColumn id="39" xr3:uid="{059FF3B4-C2FE-463E-85CD-2E7B66AD569C}" name="Candles (boxes)" dataDxfId="1072" dataCellStyle="Comma"/>
    <tableColumn id="40" xr3:uid="{0ABA6598-6A29-4ACB-BF41-CE01EC2767E7}" name="Tobacco (lb)" dataDxfId="1071" dataCellStyle="Comma"/>
  </tableColumns>
  <tableStyleInfo name="TableStyleLight9"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2FD5E999-DB19-4608-A6B5-8A292AD8AE8B}" name="Table69" displayName="Table69" ref="A1:N19" totalsRowShown="0" headerRowDxfId="1070" dataDxfId="1069" tableBorderDxfId="1068" dataCellStyle="Comma">
  <autoFilter ref="A1:N19" xr:uid="{2FD5E999-DB19-4608-A6B5-8A292AD8AE8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81AAFC74-3180-45F5-9309-5FB9D67143F2}" name="Export:_x000a_1818-19" dataDxfId="1067" dataCellStyle="Comma"/>
    <tableColumn id="2" xr3:uid="{F3A4D820-83BD-4AD1-8510-745D30B91AE1}" name="Sugar (hogsheads)" dataDxfId="1066" dataCellStyle="Comma"/>
    <tableColumn id="3" xr3:uid="{EEB745F9-29E6-4E8D-B6E4-EE15A486CE44}" name="Sugar (tierces)" dataDxfId="1065" dataCellStyle="Comma"/>
    <tableColumn id="4" xr3:uid="{217C8600-DE3B-45ED-B5CD-9A764DDB9350}" name="Sugar (barrels)" dataDxfId="1064" dataCellStyle="Comma"/>
    <tableColumn id="5" xr3:uid="{BBCADCC0-1F7A-49B6-B6D9-7BD99BDCCCF6}" name="Rum (puncheons)" dataDxfId="1063" dataCellStyle="Comma"/>
    <tableColumn id="6" xr3:uid="{18E8FF45-BD21-4965-AAAF-8BF144269739}" name="Rum (hogsheads)" dataDxfId="1062" dataCellStyle="Comma"/>
    <tableColumn id="7" xr3:uid="{9BB7AC99-40EB-4D66-AB71-8CC707F450DE}" name="Rum (casks)" dataDxfId="1061" dataCellStyle="Comma"/>
    <tableColumn id="8" xr3:uid="{F3A2CDE0-AFF1-4EEA-89C8-E5AFEBC6A3CF}" name="Rum (barrels)" dataDxfId="1060" dataCellStyle="Comma"/>
    <tableColumn id="9" xr3:uid="{008DDED0-6B0C-474A-BB54-4BBCA6EF978D}" name="Molasses (casks)" dataDxfId="1059" dataCellStyle="Comma"/>
    <tableColumn id="10" xr3:uid="{A5B59F6F-F753-49E7-8F5D-83F09E6F3797}" name="Ginger (casks)" dataDxfId="1058" dataCellStyle="Comma"/>
    <tableColumn id="11" xr3:uid="{DA8E205B-7E43-418C-9444-6824AC64B212}" name="Ginger (bags)" dataDxfId="1057" dataCellStyle="Comma"/>
    <tableColumn id="12" xr3:uid="{D9781A54-F5DC-48E2-ABA2-5DDDB06E7C34}" name="Pimento (casks)" dataDxfId="1056" dataCellStyle="Comma"/>
    <tableColumn id="13" xr3:uid="{AAD83073-9A37-4946-BB53-919CD4EF4C88}" name="Pimento (bags)" dataDxfId="1055" dataCellStyle="Comma"/>
    <tableColumn id="14" xr3:uid="{F3FFB90A-CC51-4ADA-BCA2-A9A9CD95A355}" name="Coffee (lb)" dataDxfId="1054" dataCellStyle="Comma"/>
  </tableColumns>
  <tableStyleInfo name="TableStyleLight9"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3F7B1DEC-3160-4FF5-A74F-A9AD3A154F8B}" name="Table67" displayName="Table67" ref="A1:Z19" totalsRowShown="0" headerRowDxfId="1053" dataDxfId="1052" tableBorderDxfId="1051" dataCellStyle="Comma">
  <autoFilter ref="A1:Z19" xr:uid="{3F7B1DEC-3160-4FF5-A74F-A9AD3A154F8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1C23B123-D02C-4C15-8393-1E942F32184B}" name="Import: _x000a_1818-19" dataDxfId="1050" dataCellStyle="Comma"/>
    <tableColumn id="2" xr3:uid="{692DF432-0BEF-4B9C-87CF-9F8DB09B2B55}" name="Flour (barrels)" dataDxfId="1049" dataCellStyle="Comma"/>
    <tableColumn id="3" xr3:uid="{D163D1A1-9943-4F2D-802C-41651FA0B959}" name="Bread (barrels)" dataDxfId="1048" dataCellStyle="Comma"/>
    <tableColumn id="4" xr3:uid="{C2A77297-9412-4F80-B052-BD0677DD55C1}" name="Bread (bags)" dataDxfId="1047" dataCellStyle="Comma"/>
    <tableColumn id="5" xr3:uid="{2776670C-0C40-4E8C-B715-4969202AEDDB}" name="Bread (kegs)" dataDxfId="1046" dataCellStyle="Comma"/>
    <tableColumn id="6" xr3:uid="{D3F7C7D9-409C-4679-B8A0-E927236D52D5}" name="Rice (tierces)" dataDxfId="1045" dataCellStyle="Comma"/>
    <tableColumn id="7" xr3:uid="{A82D480F-9AE7-4D98-9F0D-88D83F5846F8}" name="Rice (barrels)" dataDxfId="1044" dataCellStyle="Comma"/>
    <tableColumn id="8" xr3:uid="{E35904D7-939C-4074-BD27-91821B8F44BF}" name="Rice (bags)" dataDxfId="1043" dataCellStyle="Comma"/>
    <tableColumn id="9" xr3:uid="{AB716F3E-2627-488C-88BF-4D44AD296F83}" name="Corn and meal (bushels)" dataDxfId="1042" dataCellStyle="Comma"/>
    <tableColumn id="10" xr3:uid="{E881D1DC-D1D5-42EF-965A-4BA6AAAA6DEF}" name="Corn and meal (bags)" dataDxfId="1041" dataCellStyle="Comma"/>
    <tableColumn id="11" xr3:uid="{BF23E870-85BE-4F46-8A18-A1BE33758D0D}" name="Corn and meal (barrels)" dataDxfId="1040" dataCellStyle="Comma"/>
    <tableColumn id="12" xr3:uid="{E22C107C-1A92-4FB3-A7BC-2E2C04D57DA3}" name="Pease and beans (barrels)" dataDxfId="1039" dataCellStyle="Comma"/>
    <tableColumn id="13" xr3:uid="{723B3709-FE8C-4826-9A31-3CF1D2B55D8B}" name="Pease and beans (bags)" dataDxfId="1038" dataCellStyle="Comma"/>
    <tableColumn id="14" xr3:uid="{09BCF21D-92DF-4DB6-B563-6EF200A730B3}" name="Fish, dry (hogsheads)" dataDxfId="1037" dataCellStyle="Comma"/>
    <tableColumn id="15" xr3:uid="{42B9DFF0-BA3A-47B3-A264-472D6E98F64B}" name="Fish, dry (casks)" dataDxfId="1036" dataCellStyle="Comma"/>
    <tableColumn id="16" xr3:uid="{F6077001-9B5D-4BCA-A664-FA3B71EE4A3B}" name="Fish, dry (boxes)" dataDxfId="1035" dataCellStyle="Comma"/>
    <tableColumn id="18" xr3:uid="{05E2C0A3-5418-46E4-AB89-0AE03B656B76}" name="Fish, pickled (tierces)" dataDxfId="1034" dataCellStyle="Comma"/>
    <tableColumn id="19" xr3:uid="{69F198B3-F0C8-477A-BBEA-E49D03A2C258}" name="Fish, pickled (barrels)" dataDxfId="1033" dataCellStyle="Comma"/>
    <tableColumn id="20" xr3:uid="{D09B599A-6C11-4F37-998F-F4FC7A1BC487}" name="Fish, pickled (kits)" dataDxfId="1032" dataCellStyle="Comma"/>
    <tableColumn id="21" xr3:uid="{06E716E5-6F96-42DD-9201-F62A937FAD2F}" name="Staves and heading" dataDxfId="1031" dataCellStyle="Comma"/>
    <tableColumn id="22" xr3:uid="{949D689C-D8FD-4429-A9B3-C2A2DD30A994}" name="Shingles" dataDxfId="1030" dataCellStyle="Comma"/>
    <tableColumn id="23" xr3:uid="{72666E6B-842D-489D-B338-B8FAA00B79B3}" name="Lumber (feet)" dataDxfId="1029" dataCellStyle="Comma"/>
    <tableColumn id="24" xr3:uid="{C47C06AB-571F-4CEE-A286-311CA7D4AC0E}" name="Livestock: Horses" dataDxfId="1028" dataCellStyle="Comma"/>
    <tableColumn id="25" xr3:uid="{52715C84-43DE-4D1A-A7B9-535E53449FEA}" name="Livestock: Mules" dataDxfId="1027" dataCellStyle="Comma"/>
    <tableColumn id="26" xr3:uid="{5B36D995-9FFC-414F-AF30-48DBF2ECEAFB}" name="Livestock: Asses" dataDxfId="1026" dataCellStyle="Comma"/>
    <tableColumn id="27" xr3:uid="{6C05F2DF-0F4A-4E40-AAF4-07A882E7372D}" name="Livestock: Cattle" dataDxfId="1025" dataCellStyle="Comma"/>
  </tableColumns>
  <tableStyleInfo name="TableStyleLight9"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3F6FF0EF-63DD-4E5C-B182-AAA8FEB5FA50}" name="Table65" displayName="Table65" ref="A1:N19" totalsRowShown="0" headerRowDxfId="1024" dataDxfId="1023" tableBorderDxfId="1022" dataCellStyle="Comma">
  <autoFilter ref="A1:N19" xr:uid="{3F6FF0EF-63DD-4E5C-B182-AAA8FEB5FA50}"/>
  <tableColumns count="14">
    <tableColumn id="1" xr3:uid="{B0D93A3B-E1A6-4F0C-8236-92748E65080E}" name="Export:_x000a_1817-18" dataDxfId="1021" dataCellStyle="Comma"/>
    <tableColumn id="2" xr3:uid="{841AF29B-816A-49AD-88E5-BDD0CC43C1F2}" name="Sugar (hogsheads)" dataDxfId="1020" dataCellStyle="Comma"/>
    <tableColumn id="3" xr3:uid="{69A33615-7F38-471F-B064-E6F1B5F998A8}" name="Sugar (tierces)" dataDxfId="1019" dataCellStyle="Comma"/>
    <tableColumn id="4" xr3:uid="{E373CF5A-DFDF-4ED8-AFA6-6BE9921F4E79}" name="Sugar (barrels)" dataDxfId="1018" dataCellStyle="Comma"/>
    <tableColumn id="5" xr3:uid="{46545D3D-B547-41A4-A01D-76A3035F2694}" name="Rum (puncheons)" dataDxfId="1017" dataCellStyle="Comma"/>
    <tableColumn id="6" xr3:uid="{CDE6BEE4-BA8A-4983-B8DC-5D91AC4E7A4B}" name="Rum (hogsheads)" dataDxfId="1016" dataCellStyle="Comma"/>
    <tableColumn id="7" xr3:uid="{D1867167-06E1-4424-8557-CB26EA1529C4}" name="Rum (casks)" dataDxfId="1015" dataCellStyle="Comma"/>
    <tableColumn id="8" xr3:uid="{62567E03-62B9-4CD8-AFB8-84AC3689DE33}" name="Rum (barrels)" dataDxfId="1014" dataCellStyle="Comma"/>
    <tableColumn id="9" xr3:uid="{359E7661-87FB-4A06-ABE1-8E4A0446C4BE}" name="Molasses (casks)" dataDxfId="1013" dataCellStyle="Comma"/>
    <tableColumn id="10" xr3:uid="{C9FBA3DA-1F32-4015-B058-E88F7F561C04}" name="Ginger (casks)" dataDxfId="1012" dataCellStyle="Comma"/>
    <tableColumn id="11" xr3:uid="{8DF5D0BC-D555-4EB9-A030-AB6306E22EE5}" name="Ginger (bags)" dataDxfId="1011" dataCellStyle="Comma"/>
    <tableColumn id="12" xr3:uid="{0B16EE25-F5A8-4F83-81B7-49D0FC5483D7}" name="Pimento (casks)" dataDxfId="1010" dataCellStyle="Comma"/>
    <tableColumn id="13" xr3:uid="{7A47D777-45D6-402B-8D3E-2AF6BA4E87C7}" name="Pimento (bags)" dataDxfId="1009" dataCellStyle="Comma"/>
    <tableColumn id="14" xr3:uid="{5A820B40-1043-4B52-9FAC-2B5B36A2BE83}" name="Coffee (lb)" dataDxfId="1008" dataCellStyle="Comma"/>
  </tableColumns>
  <tableStyleInfo name="TableStyleLight9"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B7D31CA8-9593-4A0E-80DC-AE763CA5F4FD}" name="Table62" displayName="Table62" ref="A1:AA19" totalsRowShown="0" headerRowDxfId="1007" dataDxfId="1006" tableBorderDxfId="1005" dataCellStyle="Comma">
  <autoFilter ref="A1:AA19" xr:uid="{B7D31CA8-9593-4A0E-80DC-AE763CA5F4F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autoFilter>
  <tableColumns count="27">
    <tableColumn id="1" xr3:uid="{9F9206E0-0916-49C3-9134-D27321BAC3D7}" name="Import: _x000a_1817-18" dataDxfId="1004" dataCellStyle="Comma"/>
    <tableColumn id="2" xr3:uid="{04E94FA7-FED0-4AA1-8762-EA5384AEC64E}" name="Flour (barrels)" dataDxfId="1003" dataCellStyle="Comma"/>
    <tableColumn id="3" xr3:uid="{D2E36896-2161-4EC0-9A04-C1D29BB22468}" name="Bread (barrels)" dataDxfId="1002" dataCellStyle="Comma"/>
    <tableColumn id="4" xr3:uid="{065B38C4-EF26-49BC-ABA3-57A6CD8E169F}" name="Bread (bags)" dataDxfId="1001" dataCellStyle="Comma"/>
    <tableColumn id="5" xr3:uid="{EF9546B5-7C9F-4AD5-A635-233B11BF5A23}" name="Bread (kegs)" dataDxfId="1000" dataCellStyle="Comma"/>
    <tableColumn id="6" xr3:uid="{BFED1078-7005-458C-B53B-CC5B77C8D06E}" name="Rice (tierces)" dataDxfId="999" dataCellStyle="Comma"/>
    <tableColumn id="7" xr3:uid="{680EDEA7-7052-4F20-8172-9F00342962EF}" name="Rice (barrels)" dataDxfId="998" dataCellStyle="Comma"/>
    <tableColumn id="8" xr3:uid="{E2FE5BF8-41B6-4F17-8B96-1B8E3E46C986}" name="Rice (bags)" dataDxfId="997" dataCellStyle="Comma"/>
    <tableColumn id="9" xr3:uid="{20E34281-928A-4519-B233-7D85FE7756DB}" name="Corn and meal (bushels)" dataDxfId="996" dataCellStyle="Comma"/>
    <tableColumn id="10" xr3:uid="{950E2C26-536A-419B-8C3B-DD466B5325B8}" name="Corn and meal (bags)" dataDxfId="995" dataCellStyle="Comma"/>
    <tableColumn id="11" xr3:uid="{FDEB6626-9F4B-43F6-86B1-F7D9355BA447}" name="Corn and meal (barrels)" dataDxfId="994" dataCellStyle="Comma"/>
    <tableColumn id="12" xr3:uid="{4C3D3538-71EE-4081-8C3C-1A98B75974E7}" name="Pease (barrels)" dataDxfId="993" dataCellStyle="Comma"/>
    <tableColumn id="13" xr3:uid="{B0FBAA60-2DE5-421D-B02A-E58CC3F60623}" name="Pease (bags)" dataDxfId="992" dataCellStyle="Comma"/>
    <tableColumn id="14" xr3:uid="{E8A49DB6-BA8E-465A-9A02-BE5A2170AD6D}" name="Fish, dry (hogsheads)" dataDxfId="991" dataCellStyle="Comma"/>
    <tableColumn id="15" xr3:uid="{7DF2B5AF-98A4-4C58-AD17-CDD6E256B0E3}" name="Fish, dry (casks)" dataDxfId="990" dataCellStyle="Comma"/>
    <tableColumn id="16" xr3:uid="{8CC43D8D-58DA-4431-8955-299CC306EEA9}" name="Fish, dry (boxes)" dataDxfId="989" dataCellStyle="Comma"/>
    <tableColumn id="17" xr3:uid="{444638CC-C68A-443B-9B8F-3FD00348E2E0}" name="Fish, dry (quintals)" dataDxfId="988" dataCellStyle="Comma"/>
    <tableColumn id="18" xr3:uid="{FB12586F-5BA2-47C2-B18E-10A1ADA9087A}" name="Fish, pickled (tierces)" dataDxfId="987" dataCellStyle="Comma"/>
    <tableColumn id="19" xr3:uid="{D52BE896-C52E-4CB6-82B9-7FFB99280C81}" name="Fish, pickled (barrels)" dataDxfId="986" dataCellStyle="Comma"/>
    <tableColumn id="20" xr3:uid="{84E7022E-C209-4375-8A82-3BC644790EF3}" name="Fish, pickled (kegs)" dataDxfId="985" dataCellStyle="Comma"/>
    <tableColumn id="21" xr3:uid="{172BAC4B-CAAB-4B3B-8D74-824E5EA2B667}" name="Staves and heading" dataDxfId="984" dataCellStyle="Comma"/>
    <tableColumn id="22" xr3:uid="{B8D05D10-E454-4FC5-995A-D349BD77D53C}" name="Shingles" dataDxfId="983" dataCellStyle="Comma"/>
    <tableColumn id="23" xr3:uid="{31AE58A0-A3BD-40AD-9669-07E75ACB8831}" name="Lumber (feet)" dataDxfId="982" dataCellStyle="Comma"/>
    <tableColumn id="24" xr3:uid="{5382F5F3-321D-41BE-BF92-9EBC32F9E886}" name="Livestock: Horses" dataDxfId="981" dataCellStyle="Comma"/>
    <tableColumn id="25" xr3:uid="{7F57A79F-F9AF-44FC-ADA1-87595C5DFC7E}" name="Livestock: Mules" dataDxfId="980" dataCellStyle="Comma"/>
    <tableColumn id="26" xr3:uid="{2D1725E0-D90E-40CC-973B-1E03D94E8D9E}" name="Livestock: Asses" dataDxfId="979" dataCellStyle="Comma"/>
    <tableColumn id="27" xr3:uid="{57454446-101D-4781-BE8B-269BA86FB1E7}" name="Livestock: Cattle" dataDxfId="978" dataCellStyle="Comma"/>
  </tableColumns>
  <tableStyleInfo name="TableStyleLight9"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D4E00740-CEE1-453A-A1A7-69153BC33500}" name="Table58" displayName="Table58" ref="A1:N19" totalsRowShown="0" headerRowDxfId="977" dataDxfId="976" tableBorderDxfId="975" dataCellStyle="Comma">
  <autoFilter ref="A1:N19" xr:uid="{D4E00740-CEE1-453A-A1A7-69153BC335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A8042E55-7588-4B1C-8272-08DB39707611}" name="Export:_x000a_1816-17" dataDxfId="974" dataCellStyle="Comma"/>
    <tableColumn id="2" xr3:uid="{DC60BF69-370C-44A7-BF95-08230C640BD4}" name="Sugar (hogsheads)" dataDxfId="973" dataCellStyle="Comma"/>
    <tableColumn id="3" xr3:uid="{C77E7A07-754E-4EED-A282-6AEAF48937D2}" name="Sugar (tierces)" dataDxfId="972" dataCellStyle="Comma"/>
    <tableColumn id="4" xr3:uid="{65281206-4D8D-4F46-87DD-717336A6D9E8}" name="Sugar (barrels)" dataDxfId="971" dataCellStyle="Comma"/>
    <tableColumn id="5" xr3:uid="{DFCF8683-A131-4BA6-99D7-2663E83A0D77}" name="Rum (puncheons)" dataDxfId="970" dataCellStyle="Comma"/>
    <tableColumn id="6" xr3:uid="{E9DCB9C2-F704-41F4-A916-747BF7694DCC}" name="Rum (hogsheads)" dataDxfId="969" dataCellStyle="Comma"/>
    <tableColumn id="7" xr3:uid="{C051B6E9-0B0C-4BC4-BC62-67D2282F2F1A}" name="Rum (casks)" dataDxfId="968" dataCellStyle="Comma"/>
    <tableColumn id="8" xr3:uid="{43240721-396D-4B14-9639-E112964E1373}" name="Rum (barrels)" dataDxfId="967" dataCellStyle="Comma"/>
    <tableColumn id="9" xr3:uid="{CBC7552B-A02D-4DD2-9D1A-18C44C2EDF08}" name="Molasses (casks)" dataDxfId="966" dataCellStyle="Comma"/>
    <tableColumn id="10" xr3:uid="{782F950A-7EDA-4116-86C0-0BC6601F8033}" name="Ginger (casks)" dataDxfId="965" dataCellStyle="Comma"/>
    <tableColumn id="11" xr3:uid="{428C05FF-4F91-4713-873D-5CC2399CF49E}" name="Ginger (bags)" dataDxfId="964" dataCellStyle="Comma"/>
    <tableColumn id="12" xr3:uid="{8C3837F7-4073-45FD-8DBA-119D516FBACF}" name="Pimento (casks)" dataDxfId="963" dataCellStyle="Comma"/>
    <tableColumn id="13" xr3:uid="{EA7AEC63-0C09-4FF3-BDC5-2A8F79995FF1}" name="Pimento (bags)" dataDxfId="962" dataCellStyle="Comma"/>
    <tableColumn id="14" xr3:uid="{A8F26B6F-6052-4235-9CBF-6B8DD2F888E1}" name="Coffee (lb)" dataDxfId="961" dataCellStyle="Comma"/>
  </tableColumns>
  <tableStyleInfo name="TableStyleLight9"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2D1EB1FA-F845-4D03-AB71-840C1F602FBE}" name="Table60" displayName="Table60" ref="A1:Z19" totalsRowShown="0" headerRowDxfId="960" dataDxfId="959" tableBorderDxfId="958" dataCellStyle="Comma">
  <autoFilter ref="A1:Z19" xr:uid="{2D1EB1FA-F845-4D03-AB71-840C1F602FB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autoFilter>
  <tableColumns count="26">
    <tableColumn id="1" xr3:uid="{A9F6F0AD-CC4D-49F4-AD9F-0DDFAAECAD5B}" name="Import: _x000a_1816-17" dataDxfId="957" dataCellStyle="Comma"/>
    <tableColumn id="2" xr3:uid="{A0F8C35D-2E51-46CE-B061-71B07BEF611B}" name="Flour (barrels)" dataDxfId="956" dataCellStyle="Comma"/>
    <tableColumn id="3" xr3:uid="{0C9F616E-044E-4AE3-A29A-80D14DEB24BA}" name="Bread (barrels)" dataDxfId="955" dataCellStyle="Comma"/>
    <tableColumn id="4" xr3:uid="{B16EF3C8-1387-461E-8413-5D516C69EB1C}" name="Bread (bags)" dataDxfId="954" dataCellStyle="Comma"/>
    <tableColumn id="5" xr3:uid="{7A9E72E6-A25B-4097-9350-968060A8E4F0}" name="Bread (kegs)" dataDxfId="953" dataCellStyle="Comma"/>
    <tableColumn id="6" xr3:uid="{76E9B43F-DC1A-4068-AAE8-AA5D63BA139E}" name="Rice (tierces)" dataDxfId="952" dataCellStyle="Comma"/>
    <tableColumn id="7" xr3:uid="{FE87710C-8250-46AB-A703-A3625F62D2F2}" name="Rice (barrels)" dataDxfId="951" dataCellStyle="Comma"/>
    <tableColumn id="8" xr3:uid="{970314CE-C6D6-4071-A7E0-0C10D7D77AA4}" name="Rice (bags)" dataDxfId="950" dataCellStyle="Comma"/>
    <tableColumn id="9" xr3:uid="{ABDEAC91-C640-4A84-899B-74D6BE14B361}" name="Corn and meal (bushels)" dataDxfId="949" dataCellStyle="Comma"/>
    <tableColumn id="10" xr3:uid="{EE38EE15-1EDD-4038-9B2F-8332347A5D8D}" name="Corn and meal (bags)" dataDxfId="948" dataCellStyle="Comma"/>
    <tableColumn id="11" xr3:uid="{A684E0C2-970E-4A17-99D7-34CD09616E22}" name="Corn and meal (barrels)" dataDxfId="947" dataCellStyle="Comma"/>
    <tableColumn id="12" xr3:uid="{5C6B61E8-838C-42EF-B765-37BA4750AF1B}" name="Pease (barrels)" dataDxfId="946" dataCellStyle="Comma"/>
    <tableColumn id="13" xr3:uid="{76839286-D362-474F-AA59-9D43E9CA63D2}" name="Fish, dry (hogsheads)" dataDxfId="945" dataCellStyle="Comma"/>
    <tableColumn id="14" xr3:uid="{5AE9FA4A-AE11-4784-88E6-9EA5D39DEA7C}" name="Fish, dry (casks)" dataDxfId="944" dataCellStyle="Comma"/>
    <tableColumn id="15" xr3:uid="{D1B796D0-D061-4B21-B546-1B1FF4FF9546}" name="Fish, dry (boxes)" dataDxfId="943" dataCellStyle="Comma"/>
    <tableColumn id="16" xr3:uid="{175C0F09-A171-4D33-A643-FB6013D7598F}" name="Fish, dry (quintals)" dataDxfId="942" dataCellStyle="Comma"/>
    <tableColumn id="17" xr3:uid="{15030159-3391-41F3-9528-7D5852E8A162}" name="Fish, pickled (tierces)" dataDxfId="941" dataCellStyle="Comma"/>
    <tableColumn id="18" xr3:uid="{741CDE65-2DE9-435B-9844-24813AF9D82B}" name="Fish, pickled (barrels)" dataDxfId="940" dataCellStyle="Comma"/>
    <tableColumn id="19" xr3:uid="{2352B4A2-5646-441D-B65F-66C633C2591F}" name="Fish, pickled (kegs)" dataDxfId="939" dataCellStyle="Comma"/>
    <tableColumn id="20" xr3:uid="{E829B69A-1770-4CE4-AA0C-C44B5D822198}" name="Staves and heading" dataDxfId="938" dataCellStyle="Comma"/>
    <tableColumn id="21" xr3:uid="{5791AC66-05DA-4A58-A885-DCCB8E787237}" name="Shingles" dataDxfId="937" dataCellStyle="Comma"/>
    <tableColumn id="22" xr3:uid="{38AD05F0-8E93-43BB-9E95-101CA30B990A}" name="Lumber (feet)" dataDxfId="936" dataCellStyle="Comma"/>
    <tableColumn id="23" xr3:uid="{552BA396-20FA-4C1C-80BC-4CF44268B015}" name="Livestock: Horses" dataDxfId="935" dataCellStyle="Comma"/>
    <tableColumn id="24" xr3:uid="{D9ADE6E0-6066-4535-B461-FBC4D91EE0AF}" name="Livestock: Mules" dataDxfId="934" dataCellStyle="Comma"/>
    <tableColumn id="25" xr3:uid="{7EDAEEAB-E6B2-41E5-9BCB-38F6BD4934F0}" name="Livestock: Asses" dataDxfId="933" dataCellStyle="Comma"/>
    <tableColumn id="26" xr3:uid="{9E8B785B-61BB-4A8C-A568-C04BDB003B2C}" name="Livestock: Cattle" dataDxfId="932" dataCellStyle="Comma"/>
  </tableColumns>
  <tableStyleInfo name="TableStyleLight9"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35D05313-AF03-44AF-9052-5D13FF8D84AD}" name="Table56" displayName="Table56" ref="A1:N19" totalsRowShown="0" headerRowDxfId="931" dataDxfId="930" tableBorderDxfId="929" dataCellStyle="Comma">
  <autoFilter ref="A1:N19" xr:uid="{35D05313-AF03-44AF-9052-5D13FF8D84A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23FC52D2-F9BF-4384-94A9-F3E38258E9BE}" name="Export:_x000a_1815-16" dataDxfId="928" dataCellStyle="Comma"/>
    <tableColumn id="2" xr3:uid="{721BB778-2343-4875-A1F1-8518A0ADD41B}" name="Sugar (hogsheads)" dataDxfId="927" dataCellStyle="Comma"/>
    <tableColumn id="3" xr3:uid="{F160364B-9598-4F5C-A297-6B6E51BEAC19}" name="Sugar (tierces)" dataDxfId="926" dataCellStyle="Comma"/>
    <tableColumn id="4" xr3:uid="{09C6FC77-DD6B-4B1B-A8F6-73064C965B56}" name="Sugar (barrels)" dataDxfId="925" dataCellStyle="Comma"/>
    <tableColumn id="5" xr3:uid="{7CAF84B0-9D3F-41E5-9C14-5FBAE73D55AF}" name="Rum (puncheons)" dataDxfId="924" dataCellStyle="Comma"/>
    <tableColumn id="6" xr3:uid="{D49D2682-7F00-4E2C-8D63-11A262F7EF77}" name="Rum (hogsheads)" dataDxfId="923" dataCellStyle="Comma"/>
    <tableColumn id="7" xr3:uid="{31A4C6FC-806E-4E91-9439-2A35B47C1251}" name="Rum (casks)" dataDxfId="922" dataCellStyle="Comma"/>
    <tableColumn id="8" xr3:uid="{6C745E91-0C18-46D0-BB0B-9BE02131CBAA}" name="Rum (barrels)" dataDxfId="921" dataCellStyle="Comma"/>
    <tableColumn id="9" xr3:uid="{971B05C1-EB28-46CB-A15E-A8C742B1FC2B}" name="Molasses (casks)" dataDxfId="920" dataCellStyle="Comma"/>
    <tableColumn id="10" xr3:uid="{BAF5866D-262B-4AD6-B971-FEF43F5A519D}" name="Ginger (casks)" dataDxfId="919" dataCellStyle="Comma"/>
    <tableColumn id="11" xr3:uid="{BD15D55A-BE10-4796-AD9C-87BFD24CE46E}" name="Ginger (bags)" dataDxfId="918" dataCellStyle="Comma"/>
    <tableColumn id="12" xr3:uid="{8A4FD3E5-F130-49AB-8C32-205998FEF304}" name="Pimento (casks)" dataDxfId="917" dataCellStyle="Comma"/>
    <tableColumn id="13" xr3:uid="{B14E4207-6624-48CC-B873-7246C541C133}" name="Pimento (bags)" dataDxfId="916" dataCellStyle="Comma"/>
    <tableColumn id="14" xr3:uid="{688FF4E9-3124-48B0-9875-7EDE8BF90F9F}" name="Coffee (lb)" dataDxfId="915" dataCellStyle="Comma"/>
  </tableColumns>
  <tableStyleInfo name="TableStyleLight9"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A4FD1AFE-2868-4249-A950-19640D6E024A}" name="Table54" displayName="Table54" ref="A1:AB19" totalsRowShown="0" headerRowDxfId="914" dataDxfId="913" tableBorderDxfId="912" dataCellStyle="Comma">
  <autoFilter ref="A1:AB19" xr:uid="{A4FD1AFE-2868-4249-A950-19640D6E024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09A46CEE-F426-4A10-87BB-0395FF082D63}" name="Import: _x000a_1815-16" dataDxfId="911" dataCellStyle="Comma"/>
    <tableColumn id="2" xr3:uid="{B1D1CE58-8EAE-4E23-845E-845928409A1E}" name="Flour (barrels)" dataDxfId="910" dataCellStyle="Comma"/>
    <tableColumn id="3" xr3:uid="{55D808F6-BCFC-4DED-ADA8-6AB3C73B52B8}" name="Bread (barrels)" dataDxfId="909" dataCellStyle="Comma"/>
    <tableColumn id="4" xr3:uid="{C53B5144-08FC-4BE8-8BD4-982CBBADD57E}" name="Bread (bags)" dataDxfId="908" dataCellStyle="Comma"/>
    <tableColumn id="5" xr3:uid="{3676E9EE-1421-4DC1-BEE1-0B3216FD28CF}" name="Bread (kegs)" dataDxfId="907" dataCellStyle="Comma"/>
    <tableColumn id="6" xr3:uid="{F5918225-6F51-413D-8D18-34C0307CF936}" name="Rice (tierces)" dataDxfId="906" dataCellStyle="Comma"/>
    <tableColumn id="7" xr3:uid="{DEBD4EC5-B4DC-4A51-83BA-6C8C7B07367C}" name="Rice (barrels)" dataDxfId="905" dataCellStyle="Comma"/>
    <tableColumn id="8" xr3:uid="{182F17F2-C445-4D62-AFC8-0DAE4B0D960B}" name="Rice (bags)" dataDxfId="904" dataCellStyle="Comma"/>
    <tableColumn id="9" xr3:uid="{63805BAC-CE6B-44EE-A5AE-D02083517E24}" name="Corn and meal (bushels)" dataDxfId="903" dataCellStyle="Comma"/>
    <tableColumn id="10" xr3:uid="{1A315ACE-60DE-41D6-B8A8-C4A58BDE7526}" name="Corn and meal (bags)" dataDxfId="902" dataCellStyle="Comma"/>
    <tableColumn id="11" xr3:uid="{FDD4CF6B-4368-4164-B1EF-436407888BD7}" name="Corn and meal (barrels)" dataDxfId="901" dataCellStyle="Comma"/>
    <tableColumn id="12" xr3:uid="{65F5C306-6E84-4473-B515-07ACB413A5DF}" name="Pease (barrels)" dataDxfId="900" dataCellStyle="Comma"/>
    <tableColumn id="13" xr3:uid="{23786020-714F-4B9A-A722-E2E1022B7BDC}" name="Pease (bags)" dataDxfId="899" dataCellStyle="Comma"/>
    <tableColumn id="14" xr3:uid="{184C85E8-9C5C-4388-8558-F6B08739B3B3}" name="Fish, dry (hogsheads)" dataDxfId="898" dataCellStyle="Comma"/>
    <tableColumn id="15" xr3:uid="{9D76ADA7-E6EA-4913-9BF9-9CB3965FB38A}" name="Fish, dry (casks)" dataDxfId="897" dataCellStyle="Comma"/>
    <tableColumn id="16" xr3:uid="{7232D0FC-4522-44BC-8C0E-8A13275EE8BA}" name="Fish, dry (boxes)" dataDxfId="896" dataCellStyle="Comma"/>
    <tableColumn id="17" xr3:uid="{A3FB8CA4-26D2-4EFB-B90C-3DCBCC129673}" name="Fish, dry (quintals)" dataDxfId="895" dataCellStyle="Comma"/>
    <tableColumn id="18" xr3:uid="{767BA2E5-FBE0-492F-8297-828C7D9DB49B}" name="Fish, pickled (tierces)" dataDxfId="894" dataCellStyle="Comma"/>
    <tableColumn id="19" xr3:uid="{9926CACC-2E1D-4C0C-9D5C-F268AF4BE685}" name="Fish, pickled (barrels)" dataDxfId="893" dataCellStyle="Comma"/>
    <tableColumn id="20" xr3:uid="{56130AE9-4BB3-4B79-B97C-5DC235CD387D}" name="Fish, pickled (kegs)" dataDxfId="892" dataCellStyle="Comma"/>
    <tableColumn id="21" xr3:uid="{C7DB9417-6954-401C-9779-4CF274F79F69}" name="Herrings (barrels)" dataDxfId="891" dataCellStyle="Comma"/>
    <tableColumn id="22" xr3:uid="{D417F905-B8A2-471B-8CCA-B1F6E881B390}" name="Staves and heading" dataDxfId="890" dataCellStyle="Comma"/>
    <tableColumn id="23" xr3:uid="{0782AFBE-B9FA-495A-9513-4CA3046B3F9C}" name="Shingles" dataDxfId="889" dataCellStyle="Comma"/>
    <tableColumn id="24" xr3:uid="{A627EC5B-C9FB-4B47-AE59-9BD7E9FD4D41}" name="Lumber (feet)" dataDxfId="888" dataCellStyle="Comma"/>
    <tableColumn id="25" xr3:uid="{A5EFCEBB-AF2F-4BF4-B5A2-8BE51FE83CA7}" name="Livestock: Horses" dataDxfId="887" dataCellStyle="Comma"/>
    <tableColumn id="26" xr3:uid="{FC8C3B76-9A93-41F7-8C59-73696A111443}" name="Livestock: Mules" dataDxfId="886" dataCellStyle="Comma"/>
    <tableColumn id="27" xr3:uid="{1AE3583C-F301-4A90-A16F-70940405B46C}" name="Livestock: Asses" dataDxfId="885" dataCellStyle="Comma"/>
    <tableColumn id="28" xr3:uid="{C56A45B1-DB0D-4103-B67B-E0945EB1D309}" name="Livestock: Cattle" dataDxfId="884" dataCellStyle="Comma"/>
  </tableColumns>
  <tableStyleInfo name="TableStyleLight9"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C69383BF-83E1-45EE-A94C-816F0F613FA1}" name="Table52" displayName="Table52" ref="A1:O19" totalsRowShown="0" headerRowDxfId="883" dataDxfId="882" tableBorderDxfId="881" dataCellStyle="Comma">
  <autoFilter ref="A1:O19" xr:uid="{C69383BF-83E1-45EE-A94C-816F0F613FA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2D8B71DF-0472-427D-A3C4-B1BFECD0A653}" name="Export:_x000a_1814-15" dataDxfId="880" dataCellStyle="Comma"/>
    <tableColumn id="2" xr3:uid="{EAB374E4-8935-485F-9209-5B575E1DB67E}" name="Sugar (hogsheads)" dataDxfId="879" dataCellStyle="Comma"/>
    <tableColumn id="3" xr3:uid="{2EBA0B4E-66CB-44C5-BEA7-2E1836AD3D1C}" name="Sugar (tierces)" dataDxfId="878" dataCellStyle="Comma"/>
    <tableColumn id="4" xr3:uid="{A9B2B4CE-08BB-40F4-83B5-37400149CF90}" name="Sugar (barrels)" dataDxfId="877" dataCellStyle="Comma"/>
    <tableColumn id="5" xr3:uid="{30309BBE-0AF9-4DD1-A601-98D141FACEEE}" name="Rum (puncheons)" dataDxfId="876" dataCellStyle="Comma"/>
    <tableColumn id="6" xr3:uid="{DD2CD60B-F9EA-4257-846B-03F09C16EEC8}" name="Rum (hogsheads)" dataDxfId="875" dataCellStyle="Comma"/>
    <tableColumn id="7" xr3:uid="{C52027CF-7369-4741-A91F-63C3B824EAC5}" name="Rum (casks)" dataDxfId="874" dataCellStyle="Comma"/>
    <tableColumn id="8" xr3:uid="{1E6BCCD1-A348-4EFD-BEB2-A05DA919918A}" name="Rum (barrels)" dataDxfId="873" dataCellStyle="Comma"/>
    <tableColumn id="9" xr3:uid="{4754BB95-883C-4286-A3BA-569B3B9572F3}" name="Rum (kegs)" dataDxfId="872" dataCellStyle="Comma"/>
    <tableColumn id="10" xr3:uid="{FA900EE6-8A23-47A7-A0B9-79B719E4AAA4}" name="Molasses (casks)" dataDxfId="871" dataCellStyle="Comma"/>
    <tableColumn id="11" xr3:uid="{2FE975CF-0361-488B-B07F-9858A0105902}" name="Ginger (casks)" dataDxfId="870" dataCellStyle="Comma"/>
    <tableColumn id="12" xr3:uid="{C2049B09-AF43-4DBB-8B88-E3ED6C912A52}" name="Ginger (bags)" dataDxfId="869" dataCellStyle="Comma"/>
    <tableColumn id="13" xr3:uid="{D06A8D5A-7FD6-40D6-B636-0E4A8CED5D7A}" name="Pimento (casks)" dataDxfId="868" dataCellStyle="Comma"/>
    <tableColumn id="14" xr3:uid="{954DE890-842A-48C1-903C-1EFDC5550401}" name="Pimento (bags)" dataDxfId="867" dataCellStyle="Comma"/>
    <tableColumn id="15" xr3:uid="{2AA98A82-3873-4689-92AF-CE9D4958952A}" name="Coffee (lb)" dataDxfId="866" dataCellStyle="Comma"/>
  </tableColumns>
  <tableStyleInfo name="TableStyleLight9"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5EC1352C-4B26-4273-8039-E72C76062191}" name="Table50" displayName="Table50" ref="A1:AB19" totalsRowShown="0" headerRowDxfId="865" dataDxfId="864" tableBorderDxfId="863" dataCellStyle="Comma">
  <autoFilter ref="A1:AB19" xr:uid="{5EC1352C-4B26-4273-8039-E72C7606219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0A4EF15A-659A-4537-9003-FE36D56CD9CF}" name="Import: _x000a_1814-15" dataDxfId="862" dataCellStyle="Comma"/>
    <tableColumn id="2" xr3:uid="{96210367-7030-428E-B841-5216E1322E80}" name="Flour (barrels)" dataDxfId="861" dataCellStyle="Comma"/>
    <tableColumn id="3" xr3:uid="{A845D811-3735-435B-A2A8-ADF8893A60EB}" name="Bread (barrels)" dataDxfId="860" dataCellStyle="Comma"/>
    <tableColumn id="4" xr3:uid="{000CA8CB-ADEA-4749-999E-DA7394C4B8FC}" name="Bread (bags)" dataDxfId="859" dataCellStyle="Comma"/>
    <tableColumn id="5" xr3:uid="{E4F8CEC8-950A-4FEC-9765-B5CAB256ACD6}" name="Bread (kegs)" dataDxfId="858" dataCellStyle="Comma"/>
    <tableColumn id="6" xr3:uid="{DBBC530C-3F83-49D6-A037-775E253F8240}" name="Rice (tierces)" dataDxfId="857" dataCellStyle="Comma"/>
    <tableColumn id="7" xr3:uid="{ED9CACCB-ACAD-4E3E-BAC8-C9F3DE4028AC}" name="Rice (barrels)" dataDxfId="856" dataCellStyle="Comma"/>
    <tableColumn id="8" xr3:uid="{AE838385-4707-46A7-A6A5-5E564B081620}" name="Rice (bags)" dataDxfId="855" dataCellStyle="Comma"/>
    <tableColumn id="9" xr3:uid="{5A4E5652-9FC1-448B-A663-D05BC9524AB9}" name="Corn and meal (bushels)" dataDxfId="854" dataCellStyle="Comma"/>
    <tableColumn id="10" xr3:uid="{DB4565CC-2F46-4C50-A08C-F007A55D7215}" name="Corn and meal (bags)" dataDxfId="853" dataCellStyle="Comma"/>
    <tableColumn id="11" xr3:uid="{91643585-5448-41E1-9BDB-D615FC6264D1}" name="Corn and meal (barrels)" dataDxfId="852" dataCellStyle="Comma"/>
    <tableColumn id="12" xr3:uid="{63764DCD-C5A0-4B0B-A5AE-D2807047A316}" name="Pease and beans (barrels)" dataDxfId="851" dataCellStyle="Comma"/>
    <tableColumn id="13" xr3:uid="{8F1CE4C9-9B7E-4FDD-B928-DE579924F4A0}" name="Pease and beans (bags)" dataDxfId="850" dataCellStyle="Comma"/>
    <tableColumn id="14" xr3:uid="{92924CBB-6FA1-46C5-9D2F-C48E61D84428}" name="Fish, dry (hogsheads)" dataDxfId="849" dataCellStyle="Comma"/>
    <tableColumn id="15" xr3:uid="{B92B3E5B-7400-4662-AF5E-7A17B6AB7A6A}" name="Fish, dry (casks)" dataDxfId="848" dataCellStyle="Comma"/>
    <tableColumn id="16" xr3:uid="{ED24FD84-2904-4099-8370-B40CD1320723}" name="Fish, dry (boxes)" dataDxfId="847" dataCellStyle="Comma"/>
    <tableColumn id="17" xr3:uid="{B35427F5-75E2-4866-BFF1-6249050A41BB}" name="Fish, pickled (tierces)" dataDxfId="846" dataCellStyle="Comma"/>
    <tableColumn id="18" xr3:uid="{ECA13FC9-93BE-420A-9B31-0C705DB98889}" name="Fish, pickled (barrels)" dataDxfId="845" dataCellStyle="Comma"/>
    <tableColumn id="19" xr3:uid="{930F66AC-684D-43DC-854F-61F3BF5CFA13}" name="Fish, pickled (kegs)" dataDxfId="844" dataCellStyle="Comma"/>
    <tableColumn id="20" xr3:uid="{4F01B1B4-0A98-4851-ACF1-6E410B2B20A3}" name="Herrings (barrels)" dataDxfId="843" dataCellStyle="Comma"/>
    <tableColumn id="21" xr3:uid="{BC1390D6-D391-46CA-9234-B28F67CBC0BE}" name="Pilchards (barrels)" dataDxfId="842" dataCellStyle="Comma"/>
    <tableColumn id="22" xr3:uid="{5A5F27A6-AA89-4C32-8276-2B1C2021BD17}" name="Staves and heading" dataDxfId="841" dataCellStyle="Comma"/>
    <tableColumn id="23" xr3:uid="{0229E4E5-F503-4F1B-BC7D-6E0B35991030}" name="Shingles" dataDxfId="840" dataCellStyle="Comma"/>
    <tableColumn id="24" xr3:uid="{F8714020-37F0-438C-B3C0-18A175202439}" name="Lumber (feet)" dataDxfId="839" dataCellStyle="Comma"/>
    <tableColumn id="25" xr3:uid="{FFFE2C68-0EFD-462C-8B99-70AEB0BF0590}" name="Livestock: Horses" dataDxfId="838" dataCellStyle="Comma"/>
    <tableColumn id="26" xr3:uid="{8FDBF30A-4743-49C2-94ED-BF97D4F7796C}" name="Livestock: Mules" dataDxfId="837" dataCellStyle="Comma"/>
    <tableColumn id="27" xr3:uid="{4F723278-62A0-479D-9A03-73CE8A3BFA34}" name="Livestock: Asses" dataDxfId="836" dataCellStyle="Comma"/>
    <tableColumn id="28" xr3:uid="{42BC1A6B-D755-4CBD-9704-EBBFCEE6DC0C}" name="Livestock: Cattle" dataDxfId="835" dataCellStyle="Comma"/>
  </tableColumns>
  <tableStyleInfo name="TableStyleLight9"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A3CB726C-011D-41F8-B2CF-2657BCA813F9}" name="Table48" displayName="Table48" ref="A1:N19" totalsRowShown="0" headerRowDxfId="834" dataDxfId="833" tableBorderDxfId="832" dataCellStyle="Comma">
  <autoFilter ref="A1:N19" xr:uid="{A3CB726C-011D-41F8-B2CF-2657BCA813F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34211EC4-1119-4F60-BE2A-D082176A778D}" name="Export:_x000a_1813-14" dataDxfId="831" dataCellStyle="Comma"/>
    <tableColumn id="2" xr3:uid="{CB119D03-6630-4481-9D1F-75E4D4B34753}" name="Sugar (hogsheads)" dataDxfId="830" dataCellStyle="Comma"/>
    <tableColumn id="3" xr3:uid="{D7FC64FF-9F45-4152-BF87-52CC4B38A6D6}" name="Sugar (tierces)" dataDxfId="829" dataCellStyle="Comma"/>
    <tableColumn id="4" xr3:uid="{FB3F26E5-D98D-4DF8-B549-0BF0C525FCD7}" name="Sugar (barrels)" dataDxfId="828" dataCellStyle="Comma"/>
    <tableColumn id="5" xr3:uid="{2D5A5513-6661-4EAE-BC48-F0036186261B}" name="Rum (puncheons)" dataDxfId="827" dataCellStyle="Comma"/>
    <tableColumn id="6" xr3:uid="{4DD1918E-7C43-49BB-9FE7-092BD48BCC53}" name="Rum (hogsheads)" dataDxfId="826" dataCellStyle="Comma"/>
    <tableColumn id="7" xr3:uid="{2675A431-203A-4A7D-84A9-607D38E4A8C8}" name="Rum (casks)" dataDxfId="825" dataCellStyle="Comma"/>
    <tableColumn id="8" xr3:uid="{B5D79F1D-39F7-4DDF-B606-717BBB8DC019}" name="Rum (barrels)" dataDxfId="824" dataCellStyle="Comma"/>
    <tableColumn id="10" xr3:uid="{69DC8427-3E60-40C8-A469-B08A791C0D11}" name="Molasses (casks)" dataDxfId="823" dataCellStyle="Comma"/>
    <tableColumn id="11" xr3:uid="{BE190156-0145-494A-AC2A-21E9842361D5}" name="Ginger (bags)" dataDxfId="822" dataCellStyle="Comma"/>
    <tableColumn id="12" xr3:uid="{7A4847B4-2A42-4780-BBE0-2E2D525C08F3}" name="Ginger (casks)" dataDxfId="821" dataCellStyle="Comma"/>
    <tableColumn id="13" xr3:uid="{2D885248-64F4-4CC7-940F-C96757A18D29}" name="Pimento (bags)" dataDxfId="820" dataCellStyle="Comma"/>
    <tableColumn id="14" xr3:uid="{5C766CCA-C2DF-4AAD-B488-18E8ECADCFA6}" name="Pimento (casks)" dataDxfId="819" dataCellStyle="Comma"/>
    <tableColumn id="15" xr3:uid="{50FF29CA-D1E6-4BC2-BF36-44148EF20CF5}" name="Coffee (lb)" dataDxfId="818" dataCellStyle="Comma"/>
  </tableColumns>
  <tableStyleInfo name="TableStyleLight9"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AC4FFCC7-4397-497D-B396-E557601E74D5}" name="Table46" displayName="Table46" ref="A1:AF19" totalsRowShown="0" headerRowDxfId="817" dataDxfId="816" tableBorderDxfId="815" dataCellStyle="Comma">
  <autoFilter ref="A1:AF19" xr:uid="{AC4FFCC7-4397-497D-B396-E557601E74D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autoFilter>
  <tableColumns count="32">
    <tableColumn id="1" xr3:uid="{849603C2-E638-4B2C-BFAC-43301464F6E9}" name="Import: _x000a_1813-14" dataDxfId="814" dataCellStyle="Comma"/>
    <tableColumn id="2" xr3:uid="{B11C4EA4-546D-4052-86C6-ADB290306C3B}" name="Flour (barrels)" dataDxfId="813" dataCellStyle="Comma"/>
    <tableColumn id="3" xr3:uid="{5333E19F-E61C-4A02-9009-BC87C634143B}" name="Bread (bags)" dataDxfId="812" dataCellStyle="Comma"/>
    <tableColumn id="4" xr3:uid="{5BDB6AF1-4AC1-453F-B584-24792B482A5D}" name="Bread (barrels)" dataDxfId="811" dataCellStyle="Comma"/>
    <tableColumn id="6" xr3:uid="{F9DB433A-861A-4B1D-8E67-52F97E7541C0}" name="Rice (tierces)" dataDxfId="810" dataCellStyle="Comma"/>
    <tableColumn id="7" xr3:uid="{95B98A89-FAB2-4D23-95C7-0EDE5FDFD906}" name="Rice (barrels)" dataDxfId="809" dataCellStyle="Comma"/>
    <tableColumn id="8" xr3:uid="{B38921C3-72AD-4F52-A2B5-2EB8438B3436}" name="Rice (bags)" dataDxfId="808" dataCellStyle="Comma"/>
    <tableColumn id="9" xr3:uid="{A4E5EBD7-9D3A-4F07-A0A1-51673ACDEB10}" name="Corn and meal (bushels)" dataDxfId="807" dataCellStyle="Comma"/>
    <tableColumn id="10" xr3:uid="{48350E71-91FF-47B8-B301-68FA4D3AC769}" name="Corn and meal (bags)" dataDxfId="806" dataCellStyle="Comma"/>
    <tableColumn id="11" xr3:uid="{ABB27AE4-5014-408A-95DB-9EF4B12B0071}" name="Corn meal (barrels)" dataDxfId="805" dataCellStyle="Comma"/>
    <tableColumn id="12" xr3:uid="{688DAD1D-CCD9-4871-A39B-4791C29C2D8A}" name="Corn and meal (barrels)" dataDxfId="804" dataCellStyle="Comma"/>
    <tableColumn id="13" xr3:uid="{F235EE85-81FE-4335-90C1-23FA4BD7A5A2}" name="Pease and beans (barrels)" dataDxfId="803" dataCellStyle="Comma"/>
    <tableColumn id="14" xr3:uid="{EDECBC04-B897-4235-A895-4B9C9C9055BF}" name="Pease and beans (bags)" dataDxfId="802" dataCellStyle="Comma"/>
    <tableColumn id="16" xr3:uid="{180B99F9-4785-4C67-B87A-FCF29CC2D98B}" name="Fish, dry (hogsheads)" dataDxfId="801" dataCellStyle="Comma"/>
    <tableColumn id="17" xr3:uid="{8A9FADDB-C9F6-41D5-B62C-67F356E08459}" name="Fish, dry (casks)" dataDxfId="800" dataCellStyle="Comma"/>
    <tableColumn id="18" xr3:uid="{9CBBA43A-3C99-4C11-9B1C-2F8A744FF18C}" name="Fish, dry (boxes)" dataDxfId="799" dataCellStyle="Comma"/>
    <tableColumn id="19" xr3:uid="{1BF194B2-79AB-4BE5-BE5E-ED29F84EB7F4}" name="Fish, dry (quintals)" dataDxfId="798" dataCellStyle="Comma"/>
    <tableColumn id="20" xr3:uid="{1C8E1124-25EB-43B4-915F-87B12336208F}" name="Fish, pickled (tierces)" dataDxfId="797" dataCellStyle="Comma"/>
    <tableColumn id="21" xr3:uid="{630F88F1-2DED-45A1-9A36-47240439FF4C}" name="Fish, pickled (barrels)" dataDxfId="796" dataCellStyle="Comma"/>
    <tableColumn id="22" xr3:uid="{E1143212-A4B5-4522-AA61-7C2F35E84518}" name="Fish, pickled (kegs)" dataDxfId="795" dataCellStyle="Comma"/>
    <tableColumn id="23" xr3:uid="{164DF31A-CFA1-477F-9447-43D7EC20FFFE}" name="Beef (barrels)" dataDxfId="794" dataCellStyle="Comma"/>
    <tableColumn id="25" xr3:uid="{5D750D78-C6D5-4BC8-9F36-BA0ED5CB18A8}" name="Butter (firkins)" dataDxfId="793" dataCellStyle="Comma"/>
    <tableColumn id="26" xr3:uid="{80BF10AE-DF65-40A4-B829-8B96730D8B40}" name="Lard (firkins)" dataDxfId="792" dataCellStyle="Comma"/>
    <tableColumn id="27" xr3:uid="{3348D6FA-701E-4D10-BB40-E5073E5C61C7}" name="Herrings (barrels)" dataDxfId="791" dataCellStyle="Comma"/>
    <tableColumn id="28" xr3:uid="{54AA2BC9-7CE6-49CC-885B-B2A13E93459D}" name="Pilchards (barrels)" dataDxfId="790" dataCellStyle="Comma"/>
    <tableColumn id="29" xr3:uid="{F520EF95-268A-4BEA-8FFF-6A78E40D157E}" name="Staves and heading" dataDxfId="789" dataCellStyle="Comma"/>
    <tableColumn id="30" xr3:uid="{96E8D242-755D-4BC0-A8C8-E8EFAA012F60}" name="Shingles" dataDxfId="788" dataCellStyle="Comma"/>
    <tableColumn id="31" xr3:uid="{19DA7C58-0A50-41ED-BBA8-4E9BDD3D8D1F}" name="Lumber (feet)" dataDxfId="787" dataCellStyle="Comma"/>
    <tableColumn id="32" xr3:uid="{8EC1D3A5-4031-4CDB-8E3D-0257206ADF78}" name="Livestock: Horses" dataDxfId="786" dataCellStyle="Comma"/>
    <tableColumn id="33" xr3:uid="{27DCC056-3E4A-492A-9A7F-389CAB5AF7C1}" name="Livestock: Mules" dataDxfId="785" dataCellStyle="Comma"/>
    <tableColumn id="34" xr3:uid="{41A5346E-8540-4C9B-8F0F-F154295D5DA7}" name="Livestock: Asses" dataDxfId="784" dataCellStyle="Comma"/>
    <tableColumn id="35" xr3:uid="{9C0ABF61-4B7E-41F5-9CB0-AE6274030A03}" name="Livestock: Cattle" dataDxfId="783" dataCellStyle="Comma"/>
  </tableColumns>
  <tableStyleInfo name="TableStyleLight9"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EC4C68F2-EFDA-4EF8-AFC7-AB18F1FD6D23}" name="Table44" displayName="Table44" ref="A1:N19" totalsRowShown="0" headerRowDxfId="782" dataDxfId="781" tableBorderDxfId="780" dataCellStyle="Comma">
  <autoFilter ref="A1:N19" xr:uid="{EC4C68F2-EFDA-4EF8-AFC7-AB18F1FD6D2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11C02CDC-1B51-45ED-82FA-99F34C63D133}" name="Export:_x000a_1812-13" dataDxfId="779" dataCellStyle="Comma"/>
    <tableColumn id="2" xr3:uid="{B0B58577-ED65-4D52-AE56-5A380017BEB6}" name="Sugar (hogsheads)" dataDxfId="778" dataCellStyle="Comma"/>
    <tableColumn id="3" xr3:uid="{E9F26791-24FE-44C9-BB59-BF47FAAD4EB8}" name="Sugar (tierces)" dataDxfId="777" dataCellStyle="Comma"/>
    <tableColumn id="4" xr3:uid="{DDE2A13E-185E-487E-810B-68A47A54F996}" name="Sugar (barrels)" dataDxfId="776" dataCellStyle="Comma"/>
    <tableColumn id="5" xr3:uid="{A0F71C77-14DD-4CBE-9EB2-D6213E5EFE52}" name="Rum (puncheons)" dataDxfId="775" dataCellStyle="Comma"/>
    <tableColumn id="6" xr3:uid="{BBDE0B4D-4928-4D4F-B1FC-8AE5180DE275}" name="Rum (hogsheads)" dataDxfId="774" dataCellStyle="Comma"/>
    <tableColumn id="7" xr3:uid="{330E536D-FFF8-44A2-8A9F-82F63073B2C9}" name="Rum (casks)" dataDxfId="773" dataCellStyle="Comma"/>
    <tableColumn id="8" xr3:uid="{7376D222-D2CA-4525-AA5A-53BC6CC9FEC2}" name="Rum (kegs)" dataDxfId="772" dataCellStyle="Comma"/>
    <tableColumn id="9" xr3:uid="{ABD009AD-2ADB-4F78-824E-BEF800ED365B}" name="Molasses (casks)" dataDxfId="771" dataCellStyle="Comma"/>
    <tableColumn id="10" xr3:uid="{741AB7F2-A565-483B-888D-67478A0D4049}" name="Ginger (bags)" dataDxfId="770" dataCellStyle="Comma"/>
    <tableColumn id="11" xr3:uid="{EC2DF338-BEEE-4484-AF8B-50FB4A91723A}" name="Ginger (casks)" dataDxfId="769" dataCellStyle="Comma"/>
    <tableColumn id="12" xr3:uid="{AABEAACE-8D84-4960-A7A7-237C6B2E6758}" name="Pimento (bags)" dataDxfId="768" dataCellStyle="Comma"/>
    <tableColumn id="13" xr3:uid="{57EFE1DB-481B-4239-B284-B7CC81EE2728}" name="Pimento (casks)" dataDxfId="767" dataCellStyle="Comma"/>
    <tableColumn id="14" xr3:uid="{EA35DB13-885E-4175-A073-1EACF43F692F}" name="Coffee (lb)" dataDxfId="766" dataCellStyle="Comma"/>
  </tableColumns>
  <tableStyleInfo name="TableStyleLight9"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3E7C04D1-3913-4E79-9947-0A50B942CE31}" name="Table41" displayName="Table41" ref="A1:AH19" totalsRowShown="0" headerRowDxfId="765" dataDxfId="764" tableBorderDxfId="763" dataCellStyle="Comma">
  <autoFilter ref="A1:AH19" xr:uid="{3E7C04D1-3913-4E79-9947-0A50B942CE3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autoFilter>
  <tableColumns count="34">
    <tableColumn id="1" xr3:uid="{D9B36AB7-205F-4746-916F-82C64ADCD94B}" name="Import: _x000a_1812-13" dataDxfId="762" dataCellStyle="Comma"/>
    <tableColumn id="2" xr3:uid="{749ABE17-7B51-426E-92B7-EA7B2E0CB33B}" name="Flour (barrels)" dataDxfId="761" dataCellStyle="Comma"/>
    <tableColumn id="3" xr3:uid="{756C134E-4EC5-4D0E-9EE7-77E18186E379}" name="Corn meal (barrels)" dataDxfId="760" dataCellStyle="Comma"/>
    <tableColumn id="4" xr3:uid="{1B1D8352-AA0C-4BAF-8CF6-0E35DBBB324A}" name="Bread (bags)" dataDxfId="759" dataCellStyle="Comma"/>
    <tableColumn id="5" xr3:uid="{331FA331-FBA0-4327-99CA-81A810CCA2E5}" name="Bread (barrels)" dataDxfId="758" dataCellStyle="Comma"/>
    <tableColumn id="6" xr3:uid="{163198DA-8B0E-4654-92EC-72E214400630}" name="Bread (kegs)" dataDxfId="757" dataCellStyle="Comma"/>
    <tableColumn id="7" xr3:uid="{12EDA99F-454F-451A-8C3F-42A8131D354C}" name="Rice (barrels)" dataDxfId="756" dataCellStyle="Comma"/>
    <tableColumn id="8" xr3:uid="{BC485F13-C60B-4D0F-B405-BDBDCC50C1AF}" name="Rice (bags)" dataDxfId="755" dataCellStyle="Comma"/>
    <tableColumn id="9" xr3:uid="{2EB6D6B8-4ACC-4455-A8A9-6C32A90F7552}" name="Rice (tierces)" dataDxfId="754" dataCellStyle="Comma"/>
    <tableColumn id="10" xr3:uid="{DFC76CA2-F42E-450E-A65C-FA213D4F28E4}" name="Fish, pickled (tierces)" dataDxfId="753" dataCellStyle="Comma"/>
    <tableColumn id="11" xr3:uid="{FC65FEC1-B00F-4C34-B6DE-20627E49D141}" name="Fish, pickled (barrels)" dataDxfId="752" dataCellStyle="Comma"/>
    <tableColumn id="12" xr3:uid="{0E068C95-EB25-4F5D-917C-D021192B7882}" name="Fish, pickled (kegs)" dataDxfId="751" dataCellStyle="Comma"/>
    <tableColumn id="13" xr3:uid="{70F5232E-EAE7-449C-A9EF-5BF037CD75FB}" name="Fish, dry (hogsheads)" dataDxfId="750" dataCellStyle="Comma"/>
    <tableColumn id="14" xr3:uid="{DA1F5977-F434-484B-80AC-C84C767BC9A9}" name="Fish, dry (casks)" dataDxfId="749" dataCellStyle="Comma"/>
    <tableColumn id="15" xr3:uid="{6D340F43-F3DD-47EB-ACFB-E5E62755C5C0}" name="Fish, dry (boxes)" dataDxfId="748" dataCellStyle="Comma"/>
    <tableColumn id="16" xr3:uid="{08AF7A3F-B4CE-4608-B602-6B2A418E6230}" name="Fish, dry (quintals)" dataDxfId="747" dataCellStyle="Comma"/>
    <tableColumn id="17" xr3:uid="{4547AE2F-26AE-46F0-9D22-40C7CFFBAF61}" name="Beef (barrels)" dataDxfId="746" dataCellStyle="Comma"/>
    <tableColumn id="18" xr3:uid="{3C53EB2A-00D7-4FCA-BAC8-18D66785C15F}" name="Pork (barrels)" dataDxfId="745" dataCellStyle="Comma"/>
    <tableColumn id="19" xr3:uid="{64168E2B-EEB2-4168-801D-F426543133E3}" name="Butter (firkins)" dataDxfId="744" dataCellStyle="Comma"/>
    <tableColumn id="20" xr3:uid="{1D51514E-5B2C-46EB-BFF1-95EDEB5E722A}" name="Corn (bags)" dataDxfId="743" dataCellStyle="Comma"/>
    <tableColumn id="21" xr3:uid="{882232D2-E484-4DC9-AF64-5C8252CC3990}" name="Corn and meal (bags)" dataDxfId="742" dataCellStyle="Comma"/>
    <tableColumn id="22" xr3:uid="{76095CF8-5E8B-41F2-8011-3175234CF34B}" name="Corn and meal (bushels)" dataDxfId="741" dataCellStyle="Comma"/>
    <tableColumn id="23" xr3:uid="{6459B2EE-F80F-4BE1-AB41-0AF8FBF49F06}" name="Corn (bushels)" dataDxfId="740" dataCellStyle="Comma"/>
    <tableColumn id="24" xr3:uid="{767352B2-4300-4CC9-835B-6B70EBFF45F6}" name="Pease and beans (barrels)" dataDxfId="739" dataCellStyle="Comma"/>
    <tableColumn id="25" xr3:uid="{4024DBEB-9FB6-4ED6-9DC4-D30EAB81878F}" name="Pease and beans (bags)" dataDxfId="738" dataCellStyle="Comma"/>
    <tableColumn id="26" xr3:uid="{8617A414-F4A2-495D-9705-F2FE715943BA}" name="Lumber (feet)" dataDxfId="737" dataCellStyle="Comma"/>
    <tableColumn id="27" xr3:uid="{D744E971-B3F9-4D45-AD07-AFF95BED7D24}" name="Staves and heading" dataDxfId="736" dataCellStyle="Comma"/>
    <tableColumn id="28" xr3:uid="{CF3FAD92-49A4-490B-8792-8FBC681DBC94}" name="Shingles" dataDxfId="735" dataCellStyle="Comma"/>
    <tableColumn id="29" xr3:uid="{91C395DB-97F0-47CF-8CB0-B80FB8D2EC08}" name="Herrings (barrels)" dataDxfId="734" dataCellStyle="Comma"/>
    <tableColumn id="30" xr3:uid="{72C812E5-7B67-4D3B-A278-A243858E548B}" name="Pilchards (barrels)" dataDxfId="733" dataCellStyle="Comma"/>
    <tableColumn id="31" xr3:uid="{BD86885F-D10E-49DC-9B10-D8754EF90557}" name="Livestock: Horses" dataDxfId="732" dataCellStyle="Comma"/>
    <tableColumn id="32" xr3:uid="{E31AE5F0-CDC6-409C-9088-9297C6D018C1}" name="Livestock: Mules" dataDxfId="731" dataCellStyle="Comma"/>
    <tableColumn id="33" xr3:uid="{152331DD-31B2-43A5-A0A2-191FCDD405B1}" name="Livestock: Asses" dataDxfId="730" dataCellStyle="Comma"/>
    <tableColumn id="34" xr3:uid="{34205AF3-AA06-4A11-85B2-024185FC4CEE}" name="Livestock: Cattle" dataDxfId="729" dataCellStyle="Comma"/>
  </tableColumns>
  <tableStyleInfo name="TableStyleLight9"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AB80B14F-ED80-43A8-8BA5-36340F357FE0}" name="Table37" displayName="Table37" ref="A1:L19" totalsRowShown="0" headerRowDxfId="728" dataDxfId="727" tableBorderDxfId="726" dataCellStyle="Comma">
  <autoFilter ref="A1:L19" xr:uid="{AB80B14F-ED80-43A8-8BA5-36340F357FE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6B5D7216-169D-46BB-B8D9-2E369A693938}" name="Export:_x000a_1811-12" dataDxfId="725" dataCellStyle="Comma"/>
    <tableColumn id="2" xr3:uid="{2F6E59C7-44FA-466E-8567-2DF79CE64BC7}" name="Sugar (hogsheads)" dataDxfId="724" dataCellStyle="Comma"/>
    <tableColumn id="3" xr3:uid="{8D92EC6B-650E-49D3-BA6A-819409000625}" name="Sugar (tierces)" dataDxfId="723" dataCellStyle="Comma"/>
    <tableColumn id="4" xr3:uid="{F46B5D0B-14D4-49E2-8347-C5FD11F65A85}" name="Sugar (barrels)" dataDxfId="722" dataCellStyle="Comma"/>
    <tableColumn id="5" xr3:uid="{2D27E502-BA92-49BB-956F-7A0266A65ADF}" name="Rum (puncheons)" dataDxfId="721" dataCellStyle="Comma"/>
    <tableColumn id="6" xr3:uid="{2A2D4EB4-3B55-482F-9A96-5473FE535228}" name="Rum (hogsheads)" dataDxfId="720" dataCellStyle="Comma"/>
    <tableColumn id="7" xr3:uid="{DBBC3FC3-D937-4936-A809-5151BA4EB48C}" name="Molasses (casks)" dataDxfId="719" dataCellStyle="Comma"/>
    <tableColumn id="8" xr3:uid="{9C058A97-C527-424E-BA18-F31310B4D0A0}" name="Ginger (bags)" dataDxfId="718" dataCellStyle="Comma"/>
    <tableColumn id="9" xr3:uid="{08C5EEA9-E740-4157-B8CA-E5ECC82800B3}" name="Ginger (casks)" dataDxfId="717" dataCellStyle="Comma"/>
    <tableColumn id="10" xr3:uid="{2E7B3A48-6997-4144-B689-C3924434EDB7}" name="Pimento (bags)" dataDxfId="716" dataCellStyle="Comma"/>
    <tableColumn id="11" xr3:uid="{6E6245DF-426D-4557-A798-03E0EBB411CE}" name="Pimento (casks)" dataDxfId="715" dataCellStyle="Comma"/>
    <tableColumn id="12" xr3:uid="{F22DDC9F-4627-4B21-9119-279FFBB314B5}" name="Coffee (lb)" dataDxfId="714" dataCellStyle="Comma"/>
  </tableColumns>
  <tableStyleInfo name="TableStyleLight9"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BBE7C9E2-A72A-4399-A99A-94D3BC231564}" name="Table33" displayName="Table33" ref="A1:AA19" totalsRowShown="0" headerRowDxfId="713" dataDxfId="712" tableBorderDxfId="711" dataCellStyle="Comma">
  <autoFilter ref="A1:AA19" xr:uid="{BBE7C9E2-A72A-4399-A99A-94D3BC23156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autoFilter>
  <tableColumns count="27">
    <tableColumn id="1" xr3:uid="{B8DA350F-B767-47DE-889C-52AD066E1C32}" name="Import: _x000a_1811-12" dataDxfId="710" dataCellStyle="Comma"/>
    <tableColumn id="2" xr3:uid="{A9FF85D9-0DF9-40F4-893F-C444609A985F}" name="Flour (barrels)" dataDxfId="709" dataCellStyle="Comma"/>
    <tableColumn id="3" xr3:uid="{F696C961-BE71-447B-BFCE-30D4ADAC6FA0}" name="Corn meal (barrels)" dataDxfId="708" dataCellStyle="Comma"/>
    <tableColumn id="4" xr3:uid="{7B6F6A84-9D6B-497F-9F1D-611D94C44FA3}" name="Bread (bags)" dataDxfId="707" dataCellStyle="Comma"/>
    <tableColumn id="5" xr3:uid="{7BF00B0D-3FC4-4180-819F-27D84F93A903}" name="Bread (barrels)" dataDxfId="706" dataCellStyle="Comma"/>
    <tableColumn id="6" xr3:uid="{6A4EAE0B-9214-447D-A9CD-CD81C2A91FB5}" name="Bread (kegs)" dataDxfId="705" dataCellStyle="Comma"/>
    <tableColumn id="8" xr3:uid="{F95265A6-1FEE-442F-9A19-6D3C83F8B48D}" name="Rice (tierces)" dataDxfId="704" dataCellStyle="Comma"/>
    <tableColumn id="9" xr3:uid="{0812A8C0-46B9-4003-9340-E8BFC8634287}" name="Fish, dry (hogsheads)" dataDxfId="703" dataCellStyle="Comma"/>
    <tableColumn id="11" xr3:uid="{8B22D22B-793C-401B-B3D1-F9E28873B64F}" name="Fish, pickled (barrels)" dataDxfId="702" dataCellStyle="Comma"/>
    <tableColumn id="12" xr3:uid="{AB02484E-8C50-403E-905F-CC1E8FE56B38}" name="Fish, pickled (kegs)" dataDxfId="701" dataCellStyle="Comma"/>
    <tableColumn id="13" xr3:uid="{C9D35306-35E5-434C-9F2E-DC2FA677B4D8}" name="Fish, dry (boxes)" dataDxfId="700" dataCellStyle="Comma"/>
    <tableColumn id="14" xr3:uid="{4F3BFFFA-D977-4333-B21F-9FC42E1D280F}" name="Fish, dry (quintals)" dataDxfId="699" dataCellStyle="Comma"/>
    <tableColumn id="15" xr3:uid="{A78EE218-D557-45EF-AB24-451A9C352C18}" name="Beef (barrels)" dataDxfId="698" dataCellStyle="Comma"/>
    <tableColumn id="16" xr3:uid="{F50817D9-6312-486F-8DFF-09ADDE7C8381}" name="Pork (barrels)" dataDxfId="697" dataCellStyle="Comma"/>
    <tableColumn id="17" xr3:uid="{6598C51C-8F8A-4262-BEF6-CB1D0BCD98A1}" name="Butter (firkins)" dataDxfId="696" dataCellStyle="Comma"/>
    <tableColumn id="20" xr3:uid="{13E26B9F-2EAA-4958-9621-296A448D5315}" name="Corn, pease, and beans (casks)" dataDxfId="695" dataCellStyle="Comma"/>
    <tableColumn id="21" xr3:uid="{A3F44509-3B31-4192-BA73-CD54FA1DC845}" name="Corn, pease, and beans (bags)" dataDxfId="694" dataCellStyle="Comma"/>
    <tableColumn id="22" xr3:uid="{AE347386-4185-4F65-A185-9E090A4CD12A}" name="Corn, pease, and beans (bushels)" dataDxfId="693" dataCellStyle="Comma"/>
    <tableColumn id="23" xr3:uid="{8341E4E1-6D0B-4490-807E-A90F17460112}" name="Lumber (feet)" dataDxfId="692" dataCellStyle="Comma"/>
    <tableColumn id="24" xr3:uid="{6C74BD88-1742-4F36-B916-B18BFC159118}" name="Staves and heading" dataDxfId="691" dataCellStyle="Comma"/>
    <tableColumn id="25" xr3:uid="{E2964220-9108-45E2-A1D8-92A0B94A6A0E}" name="Shingles" dataDxfId="690" dataCellStyle="Comma"/>
    <tableColumn id="26" xr3:uid="{5CA59598-3B4D-4E70-AF4A-03860C4AB64A}" name="Herrings (barrels)" dataDxfId="689" dataCellStyle="Comma"/>
    <tableColumn id="27" xr3:uid="{FD78076C-A9C8-4B0A-BF73-C130B9D497DE}" name="Pilchards (barrels)" dataDxfId="688" dataCellStyle="Comma"/>
    <tableColumn id="28" xr3:uid="{482912DC-E115-4946-AA37-F175D92B15F3}" name="Livestock: Horses" dataDxfId="687" dataCellStyle="Comma"/>
    <tableColumn id="29" xr3:uid="{B1DDD0F1-BDCB-4177-B100-49C74E2278E1}" name="Livestock: Mules" dataDxfId="686" dataCellStyle="Comma"/>
    <tableColumn id="30" xr3:uid="{F56BB14E-8224-4D1D-9ECD-EA71FBF9E565}" name="Livestock: Asses" dataDxfId="685" dataCellStyle="Comma"/>
    <tableColumn id="31" xr3:uid="{578DE9FC-0DFB-4DEE-9C03-2CAFF0F1F9FC}" name="Livestock: Cattle" dataDxfId="684" dataCellStyle="Comma"/>
  </tableColumns>
  <tableStyleInfo name="TableStyleLight9"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C473EB31-9E73-45B2-87F0-C5B569036EC0}" name="Table27" displayName="Table27" ref="A1:L19" totalsRowShown="0" headerRowDxfId="683" dataDxfId="682" tableBorderDxfId="681" dataCellStyle="Comma">
  <autoFilter ref="A1:L19" xr:uid="{C473EB31-9E73-45B2-87F0-C5B569036EC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A6099C24-594B-499B-B967-996AB74D1603}" name="Export:_x000a_1810-11" dataDxfId="680" dataCellStyle="Comma"/>
    <tableColumn id="2" xr3:uid="{008CA32C-09B3-476D-BCFB-C88729AA102D}" name="Sugar (hogsheads)" dataDxfId="679" dataCellStyle="Comma"/>
    <tableColumn id="3" xr3:uid="{2BD91E64-BD69-478D-8F32-9B04BE440BBC}" name="Sugar (tierces)" dataDxfId="678" dataCellStyle="Comma"/>
    <tableColumn id="4" xr3:uid="{8C9A6374-4D74-41B1-BCED-A58032DA0BB6}" name="Sugar (barrels)" dataDxfId="677" dataCellStyle="Comma"/>
    <tableColumn id="5" xr3:uid="{DFACCBB6-D03C-43A6-8EB8-F451E3102253}" name="Rum (puncheons)" dataDxfId="676" dataCellStyle="Comma"/>
    <tableColumn id="6" xr3:uid="{6E5DEEBE-94BE-4600-B633-F11D8184F956}" name="Rum (hogsheads)" dataDxfId="675" dataCellStyle="Comma"/>
    <tableColumn id="7" xr3:uid="{F2EE9D0D-0A79-41BE-BBC6-D3AD57985FFC}" name="Molasses (casks)" dataDxfId="674" dataCellStyle="Comma"/>
    <tableColumn id="8" xr3:uid="{447CEB5B-AC34-48DE-91F5-982FCE6CCDD2}" name="Ginger (bags)" dataDxfId="673" dataCellStyle="Comma"/>
    <tableColumn id="9" xr3:uid="{86B166F2-322B-4BDC-9CC5-92C9C39F6DB6}" name="Ginger (casks)" dataDxfId="672" dataCellStyle="Comma"/>
    <tableColumn id="10" xr3:uid="{7D9F76CF-E756-4C64-AD46-6A9B716AAB1A}" name="Pimento (bags)" dataDxfId="671" dataCellStyle="Comma"/>
    <tableColumn id="11" xr3:uid="{8D51EF86-350A-4E40-A47D-9B3AA1C78F39}" name="Pimento (casks)" dataDxfId="670" dataCellStyle="Comma"/>
    <tableColumn id="12" xr3:uid="{9FD11309-3725-4E14-982F-D0DD47E4E760}" name="Coffee (lb)" dataDxfId="669" dataCellStyle="Comma"/>
  </tableColumns>
  <tableStyleInfo name="TableStyleLight9"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474010FF-6ABD-40C8-8141-134C2EACEBBC}" name="Table23" displayName="Table23" ref="A1:AD19" totalsRowShown="0" headerRowDxfId="668" dataDxfId="667" tableBorderDxfId="666" dataCellStyle="Comma">
  <autoFilter ref="A1:AD19" xr:uid="{474010FF-6ABD-40C8-8141-134C2EACEBB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E424DCA8-C83B-4062-8196-E48F9C9FC5CD}" name="Import: _x000a_1810-11" dataDxfId="665" dataCellStyle="Comma"/>
    <tableColumn id="4" xr3:uid="{5673C8AC-8C82-4538-B76A-FAA823E87A87}" name="Corn meal and flour (barrels)" dataDxfId="664" dataCellStyle="Comma"/>
    <tableColumn id="5" xr3:uid="{8D69F40B-1A3E-42D7-85BC-EA5AB1E6BC09}" name="Bread (bags)" dataDxfId="663" dataCellStyle="Comma"/>
    <tableColumn id="6" xr3:uid="{5F33D580-BFFA-4A88-ADC2-6A076202C79C}" name="Bread (barrels)" dataDxfId="662" dataCellStyle="Comma"/>
    <tableColumn id="7" xr3:uid="{E864EF64-94C7-4D35-9444-71C75CF4C600}" name="Bread (kegs)" dataDxfId="661" dataCellStyle="Comma"/>
    <tableColumn id="8" xr3:uid="{BCDDA4DD-A344-4D4D-9A3C-5FF941B39F1D}" name="Rice (bags)" dataDxfId="660" dataCellStyle="Comma"/>
    <tableColumn id="9" xr3:uid="{AE7BADB6-6EF3-42D7-B421-9A83E5104C5E}" name="Rice (tierces)" dataDxfId="659" dataCellStyle="Comma"/>
    <tableColumn id="10" xr3:uid="{EF48591B-8C9F-4883-8B84-A8185EC2E4DB}" name="Fish, dry (hogsheads)" dataDxfId="658" dataCellStyle="Comma"/>
    <tableColumn id="11" xr3:uid="{8654D343-396B-4272-B8F9-E0D0EA11B6B0}" name="Fish, dry (casks)" dataDxfId="657" dataCellStyle="Comma"/>
    <tableColumn id="12" xr3:uid="{FAB1503C-E062-48D4-AD6B-13635C934ADE}" name="Fish, pickled (barrels)" dataDxfId="656" dataCellStyle="Comma"/>
    <tableColumn id="13" xr3:uid="{186F0FE3-A829-46E9-92E8-842AF8629447}" name="Fish, pickled (kegs)" dataDxfId="655" dataCellStyle="Comma"/>
    <tableColumn id="14" xr3:uid="{11B1ED7C-34DF-41A9-9A0E-3D096AEC3A40}" name="Fish, dry (boxes)" dataDxfId="654" dataCellStyle="Comma"/>
    <tableColumn id="15" xr3:uid="{237294D9-74F9-4C8E-8FD6-3645F9698748}" name="Fish, dry (quintals)" dataDxfId="653" dataCellStyle="Comma"/>
    <tableColumn id="16" xr3:uid="{6B826780-B74D-40E6-9E97-E9C543F44929}" name="Beef (barrels)" dataDxfId="652" dataCellStyle="Comma"/>
    <tableColumn id="17" xr3:uid="{2E25C3BA-DCBB-4121-989B-59DF16E9A9C6}" name="Pork (barrels)" dataDxfId="651" dataCellStyle="Comma"/>
    <tableColumn id="18" xr3:uid="{3404B109-4535-4852-A4AD-F3E47F98B418}" name="Butter (firkins)" dataDxfId="650" dataCellStyle="Comma"/>
    <tableColumn id="19" xr3:uid="{D0FE8AF8-F3EE-41B8-87AF-DFE66CBBAE70}" name="Corn (casks)" dataDxfId="649" dataCellStyle="Comma"/>
    <tableColumn id="20" xr3:uid="{37E31345-E771-4BF6-BEE0-8BACA37BD372}" name="Corn (bushels)" dataDxfId="648" dataCellStyle="Comma"/>
    <tableColumn id="21" xr3:uid="{BAF2DDDC-0160-458A-92E9-1649864C101C}" name="Corn, pease, and beans (casks)" dataDxfId="647" dataCellStyle="Comma"/>
    <tableColumn id="22" xr3:uid="{31CDE5F1-ACA5-468B-90E7-8EC3F631A994}" name="Corn, pease, and beans (bags)" dataDxfId="646" dataCellStyle="Comma"/>
    <tableColumn id="23" xr3:uid="{AD9DC36C-0421-488E-BF41-C529EAA2FD8B}" name="Corn, pease, and beans (bushels)" dataDxfId="645" dataCellStyle="Comma"/>
    <tableColumn id="24" xr3:uid="{D38E8D33-9C42-4184-8C1E-3A899E98A3F3}" name="Lumber (feet)" dataDxfId="644" dataCellStyle="Comma"/>
    <tableColumn id="25" xr3:uid="{5DAE9B4C-27B8-4814-AAA7-304F0E86D3A6}" name="Staves and heading" dataDxfId="643" dataCellStyle="Comma"/>
    <tableColumn id="26" xr3:uid="{5E9B83AA-5BC6-47C3-87ED-F6F78B627897}" name="Shingles" dataDxfId="642" dataCellStyle="Comma"/>
    <tableColumn id="27" xr3:uid="{51064881-BCDB-47EB-A486-9516922B5134}" name="Herrings (barrels)" dataDxfId="641" dataCellStyle="Comma"/>
    <tableColumn id="28" xr3:uid="{0512174C-A7DB-4894-878F-7C5B16039B62}" name="Pilchards (barrels)" dataDxfId="640" dataCellStyle="Comma"/>
    <tableColumn id="29" xr3:uid="{6C0BFE2B-9D5D-472B-B4AC-FDE9BFE5A62E}" name="Livestock: Horses" dataDxfId="639" dataCellStyle="Comma"/>
    <tableColumn id="30" xr3:uid="{3C31A66D-98D5-4DD5-A592-AA0DC2B3306B}" name="Livestock: Mules" dataDxfId="638" dataCellStyle="Comma"/>
    <tableColumn id="31" xr3:uid="{88A84C1A-70DC-4097-B682-08701A4620DC}" name="Livestock: Asses" dataDxfId="637" dataCellStyle="Comma"/>
    <tableColumn id="32" xr3:uid="{E275E4E7-58D1-4277-A6EE-93B051A90EEF}" name="Livestock: Cattle" dataDxfId="636" dataCellStyle="Comma"/>
  </tableColumns>
  <tableStyleInfo name="TableStyleLight9"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F4FB953B-3160-4712-865B-AA8F032FE14B}" name="Table20" displayName="Table20" ref="A1:N19" totalsRowShown="0" headerRowDxfId="635" dataDxfId="634" tableBorderDxfId="633" dataCellStyle="Comma">
  <autoFilter ref="A1:N19" xr:uid="{F4FB953B-3160-4712-865B-AA8F032FE14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F9C08CB9-7D6A-4387-8F4E-A28C2EE3601F}" name="Export:_x000a_1809-10" dataDxfId="632" dataCellStyle="Comma"/>
    <tableColumn id="2" xr3:uid="{7C06A637-372A-4A86-87A7-319666288B73}" name="Sugar (hogsheads)" dataDxfId="631" dataCellStyle="Comma"/>
    <tableColumn id="3" xr3:uid="{DC14E366-0427-487F-B34F-116DDF04DB4E}" name="Sugar (tierces)" dataDxfId="630" dataCellStyle="Comma"/>
    <tableColumn id="4" xr3:uid="{C630F614-6A88-42E9-B2EF-252207D91A4F}" name="Sugar (barrels)" dataDxfId="629" dataCellStyle="Comma"/>
    <tableColumn id="5" xr3:uid="{9A02F7B9-2395-43E3-91B7-AA7B40E0A33C}" name="Rum (puncheons)" dataDxfId="628" dataCellStyle="Comma"/>
    <tableColumn id="6" xr3:uid="{EE1497E3-2AC9-4C91-987A-5B8B292C9815}" name="Rum (hogsheads)" dataDxfId="627" dataCellStyle="Comma"/>
    <tableColumn id="7" xr3:uid="{D4D82241-FDE9-4FF1-B1C3-E70E52BD3AF7}" name="Rum (barrels)" dataDxfId="626" dataCellStyle="Comma"/>
    <tableColumn id="8" xr3:uid="{B66B0F90-BE3D-40D2-9B4B-4EE1A4E4A793}" name="Rum (kegs)" dataDxfId="625" dataCellStyle="Comma"/>
    <tableColumn id="9" xr3:uid="{0E470F57-2C17-4CF7-A70F-7104DE1FF07D}" name="Molasses (casks)" dataDxfId="624" dataCellStyle="Comma"/>
    <tableColumn id="10" xr3:uid="{21F64C64-821E-4E5A-8F67-4E2B3AEDAF6A}" name="Ginger (bags)" dataDxfId="623" dataCellStyle="Comma"/>
    <tableColumn id="11" xr3:uid="{A3FE86C8-A8D4-4146-B395-09128DF5E317}" name="Ginger (casks)" dataDxfId="622" dataCellStyle="Comma"/>
    <tableColumn id="12" xr3:uid="{B58A9958-F7F7-4552-8A70-ED860375DEE1}" name="Pimento (bags)" dataDxfId="621" dataCellStyle="Comma"/>
    <tableColumn id="13" xr3:uid="{309547ED-B1C5-4F09-A16D-2CB9D9555867}" name="Pimento (casks)" dataDxfId="620" dataCellStyle="Comma"/>
    <tableColumn id="14" xr3:uid="{51FDDFF0-34B0-48A1-815A-FB5D342B8C69}" name="Coffee (lb)" dataDxfId="619" dataCellStyle="Comma"/>
  </tableColumns>
  <tableStyleInfo name="TableStyleLight9"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F93E2264-F756-4F53-AF87-6C7AACEF7E14}" name="Table17" displayName="Table17" ref="A1:AF19" totalsRowShown="0" headerRowDxfId="618" dataDxfId="617" tableBorderDxfId="616" dataCellStyle="Comma">
  <autoFilter ref="A1:AF19" xr:uid="{F93E2264-F756-4F53-AF87-6C7AACEF7E1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autoFilter>
  <tableColumns count="32">
    <tableColumn id="1" xr3:uid="{7646F952-9985-44FF-86C8-1E070C375128}" name="Import: _x000a_1809-10" dataDxfId="615" dataCellStyle="Comma"/>
    <tableColumn id="2" xr3:uid="{64462BDC-FB37-479D-A563-AA7AEBFE5490}" name="Flour (barrels)" dataDxfId="614" dataCellStyle="Comma"/>
    <tableColumn id="3" xr3:uid="{A88C9C8F-F572-4774-8D81-D10426D4A031}" name="Corn meal and flour (hogsheads)" dataDxfId="613" dataCellStyle="Comma"/>
    <tableColumn id="4" xr3:uid="{D97717A4-05A4-4B18-8CCF-ED9ECEAD90BF}" name="Corn meal and flour (barrels)" dataDxfId="612" dataCellStyle="Comma"/>
    <tableColumn id="5" xr3:uid="{2F7FD94D-8A58-4940-9152-75E937838882}" name="Bread (bags)" dataDxfId="611" dataCellStyle="Comma"/>
    <tableColumn id="6" xr3:uid="{68CBB37D-4E2B-490C-AE6C-888CA1C77127}" name="Bread (barrels)" dataDxfId="610" dataCellStyle="Comma"/>
    <tableColumn id="7" xr3:uid="{F2EC976A-01F3-43FF-9304-A46FE848EFB3}" name="Bread (kegs)" dataDxfId="609" dataCellStyle="Comma"/>
    <tableColumn id="8" xr3:uid="{887B87E3-4536-4E94-8785-7D508A246A14}" name="Rice (bags)" dataDxfId="608" dataCellStyle="Comma"/>
    <tableColumn id="9" xr3:uid="{DDD280E0-D479-4DAA-AFA4-36FE4839B1FF}" name="Rice (tierces)" dataDxfId="607" dataCellStyle="Comma"/>
    <tableColumn id="10" xr3:uid="{8F09176D-2D81-4BE6-85B0-FD5405F8CE3B}" name="Fish, dry (hogsheads)" dataDxfId="606" dataCellStyle="Comma"/>
    <tableColumn id="11" xr3:uid="{80C39EE1-D3F5-49C0-8F8C-63EB80A18EE1}" name="Fish, dry (casks)" dataDxfId="605" dataCellStyle="Comma"/>
    <tableColumn id="12" xr3:uid="{6F40C1D1-2992-4F17-833F-BBC554CD8278}" name="Fish, pickled (barrels)" dataDxfId="604" dataCellStyle="Comma"/>
    <tableColumn id="13" xr3:uid="{E04DF846-78EA-49B1-8476-A7B2AC5B681C}" name="Fish, pickled (kegs)" dataDxfId="603" dataCellStyle="Comma"/>
    <tableColumn id="14" xr3:uid="{22F88D6E-252A-4638-82E2-41B49B6D6D2A}" name="Fish, dry (boxes)" dataDxfId="602" dataCellStyle="Comma"/>
    <tableColumn id="15" xr3:uid="{8A62B5E4-315E-4418-9E50-4970C92A077F}" name="Fish, dry (quintals)" dataDxfId="601" dataCellStyle="Comma"/>
    <tableColumn id="16" xr3:uid="{6AD64F92-0464-478D-964E-B9DBF1076719}" name="Beef (barrels)" dataDxfId="600" dataCellStyle="Comma"/>
    <tableColumn id="17" xr3:uid="{5F52ED61-2251-43C4-AE39-CD2201E357B6}" name="Pork (barrels)" dataDxfId="599" dataCellStyle="Comma"/>
    <tableColumn id="18" xr3:uid="{567C8213-5198-40F0-A000-0DEED22439AE}" name="Butter (firkins)" dataDxfId="598" dataCellStyle="Comma"/>
    <tableColumn id="19" xr3:uid="{701D26A0-B594-4A07-95AE-11C66E75EF4D}" name="Corn (casks)" dataDxfId="597" dataCellStyle="Comma"/>
    <tableColumn id="20" xr3:uid="{8A3C0D05-4877-4248-97BF-363946CFB1F8}" name="Corn (bushels)" dataDxfId="596" dataCellStyle="Comma"/>
    <tableColumn id="21" xr3:uid="{E4BC4EC2-2510-4E6D-98BA-B873051AA173}" name="Corn, pease, and beans (casks)" dataDxfId="595" dataCellStyle="Comma"/>
    <tableColumn id="22" xr3:uid="{02D37618-35D8-47B1-A32B-9CD6BA4DEDD8}" name="Corn, pease, and beans (bags)" dataDxfId="594" dataCellStyle="Comma"/>
    <tableColumn id="23" xr3:uid="{D0F2A9E1-AEBB-4B23-803E-A91D8780B037}" name="Corn, pease, and beans (bushels)" dataDxfId="593" dataCellStyle="Comma"/>
    <tableColumn id="24" xr3:uid="{8520198B-7CD6-4EEC-ACC4-DC3D813BB2EA}" name="Lumber (feet)" dataDxfId="592" dataCellStyle="Comma"/>
    <tableColumn id="25" xr3:uid="{2ACE0540-32D3-4F29-8525-0F4517DC88C7}" name="Staves and heading" dataDxfId="591" dataCellStyle="Comma"/>
    <tableColumn id="26" xr3:uid="{2DEB50DE-D3D5-43C0-AB53-9B2E8505FEC9}" name="Shingles" dataDxfId="590" dataCellStyle="Comma"/>
    <tableColumn id="27" xr3:uid="{F85EF6F3-4719-4F21-910C-E9297C1FB63F}" name="Herrings (barrels)" dataDxfId="589" dataCellStyle="Comma"/>
    <tableColumn id="28" xr3:uid="{3AF6E0E0-D3AF-40B7-87E0-D4AB3656492F}" name="Pilchards (barrels)" dataDxfId="588" dataCellStyle="Comma"/>
    <tableColumn id="29" xr3:uid="{1D16D0E4-D441-4E0C-A068-E9CEDD88C742}" name="Livestock: Horses" dataDxfId="587" dataCellStyle="Comma"/>
    <tableColumn id="30" xr3:uid="{C54FD7D6-0A6A-43EA-B824-186427C85A11}" name="Livestock: Mules" dataDxfId="586" dataCellStyle="Comma"/>
    <tableColumn id="31" xr3:uid="{09960236-6AB9-47B7-9F36-CF539D1D5280}" name="Livestock: Asses" dataDxfId="585" dataCellStyle="Comma"/>
    <tableColumn id="32" xr3:uid="{9559FCBF-9A44-4300-980B-21C70B5BDF8A}" name="Livestock: Cattle" dataDxfId="584" dataCellStyle="Comma"/>
  </tableColumns>
  <tableStyleInfo name="TableStyleLight9"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65B9035-9AEC-4389-8721-7BBD3DCA5D4A}" name="Table14" displayName="Table14" ref="A1:N19" totalsRowShown="0" headerRowDxfId="583" dataDxfId="582" tableBorderDxfId="581" dataCellStyle="Comma">
  <autoFilter ref="A1:N19" xr:uid="{065B9035-9AEC-4389-8721-7BBD3DCA5D4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2C1CE3BE-3837-4091-B4EC-F4B31EF1FDFF}" name="Export: _x000a_1808-9" dataDxfId="580" dataCellStyle="Comma"/>
    <tableColumn id="2" xr3:uid="{2B7EF497-F195-4A22-8436-FBD55DBF6288}" name="Sugar (hogsheads)" dataDxfId="579" dataCellStyle="Comma"/>
    <tableColumn id="3" xr3:uid="{924D91CA-6039-478C-AC71-7B565529F8B2}" name="Sugar (tierces)" dataDxfId="578" dataCellStyle="Comma"/>
    <tableColumn id="4" xr3:uid="{6A3D9365-7C99-45A9-9313-E38180D0CE9B}" name="Sugar (barrels)" dataDxfId="577" dataCellStyle="Comma"/>
    <tableColumn id="5" xr3:uid="{DCD2D91D-8DA1-44DD-B21C-6C4DF544327A}" name="Rum (puncheons)" dataDxfId="576" dataCellStyle="Comma"/>
    <tableColumn id="6" xr3:uid="{26FE7B5E-4B5A-449B-9C7D-28E0DEDA1D97}" name="Rum (hogsheads)" dataDxfId="575" dataCellStyle="Comma"/>
    <tableColumn id="7" xr3:uid="{7254B07C-52B3-47A4-97C2-649D4FBD2EB4}" name="Rum (barrels)" dataDxfId="574" dataCellStyle="Comma"/>
    <tableColumn id="8" xr3:uid="{30BE5437-8E42-4D84-B073-9DB29F7DA4F4}" name="Rum (kegs)" dataDxfId="573" dataCellStyle="Comma"/>
    <tableColumn id="9" xr3:uid="{E206A33F-CEFE-4E57-BCD7-A4C34D4067C4}" name="Molasses (casks)" dataDxfId="572" dataCellStyle="Comma"/>
    <tableColumn id="10" xr3:uid="{6DEB236E-9EA7-414D-B9FD-FCF3371C0323}" name="Ginger (bags)" dataDxfId="571" dataCellStyle="Comma"/>
    <tableColumn id="11" xr3:uid="{E681F6FA-3AE1-4506-BBD4-90AC947CFC94}" name="Ginger (casks)" dataDxfId="570" dataCellStyle="Comma"/>
    <tableColumn id="12" xr3:uid="{545DB494-66F8-444E-8667-3DD3FE56457C}" name="Pimento (bags)" dataDxfId="569" dataCellStyle="Comma"/>
    <tableColumn id="13" xr3:uid="{0BFD1219-B944-4A7F-A88F-B6A0FE7DE370}" name="Pimento (casks)" dataDxfId="568" dataCellStyle="Comma"/>
    <tableColumn id="14" xr3:uid="{4E6F8A2A-0E4E-41A8-9FB0-9FAE8616E6F7}" name="Coffee (lb)" dataDxfId="567" dataCellStyle="Comma"/>
  </tableColumns>
  <tableStyleInfo name="TableStyleLight9"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4FAAD017-02CB-4413-98E6-5DD42179FB73}" name="Table12" displayName="Table12" ref="A1:AE19" totalsRowShown="0" headerRowDxfId="566" dataDxfId="565" tableBorderDxfId="564" dataCellStyle="Comma">
  <autoFilter ref="A1:AE19" xr:uid="{4FAAD017-02CB-4413-98E6-5DD42179FB7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autoFilter>
  <tableColumns count="31">
    <tableColumn id="1" xr3:uid="{D83FD1CD-514F-436D-B806-642047CF6B87}" name="Import: _x000a_1808-9" dataDxfId="563" dataCellStyle="Comma"/>
    <tableColumn id="2" xr3:uid="{144B7598-B69D-4A8B-B435-67C174758BB6}" name="Flour (barrels)" dataDxfId="562" dataCellStyle="Comma"/>
    <tableColumn id="3" xr3:uid="{2BC31796-8276-467B-9DC8-419E39A6B0A9}" name="Corn meal and flour (hogsheads)" dataDxfId="561" dataCellStyle="Comma"/>
    <tableColumn id="4" xr3:uid="{6DEDE83B-7E2A-4F51-B7F3-E85D87ADB166}" name="Corn meal and flour (barrels)" dataDxfId="560" dataCellStyle="Comma"/>
    <tableColumn id="5" xr3:uid="{4FD200EE-7607-4242-91E8-04EFF7E2F3E1}" name="Bread (bags)" dataDxfId="559" dataCellStyle="Comma"/>
    <tableColumn id="6" xr3:uid="{62E34329-436F-43FD-B69D-5E1E7F9E1996}" name="Bread (barrels)" dataDxfId="558" dataCellStyle="Comma"/>
    <tableColumn id="7" xr3:uid="{77597B13-13F0-4F23-96A5-37871B345F04}" name="Bread (kegs)" dataDxfId="557" dataCellStyle="Comma"/>
    <tableColumn id="8" xr3:uid="{470C9EDD-FD3E-4FC2-A606-EBCBFF5AFDFF}" name="Rice (bags)" dataDxfId="556" dataCellStyle="Comma"/>
    <tableColumn id="9" xr3:uid="{C52284FA-70D0-4BEB-AF5C-B4DCE95485A1}" name="Rice (tierces)" dataDxfId="555" dataCellStyle="Comma"/>
    <tableColumn id="10" xr3:uid="{7C6C44B3-9761-4EF4-BD2A-0E5D9ECFD28A}" name="Fish, dry (hogsheads)" dataDxfId="554" dataCellStyle="Comma"/>
    <tableColumn id="11" xr3:uid="{08208E87-988F-4BA4-A181-F77EC6D3B1F7}" name="Fish, dry (casks)" dataDxfId="553" dataCellStyle="Comma"/>
    <tableColumn id="12" xr3:uid="{C847C87A-B185-489D-951E-E8B5315A7B10}" name="Fish, pickled (barrels)" dataDxfId="552" dataCellStyle="Comma"/>
    <tableColumn id="13" xr3:uid="{23012C6B-FD65-499A-8F86-CD0E6964D9DD}" name="Fish, pickled (kegs)" dataDxfId="551" dataCellStyle="Comma"/>
    <tableColumn id="14" xr3:uid="{98424951-F61C-40B3-876C-93C530305134}" name="Fish, dry (boxes)" dataDxfId="550" dataCellStyle="Comma"/>
    <tableColumn id="15" xr3:uid="{18C1AB69-F3E7-42D8-8442-D43E1BEC10A9}" name="Fish, dry (quintals)" dataDxfId="549" dataCellStyle="Comma"/>
    <tableColumn id="16" xr3:uid="{70E0C0FE-3786-4B01-B0E8-9E06C387F093}" name="Beef (barrels)" dataDxfId="548" dataCellStyle="Comma"/>
    <tableColumn id="17" xr3:uid="{A875FC49-7118-4E3A-9E67-3E8E5B4C032A}" name="Pork (barrels)" dataDxfId="547" dataCellStyle="Comma"/>
    <tableColumn id="18" xr3:uid="{B716D4A6-4522-4678-813D-192FE0E75C1C}" name="Butter (firkins)" dataDxfId="546" dataCellStyle="Comma"/>
    <tableColumn id="19" xr3:uid="{0DF6D5DF-73D0-4626-AC79-EAF5D576CDE4}" name="Corn (casks)" dataDxfId="545" dataCellStyle="Comma"/>
    <tableColumn id="20" xr3:uid="{7BC44B0A-97A0-482A-89A1-53D6F2B57B20}" name="Corn (bushels)" dataDxfId="544" dataCellStyle="Comma"/>
    <tableColumn id="21" xr3:uid="{456816C6-5855-45DE-82B8-A02274822DD4}" name="Corn, pease, and beans (casks)" dataDxfId="543" dataCellStyle="Comma"/>
    <tableColumn id="22" xr3:uid="{53EFDBEA-CC78-49DA-B079-5411FE534828}" name="Corn, pease, and beans (bushels)" dataDxfId="542" dataCellStyle="Comma"/>
    <tableColumn id="23" xr3:uid="{008295FF-3342-4499-B546-E36475AE773C}" name="Lumber (feet)" dataDxfId="541" dataCellStyle="Comma"/>
    <tableColumn id="24" xr3:uid="{41D75FC3-8963-4CC8-B00E-76771E7192B1}" name="Staves and heading" dataDxfId="540" dataCellStyle="Comma"/>
    <tableColumn id="25" xr3:uid="{2E5B4D6A-AF0C-4397-9CA6-5201ADE347B0}" name="Shingles" dataDxfId="539" dataCellStyle="Comma"/>
    <tableColumn id="26" xr3:uid="{70FAEB7A-19CD-44C8-9A72-696602FF6D74}" name="Herrings (barrels)" dataDxfId="538" dataCellStyle="Comma"/>
    <tableColumn id="27" xr3:uid="{4450043E-AFFD-4CB3-BC41-551D56C0425F}" name="Pilchards (barrels)" dataDxfId="537" dataCellStyle="Comma"/>
    <tableColumn id="28" xr3:uid="{94568FE8-C565-4054-A970-F4971E8375CA}" name="Livestock: Horses" dataDxfId="536" dataCellStyle="Comma"/>
    <tableColumn id="29" xr3:uid="{4A1551BD-DAD8-46A1-B10A-881EB96BCB92}" name="Livestock: Mules" dataDxfId="535" dataCellStyle="Comma"/>
    <tableColumn id="30" xr3:uid="{B435790D-8B4C-4DF7-AAFE-33B7C1C1CCB4}" name="Livestock: Asses" dataDxfId="534" dataCellStyle="Comma"/>
    <tableColumn id="31" xr3:uid="{05BB8ADD-D37D-465E-8E3C-7E8EBE376663}" name="Livestock: Cattle" dataDxfId="533" dataCellStyle="Comma"/>
  </tableColumns>
  <tableStyleInfo name="TableStyleLight9"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6310AE1-D038-4EA6-9736-264909CC5789}" name="Table3" displayName="Table3" ref="A1:N19" totalsRowShown="0" headerRowDxfId="532" dataDxfId="531" tableBorderDxfId="530" dataCellStyle="Comma">
  <autoFilter ref="A1:N19" xr:uid="{D6310AE1-D038-4EA6-9736-264909CC578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08045607-9772-45E0-AD48-60FC1CA4E50B}" name="Export: _x000a_1807-8" dataDxfId="529" dataCellStyle="Comma"/>
    <tableColumn id="2" xr3:uid="{A0E0288B-F369-4567-A62B-1619D4AA2417}" name="Sugar (hogsheads)" dataDxfId="528" dataCellStyle="Comma"/>
    <tableColumn id="3" xr3:uid="{1A5FAE76-11D4-4805-9FF7-F8F83FFFBCBF}" name="Sugar (tierces)" dataDxfId="527" dataCellStyle="Comma"/>
    <tableColumn id="4" xr3:uid="{0CA2EB81-02D9-493B-8A48-D763E9B5385F}" name="Sugar (barrels)" dataDxfId="526" dataCellStyle="Comma"/>
    <tableColumn id="5" xr3:uid="{DD34ABEF-D614-4D24-A34C-66BC710C1170}" name="Rum (puncheons)" dataDxfId="525" dataCellStyle="Comma"/>
    <tableColumn id="6" xr3:uid="{6B6AA72E-757E-4A95-ACCB-6A0D7C426231}" name="Rum (hogsheads)" dataDxfId="524" dataCellStyle="Comma"/>
    <tableColumn id="7" xr3:uid="{DD7AB02E-A09C-45C1-B2B4-FEDCE697E983}" name="Rum (barrels)" dataDxfId="523" dataCellStyle="Comma"/>
    <tableColumn id="8" xr3:uid="{928BF4E5-7FAA-4BE9-BE6C-9DD460EB7E98}" name="Rum (kegs)" dataDxfId="522" dataCellStyle="Comma"/>
    <tableColumn id="9" xr3:uid="{0866B1C4-AA96-493D-AC3B-5E8662BC05AF}" name="Molasses (casks)" dataDxfId="521" dataCellStyle="Comma"/>
    <tableColumn id="10" xr3:uid="{65F48141-6804-4233-8297-BCAD0587AE38}" name="Ginger (bags)" dataDxfId="520" dataCellStyle="Comma"/>
    <tableColumn id="11" xr3:uid="{9A110770-90CD-414C-8042-6AFB750B9642}" name="Ginger (casks)" dataDxfId="519" dataCellStyle="Comma"/>
    <tableColumn id="12" xr3:uid="{0CFE785E-947F-4E79-A02D-35C4D30772C7}" name="Pimento (bags)" dataDxfId="518" dataCellStyle="Comma"/>
    <tableColumn id="13" xr3:uid="{22762F67-A255-4069-8284-8718AC3FC40B}" name="Pimento (casks)" dataDxfId="517" dataCellStyle="Comma"/>
    <tableColumn id="14" xr3:uid="{D06C17F0-CE39-4993-A5DE-246E80766544}" name="Coffee (lb)" dataDxfId="516" dataCellStyle="Comma"/>
  </tableColumns>
  <tableStyleInfo name="TableStyleLight9"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F585FF93-3D90-4A5B-8033-715FF2B20A06}" name="Table42" displayName="Table42" ref="A1:AC19" totalsRowShown="0" headerRowDxfId="515" dataDxfId="514" tableBorderDxfId="513" dataCellStyle="Comma">
  <autoFilter ref="A1:AC19" xr:uid="{F585FF93-3D90-4A5B-8033-715FF2B20A0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0DC74266-07CA-4ADF-87C7-BC48D0CEED27}" name="Import: _x000a_1807-8" dataDxfId="512" dataCellStyle="Comma"/>
    <tableColumn id="2" xr3:uid="{E6D9E1C1-4560-488D-800F-D4140F73645A}" name="Flour (barrels)" dataDxfId="511" dataCellStyle="Comma"/>
    <tableColumn id="3" xr3:uid="{FFA98AB7-541A-4979-B828-EFE3655D7A0A}" name="Corn meal and flour (hogsheads)" dataDxfId="510" dataCellStyle="Comma"/>
    <tableColumn id="4" xr3:uid="{5E2E0D43-2FBE-49D1-A278-CF2ED686F505}" name="Corn meal and flour (barrels)" dataDxfId="509" dataCellStyle="Comma"/>
    <tableColumn id="5" xr3:uid="{46C9E20C-7106-43E2-803F-EA99784EA2E4}" name="Bread (bags)" dataDxfId="508" dataCellStyle="Comma"/>
    <tableColumn id="6" xr3:uid="{D3E8BEB0-473C-46E8-8138-F0116861ADB5}" name="Bread (barrels)" dataDxfId="507" dataCellStyle="Comma"/>
    <tableColumn id="7" xr3:uid="{07ABF2FD-917F-4DD9-8318-9638F66471C2}" name="Bread (kegs)" dataDxfId="506" dataCellStyle="Comma"/>
    <tableColumn id="8" xr3:uid="{25B58105-DB3A-4AE4-8D08-57BB94877537}" name="Rice (bags)" dataDxfId="505" dataCellStyle="Comma"/>
    <tableColumn id="9" xr3:uid="{B1ECE54F-3B1C-4631-93F8-16CBA9431A23}" name="Rice (tierces)" dataDxfId="504" dataCellStyle="Comma"/>
    <tableColumn id="10" xr3:uid="{FDE27E70-1799-4F7C-8FE0-0F5C729C9307}" name="Fish, dry (hogsheads)" dataDxfId="503" dataCellStyle="Comma"/>
    <tableColumn id="11" xr3:uid="{4AD1D77E-A50A-4906-BEAE-02A8AE2F5F37}" name="Fish, pickled (barrels)" dataDxfId="502" dataCellStyle="Comma"/>
    <tableColumn id="12" xr3:uid="{30379906-D311-4073-8170-7927B63EE95E}" name="Fish, pickled (kegs)" dataDxfId="501" dataCellStyle="Comma"/>
    <tableColumn id="13" xr3:uid="{686102D3-1FA5-4E10-895F-92905035D936}" name="Fish, dry (boxes)" dataDxfId="500" dataCellStyle="Comma"/>
    <tableColumn id="14" xr3:uid="{ACE390C8-9FC3-4ADC-A58D-182563CAC22A}" name="Fish, dry (quintals)" dataDxfId="499" dataCellStyle="Comma"/>
    <tableColumn id="15" xr3:uid="{0D8C7D02-C27E-42EA-9532-DBE3D5DB4879}" name="Beef (barrels)" dataDxfId="498" dataCellStyle="Comma"/>
    <tableColumn id="16" xr3:uid="{AFB0B4F6-3C06-49FC-8BC6-23AE6EEC3354}" name="Pork (barrels)" dataDxfId="497" dataCellStyle="Comma"/>
    <tableColumn id="17" xr3:uid="{C4B0452A-AA52-4E3E-9690-8374A9D2AA3E}" name="Butter (firkins)" dataDxfId="496" dataCellStyle="Comma"/>
    <tableColumn id="18" xr3:uid="{9889B197-E3EC-4169-99E6-B38A38C13BC0}" name="Corn (bushels)" dataDxfId="495" dataCellStyle="Comma"/>
    <tableColumn id="19" xr3:uid="{8A7B0BF6-B7FA-4833-AF06-BFD61B5E2027}" name="Corn, pease, and beans (casks)" dataDxfId="494" dataCellStyle="Comma"/>
    <tableColumn id="20" xr3:uid="{318F40BA-AAC0-4271-8417-D37838E1D5B4}" name="Corn, pease, and beans (bushels)" dataDxfId="493" dataCellStyle="Comma"/>
    <tableColumn id="21" xr3:uid="{77CA4649-8DAA-4430-B02E-D634B8DD6799}" name="Lumber (feet)" dataDxfId="492" dataCellStyle="Comma"/>
    <tableColumn id="22" xr3:uid="{756419C4-87CE-480A-9049-FEC4DC758C48}" name="Staves and heading" dataDxfId="491" dataCellStyle="Comma"/>
    <tableColumn id="23" xr3:uid="{2E7CDF03-79B7-4B14-9CEF-C935440C7285}" name="Shingles" dataDxfId="490" dataCellStyle="Comma"/>
    <tableColumn id="24" xr3:uid="{C793A443-1111-4CD9-A700-76C722E9AEA9}" name="Herrings (barrels)" dataDxfId="489" dataCellStyle="Comma"/>
    <tableColumn id="25" xr3:uid="{127DF697-6D02-4B2F-9ED9-0AF4FC6BFBE0}" name="Livestock: Horses" dataDxfId="488" dataCellStyle="Comma"/>
    <tableColumn id="26" xr3:uid="{2088CCAA-548E-404B-A342-41F3CA1ED41B}" name="Livestock: Mules" dataDxfId="487" dataCellStyle="Comma"/>
    <tableColumn id="27" xr3:uid="{AE03CCC5-3556-4356-9BD2-19F826572C1E}" name="Livestock: Asses" dataDxfId="486" dataCellStyle="Comma"/>
    <tableColumn id="28" xr3:uid="{ED3C4381-2904-4D12-908F-C0F997696610}" name="Livestock: Cattle" dataDxfId="485" dataCellStyle="Comma"/>
    <tableColumn id="29" xr3:uid="{8AF3150F-B944-4B9A-ABB8-B944BA785B79}" name="Tea (lb)" dataDxfId="484" dataCellStyle="Comma"/>
  </tableColumns>
  <tableStyleInfo name="TableStyleMedium2" showFirstColumn="0" showLastColumn="0" showRowStripes="0"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ABF43D10-C463-45BD-B794-41293A9AFF7B}" name="Table40" displayName="Table40" ref="A1:L19" totalsRowShown="0" headerRowDxfId="483" dataDxfId="482" tableBorderDxfId="481" dataCellStyle="Comma">
  <autoFilter ref="A1:L19" xr:uid="{ABF43D10-C463-45BD-B794-41293A9AFF7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ABE67A2-21B1-4260-A76D-DCCB37577970}" name="Export:_x000a_1806-7" dataDxfId="480" dataCellStyle="Comma"/>
    <tableColumn id="2" xr3:uid="{78BBB90A-CF4F-4ECF-B482-CCD0C1C17C49}" name="Sugar (hogsheads)" dataDxfId="479" dataCellStyle="Comma"/>
    <tableColumn id="3" xr3:uid="{E7277344-D0FB-4AED-B546-6561853C80C7}" name="Sugar (tierces)" dataDxfId="478" dataCellStyle="Comma"/>
    <tableColumn id="4" xr3:uid="{249F4C05-8A3E-41D6-88DB-29923F72B706}" name="Sugar (barrels)" dataDxfId="477" dataCellStyle="Comma"/>
    <tableColumn id="5" xr3:uid="{3C82FBD2-27CC-41F6-AA67-D047CCD930CF}" name="Rum (puncheons)" dataDxfId="476" dataCellStyle="Comma"/>
    <tableColumn id="6" xr3:uid="{91BEF145-589E-4996-BBF8-AB7F4D78DE5D}" name="Rum (hogsheads)" dataDxfId="475" dataCellStyle="Comma"/>
    <tableColumn id="7" xr3:uid="{E9C3567C-69F3-414E-9200-EB4DBD359637}" name="Molasses (casks)" dataDxfId="474" dataCellStyle="Comma"/>
    <tableColumn id="8" xr3:uid="{EBC4A71F-2CC1-4888-ADDA-B3A28D7A2DBA}" name="Ginger (bags)" dataDxfId="473" dataCellStyle="Comma"/>
    <tableColumn id="9" xr3:uid="{2C3F067A-3E61-448F-928C-F5FC2DFE4828}" name="Ginger (casks)" dataDxfId="472" dataCellStyle="Comma"/>
    <tableColumn id="10" xr3:uid="{81DB115E-58E7-4360-A142-CBEF28438DA7}" name="Pimento (bags)" dataDxfId="471" dataCellStyle="Comma"/>
    <tableColumn id="11" xr3:uid="{EB98F2AE-36A8-4849-B07A-A3821275C811}" name="Pimento (casks)" dataDxfId="470" dataCellStyle="Comma"/>
    <tableColumn id="12" xr3:uid="{92C2819A-4B78-48D6-99CA-5CAC7EE480D3}" name="Coffee (lb)" dataDxfId="469" dataCellStyle="Comma"/>
  </tableColumns>
  <tableStyleInfo name="TableStyleLight13"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99EAAD7-C487-4A5C-B881-7EEAB9D71E88}" name="Table38" displayName="Table38" ref="A1:AB19" totalsRowShown="0" headerRowDxfId="468" dataDxfId="467" tableBorderDxfId="466" dataCellStyle="Comma">
  <autoFilter ref="A1:AB19" xr:uid="{099EAAD7-C487-4A5C-B881-7EEAB9D71E8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D9F88F07-C5A6-45BE-9682-D7C22E4C94DF}" name="Import: _x000a_1806-7" dataDxfId="465" dataCellStyle="Comma"/>
    <tableColumn id="2" xr3:uid="{2C0D4E77-2544-4BD2-9C4C-43C1A16BE544}" name="Flour (barrels)" dataDxfId="464" dataCellStyle="Comma"/>
    <tableColumn id="3" xr3:uid="{05CF4924-E22C-4918-9E20-1729996CD879}" name="Corn meal and flour (hogsheads)" dataDxfId="463" dataCellStyle="Comma"/>
    <tableColumn id="4" xr3:uid="{AB0B76AF-410F-4981-863E-F00C5609648B}" name="Corn meal and flour (barrels)" dataDxfId="462" dataCellStyle="Comma"/>
    <tableColumn id="5" xr3:uid="{0933DEB4-44C4-4844-B590-41222CA87592}" name="Bread (bags)" dataDxfId="461" dataCellStyle="Comma"/>
    <tableColumn id="6" xr3:uid="{ADA98D64-4534-4E7C-AFBE-1278E28EBCA0}" name="Bread (barrels)" dataDxfId="460" dataCellStyle="Comma"/>
    <tableColumn id="7" xr3:uid="{8A2892C2-9120-4851-9321-F04D16A4B64C}" name="Bread (kegs)" dataDxfId="459" dataCellStyle="Comma"/>
    <tableColumn id="8" xr3:uid="{C6583935-4CB5-4903-B379-C8E5FC720D2C}" name="Rice (tierces)" dataDxfId="458" dataCellStyle="Comma"/>
    <tableColumn id="9" xr3:uid="{18A083C8-E129-457E-9B46-DEDB448C10B2}" name="Fish, dry (hogsheads)" dataDxfId="457" dataCellStyle="Comma"/>
    <tableColumn id="10" xr3:uid="{5E6E890E-5734-4242-84D1-342A2589281B}" name="Fish, dry (casks)" dataDxfId="456" dataCellStyle="Comma"/>
    <tableColumn id="11" xr3:uid="{D6EF80D1-CB24-405B-9276-B61C7F719CF0}" name="Fish, pickled (barrels)" dataDxfId="455" dataCellStyle="Comma"/>
    <tableColumn id="12" xr3:uid="{CEB3A117-DFE9-40D9-90AB-E28C35FD4B98}" name="Fish, pickled (kegs)" dataDxfId="454" dataCellStyle="Comma"/>
    <tableColumn id="13" xr3:uid="{A0846155-698F-4A71-9D94-D73D489E128C}" name="Fish, dry (boxes)" dataDxfId="453" dataCellStyle="Comma"/>
    <tableColumn id="14" xr3:uid="{2E267A27-D91E-4DE0-B83A-C6A084E4F552}" name="Fish, dry (quintals)" dataDxfId="452" dataCellStyle="Comma"/>
    <tableColumn id="15" xr3:uid="{0EB50A8E-B8C0-4A89-852B-1850970FF980}" name="Beef (barrels)" dataDxfId="451" dataCellStyle="Comma"/>
    <tableColumn id="16" xr3:uid="{C2856753-77A6-43F6-867B-D8D83779547A}" name="Pork (barrels)" dataDxfId="450" dataCellStyle="Comma"/>
    <tableColumn id="17" xr3:uid="{1314A409-08B1-4C61-9AA5-0993DAE8293D}" name="Butter (firkins)" dataDxfId="449" dataCellStyle="Comma"/>
    <tableColumn id="18" xr3:uid="{EF883208-85D2-46E6-80BB-FC2076B6F3AA}" name="Corn (bushels)" dataDxfId="448" dataCellStyle="Comma"/>
    <tableColumn id="19" xr3:uid="{0DBED7FC-C4BA-48D7-BF9B-55CBFA56CE1D}" name="Corn, pease, and beans (casks)" dataDxfId="447" dataCellStyle="Comma"/>
    <tableColumn id="20" xr3:uid="{12F14891-DB45-47E6-AC12-EF3501E1C6F0}" name="Corn, pease, and beans (bushels)" dataDxfId="446" dataCellStyle="Comma"/>
    <tableColumn id="21" xr3:uid="{DE6AE301-A28F-44CC-A818-62118E5A8DF1}" name="Lumber (feet)" dataDxfId="445" dataCellStyle="Comma"/>
    <tableColumn id="22" xr3:uid="{0535A0A1-49A3-47D4-9A68-BBD596A18D14}" name="Staves and heading" dataDxfId="444" dataCellStyle="Comma"/>
    <tableColumn id="23" xr3:uid="{6151D942-EF33-438E-9A84-C5449F4CDCB5}" name="Shingles" dataDxfId="443" dataCellStyle="Comma"/>
    <tableColumn id="24" xr3:uid="{C28460CE-E870-47AE-BBE0-00BF09F11AE5}" name="Herrings (barrels)" dataDxfId="442" dataCellStyle="Comma"/>
    <tableColumn id="25" xr3:uid="{0B66AA74-C026-4838-85D4-778539BF78A4}" name="Livestock: Horses" dataDxfId="441" dataCellStyle="Comma"/>
    <tableColumn id="26" xr3:uid="{6D99323A-3184-48CB-ABF1-8C3ABDA391D1}" name="Livestock: Mules" dataDxfId="440" dataCellStyle="Comma"/>
    <tableColumn id="27" xr3:uid="{BD627259-F92D-4ADC-9650-06A5ABC2E9A8}" name="Livestock: Asses" dataDxfId="439" dataCellStyle="Comma"/>
    <tableColumn id="28" xr3:uid="{FE822C30-7607-499D-9F3E-E670D78B5E69}" name="Livestock: Cattle" dataDxfId="438" dataCellStyle="Comma"/>
  </tableColumns>
  <tableStyleInfo name="TableStyleLight13"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235C9A39-3A50-46F1-9040-B4C389E516E7}" name="Table36" displayName="Table36" ref="A1:L19" totalsRowShown="0" headerRowDxfId="437" dataDxfId="436" tableBorderDxfId="435" dataCellStyle="Comma">
  <autoFilter ref="A1:L19" xr:uid="{235C9A39-3A50-46F1-9040-B4C389E516E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950B4D8E-33DA-44B8-97EA-9352117AE0CB}" name="Export: _x000a_1805-6" dataDxfId="434" dataCellStyle="Comma"/>
    <tableColumn id="2" xr3:uid="{A0986F97-51CC-4D1D-8DAF-CCEA83C0F18B}" name="Sugar (hogsheads)" dataDxfId="433" dataCellStyle="Comma"/>
    <tableColumn id="3" xr3:uid="{5CF481EE-56BF-40E4-A4CE-671E0FBB35E8}" name="Sugar (tierces)" dataDxfId="432" dataCellStyle="Comma"/>
    <tableColumn id="4" xr3:uid="{412695F9-7119-4D6D-99C1-5279C2BF4098}" name="Sugar (barrels)" dataDxfId="431" dataCellStyle="Comma"/>
    <tableColumn id="5" xr3:uid="{6B9B51AD-2D01-49F5-83DD-8BDCF7A63977}" name="Rum (puncheons)" dataDxfId="430" dataCellStyle="Comma"/>
    <tableColumn id="6" xr3:uid="{083D9E8D-8868-456C-AFDA-F3652376CDCD}" name="Rum (hogsheads)" dataDxfId="429" dataCellStyle="Comma"/>
    <tableColumn id="7" xr3:uid="{FBF6B3C9-541F-45F2-917D-6A74D240A8C4}" name="Molasses (casks)" dataDxfId="428" dataCellStyle="Comma"/>
    <tableColumn id="8" xr3:uid="{F2619C81-097B-41A3-98B2-983E84F6EE64}" name="Ginger (bags)" dataDxfId="427" dataCellStyle="Comma"/>
    <tableColumn id="9" xr3:uid="{0A67DA66-5042-43EE-91DE-21E87CBC0A50}" name="Ginger (casks)" dataDxfId="426" dataCellStyle="Comma"/>
    <tableColumn id="10" xr3:uid="{B7B52A0A-415F-4504-9B68-939E261D697D}" name="Pimento (bags)" dataDxfId="425" dataCellStyle="Comma"/>
    <tableColumn id="11" xr3:uid="{5AFA53E3-CC55-49CC-9150-9F36534E8196}" name="Pimento (casks)" dataDxfId="424" dataCellStyle="Comma"/>
    <tableColumn id="12" xr3:uid="{8E761170-BBA6-482A-A37E-24E5F43782DE}" name="Coffee (lb)" dataDxfId="423" dataCellStyle="Comma"/>
  </tableColumns>
  <tableStyleInfo name="TableStyleLight9"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3579A26A-8C1F-499C-A28F-02BD8C1CF1FC}" name="Table34" displayName="Table34" ref="A1:AB19" totalsRowShown="0" headerRowDxfId="422" dataDxfId="421" tableBorderDxfId="420" dataCellStyle="Comma">
  <autoFilter ref="A1:AB19" xr:uid="{3579A26A-8C1F-499C-A28F-02BD8C1CF1F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8BE9D280-E3A4-41A2-9BA0-51D36C40CF11}" name="Import: _x000a_1805-6" dataDxfId="419" dataCellStyle="Comma"/>
    <tableColumn id="2" xr3:uid="{09F70EDD-A3CB-4586-9D58-6A0907BD9505}" name="Flour (barrels)" dataDxfId="418" dataCellStyle="Comma"/>
    <tableColumn id="3" xr3:uid="{FFA90C13-DDF2-4A84-AF35-D82C98920AE4}" name="Corn meal and flour (hogsheads)" dataDxfId="417" dataCellStyle="Comma"/>
    <tableColumn id="4" xr3:uid="{A9BAF718-A8AD-4088-8FEB-77F5350A3B1B}" name="Corn meal and flour (barrels)" dataDxfId="416" dataCellStyle="Comma"/>
    <tableColumn id="5" xr3:uid="{81DBD215-F4AC-45A2-A2FF-E92B2EA4CFAD}" name="Bread (bags)" dataDxfId="415" dataCellStyle="Comma"/>
    <tableColumn id="6" xr3:uid="{C1E1A13A-F25A-46C2-B784-84AD4D5038D5}" name="Bread (barrels)" dataDxfId="414" dataCellStyle="Comma"/>
    <tableColumn id="7" xr3:uid="{4BFC8F2F-20FE-4434-A022-7DCF5C048A8D}" name="Bread (kegs)" dataDxfId="413" dataCellStyle="Comma"/>
    <tableColumn id="8" xr3:uid="{6C6D54AF-F63C-403C-8663-335DC0DF3792}" name="Rice (tierces)" dataDxfId="412" dataCellStyle="Comma"/>
    <tableColumn id="9" xr3:uid="{D5836056-824B-4344-A2D5-291A0A076D49}" name="Fish, dry (hogsheads)" dataDxfId="411" dataCellStyle="Comma"/>
    <tableColumn id="10" xr3:uid="{D25C80DC-FA7B-4346-A196-E741754C98FE}" name="Fish, dry (casks)" dataDxfId="410" dataCellStyle="Comma"/>
    <tableColumn id="11" xr3:uid="{E5379939-3F4C-4C96-B4FE-44B6EDF27FE2}" name="Fish, pickled (barrels)" dataDxfId="409" dataCellStyle="Comma"/>
    <tableColumn id="12" xr3:uid="{1EA93CD2-C071-4AFB-A1E4-FBBC2E32E5CF}" name="Fish, pickled (kegs)" dataDxfId="408" dataCellStyle="Comma"/>
    <tableColumn id="13" xr3:uid="{94750785-A956-4520-97E4-BDA00C9F448E}" name="Fish, dry (boxes)" dataDxfId="407" dataCellStyle="Comma"/>
    <tableColumn id="14" xr3:uid="{9A8F888D-E9DB-4B7B-85EC-F9BB24E296AE}" name="Fish, dry (quintals)" dataDxfId="406" dataCellStyle="Comma"/>
    <tableColumn id="15" xr3:uid="{B93DF74A-B641-4B67-9A85-39C947073B2B}" name="Beef (barrels)" dataDxfId="405" dataCellStyle="Comma"/>
    <tableColumn id="16" xr3:uid="{899B97AA-98DF-44E2-AB1B-7210E9761BD7}" name="Pork (barrels)" dataDxfId="404" dataCellStyle="Comma"/>
    <tableColumn id="17" xr3:uid="{9B799951-A63B-446F-BC6D-D5710748BA53}" name="Butter (firkins)" dataDxfId="403" dataCellStyle="Comma"/>
    <tableColumn id="18" xr3:uid="{DEBC0FE9-59B2-49F9-9E49-7BD44ABD8262}" name="Corn (bushels)" dataDxfId="402" dataCellStyle="Comma"/>
    <tableColumn id="19" xr3:uid="{60D781AF-E013-41E4-BEA1-DA55993FE36B}" name="Corn and pease (casks)" dataDxfId="401" dataCellStyle="Comma"/>
    <tableColumn id="20" xr3:uid="{7A8719B5-79FF-4172-96A0-37DA8D72C111}" name="Corn and pease (bushels)" dataDxfId="400" dataCellStyle="Comma"/>
    <tableColumn id="21" xr3:uid="{0DD64ED6-B96C-4A56-B9AD-9BD878AF204B}" name="Lumber (feet)" dataDxfId="399" dataCellStyle="Comma"/>
    <tableColumn id="22" xr3:uid="{9E7B0F59-4778-4CAB-8D27-C8CC6392AA83}" name="Staves and heading" dataDxfId="398" dataCellStyle="Comma"/>
    <tableColumn id="23" xr3:uid="{9C8B4C9C-187B-4AA6-9B7A-6A65A01E7CDD}" name="Shingles" dataDxfId="397" dataCellStyle="Comma"/>
    <tableColumn id="24" xr3:uid="{5BBE1D2E-3290-4EDD-9491-4BA9C219D7AA}" name="Herrings (barrels)" dataDxfId="396" dataCellStyle="Comma"/>
    <tableColumn id="25" xr3:uid="{0D6C6F6E-B694-440E-AA0F-680EC8D372DF}" name="Livestock: Horses" dataDxfId="395" dataCellStyle="Comma"/>
    <tableColumn id="26" xr3:uid="{36690A8E-7E9E-42CF-8D83-9A64A81F4C6F}" name="Livestock: Mules" dataDxfId="394" dataCellStyle="Comma"/>
    <tableColumn id="27" xr3:uid="{ED2C56EC-695F-4C8C-900C-E4A0BE2FC7C0}" name="Livestock: Asses" dataDxfId="393" dataCellStyle="Comma"/>
    <tableColumn id="28" xr3:uid="{DF368FFD-A7E9-4940-93F0-00156AA6790D}" name="Livestock: Cattle" dataDxfId="392" dataCellStyle="Comma"/>
  </tableColumns>
  <tableStyleInfo name="TableStyleLight9"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B6166F7B-C51E-4259-A565-1745CFBC6472}" name="Table32" displayName="Table32" ref="A1:N19" totalsRowShown="0" headerRowDxfId="391" dataDxfId="390" tableBorderDxfId="389" dataCellStyle="Comma">
  <autoFilter ref="A1:N19" xr:uid="{B6166F7B-C51E-4259-A565-1745CFBC647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0207C124-BAEF-43F1-A80D-3A094265CFA2}" name="Export: _x000a_1804-5" dataDxfId="388" dataCellStyle="Comma"/>
    <tableColumn id="2" xr3:uid="{DA218BAC-20FB-41D4-8E7E-A15A5C6A7F91}" name="Sugar (hogsheads)" dataDxfId="387" dataCellStyle="Comma"/>
    <tableColumn id="3" xr3:uid="{9E4F7164-E1B1-4BD3-91A4-2B691C42C117}" name="Sugar (tierces)" dataDxfId="386" dataCellStyle="Comma"/>
    <tableColumn id="4" xr3:uid="{C38CBCE0-DC7B-4A31-9633-FDF2A0F394CB}" name="Sugar (barrels)" dataDxfId="385" dataCellStyle="Comma"/>
    <tableColumn id="5" xr3:uid="{BCEC0E85-DBCA-409B-AB52-47CECD68789A}" name="Rum (puncheons)" dataDxfId="384" dataCellStyle="Comma"/>
    <tableColumn id="6" xr3:uid="{BB31F0BE-C7A5-492E-B7D9-3EDC5588FBDC}" name="Rum (hogsheads)" dataDxfId="383" dataCellStyle="Comma"/>
    <tableColumn id="7" xr3:uid="{F43E65E6-457A-4A88-ACA7-620B6D1F74ED}" name="Rum (barrels)" dataDxfId="382" dataCellStyle="Comma"/>
    <tableColumn id="8" xr3:uid="{5A37BBB9-7239-4D52-90F7-42B9ECF79B19}" name="Rum (kegs)" dataDxfId="381" dataCellStyle="Comma"/>
    <tableColumn id="9" xr3:uid="{8D647077-799F-4FDD-AE94-B63E92805EB6}" name="Molasses (casks)" dataDxfId="380" dataCellStyle="Comma"/>
    <tableColumn id="10" xr3:uid="{9C0D990B-8E29-44FD-8032-EB5B207AEFBC}" name="Ginger (bags)" dataDxfId="379" dataCellStyle="Comma"/>
    <tableColumn id="11" xr3:uid="{84FEBFA6-35BC-48A4-B5EC-7E837C27E437}" name="Ginger (casks)" dataDxfId="378" dataCellStyle="Comma"/>
    <tableColumn id="12" xr3:uid="{5E4745EA-DF80-4BEC-9040-4807753DBD4E}" name="Pimento (bags)" dataDxfId="377" dataCellStyle="Comma"/>
    <tableColumn id="13" xr3:uid="{5AAC6432-99FC-4007-AB50-D21649375D99}" name="Pimento (casks)" dataDxfId="376" dataCellStyle="Comma"/>
    <tableColumn id="14" xr3:uid="{BC57DF79-DD3F-4616-A46E-89613B9F137F}" name="Coffee (lb)" dataDxfId="375" dataCellStyle="Comma"/>
  </tableColumns>
  <tableStyleInfo name="TableStyleLight9"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5B97A98C-5E95-4A55-A146-1CD48EAA9BCC}" name="Table30" displayName="Table30" ref="A1:AA19" totalsRowShown="0" headerRowDxfId="374" dataDxfId="373" tableBorderDxfId="372" dataCellStyle="Comma">
  <autoFilter ref="A1:AA19" xr:uid="{5B97A98C-5E95-4A55-A146-1CD48EAA9BC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autoFilter>
  <tableColumns count="27">
    <tableColumn id="1" xr3:uid="{10B74F7C-53F0-4967-8F90-834EFF9F435F}" name="Import: _x000a_1804-5" dataDxfId="371" dataCellStyle="Comma"/>
    <tableColumn id="2" xr3:uid="{9DA373E9-1839-4E93-BF14-E7062520FE64}" name="Flour (barrels)" dataDxfId="370" dataCellStyle="Comma"/>
    <tableColumn id="3" xr3:uid="{2BE1A855-77B4-4A4F-9905-40D65CA9A51E}" name="Corn meal and flour (barrels)" dataDxfId="369" dataCellStyle="Comma"/>
    <tableColumn id="4" xr3:uid="{761242B4-EA86-426F-87B5-14EE0173F482}" name="Bread (bags)" dataDxfId="368" dataCellStyle="Comma"/>
    <tableColumn id="5" xr3:uid="{BDD10477-5E14-4E48-8DDB-0E3B4783FD68}" name="Bread (barrels)" dataDxfId="367" dataCellStyle="Comma"/>
    <tableColumn id="6" xr3:uid="{B985802B-15C9-4B2E-8C14-F886C91B0F9E}" name="Bread (kegs)" dataDxfId="366" dataCellStyle="Comma"/>
    <tableColumn id="7" xr3:uid="{773A9359-6535-43BB-AEE0-AE393B0BB102}" name="Rice (tierces)" dataDxfId="365" dataCellStyle="Comma"/>
    <tableColumn id="8" xr3:uid="{7664F3D5-3463-41E7-9D37-52E6BC969519}" name="Fish, dry (hogsheads)" dataDxfId="364" dataCellStyle="Comma"/>
    <tableColumn id="9" xr3:uid="{FB5A3A9E-F161-4D34-9D15-3998D5AF126C}" name="Fish, dry (casks)" dataDxfId="363" dataCellStyle="Comma"/>
    <tableColumn id="10" xr3:uid="{6F9418E3-D213-41A1-A735-62095B7B0C82}" name="Fish, pickled (barrels)" dataDxfId="362" dataCellStyle="Comma"/>
    <tableColumn id="11" xr3:uid="{1BD19BE5-F8C4-4547-826D-EB9F32AA9285}" name="Fish, pickled (kegs)" dataDxfId="361" dataCellStyle="Comma"/>
    <tableColumn id="12" xr3:uid="{3FAAFD48-16F1-4297-A3C8-57CBA3891042}" name="Fish, dry (boxes)" dataDxfId="360" dataCellStyle="Comma"/>
    <tableColumn id="13" xr3:uid="{19517DB4-F98E-4F64-8AC3-F76575EBE037}" name="Fish, dry (quintals)" dataDxfId="359" dataCellStyle="Comma"/>
    <tableColumn id="14" xr3:uid="{AC82DBBF-DFF8-49ED-987C-0527D7D4E2A1}" name="Beef (barrels)" dataDxfId="358" dataCellStyle="Comma"/>
    <tableColumn id="15" xr3:uid="{87A2EA2A-920B-4DC3-98F0-EA6118BE0029}" name="Pork (barrels)" dataDxfId="357" dataCellStyle="Comma"/>
    <tableColumn id="16" xr3:uid="{34935400-274D-4E1E-AA22-F999EB45A473}" name="Butter (firkins)" dataDxfId="356" dataCellStyle="Comma"/>
    <tableColumn id="18" xr3:uid="{E6FED1FA-E228-4A65-919D-25C4BDE7AD35}" name="Corn (bushels)" dataDxfId="355" dataCellStyle="Comma"/>
    <tableColumn id="19" xr3:uid="{2E956496-1681-47DD-8DB0-F81C3ECCCA66}" name="Corn and beans (casks)" dataDxfId="354" dataCellStyle="Comma"/>
    <tableColumn id="20" xr3:uid="{BBC7EF0A-A97F-4062-BCB1-572155E837C0}" name="Corn and beans (bushels)" dataDxfId="353" dataCellStyle="Comma"/>
    <tableColumn id="21" xr3:uid="{B0CF8759-3D26-49E7-90AE-321C6CA38FF0}" name="Lumber (feet)" dataDxfId="352" dataCellStyle="Comma"/>
    <tableColumn id="22" xr3:uid="{F029422A-FF21-4FD2-B592-90CE2A99F47E}" name="Staves and heading" dataDxfId="351" dataCellStyle="Comma"/>
    <tableColumn id="23" xr3:uid="{7E71E76A-0E2B-4170-B416-D5D18607B6E6}" name="Shingles" dataDxfId="350" dataCellStyle="Comma"/>
    <tableColumn id="24" xr3:uid="{BCA610D8-1A14-40C8-817E-080ED192E7D9}" name="Herrings (barrels)" dataDxfId="349" dataCellStyle="Comma"/>
    <tableColumn id="25" xr3:uid="{3FB7700D-4ECA-44C1-BAF5-0D82F35EFDEA}" name="Livestock: Horses" dataDxfId="348" dataCellStyle="Comma"/>
    <tableColumn id="26" xr3:uid="{EF12542E-CA4D-46BE-8A3D-BB64755F3652}" name="Livestock: Mules" dataDxfId="347" dataCellStyle="Comma"/>
    <tableColumn id="27" xr3:uid="{847CC16E-39E9-4113-BC5E-6E5B6122C836}" name="Livestock: Asses" dataDxfId="346" dataCellStyle="Comma"/>
    <tableColumn id="28" xr3:uid="{FA70D92C-736C-4896-9BD7-701F17722CD6}" name="Livestock: Cattle" dataDxfId="345" dataCellStyle="Comma"/>
  </tableColumns>
  <tableStyleInfo name="TableStyleMedium2" showFirstColumn="0" showLastColumn="0" showRowStripes="0"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1B42BBC0-E3E5-4452-9BB3-9B15E07E2BEB}" name="Table28" displayName="Table28" ref="A1:L19" totalsRowShown="0" headerRowDxfId="344" dataDxfId="343" tableBorderDxfId="342" dataCellStyle="Comma">
  <autoFilter ref="A1:L19" xr:uid="{1B42BBC0-E3E5-4452-9BB3-9B15E07E2BE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3664ED95-2920-4FF2-9DA8-F167975FD9A1}" name="Export: _x000a_1803-4" dataDxfId="341" dataCellStyle="Comma"/>
    <tableColumn id="2" xr3:uid="{F51E43FA-453A-4144-985D-8E99463BEAAE}" name="Sugar (hogsheads)" dataDxfId="340" dataCellStyle="Comma"/>
    <tableColumn id="3" xr3:uid="{DDBD43EB-44FC-464F-825E-D54F029E9F71}" name="Sugar (tierces)" dataDxfId="339" dataCellStyle="Comma"/>
    <tableColumn id="4" xr3:uid="{2B43153B-4798-4CE4-B827-F6D8D1B527A8}" name="Sugar (barrels)" dataDxfId="338" dataCellStyle="Comma"/>
    <tableColumn id="5" xr3:uid="{34C20C13-675E-4F88-B3E0-BED559EFBC67}" name="Rum (puncheons)" dataDxfId="337" dataCellStyle="Comma"/>
    <tableColumn id="6" xr3:uid="{3B4F2BE4-5E47-486C-86B7-3A38ECEFD2A3}" name="Rum (hogsheads)" dataDxfId="336" dataCellStyle="Comma"/>
    <tableColumn id="7" xr3:uid="{567EF93E-D89A-407A-A5F6-2F28380D477F}" name="Molasses (casks)" dataDxfId="335" dataCellStyle="Comma"/>
    <tableColumn id="8" xr3:uid="{B92094AB-54AB-4256-BF1E-222C15FE454A}" name="Ginger (bags)" dataDxfId="334" dataCellStyle="Comma"/>
    <tableColumn id="9" xr3:uid="{AFCA39DE-7300-41FB-903F-095CCB0B671C}" name="Ginger (casks)" dataDxfId="333" dataCellStyle="Comma"/>
    <tableColumn id="10" xr3:uid="{6AF9CA74-76C2-4704-BAB5-3EA668EB116B}" name="Pimento (bags)" dataDxfId="332" dataCellStyle="Comma"/>
    <tableColumn id="11" xr3:uid="{74D903CD-9468-4211-BA63-A00C420B0FDD}" name="Pimento (casks)" dataDxfId="331" dataCellStyle="Comma"/>
    <tableColumn id="12" xr3:uid="{BA0886C2-75BE-4F5F-9AD8-1C90B19ED65F}" name="Coffee (lb)" dataDxfId="330" dataCellStyle="Comma"/>
  </tableColumns>
  <tableStyleInfo name="TableStyleLight9"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B652A0EF-BCFC-4ED1-BCFC-32CBFF9E8A11}" name="Table26" displayName="Table26" ref="A1:AF19" totalsRowShown="0" headerRowDxfId="329" dataDxfId="328" tableBorderDxfId="327" dataCellStyle="Comma">
  <autoFilter ref="A1:AF19" xr:uid="{B652A0EF-BCFC-4ED1-BCFC-32CBFF9E8A1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autoFilter>
  <tableColumns count="32">
    <tableColumn id="1" xr3:uid="{C467BD2C-EEC2-4EEA-8EBB-1DB03F6EDD63}" name="Import: _x000a_1803-4" dataDxfId="326" dataCellStyle="Comma"/>
    <tableColumn id="2" xr3:uid="{561B5893-DAF2-44C2-AC57-D3B73430A1AB}" name="Flour (barrels)" dataDxfId="325" dataCellStyle="Comma"/>
    <tableColumn id="3" xr3:uid="{CFC98D75-0A26-4087-B6DD-5EA8782ADA01}" name="Corn meal and flour (barrels)" dataDxfId="324" dataCellStyle="Comma"/>
    <tableColumn id="4" xr3:uid="{AF0489ED-4947-4F99-B519-9E3B079FE1A4}" name="Bread (bags)" dataDxfId="323" dataCellStyle="Comma"/>
    <tableColumn id="5" xr3:uid="{73517F02-114D-4785-9C05-89F16B3A8353}" name="Bread (barrels)" dataDxfId="322" dataCellStyle="Comma"/>
    <tableColumn id="6" xr3:uid="{1C108279-5A4C-421C-A1A1-3C0EAC87A122}" name="Bread (kegs)" dataDxfId="321" dataCellStyle="Comma"/>
    <tableColumn id="7" xr3:uid="{AD2713A9-FA83-42D8-AAF1-EA8678DAC7E9}" name="Bread (quintals)" dataDxfId="320" dataCellStyle="Comma"/>
    <tableColumn id="8" xr3:uid="{2154B519-BE0A-4BA9-9DF7-FEAB34477FC0}" name="Rice (tierces)" dataDxfId="319" dataCellStyle="Comma"/>
    <tableColumn id="9" xr3:uid="{15D36EB8-E2FB-4683-A23F-F55FA3C20D9F}" name="Fish, dry (hogsheads)" dataDxfId="318" dataCellStyle="Comma"/>
    <tableColumn id="10" xr3:uid="{3C1CF488-31E6-4C2D-BF82-76747B744443}" name="Fish, pickled (barrels)" dataDxfId="317" dataCellStyle="Comma"/>
    <tableColumn id="11" xr3:uid="{0E12ABB1-1B01-4BF7-955C-CF0BAC30366E}" name="Fish, pickled (kegs)" dataDxfId="316" dataCellStyle="Comma"/>
    <tableColumn id="12" xr3:uid="{4D5C852A-1264-4A36-8C2B-3EF9BE059376}" name="Fish, dry (boxes)" dataDxfId="315" dataCellStyle="Comma"/>
    <tableColumn id="13" xr3:uid="{30D8E67F-3864-4924-902C-3B30AD630C90}" name="Fish, dry (quintals)" dataDxfId="314" dataCellStyle="Comma"/>
    <tableColumn id="14" xr3:uid="{0A7D498C-B518-4A71-A4A3-186C4FBEA99D}" name="Beef (barrels)" dataDxfId="313" dataCellStyle="Comma"/>
    <tableColumn id="15" xr3:uid="{C5EB4DCC-1600-45F7-A24C-B343D1F5AC0D}" name="Pork (barrels)" dataDxfId="312" dataCellStyle="Comma"/>
    <tableColumn id="16" xr3:uid="{7E280A42-42CC-461B-9EFF-50443B5EC207}" name="Butter (firkins)" dataDxfId="311" dataCellStyle="Comma"/>
    <tableColumn id="17" xr3:uid="{E435D659-807A-4217-A95E-7065B67E26C5}" name="Corn (casks)" dataDxfId="310" dataCellStyle="Comma"/>
    <tableColumn id="18" xr3:uid="{9CB94761-10E5-4206-A070-04B3735778DC}" name="Corn (bushels)" dataDxfId="309" dataCellStyle="Comma"/>
    <tableColumn id="19" xr3:uid="{BD2DC352-47A0-4AA1-9597-7E65CA77FD18}" name="Lumber (feet)" dataDxfId="308" dataCellStyle="Comma"/>
    <tableColumn id="20" xr3:uid="{CA6761DE-DFDE-4914-82F0-D7FE1318BAA8}" name="Staves and heading" dataDxfId="307" dataCellStyle="Comma"/>
    <tableColumn id="21" xr3:uid="{298CBCB0-C66F-4889-A8D7-CA39C7A47798}" name="Shingles" dataDxfId="306" dataCellStyle="Comma"/>
    <tableColumn id="22" xr3:uid="{D75D1A68-507C-4610-AB65-B0DC2519C22A}" name="Tobacco (casks)" dataDxfId="305" dataCellStyle="Comma"/>
    <tableColumn id="23" xr3:uid="{1CB781D5-26E9-472C-A616-D8BF13E702EA}" name="Naval stores (barrels)" dataDxfId="304" dataCellStyle="Comma"/>
    <tableColumn id="24" xr3:uid="{FFBD1620-6006-40F4-ACA3-131DC2738D31}" name="Mahogany (logs)" dataDxfId="303" dataCellStyle="Comma"/>
    <tableColumn id="25" xr3:uid="{5ABE626F-0560-4997-9597-65BADB6977D8}" name="Mahogany (feet)" dataDxfId="302" dataCellStyle="Comma"/>
    <tableColumn id="26" xr3:uid="{38B59ACB-3113-4AA7-94FD-FF8B0024314E}" name="Oil (casks)" dataDxfId="301" dataCellStyle="Comma"/>
    <tableColumn id="27" xr3:uid="{7110BC72-2581-41D4-AE12-D0735C96E8B7}" name="Beer (hogsheads)" dataDxfId="300" dataCellStyle="Comma"/>
    <tableColumn id="28" xr3:uid="{8B608513-6EB8-4327-ABC6-AD3E465D26A6}" name="Herrings (barrels)" dataDxfId="299" dataCellStyle="Comma"/>
    <tableColumn id="29" xr3:uid="{92712132-85C9-4146-B39A-C14FAAAE796E}" name="Livestock: Horses" dataDxfId="298" dataCellStyle="Comma"/>
    <tableColumn id="30" xr3:uid="{6D47590E-CCEE-4A74-A7C0-AA1022B519A9}" name="Livestock: Mules" dataDxfId="297" dataCellStyle="Comma"/>
    <tableColumn id="31" xr3:uid="{67168765-7D59-4471-9201-4EB518DCBF16}" name="Livestock: Asses" dataDxfId="296" dataCellStyle="Comma"/>
    <tableColumn id="32" xr3:uid="{B6CF4A82-A333-4DD8-A431-AC0928889ED8}" name="Livestock: Cattle" dataDxfId="295" dataCellStyle="Comma"/>
  </tableColumns>
  <tableStyleInfo name="TableStyleLight9"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CE8B1A8B-4442-4539-BCD8-115AA1C16497}" name="Table24" displayName="Table24" ref="A1:L19" totalsRowShown="0" headerRowDxfId="294" dataDxfId="293" tableBorderDxfId="292" dataCellStyle="Comma">
  <autoFilter ref="A1:L19" xr:uid="{CE8B1A8B-4442-4539-BCD8-115AA1C1649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CA199312-1655-4BBB-A2C8-9C49CF9442E8}" name="Export:_x000a_1802-3" dataDxfId="291" dataCellStyle="Comma"/>
    <tableColumn id="2" xr3:uid="{04026A96-5BA8-486F-B161-0A69F5584789}" name="Sugar (hogsheads)" dataDxfId="290" dataCellStyle="Comma"/>
    <tableColumn id="3" xr3:uid="{B884FE74-2D02-4123-BB32-E0CEC882C0DC}" name="Sugar (tierces)" dataDxfId="289" dataCellStyle="Comma"/>
    <tableColumn id="4" xr3:uid="{580C9BF0-6B34-4338-A131-8A009DC89252}" name="Sugar (barrels)" dataDxfId="288" dataCellStyle="Comma"/>
    <tableColumn id="5" xr3:uid="{411BF399-7ADE-46FE-AA99-307CAD9E7207}" name="Rum (puncheons)" dataDxfId="287" dataCellStyle="Comma"/>
    <tableColumn id="6" xr3:uid="{57ED9418-32B5-4984-9954-67901C6A5F18}" name="Rum (hogsheads)" dataDxfId="286" dataCellStyle="Comma"/>
    <tableColumn id="7" xr3:uid="{D6AF3BC4-7422-4B6D-BCA0-296B4EF5628F}" name="Ginger (bags)" dataDxfId="285" dataCellStyle="Comma"/>
    <tableColumn id="8" xr3:uid="{32EFC7F0-C880-4CA1-B644-396B4AC68985}" name="Ginger (casks)" dataDxfId="284" dataCellStyle="Comma"/>
    <tableColumn id="9" xr3:uid="{4E61DBB2-76C7-4423-9D7B-F226292A44B4}" name="Pimento (bags)" dataDxfId="283" dataCellStyle="Comma"/>
    <tableColumn id="10" xr3:uid="{9B902FE6-36B3-4008-A971-953B5864FCA6}" name="Pimento (casks)" dataDxfId="282" dataCellStyle="Comma"/>
    <tableColumn id="11" xr3:uid="{3EDBB610-F431-4FB8-84F5-9091F13878A5}" name="Coffee (lb)" dataDxfId="281" dataCellStyle="Comma"/>
    <tableColumn id="12" xr3:uid="{B5BF1DB5-E04F-4B8C-90E5-991B266B8DE5}" name="Molasses (casks)" dataDxfId="280" dataCellStyle="Comma"/>
  </tableColumns>
  <tableStyleInfo name="TableStyleLight9"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501FE565-6689-402A-8A73-947AF9634330}" name="Table22" displayName="Table22" ref="A1:AH19" totalsRowShown="0" headerRowDxfId="279" dataDxfId="278" tableBorderDxfId="277" dataCellStyle="Comma">
  <autoFilter ref="A1:AH19" xr:uid="{501FE565-6689-402A-8A73-947AF963433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autoFilter>
  <tableColumns count="34">
    <tableColumn id="1" xr3:uid="{D1A0A40A-D179-4D1F-B674-C5AC0D9A3AEA}" name="Import: _x000a_1802-3" dataDxfId="276" dataCellStyle="Comma"/>
    <tableColumn id="2" xr3:uid="{6F74B2DD-ADE7-42C6-A178-AED6161B5694}" name="Flour (barrels)" dataDxfId="275" dataCellStyle="Comma"/>
    <tableColumn id="3" xr3:uid="{42915F16-C4CD-4CB2-B9CA-8BF7C9AF16E5}" name="Corn meal and flour (hogsheads)" dataDxfId="274" dataCellStyle="Comma"/>
    <tableColumn id="4" xr3:uid="{A8198A0C-9084-4637-BD0A-41A88FCB416F}" name="Corn meal and flour (barrels)" dataDxfId="273" dataCellStyle="Comma"/>
    <tableColumn id="5" xr3:uid="{8A9FFB66-7705-4ED1-92D4-1F457656FA60}" name="Bread (bags)" dataDxfId="272" dataCellStyle="Comma"/>
    <tableColumn id="6" xr3:uid="{F247A9B5-42EB-48F4-B52A-29E78A453E7E}" name="Bread (barrels)" dataDxfId="271" dataCellStyle="Comma"/>
    <tableColumn id="7" xr3:uid="{D0F8304A-4BF1-4440-BBA4-EADBF8C89692}" name="Bread (kegs)" dataDxfId="270" dataCellStyle="Comma"/>
    <tableColumn id="8" xr3:uid="{165AE0DF-02F5-453D-A4E3-1986DA37100D}" name="Bread (quintals)" dataDxfId="269" dataCellStyle="Comma"/>
    <tableColumn id="9" xr3:uid="{09CB7594-BD54-4645-B139-7C51B455ADFD}" name="Rice (tierces)" dataDxfId="268" dataCellStyle="Comma"/>
    <tableColumn id="10" xr3:uid="{4BA0A26E-8873-430B-9385-0EAF7971B2FF}" name="Fish, dry (hogsheads)" dataDxfId="267" dataCellStyle="Comma"/>
    <tableColumn id="11" xr3:uid="{076E25C8-8EE7-47BF-91B2-B3B1C8114846}" name="Fish, pickled (barrels)" dataDxfId="266" dataCellStyle="Comma"/>
    <tableColumn id="12" xr3:uid="{2B8C2AB5-DF38-4808-939D-350700648093}" name="Fish, pickled (kegs)" dataDxfId="265" dataCellStyle="Comma"/>
    <tableColumn id="13" xr3:uid="{73D5647E-591B-4AC7-B5A6-8D7C91953E62}" name="Fish, dry (boxes)" dataDxfId="264" dataCellStyle="Comma"/>
    <tableColumn id="14" xr3:uid="{BA9C2B26-D107-4FB1-8ED0-69F250B7DA73}" name="Fish, dry (quintals)" dataDxfId="263" dataCellStyle="Comma"/>
    <tableColumn id="15" xr3:uid="{17627249-D2AB-430D-9B71-3AC013A45A65}" name="Beef (barrels)" dataDxfId="262" dataCellStyle="Comma"/>
    <tableColumn id="16" xr3:uid="{C682E68D-9C2E-489D-9D42-E5F7F583B935}" name="Pork (barrels)" dataDxfId="261" dataCellStyle="Comma"/>
    <tableColumn id="17" xr3:uid="{7249F160-D442-492F-9668-0EE169B9017C}" name="Butter (firkins)" dataDxfId="260" dataCellStyle="Comma"/>
    <tableColumn id="18" xr3:uid="{80C9203B-780B-41C3-90D6-15AB7DE68853}" name="Pease and beans (casks)" dataDxfId="259" dataCellStyle="Comma"/>
    <tableColumn id="19" xr3:uid="{0CBE3C53-C19C-4998-857D-28F0E3A31286}" name="Pease and beans (bushels)" dataDxfId="258" dataCellStyle="Comma"/>
    <tableColumn id="20" xr3:uid="{F6FAE61F-5C57-47B6-9FFD-F587918FC31E}" name="Corn (casks)" dataDxfId="257" dataCellStyle="Comma"/>
    <tableColumn id="21" xr3:uid="{6F6A1B6B-3595-462C-9684-69F141E96559}" name="Corn (bushels)" dataDxfId="256" dataCellStyle="Comma"/>
    <tableColumn id="22" xr3:uid="{307AA004-3FB2-43BC-ABDB-8AC098D1BE82}" name="Oil (casks)" dataDxfId="255" dataCellStyle="Comma"/>
    <tableColumn id="23" xr3:uid="{D5BAD23A-A4CE-4A75-AA1C-FA18DD5FC76A}" name="Cedar posts" dataDxfId="254" dataCellStyle="Comma"/>
    <tableColumn id="24" xr3:uid="{F9F8AE8F-9133-43D9-82B2-1955E5761ACF}" name="Spars" dataDxfId="253" dataCellStyle="Comma"/>
    <tableColumn id="25" xr3:uid="{0DDF6689-C317-4DC0-B6FA-34A70A6B8E64}" name="Lumber (feet)" dataDxfId="252" dataCellStyle="Comma"/>
    <tableColumn id="26" xr3:uid="{D24A40AC-9369-4175-B907-18BA16111B77}" name="Staves and heading" dataDxfId="251" dataCellStyle="Comma"/>
    <tableColumn id="27" xr3:uid="{B3EDB150-9B20-42AC-8E1B-F841A8F482E7}" name="Staves" dataDxfId="250" dataCellStyle="Comma"/>
    <tableColumn id="28" xr3:uid="{D645E57A-CDC2-4627-8F3E-CD8A5901C73F}" name="Shingles" dataDxfId="249" dataCellStyle="Comma"/>
    <tableColumn id="29" xr3:uid="{E567B61F-EF4F-42CF-898D-D670B894A7EE}" name="Mahogany (logs)" dataDxfId="248" dataCellStyle="Comma"/>
    <tableColumn id="30" xr3:uid="{F0285329-2075-4C99-9EC2-1BC2F7A1CCA3}" name="Mahogany (feet)" dataDxfId="247" dataCellStyle="Comma"/>
    <tableColumn id="31" xr3:uid="{B5658FC5-E14B-4F90-8420-31F80EBF84F0}" name="Livestock: Horses" dataDxfId="246" dataCellStyle="Comma"/>
    <tableColumn id="32" xr3:uid="{24303B52-5F0E-44F9-B2C3-848AFF0AFC9E}" name="Livestock: Mules" dataDxfId="245" dataCellStyle="Comma"/>
    <tableColumn id="33" xr3:uid="{72ACF36C-79CC-4B50-9B90-9E61AEAA8308}" name="Livestock: Asses" dataDxfId="244" dataCellStyle="Comma"/>
    <tableColumn id="34" xr3:uid="{98BF897B-68F2-42D3-AA9A-B2FFDEDB8198}" name="Livestock: Cattle" dataDxfId="243" dataCellStyle="Comma"/>
  </tableColumns>
  <tableStyleInfo name="TableStyleLight9"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9BF4260-2AE1-43F3-937B-DC6B0BABF608}" name="Table6" displayName="Table6" ref="A1:AF19" totalsRowShown="0" headerRowDxfId="242" dataDxfId="241" tableBorderDxfId="240" dataCellStyle="Comma">
  <autoFilter ref="A1:AF19" xr:uid="{99BF4260-2AE1-43F3-937B-DC6B0BABF60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autoFilter>
  <tableColumns count="32">
    <tableColumn id="1" xr3:uid="{2573D2C8-E50E-4AE5-830E-307B9A304FE1}" name="Export:_x000a_1801-2" dataDxfId="239" dataCellStyle="Comma"/>
    <tableColumn id="2" xr3:uid="{99736255-6591-49BB-A96B-9715FD4DB79A}" name="Sugar (hogsheads)" dataDxfId="238" dataCellStyle="Comma"/>
    <tableColumn id="3" xr3:uid="{3241EBE8-18B9-41EF-B6C5-26DA9294A9E2}" name="Sugar (tierces)" dataDxfId="237" dataCellStyle="Comma"/>
    <tableColumn id="4" xr3:uid="{9FF6D05F-9EB9-4ECD-AC76-137B62365F83}" name="Sugar (barrels)" dataDxfId="236" dataCellStyle="Comma"/>
    <tableColumn id="5" xr3:uid="{66FEFCAA-9C71-4C3A-BC32-77A7DFED38C5}" name="Rum (puncheons)" dataDxfId="235" dataCellStyle="Comma"/>
    <tableColumn id="6" xr3:uid="{198AA72E-C425-4D0F-8647-F477D01BADC0}" name="Rum (hogsheads)" dataDxfId="234" dataCellStyle="Comma"/>
    <tableColumn id="7" xr3:uid="{E03F1F4D-416F-4BDA-9B6D-E00A88FF61C8}" name="Rum (barrels)" dataDxfId="233" dataCellStyle="Comma"/>
    <tableColumn id="8" xr3:uid="{7C03BDF7-4AC3-4260-948B-2EE847F7F6A3}" name="Rum (kegs)" dataDxfId="232" dataCellStyle="Comma"/>
    <tableColumn id="9" xr3:uid="{CFB75136-7846-49D1-BE1B-0103FE068D2C}" name="Molasses (casks)" dataDxfId="231" dataCellStyle="Comma"/>
    <tableColumn id="10" xr3:uid="{B5E25AB7-DA5C-4DCC-BDCC-A8223AC86D67}" name="Ginger (bags)" dataDxfId="230" dataCellStyle="Comma"/>
    <tableColumn id="11" xr3:uid="{BF0A76FA-E50A-4549-9B69-09A6485093F9}" name="Ginger (casks)" dataDxfId="229" dataCellStyle="Comma"/>
    <tableColumn id="12" xr3:uid="{10E9C90C-BB29-40F6-8120-12D6E4B01CED}" name="Pimento (bags)" dataDxfId="228" dataCellStyle="Comma"/>
    <tableColumn id="13" xr3:uid="{C1215FC6-1EB6-4209-8E54-48B338F6FBCD}" name="Pimento (casks)" dataDxfId="227" dataCellStyle="Comma"/>
    <tableColumn id="14" xr3:uid="{30481F8D-11B7-4E2E-8AB1-0C6744BA4F80}" name="Coffee (lb)" dataDxfId="226" dataCellStyle="Comma"/>
    <tableColumn id="15" xr3:uid="{00155DB9-4A90-418B-8C38-8C7F450AAB5F}" name="Fish, pickled (barrels)" dataDxfId="225" dataCellStyle="Comma"/>
    <tableColumn id="16" xr3:uid="{E85F94E6-EB76-44F9-89C8-48B42B4960F7}" name="Flour (barrels)" dataDxfId="224" dataCellStyle="Comma"/>
    <tableColumn id="17" xr3:uid="{EDA0123E-B7E9-430E-B033-FC67F75943FC}" name="Provisions (barrels)" dataDxfId="223" dataCellStyle="Comma"/>
    <tableColumn id="18" xr3:uid="{E83F3E0A-0352-4209-9C38-0926097498C0}" name="Bread (barrels)" dataDxfId="222" dataCellStyle="Comma"/>
    <tableColumn id="19" xr3:uid="{DF79EA9C-1ADE-4B74-BC3F-503031C757E3}" name="Wine (pipes)" dataDxfId="221" dataCellStyle="Comma"/>
    <tableColumn id="20" xr3:uid="{92EE7397-424F-42C5-940B-F338C4C5CDE1}" name="Wine (hogsheads)" dataDxfId="220" dataCellStyle="Comma"/>
    <tableColumn id="21" xr3:uid="{8AE784E1-23D0-40B6-8EE5-41E876BA4279}" name="Wine (quarter casks)" dataDxfId="219" dataCellStyle="Comma"/>
    <tableColumn id="22" xr3:uid="{7B38CCCD-0C0A-4C1E-A60D-4EF9811BE278}" name="Rice (tierces)" dataDxfId="218" dataCellStyle="Comma"/>
    <tableColumn id="23" xr3:uid="{E18CDCF0-3BC3-4CCF-A708-28CF8B750C0C}" name="Brandy (casks)" dataDxfId="217" dataCellStyle="Comma"/>
    <tableColumn id="24" xr3:uid="{40077FAD-2CB4-49FE-A4B7-FF3FB1D20415}" name="Sail canvas (pieces)" dataDxfId="216" dataCellStyle="Comma"/>
    <tableColumn id="25" xr3:uid="{FD9CAB89-4972-4810-B4D5-5DCE4832E437}" name="Cordage (coils)" dataDxfId="215" dataCellStyle="Comma"/>
    <tableColumn id="26" xr3:uid="{EFA4140E-7FD4-4ADB-AFC9-DC1ECC225B93}" name="Slaves" dataDxfId="214" dataCellStyle="Comma"/>
    <tableColumn id="27" xr3:uid="{D3311395-D581-43F1-BD28-B650708257FE}" name="Coals (casks)" dataDxfId="213" dataCellStyle="Comma"/>
    <tableColumn id="28" xr3:uid="{ACB913F0-6F69-4134-97C8-1EA68FF027E8}" name="Butter (firkins)" dataDxfId="212" dataCellStyle="Comma"/>
    <tableColumn id="29" xr3:uid="{92701B93-1C15-4F40-915D-CA95E8FE6AD7}" name="Salt (barrels)" dataDxfId="211" dataCellStyle="Comma"/>
    <tableColumn id="30" xr3:uid="{A5E90378-CBFB-436E-BAFA-06B6310A20D7}" name="Livestock: cattle" dataDxfId="210" dataCellStyle="Comma"/>
    <tableColumn id="31" xr3:uid="{966B7E2B-C86D-4D75-AFEF-F2946B9C3A81}" name="Lumber (feet)" dataDxfId="209" dataCellStyle="Comma"/>
    <tableColumn id="32" xr3:uid="{192A383E-88DE-4DE3-AF5D-B7B88DE47616}" name="Shingles" dataDxfId="208" dataCellStyle="Comma"/>
  </tableColumns>
  <tableStyleInfo name="TableStyleLight9"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EEA5C42E-159B-4A23-99EE-2CD118F87581}" name="Table19" displayName="Table19" ref="A1:AQ19" totalsRowShown="0" headerRowDxfId="207" dataDxfId="206" tableBorderDxfId="205" dataCellStyle="Comma">
  <autoFilter ref="A1:AQ19" xr:uid="{EEA5C42E-159B-4A23-99EE-2CD118F8758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autoFilter>
  <tableColumns count="43">
    <tableColumn id="1" xr3:uid="{1167F726-9EFD-4A07-B0B0-3097C6D13F2E}" name="Import: _x000a_1801-2" dataDxfId="204" dataCellStyle="Comma"/>
    <tableColumn id="2" xr3:uid="{48FF1E28-E94A-4E40-8997-97E6F533FFEE}" name="Flour (barrels)" dataDxfId="203" dataCellStyle="Comma"/>
    <tableColumn id="3" xr3:uid="{3722EF51-C0F6-46CD-82CC-49F2D6F60DDA}" name="Bread (bags)" dataDxfId="202" dataCellStyle="Comma"/>
    <tableColumn id="4" xr3:uid="{FEAB2AF2-C356-4F2D-9614-ADB6EF41740B}" name="Bread (barrels)" dataDxfId="201" dataCellStyle="Comma"/>
    <tableColumn id="5" xr3:uid="{94B9BF57-480B-4395-90C6-95525722119E}" name="Bread (kegs)" dataDxfId="200" dataCellStyle="Comma"/>
    <tableColumn id="6" xr3:uid="{F3512836-B90D-4792-903F-2FD5FAE04556}" name="Rice (tierces)" dataDxfId="199" dataCellStyle="Comma"/>
    <tableColumn id="7" xr3:uid="{326AB692-577B-40C0-AA54-6A7F564A7758}" name="Fish, dry (casks)" dataDxfId="198" dataCellStyle="Comma"/>
    <tableColumn id="8" xr3:uid="{3F03539F-DC40-4BFC-85E7-B3D93DBE5D15}" name="Fish, pickled (barrels)" dataDxfId="197" dataCellStyle="Comma"/>
    <tableColumn id="9" xr3:uid="{7DC3F34D-7210-49AF-84C8-8BE86FFD1272}" name="Fish, pickled (kegs)" dataDxfId="196" dataCellStyle="Comma"/>
    <tableColumn id="10" xr3:uid="{0A8A6480-DB67-470F-9DDD-FCCF42FCFE62}" name="Fish, dry (quintals)" dataDxfId="195" dataCellStyle="Comma"/>
    <tableColumn id="11" xr3:uid="{EB6B66EA-62DC-450B-9500-60ED4A4F2B21}" name="Fish, dry (boxes)" dataDxfId="194" dataCellStyle="Comma"/>
    <tableColumn id="12" xr3:uid="{39D8346E-FE94-40E0-BC05-98AE0CE530A4}" name="Beef (barrels)" dataDxfId="193" dataCellStyle="Comma"/>
    <tableColumn id="13" xr3:uid="{3C2C6CE8-1F06-4454-A06F-5BF341A24042}" name="Pork (barrels)" dataDxfId="192" dataCellStyle="Comma"/>
    <tableColumn id="14" xr3:uid="{CEDF68C6-A568-49EB-A3CB-70EEBA606499}" name="Salt (bushels)" dataDxfId="191" dataCellStyle="Comma"/>
    <tableColumn id="15" xr3:uid="{4B1E0213-44C6-4CCF-8300-D7B411C22D3C}" name="Oil (casks)" dataDxfId="190" dataCellStyle="Comma"/>
    <tableColumn id="16" xr3:uid="{C6147E9A-94B5-4C36-B1E9-F4AA4913FC82}" name="Butter (firkins)" dataDxfId="189" dataCellStyle="Comma"/>
    <tableColumn id="17" xr3:uid="{082F62B1-9B97-4F1B-A5DD-797CFE6C5797}" name="Tar (barrels)" dataDxfId="188" dataCellStyle="Comma"/>
    <tableColumn id="18" xr3:uid="{7B2E0F1F-8507-46C4-A5D9-D746F043D1DA}" name="Spars" dataDxfId="187" dataCellStyle="Comma"/>
    <tableColumn id="19" xr3:uid="{27120EB4-3D09-4B5D-AB24-D4C3155AD91C}" name="Handspikes" dataDxfId="186" dataCellStyle="Comma"/>
    <tableColumn id="20" xr3:uid="{6C474116-68AE-494D-BD67-FB248201CC13}" name="Punchpacks" dataDxfId="185" dataCellStyle="Comma"/>
    <tableColumn id="21" xr3:uid="{073A7E86-7ED1-4555-9B5B-225494E95912}" name="Cedar posts" dataDxfId="184" dataCellStyle="Comma"/>
    <tableColumn id="22" xr3:uid="{59CBB18A-54D8-4BD7-A2E1-48B3D765AB8B}" name="Naval stores (barrels)" dataDxfId="183" dataCellStyle="Comma"/>
    <tableColumn id="23" xr3:uid="{CDE7AD64-48CB-419C-9D2B-B364859CBE37}" name="Logwood (tons)" dataDxfId="182" dataCellStyle="Comma"/>
    <tableColumn id="24" xr3:uid="{48BC9733-973F-49EF-9383-9A690CFCE9AD}" name="Soap (boxes)" dataDxfId="181" dataCellStyle="Comma"/>
    <tableColumn id="39" xr3:uid="{461F647B-99A9-4A42-9D98-48314494EEFF}" name="Corn (casks)" dataDxfId="180" dataCellStyle="Comma"/>
    <tableColumn id="25" xr3:uid="{B7E400AB-5D0F-4F49-AC44-4B0EEFA5468E}" name="Corn (bushels)" dataDxfId="179" dataCellStyle="Comma"/>
    <tableColumn id="26" xr3:uid="{C8ACB4E5-041C-46AD-A01E-5A3B7FCB2624}" name="Mahogany (logs)" dataDxfId="178" dataCellStyle="Comma"/>
    <tableColumn id="27" xr3:uid="{8FB738A9-BE46-447E-81EC-D5B5BCFC1AC3}" name="Mahogany (planks)" dataDxfId="177" dataCellStyle="Comma"/>
    <tableColumn id="28" xr3:uid="{2EDCFD94-1BE0-4152-A799-67A899C769A4}" name="Mahogany (boards)" dataDxfId="176" dataCellStyle="Comma"/>
    <tableColumn id="29" xr3:uid="{B91DBCEA-C713-4F6E-B751-246FC97E8CBA}" name="Mahogany (feet)" dataDxfId="175" dataCellStyle="Comma"/>
    <tableColumn id="30" xr3:uid="{B5BB0E87-E55E-44D1-A3AC-71A30F0C109D}" name="Livestock: horses" dataDxfId="174" dataCellStyle="Comma"/>
    <tableColumn id="31" xr3:uid="{929EE99C-16AE-4E39-AF6C-FC6C9D0A8CD4}" name="Potatoes (casks)" dataDxfId="173" dataCellStyle="Comma"/>
    <tableColumn id="32" xr3:uid="{55917044-777A-47D0-B234-7E4D5FA46569}" name="Potatoes (bushels)" dataDxfId="172" dataCellStyle="Comma"/>
    <tableColumn id="33" xr3:uid="{8A412EA5-55A2-49AF-A398-CEF2792E8583}" name="Lumber (feet)" dataDxfId="171" dataCellStyle="Comma"/>
    <tableColumn id="34" xr3:uid="{726187BD-760E-4AAA-9E96-24FD11F268B5}" name="Staves and heading" dataDxfId="170" dataCellStyle="Comma"/>
    <tableColumn id="35" xr3:uid="{7ECDEC90-B565-4FCA-8E5B-C4A981F4FF67}" name="Shingles" dataDxfId="169" dataCellStyle="Comma"/>
    <tableColumn id="36" xr3:uid="{55816200-A0AB-4435-B0F2-38F0FA39B880}" name="Onions (lb)" dataDxfId="168" dataCellStyle="Comma"/>
    <tableColumn id="37" xr3:uid="{41DEE6D7-A28B-43EE-BE9D-3F63B63233E0}" name="Pease (barrels)" dataDxfId="167" dataCellStyle="Comma"/>
    <tableColumn id="38" xr3:uid="{C4B23D5E-0626-421D-8A02-657A8AD26CDB}" name="Pease (bushels)" dataDxfId="166" dataCellStyle="Comma"/>
    <tableColumn id="41" xr3:uid="{A7EE0632-B136-4D0C-949F-349F86AF2E20}" name="Livestock: Horses3" dataDxfId="165" dataCellStyle="Comma"/>
    <tableColumn id="42" xr3:uid="{F004FB55-7036-42CE-81AE-60D643FE7A86}" name="Livestock: Mules" dataDxfId="164" dataCellStyle="Comma"/>
    <tableColumn id="43" xr3:uid="{4F95B109-32F4-4C53-AFA1-3EFD400476DE}" name="Livestock: Asses" dataDxfId="163" dataCellStyle="Comma"/>
    <tableColumn id="44" xr3:uid="{0BFB8C40-FA6E-4477-B247-44F4DAB51A33}" name="Livestock: Cattle" dataDxfId="162" dataCellStyle="Comma"/>
  </tableColumns>
  <tableStyleInfo name="TableStyleLight9"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0840EE3-7F29-4924-993B-FAE5674D85F1}" name="exports_1800" displayName="exports_1800" ref="A1:K19" totalsRowShown="0" headerRowDxfId="161" dataDxfId="160" tableBorderDxfId="159" dataCellStyle="Comma">
  <autoFilter ref="A1:K19" xr:uid="{20840EE3-7F29-4924-993B-FAE5674D85F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BDC2A658-BB24-4374-B92C-1AD2849DC5FC}" name="Export: _x000a_1800-1801" dataDxfId="158" dataCellStyle="Comma"/>
    <tableColumn id="2" xr3:uid="{9C6E8878-F152-478A-A53D-DE0EE16DEC05}" name="Sugar (hogsheads)" dataDxfId="157" dataCellStyle="Comma"/>
    <tableColumn id="3" xr3:uid="{FC95107D-9CEE-462A-B1A6-3BA498F4D228}" name="Sugar (tierces)" dataDxfId="156" dataCellStyle="Comma"/>
    <tableColumn id="4" xr3:uid="{6BAF4836-A38C-45A6-A58B-B70E69132E36}" name="Sugar (barrels)" dataDxfId="155" dataCellStyle="Comma"/>
    <tableColumn id="5" xr3:uid="{CE7155D4-143D-43D6-A634-3D2B79FF973B}" name="Rum (puncheons)" dataDxfId="154" dataCellStyle="Comma"/>
    <tableColumn id="6" xr3:uid="{A0839C03-AD12-4364-BDF5-1F5501979347}" name="Rum (hogsheads)" dataDxfId="153" dataCellStyle="Comma"/>
    <tableColumn id="7" xr3:uid="{296F55CF-D203-4C59-9687-BE0688CE3E77}" name="Ginger (bags)" dataDxfId="152" dataCellStyle="Comma"/>
    <tableColumn id="8" xr3:uid="{21FBA5F0-3BA5-47E7-91E3-7037F6639248}" name="Ginger (casks)" dataDxfId="151" dataCellStyle="Comma"/>
    <tableColumn id="9" xr3:uid="{C10A183B-0B5C-4A69-B75B-5FC4C1F08C37}" name="Pimento (bags)" dataDxfId="150" dataCellStyle="Comma"/>
    <tableColumn id="10" xr3:uid="{0A53CC53-45C9-4EF7-9F57-0B9DE545E87C}" name="Pimento (casks)" dataDxfId="149" dataCellStyle="Comma"/>
    <tableColumn id="11" xr3:uid="{06CAA3CE-F2AF-4334-964B-D0AAF556B268}" name="Coffee (lb)" dataDxfId="148" dataCellStyle="Comma"/>
  </tableColumns>
  <tableStyleInfo name="TableStyleLight9" showFirstColumn="0" showLastColumn="0" showRowStripes="0"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7877A2E8-47E9-4FE0-90CF-37B6B9D9C6FC}" name="Table16" displayName="Table16" ref="A1:E19" totalsRowShown="0" headerRowDxfId="147" tableBorderDxfId="146">
  <autoFilter ref="A1:E19" xr:uid="{7877A2E8-47E9-4FE0-90CF-37B6B9D9C6FC}">
    <filterColumn colId="0" hiddenButton="1"/>
    <filterColumn colId="1" hiddenButton="1"/>
    <filterColumn colId="2" hiddenButton="1"/>
    <filterColumn colId="3" hiddenButton="1"/>
    <filterColumn colId="4" hiddenButton="1"/>
  </autoFilter>
  <tableColumns count="5">
    <tableColumn id="1" xr3:uid="{73F161C8-A9A6-4515-946F-6775104CEFAF}" name="Import: _x000a_1800-1801" dataDxfId="145" dataCellStyle="Comma"/>
    <tableColumn id="2" xr3:uid="{EDC83EB4-DDEF-4465-85FE-CF24BA31CB7A}" name="Livestock: horses"/>
    <tableColumn id="3" xr3:uid="{DFE50103-E8B7-4BE1-80A5-8307A0430F29}" name="Livestock: mules"/>
    <tableColumn id="4" xr3:uid="{8717D641-6B9E-45F5-9449-835B0ADEF2F9}" name="Livestock: asses" dataDxfId="144" dataCellStyle="Comma"/>
    <tableColumn id="5" xr3:uid="{339C8377-E81B-47BE-9A61-C690A4DD8591}" name="Livestock: cattle"/>
  </tableColumns>
  <tableStyleInfo name="TableStyleLight9"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DC13EBB-60CA-4256-99E7-4CFD86E6EF46}" name="exports_1799" displayName="exports_1799" ref="A1:K19" totalsRowShown="0" headerRowDxfId="143" dataDxfId="142" tableBorderDxfId="141" dataCellStyle="Comma">
  <autoFilter ref="A1:K19" xr:uid="{CDC13EBB-60CA-4256-99E7-4CFD86E6EF4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471E1090-3037-4CD7-8C53-129FB5E367D7}" name="Export:_x000a_1799-1800" dataDxfId="140" dataCellStyle="Comma"/>
    <tableColumn id="2" xr3:uid="{FCF8ADD7-099F-4334-A126-62F8BADECAD7}" name="Sugar (hogsheads)" dataDxfId="139" dataCellStyle="Comma"/>
    <tableColumn id="3" xr3:uid="{32229E37-CBAB-48A6-8E4E-45BBA3EA61A8}" name="Sugar (tierces)" dataDxfId="138" dataCellStyle="Comma"/>
    <tableColumn id="4" xr3:uid="{A2F63159-52B3-4FC7-A834-FEA0557DB1C7}" name="Sugar (barrels)" dataDxfId="137" dataCellStyle="Comma"/>
    <tableColumn id="5" xr3:uid="{02B6A773-1B21-4A76-9D26-A38B915F9945}" name="Rum (puncheons)" dataDxfId="136" dataCellStyle="Comma"/>
    <tableColumn id="6" xr3:uid="{113190DB-17F0-4F52-B035-12B65DFC672B}" name="Rum (hogsheads)" dataDxfId="135" dataCellStyle="Comma"/>
    <tableColumn id="7" xr3:uid="{80AB5FCF-B1CF-4690-9A04-18FDAAE17B1A}" name="Ginger (bags)" dataDxfId="134" dataCellStyle="Comma"/>
    <tableColumn id="8" xr3:uid="{38AAECCC-4B04-4EC7-AD10-2764C2DA2756}" name="Ginger (casks)" dataDxfId="133" dataCellStyle="Comma"/>
    <tableColumn id="9" xr3:uid="{1F74C65C-98EF-4CC0-AE97-802F307904BE}" name="Pimento (bags)" dataDxfId="132" dataCellStyle="Comma"/>
    <tableColumn id="10" xr3:uid="{F230CC12-42A1-4409-9B40-C215E60D2724}" name="Pimento (casks)" dataDxfId="131" dataCellStyle="Comma"/>
    <tableColumn id="11" xr3:uid="{2A0E1771-DB8F-4B03-A044-4F599C007FE0}" name="Coffee (lb)" dataDxfId="130" dataCellStyle="Comma"/>
  </tableColumns>
  <tableStyleInfo name="TableStyleLight9"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D84A5B9-2C1C-4A15-9E6A-B4739A63006F}" name="Table7" displayName="Table7" ref="A1:E19" totalsRowShown="0" headerRowDxfId="129" dataDxfId="128" tableBorderDxfId="127" dataCellStyle="Comma">
  <autoFilter ref="A1:E19" xr:uid="{9D84A5B9-2C1C-4A15-9E6A-B4739A63006F}">
    <filterColumn colId="0" hiddenButton="1"/>
    <filterColumn colId="1" hiddenButton="1"/>
    <filterColumn colId="2" hiddenButton="1"/>
    <filterColumn colId="3" hiddenButton="1"/>
    <filterColumn colId="4" hiddenButton="1"/>
  </autoFilter>
  <tableColumns count="5">
    <tableColumn id="1" xr3:uid="{565E75D8-CF58-4CD1-96EA-09391783B726}" name="Import: _x000a_1 Jul 1799 - 1 Jan 1801" dataDxfId="126" dataCellStyle="Comma"/>
    <tableColumn id="2" xr3:uid="{B7B59354-037D-4AD0-BF3F-3D35FC8D5B80}" name="Livestock: horses" dataDxfId="125" dataCellStyle="Comma"/>
    <tableColumn id="3" xr3:uid="{E69E9F10-AE34-4A70-B5DB-0BA1C4389AD6}" name="Livestock: mules" dataDxfId="124" dataCellStyle="Comma"/>
    <tableColumn id="4" xr3:uid="{C543C051-AD0A-4AFE-A30A-169415A52BE0}" name="Livestock: asses" dataDxfId="123" dataCellStyle="Comma"/>
    <tableColumn id="5" xr3:uid="{03211F20-A2FB-4EE8-9805-2B954A04C9A0}" name="Livestock: cattle" dataDxfId="122" dataCellStyle="Comma"/>
  </tableColumns>
  <tableStyleInfo name="TableStyleLight9"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B81FF38-0595-4FD8-900A-2525168DA423}" name="exports_1797" displayName="exports_1797" ref="A1:O7" totalsRowShown="0" headerRowDxfId="121" dataDxfId="120" tableBorderDxfId="119" dataCellStyle="Comma">
  <autoFilter ref="A1:O7" xr:uid="{2E6D5B50-707B-435B-B49B-A5335B4C3C7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862FD422-F9B2-493E-8244-2147BF502727}" name="Exports:_x000a_1797-98 (to specific ports)" dataDxfId="118" dataCellStyle="Comma"/>
    <tableColumn id="2" xr3:uid="{F0318392-DC72-4ED0-A0F5-38F725754BE0}" name="Sugar (hogsheads)" dataDxfId="117" dataCellStyle="Comma">
      <calculatedColumnFormula>52909+15038+10103+1514+2859+459+548+29+772+509</calculatedColumnFormula>
    </tableColumn>
    <tableColumn id="3" xr3:uid="{58B02E54-4858-4020-888D-6A5E5A867B91}" name="Sugar (tierces)" dataDxfId="116" dataCellStyle="Comma"/>
    <tableColumn id="4" xr3:uid="{BAB58365-AF1A-4529-8789-19995FC6D945}" name="Sugar (barrels)" dataDxfId="115" dataCellStyle="Comma"/>
    <tableColumn id="5" xr3:uid="{B72ADBA3-739B-44A1-814D-196B5B7A55A1}" name="Rum (puncheons)" dataDxfId="114" dataCellStyle="Comma"/>
    <tableColumn id="6" xr3:uid="{3F54FAB2-2066-4FA3-B599-59B9BAEF5E7C}" name="Rum (hogsheads)" dataDxfId="113" dataCellStyle="Comma"/>
    <tableColumn id="8" xr3:uid="{422B3173-37BE-4639-8746-8D38D38B0293}" name="Ginger (casks)" dataDxfId="112" dataCellStyle="Comma"/>
    <tableColumn id="7" xr3:uid="{BCBF2E88-2013-49B9-96A4-67EBB0308B90}" name="Ginger (bags)" dataDxfId="111" dataCellStyle="Comma"/>
    <tableColumn id="10" xr3:uid="{47BF6110-45E3-4A0C-9ABB-BD66238ADADA}" name="Pimento (casks)" dataDxfId="110" dataCellStyle="Comma"/>
    <tableColumn id="9" xr3:uid="{536109BD-07BC-4BF0-82DD-2E9D9D263C69}" name="Pimento (bags)" dataDxfId="109" dataCellStyle="Comma"/>
    <tableColumn id="12" xr3:uid="{FA4FA2AD-FDF4-457A-A423-A588797ACC93}" name="Castor oil (casks)" dataDxfId="108" dataCellStyle="Comma"/>
    <tableColumn id="13" xr3:uid="{64CEEA5A-C23B-4DC8-B854-31097F3E017D}" name="Turmeric (casks)" dataDxfId="107" dataCellStyle="Comma"/>
    <tableColumn id="14" xr3:uid="{1172953E-316A-4153-BC07-B07B01107B5E}" name="Turmeric (bags)" dataDxfId="106" dataCellStyle="Comma"/>
    <tableColumn id="15" xr3:uid="{972E9BC3-B0C6-4E7E-A356-6F51F9FD611B}" name="Cotton (bags)" dataDxfId="105" dataCellStyle="Comma"/>
    <tableColumn id="11" xr3:uid="{EF2C8D89-2A96-4C70-809E-EC3AC55F8D16}" name="Coffee (lb)" dataDxfId="104" dataCellStyle="Comma"/>
  </tableColumns>
  <tableStyleInfo name="TableStyleLight9" showFirstColumn="0" showLastColumn="0" showRowStripes="0"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F4A5828C-34EE-4B97-9AC2-985C2BDA31E0}" name="exports_1796_WI" displayName="exports_1796_WI" ref="A1:K5" totalsRowShown="0" headerRowDxfId="103" dataDxfId="102" tableBorderDxfId="101" dataCellStyle="Comma">
  <autoFilter ref="A1:K5" xr:uid="{F4A5828C-34EE-4B97-9AC2-985C2BDA31E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51D807F4-0260-4099-8A76-92E6E75338CC}" name="Export (from W Indies/S Am):_x000a_1796-97" dataDxfId="100" dataCellStyle="Comma"/>
    <tableColumn id="2" xr3:uid="{FABC9D8C-5382-4623-9B79-DF906CFD87BA}" name="Sugar (hogsheads)" dataDxfId="99" dataCellStyle="Comma"/>
    <tableColumn id="3" xr3:uid="{8171D909-4D58-4EB1-9F8B-013F7A6F05C4}" name="Cotton (bales)" dataDxfId="98" dataCellStyle="Comma"/>
    <tableColumn id="4" xr3:uid="{9F0F490D-5BA8-4669-8AA2-BAC7ABF75E21}" name="Cotton (bags)" dataDxfId="97" dataCellStyle="Comma"/>
    <tableColumn id="5" xr3:uid="{AAC6FDD6-3723-4006-AD21-43751953A9E1}" name="Cocoa (casks)" dataDxfId="96" dataCellStyle="Comma"/>
    <tableColumn id="6" xr3:uid="{C83C43ED-A7A3-43B5-B9B9-9649F77D37C6}" name="Cocoa (bags)" dataDxfId="95" dataCellStyle="Comma"/>
    <tableColumn id="7" xr3:uid="{B2C60401-54D4-4453-A467-27DC28211858}" name="Indigo (casks)" dataDxfId="94" dataCellStyle="Comma"/>
    <tableColumn id="8" xr3:uid="{28915DC1-EFB1-4987-97DF-1F7AE4C71C8E}" name="Indigo (bags)" dataDxfId="93" dataCellStyle="Comma"/>
    <tableColumn id="9" xr3:uid="{3A8008A3-90CD-49A4-B355-5C22AE26D2A6}" name="Coffee (casks)" dataDxfId="92" dataCellStyle="Comma"/>
    <tableColumn id="10" xr3:uid="{F2E7F16C-1248-4B2B-8C6D-02ECE80BBBF7}" name="Coffee (bags)" dataDxfId="91" dataCellStyle="Comma"/>
    <tableColumn id="11" xr3:uid="{83680930-E771-4133-9B4E-ED652B9174AD}" name="Coffee (lb)" dataDxfId="90" dataCellStyle="Comma"/>
  </tableColumns>
  <tableStyleInfo name="TableStyleLight9"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E6D5B50-707B-435B-B49B-A5335B4C3C76}" name="exports_1796_J" displayName="exports_1796_J" ref="A1:K6" totalsRowShown="0" headerRowDxfId="89" dataDxfId="88" tableBorderDxfId="87" dataCellStyle="Comma">
  <autoFilter ref="A1:K6" xr:uid="{2E6D5B50-707B-435B-B49B-A5335B4C3C7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986A6D86-A4E0-4706-AB86-48628B86E373}" name="Exports:_x000a_1796-97" dataDxfId="86" dataCellStyle="Comma"/>
    <tableColumn id="2" xr3:uid="{4E275E6E-347E-4EDB-8AF6-69EF8CBAFB32}" name="Sugar (hogsheads)" dataDxfId="85" dataCellStyle="Comma"/>
    <tableColumn id="3" xr3:uid="{BD5FC81A-438E-48B5-8FF8-69F1DF5C1426}" name="Sugar (tierces)" dataDxfId="84" dataCellStyle="Comma"/>
    <tableColumn id="4" xr3:uid="{8FABC20D-6585-40EC-AF9B-01C1222BCC39}" name="Sugar (barrels)" dataDxfId="83" dataCellStyle="Comma"/>
    <tableColumn id="5" xr3:uid="{719574EA-6B2C-4AC6-BACF-C22825B3A349}" name="Rum (puncheons)" dataDxfId="82" dataCellStyle="Comma"/>
    <tableColumn id="6" xr3:uid="{8458801F-E3FB-4AEB-A9ED-235496E8CE30}" name="Rum (hogsheads)" dataDxfId="81" dataCellStyle="Comma"/>
    <tableColumn id="7" xr3:uid="{46DCE793-760D-471A-8743-A22F5F7379B7}" name="Ginger (bags)" dataDxfId="80" dataCellStyle="Comma"/>
    <tableColumn id="8" xr3:uid="{F724B507-2781-463A-AD96-2FF2B8A01A35}" name="Ginger (casks)" dataDxfId="79" dataCellStyle="Comma"/>
    <tableColumn id="9" xr3:uid="{CE2A396A-72A0-491B-A464-074D80D81FC0}" name="Pimento (bags)" dataDxfId="78" dataCellStyle="Comma"/>
    <tableColumn id="10" xr3:uid="{946078AF-43A6-4BA6-BA0D-BC1567F09CBF}" name="Pimento (casks)" dataDxfId="77" dataCellStyle="Comma"/>
    <tableColumn id="11" xr3:uid="{CEBADD83-9D6B-4FDE-B1FE-0686EDB14754}" name="Coffee (lb)" dataDxfId="76" dataCellStyle="Comma"/>
  </tableColumns>
  <tableStyleInfo name="TableStyleLight9" showFirstColumn="0" showLastColumn="0" showRowStripes="0"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010A597-3BAB-4E4B-8F0D-D782365994A8}" name="imports_1771" displayName="imports_1771" ref="A1:AC3" totalsRowShown="0" headerRowDxfId="75" dataDxfId="74" tableBorderDxfId="73" headerRowCellStyle="Comma" dataCellStyle="Comma">
  <autoFilter ref="A1:AC3" xr:uid="{9010A597-3BAB-4E4B-8F0D-D782365994A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8E97042A-752C-4016-92BE-20BFDD53B1D2}" name="Import (to West Indies)_x000a_1771-73" dataDxfId="72" dataCellStyle="Comma"/>
    <tableColumn id="2" xr3:uid="{19D04C0B-F91F-48BF-A583-FF4A3C2F44F9}" name="Boards and timber (feet)" dataDxfId="71" dataCellStyle="Comma"/>
    <tableColumn id="3" xr3:uid="{C40B7E8D-141C-4A85-99B9-1EE68C65A297}" name="Shingles" dataDxfId="70" dataCellStyle="Comma"/>
    <tableColumn id="4" xr3:uid="{D8FD83DB-F574-4945-808D-949E64A479E8}" name="Staves" dataDxfId="69" dataCellStyle="Comma"/>
    <tableColumn id="5" xr3:uid="{114F1AC3-67A5-448E-84B5-55CFBD5C8CB7}" name="Hoops" dataDxfId="68" dataCellStyle="Comma"/>
    <tableColumn id="6" xr3:uid="{9F30C0F3-EE90-4A2E-85FE-FAECD5E92923}" name="Corn (bushels)" dataDxfId="67" dataCellStyle="Comma"/>
    <tableColumn id="7" xr3:uid="{AD8F91DE-8FF7-4186-A021-6A651E62BC41}" name="Pease and beans (bushels)" dataDxfId="66" dataCellStyle="Comma"/>
    <tableColumn id="8" xr3:uid="{ADC7DA3E-3D92-4744-8751-1525E7C77883}" name="Bread and flour (barrels)" dataDxfId="65" dataCellStyle="Comma"/>
    <tableColumn id="9" xr3:uid="{4710627A-04E9-4B9C-BF63-3FAB1061D1DC}" name="Bread and flour (kegs)" dataDxfId="64" dataCellStyle="Comma"/>
    <tableColumn id="10" xr3:uid="{0A8EC237-61BF-4CB9-A933-29524320B3C4}" name="Rice (barrels)" dataDxfId="63" dataCellStyle="Comma"/>
    <tableColumn id="11" xr3:uid="{45240E92-D105-4DF5-8D16-183151736DD4}" name="Rice (tierces)" dataDxfId="62" dataCellStyle="Comma"/>
    <tableColumn id="12" xr3:uid="{5850097B-445B-441C-9112-4EDD9C035C2F}" name="Fish, dry (hogsheads)" dataDxfId="61" dataCellStyle="Comma"/>
    <tableColumn id="13" xr3:uid="{FB5A14AA-BC07-42C2-959A-34DBE8D3A53C}" name="Fish, pickled (barrels)" dataDxfId="60" dataCellStyle="Comma"/>
    <tableColumn id="14" xr3:uid="{4FCA3CA2-8825-41B3-9BD1-A098460219C3}" name="Fish, dry (quintals)" dataDxfId="59" dataCellStyle="Comma"/>
    <tableColumn id="15" xr3:uid="{46E0B443-C60A-44DF-AB69-662597D1FDFB}" name="Fish, pickled (kegs)" dataDxfId="58" dataCellStyle="Comma"/>
    <tableColumn id="16" xr3:uid="{53E03922-70F5-407B-B1AA-98DB92F37240}" name="Beef and pork (barrels)" dataDxfId="57" dataCellStyle="Comma"/>
    <tableColumn id="17" xr3:uid="{DDC77392-3F30-42CB-871C-C35AABC8FDBD}" name="Poultry (dozens)" dataDxfId="56" dataCellStyle="Comma"/>
    <tableColumn id="18" xr3:uid="{8D1F0C6F-F4AE-403D-8BC6-F0BD5B3F5CA1}" name="Livestock: horses" dataDxfId="55" dataCellStyle="Comma"/>
    <tableColumn id="19" xr3:uid="{869203F4-E1E9-40AF-9031-103AEBC6078A}" name="Livestock: oxen" dataDxfId="54" dataCellStyle="Comma"/>
    <tableColumn id="20" xr3:uid="{60D49788-FE01-4F39-81E9-B406DB1E5F44}" name="Livestock: sheep and hogs" dataDxfId="53" dataCellStyle="Comma"/>
    <tableColumn id="21" xr3:uid="{662F3857-B849-49B2-8353-0E4B9C058D55}" name="Oil (barrels)" dataDxfId="52" dataCellStyle="Comma"/>
    <tableColumn id="22" xr3:uid="{83F55880-8CC7-44C1-844A-9FEB29687255}" name="Tar, pitch, and turpentine (barrels)" dataDxfId="51" dataCellStyle="Comma"/>
    <tableColumn id="23" xr3:uid="{F1A755E7-1EEB-44A0-8056-226C401CE0A2}" name="Masts" dataDxfId="50" dataCellStyle="Comma"/>
    <tableColumn id="24" xr3:uid="{D34A3F1A-0845-4175-844C-C4F1340C028B}" name="Spars" dataDxfId="49" dataCellStyle="Comma"/>
    <tableColumn id="25" xr3:uid="{E397C425-6E80-4E66-9928-FC3287787A7B}" name="Shook casks" dataDxfId="48" dataCellStyle="Comma"/>
    <tableColumn id="26" xr3:uid="{A98B050B-2A11-4812-8311-632F3FA7D8A0}" name="Soap and candles (boxes)" dataDxfId="47" dataCellStyle="Comma"/>
    <tableColumn id="27" xr3:uid="{C8130FC8-F4BD-4D36-9C70-5B6382EEE650}" name="Ox-bows and yokes" dataDxfId="46" dataCellStyle="Comma"/>
    <tableColumn id="28" xr3:uid="{A751345A-32A7-4D69-940C-5455C3ED101C}" name="House frames" dataDxfId="45" dataCellStyle="Comma"/>
    <tableColumn id="29" xr3:uid="{15E67562-A7E3-4879-9D42-CA679BE7BF11}" name="Iron (tons)" dataDxfId="44" dataCellStyle="Comma"/>
  </tableColumns>
  <tableStyleInfo name="TableStyleLight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R4" dT="2021-08-09T14:54:52.75" personId="{5786DCAD-B90B-4E94-BCEB-F3F022634614}" id="{AAF921EE-1C32-40FD-A887-F6180E0663A3}">
    <text>Unclear - check</text>
  </threadedComment>
  <threadedComment ref="Q6" dT="2021-08-09T14:50:46.37" personId="{5786DCAD-B90B-4E94-BCEB-F3F022634614}" id="{80BF16B0-D765-4599-AF42-A5A4D0603DD3}">
    <text>Unclear - check</text>
  </threadedComment>
  <threadedComment ref="Q9" dT="2021-08-09T14:57:01.29" personId="{5786DCAD-B90B-4E94-BCEB-F3F022634614}" id="{95603515-C752-4F72-B510-4849C9EC079E}">
    <text>Unclear - check</text>
  </threadedComment>
  <threadedComment ref="R11" dT="2021-08-09T14:48:58.35" personId="{5786DCAD-B90B-4E94-BCEB-F3F022634614}" id="{85EF9B99-60BC-4332-A4C6-87BCE8ED5767}">
    <text>Unclear - check</text>
  </threadedComment>
  <threadedComment ref="D13" dT="2021-08-09T15:05:51.32" personId="{5786DCAD-B90B-4E94-BCEB-F3F022634614}" id="{D24761A8-8FFA-469C-8DF3-C398FAA31ADC}">
    <text>Unclear - double check</text>
  </threadedComment>
  <threadedComment ref="B22" dT="2021-08-09T15:07:08.42" personId="{5786DCAD-B90B-4E94-BCEB-F3F022634614}" id="{7B3486B1-B7B0-4D0E-87FD-43A16089CD70}">
    <text>Unclear - check</text>
  </threadedComment>
  <threadedComment ref="Q22" dT="2021-08-09T15:12:11.24" personId="{5786DCAD-B90B-4E94-BCEB-F3F022634614}" id="{6E815FAC-2BED-479D-8632-10306F19DAA7}">
    <text>Unclear - check</text>
  </threadedComment>
  <threadedComment ref="K23" dT="2021-08-09T14:45:41.92" personId="{5786DCAD-B90B-4E94-BCEB-F3F022634614}" id="{7F0BF080-3C02-44AC-8700-D89A02159C01}">
    <text>Unclear - check</text>
  </threadedComment>
  <threadedComment ref="L23" dT="2021-08-09T15:10:35.64" personId="{5786DCAD-B90B-4E94-BCEB-F3F022634614}" id="{6A1F898D-3268-425A-AB5F-0A8232E40E0F}">
    <text>Unclear - check</text>
  </threadedComment>
  <threadedComment ref="T24" dT="2021-08-09T14:46:47.88" personId="{5786DCAD-B90B-4E94-BCEB-F3F022634614}" id="{E9507A13-ED53-4574-80F5-826781078A16}">
    <text>Unclear - check</text>
  </threadedComment>
  <threadedComment ref="E25" dT="2021-08-09T15:08:07.27" personId="{5786DCAD-B90B-4E94-BCEB-F3F022634614}" id="{A43B91BB-DB58-4DF5-B392-BD348872BE6E}">
    <text>Unclear - check</text>
  </threadedComment>
  <threadedComment ref="E26" dT="2021-08-09T15:08:24.78" personId="{5786DCAD-B90B-4E94-BCEB-F3F022634614}" id="{0BF73990-6E87-4629-8D0D-650B31875DE0}">
    <text>Unclear - check</text>
  </threadedComment>
  <threadedComment ref="I27" dT="2021-08-09T15:09:31.67" personId="{5786DCAD-B90B-4E94-BCEB-F3F022634614}" id="{64EC60AE-11A3-4AF3-8C3E-76638894BA66}">
    <text>Unclear - check</text>
  </threadedComment>
  <threadedComment ref="M27" dT="2021-08-09T15:11:06.64" personId="{5786DCAD-B90B-4E94-BCEB-F3F022634614}" id="{9B764096-F610-4F64-AE78-C317B684C705}">
    <text>Unclear - check</text>
  </threadedComment>
  <threadedComment ref="U27" dT="2021-08-09T15:13:34.77" personId="{5786DCAD-B90B-4E94-BCEB-F3F022634614}" id="{773C9DC8-1C42-46F9-828B-E62D7CBBE8FE}">
    <text>Unclear - check</text>
  </threadedComment>
  <threadedComment ref="W27" dT="2021-08-09T15:13:53.75" personId="{5786DCAD-B90B-4E94-BCEB-F3F022634614}" id="{834D9198-64FC-4CEE-AC77-6070B173615C}">
    <text>Unclear - check</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7.vml"/><Relationship Id="rId1" Type="http://schemas.openxmlformats.org/officeDocument/2006/relationships/printerSettings" Target="../printerSettings/printerSettings8.bin"/><Relationship Id="rId5" Type="http://schemas.microsoft.com/office/2017/10/relationships/threadedComment" Target="../threadedComments/threadedComment1.xml"/><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8.v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9.v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10.v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11.v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12.v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7.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3.v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8.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vmlDrawing" Target="../drawings/vmlDrawing14.v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9.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vmlDrawing" Target="../drawings/vmlDrawing15.v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vmlDrawing" Target="../drawings/vmlDrawing16.v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1.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vmlDrawing" Target="../drawings/vmlDrawing17.v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2.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vmlDrawing" Target="../drawings/vmlDrawing18.vml"/><Relationship Id="rId1" Type="http://schemas.openxmlformats.org/officeDocument/2006/relationships/printerSettings" Target="../printerSettings/printerSettings20.bin"/><Relationship Id="rId4" Type="http://schemas.openxmlformats.org/officeDocument/2006/relationships/comments" Target="../comments18.xml"/></Relationships>
</file>

<file path=xl/worksheets/_rels/sheet23.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vmlDrawing" Target="../drawings/vmlDrawing19.vml"/><Relationship Id="rId1" Type="http://schemas.openxmlformats.org/officeDocument/2006/relationships/printerSettings" Target="../printerSettings/printerSettings21.bin"/><Relationship Id="rId4" Type="http://schemas.openxmlformats.org/officeDocument/2006/relationships/comments" Target="../comments19.xml"/></Relationships>
</file>

<file path=xl/worksheets/_rels/sheet24.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vmlDrawing" Target="../drawings/vmlDrawing20.vml"/><Relationship Id="rId1" Type="http://schemas.openxmlformats.org/officeDocument/2006/relationships/printerSettings" Target="../printerSettings/printerSettings22.bin"/><Relationship Id="rId4" Type="http://schemas.openxmlformats.org/officeDocument/2006/relationships/comments" Target="../comments20.xml"/></Relationships>
</file>

<file path=xl/worksheets/_rels/sheet25.xml.rels><?xml version="1.0" encoding="UTF-8" standalone="yes"?>
<Relationships xmlns="http://schemas.openxmlformats.org/package/2006/relationships"><Relationship Id="rId3" Type="http://schemas.openxmlformats.org/officeDocument/2006/relationships/table" Target="../tables/table18.xml"/><Relationship Id="rId2" Type="http://schemas.openxmlformats.org/officeDocument/2006/relationships/vmlDrawing" Target="../drawings/vmlDrawing21.vml"/><Relationship Id="rId1" Type="http://schemas.openxmlformats.org/officeDocument/2006/relationships/printerSettings" Target="../printerSettings/printerSettings23.bin"/><Relationship Id="rId4" Type="http://schemas.openxmlformats.org/officeDocument/2006/relationships/comments" Target="../comments21.xml"/></Relationships>
</file>

<file path=xl/worksheets/_rels/sheet26.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vmlDrawing" Target="../drawings/vmlDrawing22.vml"/><Relationship Id="rId1" Type="http://schemas.openxmlformats.org/officeDocument/2006/relationships/printerSettings" Target="../printerSettings/printerSettings24.bin"/><Relationship Id="rId4" Type="http://schemas.openxmlformats.org/officeDocument/2006/relationships/comments" Target="../comments22.xml"/></Relationships>
</file>

<file path=xl/worksheets/_rels/sheet27.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vmlDrawing" Target="../drawings/vmlDrawing23.vml"/><Relationship Id="rId1" Type="http://schemas.openxmlformats.org/officeDocument/2006/relationships/printerSettings" Target="../printerSettings/printerSettings25.bin"/><Relationship Id="rId4" Type="http://schemas.openxmlformats.org/officeDocument/2006/relationships/comments" Target="../comments23.xml"/></Relationships>
</file>

<file path=xl/worksheets/_rels/sheet28.xml.rels><?xml version="1.0" encoding="UTF-8" standalone="yes"?>
<Relationships xmlns="http://schemas.openxmlformats.org/package/2006/relationships"><Relationship Id="rId3" Type="http://schemas.openxmlformats.org/officeDocument/2006/relationships/table" Target="../tables/table21.xml"/><Relationship Id="rId2" Type="http://schemas.openxmlformats.org/officeDocument/2006/relationships/vmlDrawing" Target="../drawings/vmlDrawing24.vml"/><Relationship Id="rId1" Type="http://schemas.openxmlformats.org/officeDocument/2006/relationships/printerSettings" Target="../printerSettings/printerSettings26.bin"/><Relationship Id="rId4" Type="http://schemas.openxmlformats.org/officeDocument/2006/relationships/comments" Target="../comments24.xml"/></Relationships>
</file>

<file path=xl/worksheets/_rels/sheet29.xml.rels><?xml version="1.0" encoding="UTF-8" standalone="yes"?>
<Relationships xmlns="http://schemas.openxmlformats.org/package/2006/relationships"><Relationship Id="rId3" Type="http://schemas.openxmlformats.org/officeDocument/2006/relationships/table" Target="../tables/table22.xml"/><Relationship Id="rId2" Type="http://schemas.openxmlformats.org/officeDocument/2006/relationships/vmlDrawing" Target="../drawings/vmlDrawing25.vml"/><Relationship Id="rId1" Type="http://schemas.openxmlformats.org/officeDocument/2006/relationships/printerSettings" Target="../printerSettings/printerSettings27.bin"/><Relationship Id="rId4" Type="http://schemas.openxmlformats.org/officeDocument/2006/relationships/comments" Target="../comments25.xml"/></Relationships>
</file>

<file path=xl/worksheets/_rels/sheet30.xml.rels><?xml version="1.0" encoding="UTF-8" standalone="yes"?>
<Relationships xmlns="http://schemas.openxmlformats.org/package/2006/relationships"><Relationship Id="rId3" Type="http://schemas.openxmlformats.org/officeDocument/2006/relationships/table" Target="../tables/table23.xml"/><Relationship Id="rId2" Type="http://schemas.openxmlformats.org/officeDocument/2006/relationships/vmlDrawing" Target="../drawings/vmlDrawing26.vml"/><Relationship Id="rId1" Type="http://schemas.openxmlformats.org/officeDocument/2006/relationships/printerSettings" Target="../printerSettings/printerSettings28.bin"/><Relationship Id="rId4" Type="http://schemas.openxmlformats.org/officeDocument/2006/relationships/comments" Target="../comments26.xml"/></Relationships>
</file>

<file path=xl/worksheets/_rels/sheet31.xml.rels><?xml version="1.0" encoding="UTF-8" standalone="yes"?>
<Relationships xmlns="http://schemas.openxmlformats.org/package/2006/relationships"><Relationship Id="rId3" Type="http://schemas.openxmlformats.org/officeDocument/2006/relationships/table" Target="../tables/table24.xml"/><Relationship Id="rId2" Type="http://schemas.openxmlformats.org/officeDocument/2006/relationships/vmlDrawing" Target="../drawings/vmlDrawing27.vml"/><Relationship Id="rId1" Type="http://schemas.openxmlformats.org/officeDocument/2006/relationships/printerSettings" Target="../printerSettings/printerSettings29.bin"/><Relationship Id="rId4" Type="http://schemas.openxmlformats.org/officeDocument/2006/relationships/comments" Target="../comments27.xml"/></Relationships>
</file>

<file path=xl/worksheets/_rels/sheet32.xml.rels><?xml version="1.0" encoding="UTF-8" standalone="yes"?>
<Relationships xmlns="http://schemas.openxmlformats.org/package/2006/relationships"><Relationship Id="rId3" Type="http://schemas.openxmlformats.org/officeDocument/2006/relationships/table" Target="../tables/table25.xml"/><Relationship Id="rId2" Type="http://schemas.openxmlformats.org/officeDocument/2006/relationships/vmlDrawing" Target="../drawings/vmlDrawing28.vml"/><Relationship Id="rId1" Type="http://schemas.openxmlformats.org/officeDocument/2006/relationships/printerSettings" Target="../printerSettings/printerSettings30.bin"/><Relationship Id="rId4" Type="http://schemas.openxmlformats.org/officeDocument/2006/relationships/comments" Target="../comments28.xml"/></Relationships>
</file>

<file path=xl/worksheets/_rels/sheet33.xml.rels><?xml version="1.0" encoding="UTF-8" standalone="yes"?>
<Relationships xmlns="http://schemas.openxmlformats.org/package/2006/relationships"><Relationship Id="rId3" Type="http://schemas.openxmlformats.org/officeDocument/2006/relationships/table" Target="../tables/table26.xml"/><Relationship Id="rId2" Type="http://schemas.openxmlformats.org/officeDocument/2006/relationships/vmlDrawing" Target="../drawings/vmlDrawing29.vml"/><Relationship Id="rId1" Type="http://schemas.openxmlformats.org/officeDocument/2006/relationships/printerSettings" Target="../printerSettings/printerSettings31.bin"/><Relationship Id="rId4" Type="http://schemas.openxmlformats.org/officeDocument/2006/relationships/comments" Target="../comments29.xml"/></Relationships>
</file>

<file path=xl/worksheets/_rels/sheet34.xml.rels><?xml version="1.0" encoding="UTF-8" standalone="yes"?>
<Relationships xmlns="http://schemas.openxmlformats.org/package/2006/relationships"><Relationship Id="rId3" Type="http://schemas.openxmlformats.org/officeDocument/2006/relationships/table" Target="../tables/table27.xml"/><Relationship Id="rId2" Type="http://schemas.openxmlformats.org/officeDocument/2006/relationships/vmlDrawing" Target="../drawings/vmlDrawing30.vml"/><Relationship Id="rId1" Type="http://schemas.openxmlformats.org/officeDocument/2006/relationships/printerSettings" Target="../printerSettings/printerSettings32.bin"/><Relationship Id="rId4" Type="http://schemas.openxmlformats.org/officeDocument/2006/relationships/comments" Target="../comments30.xml"/></Relationships>
</file>

<file path=xl/worksheets/_rels/sheet35.xml.rels><?xml version="1.0" encoding="UTF-8" standalone="yes"?>
<Relationships xmlns="http://schemas.openxmlformats.org/package/2006/relationships"><Relationship Id="rId3" Type="http://schemas.openxmlformats.org/officeDocument/2006/relationships/table" Target="../tables/table28.xml"/><Relationship Id="rId2" Type="http://schemas.openxmlformats.org/officeDocument/2006/relationships/vmlDrawing" Target="../drawings/vmlDrawing31.vml"/><Relationship Id="rId1" Type="http://schemas.openxmlformats.org/officeDocument/2006/relationships/printerSettings" Target="../printerSettings/printerSettings33.bin"/><Relationship Id="rId4" Type="http://schemas.openxmlformats.org/officeDocument/2006/relationships/comments" Target="../comments31.xml"/></Relationships>
</file>

<file path=xl/worksheets/_rels/sheet36.xml.rels><?xml version="1.0" encoding="UTF-8" standalone="yes"?>
<Relationships xmlns="http://schemas.openxmlformats.org/package/2006/relationships"><Relationship Id="rId3" Type="http://schemas.openxmlformats.org/officeDocument/2006/relationships/table" Target="../tables/table29.xml"/><Relationship Id="rId2" Type="http://schemas.openxmlformats.org/officeDocument/2006/relationships/vmlDrawing" Target="../drawings/vmlDrawing32.vml"/><Relationship Id="rId1" Type="http://schemas.openxmlformats.org/officeDocument/2006/relationships/printerSettings" Target="../printerSettings/printerSettings34.bin"/><Relationship Id="rId4" Type="http://schemas.openxmlformats.org/officeDocument/2006/relationships/comments" Target="../comments32.xml"/></Relationships>
</file>

<file path=xl/worksheets/_rels/sheet37.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vmlDrawing" Target="../drawings/vmlDrawing33.vml"/><Relationship Id="rId1" Type="http://schemas.openxmlformats.org/officeDocument/2006/relationships/printerSettings" Target="../printerSettings/printerSettings35.bin"/><Relationship Id="rId4" Type="http://schemas.openxmlformats.org/officeDocument/2006/relationships/comments" Target="../comments33.xml"/></Relationships>
</file>

<file path=xl/worksheets/_rels/sheet38.xml.rels><?xml version="1.0" encoding="UTF-8" standalone="yes"?>
<Relationships xmlns="http://schemas.openxmlformats.org/package/2006/relationships"><Relationship Id="rId3" Type="http://schemas.openxmlformats.org/officeDocument/2006/relationships/table" Target="../tables/table31.xml"/><Relationship Id="rId2" Type="http://schemas.openxmlformats.org/officeDocument/2006/relationships/vmlDrawing" Target="../drawings/vmlDrawing34.vml"/><Relationship Id="rId1" Type="http://schemas.openxmlformats.org/officeDocument/2006/relationships/printerSettings" Target="../printerSettings/printerSettings36.bin"/><Relationship Id="rId4" Type="http://schemas.openxmlformats.org/officeDocument/2006/relationships/comments" Target="../comments34.xml"/></Relationships>
</file>

<file path=xl/worksheets/_rels/sheet39.xml.rels><?xml version="1.0" encoding="UTF-8" standalone="yes"?>
<Relationships xmlns="http://schemas.openxmlformats.org/package/2006/relationships"><Relationship Id="rId3" Type="http://schemas.openxmlformats.org/officeDocument/2006/relationships/table" Target="../tables/table32.xml"/><Relationship Id="rId2" Type="http://schemas.openxmlformats.org/officeDocument/2006/relationships/vmlDrawing" Target="../drawings/vmlDrawing35.vml"/><Relationship Id="rId1" Type="http://schemas.openxmlformats.org/officeDocument/2006/relationships/printerSettings" Target="../printerSettings/printerSettings37.bin"/><Relationship Id="rId4" Type="http://schemas.openxmlformats.org/officeDocument/2006/relationships/comments" Target="../comments35.xml"/></Relationships>
</file>

<file path=xl/worksheets/_rels/sheet40.xml.rels><?xml version="1.0" encoding="UTF-8" standalone="yes"?>
<Relationships xmlns="http://schemas.openxmlformats.org/package/2006/relationships"><Relationship Id="rId3" Type="http://schemas.openxmlformats.org/officeDocument/2006/relationships/table" Target="../tables/table33.xml"/><Relationship Id="rId2" Type="http://schemas.openxmlformats.org/officeDocument/2006/relationships/vmlDrawing" Target="../drawings/vmlDrawing36.vml"/><Relationship Id="rId1" Type="http://schemas.openxmlformats.org/officeDocument/2006/relationships/printerSettings" Target="../printerSettings/printerSettings38.bin"/><Relationship Id="rId4" Type="http://schemas.openxmlformats.org/officeDocument/2006/relationships/comments" Target="../comments36.xml"/></Relationships>
</file>

<file path=xl/worksheets/_rels/sheet41.xml.rels><?xml version="1.0" encoding="UTF-8" standalone="yes"?>
<Relationships xmlns="http://schemas.openxmlformats.org/package/2006/relationships"><Relationship Id="rId3" Type="http://schemas.openxmlformats.org/officeDocument/2006/relationships/table" Target="../tables/table34.xml"/><Relationship Id="rId2" Type="http://schemas.openxmlformats.org/officeDocument/2006/relationships/vmlDrawing" Target="../drawings/vmlDrawing37.vml"/><Relationship Id="rId1" Type="http://schemas.openxmlformats.org/officeDocument/2006/relationships/printerSettings" Target="../printerSettings/printerSettings39.bin"/><Relationship Id="rId4" Type="http://schemas.openxmlformats.org/officeDocument/2006/relationships/comments" Target="../comments37.xml"/></Relationships>
</file>

<file path=xl/worksheets/_rels/sheet42.xml.rels><?xml version="1.0" encoding="UTF-8" standalone="yes"?>
<Relationships xmlns="http://schemas.openxmlformats.org/package/2006/relationships"><Relationship Id="rId3" Type="http://schemas.openxmlformats.org/officeDocument/2006/relationships/table" Target="../tables/table35.xml"/><Relationship Id="rId2" Type="http://schemas.openxmlformats.org/officeDocument/2006/relationships/vmlDrawing" Target="../drawings/vmlDrawing38.vml"/><Relationship Id="rId1" Type="http://schemas.openxmlformats.org/officeDocument/2006/relationships/printerSettings" Target="../printerSettings/printerSettings40.bin"/><Relationship Id="rId4" Type="http://schemas.openxmlformats.org/officeDocument/2006/relationships/comments" Target="../comments38.xml"/></Relationships>
</file>

<file path=xl/worksheets/_rels/sheet43.xml.rels><?xml version="1.0" encoding="UTF-8" standalone="yes"?>
<Relationships xmlns="http://schemas.openxmlformats.org/package/2006/relationships"><Relationship Id="rId3" Type="http://schemas.openxmlformats.org/officeDocument/2006/relationships/table" Target="../tables/table36.xml"/><Relationship Id="rId2" Type="http://schemas.openxmlformats.org/officeDocument/2006/relationships/vmlDrawing" Target="../drawings/vmlDrawing39.vml"/><Relationship Id="rId1" Type="http://schemas.openxmlformats.org/officeDocument/2006/relationships/printerSettings" Target="../printerSettings/printerSettings41.bin"/><Relationship Id="rId4" Type="http://schemas.openxmlformats.org/officeDocument/2006/relationships/comments" Target="../comments39.xml"/></Relationships>
</file>

<file path=xl/worksheets/_rels/sheet44.xml.rels><?xml version="1.0" encoding="UTF-8" standalone="yes"?>
<Relationships xmlns="http://schemas.openxmlformats.org/package/2006/relationships"><Relationship Id="rId3" Type="http://schemas.openxmlformats.org/officeDocument/2006/relationships/table" Target="../tables/table37.xml"/><Relationship Id="rId2" Type="http://schemas.openxmlformats.org/officeDocument/2006/relationships/vmlDrawing" Target="../drawings/vmlDrawing40.vml"/><Relationship Id="rId1" Type="http://schemas.openxmlformats.org/officeDocument/2006/relationships/printerSettings" Target="../printerSettings/printerSettings42.bin"/><Relationship Id="rId4" Type="http://schemas.openxmlformats.org/officeDocument/2006/relationships/comments" Target="../comments40.xml"/></Relationships>
</file>

<file path=xl/worksheets/_rels/sheet45.xml.rels><?xml version="1.0" encoding="UTF-8" standalone="yes"?>
<Relationships xmlns="http://schemas.openxmlformats.org/package/2006/relationships"><Relationship Id="rId3" Type="http://schemas.openxmlformats.org/officeDocument/2006/relationships/table" Target="../tables/table38.xml"/><Relationship Id="rId2" Type="http://schemas.openxmlformats.org/officeDocument/2006/relationships/vmlDrawing" Target="../drawings/vmlDrawing41.vml"/><Relationship Id="rId1" Type="http://schemas.openxmlformats.org/officeDocument/2006/relationships/printerSettings" Target="../printerSettings/printerSettings43.bin"/><Relationship Id="rId4" Type="http://schemas.openxmlformats.org/officeDocument/2006/relationships/comments" Target="../comments41.xml"/></Relationships>
</file>

<file path=xl/worksheets/_rels/sheet46.xml.rels><?xml version="1.0" encoding="UTF-8" standalone="yes"?>
<Relationships xmlns="http://schemas.openxmlformats.org/package/2006/relationships"><Relationship Id="rId3" Type="http://schemas.openxmlformats.org/officeDocument/2006/relationships/table" Target="../tables/table39.xml"/><Relationship Id="rId2" Type="http://schemas.openxmlformats.org/officeDocument/2006/relationships/vmlDrawing" Target="../drawings/vmlDrawing42.vml"/><Relationship Id="rId1" Type="http://schemas.openxmlformats.org/officeDocument/2006/relationships/printerSettings" Target="../printerSettings/printerSettings44.bin"/><Relationship Id="rId4" Type="http://schemas.openxmlformats.org/officeDocument/2006/relationships/comments" Target="../comments42.xml"/></Relationships>
</file>

<file path=xl/worksheets/_rels/sheet47.xml.rels><?xml version="1.0" encoding="UTF-8" standalone="yes"?>
<Relationships xmlns="http://schemas.openxmlformats.org/package/2006/relationships"><Relationship Id="rId3" Type="http://schemas.openxmlformats.org/officeDocument/2006/relationships/table" Target="../tables/table40.xml"/><Relationship Id="rId2" Type="http://schemas.openxmlformats.org/officeDocument/2006/relationships/vmlDrawing" Target="../drawings/vmlDrawing43.vml"/><Relationship Id="rId1" Type="http://schemas.openxmlformats.org/officeDocument/2006/relationships/printerSettings" Target="../printerSettings/printerSettings45.bin"/><Relationship Id="rId4" Type="http://schemas.openxmlformats.org/officeDocument/2006/relationships/comments" Target="../comments43.xml"/></Relationships>
</file>

<file path=xl/worksheets/_rels/sheet48.xml.rels><?xml version="1.0" encoding="UTF-8" standalone="yes"?>
<Relationships xmlns="http://schemas.openxmlformats.org/package/2006/relationships"><Relationship Id="rId3" Type="http://schemas.openxmlformats.org/officeDocument/2006/relationships/table" Target="../tables/table41.xml"/><Relationship Id="rId2" Type="http://schemas.openxmlformats.org/officeDocument/2006/relationships/vmlDrawing" Target="../drawings/vmlDrawing44.vml"/><Relationship Id="rId1" Type="http://schemas.openxmlformats.org/officeDocument/2006/relationships/printerSettings" Target="../printerSettings/printerSettings46.bin"/><Relationship Id="rId4" Type="http://schemas.openxmlformats.org/officeDocument/2006/relationships/comments" Target="../comments44.xml"/></Relationships>
</file>

<file path=xl/worksheets/_rels/sheet49.xml.rels><?xml version="1.0" encoding="UTF-8" standalone="yes"?>
<Relationships xmlns="http://schemas.openxmlformats.org/package/2006/relationships"><Relationship Id="rId3" Type="http://schemas.openxmlformats.org/officeDocument/2006/relationships/table" Target="../tables/table42.xml"/><Relationship Id="rId2" Type="http://schemas.openxmlformats.org/officeDocument/2006/relationships/vmlDrawing" Target="../drawings/vmlDrawing45.vml"/><Relationship Id="rId1" Type="http://schemas.openxmlformats.org/officeDocument/2006/relationships/printerSettings" Target="../printerSettings/printerSettings47.bin"/><Relationship Id="rId4" Type="http://schemas.openxmlformats.org/officeDocument/2006/relationships/comments" Target="../comments45.xml"/></Relationships>
</file>

<file path=xl/worksheets/_rels/sheet50.xml.rels><?xml version="1.0" encoding="UTF-8" standalone="yes"?>
<Relationships xmlns="http://schemas.openxmlformats.org/package/2006/relationships"><Relationship Id="rId3" Type="http://schemas.openxmlformats.org/officeDocument/2006/relationships/table" Target="../tables/table43.xml"/><Relationship Id="rId2" Type="http://schemas.openxmlformats.org/officeDocument/2006/relationships/vmlDrawing" Target="../drawings/vmlDrawing46.vml"/><Relationship Id="rId1" Type="http://schemas.openxmlformats.org/officeDocument/2006/relationships/printerSettings" Target="../printerSettings/printerSettings48.bin"/><Relationship Id="rId4" Type="http://schemas.openxmlformats.org/officeDocument/2006/relationships/comments" Target="../comments46.xml"/></Relationships>
</file>

<file path=xl/worksheets/_rels/sheet51.xml.rels><?xml version="1.0" encoding="UTF-8" standalone="yes"?>
<Relationships xmlns="http://schemas.openxmlformats.org/package/2006/relationships"><Relationship Id="rId3" Type="http://schemas.openxmlformats.org/officeDocument/2006/relationships/table" Target="../tables/table44.xml"/><Relationship Id="rId2" Type="http://schemas.openxmlformats.org/officeDocument/2006/relationships/vmlDrawing" Target="../drawings/vmlDrawing47.vml"/><Relationship Id="rId1" Type="http://schemas.openxmlformats.org/officeDocument/2006/relationships/printerSettings" Target="../printerSettings/printerSettings49.bin"/><Relationship Id="rId4" Type="http://schemas.openxmlformats.org/officeDocument/2006/relationships/comments" Target="../comments47.xml"/></Relationships>
</file>

<file path=xl/worksheets/_rels/sheet52.xml.rels><?xml version="1.0" encoding="UTF-8" standalone="yes"?>
<Relationships xmlns="http://schemas.openxmlformats.org/package/2006/relationships"><Relationship Id="rId3" Type="http://schemas.openxmlformats.org/officeDocument/2006/relationships/table" Target="../tables/table45.xml"/><Relationship Id="rId2" Type="http://schemas.openxmlformats.org/officeDocument/2006/relationships/vmlDrawing" Target="../drawings/vmlDrawing48.vml"/><Relationship Id="rId1" Type="http://schemas.openxmlformats.org/officeDocument/2006/relationships/printerSettings" Target="../printerSettings/printerSettings50.bin"/><Relationship Id="rId4" Type="http://schemas.openxmlformats.org/officeDocument/2006/relationships/comments" Target="../comments48.xml"/></Relationships>
</file>

<file path=xl/worksheets/_rels/sheet53.xml.rels><?xml version="1.0" encoding="UTF-8" standalone="yes"?>
<Relationships xmlns="http://schemas.openxmlformats.org/package/2006/relationships"><Relationship Id="rId3" Type="http://schemas.openxmlformats.org/officeDocument/2006/relationships/table" Target="../tables/table46.xml"/><Relationship Id="rId2" Type="http://schemas.openxmlformats.org/officeDocument/2006/relationships/vmlDrawing" Target="../drawings/vmlDrawing49.vml"/><Relationship Id="rId1" Type="http://schemas.openxmlformats.org/officeDocument/2006/relationships/printerSettings" Target="../printerSettings/printerSettings51.bin"/><Relationship Id="rId4" Type="http://schemas.openxmlformats.org/officeDocument/2006/relationships/comments" Target="../comments49.xml"/></Relationships>
</file>

<file path=xl/worksheets/_rels/sheet54.xml.rels><?xml version="1.0" encoding="UTF-8" standalone="yes"?>
<Relationships xmlns="http://schemas.openxmlformats.org/package/2006/relationships"><Relationship Id="rId3" Type="http://schemas.openxmlformats.org/officeDocument/2006/relationships/table" Target="../tables/table47.xml"/><Relationship Id="rId2" Type="http://schemas.openxmlformats.org/officeDocument/2006/relationships/vmlDrawing" Target="../drawings/vmlDrawing50.vml"/><Relationship Id="rId1" Type="http://schemas.openxmlformats.org/officeDocument/2006/relationships/printerSettings" Target="../printerSettings/printerSettings52.bin"/><Relationship Id="rId4" Type="http://schemas.openxmlformats.org/officeDocument/2006/relationships/comments" Target="../comments50.xml"/></Relationships>
</file>

<file path=xl/worksheets/_rels/sheet55.xml.rels><?xml version="1.0" encoding="UTF-8" standalone="yes"?>
<Relationships xmlns="http://schemas.openxmlformats.org/package/2006/relationships"><Relationship Id="rId3" Type="http://schemas.openxmlformats.org/officeDocument/2006/relationships/table" Target="../tables/table48.xml"/><Relationship Id="rId2" Type="http://schemas.openxmlformats.org/officeDocument/2006/relationships/vmlDrawing" Target="../drawings/vmlDrawing51.vml"/><Relationship Id="rId1" Type="http://schemas.openxmlformats.org/officeDocument/2006/relationships/printerSettings" Target="../printerSettings/printerSettings53.bin"/><Relationship Id="rId4" Type="http://schemas.openxmlformats.org/officeDocument/2006/relationships/comments" Target="../comments51.xml"/></Relationships>
</file>

<file path=xl/worksheets/_rels/sheet56.xml.rels><?xml version="1.0" encoding="UTF-8" standalone="yes"?>
<Relationships xmlns="http://schemas.openxmlformats.org/package/2006/relationships"><Relationship Id="rId3" Type="http://schemas.openxmlformats.org/officeDocument/2006/relationships/table" Target="../tables/table49.xml"/><Relationship Id="rId2" Type="http://schemas.openxmlformats.org/officeDocument/2006/relationships/vmlDrawing" Target="../drawings/vmlDrawing52.vml"/><Relationship Id="rId1" Type="http://schemas.openxmlformats.org/officeDocument/2006/relationships/printerSettings" Target="../printerSettings/printerSettings54.bin"/><Relationship Id="rId4" Type="http://schemas.openxmlformats.org/officeDocument/2006/relationships/comments" Target="../comments52.xml"/></Relationships>
</file>

<file path=xl/worksheets/_rels/sheet57.xml.rels><?xml version="1.0" encoding="UTF-8" standalone="yes"?>
<Relationships xmlns="http://schemas.openxmlformats.org/package/2006/relationships"><Relationship Id="rId3" Type="http://schemas.openxmlformats.org/officeDocument/2006/relationships/table" Target="../tables/table50.xml"/><Relationship Id="rId2" Type="http://schemas.openxmlformats.org/officeDocument/2006/relationships/vmlDrawing" Target="../drawings/vmlDrawing53.vml"/><Relationship Id="rId1" Type="http://schemas.openxmlformats.org/officeDocument/2006/relationships/printerSettings" Target="../printerSettings/printerSettings55.bin"/><Relationship Id="rId4" Type="http://schemas.openxmlformats.org/officeDocument/2006/relationships/comments" Target="../comments53.xml"/></Relationships>
</file>

<file path=xl/worksheets/_rels/sheet58.xml.rels><?xml version="1.0" encoding="UTF-8" standalone="yes"?>
<Relationships xmlns="http://schemas.openxmlformats.org/package/2006/relationships"><Relationship Id="rId3" Type="http://schemas.openxmlformats.org/officeDocument/2006/relationships/table" Target="../tables/table51.xml"/><Relationship Id="rId2" Type="http://schemas.openxmlformats.org/officeDocument/2006/relationships/vmlDrawing" Target="../drawings/vmlDrawing54.vml"/><Relationship Id="rId1" Type="http://schemas.openxmlformats.org/officeDocument/2006/relationships/printerSettings" Target="../printerSettings/printerSettings56.bin"/><Relationship Id="rId4" Type="http://schemas.openxmlformats.org/officeDocument/2006/relationships/comments" Target="../comments54.xml"/></Relationships>
</file>

<file path=xl/worksheets/_rels/sheet59.xml.rels><?xml version="1.0" encoding="UTF-8" standalone="yes"?>
<Relationships xmlns="http://schemas.openxmlformats.org/package/2006/relationships"><Relationship Id="rId2" Type="http://schemas.openxmlformats.org/officeDocument/2006/relationships/table" Target="../tables/table52.xml"/><Relationship Id="rId1" Type="http://schemas.openxmlformats.org/officeDocument/2006/relationships/printerSettings" Target="../printerSettings/printerSettings57.bin"/></Relationships>
</file>

<file path=xl/worksheets/_rels/sheet60.xml.rels><?xml version="1.0" encoding="UTF-8" standalone="yes"?>
<Relationships xmlns="http://schemas.openxmlformats.org/package/2006/relationships"><Relationship Id="rId2" Type="http://schemas.openxmlformats.org/officeDocument/2006/relationships/table" Target="../tables/table53.xml"/><Relationship Id="rId1" Type="http://schemas.openxmlformats.org/officeDocument/2006/relationships/printerSettings" Target="../printerSettings/printerSettings58.bin"/></Relationships>
</file>

<file path=xl/worksheets/_rels/sheet61.xml.rels><?xml version="1.0" encoding="UTF-8" standalone="yes"?>
<Relationships xmlns="http://schemas.openxmlformats.org/package/2006/relationships"><Relationship Id="rId2" Type="http://schemas.openxmlformats.org/officeDocument/2006/relationships/table" Target="../tables/table54.xml"/><Relationship Id="rId1" Type="http://schemas.openxmlformats.org/officeDocument/2006/relationships/printerSettings" Target="../printerSettings/printerSettings59.bin"/></Relationships>
</file>

<file path=xl/worksheets/_rels/sheet62.xml.rels><?xml version="1.0" encoding="UTF-8" standalone="yes"?>
<Relationships xmlns="http://schemas.openxmlformats.org/package/2006/relationships"><Relationship Id="rId3" Type="http://schemas.openxmlformats.org/officeDocument/2006/relationships/table" Target="../tables/table55.xml"/><Relationship Id="rId2" Type="http://schemas.openxmlformats.org/officeDocument/2006/relationships/vmlDrawing" Target="../drawings/vmlDrawing55.vml"/><Relationship Id="rId1" Type="http://schemas.openxmlformats.org/officeDocument/2006/relationships/printerSettings" Target="../printerSettings/printerSettings60.bin"/><Relationship Id="rId4" Type="http://schemas.openxmlformats.org/officeDocument/2006/relationships/comments" Target="../comments55.xml"/></Relationships>
</file>

<file path=xl/worksheets/_rels/sheet63.xml.rels><?xml version="1.0" encoding="UTF-8" standalone="yes"?>
<Relationships xmlns="http://schemas.openxmlformats.org/package/2006/relationships"><Relationship Id="rId2" Type="http://schemas.openxmlformats.org/officeDocument/2006/relationships/table" Target="../tables/table56.xml"/><Relationship Id="rId1" Type="http://schemas.openxmlformats.org/officeDocument/2006/relationships/printerSettings" Target="../printerSettings/printerSettings61.bin"/></Relationships>
</file>

<file path=xl/worksheets/_rels/sheet64.xml.rels><?xml version="1.0" encoding="UTF-8" standalone="yes"?>
<Relationships xmlns="http://schemas.openxmlformats.org/package/2006/relationships"><Relationship Id="rId3" Type="http://schemas.openxmlformats.org/officeDocument/2006/relationships/table" Target="../tables/table57.xml"/><Relationship Id="rId2" Type="http://schemas.openxmlformats.org/officeDocument/2006/relationships/vmlDrawing" Target="../drawings/vmlDrawing56.vml"/><Relationship Id="rId1" Type="http://schemas.openxmlformats.org/officeDocument/2006/relationships/printerSettings" Target="../printerSettings/printerSettings62.bin"/><Relationship Id="rId4" Type="http://schemas.openxmlformats.org/officeDocument/2006/relationships/comments" Target="../comments56.xml"/></Relationships>
</file>

<file path=xl/worksheets/_rels/sheet65.xml.rels><?xml version="1.0" encoding="UTF-8" standalone="yes"?>
<Relationships xmlns="http://schemas.openxmlformats.org/package/2006/relationships"><Relationship Id="rId2" Type="http://schemas.openxmlformats.org/officeDocument/2006/relationships/table" Target="../tables/table58.xml"/><Relationship Id="rId1" Type="http://schemas.openxmlformats.org/officeDocument/2006/relationships/printerSettings" Target="../printerSettings/printerSettings63.bin"/></Relationships>
</file>

<file path=xl/worksheets/_rels/sheet66.xml.rels><?xml version="1.0" encoding="UTF-8" standalone="yes"?>
<Relationships xmlns="http://schemas.openxmlformats.org/package/2006/relationships"><Relationship Id="rId3" Type="http://schemas.openxmlformats.org/officeDocument/2006/relationships/table" Target="../tables/table59.xml"/><Relationship Id="rId2" Type="http://schemas.openxmlformats.org/officeDocument/2006/relationships/vmlDrawing" Target="../drawings/vmlDrawing57.vml"/><Relationship Id="rId1" Type="http://schemas.openxmlformats.org/officeDocument/2006/relationships/printerSettings" Target="../printerSettings/printerSettings64.bin"/><Relationship Id="rId4" Type="http://schemas.openxmlformats.org/officeDocument/2006/relationships/comments" Target="../comments57.xml"/></Relationships>
</file>

<file path=xl/worksheets/_rels/sheet67.xml.rels><?xml version="1.0" encoding="UTF-8" standalone="yes"?>
<Relationships xmlns="http://schemas.openxmlformats.org/package/2006/relationships"><Relationship Id="rId3" Type="http://schemas.openxmlformats.org/officeDocument/2006/relationships/table" Target="../tables/table60.xml"/><Relationship Id="rId2" Type="http://schemas.openxmlformats.org/officeDocument/2006/relationships/vmlDrawing" Target="../drawings/vmlDrawing58.vml"/><Relationship Id="rId1" Type="http://schemas.openxmlformats.org/officeDocument/2006/relationships/printerSettings" Target="../printerSettings/printerSettings65.bin"/><Relationship Id="rId4" Type="http://schemas.openxmlformats.org/officeDocument/2006/relationships/comments" Target="../comments58.xml"/></Relationships>
</file>

<file path=xl/worksheets/_rels/sheet68.xml.rels><?xml version="1.0" encoding="UTF-8" standalone="yes"?>
<Relationships xmlns="http://schemas.openxmlformats.org/package/2006/relationships"><Relationship Id="rId2" Type="http://schemas.openxmlformats.org/officeDocument/2006/relationships/table" Target="../tables/table61.xml"/><Relationship Id="rId1" Type="http://schemas.openxmlformats.org/officeDocument/2006/relationships/printerSettings" Target="../printerSettings/printerSettings66.bin"/></Relationships>
</file>

<file path=xl/worksheets/_rels/sheet69.xml.rels><?xml version="1.0" encoding="UTF-8" standalone="yes"?>
<Relationships xmlns="http://schemas.openxmlformats.org/package/2006/relationships"><Relationship Id="rId2" Type="http://schemas.openxmlformats.org/officeDocument/2006/relationships/table" Target="../tables/table62.xml"/><Relationship Id="rId1" Type="http://schemas.openxmlformats.org/officeDocument/2006/relationships/printerSettings" Target="../printerSettings/printerSettings67.bin"/></Relationships>
</file>

<file path=xl/worksheets/_rels/sheet70.xml.rels><?xml version="1.0" encoding="UTF-8" standalone="yes"?>
<Relationships xmlns="http://schemas.openxmlformats.org/package/2006/relationships"><Relationship Id="rId3" Type="http://schemas.openxmlformats.org/officeDocument/2006/relationships/table" Target="../tables/table63.xml"/><Relationship Id="rId2" Type="http://schemas.openxmlformats.org/officeDocument/2006/relationships/vmlDrawing" Target="../drawings/vmlDrawing59.vml"/><Relationship Id="rId1" Type="http://schemas.openxmlformats.org/officeDocument/2006/relationships/printerSettings" Target="../printerSettings/printerSettings68.bin"/><Relationship Id="rId4" Type="http://schemas.openxmlformats.org/officeDocument/2006/relationships/comments" Target="../comments59.xml"/></Relationships>
</file>

<file path=xl/worksheets/_rels/sheet71.xml.rels><?xml version="1.0" encoding="UTF-8" standalone="yes"?>
<Relationships xmlns="http://schemas.openxmlformats.org/package/2006/relationships"><Relationship Id="rId2" Type="http://schemas.openxmlformats.org/officeDocument/2006/relationships/table" Target="../tables/table64.xml"/><Relationship Id="rId1" Type="http://schemas.openxmlformats.org/officeDocument/2006/relationships/printerSettings" Target="../printerSettings/printerSettings69.bin"/></Relationships>
</file>

<file path=xl/worksheets/_rels/sheet72.xml.rels><?xml version="1.0" encoding="UTF-8" standalone="yes"?>
<Relationships xmlns="http://schemas.openxmlformats.org/package/2006/relationships"><Relationship Id="rId2" Type="http://schemas.openxmlformats.org/officeDocument/2006/relationships/table" Target="../tables/table65.xml"/><Relationship Id="rId1" Type="http://schemas.openxmlformats.org/officeDocument/2006/relationships/printerSettings" Target="../printerSettings/printerSettings70.bin"/></Relationships>
</file>

<file path=xl/worksheets/_rels/sheet73.xml.rels><?xml version="1.0" encoding="UTF-8" standalone="yes"?>
<Relationships xmlns="http://schemas.openxmlformats.org/package/2006/relationships"><Relationship Id="rId2" Type="http://schemas.openxmlformats.org/officeDocument/2006/relationships/table" Target="../tables/table66.xml"/><Relationship Id="rId1" Type="http://schemas.openxmlformats.org/officeDocument/2006/relationships/printerSettings" Target="../printerSettings/printerSettings71.bin"/></Relationships>
</file>

<file path=xl/worksheets/_rels/sheet74.xml.rels><?xml version="1.0" encoding="UTF-8" standalone="yes"?>
<Relationships xmlns="http://schemas.openxmlformats.org/package/2006/relationships"><Relationship Id="rId3" Type="http://schemas.openxmlformats.org/officeDocument/2006/relationships/table" Target="../tables/table67.xml"/><Relationship Id="rId2" Type="http://schemas.openxmlformats.org/officeDocument/2006/relationships/vmlDrawing" Target="../drawings/vmlDrawing60.vml"/><Relationship Id="rId1" Type="http://schemas.openxmlformats.org/officeDocument/2006/relationships/printerSettings" Target="../printerSettings/printerSettings72.bin"/><Relationship Id="rId4" Type="http://schemas.openxmlformats.org/officeDocument/2006/relationships/comments" Target="../comments60.xml"/></Relationships>
</file>

<file path=xl/worksheets/_rels/sheet75.xml.rels><?xml version="1.0" encoding="UTF-8" standalone="yes"?>
<Relationships xmlns="http://schemas.openxmlformats.org/package/2006/relationships"><Relationship Id="rId3" Type="http://schemas.openxmlformats.org/officeDocument/2006/relationships/table" Target="../tables/table68.xml"/><Relationship Id="rId2" Type="http://schemas.openxmlformats.org/officeDocument/2006/relationships/vmlDrawing" Target="../drawings/vmlDrawing61.vml"/><Relationship Id="rId1" Type="http://schemas.openxmlformats.org/officeDocument/2006/relationships/printerSettings" Target="../printerSettings/printerSettings73.bin"/><Relationship Id="rId4" Type="http://schemas.openxmlformats.org/officeDocument/2006/relationships/comments" Target="../comments61.xml"/></Relationships>
</file>

<file path=xl/worksheets/_rels/sheet76.xml.rels><?xml version="1.0" encoding="UTF-8" standalone="yes"?>
<Relationships xmlns="http://schemas.openxmlformats.org/package/2006/relationships"><Relationship Id="rId3" Type="http://schemas.openxmlformats.org/officeDocument/2006/relationships/table" Target="../tables/table69.xml"/><Relationship Id="rId2" Type="http://schemas.openxmlformats.org/officeDocument/2006/relationships/vmlDrawing" Target="../drawings/vmlDrawing62.vml"/><Relationship Id="rId1" Type="http://schemas.openxmlformats.org/officeDocument/2006/relationships/printerSettings" Target="../printerSettings/printerSettings74.bin"/><Relationship Id="rId4" Type="http://schemas.openxmlformats.org/officeDocument/2006/relationships/comments" Target="../comments62.xml"/></Relationships>
</file>

<file path=xl/worksheets/_rels/sheet77.xml.rels><?xml version="1.0" encoding="UTF-8" standalone="yes"?>
<Relationships xmlns="http://schemas.openxmlformats.org/package/2006/relationships"><Relationship Id="rId3" Type="http://schemas.openxmlformats.org/officeDocument/2006/relationships/table" Target="../tables/table70.xml"/><Relationship Id="rId2" Type="http://schemas.openxmlformats.org/officeDocument/2006/relationships/vmlDrawing" Target="../drawings/vmlDrawing63.vml"/><Relationship Id="rId1" Type="http://schemas.openxmlformats.org/officeDocument/2006/relationships/printerSettings" Target="../printerSettings/printerSettings75.bin"/><Relationship Id="rId4" Type="http://schemas.openxmlformats.org/officeDocument/2006/relationships/comments" Target="../comments63.xml"/></Relationships>
</file>

<file path=xl/worksheets/_rels/sheet78.xml.rels><?xml version="1.0" encoding="UTF-8" standalone="yes"?>
<Relationships xmlns="http://schemas.openxmlformats.org/package/2006/relationships"><Relationship Id="rId3" Type="http://schemas.openxmlformats.org/officeDocument/2006/relationships/table" Target="../tables/table71.xml"/><Relationship Id="rId2" Type="http://schemas.openxmlformats.org/officeDocument/2006/relationships/vmlDrawing" Target="../drawings/vmlDrawing64.vml"/><Relationship Id="rId1" Type="http://schemas.openxmlformats.org/officeDocument/2006/relationships/printerSettings" Target="../printerSettings/printerSettings76.bin"/><Relationship Id="rId4" Type="http://schemas.openxmlformats.org/officeDocument/2006/relationships/comments" Target="../comments64.xml"/></Relationships>
</file>

<file path=xl/worksheets/_rels/sheet79.xml.rels><?xml version="1.0" encoding="UTF-8" standalone="yes"?>
<Relationships xmlns="http://schemas.openxmlformats.org/package/2006/relationships"><Relationship Id="rId3" Type="http://schemas.openxmlformats.org/officeDocument/2006/relationships/table" Target="../tables/table72.xml"/><Relationship Id="rId2" Type="http://schemas.openxmlformats.org/officeDocument/2006/relationships/vmlDrawing" Target="../drawings/vmlDrawing65.vml"/><Relationship Id="rId1" Type="http://schemas.openxmlformats.org/officeDocument/2006/relationships/printerSettings" Target="../printerSettings/printerSettings77.bin"/><Relationship Id="rId4" Type="http://schemas.openxmlformats.org/officeDocument/2006/relationships/comments" Target="../comments65.xml"/></Relationships>
</file>

<file path=xl/worksheets/_rels/sheet80.xml.rels><?xml version="1.0" encoding="UTF-8" standalone="yes"?>
<Relationships xmlns="http://schemas.openxmlformats.org/package/2006/relationships"><Relationship Id="rId2" Type="http://schemas.openxmlformats.org/officeDocument/2006/relationships/table" Target="../tables/table73.xml"/><Relationship Id="rId1" Type="http://schemas.openxmlformats.org/officeDocument/2006/relationships/printerSettings" Target="../printerSettings/printerSettings78.bin"/></Relationships>
</file>

<file path=xl/worksheets/_rels/sheet81.xml.rels><?xml version="1.0" encoding="UTF-8" standalone="yes"?>
<Relationships xmlns="http://schemas.openxmlformats.org/package/2006/relationships"><Relationship Id="rId2" Type="http://schemas.openxmlformats.org/officeDocument/2006/relationships/table" Target="../tables/table74.xml"/><Relationship Id="rId1" Type="http://schemas.openxmlformats.org/officeDocument/2006/relationships/printerSettings" Target="../printerSettings/printerSettings79.bin"/></Relationships>
</file>

<file path=xl/worksheets/_rels/sheet82.xml.rels><?xml version="1.0" encoding="UTF-8" standalone="yes"?>
<Relationships xmlns="http://schemas.openxmlformats.org/package/2006/relationships"><Relationship Id="rId2" Type="http://schemas.openxmlformats.org/officeDocument/2006/relationships/table" Target="../tables/table75.xml"/><Relationship Id="rId1" Type="http://schemas.openxmlformats.org/officeDocument/2006/relationships/printerSettings" Target="../printerSettings/printerSettings80.bin"/></Relationships>
</file>

<file path=xl/worksheets/_rels/sheet83.xml.rels><?xml version="1.0" encoding="UTF-8" standalone="yes"?>
<Relationships xmlns="http://schemas.openxmlformats.org/package/2006/relationships"><Relationship Id="rId3" Type="http://schemas.openxmlformats.org/officeDocument/2006/relationships/table" Target="../tables/table76.xml"/><Relationship Id="rId2" Type="http://schemas.openxmlformats.org/officeDocument/2006/relationships/vmlDrawing" Target="../drawings/vmlDrawing66.vml"/><Relationship Id="rId1" Type="http://schemas.openxmlformats.org/officeDocument/2006/relationships/printerSettings" Target="../printerSettings/printerSettings81.bin"/><Relationship Id="rId4" Type="http://schemas.openxmlformats.org/officeDocument/2006/relationships/comments" Target="../comments66.xml"/></Relationships>
</file>

<file path=xl/worksheets/_rels/sheet84.xml.rels><?xml version="1.0" encoding="UTF-8" standalone="yes"?>
<Relationships xmlns="http://schemas.openxmlformats.org/package/2006/relationships"><Relationship Id="rId3" Type="http://schemas.openxmlformats.org/officeDocument/2006/relationships/table" Target="../tables/table77.xml"/><Relationship Id="rId2" Type="http://schemas.openxmlformats.org/officeDocument/2006/relationships/vmlDrawing" Target="../drawings/vmlDrawing67.vml"/><Relationship Id="rId1" Type="http://schemas.openxmlformats.org/officeDocument/2006/relationships/printerSettings" Target="../printerSettings/printerSettings82.bin"/><Relationship Id="rId4" Type="http://schemas.openxmlformats.org/officeDocument/2006/relationships/comments" Target="../comments67.xml"/></Relationships>
</file>

<file path=xl/worksheets/_rels/sheet85.xml.rels><?xml version="1.0" encoding="UTF-8" standalone="yes"?>
<Relationships xmlns="http://schemas.openxmlformats.org/package/2006/relationships"><Relationship Id="rId3" Type="http://schemas.openxmlformats.org/officeDocument/2006/relationships/table" Target="../tables/table78.xml"/><Relationship Id="rId2" Type="http://schemas.openxmlformats.org/officeDocument/2006/relationships/vmlDrawing" Target="../drawings/vmlDrawing68.vml"/><Relationship Id="rId1" Type="http://schemas.openxmlformats.org/officeDocument/2006/relationships/printerSettings" Target="../printerSettings/printerSettings83.bin"/><Relationship Id="rId4" Type="http://schemas.openxmlformats.org/officeDocument/2006/relationships/comments" Target="../comments68.xml"/></Relationships>
</file>

<file path=xl/worksheets/_rels/sheet86.xml.rels><?xml version="1.0" encoding="UTF-8" standalone="yes"?>
<Relationships xmlns="http://schemas.openxmlformats.org/package/2006/relationships"><Relationship Id="rId3" Type="http://schemas.openxmlformats.org/officeDocument/2006/relationships/table" Target="../tables/table79.xml"/><Relationship Id="rId2" Type="http://schemas.openxmlformats.org/officeDocument/2006/relationships/vmlDrawing" Target="../drawings/vmlDrawing69.vml"/><Relationship Id="rId1" Type="http://schemas.openxmlformats.org/officeDocument/2006/relationships/printerSettings" Target="../printerSettings/printerSettings84.bin"/><Relationship Id="rId4" Type="http://schemas.openxmlformats.org/officeDocument/2006/relationships/comments" Target="../comments69.xml"/></Relationships>
</file>

<file path=xl/worksheets/_rels/sheet87.xml.rels><?xml version="1.0" encoding="UTF-8" standalone="yes"?>
<Relationships xmlns="http://schemas.openxmlformats.org/package/2006/relationships"><Relationship Id="rId2" Type="http://schemas.openxmlformats.org/officeDocument/2006/relationships/table" Target="../tables/table80.xml"/><Relationship Id="rId1" Type="http://schemas.openxmlformats.org/officeDocument/2006/relationships/printerSettings" Target="../printerSettings/printerSettings8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3DCAD-2A46-45FE-80A6-31052D530F5D}">
  <dimension ref="A1:CU169"/>
  <sheetViews>
    <sheetView tabSelected="1" workbookViewId="0">
      <pane xSplit="2" ySplit="3" topLeftCell="BQ4" activePane="bottomRight" state="frozen"/>
      <selection pane="topRight" activeCell="C1" sqref="C1"/>
      <selection pane="bottomLeft" activeCell="A4" sqref="A4"/>
      <selection pane="bottomRight" activeCell="BR21" sqref="BR21"/>
    </sheetView>
  </sheetViews>
  <sheetFormatPr defaultRowHeight="15" x14ac:dyDescent="0.25"/>
  <cols>
    <col min="1" max="1" width="5.140625" style="136" bestFit="1" customWidth="1"/>
    <col min="2" max="2" width="30.85546875" style="134" bestFit="1" customWidth="1"/>
    <col min="3" max="3" width="10.85546875" style="134" customWidth="1"/>
    <col min="4" max="29" width="10.85546875" style="134" hidden="1" customWidth="1"/>
    <col min="30" max="30" width="9.7109375" style="134" customWidth="1"/>
    <col min="31" max="32" width="10.5703125" style="134" bestFit="1" customWidth="1"/>
    <col min="33" max="33" width="8.5703125" style="134" bestFit="1" customWidth="1"/>
    <col min="34" max="43" width="11.5703125" style="134" bestFit="1" customWidth="1"/>
    <col min="44" max="44" width="11.5703125" style="134" customWidth="1"/>
    <col min="45" max="60" width="11.5703125" style="134" bestFit="1" customWidth="1"/>
    <col min="61" max="61" width="10.5703125" style="134" bestFit="1" customWidth="1"/>
    <col min="62" max="63" width="11.5703125" style="134" bestFit="1" customWidth="1"/>
    <col min="64" max="65" width="8.5703125" style="134" bestFit="1" customWidth="1"/>
    <col min="66" max="66" width="10.5703125" style="134" bestFit="1" customWidth="1"/>
    <col min="67" max="67" width="8.5703125" style="134" bestFit="1" customWidth="1"/>
    <col min="68" max="70" width="10.5703125" style="134" bestFit="1" customWidth="1"/>
    <col min="71" max="72" width="11.5703125" style="134" bestFit="1" customWidth="1"/>
    <col min="73" max="74" width="10.5703125" style="134" bestFit="1" customWidth="1"/>
    <col min="75" max="76" width="11.5703125" style="134" bestFit="1" customWidth="1"/>
    <col min="77" max="79" width="10.5703125" style="134" bestFit="1" customWidth="1"/>
    <col min="80" max="81" width="8.5703125" style="134" customWidth="1"/>
    <col min="82" max="98" width="8.5703125" style="134" hidden="1" customWidth="1"/>
    <col min="99" max="99" width="8.5703125" style="134" bestFit="1" customWidth="1"/>
    <col min="100" max="16384" width="9.140625" style="134"/>
  </cols>
  <sheetData>
    <row r="1" spans="1:99" s="131" customFormat="1" ht="27" customHeight="1" x14ac:dyDescent="0.25">
      <c r="A1" s="129" t="s">
        <v>347</v>
      </c>
      <c r="B1" s="130" t="s">
        <v>551</v>
      </c>
      <c r="C1" s="211" t="s">
        <v>604</v>
      </c>
      <c r="D1" s="211" t="s">
        <v>605</v>
      </c>
      <c r="E1" s="211" t="s">
        <v>606</v>
      </c>
      <c r="F1" s="211" t="s">
        <v>607</v>
      </c>
      <c r="G1" s="211" t="s">
        <v>608</v>
      </c>
      <c r="H1" s="211" t="s">
        <v>609</v>
      </c>
      <c r="I1" s="211" t="s">
        <v>610</v>
      </c>
      <c r="J1" s="211" t="s">
        <v>611</v>
      </c>
      <c r="K1" s="211" t="s">
        <v>612</v>
      </c>
      <c r="L1" s="211" t="s">
        <v>613</v>
      </c>
      <c r="M1" s="211" t="s">
        <v>614</v>
      </c>
      <c r="N1" s="211" t="s">
        <v>615</v>
      </c>
      <c r="O1" s="211" t="s">
        <v>616</v>
      </c>
      <c r="P1" s="211" t="s">
        <v>617</v>
      </c>
      <c r="Q1" s="211" t="s">
        <v>618</v>
      </c>
      <c r="R1" s="211" t="s">
        <v>619</v>
      </c>
      <c r="S1" s="211" t="s">
        <v>620</v>
      </c>
      <c r="T1" s="211" t="s">
        <v>621</v>
      </c>
      <c r="U1" s="211" t="s">
        <v>622</v>
      </c>
      <c r="V1" s="211" t="s">
        <v>623</v>
      </c>
      <c r="W1" s="211" t="s">
        <v>624</v>
      </c>
      <c r="X1" s="211" t="s">
        <v>625</v>
      </c>
      <c r="Y1" s="211" t="s">
        <v>626</v>
      </c>
      <c r="Z1" s="211" t="s">
        <v>627</v>
      </c>
      <c r="AA1" s="211" t="s">
        <v>628</v>
      </c>
      <c r="AB1" s="211" t="s">
        <v>629</v>
      </c>
      <c r="AC1" s="211" t="s">
        <v>630</v>
      </c>
      <c r="AD1" s="211" t="s">
        <v>631</v>
      </c>
      <c r="AE1" s="130" t="s">
        <v>547</v>
      </c>
      <c r="AF1" s="130" t="s">
        <v>546</v>
      </c>
      <c r="AG1" s="153" t="s">
        <v>548</v>
      </c>
      <c r="AH1" s="130" t="s">
        <v>545</v>
      </c>
      <c r="AI1" s="130" t="s">
        <v>507</v>
      </c>
      <c r="AJ1" s="130" t="s">
        <v>508</v>
      </c>
      <c r="AK1" s="130" t="s">
        <v>509</v>
      </c>
      <c r="AL1" s="130" t="s">
        <v>510</v>
      </c>
      <c r="AM1" s="130" t="s">
        <v>512</v>
      </c>
      <c r="AN1" s="130" t="s">
        <v>511</v>
      </c>
      <c r="AO1" s="130" t="s">
        <v>513</v>
      </c>
      <c r="AP1" s="130" t="s">
        <v>514</v>
      </c>
      <c r="AQ1" s="130" t="s">
        <v>515</v>
      </c>
      <c r="AR1" s="130" t="s">
        <v>589</v>
      </c>
      <c r="AS1" s="130" t="s">
        <v>516</v>
      </c>
      <c r="AT1" s="130" t="s">
        <v>517</v>
      </c>
      <c r="AU1" s="130" t="s">
        <v>518</v>
      </c>
      <c r="AV1" s="130" t="s">
        <v>519</v>
      </c>
      <c r="AW1" s="130" t="s">
        <v>520</v>
      </c>
      <c r="AX1" s="130" t="s">
        <v>521</v>
      </c>
      <c r="AY1" s="130" t="s">
        <v>522</v>
      </c>
      <c r="AZ1" s="130" t="s">
        <v>523</v>
      </c>
      <c r="BA1" s="130" t="s">
        <v>524</v>
      </c>
      <c r="BB1" s="130" t="s">
        <v>525</v>
      </c>
      <c r="BC1" s="130" t="s">
        <v>526</v>
      </c>
      <c r="BD1" s="130" t="s">
        <v>527</v>
      </c>
      <c r="BE1" s="130" t="s">
        <v>528</v>
      </c>
      <c r="BF1" s="130" t="s">
        <v>529</v>
      </c>
      <c r="BG1" s="130" t="s">
        <v>530</v>
      </c>
      <c r="BH1" s="130" t="s">
        <v>531</v>
      </c>
      <c r="BI1" s="238" t="s">
        <v>533</v>
      </c>
      <c r="BJ1" s="130" t="s">
        <v>532</v>
      </c>
      <c r="BK1" s="130" t="s">
        <v>534</v>
      </c>
      <c r="BL1" s="153" t="s">
        <v>535</v>
      </c>
      <c r="BM1" s="153" t="s">
        <v>536</v>
      </c>
      <c r="BN1" s="130" t="s">
        <v>537</v>
      </c>
      <c r="BO1" s="153" t="s">
        <v>538</v>
      </c>
      <c r="BP1" s="130" t="s">
        <v>539</v>
      </c>
      <c r="BQ1" s="130" t="s">
        <v>540</v>
      </c>
      <c r="BR1" s="130" t="s">
        <v>541</v>
      </c>
      <c r="BS1" s="130" t="s">
        <v>542</v>
      </c>
      <c r="BT1" s="130" t="s">
        <v>543</v>
      </c>
      <c r="BU1" s="130" t="s">
        <v>544</v>
      </c>
      <c r="BV1" s="239" t="s">
        <v>632</v>
      </c>
      <c r="BW1" s="143" t="s">
        <v>633</v>
      </c>
      <c r="BX1" s="143" t="s">
        <v>634</v>
      </c>
      <c r="BY1" s="143" t="s">
        <v>635</v>
      </c>
      <c r="BZ1" s="143" t="s">
        <v>636</v>
      </c>
      <c r="CA1" s="143" t="s">
        <v>637</v>
      </c>
      <c r="CB1" s="212" t="s">
        <v>638</v>
      </c>
      <c r="CC1" s="212" t="s">
        <v>639</v>
      </c>
      <c r="CD1" s="212" t="s">
        <v>640</v>
      </c>
      <c r="CE1" s="212" t="s">
        <v>641</v>
      </c>
      <c r="CF1" s="212" t="s">
        <v>642</v>
      </c>
      <c r="CG1" s="212" t="s">
        <v>643</v>
      </c>
      <c r="CH1" s="212" t="s">
        <v>644</v>
      </c>
      <c r="CI1" s="212" t="s">
        <v>645</v>
      </c>
      <c r="CJ1" s="212" t="s">
        <v>646</v>
      </c>
      <c r="CK1" s="212" t="s">
        <v>647</v>
      </c>
      <c r="CL1" s="212" t="s">
        <v>648</v>
      </c>
      <c r="CM1" s="212" t="s">
        <v>649</v>
      </c>
      <c r="CN1" s="212" t="s">
        <v>650</v>
      </c>
      <c r="CO1" s="212" t="s">
        <v>651</v>
      </c>
      <c r="CP1" s="212" t="s">
        <v>652</v>
      </c>
      <c r="CQ1" s="212" t="s">
        <v>653</v>
      </c>
      <c r="CR1" s="212" t="s">
        <v>654</v>
      </c>
      <c r="CS1" s="212" t="s">
        <v>655</v>
      </c>
      <c r="CT1" s="212" t="s">
        <v>656</v>
      </c>
      <c r="CU1" s="212" t="s">
        <v>657</v>
      </c>
    </row>
    <row r="2" spans="1:99" s="145" customFormat="1" ht="27" customHeight="1" x14ac:dyDescent="0.25">
      <c r="A2" s="142"/>
      <c r="B2" s="213" t="s">
        <v>658</v>
      </c>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4"/>
      <c r="AF2" s="144"/>
      <c r="AG2" s="144"/>
      <c r="AH2" s="148" t="s">
        <v>556</v>
      </c>
      <c r="AI2" s="141" t="s">
        <v>553</v>
      </c>
      <c r="AJ2" s="141" t="s">
        <v>553</v>
      </c>
      <c r="AK2" s="141" t="s">
        <v>553</v>
      </c>
      <c r="AL2" s="141" t="s">
        <v>553</v>
      </c>
      <c r="AM2" s="141" t="s">
        <v>553</v>
      </c>
      <c r="AN2" s="141" t="s">
        <v>553</v>
      </c>
      <c r="AO2" s="141" t="s">
        <v>553</v>
      </c>
      <c r="AP2" s="141" t="s">
        <v>553</v>
      </c>
      <c r="AQ2" s="141" t="s">
        <v>553</v>
      </c>
      <c r="AR2" s="141" t="s">
        <v>553</v>
      </c>
      <c r="AS2" s="141" t="s">
        <v>553</v>
      </c>
      <c r="AT2" s="141" t="s">
        <v>553</v>
      </c>
      <c r="AU2" s="141" t="s">
        <v>553</v>
      </c>
      <c r="AV2" s="141" t="s">
        <v>553</v>
      </c>
      <c r="AW2" s="141" t="s">
        <v>553</v>
      </c>
      <c r="AX2" s="141" t="s">
        <v>553</v>
      </c>
      <c r="AY2" s="141" t="s">
        <v>553</v>
      </c>
      <c r="AZ2" s="141" t="s">
        <v>553</v>
      </c>
      <c r="BA2" s="141" t="s">
        <v>553</v>
      </c>
      <c r="BB2" s="141" t="s">
        <v>553</v>
      </c>
      <c r="BC2" s="141" t="s">
        <v>553</v>
      </c>
      <c r="BD2" s="141" t="s">
        <v>553</v>
      </c>
      <c r="BE2" s="141" t="s">
        <v>553</v>
      </c>
      <c r="BF2" s="141" t="s">
        <v>553</v>
      </c>
      <c r="BG2" s="141" t="s">
        <v>553</v>
      </c>
      <c r="BH2" s="141" t="s">
        <v>553</v>
      </c>
      <c r="BI2" s="141" t="s">
        <v>666</v>
      </c>
      <c r="BJ2" s="141" t="s">
        <v>553</v>
      </c>
      <c r="BK2" s="141" t="s">
        <v>553</v>
      </c>
      <c r="BL2" s="144"/>
      <c r="BM2" s="144"/>
      <c r="BN2" s="141" t="s">
        <v>553</v>
      </c>
      <c r="BO2" s="144"/>
      <c r="BP2" s="141" t="s">
        <v>553</v>
      </c>
      <c r="BQ2" s="141" t="s">
        <v>553</v>
      </c>
      <c r="BR2" s="141" t="s">
        <v>553</v>
      </c>
      <c r="BS2" s="141" t="s">
        <v>553</v>
      </c>
      <c r="BT2" s="141" t="s">
        <v>553</v>
      </c>
      <c r="BU2" s="141" t="s">
        <v>553</v>
      </c>
      <c r="BV2" s="240" t="s">
        <v>666</v>
      </c>
      <c r="BW2" s="240" t="s">
        <v>666</v>
      </c>
      <c r="BX2" s="240" t="s">
        <v>666</v>
      </c>
      <c r="BY2" s="240" t="s">
        <v>666</v>
      </c>
      <c r="BZ2" s="240" t="s">
        <v>666</v>
      </c>
      <c r="CA2" s="240" t="s">
        <v>666</v>
      </c>
      <c r="CB2" s="143"/>
      <c r="CC2" s="143"/>
      <c r="CD2" s="143"/>
      <c r="CE2" s="143"/>
      <c r="CF2" s="143"/>
      <c r="CG2" s="143"/>
      <c r="CH2" s="143"/>
      <c r="CI2" s="143"/>
      <c r="CJ2" s="143"/>
      <c r="CK2" s="143"/>
      <c r="CL2" s="143"/>
      <c r="CM2" s="143"/>
      <c r="CN2" s="143"/>
      <c r="CO2" s="143"/>
      <c r="CP2" s="143"/>
      <c r="CQ2" s="143"/>
      <c r="CR2" s="143"/>
      <c r="CS2" s="143"/>
      <c r="CT2" s="143"/>
      <c r="CU2" s="143"/>
    </row>
    <row r="3" spans="1:99" s="145" customFormat="1" ht="27" customHeight="1" x14ac:dyDescent="0.25">
      <c r="A3" s="142"/>
      <c r="B3" s="213" t="s">
        <v>659</v>
      </c>
      <c r="C3" s="143"/>
      <c r="D3" s="143"/>
      <c r="E3" s="143"/>
      <c r="F3" s="143"/>
      <c r="G3" s="143"/>
      <c r="H3" s="143"/>
      <c r="I3" s="143"/>
      <c r="J3" s="143"/>
      <c r="K3" s="143"/>
      <c r="L3" s="143"/>
      <c r="M3" s="143"/>
      <c r="N3" s="143"/>
      <c r="O3" s="143"/>
      <c r="P3" s="143"/>
      <c r="Q3" s="143"/>
      <c r="R3" s="143"/>
      <c r="S3" s="143"/>
      <c r="T3" s="143"/>
      <c r="U3" s="143"/>
      <c r="V3" s="143"/>
      <c r="W3" s="143"/>
      <c r="X3" s="143"/>
      <c r="Y3" s="143"/>
      <c r="Z3" s="143"/>
      <c r="AA3" s="143"/>
      <c r="AB3" s="143"/>
      <c r="AC3" s="143"/>
      <c r="AD3" s="143"/>
      <c r="AE3" s="141" t="s">
        <v>554</v>
      </c>
      <c r="AF3" s="141" t="s">
        <v>554</v>
      </c>
      <c r="AG3" s="144"/>
      <c r="AH3" s="141" t="s">
        <v>554</v>
      </c>
      <c r="AI3" s="141" t="s">
        <v>554</v>
      </c>
      <c r="AJ3" s="141" t="s">
        <v>554</v>
      </c>
      <c r="AK3" s="141" t="s">
        <v>554</v>
      </c>
      <c r="AL3" s="141" t="s">
        <v>554</v>
      </c>
      <c r="AM3" s="141" t="s">
        <v>554</v>
      </c>
      <c r="AN3" s="141" t="s">
        <v>554</v>
      </c>
      <c r="AO3" s="141" t="s">
        <v>554</v>
      </c>
      <c r="AP3" s="141" t="s">
        <v>554</v>
      </c>
      <c r="AQ3" s="141" t="s">
        <v>554</v>
      </c>
      <c r="AR3" s="141" t="s">
        <v>554</v>
      </c>
      <c r="AS3" s="141" t="s">
        <v>554</v>
      </c>
      <c r="AT3" s="141" t="s">
        <v>554</v>
      </c>
      <c r="AU3" s="141" t="s">
        <v>554</v>
      </c>
      <c r="AV3" s="141" t="s">
        <v>554</v>
      </c>
      <c r="AW3" s="141" t="s">
        <v>554</v>
      </c>
      <c r="AX3" s="141" t="s">
        <v>554</v>
      </c>
      <c r="AY3" s="141" t="s">
        <v>554</v>
      </c>
      <c r="AZ3" s="141" t="s">
        <v>554</v>
      </c>
      <c r="BA3" s="141" t="s">
        <v>554</v>
      </c>
      <c r="BB3" s="141" t="s">
        <v>554</v>
      </c>
      <c r="BC3" s="141" t="s">
        <v>554</v>
      </c>
      <c r="BD3" s="141" t="s">
        <v>554</v>
      </c>
      <c r="BE3" s="141" t="s">
        <v>554</v>
      </c>
      <c r="BF3" s="141" t="s">
        <v>554</v>
      </c>
      <c r="BG3" s="141" t="s">
        <v>554</v>
      </c>
      <c r="BH3" s="141" t="s">
        <v>554</v>
      </c>
      <c r="BI3" s="144"/>
      <c r="BJ3" s="141" t="s">
        <v>554</v>
      </c>
      <c r="BK3" s="141" t="s">
        <v>554</v>
      </c>
      <c r="BL3" s="144"/>
      <c r="BM3" s="144"/>
      <c r="BN3" s="141" t="s">
        <v>554</v>
      </c>
      <c r="BO3" s="144"/>
      <c r="BP3" s="141" t="s">
        <v>554</v>
      </c>
      <c r="BQ3" s="141" t="s">
        <v>554</v>
      </c>
      <c r="BR3" s="141" t="s">
        <v>554</v>
      </c>
      <c r="BS3" s="141" t="s">
        <v>554</v>
      </c>
      <c r="BT3" s="141" t="s">
        <v>554</v>
      </c>
      <c r="BU3" s="141" t="s">
        <v>554</v>
      </c>
    </row>
    <row r="4" spans="1:99" x14ac:dyDescent="0.25">
      <c r="A4" s="132" t="s">
        <v>484</v>
      </c>
      <c r="B4" s="133" t="s">
        <v>28</v>
      </c>
      <c r="C4" s="137">
        <f>SUMIFS(Database!$G:$G,Database!$D:$D,"Import",Database!$E:$E,$B4,Database!$C:$C,C$1,Database!$F:$F,"Total")</f>
        <v>0</v>
      </c>
      <c r="D4" s="137">
        <f>SUMIFS(Database!$G:$G,Database!$D:$D,"Import",Database!$E:$E,$B4,Database!$C:$C,D$1,Database!$F:$F,"Total")</f>
        <v>0</v>
      </c>
      <c r="E4" s="137">
        <f>SUMIFS(Database!$G:$G,Database!$D:$D,"Import",Database!$E:$E,$B4,Database!$C:$C,E$1,Database!$F:$F,"Total")</f>
        <v>0</v>
      </c>
      <c r="F4" s="137">
        <f>SUMIFS(Database!$G:$G,Database!$D:$D,"Import",Database!$E:$E,$B4,Database!$C:$C,F$1,Database!$F:$F,"Total")</f>
        <v>0</v>
      </c>
      <c r="G4" s="137">
        <f>SUMIFS(Database!$G:$G,Database!$D:$D,"Import",Database!$E:$E,$B4,Database!$C:$C,G$1,Database!$F:$F,"Total")</f>
        <v>0</v>
      </c>
      <c r="H4" s="137">
        <f>SUMIFS(Database!$G:$G,Database!$D:$D,"Import",Database!$E:$E,$B4,Database!$C:$C,H$1,Database!$F:$F,"Total")</f>
        <v>0</v>
      </c>
      <c r="I4" s="137">
        <f>SUMIFS(Database!$G:$G,Database!$D:$D,"Import",Database!$E:$E,$B4,Database!$C:$C,I$1,Database!$F:$F,"Total")</f>
        <v>0</v>
      </c>
      <c r="J4" s="137">
        <f>SUMIFS(Database!$G:$G,Database!$D:$D,"Import",Database!$E:$E,$B4,Database!$C:$C,J$1,Database!$F:$F,"Total")</f>
        <v>0</v>
      </c>
      <c r="K4" s="137">
        <f>SUMIFS(Database!$G:$G,Database!$D:$D,"Import",Database!$E:$E,$B4,Database!$C:$C,K$1,Database!$F:$F,"Total")</f>
        <v>0</v>
      </c>
      <c r="L4" s="137">
        <f>SUMIFS(Database!$G:$G,Database!$D:$D,"Import",Database!$E:$E,$B4,Database!$C:$C,L$1,Database!$F:$F,"Total")</f>
        <v>0</v>
      </c>
      <c r="M4" s="137">
        <f>SUMIFS(Database!$G:$G,Database!$D:$D,"Import",Database!$E:$E,$B4,Database!$C:$C,M$1,Database!$F:$F,"Total")</f>
        <v>0</v>
      </c>
      <c r="N4" s="137">
        <f>SUMIFS(Database!$G:$G,Database!$D:$D,"Import",Database!$E:$E,$B4,Database!$C:$C,N$1,Database!$F:$F,"Total")</f>
        <v>0</v>
      </c>
      <c r="O4" s="137">
        <f>SUMIFS(Database!$G:$G,Database!$D:$D,"Import",Database!$E:$E,$B4,Database!$C:$C,O$1,Database!$F:$F,"Total")</f>
        <v>0</v>
      </c>
      <c r="P4" s="137">
        <f>SUMIFS(Database!$G:$G,Database!$D:$D,"Import",Database!$E:$E,$B4,Database!$C:$C,P$1,Database!$F:$F,"Total")</f>
        <v>0</v>
      </c>
      <c r="Q4" s="137">
        <f>SUMIFS(Database!$G:$G,Database!$D:$D,"Import",Database!$E:$E,$B4,Database!$C:$C,Q$1,Database!$F:$F,"Total")</f>
        <v>0</v>
      </c>
      <c r="R4" s="137">
        <f>SUMIFS(Database!$G:$G,Database!$D:$D,"Import",Database!$E:$E,$B4,Database!$C:$C,R$1,Database!$F:$F,"Total")</f>
        <v>0</v>
      </c>
      <c r="S4" s="137">
        <f>SUMIFS(Database!$G:$G,Database!$D:$D,"Import",Database!$E:$E,$B4,Database!$C:$C,S$1,Database!$F:$F,"Total")</f>
        <v>0</v>
      </c>
      <c r="T4" s="137">
        <f>SUMIFS(Database!$G:$G,Database!$D:$D,"Import",Database!$E:$E,$B4,Database!$C:$C,T$1,Database!$F:$F,"Total")</f>
        <v>0</v>
      </c>
      <c r="U4" s="137">
        <f>SUMIFS(Database!$G:$G,Database!$D:$D,"Import",Database!$E:$E,$B4,Database!$C:$C,U$1,Database!$F:$F,"Total")</f>
        <v>0</v>
      </c>
      <c r="V4" s="137">
        <f>SUMIFS(Database!$G:$G,Database!$D:$D,"Import",Database!$E:$E,$B4,Database!$C:$C,V$1,Database!$F:$F,"Total")</f>
        <v>0</v>
      </c>
      <c r="W4" s="137">
        <f>SUMIFS(Database!$G:$G,Database!$D:$D,"Import",Database!$E:$E,$B4,Database!$C:$C,W$1,Database!$F:$F,"Total")</f>
        <v>0</v>
      </c>
      <c r="X4" s="137">
        <f>SUMIFS(Database!$G:$G,Database!$D:$D,"Import",Database!$E:$E,$B4,Database!$C:$C,X$1,Database!$F:$F,"Total")</f>
        <v>0</v>
      </c>
      <c r="Y4" s="137">
        <f>SUMIFS(Database!$G:$G,Database!$D:$D,"Import",Database!$E:$E,$B4,Database!$C:$C,Y$1,Database!$F:$F,"Total")</f>
        <v>0</v>
      </c>
      <c r="Z4" s="137">
        <f>SUMIFS(Database!$G:$G,Database!$D:$D,"Import",Database!$E:$E,$B4,Database!$C:$C,Z$1,Database!$F:$F,"Total")</f>
        <v>0</v>
      </c>
      <c r="AA4" s="137">
        <f>SUMIFS(Database!$G:$G,Database!$D:$D,"Import",Database!$E:$E,$B4,Database!$C:$C,AA$1,Database!$F:$F,"Total")</f>
        <v>0</v>
      </c>
      <c r="AB4" s="137">
        <f>SUMIFS(Database!$G:$G,Database!$D:$D,"Import",Database!$E:$E,$B4,Database!$C:$C,AB$1,Database!$F:$F,"Total")</f>
        <v>0</v>
      </c>
      <c r="AC4" s="137">
        <f>SUMIFS(Database!$G:$G,Database!$D:$D,"Import",Database!$E:$E,$B4,Database!$C:$C,AC$1,Database!$F:$F,"Total")</f>
        <v>0</v>
      </c>
      <c r="AD4" s="137">
        <f>SUMIFS(Database!$G:$G,Database!$D:$D,"Import",Database!$E:$E,$B4,Database!$C:$C,AD$1,Database!$F:$F,"Total")</f>
        <v>0</v>
      </c>
      <c r="AE4" s="137">
        <f>SUMIFS(Database!$G:$G,Database!$D:$D,"Import",Database!$E:$E,$B4,Database!$C:$C,AE$1,Database!$F:$F,"Total")</f>
        <v>0</v>
      </c>
      <c r="AF4" s="137">
        <f>SUMIFS(Database!$G:$G,Database!$D:$D,"Import",Database!$E:$E,$B4,Database!$C:$C,AF$1,Database!$F:$F,"Total")</f>
        <v>0</v>
      </c>
      <c r="AG4" s="137">
        <f>SUMIFS(Database!$G:$G,Database!$D:$D,"Import",Database!$E:$E,$B4,Database!$C:$C,AG$1,Database!$F:$F,"Total")</f>
        <v>0</v>
      </c>
      <c r="AH4" s="137">
        <f>SUMIFS(Database!$G:$G,Database!$D:$D,"Import",Database!$E:$E,$B4,Database!$C:$C,AH$1,Database!$F:$F,"Total")</f>
        <v>0</v>
      </c>
      <c r="AI4" s="137">
        <f>SUMIFS(Database!$G:$G,Database!$D:$D,"Import",Database!$E:$E,$B4,Database!$C:$C,AI$1,Database!$F:$F,"Total")</f>
        <v>0</v>
      </c>
      <c r="AJ4" s="137">
        <f>SUMIFS(Database!$G:$G,Database!$D:$D,"Import",Database!$E:$E,$B4,Database!$C:$C,AJ$1,Database!$F:$F,"Total")</f>
        <v>2402</v>
      </c>
      <c r="AK4" s="137">
        <f>SUMIFS(Database!$G:$G,Database!$D:$D,"Import",Database!$E:$E,$B4,Database!$C:$C,AK$1,Database!$F:$F,"Total")</f>
        <v>6682</v>
      </c>
      <c r="AL4" s="137">
        <f>SUMIFS(Database!$G:$G,Database!$D:$D,"Import",Database!$E:$E,$B4,Database!$C:$C,AL$1,Database!$F:$F,"Total")</f>
        <v>12770</v>
      </c>
      <c r="AM4" s="137">
        <f>SUMIFS(Database!$G:$G,Database!$D:$D,"Import",Database!$E:$E,$B4,Database!$C:$C,AM$1,Database!$F:$F,"Total")</f>
        <v>4594</v>
      </c>
      <c r="AN4" s="137">
        <f>SUMIFS(Database!$G:$G,Database!$D:$D,"Import",Database!$E:$E,$B4,Database!$C:$C,AN$1,Database!$F:$F,"Total")</f>
        <v>626</v>
      </c>
      <c r="AO4" s="137">
        <f>SUMIFS(Database!$G:$G,Database!$D:$D,"Import",Database!$E:$E,$B4,Database!$C:$C,AO$1,Database!$F:$F,"Total")</f>
        <v>399</v>
      </c>
      <c r="AP4" s="137">
        <f>SUMIFS(Database!$G:$G,Database!$D:$D,"Import",Database!$E:$E,$B4,Database!$C:$C,AP$1,Database!$F:$F,"Total")</f>
        <v>582</v>
      </c>
      <c r="AQ4" s="137">
        <f>SUMIFS(Database!$G:$G,Database!$D:$D,"Import",Database!$E:$E,$B4,Database!$C:$C,AQ$1,Database!$F:$F,"Total")</f>
        <v>528</v>
      </c>
      <c r="AR4" s="137">
        <f>SUMIFS(Database!$G:$G,Database!$D:$D,"Import",Database!$E:$E,$B4,Database!$C:$C,AR$1,Database!$F:$F,"Total")</f>
        <v>44</v>
      </c>
      <c r="AS4" s="137">
        <f>SUMIFS(Database!$G:$G,Database!$D:$D,"Import",Database!$E:$E,$B4,Database!$C:$C,AS$1,Database!$F:$F,"Total")</f>
        <v>575</v>
      </c>
      <c r="AT4" s="137">
        <f>SUMIFS(Database!$G:$G,Database!$D:$D,"Import",Database!$E:$E,$B4,Database!$C:$C,AT$1,Database!$F:$F,"Total")</f>
        <v>982</v>
      </c>
      <c r="AU4" s="137">
        <f>SUMIFS(Database!$G:$G,Database!$D:$D,"Import",Database!$E:$E,$B4,Database!$C:$C,AU$1,Database!$F:$F,"Total")</f>
        <v>327</v>
      </c>
      <c r="AV4" s="137">
        <f>SUMIFS(Database!$G:$G,Database!$D:$D,"Import",Database!$E:$E,$B4,Database!$C:$C,AV$1,Database!$F:$F,"Total")</f>
        <v>20</v>
      </c>
      <c r="AW4" s="137">
        <f>SUMIFS(Database!$G:$G,Database!$D:$D,"Import",Database!$E:$E,$B4,Database!$C:$C,AW$1,Database!$F:$F,"Total")</f>
        <v>0</v>
      </c>
      <c r="AX4" s="137">
        <f>SUMIFS(Database!$G:$G,Database!$D:$D,"Import",Database!$E:$E,$B4,Database!$C:$C,AX$1,Database!$F:$F,"Total")</f>
        <v>0</v>
      </c>
      <c r="AY4" s="137">
        <f>SUMIFS(Database!$G:$G,Database!$D:$D,"Import",Database!$E:$E,$B4,Database!$C:$C,AY$1,Database!$F:$F,"Total")</f>
        <v>0</v>
      </c>
      <c r="AZ4" s="137">
        <f>SUMIFS(Database!$G:$G,Database!$D:$D,"Import",Database!$E:$E,$B4,Database!$C:$C,AZ$1,Database!$F:$F,"Total")</f>
        <v>0</v>
      </c>
      <c r="BA4" s="137">
        <f>SUMIFS(Database!$G:$G,Database!$D:$D,"Import",Database!$E:$E,$B4,Database!$C:$C,BA$1,Database!$F:$F,"Total")</f>
        <v>0</v>
      </c>
      <c r="BB4" s="137">
        <f>SUMIFS(Database!$G:$G,Database!$D:$D,"Import",Database!$E:$E,$B4,Database!$C:$C,BB$1,Database!$F:$F,"Total")</f>
        <v>6312</v>
      </c>
      <c r="BC4" s="137">
        <f>SUMIFS(Database!$G:$G,Database!$D:$D,"Import",Database!$E:$E,$B4,Database!$C:$C,BC$1,Database!$F:$F,"Total")</f>
        <v>0</v>
      </c>
      <c r="BD4" s="137">
        <f>SUMIFS(Database!$G:$G,Database!$D:$D,"Import",Database!$E:$E,$B4,Database!$C:$C,BD$1,Database!$F:$F,"Total")</f>
        <v>0</v>
      </c>
      <c r="BE4" s="137">
        <f>SUMIFS(Database!$G:$G,Database!$D:$D,"Import",Database!$E:$E,$B4,Database!$C:$C,BE$1,Database!$F:$F,"Total")</f>
        <v>0</v>
      </c>
      <c r="BF4" s="137">
        <f>SUMIFS(Database!$G:$G,Database!$D:$D,"Import",Database!$E:$E,$B4,Database!$C:$C,BF$1,Database!$F:$F,"Total")</f>
        <v>0</v>
      </c>
      <c r="BG4" s="137">
        <f>SUMIFS(Database!$G:$G,Database!$D:$D,"Import",Database!$E:$E,$B4,Database!$C:$C,BG$1,Database!$F:$F,"Total")</f>
        <v>0</v>
      </c>
      <c r="BH4" s="137">
        <f>SUMIFS(Database!$G:$G,Database!$D:$D,"Import",Database!$E:$E,$B4,Database!$C:$C,BH$1,Database!$F:$F,"Total")</f>
        <v>0</v>
      </c>
      <c r="BI4" s="137">
        <f>SUMIFS(Database!$G:$G,Database!$D:$D,"Import",Database!$E:$E,$B4,Database!$C:$C,BI$1,Database!$F:$F,"Total")</f>
        <v>0</v>
      </c>
      <c r="BJ4" s="137">
        <f>SUMIFS(Database!$G:$G,Database!$D:$D,"Import",Database!$E:$E,$B4,Database!$C:$C,BJ$1,Database!$F:$F,"Total")</f>
        <v>0</v>
      </c>
      <c r="BK4" s="137">
        <f>SUMIFS(Database!$G:$G,Database!$D:$D,"Import",Database!$E:$E,$B4,Database!$C:$C,BK$1,Database!$F:$F,"Total")</f>
        <v>0</v>
      </c>
      <c r="BL4" s="137">
        <f>SUMIFS(Database!$G:$G,Database!$D:$D,"Import",Database!$E:$E,$B4,Database!$C:$C,BL$1,Database!$F:$F,"Total")</f>
        <v>0</v>
      </c>
      <c r="BM4" s="137">
        <f>SUMIFS(Database!$G:$G,Database!$D:$D,"Import",Database!$E:$E,$B4,Database!$C:$C,BM$1,Database!$F:$F,"Total")</f>
        <v>0</v>
      </c>
      <c r="BN4" s="137">
        <f>SUMIFS(Database!$G:$G,Database!$D:$D,"Import",Database!$E:$E,$B4,Database!$C:$C,BN$1,Database!$F:$F,"Total")</f>
        <v>3398</v>
      </c>
      <c r="BO4" s="137">
        <f>SUMIFS(Database!$G:$G,Database!$D:$D,"Import",Database!$E:$E,$B4,Database!$C:$C,BO$1,Database!$F:$F,"Total")</f>
        <v>0</v>
      </c>
      <c r="BP4" s="137">
        <f>SUMIFS(Database!$G:$G,Database!$D:$D,"Import",Database!$E:$E,$B4,Database!$C:$C,BP$1,Database!$F:$F,"Total")</f>
        <v>3904.5</v>
      </c>
      <c r="BQ4" s="137">
        <f>SUMIFS(Database!$G:$G,Database!$D:$D,"Import",Database!$E:$E,$B4,Database!$C:$C,BQ$1,Database!$F:$F,"Total")</f>
        <v>2672.25</v>
      </c>
      <c r="BR4" s="137">
        <f>SUMIFS(Database!$G:$G,Database!$D:$D,"Import",Database!$E:$E,$B4,Database!$C:$C,BR$1,Database!$F:$F,"Total")</f>
        <v>5100.5</v>
      </c>
      <c r="BS4" s="137">
        <f>SUMIFS(Database!$G:$G,Database!$D:$D,"Import",Database!$E:$E,$B4,Database!$C:$C,BS$1,Database!$F:$F,"Total")</f>
        <v>2670</v>
      </c>
      <c r="BT4" s="137">
        <f>SUMIFS(Database!$G:$G,Database!$D:$D,"Import",Database!$E:$E,$B4,Database!$C:$C,BT$1,Database!$F:$F,"Total")</f>
        <v>2671</v>
      </c>
      <c r="BU4" s="137">
        <f>SUMIFS(Database!$G:$G,Database!$D:$D,"Import",Database!$E:$E,$B4,Database!$C:$C,BU$1,Database!$F:$F,"Total")</f>
        <v>6548</v>
      </c>
      <c r="BV4" s="137">
        <f>SUMIFS(Database!$G:$G,Database!$D:$D,"Import",Database!$E:$E,$B4,Database!$C:$C,BV$1,Database!$F:$F,"Total")</f>
        <v>3134</v>
      </c>
      <c r="BW4" s="137">
        <f>SUMIFS(Database!$G:$G,Database!$D:$D,"Import",Database!$E:$E,$B4,Database!$C:$C,BW$1,Database!$F:$F,"Total")</f>
        <v>3455</v>
      </c>
      <c r="BX4" s="137">
        <f>SUMIFS(Database!$G:$G,Database!$D:$D,"Import",Database!$E:$E,$B4,Database!$C:$C,BX$1,Database!$F:$F,"Total")</f>
        <v>4099</v>
      </c>
      <c r="BY4" s="137">
        <f>SUMIFS(Database!$G:$G,Database!$D:$D,"Import",Database!$E:$E,$B4,Database!$C:$C,BY$1,Database!$F:$F,"Total")</f>
        <v>2198</v>
      </c>
      <c r="BZ4" s="137">
        <f>SUMIFS(Database!$G:$G,Database!$D:$D,"Import",Database!$E:$E,$B4,Database!$C:$C,BZ$1,Database!$F:$F,"Total")</f>
        <v>3901</v>
      </c>
      <c r="CA4" s="137">
        <f>SUMIFS(Database!$G:$G,Database!$D:$D,"Import",Database!$E:$E,$B4,Database!$C:$C,CA$1,Database!$F:$F,"Total")</f>
        <v>2622</v>
      </c>
      <c r="CB4" s="137">
        <f>SUMIFS(Database!$G:$G,Database!$D:$D,"Import",Database!$E:$E,$B4,Database!$C:$C,CB$1,Database!$F:$F,"Total")</f>
        <v>0</v>
      </c>
      <c r="CC4" s="137">
        <f>SUMIFS(Database!$G:$G,Database!$D:$D,"Import",Database!$E:$E,$B4,Database!$C:$C,CC$1,Database!$F:$F,"Total")</f>
        <v>0</v>
      </c>
      <c r="CD4" s="137">
        <f>SUMIFS(Database!$G:$G,Database!$D:$D,"Import",Database!$E:$E,$B4,Database!$C:$C,CD$1,Database!$F:$F,"Total")</f>
        <v>0</v>
      </c>
      <c r="CE4" s="137">
        <f>SUMIFS(Database!$G:$G,Database!$D:$D,"Import",Database!$E:$E,$B4,Database!$C:$C,CE$1,Database!$F:$F,"Total")</f>
        <v>0</v>
      </c>
      <c r="CF4" s="137">
        <f>SUMIFS(Database!$G:$G,Database!$D:$D,"Import",Database!$E:$E,$B4,Database!$C:$C,CF$1,Database!$F:$F,"Total")</f>
        <v>0</v>
      </c>
      <c r="CG4" s="137">
        <f>SUMIFS(Database!$G:$G,Database!$D:$D,"Import",Database!$E:$E,$B4,Database!$C:$C,CG$1,Database!$F:$F,"Total")</f>
        <v>0</v>
      </c>
      <c r="CH4" s="137">
        <f>SUMIFS(Database!$G:$G,Database!$D:$D,"Import",Database!$E:$E,$B4,Database!$C:$C,CH$1,Database!$F:$F,"Total")</f>
        <v>0</v>
      </c>
      <c r="CI4" s="137">
        <f>SUMIFS(Database!$G:$G,Database!$D:$D,"Import",Database!$E:$E,$B4,Database!$C:$C,CI$1,Database!$F:$F,"Total")</f>
        <v>0</v>
      </c>
      <c r="CJ4" s="137">
        <f>SUMIFS(Database!$G:$G,Database!$D:$D,"Import",Database!$E:$E,$B4,Database!$C:$C,CJ$1,Database!$F:$F,"Total")</f>
        <v>0</v>
      </c>
      <c r="CK4" s="137">
        <f>SUMIFS(Database!$G:$G,Database!$D:$D,"Import",Database!$E:$E,$B4,Database!$C:$C,CK$1,Database!$F:$F,"Total")</f>
        <v>0</v>
      </c>
      <c r="CL4" s="137">
        <f>SUMIFS(Database!$G:$G,Database!$D:$D,"Import",Database!$E:$E,$B4,Database!$C:$C,CL$1,Database!$F:$F,"Total")</f>
        <v>0</v>
      </c>
      <c r="CM4" s="137">
        <f>SUMIFS(Database!$G:$G,Database!$D:$D,"Import",Database!$E:$E,$B4,Database!$C:$C,CM$1,Database!$F:$F,"Total")</f>
        <v>0</v>
      </c>
      <c r="CN4" s="137">
        <f>SUMIFS(Database!$G:$G,Database!$D:$D,"Import",Database!$E:$E,$B4,Database!$C:$C,CN$1,Database!$F:$F,"Total")</f>
        <v>0</v>
      </c>
      <c r="CO4" s="137">
        <f>SUMIFS(Database!$G:$G,Database!$D:$D,"Import",Database!$E:$E,$B4,Database!$C:$C,CO$1,Database!$F:$F,"Total")</f>
        <v>0</v>
      </c>
      <c r="CP4" s="137">
        <f>SUMIFS(Database!$G:$G,Database!$D:$D,"Import",Database!$E:$E,$B4,Database!$C:$C,CP$1,Database!$F:$F,"Total")</f>
        <v>0</v>
      </c>
      <c r="CQ4" s="137">
        <f>SUMIFS(Database!$G:$G,Database!$D:$D,"Import",Database!$E:$E,$B4,Database!$C:$C,CQ$1,Database!$F:$F,"Total")</f>
        <v>0</v>
      </c>
      <c r="CR4" s="137">
        <f>SUMIFS(Database!$G:$G,Database!$D:$D,"Import",Database!$E:$E,$B4,Database!$C:$C,CR$1,Database!$F:$F,"Total")</f>
        <v>0</v>
      </c>
      <c r="CS4" s="137">
        <f>SUMIFS(Database!$G:$G,Database!$D:$D,"Import",Database!$E:$E,$B4,Database!$C:$C,CS$1,Database!$F:$F,"Total")</f>
        <v>0</v>
      </c>
      <c r="CT4" s="137">
        <f>SUMIFS(Database!$G:$G,Database!$D:$D,"Import",Database!$E:$E,$B4,Database!$C:$C,CT$1,Database!$F:$F,"Total")</f>
        <v>0</v>
      </c>
      <c r="CU4" s="137">
        <f>SUMIFS(Database!$G:$G,Database!$D:$D,"Import",Database!$E:$E,$B4,Database!$C:$C,CU$1,Database!$F:$F,"Total")</f>
        <v>0</v>
      </c>
    </row>
    <row r="5" spans="1:99" x14ac:dyDescent="0.25">
      <c r="A5" s="132" t="s">
        <v>484</v>
      </c>
      <c r="B5" s="133" t="s">
        <v>327</v>
      </c>
      <c r="C5" s="137">
        <f>SUMIFS(Database!$G:$G,Database!$D:$D,"Import",Database!$E:$E,$B5,Database!$C:$C,C$1,Database!$F:$F,"Total")</f>
        <v>0</v>
      </c>
      <c r="D5" s="137">
        <f>SUMIFS(Database!$G:$G,Database!$D:$D,"Import",Database!$E:$E,$B5,Database!$C:$C,D$1,Database!$F:$F,"Total")</f>
        <v>0</v>
      </c>
      <c r="E5" s="137">
        <f>SUMIFS(Database!$G:$G,Database!$D:$D,"Import",Database!$E:$E,$B5,Database!$C:$C,E$1,Database!$F:$F,"Total")</f>
        <v>0</v>
      </c>
      <c r="F5" s="137">
        <f>SUMIFS(Database!$G:$G,Database!$D:$D,"Import",Database!$E:$E,$B5,Database!$C:$C,F$1,Database!$F:$F,"Total")</f>
        <v>0</v>
      </c>
      <c r="G5" s="137">
        <f>SUMIFS(Database!$G:$G,Database!$D:$D,"Import",Database!$E:$E,$B5,Database!$C:$C,G$1,Database!$F:$F,"Total")</f>
        <v>0</v>
      </c>
      <c r="H5" s="137">
        <f>SUMIFS(Database!$G:$G,Database!$D:$D,"Import",Database!$E:$E,$B5,Database!$C:$C,H$1,Database!$F:$F,"Total")</f>
        <v>0</v>
      </c>
      <c r="I5" s="137">
        <f>SUMIFS(Database!$G:$G,Database!$D:$D,"Import",Database!$E:$E,$B5,Database!$C:$C,I$1,Database!$F:$F,"Total")</f>
        <v>0</v>
      </c>
      <c r="J5" s="137">
        <f>SUMIFS(Database!$G:$G,Database!$D:$D,"Import",Database!$E:$E,$B5,Database!$C:$C,J$1,Database!$F:$F,"Total")</f>
        <v>0</v>
      </c>
      <c r="K5" s="137">
        <f>SUMIFS(Database!$G:$G,Database!$D:$D,"Import",Database!$E:$E,$B5,Database!$C:$C,K$1,Database!$F:$F,"Total")</f>
        <v>0</v>
      </c>
      <c r="L5" s="137">
        <f>SUMIFS(Database!$G:$G,Database!$D:$D,"Import",Database!$E:$E,$B5,Database!$C:$C,L$1,Database!$F:$F,"Total")</f>
        <v>0</v>
      </c>
      <c r="M5" s="137">
        <f>SUMIFS(Database!$G:$G,Database!$D:$D,"Import",Database!$E:$E,$B5,Database!$C:$C,M$1,Database!$F:$F,"Total")</f>
        <v>0</v>
      </c>
      <c r="N5" s="137">
        <f>SUMIFS(Database!$G:$G,Database!$D:$D,"Import",Database!$E:$E,$B5,Database!$C:$C,N$1,Database!$F:$F,"Total")</f>
        <v>0</v>
      </c>
      <c r="O5" s="137">
        <f>SUMIFS(Database!$G:$G,Database!$D:$D,"Import",Database!$E:$E,$B5,Database!$C:$C,O$1,Database!$F:$F,"Total")</f>
        <v>0</v>
      </c>
      <c r="P5" s="137">
        <f>SUMIFS(Database!$G:$G,Database!$D:$D,"Import",Database!$E:$E,$B5,Database!$C:$C,P$1,Database!$F:$F,"Total")</f>
        <v>0</v>
      </c>
      <c r="Q5" s="137">
        <f>SUMIFS(Database!$G:$G,Database!$D:$D,"Import",Database!$E:$E,$B5,Database!$C:$C,Q$1,Database!$F:$F,"Total")</f>
        <v>0</v>
      </c>
      <c r="R5" s="137">
        <f>SUMIFS(Database!$G:$G,Database!$D:$D,"Import",Database!$E:$E,$B5,Database!$C:$C,R$1,Database!$F:$F,"Total")</f>
        <v>0</v>
      </c>
      <c r="S5" s="137">
        <f>SUMIFS(Database!$G:$G,Database!$D:$D,"Import",Database!$E:$E,$B5,Database!$C:$C,S$1,Database!$F:$F,"Total")</f>
        <v>0</v>
      </c>
      <c r="T5" s="137">
        <f>SUMIFS(Database!$G:$G,Database!$D:$D,"Import",Database!$E:$E,$B5,Database!$C:$C,T$1,Database!$F:$F,"Total")</f>
        <v>0</v>
      </c>
      <c r="U5" s="137">
        <f>SUMIFS(Database!$G:$G,Database!$D:$D,"Import",Database!$E:$E,$B5,Database!$C:$C,U$1,Database!$F:$F,"Total")</f>
        <v>0</v>
      </c>
      <c r="V5" s="137">
        <f>SUMIFS(Database!$G:$G,Database!$D:$D,"Import",Database!$E:$E,$B5,Database!$C:$C,V$1,Database!$F:$F,"Total")</f>
        <v>0</v>
      </c>
      <c r="W5" s="137">
        <f>SUMIFS(Database!$G:$G,Database!$D:$D,"Import",Database!$E:$E,$B5,Database!$C:$C,W$1,Database!$F:$F,"Total")</f>
        <v>0</v>
      </c>
      <c r="X5" s="137">
        <f>SUMIFS(Database!$G:$G,Database!$D:$D,"Import",Database!$E:$E,$B5,Database!$C:$C,X$1,Database!$F:$F,"Total")</f>
        <v>0</v>
      </c>
      <c r="Y5" s="137">
        <f>SUMIFS(Database!$G:$G,Database!$D:$D,"Import",Database!$E:$E,$B5,Database!$C:$C,Y$1,Database!$F:$F,"Total")</f>
        <v>0</v>
      </c>
      <c r="Z5" s="137">
        <f>SUMIFS(Database!$G:$G,Database!$D:$D,"Import",Database!$E:$E,$B5,Database!$C:$C,Z$1,Database!$F:$F,"Total")</f>
        <v>0</v>
      </c>
      <c r="AA5" s="137">
        <f>SUMIFS(Database!$G:$G,Database!$D:$D,"Import",Database!$E:$E,$B5,Database!$C:$C,AA$1,Database!$F:$F,"Total")</f>
        <v>0</v>
      </c>
      <c r="AB5" s="137">
        <f>SUMIFS(Database!$G:$G,Database!$D:$D,"Import",Database!$E:$E,$B5,Database!$C:$C,AB$1,Database!$F:$F,"Total")</f>
        <v>0</v>
      </c>
      <c r="AC5" s="137">
        <f>SUMIFS(Database!$G:$G,Database!$D:$D,"Import",Database!$E:$E,$B5,Database!$C:$C,AC$1,Database!$F:$F,"Total")</f>
        <v>0</v>
      </c>
      <c r="AD5" s="137">
        <f>SUMIFS(Database!$G:$G,Database!$D:$D,"Import",Database!$E:$E,$B5,Database!$C:$C,AD$1,Database!$F:$F,"Total")</f>
        <v>0</v>
      </c>
      <c r="AE5" s="137">
        <f>SUMIFS(Database!$G:$G,Database!$D:$D,"Import",Database!$E:$E,$B5,Database!$C:$C,AE$1,Database!$F:$F,"Total")</f>
        <v>0</v>
      </c>
      <c r="AF5" s="137">
        <f>SUMIFS(Database!$G:$G,Database!$D:$D,"Import",Database!$E:$E,$B5,Database!$C:$C,AF$1,Database!$F:$F,"Total")</f>
        <v>0</v>
      </c>
      <c r="AG5" s="137">
        <f>SUMIFS(Database!$G:$G,Database!$D:$D,"Import",Database!$E:$E,$B5,Database!$C:$C,AG$1,Database!$F:$F,"Total")</f>
        <v>0</v>
      </c>
      <c r="AH5" s="137">
        <f>SUMIFS(Database!$G:$G,Database!$D:$D,"Import",Database!$E:$E,$B5,Database!$C:$C,AH$1,Database!$F:$F,"Total")</f>
        <v>0</v>
      </c>
      <c r="AI5" s="137">
        <f>SUMIFS(Database!$G:$G,Database!$D:$D,"Import",Database!$E:$E,$B5,Database!$C:$C,AI$1,Database!$F:$F,"Total")</f>
        <v>0</v>
      </c>
      <c r="AJ5" s="137">
        <f>SUMIFS(Database!$G:$G,Database!$D:$D,"Import",Database!$E:$E,$B5,Database!$C:$C,AJ$1,Database!$F:$F,"Total")</f>
        <v>0</v>
      </c>
      <c r="AK5" s="137">
        <f>SUMIFS(Database!$G:$G,Database!$D:$D,"Import",Database!$E:$E,$B5,Database!$C:$C,AK$1,Database!$F:$F,"Total")</f>
        <v>0</v>
      </c>
      <c r="AL5" s="137">
        <f>SUMIFS(Database!$G:$G,Database!$D:$D,"Import",Database!$E:$E,$B5,Database!$C:$C,AL$1,Database!$F:$F,"Total")</f>
        <v>92</v>
      </c>
      <c r="AM5" s="137">
        <f>SUMIFS(Database!$G:$G,Database!$D:$D,"Import",Database!$E:$E,$B5,Database!$C:$C,AM$1,Database!$F:$F,"Total")</f>
        <v>0</v>
      </c>
      <c r="AN5" s="137">
        <f>SUMIFS(Database!$G:$G,Database!$D:$D,"Import",Database!$E:$E,$B5,Database!$C:$C,AN$1,Database!$F:$F,"Total")</f>
        <v>0</v>
      </c>
      <c r="AO5" s="137">
        <f>SUMIFS(Database!$G:$G,Database!$D:$D,"Import",Database!$E:$E,$B5,Database!$C:$C,AO$1,Database!$F:$F,"Total")</f>
        <v>0</v>
      </c>
      <c r="AP5" s="137">
        <f>SUMIFS(Database!$G:$G,Database!$D:$D,"Import",Database!$E:$E,$B5,Database!$C:$C,AP$1,Database!$F:$F,"Total")</f>
        <v>0</v>
      </c>
      <c r="AQ5" s="137">
        <f>SUMIFS(Database!$G:$G,Database!$D:$D,"Import",Database!$E:$E,$B5,Database!$C:$C,AQ$1,Database!$F:$F,"Total")</f>
        <v>0</v>
      </c>
      <c r="AR5" s="137">
        <f>SUMIFS(Database!$G:$G,Database!$D:$D,"Import",Database!$E:$E,$B5,Database!$C:$C,AR$1,Database!$F:$F,"Total")</f>
        <v>0</v>
      </c>
      <c r="AS5" s="137">
        <f>SUMIFS(Database!$G:$G,Database!$D:$D,"Import",Database!$E:$E,$B5,Database!$C:$C,AS$1,Database!$F:$F,"Total")</f>
        <v>0</v>
      </c>
      <c r="AT5" s="137">
        <f>SUMIFS(Database!$G:$G,Database!$D:$D,"Import",Database!$E:$E,$B5,Database!$C:$C,AT$1,Database!$F:$F,"Total")</f>
        <v>0</v>
      </c>
      <c r="AU5" s="137">
        <f>SUMIFS(Database!$G:$G,Database!$D:$D,"Import",Database!$E:$E,$B5,Database!$C:$C,AU$1,Database!$F:$F,"Total")</f>
        <v>0</v>
      </c>
      <c r="AV5" s="137">
        <f>SUMIFS(Database!$G:$G,Database!$D:$D,"Import",Database!$E:$E,$B5,Database!$C:$C,AV$1,Database!$F:$F,"Total")</f>
        <v>0</v>
      </c>
      <c r="AW5" s="137">
        <f>SUMIFS(Database!$G:$G,Database!$D:$D,"Import",Database!$E:$E,$B5,Database!$C:$C,AW$1,Database!$F:$F,"Total")</f>
        <v>0</v>
      </c>
      <c r="AX5" s="137">
        <f>SUMIFS(Database!$G:$G,Database!$D:$D,"Import",Database!$E:$E,$B5,Database!$C:$C,AX$1,Database!$F:$F,"Total")</f>
        <v>0</v>
      </c>
      <c r="AY5" s="137">
        <f>SUMIFS(Database!$G:$G,Database!$D:$D,"Import",Database!$E:$E,$B5,Database!$C:$C,AY$1,Database!$F:$F,"Total")</f>
        <v>0</v>
      </c>
      <c r="AZ5" s="137">
        <f>SUMIFS(Database!$G:$G,Database!$D:$D,"Import",Database!$E:$E,$B5,Database!$C:$C,AZ$1,Database!$F:$F,"Total")</f>
        <v>0</v>
      </c>
      <c r="BA5" s="137">
        <f>SUMIFS(Database!$G:$G,Database!$D:$D,"Import",Database!$E:$E,$B5,Database!$C:$C,BA$1,Database!$F:$F,"Total")</f>
        <v>0</v>
      </c>
      <c r="BB5" s="137">
        <f>SUMIFS(Database!$G:$G,Database!$D:$D,"Import",Database!$E:$E,$B5,Database!$C:$C,BB$1,Database!$F:$F,"Total")</f>
        <v>0</v>
      </c>
      <c r="BC5" s="137">
        <f>SUMIFS(Database!$G:$G,Database!$D:$D,"Import",Database!$E:$E,$B5,Database!$C:$C,BC$1,Database!$F:$F,"Total")</f>
        <v>0</v>
      </c>
      <c r="BD5" s="137">
        <f>SUMIFS(Database!$G:$G,Database!$D:$D,"Import",Database!$E:$E,$B5,Database!$C:$C,BD$1,Database!$F:$F,"Total")</f>
        <v>0</v>
      </c>
      <c r="BE5" s="137">
        <f>SUMIFS(Database!$G:$G,Database!$D:$D,"Import",Database!$E:$E,$B5,Database!$C:$C,BE$1,Database!$F:$F,"Total")</f>
        <v>0</v>
      </c>
      <c r="BF5" s="137">
        <f>SUMIFS(Database!$G:$G,Database!$D:$D,"Import",Database!$E:$E,$B5,Database!$C:$C,BF$1,Database!$F:$F,"Total")</f>
        <v>0</v>
      </c>
      <c r="BG5" s="137">
        <f>SUMIFS(Database!$G:$G,Database!$D:$D,"Import",Database!$E:$E,$B5,Database!$C:$C,BG$1,Database!$F:$F,"Total")</f>
        <v>0</v>
      </c>
      <c r="BH5" s="137">
        <f>SUMIFS(Database!$G:$G,Database!$D:$D,"Import",Database!$E:$E,$B5,Database!$C:$C,BH$1,Database!$F:$F,"Total")</f>
        <v>0</v>
      </c>
      <c r="BI5" s="137">
        <f>SUMIFS(Database!$G:$G,Database!$D:$D,"Import",Database!$E:$E,$B5,Database!$C:$C,BI$1,Database!$F:$F,"Total")</f>
        <v>0</v>
      </c>
      <c r="BJ5" s="137">
        <f>SUMIFS(Database!$G:$G,Database!$D:$D,"Import",Database!$E:$E,$B5,Database!$C:$C,BJ$1,Database!$F:$F,"Total")</f>
        <v>0</v>
      </c>
      <c r="BK5" s="137">
        <f>SUMIFS(Database!$G:$G,Database!$D:$D,"Import",Database!$E:$E,$B5,Database!$C:$C,BK$1,Database!$F:$F,"Total")</f>
        <v>0</v>
      </c>
      <c r="BL5" s="137">
        <f>SUMIFS(Database!$G:$G,Database!$D:$D,"Import",Database!$E:$E,$B5,Database!$C:$C,BL$1,Database!$F:$F,"Total")</f>
        <v>0</v>
      </c>
      <c r="BM5" s="137">
        <f>SUMIFS(Database!$G:$G,Database!$D:$D,"Import",Database!$E:$E,$B5,Database!$C:$C,BM$1,Database!$F:$F,"Total")</f>
        <v>0</v>
      </c>
      <c r="BN5" s="137">
        <f>SUMIFS(Database!$G:$G,Database!$D:$D,"Import",Database!$E:$E,$B5,Database!$C:$C,BN$1,Database!$F:$F,"Total")</f>
        <v>0</v>
      </c>
      <c r="BO5" s="137">
        <f>SUMIFS(Database!$G:$G,Database!$D:$D,"Import",Database!$E:$E,$B5,Database!$C:$C,BO$1,Database!$F:$F,"Total")</f>
        <v>0</v>
      </c>
      <c r="BP5" s="137">
        <f>SUMIFS(Database!$G:$G,Database!$D:$D,"Import",Database!$E:$E,$B5,Database!$C:$C,BP$1,Database!$F:$F,"Total")</f>
        <v>0</v>
      </c>
      <c r="BQ5" s="137">
        <f>SUMIFS(Database!$G:$G,Database!$D:$D,"Import",Database!$E:$E,$B5,Database!$C:$C,BQ$1,Database!$F:$F,"Total")</f>
        <v>0</v>
      </c>
      <c r="BR5" s="137">
        <f>SUMIFS(Database!$G:$G,Database!$D:$D,"Import",Database!$E:$E,$B5,Database!$C:$C,BR$1,Database!$F:$F,"Total")</f>
        <v>0</v>
      </c>
      <c r="BS5" s="137">
        <f>SUMIFS(Database!$G:$G,Database!$D:$D,"Import",Database!$E:$E,$B5,Database!$C:$C,BS$1,Database!$F:$F,"Total")</f>
        <v>0</v>
      </c>
      <c r="BT5" s="137">
        <f>SUMIFS(Database!$G:$G,Database!$D:$D,"Import",Database!$E:$E,$B5,Database!$C:$C,BT$1,Database!$F:$F,"Total")</f>
        <v>0</v>
      </c>
      <c r="BU5" s="137">
        <f>SUMIFS(Database!$G:$G,Database!$D:$D,"Import",Database!$E:$E,$B5,Database!$C:$C,BU$1,Database!$F:$F,"Total")</f>
        <v>0</v>
      </c>
      <c r="BV5" s="137">
        <f>SUMIFS(Database!$G:$G,Database!$D:$D,"Import",Database!$E:$E,$B5,Database!$C:$C,BV$1,Database!$F:$F,"Total")</f>
        <v>0</v>
      </c>
      <c r="BW5" s="137">
        <f>SUMIFS(Database!$G:$G,Database!$D:$D,"Import",Database!$E:$E,$B5,Database!$C:$C,BW$1,Database!$F:$F,"Total")</f>
        <v>0</v>
      </c>
      <c r="BX5" s="137">
        <f>SUMIFS(Database!$G:$G,Database!$D:$D,"Import",Database!$E:$E,$B5,Database!$C:$C,BX$1,Database!$F:$F,"Total")</f>
        <v>0</v>
      </c>
      <c r="BY5" s="137">
        <f>SUMIFS(Database!$G:$G,Database!$D:$D,"Import",Database!$E:$E,$B5,Database!$C:$C,BY$1,Database!$F:$F,"Total")</f>
        <v>0</v>
      </c>
      <c r="BZ5" s="137">
        <f>SUMIFS(Database!$G:$G,Database!$D:$D,"Import",Database!$E:$E,$B5,Database!$C:$C,BZ$1,Database!$F:$F,"Total")</f>
        <v>0</v>
      </c>
      <c r="CA5" s="137">
        <f>SUMIFS(Database!$G:$G,Database!$D:$D,"Import",Database!$E:$E,$B5,Database!$C:$C,CA$1,Database!$F:$F,"Total")</f>
        <v>0</v>
      </c>
      <c r="CB5" s="137">
        <f>SUMIFS(Database!$G:$G,Database!$D:$D,"Import",Database!$E:$E,$B5,Database!$C:$C,CB$1,Database!$F:$F,"Total")</f>
        <v>0</v>
      </c>
      <c r="CC5" s="137">
        <f>SUMIFS(Database!$G:$G,Database!$D:$D,"Import",Database!$E:$E,$B5,Database!$C:$C,CC$1,Database!$F:$F,"Total")</f>
        <v>0</v>
      </c>
      <c r="CD5" s="137">
        <f>SUMIFS(Database!$G:$G,Database!$D:$D,"Import",Database!$E:$E,$B5,Database!$C:$C,CD$1,Database!$F:$F,"Total")</f>
        <v>0</v>
      </c>
      <c r="CE5" s="137">
        <f>SUMIFS(Database!$G:$G,Database!$D:$D,"Import",Database!$E:$E,$B5,Database!$C:$C,CE$1,Database!$F:$F,"Total")</f>
        <v>0</v>
      </c>
      <c r="CF5" s="137">
        <f>SUMIFS(Database!$G:$G,Database!$D:$D,"Import",Database!$E:$E,$B5,Database!$C:$C,CF$1,Database!$F:$F,"Total")</f>
        <v>0</v>
      </c>
      <c r="CG5" s="137">
        <f>SUMIFS(Database!$G:$G,Database!$D:$D,"Import",Database!$E:$E,$B5,Database!$C:$C,CG$1,Database!$F:$F,"Total")</f>
        <v>0</v>
      </c>
      <c r="CH5" s="137">
        <f>SUMIFS(Database!$G:$G,Database!$D:$D,"Import",Database!$E:$E,$B5,Database!$C:$C,CH$1,Database!$F:$F,"Total")</f>
        <v>0</v>
      </c>
      <c r="CI5" s="137">
        <f>SUMIFS(Database!$G:$G,Database!$D:$D,"Import",Database!$E:$E,$B5,Database!$C:$C,CI$1,Database!$F:$F,"Total")</f>
        <v>0</v>
      </c>
      <c r="CJ5" s="137">
        <f>SUMIFS(Database!$G:$G,Database!$D:$D,"Import",Database!$E:$E,$B5,Database!$C:$C,CJ$1,Database!$F:$F,"Total")</f>
        <v>0</v>
      </c>
      <c r="CK5" s="137">
        <f>SUMIFS(Database!$G:$G,Database!$D:$D,"Import",Database!$E:$E,$B5,Database!$C:$C,CK$1,Database!$F:$F,"Total")</f>
        <v>0</v>
      </c>
      <c r="CL5" s="137">
        <f>SUMIFS(Database!$G:$G,Database!$D:$D,"Import",Database!$E:$E,$B5,Database!$C:$C,CL$1,Database!$F:$F,"Total")</f>
        <v>0</v>
      </c>
      <c r="CM5" s="137">
        <f>SUMIFS(Database!$G:$G,Database!$D:$D,"Import",Database!$E:$E,$B5,Database!$C:$C,CM$1,Database!$F:$F,"Total")</f>
        <v>0</v>
      </c>
      <c r="CN5" s="137">
        <f>SUMIFS(Database!$G:$G,Database!$D:$D,"Import",Database!$E:$E,$B5,Database!$C:$C,CN$1,Database!$F:$F,"Total")</f>
        <v>0</v>
      </c>
      <c r="CO5" s="137">
        <f>SUMIFS(Database!$G:$G,Database!$D:$D,"Import",Database!$E:$E,$B5,Database!$C:$C,CO$1,Database!$F:$F,"Total")</f>
        <v>0</v>
      </c>
      <c r="CP5" s="137">
        <f>SUMIFS(Database!$G:$G,Database!$D:$D,"Import",Database!$E:$E,$B5,Database!$C:$C,CP$1,Database!$F:$F,"Total")</f>
        <v>0</v>
      </c>
      <c r="CQ5" s="137">
        <f>SUMIFS(Database!$G:$G,Database!$D:$D,"Import",Database!$E:$E,$B5,Database!$C:$C,CQ$1,Database!$F:$F,"Total")</f>
        <v>0</v>
      </c>
      <c r="CR5" s="137">
        <f>SUMIFS(Database!$G:$G,Database!$D:$D,"Import",Database!$E:$E,$B5,Database!$C:$C,CR$1,Database!$F:$F,"Total")</f>
        <v>0</v>
      </c>
      <c r="CS5" s="137">
        <f>SUMIFS(Database!$G:$G,Database!$D:$D,"Import",Database!$E:$E,$B5,Database!$C:$C,CS$1,Database!$F:$F,"Total")</f>
        <v>0</v>
      </c>
      <c r="CT5" s="137">
        <f>SUMIFS(Database!$G:$G,Database!$D:$D,"Import",Database!$E:$E,$B5,Database!$C:$C,CT$1,Database!$F:$F,"Total")</f>
        <v>0</v>
      </c>
      <c r="CU5" s="137">
        <f>SUMIFS(Database!$G:$G,Database!$D:$D,"Import",Database!$E:$E,$B5,Database!$C:$C,CU$1,Database!$F:$F,"Total")</f>
        <v>0</v>
      </c>
    </row>
    <row r="6" spans="1:99" x14ac:dyDescent="0.25">
      <c r="A6" s="132" t="s">
        <v>484</v>
      </c>
      <c r="B6" s="133" t="s">
        <v>31</v>
      </c>
      <c r="C6" s="137">
        <f>SUMIFS(Database!$G:$G,Database!$D:$D,"Import",Database!$E:$E,$B6,Database!$C:$C,C$1,Database!$F:$F,"Total")</f>
        <v>0</v>
      </c>
      <c r="D6" s="137">
        <f>SUMIFS(Database!$G:$G,Database!$D:$D,"Import",Database!$E:$E,$B6,Database!$C:$C,D$1,Database!$F:$F,"Total")</f>
        <v>0</v>
      </c>
      <c r="E6" s="137">
        <f>SUMIFS(Database!$G:$G,Database!$D:$D,"Import",Database!$E:$E,$B6,Database!$C:$C,E$1,Database!$F:$F,"Total")</f>
        <v>0</v>
      </c>
      <c r="F6" s="137">
        <f>SUMIFS(Database!$G:$G,Database!$D:$D,"Import",Database!$E:$E,$B6,Database!$C:$C,F$1,Database!$F:$F,"Total")</f>
        <v>0</v>
      </c>
      <c r="G6" s="137">
        <f>SUMIFS(Database!$G:$G,Database!$D:$D,"Import",Database!$E:$E,$B6,Database!$C:$C,G$1,Database!$F:$F,"Total")</f>
        <v>0</v>
      </c>
      <c r="H6" s="137">
        <f>SUMIFS(Database!$G:$G,Database!$D:$D,"Import",Database!$E:$E,$B6,Database!$C:$C,H$1,Database!$F:$F,"Total")</f>
        <v>0</v>
      </c>
      <c r="I6" s="137">
        <f>SUMIFS(Database!$G:$G,Database!$D:$D,"Import",Database!$E:$E,$B6,Database!$C:$C,I$1,Database!$F:$F,"Total")</f>
        <v>0</v>
      </c>
      <c r="J6" s="137">
        <f>SUMIFS(Database!$G:$G,Database!$D:$D,"Import",Database!$E:$E,$B6,Database!$C:$C,J$1,Database!$F:$F,"Total")</f>
        <v>0</v>
      </c>
      <c r="K6" s="137">
        <f>SUMIFS(Database!$G:$G,Database!$D:$D,"Import",Database!$E:$E,$B6,Database!$C:$C,K$1,Database!$F:$F,"Total")</f>
        <v>0</v>
      </c>
      <c r="L6" s="137">
        <f>SUMIFS(Database!$G:$G,Database!$D:$D,"Import",Database!$E:$E,$B6,Database!$C:$C,L$1,Database!$F:$F,"Total")</f>
        <v>0</v>
      </c>
      <c r="M6" s="137">
        <f>SUMIFS(Database!$G:$G,Database!$D:$D,"Import",Database!$E:$E,$B6,Database!$C:$C,M$1,Database!$F:$F,"Total")</f>
        <v>0</v>
      </c>
      <c r="N6" s="137">
        <f>SUMIFS(Database!$G:$G,Database!$D:$D,"Import",Database!$E:$E,$B6,Database!$C:$C,N$1,Database!$F:$F,"Total")</f>
        <v>0</v>
      </c>
      <c r="O6" s="137">
        <f>SUMIFS(Database!$G:$G,Database!$D:$D,"Import",Database!$E:$E,$B6,Database!$C:$C,O$1,Database!$F:$F,"Total")</f>
        <v>0</v>
      </c>
      <c r="P6" s="137">
        <f>SUMIFS(Database!$G:$G,Database!$D:$D,"Import",Database!$E:$E,$B6,Database!$C:$C,P$1,Database!$F:$F,"Total")</f>
        <v>0</v>
      </c>
      <c r="Q6" s="137">
        <f>SUMIFS(Database!$G:$G,Database!$D:$D,"Import",Database!$E:$E,$B6,Database!$C:$C,Q$1,Database!$F:$F,"Total")</f>
        <v>0</v>
      </c>
      <c r="R6" s="137">
        <f>SUMIFS(Database!$G:$G,Database!$D:$D,"Import",Database!$E:$E,$B6,Database!$C:$C,R$1,Database!$F:$F,"Total")</f>
        <v>0</v>
      </c>
      <c r="S6" s="137">
        <f>SUMIFS(Database!$G:$G,Database!$D:$D,"Import",Database!$E:$E,$B6,Database!$C:$C,S$1,Database!$F:$F,"Total")</f>
        <v>0</v>
      </c>
      <c r="T6" s="137">
        <f>SUMIFS(Database!$G:$G,Database!$D:$D,"Import",Database!$E:$E,$B6,Database!$C:$C,T$1,Database!$F:$F,"Total")</f>
        <v>0</v>
      </c>
      <c r="U6" s="137">
        <f>SUMIFS(Database!$G:$G,Database!$D:$D,"Import",Database!$E:$E,$B6,Database!$C:$C,U$1,Database!$F:$F,"Total")</f>
        <v>0</v>
      </c>
      <c r="V6" s="137">
        <f>SUMIFS(Database!$G:$G,Database!$D:$D,"Import",Database!$E:$E,$B6,Database!$C:$C,V$1,Database!$F:$F,"Total")</f>
        <v>0</v>
      </c>
      <c r="W6" s="137">
        <f>SUMIFS(Database!$G:$G,Database!$D:$D,"Import",Database!$E:$E,$B6,Database!$C:$C,W$1,Database!$F:$F,"Total")</f>
        <v>0</v>
      </c>
      <c r="X6" s="137">
        <f>SUMIFS(Database!$G:$G,Database!$D:$D,"Import",Database!$E:$E,$B6,Database!$C:$C,X$1,Database!$F:$F,"Total")</f>
        <v>0</v>
      </c>
      <c r="Y6" s="137">
        <f>SUMIFS(Database!$G:$G,Database!$D:$D,"Import",Database!$E:$E,$B6,Database!$C:$C,Y$1,Database!$F:$F,"Total")</f>
        <v>0</v>
      </c>
      <c r="Z6" s="137">
        <f>SUMIFS(Database!$G:$G,Database!$D:$D,"Import",Database!$E:$E,$B6,Database!$C:$C,Z$1,Database!$F:$F,"Total")</f>
        <v>0</v>
      </c>
      <c r="AA6" s="137">
        <f>SUMIFS(Database!$G:$G,Database!$D:$D,"Import",Database!$E:$E,$B6,Database!$C:$C,AA$1,Database!$F:$F,"Total")</f>
        <v>0</v>
      </c>
      <c r="AB6" s="137">
        <f>SUMIFS(Database!$G:$G,Database!$D:$D,"Import",Database!$E:$E,$B6,Database!$C:$C,AB$1,Database!$F:$F,"Total")</f>
        <v>0</v>
      </c>
      <c r="AC6" s="137">
        <f>SUMIFS(Database!$G:$G,Database!$D:$D,"Import",Database!$E:$E,$B6,Database!$C:$C,AC$1,Database!$F:$F,"Total")</f>
        <v>0</v>
      </c>
      <c r="AD6" s="137">
        <f>SUMIFS(Database!$G:$G,Database!$D:$D,"Import",Database!$E:$E,$B6,Database!$C:$C,AD$1,Database!$F:$F,"Total")</f>
        <v>0</v>
      </c>
      <c r="AE6" s="137">
        <f>SUMIFS(Database!$G:$G,Database!$D:$D,"Import",Database!$E:$E,$B6,Database!$C:$C,AE$1,Database!$F:$F,"Total")</f>
        <v>0</v>
      </c>
      <c r="AF6" s="137">
        <f>SUMIFS(Database!$G:$G,Database!$D:$D,"Import",Database!$E:$E,$B6,Database!$C:$C,AF$1,Database!$F:$F,"Total")</f>
        <v>0</v>
      </c>
      <c r="AG6" s="137">
        <f>SUMIFS(Database!$G:$G,Database!$D:$D,"Import",Database!$E:$E,$B6,Database!$C:$C,AG$1,Database!$F:$F,"Total")</f>
        <v>0</v>
      </c>
      <c r="AH6" s="137">
        <f>SUMIFS(Database!$G:$G,Database!$D:$D,"Import",Database!$E:$E,$B6,Database!$C:$C,AH$1,Database!$F:$F,"Total")</f>
        <v>0</v>
      </c>
      <c r="AI6" s="137">
        <f>SUMIFS(Database!$G:$G,Database!$D:$D,"Import",Database!$E:$E,$B6,Database!$C:$C,AI$1,Database!$F:$F,"Total")</f>
        <v>0</v>
      </c>
      <c r="AJ6" s="137">
        <f>SUMIFS(Database!$G:$G,Database!$D:$D,"Import",Database!$E:$E,$B6,Database!$C:$C,AJ$1,Database!$F:$F,"Total")</f>
        <v>0</v>
      </c>
      <c r="AK6" s="137">
        <f>SUMIFS(Database!$G:$G,Database!$D:$D,"Import",Database!$E:$E,$B6,Database!$C:$C,AK$1,Database!$F:$F,"Total")</f>
        <v>0</v>
      </c>
      <c r="AL6" s="137">
        <f>SUMIFS(Database!$G:$G,Database!$D:$D,"Import",Database!$E:$E,$B6,Database!$C:$C,AL$1,Database!$F:$F,"Total")</f>
        <v>0</v>
      </c>
      <c r="AM6" s="137">
        <f>SUMIFS(Database!$G:$G,Database!$D:$D,"Import",Database!$E:$E,$B6,Database!$C:$C,AM$1,Database!$F:$F,"Total")</f>
        <v>0</v>
      </c>
      <c r="AN6" s="137">
        <f>SUMIFS(Database!$G:$G,Database!$D:$D,"Import",Database!$E:$E,$B6,Database!$C:$C,AN$1,Database!$F:$F,"Total")</f>
        <v>0</v>
      </c>
      <c r="AO6" s="137">
        <f>SUMIFS(Database!$G:$G,Database!$D:$D,"Import",Database!$E:$E,$B6,Database!$C:$C,AO$1,Database!$F:$F,"Total")</f>
        <v>0</v>
      </c>
      <c r="AP6" s="137">
        <f>SUMIFS(Database!$G:$G,Database!$D:$D,"Import",Database!$E:$E,$B6,Database!$C:$C,AP$1,Database!$F:$F,"Total")</f>
        <v>0</v>
      </c>
      <c r="AQ6" s="137">
        <f>SUMIFS(Database!$G:$G,Database!$D:$D,"Import",Database!$E:$E,$B6,Database!$C:$C,AQ$1,Database!$F:$F,"Total")</f>
        <v>0</v>
      </c>
      <c r="AR6" s="137">
        <f>SUMIFS(Database!$G:$G,Database!$D:$D,"Import",Database!$E:$E,$B6,Database!$C:$C,AR$1,Database!$F:$F,"Total")</f>
        <v>0</v>
      </c>
      <c r="AS6" s="137">
        <f>SUMIFS(Database!$G:$G,Database!$D:$D,"Import",Database!$E:$E,$B6,Database!$C:$C,AS$1,Database!$F:$F,"Total")</f>
        <v>0</v>
      </c>
      <c r="AT6" s="137">
        <f>SUMIFS(Database!$G:$G,Database!$D:$D,"Import",Database!$E:$E,$B6,Database!$C:$C,AT$1,Database!$F:$F,"Total")</f>
        <v>0</v>
      </c>
      <c r="AU6" s="137">
        <f>SUMIFS(Database!$G:$G,Database!$D:$D,"Import",Database!$E:$E,$B6,Database!$C:$C,AU$1,Database!$F:$F,"Total")</f>
        <v>0</v>
      </c>
      <c r="AV6" s="137">
        <f>SUMIFS(Database!$G:$G,Database!$D:$D,"Import",Database!$E:$E,$B6,Database!$C:$C,AV$1,Database!$F:$F,"Total")</f>
        <v>0</v>
      </c>
      <c r="AW6" s="137">
        <f>SUMIFS(Database!$G:$G,Database!$D:$D,"Import",Database!$E:$E,$B6,Database!$C:$C,AW$1,Database!$F:$F,"Total")</f>
        <v>0</v>
      </c>
      <c r="AX6" s="137">
        <f>SUMIFS(Database!$G:$G,Database!$D:$D,"Import",Database!$E:$E,$B6,Database!$C:$C,AX$1,Database!$F:$F,"Total")</f>
        <v>0</v>
      </c>
      <c r="AY6" s="137">
        <f>SUMIFS(Database!$G:$G,Database!$D:$D,"Import",Database!$E:$E,$B6,Database!$C:$C,AY$1,Database!$F:$F,"Total")</f>
        <v>0</v>
      </c>
      <c r="AZ6" s="137">
        <f>SUMIFS(Database!$G:$G,Database!$D:$D,"Import",Database!$E:$E,$B6,Database!$C:$C,AZ$1,Database!$F:$F,"Total")</f>
        <v>0</v>
      </c>
      <c r="BA6" s="137">
        <f>SUMIFS(Database!$G:$G,Database!$D:$D,"Import",Database!$E:$E,$B6,Database!$C:$C,BA$1,Database!$F:$F,"Total")</f>
        <v>0</v>
      </c>
      <c r="BB6" s="137">
        <f>SUMIFS(Database!$G:$G,Database!$D:$D,"Import",Database!$E:$E,$B6,Database!$C:$C,BB$1,Database!$F:$F,"Total")</f>
        <v>0</v>
      </c>
      <c r="BC6" s="137">
        <f>SUMIFS(Database!$G:$G,Database!$D:$D,"Import",Database!$E:$E,$B6,Database!$C:$C,BC$1,Database!$F:$F,"Total")</f>
        <v>0</v>
      </c>
      <c r="BD6" s="137">
        <f>SUMIFS(Database!$G:$G,Database!$D:$D,"Import",Database!$E:$E,$B6,Database!$C:$C,BD$1,Database!$F:$F,"Total")</f>
        <v>0</v>
      </c>
      <c r="BE6" s="137">
        <f>SUMIFS(Database!$G:$G,Database!$D:$D,"Import",Database!$E:$E,$B6,Database!$C:$C,BE$1,Database!$F:$F,"Total")</f>
        <v>0</v>
      </c>
      <c r="BF6" s="137">
        <f>SUMIFS(Database!$G:$G,Database!$D:$D,"Import",Database!$E:$E,$B6,Database!$C:$C,BF$1,Database!$F:$F,"Total")</f>
        <v>0</v>
      </c>
      <c r="BG6" s="137">
        <f>SUMIFS(Database!$G:$G,Database!$D:$D,"Import",Database!$E:$E,$B6,Database!$C:$C,BG$1,Database!$F:$F,"Total")</f>
        <v>0</v>
      </c>
      <c r="BH6" s="137">
        <f>SUMIFS(Database!$G:$G,Database!$D:$D,"Import",Database!$E:$E,$B6,Database!$C:$C,BH$1,Database!$F:$F,"Total")</f>
        <v>334</v>
      </c>
      <c r="BI6" s="137">
        <f>SUMIFS(Database!$G:$G,Database!$D:$D,"Import",Database!$E:$E,$B6,Database!$C:$C,BI$1,Database!$F:$F,"Total")</f>
        <v>0</v>
      </c>
      <c r="BJ6" s="137">
        <f>SUMIFS(Database!$G:$G,Database!$D:$D,"Import",Database!$E:$E,$B6,Database!$C:$C,BJ$1,Database!$F:$F,"Total")</f>
        <v>0</v>
      </c>
      <c r="BK6" s="137">
        <f>SUMIFS(Database!$G:$G,Database!$D:$D,"Import",Database!$E:$E,$B6,Database!$C:$C,BK$1,Database!$F:$F,"Total")</f>
        <v>0</v>
      </c>
      <c r="BL6" s="137">
        <f>SUMIFS(Database!$G:$G,Database!$D:$D,"Import",Database!$E:$E,$B6,Database!$C:$C,BL$1,Database!$F:$F,"Total")</f>
        <v>0</v>
      </c>
      <c r="BM6" s="137">
        <f>SUMIFS(Database!$G:$G,Database!$D:$D,"Import",Database!$E:$E,$B6,Database!$C:$C,BM$1,Database!$F:$F,"Total")</f>
        <v>0</v>
      </c>
      <c r="BN6" s="137">
        <f>SUMIFS(Database!$G:$G,Database!$D:$D,"Import",Database!$E:$E,$B6,Database!$C:$C,BN$1,Database!$F:$F,"Total")</f>
        <v>0</v>
      </c>
      <c r="BO6" s="137">
        <f>SUMIFS(Database!$G:$G,Database!$D:$D,"Import",Database!$E:$E,$B6,Database!$C:$C,BO$1,Database!$F:$F,"Total")</f>
        <v>0</v>
      </c>
      <c r="BP6" s="137">
        <f>SUMIFS(Database!$G:$G,Database!$D:$D,"Import",Database!$E:$E,$B6,Database!$C:$C,BP$1,Database!$F:$F,"Total")</f>
        <v>0</v>
      </c>
      <c r="BQ6" s="137">
        <f>SUMIFS(Database!$G:$G,Database!$D:$D,"Import",Database!$E:$E,$B6,Database!$C:$C,BQ$1,Database!$F:$F,"Total")</f>
        <v>0</v>
      </c>
      <c r="BR6" s="137">
        <f>SUMIFS(Database!$G:$G,Database!$D:$D,"Import",Database!$E:$E,$B6,Database!$C:$C,BR$1,Database!$F:$F,"Total")</f>
        <v>0</v>
      </c>
      <c r="BS6" s="137">
        <f>SUMIFS(Database!$G:$G,Database!$D:$D,"Import",Database!$E:$E,$B6,Database!$C:$C,BS$1,Database!$F:$F,"Total")</f>
        <v>0</v>
      </c>
      <c r="BT6" s="137">
        <f>SUMIFS(Database!$G:$G,Database!$D:$D,"Import",Database!$E:$E,$B6,Database!$C:$C,BT$1,Database!$F:$F,"Total")</f>
        <v>0</v>
      </c>
      <c r="BU6" s="137">
        <f>SUMIFS(Database!$G:$G,Database!$D:$D,"Import",Database!$E:$E,$B6,Database!$C:$C,BU$1,Database!$F:$F,"Total")</f>
        <v>0</v>
      </c>
      <c r="BV6" s="137">
        <f>SUMIFS(Database!$G:$G,Database!$D:$D,"Import",Database!$E:$E,$B6,Database!$C:$C,BV$1,Database!$F:$F,"Total")</f>
        <v>0</v>
      </c>
      <c r="BW6" s="137">
        <f>SUMIFS(Database!$G:$G,Database!$D:$D,"Import",Database!$E:$E,$B6,Database!$C:$C,BW$1,Database!$F:$F,"Total")</f>
        <v>0</v>
      </c>
      <c r="BX6" s="137">
        <f>SUMIFS(Database!$G:$G,Database!$D:$D,"Import",Database!$E:$E,$B6,Database!$C:$C,BX$1,Database!$F:$F,"Total")</f>
        <v>0</v>
      </c>
      <c r="BY6" s="137">
        <f>SUMIFS(Database!$G:$G,Database!$D:$D,"Import",Database!$E:$E,$B6,Database!$C:$C,BY$1,Database!$F:$F,"Total")</f>
        <v>0</v>
      </c>
      <c r="BZ6" s="137">
        <f>SUMIFS(Database!$G:$G,Database!$D:$D,"Import",Database!$E:$E,$B6,Database!$C:$C,BZ$1,Database!$F:$F,"Total")</f>
        <v>0</v>
      </c>
      <c r="CA6" s="137">
        <f>SUMIFS(Database!$G:$G,Database!$D:$D,"Import",Database!$E:$E,$B6,Database!$C:$C,CA$1,Database!$F:$F,"Total")</f>
        <v>0</v>
      </c>
      <c r="CB6" s="137">
        <f>SUMIFS(Database!$G:$G,Database!$D:$D,"Import",Database!$E:$E,$B6,Database!$C:$C,CB$1,Database!$F:$F,"Total")</f>
        <v>0</v>
      </c>
      <c r="CC6" s="137">
        <f>SUMIFS(Database!$G:$G,Database!$D:$D,"Import",Database!$E:$E,$B6,Database!$C:$C,CC$1,Database!$F:$F,"Total")</f>
        <v>0</v>
      </c>
      <c r="CD6" s="137">
        <f>SUMIFS(Database!$G:$G,Database!$D:$D,"Import",Database!$E:$E,$B6,Database!$C:$C,CD$1,Database!$F:$F,"Total")</f>
        <v>0</v>
      </c>
      <c r="CE6" s="137">
        <f>SUMIFS(Database!$G:$G,Database!$D:$D,"Import",Database!$E:$E,$B6,Database!$C:$C,CE$1,Database!$F:$F,"Total")</f>
        <v>0</v>
      </c>
      <c r="CF6" s="137">
        <f>SUMIFS(Database!$G:$G,Database!$D:$D,"Import",Database!$E:$E,$B6,Database!$C:$C,CF$1,Database!$F:$F,"Total")</f>
        <v>0</v>
      </c>
      <c r="CG6" s="137">
        <f>SUMIFS(Database!$G:$G,Database!$D:$D,"Import",Database!$E:$E,$B6,Database!$C:$C,CG$1,Database!$F:$F,"Total")</f>
        <v>0</v>
      </c>
      <c r="CH6" s="137">
        <f>SUMIFS(Database!$G:$G,Database!$D:$D,"Import",Database!$E:$E,$B6,Database!$C:$C,CH$1,Database!$F:$F,"Total")</f>
        <v>0</v>
      </c>
      <c r="CI6" s="137">
        <f>SUMIFS(Database!$G:$G,Database!$D:$D,"Import",Database!$E:$E,$B6,Database!$C:$C,CI$1,Database!$F:$F,"Total")</f>
        <v>0</v>
      </c>
      <c r="CJ6" s="137">
        <f>SUMIFS(Database!$G:$G,Database!$D:$D,"Import",Database!$E:$E,$B6,Database!$C:$C,CJ$1,Database!$F:$F,"Total")</f>
        <v>0</v>
      </c>
      <c r="CK6" s="137">
        <f>SUMIFS(Database!$G:$G,Database!$D:$D,"Import",Database!$E:$E,$B6,Database!$C:$C,CK$1,Database!$F:$F,"Total")</f>
        <v>0</v>
      </c>
      <c r="CL6" s="137">
        <f>SUMIFS(Database!$G:$G,Database!$D:$D,"Import",Database!$E:$E,$B6,Database!$C:$C,CL$1,Database!$F:$F,"Total")</f>
        <v>0</v>
      </c>
      <c r="CM6" s="137">
        <f>SUMIFS(Database!$G:$G,Database!$D:$D,"Import",Database!$E:$E,$B6,Database!$C:$C,CM$1,Database!$F:$F,"Total")</f>
        <v>0</v>
      </c>
      <c r="CN6" s="137">
        <f>SUMIFS(Database!$G:$G,Database!$D:$D,"Import",Database!$E:$E,$B6,Database!$C:$C,CN$1,Database!$F:$F,"Total")</f>
        <v>0</v>
      </c>
      <c r="CO6" s="137">
        <f>SUMIFS(Database!$G:$G,Database!$D:$D,"Import",Database!$E:$E,$B6,Database!$C:$C,CO$1,Database!$F:$F,"Total")</f>
        <v>0</v>
      </c>
      <c r="CP6" s="137">
        <f>SUMIFS(Database!$G:$G,Database!$D:$D,"Import",Database!$E:$E,$B6,Database!$C:$C,CP$1,Database!$F:$F,"Total")</f>
        <v>0</v>
      </c>
      <c r="CQ6" s="137">
        <f>SUMIFS(Database!$G:$G,Database!$D:$D,"Import",Database!$E:$E,$B6,Database!$C:$C,CQ$1,Database!$F:$F,"Total")</f>
        <v>0</v>
      </c>
      <c r="CR6" s="137">
        <f>SUMIFS(Database!$G:$G,Database!$D:$D,"Import",Database!$E:$E,$B6,Database!$C:$C,CR$1,Database!$F:$F,"Total")</f>
        <v>0</v>
      </c>
      <c r="CS6" s="137">
        <f>SUMIFS(Database!$G:$G,Database!$D:$D,"Import",Database!$E:$E,$B6,Database!$C:$C,CS$1,Database!$F:$F,"Total")</f>
        <v>0</v>
      </c>
      <c r="CT6" s="137">
        <f>SUMIFS(Database!$G:$G,Database!$D:$D,"Import",Database!$E:$E,$B6,Database!$C:$C,CT$1,Database!$F:$F,"Total")</f>
        <v>0</v>
      </c>
      <c r="CU6" s="137">
        <f>SUMIFS(Database!$G:$G,Database!$D:$D,"Import",Database!$E:$E,$B6,Database!$C:$C,CU$1,Database!$F:$F,"Total")</f>
        <v>0</v>
      </c>
    </row>
    <row r="7" spans="1:99" x14ac:dyDescent="0.25">
      <c r="A7" s="132" t="s">
        <v>484</v>
      </c>
      <c r="B7" s="133" t="s">
        <v>32</v>
      </c>
      <c r="C7" s="137">
        <f>SUMIFS(Database!$G:$G,Database!$D:$D,"Import",Database!$E:$E,$B7,Database!$C:$C,C$1,Database!$F:$F,"Total")</f>
        <v>0</v>
      </c>
      <c r="D7" s="137">
        <f>SUMIFS(Database!$G:$G,Database!$D:$D,"Import",Database!$E:$E,$B7,Database!$C:$C,D$1,Database!$F:$F,"Total")</f>
        <v>0</v>
      </c>
      <c r="E7" s="137">
        <f>SUMIFS(Database!$G:$G,Database!$D:$D,"Import",Database!$E:$E,$B7,Database!$C:$C,E$1,Database!$F:$F,"Total")</f>
        <v>0</v>
      </c>
      <c r="F7" s="137">
        <f>SUMIFS(Database!$G:$G,Database!$D:$D,"Import",Database!$E:$E,$B7,Database!$C:$C,F$1,Database!$F:$F,"Total")</f>
        <v>0</v>
      </c>
      <c r="G7" s="137">
        <f>SUMIFS(Database!$G:$G,Database!$D:$D,"Import",Database!$E:$E,$B7,Database!$C:$C,G$1,Database!$F:$F,"Total")</f>
        <v>0</v>
      </c>
      <c r="H7" s="137">
        <f>SUMIFS(Database!$G:$G,Database!$D:$D,"Import",Database!$E:$E,$B7,Database!$C:$C,H$1,Database!$F:$F,"Total")</f>
        <v>0</v>
      </c>
      <c r="I7" s="137">
        <f>SUMIFS(Database!$G:$G,Database!$D:$D,"Import",Database!$E:$E,$B7,Database!$C:$C,I$1,Database!$F:$F,"Total")</f>
        <v>0</v>
      </c>
      <c r="J7" s="137">
        <f>SUMIFS(Database!$G:$G,Database!$D:$D,"Import",Database!$E:$E,$B7,Database!$C:$C,J$1,Database!$F:$F,"Total")</f>
        <v>0</v>
      </c>
      <c r="K7" s="137">
        <f>SUMIFS(Database!$G:$G,Database!$D:$D,"Import",Database!$E:$E,$B7,Database!$C:$C,K$1,Database!$F:$F,"Total")</f>
        <v>0</v>
      </c>
      <c r="L7" s="137">
        <f>SUMIFS(Database!$G:$G,Database!$D:$D,"Import",Database!$E:$E,$B7,Database!$C:$C,L$1,Database!$F:$F,"Total")</f>
        <v>0</v>
      </c>
      <c r="M7" s="137">
        <f>SUMIFS(Database!$G:$G,Database!$D:$D,"Import",Database!$E:$E,$B7,Database!$C:$C,M$1,Database!$F:$F,"Total")</f>
        <v>0</v>
      </c>
      <c r="N7" s="137">
        <f>SUMIFS(Database!$G:$G,Database!$D:$D,"Import",Database!$E:$E,$B7,Database!$C:$C,N$1,Database!$F:$F,"Total")</f>
        <v>0</v>
      </c>
      <c r="O7" s="137">
        <f>SUMIFS(Database!$G:$G,Database!$D:$D,"Import",Database!$E:$E,$B7,Database!$C:$C,O$1,Database!$F:$F,"Total")</f>
        <v>0</v>
      </c>
      <c r="P7" s="137">
        <f>SUMIFS(Database!$G:$G,Database!$D:$D,"Import",Database!$E:$E,$B7,Database!$C:$C,P$1,Database!$F:$F,"Total")</f>
        <v>0</v>
      </c>
      <c r="Q7" s="137">
        <f>SUMIFS(Database!$G:$G,Database!$D:$D,"Import",Database!$E:$E,$B7,Database!$C:$C,Q$1,Database!$F:$F,"Total")</f>
        <v>0</v>
      </c>
      <c r="R7" s="137">
        <f>SUMIFS(Database!$G:$G,Database!$D:$D,"Import",Database!$E:$E,$B7,Database!$C:$C,R$1,Database!$F:$F,"Total")</f>
        <v>0</v>
      </c>
      <c r="S7" s="137">
        <f>SUMIFS(Database!$G:$G,Database!$D:$D,"Import",Database!$E:$E,$B7,Database!$C:$C,S$1,Database!$F:$F,"Total")</f>
        <v>0</v>
      </c>
      <c r="T7" s="137">
        <f>SUMIFS(Database!$G:$G,Database!$D:$D,"Import",Database!$E:$E,$B7,Database!$C:$C,T$1,Database!$F:$F,"Total")</f>
        <v>0</v>
      </c>
      <c r="U7" s="137">
        <f>SUMIFS(Database!$G:$G,Database!$D:$D,"Import",Database!$E:$E,$B7,Database!$C:$C,U$1,Database!$F:$F,"Total")</f>
        <v>0</v>
      </c>
      <c r="V7" s="137">
        <f>SUMIFS(Database!$G:$G,Database!$D:$D,"Import",Database!$E:$E,$B7,Database!$C:$C,V$1,Database!$F:$F,"Total")</f>
        <v>0</v>
      </c>
      <c r="W7" s="137">
        <f>SUMIFS(Database!$G:$G,Database!$D:$D,"Import",Database!$E:$E,$B7,Database!$C:$C,W$1,Database!$F:$F,"Total")</f>
        <v>0</v>
      </c>
      <c r="X7" s="137">
        <f>SUMIFS(Database!$G:$G,Database!$D:$D,"Import",Database!$E:$E,$B7,Database!$C:$C,X$1,Database!$F:$F,"Total")</f>
        <v>0</v>
      </c>
      <c r="Y7" s="137">
        <f>SUMIFS(Database!$G:$G,Database!$D:$D,"Import",Database!$E:$E,$B7,Database!$C:$C,Y$1,Database!$F:$F,"Total")</f>
        <v>0</v>
      </c>
      <c r="Z7" s="137">
        <f>SUMIFS(Database!$G:$G,Database!$D:$D,"Import",Database!$E:$E,$B7,Database!$C:$C,Z$1,Database!$F:$F,"Total")</f>
        <v>0</v>
      </c>
      <c r="AA7" s="137">
        <f>SUMIFS(Database!$G:$G,Database!$D:$D,"Import",Database!$E:$E,$B7,Database!$C:$C,AA$1,Database!$F:$F,"Total")</f>
        <v>0</v>
      </c>
      <c r="AB7" s="137">
        <f>SUMIFS(Database!$G:$G,Database!$D:$D,"Import",Database!$E:$E,$B7,Database!$C:$C,AB$1,Database!$F:$F,"Total")</f>
        <v>0</v>
      </c>
      <c r="AC7" s="137">
        <f>SUMIFS(Database!$G:$G,Database!$D:$D,"Import",Database!$E:$E,$B7,Database!$C:$C,AC$1,Database!$F:$F,"Total")</f>
        <v>0</v>
      </c>
      <c r="AD7" s="137">
        <f>SUMIFS(Database!$G:$G,Database!$D:$D,"Import",Database!$E:$E,$B7,Database!$C:$C,AD$1,Database!$F:$F,"Total")</f>
        <v>0</v>
      </c>
      <c r="AE7" s="137">
        <f>SUMIFS(Database!$G:$G,Database!$D:$D,"Import",Database!$E:$E,$B7,Database!$C:$C,AE$1,Database!$F:$F,"Total")</f>
        <v>0</v>
      </c>
      <c r="AF7" s="137">
        <f>SUMIFS(Database!$G:$G,Database!$D:$D,"Import",Database!$E:$E,$B7,Database!$C:$C,AF$1,Database!$F:$F,"Total")</f>
        <v>0</v>
      </c>
      <c r="AG7" s="137">
        <f>SUMIFS(Database!$G:$G,Database!$D:$D,"Import",Database!$E:$E,$B7,Database!$C:$C,AG$1,Database!$F:$F,"Total")</f>
        <v>0</v>
      </c>
      <c r="AH7" s="137">
        <f>SUMIFS(Database!$G:$G,Database!$D:$D,"Import",Database!$E:$E,$B7,Database!$C:$C,AH$1,Database!$F:$F,"Total")</f>
        <v>0</v>
      </c>
      <c r="AI7" s="137">
        <f>SUMIFS(Database!$G:$G,Database!$D:$D,"Import",Database!$E:$E,$B7,Database!$C:$C,AI$1,Database!$F:$F,"Total")</f>
        <v>0</v>
      </c>
      <c r="AJ7" s="137">
        <f>SUMIFS(Database!$G:$G,Database!$D:$D,"Import",Database!$E:$E,$B7,Database!$C:$C,AJ$1,Database!$F:$F,"Total")</f>
        <v>0</v>
      </c>
      <c r="AK7" s="137">
        <f>SUMIFS(Database!$G:$G,Database!$D:$D,"Import",Database!$E:$E,$B7,Database!$C:$C,AK$1,Database!$F:$F,"Total")</f>
        <v>0</v>
      </c>
      <c r="AL7" s="137">
        <f>SUMIFS(Database!$G:$G,Database!$D:$D,"Import",Database!$E:$E,$B7,Database!$C:$C,AL$1,Database!$F:$F,"Total")</f>
        <v>0</v>
      </c>
      <c r="AM7" s="137">
        <f>SUMIFS(Database!$G:$G,Database!$D:$D,"Import",Database!$E:$E,$B7,Database!$C:$C,AM$1,Database!$F:$F,"Total")</f>
        <v>0</v>
      </c>
      <c r="AN7" s="137">
        <f>SUMIFS(Database!$G:$G,Database!$D:$D,"Import",Database!$E:$E,$B7,Database!$C:$C,AN$1,Database!$F:$F,"Total")</f>
        <v>0</v>
      </c>
      <c r="AO7" s="137">
        <f>SUMIFS(Database!$G:$G,Database!$D:$D,"Import",Database!$E:$E,$B7,Database!$C:$C,AO$1,Database!$F:$F,"Total")</f>
        <v>0</v>
      </c>
      <c r="AP7" s="137">
        <f>SUMIFS(Database!$G:$G,Database!$D:$D,"Import",Database!$E:$E,$B7,Database!$C:$C,AP$1,Database!$F:$F,"Total")</f>
        <v>0</v>
      </c>
      <c r="AQ7" s="137">
        <f>SUMIFS(Database!$G:$G,Database!$D:$D,"Import",Database!$E:$E,$B7,Database!$C:$C,AQ$1,Database!$F:$F,"Total")</f>
        <v>0</v>
      </c>
      <c r="AR7" s="137">
        <f>SUMIFS(Database!$G:$G,Database!$D:$D,"Import",Database!$E:$E,$B7,Database!$C:$C,AR$1,Database!$F:$F,"Total")</f>
        <v>0</v>
      </c>
      <c r="AS7" s="137">
        <f>SUMIFS(Database!$G:$G,Database!$D:$D,"Import",Database!$E:$E,$B7,Database!$C:$C,AS$1,Database!$F:$F,"Total")</f>
        <v>0</v>
      </c>
      <c r="AT7" s="137">
        <f>SUMIFS(Database!$G:$G,Database!$D:$D,"Import",Database!$E:$E,$B7,Database!$C:$C,AT$1,Database!$F:$F,"Total")</f>
        <v>0</v>
      </c>
      <c r="AU7" s="137">
        <f>SUMIFS(Database!$G:$G,Database!$D:$D,"Import",Database!$E:$E,$B7,Database!$C:$C,AU$1,Database!$F:$F,"Total")</f>
        <v>0</v>
      </c>
      <c r="AV7" s="137">
        <f>SUMIFS(Database!$G:$G,Database!$D:$D,"Import",Database!$E:$E,$B7,Database!$C:$C,AV$1,Database!$F:$F,"Total")</f>
        <v>0</v>
      </c>
      <c r="AW7" s="137">
        <f>SUMIFS(Database!$G:$G,Database!$D:$D,"Import",Database!$E:$E,$B7,Database!$C:$C,AW$1,Database!$F:$F,"Total")</f>
        <v>0</v>
      </c>
      <c r="AX7" s="137">
        <f>SUMIFS(Database!$G:$G,Database!$D:$D,"Import",Database!$E:$E,$B7,Database!$C:$C,AX$1,Database!$F:$F,"Total")</f>
        <v>0</v>
      </c>
      <c r="AY7" s="137">
        <f>SUMIFS(Database!$G:$G,Database!$D:$D,"Import",Database!$E:$E,$B7,Database!$C:$C,AY$1,Database!$F:$F,"Total")</f>
        <v>0</v>
      </c>
      <c r="AZ7" s="137">
        <f>SUMIFS(Database!$G:$G,Database!$D:$D,"Import",Database!$E:$E,$B7,Database!$C:$C,AZ$1,Database!$F:$F,"Total")</f>
        <v>0</v>
      </c>
      <c r="BA7" s="137">
        <f>SUMIFS(Database!$G:$G,Database!$D:$D,"Import",Database!$E:$E,$B7,Database!$C:$C,BA$1,Database!$F:$F,"Total")</f>
        <v>0</v>
      </c>
      <c r="BB7" s="137">
        <f>SUMIFS(Database!$G:$G,Database!$D:$D,"Import",Database!$E:$E,$B7,Database!$C:$C,BB$1,Database!$F:$F,"Total")</f>
        <v>0</v>
      </c>
      <c r="BC7" s="137">
        <f>SUMIFS(Database!$G:$G,Database!$D:$D,"Import",Database!$E:$E,$B7,Database!$C:$C,BC$1,Database!$F:$F,"Total")</f>
        <v>0</v>
      </c>
      <c r="BD7" s="137">
        <f>SUMIFS(Database!$G:$G,Database!$D:$D,"Import",Database!$E:$E,$B7,Database!$C:$C,BD$1,Database!$F:$F,"Total")</f>
        <v>0</v>
      </c>
      <c r="BE7" s="137">
        <f>SUMIFS(Database!$G:$G,Database!$D:$D,"Import",Database!$E:$E,$B7,Database!$C:$C,BE$1,Database!$F:$F,"Total")</f>
        <v>0</v>
      </c>
      <c r="BF7" s="137">
        <f>SUMIFS(Database!$G:$G,Database!$D:$D,"Import",Database!$E:$E,$B7,Database!$C:$C,BF$1,Database!$F:$F,"Total")</f>
        <v>0</v>
      </c>
      <c r="BG7" s="137">
        <f>SUMIFS(Database!$G:$G,Database!$D:$D,"Import",Database!$E:$E,$B7,Database!$C:$C,BG$1,Database!$F:$F,"Total")</f>
        <v>0</v>
      </c>
      <c r="BH7" s="137">
        <f>SUMIFS(Database!$G:$G,Database!$D:$D,"Import",Database!$E:$E,$B7,Database!$C:$C,BH$1,Database!$F:$F,"Total")</f>
        <v>14</v>
      </c>
      <c r="BI7" s="137">
        <f>SUMIFS(Database!$G:$G,Database!$D:$D,"Import",Database!$E:$E,$B7,Database!$C:$C,BI$1,Database!$F:$F,"Total")</f>
        <v>0</v>
      </c>
      <c r="BJ7" s="137">
        <f>SUMIFS(Database!$G:$G,Database!$D:$D,"Import",Database!$E:$E,$B7,Database!$C:$C,BJ$1,Database!$F:$F,"Total")</f>
        <v>0</v>
      </c>
      <c r="BK7" s="137">
        <f>SUMIFS(Database!$G:$G,Database!$D:$D,"Import",Database!$E:$E,$B7,Database!$C:$C,BK$1,Database!$F:$F,"Total")</f>
        <v>0</v>
      </c>
      <c r="BL7" s="137">
        <f>SUMIFS(Database!$G:$G,Database!$D:$D,"Import",Database!$E:$E,$B7,Database!$C:$C,BL$1,Database!$F:$F,"Total")</f>
        <v>0</v>
      </c>
      <c r="BM7" s="137">
        <f>SUMIFS(Database!$G:$G,Database!$D:$D,"Import",Database!$E:$E,$B7,Database!$C:$C,BM$1,Database!$F:$F,"Total")</f>
        <v>0</v>
      </c>
      <c r="BN7" s="137">
        <f>SUMIFS(Database!$G:$G,Database!$D:$D,"Import",Database!$E:$E,$B7,Database!$C:$C,BN$1,Database!$F:$F,"Total")</f>
        <v>0</v>
      </c>
      <c r="BO7" s="137">
        <f>SUMIFS(Database!$G:$G,Database!$D:$D,"Import",Database!$E:$E,$B7,Database!$C:$C,BO$1,Database!$F:$F,"Total")</f>
        <v>0</v>
      </c>
      <c r="BP7" s="137">
        <f>SUMIFS(Database!$G:$G,Database!$D:$D,"Import",Database!$E:$E,$B7,Database!$C:$C,BP$1,Database!$F:$F,"Total")</f>
        <v>0</v>
      </c>
      <c r="BQ7" s="137">
        <f>SUMIFS(Database!$G:$G,Database!$D:$D,"Import",Database!$E:$E,$B7,Database!$C:$C,BQ$1,Database!$F:$F,"Total")</f>
        <v>0</v>
      </c>
      <c r="BR7" s="137">
        <f>SUMIFS(Database!$G:$G,Database!$D:$D,"Import",Database!$E:$E,$B7,Database!$C:$C,BR$1,Database!$F:$F,"Total")</f>
        <v>0</v>
      </c>
      <c r="BS7" s="137">
        <f>SUMIFS(Database!$G:$G,Database!$D:$D,"Import",Database!$E:$E,$B7,Database!$C:$C,BS$1,Database!$F:$F,"Total")</f>
        <v>0</v>
      </c>
      <c r="BT7" s="137">
        <f>SUMIFS(Database!$G:$G,Database!$D:$D,"Import",Database!$E:$E,$B7,Database!$C:$C,BT$1,Database!$F:$F,"Total")</f>
        <v>0</v>
      </c>
      <c r="BU7" s="137">
        <f>SUMIFS(Database!$G:$G,Database!$D:$D,"Import",Database!$E:$E,$B7,Database!$C:$C,BU$1,Database!$F:$F,"Total")</f>
        <v>0</v>
      </c>
      <c r="BV7" s="137">
        <f>SUMIFS(Database!$G:$G,Database!$D:$D,"Import",Database!$E:$E,$B7,Database!$C:$C,BV$1,Database!$F:$F,"Total")</f>
        <v>0</v>
      </c>
      <c r="BW7" s="137">
        <f>SUMIFS(Database!$G:$G,Database!$D:$D,"Import",Database!$E:$E,$B7,Database!$C:$C,BW$1,Database!$F:$F,"Total")</f>
        <v>0</v>
      </c>
      <c r="BX7" s="137">
        <f>SUMIFS(Database!$G:$G,Database!$D:$D,"Import",Database!$E:$E,$B7,Database!$C:$C,BX$1,Database!$F:$F,"Total")</f>
        <v>0</v>
      </c>
      <c r="BY7" s="137">
        <f>SUMIFS(Database!$G:$G,Database!$D:$D,"Import",Database!$E:$E,$B7,Database!$C:$C,BY$1,Database!$F:$F,"Total")</f>
        <v>0</v>
      </c>
      <c r="BZ7" s="137">
        <f>SUMIFS(Database!$G:$G,Database!$D:$D,"Import",Database!$E:$E,$B7,Database!$C:$C,BZ$1,Database!$F:$F,"Total")</f>
        <v>0</v>
      </c>
      <c r="CA7" s="137">
        <f>SUMIFS(Database!$G:$G,Database!$D:$D,"Import",Database!$E:$E,$B7,Database!$C:$C,CA$1,Database!$F:$F,"Total")</f>
        <v>0</v>
      </c>
      <c r="CB7" s="137">
        <f>SUMIFS(Database!$G:$G,Database!$D:$D,"Import",Database!$E:$E,$B7,Database!$C:$C,CB$1,Database!$F:$F,"Total")</f>
        <v>0</v>
      </c>
      <c r="CC7" s="137">
        <f>SUMIFS(Database!$G:$G,Database!$D:$D,"Import",Database!$E:$E,$B7,Database!$C:$C,CC$1,Database!$F:$F,"Total")</f>
        <v>0</v>
      </c>
      <c r="CD7" s="137">
        <f>SUMIFS(Database!$G:$G,Database!$D:$D,"Import",Database!$E:$E,$B7,Database!$C:$C,CD$1,Database!$F:$F,"Total")</f>
        <v>0</v>
      </c>
      <c r="CE7" s="137">
        <f>SUMIFS(Database!$G:$G,Database!$D:$D,"Import",Database!$E:$E,$B7,Database!$C:$C,CE$1,Database!$F:$F,"Total")</f>
        <v>0</v>
      </c>
      <c r="CF7" s="137">
        <f>SUMIFS(Database!$G:$G,Database!$D:$D,"Import",Database!$E:$E,$B7,Database!$C:$C,CF$1,Database!$F:$F,"Total")</f>
        <v>0</v>
      </c>
      <c r="CG7" s="137">
        <f>SUMIFS(Database!$G:$G,Database!$D:$D,"Import",Database!$E:$E,$B7,Database!$C:$C,CG$1,Database!$F:$F,"Total")</f>
        <v>0</v>
      </c>
      <c r="CH7" s="137">
        <f>SUMIFS(Database!$G:$G,Database!$D:$D,"Import",Database!$E:$E,$B7,Database!$C:$C,CH$1,Database!$F:$F,"Total")</f>
        <v>0</v>
      </c>
      <c r="CI7" s="137">
        <f>SUMIFS(Database!$G:$G,Database!$D:$D,"Import",Database!$E:$E,$B7,Database!$C:$C,CI$1,Database!$F:$F,"Total")</f>
        <v>0</v>
      </c>
      <c r="CJ7" s="137">
        <f>SUMIFS(Database!$G:$G,Database!$D:$D,"Import",Database!$E:$E,$B7,Database!$C:$C,CJ$1,Database!$F:$F,"Total")</f>
        <v>0</v>
      </c>
      <c r="CK7" s="137">
        <f>SUMIFS(Database!$G:$G,Database!$D:$D,"Import",Database!$E:$E,$B7,Database!$C:$C,CK$1,Database!$F:$F,"Total")</f>
        <v>0</v>
      </c>
      <c r="CL7" s="137">
        <f>SUMIFS(Database!$G:$G,Database!$D:$D,"Import",Database!$E:$E,$B7,Database!$C:$C,CL$1,Database!$F:$F,"Total")</f>
        <v>0</v>
      </c>
      <c r="CM7" s="137">
        <f>SUMIFS(Database!$G:$G,Database!$D:$D,"Import",Database!$E:$E,$B7,Database!$C:$C,CM$1,Database!$F:$F,"Total")</f>
        <v>0</v>
      </c>
      <c r="CN7" s="137">
        <f>SUMIFS(Database!$G:$G,Database!$D:$D,"Import",Database!$E:$E,$B7,Database!$C:$C,CN$1,Database!$F:$F,"Total")</f>
        <v>0</v>
      </c>
      <c r="CO7" s="137">
        <f>SUMIFS(Database!$G:$G,Database!$D:$D,"Import",Database!$E:$E,$B7,Database!$C:$C,CO$1,Database!$F:$F,"Total")</f>
        <v>0</v>
      </c>
      <c r="CP7" s="137">
        <f>SUMIFS(Database!$G:$G,Database!$D:$D,"Import",Database!$E:$E,$B7,Database!$C:$C,CP$1,Database!$F:$F,"Total")</f>
        <v>0</v>
      </c>
      <c r="CQ7" s="137">
        <f>SUMIFS(Database!$G:$G,Database!$D:$D,"Import",Database!$E:$E,$B7,Database!$C:$C,CQ$1,Database!$F:$F,"Total")</f>
        <v>0</v>
      </c>
      <c r="CR7" s="137">
        <f>SUMIFS(Database!$G:$G,Database!$D:$D,"Import",Database!$E:$E,$B7,Database!$C:$C,CR$1,Database!$F:$F,"Total")</f>
        <v>0</v>
      </c>
      <c r="CS7" s="137">
        <f>SUMIFS(Database!$G:$G,Database!$D:$D,"Import",Database!$E:$E,$B7,Database!$C:$C,CS$1,Database!$F:$F,"Total")</f>
        <v>0</v>
      </c>
      <c r="CT7" s="137">
        <f>SUMIFS(Database!$G:$G,Database!$D:$D,"Import",Database!$E:$E,$B7,Database!$C:$C,CT$1,Database!$F:$F,"Total")</f>
        <v>0</v>
      </c>
      <c r="CU7" s="137">
        <f>SUMIFS(Database!$G:$G,Database!$D:$D,"Import",Database!$E:$E,$B7,Database!$C:$C,CU$1,Database!$F:$F,"Total")</f>
        <v>0</v>
      </c>
    </row>
    <row r="8" spans="1:99" x14ac:dyDescent="0.25">
      <c r="A8" s="132" t="s">
        <v>484</v>
      </c>
      <c r="B8" s="133" t="s">
        <v>499</v>
      </c>
      <c r="C8" s="137">
        <f>SUMIFS(Database!$G:$G,Database!$D:$D,"Import",Database!$E:$E,$B8,Database!$C:$C,C$1,Database!$F:$F,"Total")</f>
        <v>0</v>
      </c>
      <c r="D8" s="137">
        <f>SUMIFS(Database!$G:$G,Database!$D:$D,"Import",Database!$E:$E,$B8,Database!$C:$C,D$1,Database!$F:$F,"Total")</f>
        <v>0</v>
      </c>
      <c r="E8" s="137">
        <f>SUMIFS(Database!$G:$G,Database!$D:$D,"Import",Database!$E:$E,$B8,Database!$C:$C,E$1,Database!$F:$F,"Total")</f>
        <v>0</v>
      </c>
      <c r="F8" s="137">
        <f>SUMIFS(Database!$G:$G,Database!$D:$D,"Import",Database!$E:$E,$B8,Database!$C:$C,F$1,Database!$F:$F,"Total")</f>
        <v>0</v>
      </c>
      <c r="G8" s="137">
        <f>SUMIFS(Database!$G:$G,Database!$D:$D,"Import",Database!$E:$E,$B8,Database!$C:$C,G$1,Database!$F:$F,"Total")</f>
        <v>0</v>
      </c>
      <c r="H8" s="137">
        <f>SUMIFS(Database!$G:$G,Database!$D:$D,"Import",Database!$E:$E,$B8,Database!$C:$C,H$1,Database!$F:$F,"Total")</f>
        <v>0</v>
      </c>
      <c r="I8" s="137">
        <f>SUMIFS(Database!$G:$G,Database!$D:$D,"Import",Database!$E:$E,$B8,Database!$C:$C,I$1,Database!$F:$F,"Total")</f>
        <v>0</v>
      </c>
      <c r="J8" s="137">
        <f>SUMIFS(Database!$G:$G,Database!$D:$D,"Import",Database!$E:$E,$B8,Database!$C:$C,J$1,Database!$F:$F,"Total")</f>
        <v>0</v>
      </c>
      <c r="K8" s="137">
        <f>SUMIFS(Database!$G:$G,Database!$D:$D,"Import",Database!$E:$E,$B8,Database!$C:$C,K$1,Database!$F:$F,"Total")</f>
        <v>0</v>
      </c>
      <c r="L8" s="137">
        <f>SUMIFS(Database!$G:$G,Database!$D:$D,"Import",Database!$E:$E,$B8,Database!$C:$C,L$1,Database!$F:$F,"Total")</f>
        <v>0</v>
      </c>
      <c r="M8" s="137">
        <f>SUMIFS(Database!$G:$G,Database!$D:$D,"Import",Database!$E:$E,$B8,Database!$C:$C,M$1,Database!$F:$F,"Total")</f>
        <v>0</v>
      </c>
      <c r="N8" s="137">
        <f>SUMIFS(Database!$G:$G,Database!$D:$D,"Import",Database!$E:$E,$B8,Database!$C:$C,N$1,Database!$F:$F,"Total")</f>
        <v>0</v>
      </c>
      <c r="O8" s="137">
        <f>SUMIFS(Database!$G:$G,Database!$D:$D,"Import",Database!$E:$E,$B8,Database!$C:$C,O$1,Database!$F:$F,"Total")</f>
        <v>0</v>
      </c>
      <c r="P8" s="137">
        <f>SUMIFS(Database!$G:$G,Database!$D:$D,"Import",Database!$E:$E,$B8,Database!$C:$C,P$1,Database!$F:$F,"Total")</f>
        <v>0</v>
      </c>
      <c r="Q8" s="137">
        <f>SUMIFS(Database!$G:$G,Database!$D:$D,"Import",Database!$E:$E,$B8,Database!$C:$C,Q$1,Database!$F:$F,"Total")</f>
        <v>0</v>
      </c>
      <c r="R8" s="137">
        <f>SUMIFS(Database!$G:$G,Database!$D:$D,"Import",Database!$E:$E,$B8,Database!$C:$C,R$1,Database!$F:$F,"Total")</f>
        <v>0</v>
      </c>
      <c r="S8" s="137">
        <f>SUMIFS(Database!$G:$G,Database!$D:$D,"Import",Database!$E:$E,$B8,Database!$C:$C,S$1,Database!$F:$F,"Total")</f>
        <v>0</v>
      </c>
      <c r="T8" s="137">
        <f>SUMIFS(Database!$G:$G,Database!$D:$D,"Import",Database!$E:$E,$B8,Database!$C:$C,T$1,Database!$F:$F,"Total")</f>
        <v>0</v>
      </c>
      <c r="U8" s="137">
        <f>SUMIFS(Database!$G:$G,Database!$D:$D,"Import",Database!$E:$E,$B8,Database!$C:$C,U$1,Database!$F:$F,"Total")</f>
        <v>0</v>
      </c>
      <c r="V8" s="137">
        <f>SUMIFS(Database!$G:$G,Database!$D:$D,"Import",Database!$E:$E,$B8,Database!$C:$C,V$1,Database!$F:$F,"Total")</f>
        <v>0</v>
      </c>
      <c r="W8" s="137">
        <f>SUMIFS(Database!$G:$G,Database!$D:$D,"Import",Database!$E:$E,$B8,Database!$C:$C,W$1,Database!$F:$F,"Total")</f>
        <v>0</v>
      </c>
      <c r="X8" s="137">
        <f>SUMIFS(Database!$G:$G,Database!$D:$D,"Import",Database!$E:$E,$B8,Database!$C:$C,X$1,Database!$F:$F,"Total")</f>
        <v>0</v>
      </c>
      <c r="Y8" s="137">
        <f>SUMIFS(Database!$G:$G,Database!$D:$D,"Import",Database!$E:$E,$B8,Database!$C:$C,Y$1,Database!$F:$F,"Total")</f>
        <v>0</v>
      </c>
      <c r="Z8" s="137">
        <f>SUMIFS(Database!$G:$G,Database!$D:$D,"Import",Database!$E:$E,$B8,Database!$C:$C,Z$1,Database!$F:$F,"Total")</f>
        <v>0</v>
      </c>
      <c r="AA8" s="137">
        <f>SUMIFS(Database!$G:$G,Database!$D:$D,"Import",Database!$E:$E,$B8,Database!$C:$C,AA$1,Database!$F:$F,"Total")</f>
        <v>0</v>
      </c>
      <c r="AB8" s="137">
        <f>SUMIFS(Database!$G:$G,Database!$D:$D,"Import",Database!$E:$E,$B8,Database!$C:$C,AB$1,Database!$F:$F,"Total")</f>
        <v>0</v>
      </c>
      <c r="AC8" s="137">
        <f>SUMIFS(Database!$G:$G,Database!$D:$D,"Import",Database!$E:$E,$B8,Database!$C:$C,AC$1,Database!$F:$F,"Total")</f>
        <v>0</v>
      </c>
      <c r="AD8" s="137">
        <f>SUMIFS(Database!$G:$G,Database!$D:$D,"Import",Database!$E:$E,$B8,Database!$C:$C,AD$1,Database!$F:$F,"Total")</f>
        <v>0</v>
      </c>
      <c r="AE8" s="137">
        <f>SUMIFS(Database!$G:$G,Database!$D:$D,"Import",Database!$E:$E,$B8,Database!$C:$C,AE$1,Database!$F:$F,"Total")</f>
        <v>0</v>
      </c>
      <c r="AF8" s="137">
        <f>SUMIFS(Database!$G:$G,Database!$D:$D,"Import",Database!$E:$E,$B8,Database!$C:$C,AF$1,Database!$F:$F,"Total")</f>
        <v>0</v>
      </c>
      <c r="AG8" s="137">
        <f>SUMIFS(Database!$G:$G,Database!$D:$D,"Import",Database!$E:$E,$B8,Database!$C:$C,AG$1,Database!$F:$F,"Total")</f>
        <v>0</v>
      </c>
      <c r="AH8" s="137">
        <f>SUMIFS(Database!$G:$G,Database!$D:$D,"Import",Database!$E:$E,$B8,Database!$C:$C,AH$1,Database!$F:$F,"Total")</f>
        <v>0</v>
      </c>
      <c r="AI8" s="137">
        <f>SUMIFS(Database!$G:$G,Database!$D:$D,"Import",Database!$E:$E,$B8,Database!$C:$C,AI$1,Database!$F:$F,"Total")</f>
        <v>0</v>
      </c>
      <c r="AJ8" s="137">
        <f>SUMIFS(Database!$G:$G,Database!$D:$D,"Import",Database!$E:$E,$B8,Database!$C:$C,AJ$1,Database!$F:$F,"Total")</f>
        <v>0</v>
      </c>
      <c r="AK8" s="137">
        <f>SUMIFS(Database!$G:$G,Database!$D:$D,"Import",Database!$E:$E,$B8,Database!$C:$C,AK$1,Database!$F:$F,"Total")</f>
        <v>0</v>
      </c>
      <c r="AL8" s="137">
        <f>SUMIFS(Database!$G:$G,Database!$D:$D,"Import",Database!$E:$E,$B8,Database!$C:$C,AL$1,Database!$F:$F,"Total")</f>
        <v>0</v>
      </c>
      <c r="AM8" s="137">
        <f>SUMIFS(Database!$G:$G,Database!$D:$D,"Import",Database!$E:$E,$B8,Database!$C:$C,AM$1,Database!$F:$F,"Total")</f>
        <v>0</v>
      </c>
      <c r="AN8" s="137">
        <f>SUMIFS(Database!$G:$G,Database!$D:$D,"Import",Database!$E:$E,$B8,Database!$C:$C,AN$1,Database!$F:$F,"Total")</f>
        <v>0</v>
      </c>
      <c r="AO8" s="137">
        <f>SUMIFS(Database!$G:$G,Database!$D:$D,"Import",Database!$E:$E,$B8,Database!$C:$C,AO$1,Database!$F:$F,"Total")</f>
        <v>0</v>
      </c>
      <c r="AP8" s="137">
        <f>SUMIFS(Database!$G:$G,Database!$D:$D,"Import",Database!$E:$E,$B8,Database!$C:$C,AP$1,Database!$F:$F,"Total")</f>
        <v>0</v>
      </c>
      <c r="AQ8" s="137">
        <f>SUMIFS(Database!$G:$G,Database!$D:$D,"Import",Database!$E:$E,$B8,Database!$C:$C,AQ$1,Database!$F:$F,"Total")</f>
        <v>0</v>
      </c>
      <c r="AR8" s="137">
        <f>SUMIFS(Database!$G:$G,Database!$D:$D,"Import",Database!$E:$E,$B8,Database!$C:$C,AR$1,Database!$F:$F,"Total")</f>
        <v>0</v>
      </c>
      <c r="AS8" s="137">
        <f>SUMIFS(Database!$G:$G,Database!$D:$D,"Import",Database!$E:$E,$B8,Database!$C:$C,AS$1,Database!$F:$F,"Total")</f>
        <v>0</v>
      </c>
      <c r="AT8" s="137">
        <f>SUMIFS(Database!$G:$G,Database!$D:$D,"Import",Database!$E:$E,$B8,Database!$C:$C,AT$1,Database!$F:$F,"Total")</f>
        <v>0</v>
      </c>
      <c r="AU8" s="137">
        <f>SUMIFS(Database!$G:$G,Database!$D:$D,"Import",Database!$E:$E,$B8,Database!$C:$C,AU$1,Database!$F:$F,"Total")</f>
        <v>0</v>
      </c>
      <c r="AV8" s="137">
        <f>SUMIFS(Database!$G:$G,Database!$D:$D,"Import",Database!$E:$E,$B8,Database!$C:$C,AV$1,Database!$F:$F,"Total")</f>
        <v>0</v>
      </c>
      <c r="AW8" s="137">
        <f>SUMIFS(Database!$G:$G,Database!$D:$D,"Import",Database!$E:$E,$B8,Database!$C:$C,AW$1,Database!$F:$F,"Total")</f>
        <v>0</v>
      </c>
      <c r="AX8" s="137">
        <f>SUMIFS(Database!$G:$G,Database!$D:$D,"Import",Database!$E:$E,$B8,Database!$C:$C,AX$1,Database!$F:$F,"Total")</f>
        <v>0</v>
      </c>
      <c r="AY8" s="137">
        <f>SUMIFS(Database!$G:$G,Database!$D:$D,"Import",Database!$E:$E,$B8,Database!$C:$C,AY$1,Database!$F:$F,"Total")</f>
        <v>0</v>
      </c>
      <c r="AZ8" s="137">
        <f>SUMIFS(Database!$G:$G,Database!$D:$D,"Import",Database!$E:$E,$B8,Database!$C:$C,AZ$1,Database!$F:$F,"Total")</f>
        <v>0</v>
      </c>
      <c r="BA8" s="137">
        <f>SUMIFS(Database!$G:$G,Database!$D:$D,"Import",Database!$E:$E,$B8,Database!$C:$C,BA$1,Database!$F:$F,"Total")</f>
        <v>0</v>
      </c>
      <c r="BB8" s="137">
        <f>SUMIFS(Database!$G:$G,Database!$D:$D,"Import",Database!$E:$E,$B8,Database!$C:$C,BB$1,Database!$F:$F,"Total")</f>
        <v>0</v>
      </c>
      <c r="BC8" s="137">
        <f>SUMIFS(Database!$G:$G,Database!$D:$D,"Import",Database!$E:$E,$B8,Database!$C:$C,BC$1,Database!$F:$F,"Total")</f>
        <v>0</v>
      </c>
      <c r="BD8" s="137">
        <f>SUMIFS(Database!$G:$G,Database!$D:$D,"Import",Database!$E:$E,$B8,Database!$C:$C,BD$1,Database!$F:$F,"Total")</f>
        <v>0</v>
      </c>
      <c r="BE8" s="137">
        <f>SUMIFS(Database!$G:$G,Database!$D:$D,"Import",Database!$E:$E,$B8,Database!$C:$C,BE$1,Database!$F:$F,"Total")</f>
        <v>0</v>
      </c>
      <c r="BF8" s="137">
        <f>SUMIFS(Database!$G:$G,Database!$D:$D,"Import",Database!$E:$E,$B8,Database!$C:$C,BF$1,Database!$F:$F,"Total")</f>
        <v>0</v>
      </c>
      <c r="BG8" s="137">
        <f>SUMIFS(Database!$G:$G,Database!$D:$D,"Import",Database!$E:$E,$B8,Database!$C:$C,BG$1,Database!$F:$F,"Total")</f>
        <v>0</v>
      </c>
      <c r="BH8" s="137">
        <f>SUMIFS(Database!$G:$G,Database!$D:$D,"Import",Database!$E:$E,$B8,Database!$C:$C,BH$1,Database!$F:$F,"Total")</f>
        <v>691</v>
      </c>
      <c r="BI8" s="137">
        <f>SUMIFS(Database!$G:$G,Database!$D:$D,"Import",Database!$E:$E,$B8,Database!$C:$C,BI$1,Database!$F:$F,"Total")</f>
        <v>0</v>
      </c>
      <c r="BJ8" s="137">
        <f>SUMIFS(Database!$G:$G,Database!$D:$D,"Import",Database!$E:$E,$B8,Database!$C:$C,BJ$1,Database!$F:$F,"Total")</f>
        <v>0</v>
      </c>
      <c r="BK8" s="137">
        <f>SUMIFS(Database!$G:$G,Database!$D:$D,"Import",Database!$E:$E,$B8,Database!$C:$C,BK$1,Database!$F:$F,"Total")</f>
        <v>0</v>
      </c>
      <c r="BL8" s="137">
        <f>SUMIFS(Database!$G:$G,Database!$D:$D,"Import",Database!$E:$E,$B8,Database!$C:$C,BL$1,Database!$F:$F,"Total")</f>
        <v>0</v>
      </c>
      <c r="BM8" s="137">
        <f>SUMIFS(Database!$G:$G,Database!$D:$D,"Import",Database!$E:$E,$B8,Database!$C:$C,BM$1,Database!$F:$F,"Total")</f>
        <v>0</v>
      </c>
      <c r="BN8" s="137">
        <f>SUMIFS(Database!$G:$G,Database!$D:$D,"Import",Database!$E:$E,$B8,Database!$C:$C,BN$1,Database!$F:$F,"Total")</f>
        <v>0</v>
      </c>
      <c r="BO8" s="137">
        <f>SUMIFS(Database!$G:$G,Database!$D:$D,"Import",Database!$E:$E,$B8,Database!$C:$C,BO$1,Database!$F:$F,"Total")</f>
        <v>0</v>
      </c>
      <c r="BP8" s="137">
        <f>SUMIFS(Database!$G:$G,Database!$D:$D,"Import",Database!$E:$E,$B8,Database!$C:$C,BP$1,Database!$F:$F,"Total")</f>
        <v>0</v>
      </c>
      <c r="BQ8" s="137">
        <f>SUMIFS(Database!$G:$G,Database!$D:$D,"Import",Database!$E:$E,$B8,Database!$C:$C,BQ$1,Database!$F:$F,"Total")</f>
        <v>0</v>
      </c>
      <c r="BR8" s="137">
        <f>SUMIFS(Database!$G:$G,Database!$D:$D,"Import",Database!$E:$E,$B8,Database!$C:$C,BR$1,Database!$F:$F,"Total")</f>
        <v>0</v>
      </c>
      <c r="BS8" s="137">
        <f>SUMIFS(Database!$G:$G,Database!$D:$D,"Import",Database!$E:$E,$B8,Database!$C:$C,BS$1,Database!$F:$F,"Total")</f>
        <v>0</v>
      </c>
      <c r="BT8" s="137">
        <f>SUMIFS(Database!$G:$G,Database!$D:$D,"Import",Database!$E:$E,$B8,Database!$C:$C,BT$1,Database!$F:$F,"Total")</f>
        <v>0</v>
      </c>
      <c r="BU8" s="137">
        <f>SUMIFS(Database!$G:$G,Database!$D:$D,"Import",Database!$E:$E,$B8,Database!$C:$C,BU$1,Database!$F:$F,"Total")</f>
        <v>0</v>
      </c>
      <c r="BV8" s="137">
        <f>SUMIFS(Database!$G:$G,Database!$D:$D,"Import",Database!$E:$E,$B8,Database!$C:$C,BV$1,Database!$F:$F,"Total")</f>
        <v>0</v>
      </c>
      <c r="BW8" s="137">
        <f>SUMIFS(Database!$G:$G,Database!$D:$D,"Import",Database!$E:$E,$B8,Database!$C:$C,BW$1,Database!$F:$F,"Total")</f>
        <v>0</v>
      </c>
      <c r="BX8" s="137">
        <f>SUMIFS(Database!$G:$G,Database!$D:$D,"Import",Database!$E:$E,$B8,Database!$C:$C,BX$1,Database!$F:$F,"Total")</f>
        <v>0</v>
      </c>
      <c r="BY8" s="137">
        <f>SUMIFS(Database!$G:$G,Database!$D:$D,"Import",Database!$E:$E,$B8,Database!$C:$C,BY$1,Database!$F:$F,"Total")</f>
        <v>0</v>
      </c>
      <c r="BZ8" s="137">
        <f>SUMIFS(Database!$G:$G,Database!$D:$D,"Import",Database!$E:$E,$B8,Database!$C:$C,BZ$1,Database!$F:$F,"Total")</f>
        <v>0</v>
      </c>
      <c r="CA8" s="137">
        <f>SUMIFS(Database!$G:$G,Database!$D:$D,"Import",Database!$E:$E,$B8,Database!$C:$C,CA$1,Database!$F:$F,"Total")</f>
        <v>0</v>
      </c>
      <c r="CB8" s="137">
        <f>SUMIFS(Database!$G:$G,Database!$D:$D,"Import",Database!$E:$E,$B8,Database!$C:$C,CB$1,Database!$F:$F,"Total")</f>
        <v>0</v>
      </c>
      <c r="CC8" s="137">
        <f>SUMIFS(Database!$G:$G,Database!$D:$D,"Import",Database!$E:$E,$B8,Database!$C:$C,CC$1,Database!$F:$F,"Total")</f>
        <v>0</v>
      </c>
      <c r="CD8" s="137">
        <f>SUMIFS(Database!$G:$G,Database!$D:$D,"Import",Database!$E:$E,$B8,Database!$C:$C,CD$1,Database!$F:$F,"Total")</f>
        <v>0</v>
      </c>
      <c r="CE8" s="137">
        <f>SUMIFS(Database!$G:$G,Database!$D:$D,"Import",Database!$E:$E,$B8,Database!$C:$C,CE$1,Database!$F:$F,"Total")</f>
        <v>0</v>
      </c>
      <c r="CF8" s="137">
        <f>SUMIFS(Database!$G:$G,Database!$D:$D,"Import",Database!$E:$E,$B8,Database!$C:$C,CF$1,Database!$F:$F,"Total")</f>
        <v>0</v>
      </c>
      <c r="CG8" s="137">
        <f>SUMIFS(Database!$G:$G,Database!$D:$D,"Import",Database!$E:$E,$B8,Database!$C:$C,CG$1,Database!$F:$F,"Total")</f>
        <v>0</v>
      </c>
      <c r="CH8" s="137">
        <f>SUMIFS(Database!$G:$G,Database!$D:$D,"Import",Database!$E:$E,$B8,Database!$C:$C,CH$1,Database!$F:$F,"Total")</f>
        <v>0</v>
      </c>
      <c r="CI8" s="137">
        <f>SUMIFS(Database!$G:$G,Database!$D:$D,"Import",Database!$E:$E,$B8,Database!$C:$C,CI$1,Database!$F:$F,"Total")</f>
        <v>0</v>
      </c>
      <c r="CJ8" s="137">
        <f>SUMIFS(Database!$G:$G,Database!$D:$D,"Import",Database!$E:$E,$B8,Database!$C:$C,CJ$1,Database!$F:$F,"Total")</f>
        <v>0</v>
      </c>
      <c r="CK8" s="137">
        <f>SUMIFS(Database!$G:$G,Database!$D:$D,"Import",Database!$E:$E,$B8,Database!$C:$C,CK$1,Database!$F:$F,"Total")</f>
        <v>0</v>
      </c>
      <c r="CL8" s="137">
        <f>SUMIFS(Database!$G:$G,Database!$D:$D,"Import",Database!$E:$E,$B8,Database!$C:$C,CL$1,Database!$F:$F,"Total")</f>
        <v>0</v>
      </c>
      <c r="CM8" s="137">
        <f>SUMIFS(Database!$G:$G,Database!$D:$D,"Import",Database!$E:$E,$B8,Database!$C:$C,CM$1,Database!$F:$F,"Total")</f>
        <v>0</v>
      </c>
      <c r="CN8" s="137">
        <f>SUMIFS(Database!$G:$G,Database!$D:$D,"Import",Database!$E:$E,$B8,Database!$C:$C,CN$1,Database!$F:$F,"Total")</f>
        <v>0</v>
      </c>
      <c r="CO8" s="137">
        <f>SUMIFS(Database!$G:$G,Database!$D:$D,"Import",Database!$E:$E,$B8,Database!$C:$C,CO$1,Database!$F:$F,"Total")</f>
        <v>0</v>
      </c>
      <c r="CP8" s="137">
        <f>SUMIFS(Database!$G:$G,Database!$D:$D,"Import",Database!$E:$E,$B8,Database!$C:$C,CP$1,Database!$F:$F,"Total")</f>
        <v>0</v>
      </c>
      <c r="CQ8" s="137">
        <f>SUMIFS(Database!$G:$G,Database!$D:$D,"Import",Database!$E:$E,$B8,Database!$C:$C,CQ$1,Database!$F:$F,"Total")</f>
        <v>0</v>
      </c>
      <c r="CR8" s="137">
        <f>SUMIFS(Database!$G:$G,Database!$D:$D,"Import",Database!$E:$E,$B8,Database!$C:$C,CR$1,Database!$F:$F,"Total")</f>
        <v>0</v>
      </c>
      <c r="CS8" s="137">
        <f>SUMIFS(Database!$G:$G,Database!$D:$D,"Import",Database!$E:$E,$B8,Database!$C:$C,CS$1,Database!$F:$F,"Total")</f>
        <v>0</v>
      </c>
      <c r="CT8" s="137">
        <f>SUMIFS(Database!$G:$G,Database!$D:$D,"Import",Database!$E:$E,$B8,Database!$C:$C,CT$1,Database!$F:$F,"Total")</f>
        <v>0</v>
      </c>
      <c r="CU8" s="137">
        <f>SUMIFS(Database!$G:$G,Database!$D:$D,"Import",Database!$E:$E,$B8,Database!$C:$C,CU$1,Database!$F:$F,"Total")</f>
        <v>0</v>
      </c>
    </row>
    <row r="9" spans="1:99" x14ac:dyDescent="0.25">
      <c r="A9" s="132" t="s">
        <v>484</v>
      </c>
      <c r="B9" s="133" t="s">
        <v>34</v>
      </c>
      <c r="C9" s="137">
        <f>SUMIFS(Database!$G:$G,Database!$D:$D,"Import",Database!$E:$E,$B9,Database!$C:$C,C$1,Database!$F:$F,"Total")</f>
        <v>0</v>
      </c>
      <c r="D9" s="137">
        <f>SUMIFS(Database!$G:$G,Database!$D:$D,"Import",Database!$E:$E,$B9,Database!$C:$C,D$1,Database!$F:$F,"Total")</f>
        <v>0</v>
      </c>
      <c r="E9" s="137">
        <f>SUMIFS(Database!$G:$G,Database!$D:$D,"Import",Database!$E:$E,$B9,Database!$C:$C,E$1,Database!$F:$F,"Total")</f>
        <v>0</v>
      </c>
      <c r="F9" s="137">
        <f>SUMIFS(Database!$G:$G,Database!$D:$D,"Import",Database!$E:$E,$B9,Database!$C:$C,F$1,Database!$F:$F,"Total")</f>
        <v>0</v>
      </c>
      <c r="G9" s="137">
        <f>SUMIFS(Database!$G:$G,Database!$D:$D,"Import",Database!$E:$E,$B9,Database!$C:$C,G$1,Database!$F:$F,"Total")</f>
        <v>0</v>
      </c>
      <c r="H9" s="137">
        <f>SUMIFS(Database!$G:$G,Database!$D:$D,"Import",Database!$E:$E,$B9,Database!$C:$C,H$1,Database!$F:$F,"Total")</f>
        <v>0</v>
      </c>
      <c r="I9" s="137">
        <f>SUMIFS(Database!$G:$G,Database!$D:$D,"Import",Database!$E:$E,$B9,Database!$C:$C,I$1,Database!$F:$F,"Total")</f>
        <v>0</v>
      </c>
      <c r="J9" s="137">
        <f>SUMIFS(Database!$G:$G,Database!$D:$D,"Import",Database!$E:$E,$B9,Database!$C:$C,J$1,Database!$F:$F,"Total")</f>
        <v>0</v>
      </c>
      <c r="K9" s="137">
        <f>SUMIFS(Database!$G:$G,Database!$D:$D,"Import",Database!$E:$E,$B9,Database!$C:$C,K$1,Database!$F:$F,"Total")</f>
        <v>0</v>
      </c>
      <c r="L9" s="137">
        <f>SUMIFS(Database!$G:$G,Database!$D:$D,"Import",Database!$E:$E,$B9,Database!$C:$C,L$1,Database!$F:$F,"Total")</f>
        <v>0</v>
      </c>
      <c r="M9" s="137">
        <f>SUMIFS(Database!$G:$G,Database!$D:$D,"Import",Database!$E:$E,$B9,Database!$C:$C,M$1,Database!$F:$F,"Total")</f>
        <v>0</v>
      </c>
      <c r="N9" s="137">
        <f>SUMIFS(Database!$G:$G,Database!$D:$D,"Import",Database!$E:$E,$B9,Database!$C:$C,N$1,Database!$F:$F,"Total")</f>
        <v>0</v>
      </c>
      <c r="O9" s="137">
        <f>SUMIFS(Database!$G:$G,Database!$D:$D,"Import",Database!$E:$E,$B9,Database!$C:$C,O$1,Database!$F:$F,"Total")</f>
        <v>0</v>
      </c>
      <c r="P9" s="137">
        <f>SUMIFS(Database!$G:$G,Database!$D:$D,"Import",Database!$E:$E,$B9,Database!$C:$C,P$1,Database!$F:$F,"Total")</f>
        <v>0</v>
      </c>
      <c r="Q9" s="137">
        <f>SUMIFS(Database!$G:$G,Database!$D:$D,"Import",Database!$E:$E,$B9,Database!$C:$C,Q$1,Database!$F:$F,"Total")</f>
        <v>0</v>
      </c>
      <c r="R9" s="137">
        <f>SUMIFS(Database!$G:$G,Database!$D:$D,"Import",Database!$E:$E,$B9,Database!$C:$C,R$1,Database!$F:$F,"Total")</f>
        <v>0</v>
      </c>
      <c r="S9" s="137">
        <f>SUMIFS(Database!$G:$G,Database!$D:$D,"Import",Database!$E:$E,$B9,Database!$C:$C,S$1,Database!$F:$F,"Total")</f>
        <v>0</v>
      </c>
      <c r="T9" s="137">
        <f>SUMIFS(Database!$G:$G,Database!$D:$D,"Import",Database!$E:$E,$B9,Database!$C:$C,T$1,Database!$F:$F,"Total")</f>
        <v>0</v>
      </c>
      <c r="U9" s="137">
        <f>SUMIFS(Database!$G:$G,Database!$D:$D,"Import",Database!$E:$E,$B9,Database!$C:$C,U$1,Database!$F:$F,"Total")</f>
        <v>0</v>
      </c>
      <c r="V9" s="137">
        <f>SUMIFS(Database!$G:$G,Database!$D:$D,"Import",Database!$E:$E,$B9,Database!$C:$C,V$1,Database!$F:$F,"Total")</f>
        <v>0</v>
      </c>
      <c r="W9" s="137">
        <f>SUMIFS(Database!$G:$G,Database!$D:$D,"Import",Database!$E:$E,$B9,Database!$C:$C,W$1,Database!$F:$F,"Total")</f>
        <v>0</v>
      </c>
      <c r="X9" s="137">
        <f>SUMIFS(Database!$G:$G,Database!$D:$D,"Import",Database!$E:$E,$B9,Database!$C:$C,X$1,Database!$F:$F,"Total")</f>
        <v>0</v>
      </c>
      <c r="Y9" s="137">
        <f>SUMIFS(Database!$G:$G,Database!$D:$D,"Import",Database!$E:$E,$B9,Database!$C:$C,Y$1,Database!$F:$F,"Total")</f>
        <v>0</v>
      </c>
      <c r="Z9" s="137">
        <f>SUMIFS(Database!$G:$G,Database!$D:$D,"Import",Database!$E:$E,$B9,Database!$C:$C,Z$1,Database!$F:$F,"Total")</f>
        <v>0</v>
      </c>
      <c r="AA9" s="137">
        <f>SUMIFS(Database!$G:$G,Database!$D:$D,"Import",Database!$E:$E,$B9,Database!$C:$C,AA$1,Database!$F:$F,"Total")</f>
        <v>0</v>
      </c>
      <c r="AB9" s="137">
        <f>SUMIFS(Database!$G:$G,Database!$D:$D,"Import",Database!$E:$E,$B9,Database!$C:$C,AB$1,Database!$F:$F,"Total")</f>
        <v>0</v>
      </c>
      <c r="AC9" s="137">
        <f>SUMIFS(Database!$G:$G,Database!$D:$D,"Import",Database!$E:$E,$B9,Database!$C:$C,AC$1,Database!$F:$F,"Total")</f>
        <v>0</v>
      </c>
      <c r="AD9" s="137">
        <f>SUMIFS(Database!$G:$G,Database!$D:$D,"Import",Database!$E:$E,$B9,Database!$C:$C,AD$1,Database!$F:$F,"Total")</f>
        <v>0</v>
      </c>
      <c r="AE9" s="137">
        <f>SUMIFS(Database!$G:$G,Database!$D:$D,"Import",Database!$E:$E,$B9,Database!$C:$C,AE$1,Database!$F:$F,"Total")</f>
        <v>0</v>
      </c>
      <c r="AF9" s="137">
        <f>SUMIFS(Database!$G:$G,Database!$D:$D,"Import",Database!$E:$E,$B9,Database!$C:$C,AF$1,Database!$F:$F,"Total")</f>
        <v>0</v>
      </c>
      <c r="AG9" s="137">
        <f>SUMIFS(Database!$G:$G,Database!$D:$D,"Import",Database!$E:$E,$B9,Database!$C:$C,AG$1,Database!$F:$F,"Total")</f>
        <v>0</v>
      </c>
      <c r="AH9" s="137">
        <f>SUMIFS(Database!$G:$G,Database!$D:$D,"Import",Database!$E:$E,$B9,Database!$C:$C,AH$1,Database!$F:$F,"Total")</f>
        <v>0</v>
      </c>
      <c r="AI9" s="137">
        <f>SUMIFS(Database!$G:$G,Database!$D:$D,"Import",Database!$E:$E,$B9,Database!$C:$C,AI$1,Database!$F:$F,"Total")</f>
        <v>0</v>
      </c>
      <c r="AJ9" s="137">
        <f>SUMIFS(Database!$G:$G,Database!$D:$D,"Import",Database!$E:$E,$B9,Database!$C:$C,AJ$1,Database!$F:$F,"Total")</f>
        <v>0</v>
      </c>
      <c r="AK9" s="137">
        <f>SUMIFS(Database!$G:$G,Database!$D:$D,"Import",Database!$E:$E,$B9,Database!$C:$C,AK$1,Database!$F:$F,"Total")</f>
        <v>0</v>
      </c>
      <c r="AL9" s="137">
        <f>SUMIFS(Database!$G:$G,Database!$D:$D,"Import",Database!$E:$E,$B9,Database!$C:$C,AL$1,Database!$F:$F,"Total")</f>
        <v>0</v>
      </c>
      <c r="AM9" s="137">
        <f>SUMIFS(Database!$G:$G,Database!$D:$D,"Import",Database!$E:$E,$B9,Database!$C:$C,AM$1,Database!$F:$F,"Total")</f>
        <v>0</v>
      </c>
      <c r="AN9" s="137">
        <f>SUMIFS(Database!$G:$G,Database!$D:$D,"Import",Database!$E:$E,$B9,Database!$C:$C,AN$1,Database!$F:$F,"Total")</f>
        <v>0</v>
      </c>
      <c r="AO9" s="137">
        <f>SUMIFS(Database!$G:$G,Database!$D:$D,"Import",Database!$E:$E,$B9,Database!$C:$C,AO$1,Database!$F:$F,"Total")</f>
        <v>0</v>
      </c>
      <c r="AP9" s="137">
        <f>SUMIFS(Database!$G:$G,Database!$D:$D,"Import",Database!$E:$E,$B9,Database!$C:$C,AP$1,Database!$F:$F,"Total")</f>
        <v>0</v>
      </c>
      <c r="AQ9" s="137">
        <f>SUMIFS(Database!$G:$G,Database!$D:$D,"Import",Database!$E:$E,$B9,Database!$C:$C,AQ$1,Database!$F:$F,"Total")</f>
        <v>0</v>
      </c>
      <c r="AR9" s="137">
        <f>SUMIFS(Database!$G:$G,Database!$D:$D,"Import",Database!$E:$E,$B9,Database!$C:$C,AR$1,Database!$F:$F,"Total")</f>
        <v>0</v>
      </c>
      <c r="AS9" s="137">
        <f>SUMIFS(Database!$G:$G,Database!$D:$D,"Import",Database!$E:$E,$B9,Database!$C:$C,AS$1,Database!$F:$F,"Total")</f>
        <v>0</v>
      </c>
      <c r="AT9" s="137">
        <f>SUMIFS(Database!$G:$G,Database!$D:$D,"Import",Database!$E:$E,$B9,Database!$C:$C,AT$1,Database!$F:$F,"Total")</f>
        <v>0</v>
      </c>
      <c r="AU9" s="137">
        <f>SUMIFS(Database!$G:$G,Database!$D:$D,"Import",Database!$E:$E,$B9,Database!$C:$C,AU$1,Database!$F:$F,"Total")</f>
        <v>0</v>
      </c>
      <c r="AV9" s="137">
        <f>SUMIFS(Database!$G:$G,Database!$D:$D,"Import",Database!$E:$E,$B9,Database!$C:$C,AV$1,Database!$F:$F,"Total")</f>
        <v>0</v>
      </c>
      <c r="AW9" s="137">
        <f>SUMIFS(Database!$G:$G,Database!$D:$D,"Import",Database!$E:$E,$B9,Database!$C:$C,AW$1,Database!$F:$F,"Total")</f>
        <v>0</v>
      </c>
      <c r="AX9" s="137">
        <f>SUMIFS(Database!$G:$G,Database!$D:$D,"Import",Database!$E:$E,$B9,Database!$C:$C,AX$1,Database!$F:$F,"Total")</f>
        <v>0</v>
      </c>
      <c r="AY9" s="137">
        <f>SUMIFS(Database!$G:$G,Database!$D:$D,"Import",Database!$E:$E,$B9,Database!$C:$C,AY$1,Database!$F:$F,"Total")</f>
        <v>0</v>
      </c>
      <c r="AZ9" s="137">
        <f>SUMIFS(Database!$G:$G,Database!$D:$D,"Import",Database!$E:$E,$B9,Database!$C:$C,AZ$1,Database!$F:$F,"Total")</f>
        <v>0</v>
      </c>
      <c r="BA9" s="137">
        <f>SUMIFS(Database!$G:$G,Database!$D:$D,"Import",Database!$E:$E,$B9,Database!$C:$C,BA$1,Database!$F:$F,"Total")</f>
        <v>0</v>
      </c>
      <c r="BB9" s="137">
        <f>SUMIFS(Database!$G:$G,Database!$D:$D,"Import",Database!$E:$E,$B9,Database!$C:$C,BB$1,Database!$F:$F,"Total")</f>
        <v>0</v>
      </c>
      <c r="BC9" s="137">
        <f>SUMIFS(Database!$G:$G,Database!$D:$D,"Import",Database!$E:$E,$B9,Database!$C:$C,BC$1,Database!$F:$F,"Total")</f>
        <v>0</v>
      </c>
      <c r="BD9" s="137">
        <f>SUMIFS(Database!$G:$G,Database!$D:$D,"Import",Database!$E:$E,$B9,Database!$C:$C,BD$1,Database!$F:$F,"Total")</f>
        <v>0</v>
      </c>
      <c r="BE9" s="137">
        <f>SUMIFS(Database!$G:$G,Database!$D:$D,"Import",Database!$E:$E,$B9,Database!$C:$C,BE$1,Database!$F:$F,"Total")</f>
        <v>0</v>
      </c>
      <c r="BF9" s="137">
        <f>SUMIFS(Database!$G:$G,Database!$D:$D,"Import",Database!$E:$E,$B9,Database!$C:$C,BF$1,Database!$F:$F,"Total")</f>
        <v>0</v>
      </c>
      <c r="BG9" s="137">
        <f>SUMIFS(Database!$G:$G,Database!$D:$D,"Import",Database!$E:$E,$B9,Database!$C:$C,BG$1,Database!$F:$F,"Total")</f>
        <v>0</v>
      </c>
      <c r="BH9" s="137">
        <f>SUMIFS(Database!$G:$G,Database!$D:$D,"Import",Database!$E:$E,$B9,Database!$C:$C,BH$1,Database!$F:$F,"Total")</f>
        <v>0</v>
      </c>
      <c r="BI9" s="137">
        <f>SUMIFS(Database!$G:$G,Database!$D:$D,"Import",Database!$E:$E,$B9,Database!$C:$C,BI$1,Database!$F:$F,"Total")</f>
        <v>0</v>
      </c>
      <c r="BJ9" s="137">
        <f>SUMIFS(Database!$G:$G,Database!$D:$D,"Import",Database!$E:$E,$B9,Database!$C:$C,BJ$1,Database!$F:$F,"Total")</f>
        <v>0</v>
      </c>
      <c r="BK9" s="137">
        <f>SUMIFS(Database!$G:$G,Database!$D:$D,"Import",Database!$E:$E,$B9,Database!$C:$C,BK$1,Database!$F:$F,"Total")</f>
        <v>0</v>
      </c>
      <c r="BL9" s="137">
        <f>SUMIFS(Database!$G:$G,Database!$D:$D,"Import",Database!$E:$E,$B9,Database!$C:$C,BL$1,Database!$F:$F,"Total")</f>
        <v>0</v>
      </c>
      <c r="BM9" s="137">
        <f>SUMIFS(Database!$G:$G,Database!$D:$D,"Import",Database!$E:$E,$B9,Database!$C:$C,BM$1,Database!$F:$F,"Total")</f>
        <v>0</v>
      </c>
      <c r="BN9" s="137">
        <f>SUMIFS(Database!$G:$G,Database!$D:$D,"Import",Database!$E:$E,$B9,Database!$C:$C,BN$1,Database!$F:$F,"Total")</f>
        <v>37644</v>
      </c>
      <c r="BO9" s="137">
        <f>SUMIFS(Database!$G:$G,Database!$D:$D,"Import",Database!$E:$E,$B9,Database!$C:$C,BO$1,Database!$F:$F,"Total")</f>
        <v>0</v>
      </c>
      <c r="BP9" s="137">
        <f>SUMIFS(Database!$G:$G,Database!$D:$D,"Import",Database!$E:$E,$B9,Database!$C:$C,BP$1,Database!$F:$F,"Total")</f>
        <v>26946</v>
      </c>
      <c r="BQ9" s="137">
        <f>SUMIFS(Database!$G:$G,Database!$D:$D,"Import",Database!$E:$E,$B9,Database!$C:$C,BQ$1,Database!$F:$F,"Total")</f>
        <v>0</v>
      </c>
      <c r="BR9" s="137">
        <f>SUMIFS(Database!$G:$G,Database!$D:$D,"Import",Database!$E:$E,$B9,Database!$C:$C,BR$1,Database!$F:$F,"Total")</f>
        <v>52424</v>
      </c>
      <c r="BS9" s="137">
        <f>SUMIFS(Database!$G:$G,Database!$D:$D,"Import",Database!$E:$E,$B9,Database!$C:$C,BS$1,Database!$F:$F,"Total")</f>
        <v>32421</v>
      </c>
      <c r="BT9" s="137">
        <f>SUMIFS(Database!$G:$G,Database!$D:$D,"Import",Database!$E:$E,$B9,Database!$C:$C,BT$1,Database!$F:$F,"Total")</f>
        <v>28654</v>
      </c>
      <c r="BU9" s="137">
        <f>SUMIFS(Database!$G:$G,Database!$D:$D,"Import",Database!$E:$E,$B9,Database!$C:$C,BU$1,Database!$F:$F,"Total")</f>
        <v>19129</v>
      </c>
      <c r="BV9" s="137">
        <f>SUMIFS(Database!$G:$G,Database!$D:$D,"Import",Database!$E:$E,$B9,Database!$C:$C,BV$1,Database!$F:$F,"Total")</f>
        <v>64003</v>
      </c>
      <c r="BW9" s="137">
        <f>SUMIFS(Database!$G:$G,Database!$D:$D,"Import",Database!$E:$E,$B9,Database!$C:$C,BW$1,Database!$F:$F,"Total")</f>
        <v>36658</v>
      </c>
      <c r="BX9" s="137">
        <f>SUMIFS(Database!$G:$G,Database!$D:$D,"Import",Database!$E:$E,$B9,Database!$C:$C,BX$1,Database!$F:$F,"Total")</f>
        <v>53603</v>
      </c>
      <c r="BY9" s="137">
        <f>SUMIFS(Database!$G:$G,Database!$D:$D,"Import",Database!$E:$E,$B9,Database!$C:$C,BY$1,Database!$F:$F,"Total")</f>
        <v>35171</v>
      </c>
      <c r="BZ9" s="137">
        <f>SUMIFS(Database!$G:$G,Database!$D:$D,"Import",Database!$E:$E,$B9,Database!$C:$C,BZ$1,Database!$F:$F,"Total")</f>
        <v>23284</v>
      </c>
      <c r="CA9" s="137">
        <f>SUMIFS(Database!$G:$G,Database!$D:$D,"Import",Database!$E:$E,$B9,Database!$C:$C,CA$1,Database!$F:$F,"Total")</f>
        <v>52931</v>
      </c>
      <c r="CB9" s="137">
        <f>SUMIFS(Database!$G:$G,Database!$D:$D,"Import",Database!$E:$E,$B9,Database!$C:$C,CB$1,Database!$F:$F,"Total")</f>
        <v>0</v>
      </c>
      <c r="CC9" s="137">
        <f>SUMIFS(Database!$G:$G,Database!$D:$D,"Import",Database!$E:$E,$B9,Database!$C:$C,CC$1,Database!$F:$F,"Total")</f>
        <v>0</v>
      </c>
      <c r="CD9" s="137">
        <f>SUMIFS(Database!$G:$G,Database!$D:$D,"Import",Database!$E:$E,$B9,Database!$C:$C,CD$1,Database!$F:$F,"Total")</f>
        <v>0</v>
      </c>
      <c r="CE9" s="137">
        <f>SUMIFS(Database!$G:$G,Database!$D:$D,"Import",Database!$E:$E,$B9,Database!$C:$C,CE$1,Database!$F:$F,"Total")</f>
        <v>0</v>
      </c>
      <c r="CF9" s="137">
        <f>SUMIFS(Database!$G:$G,Database!$D:$D,"Import",Database!$E:$E,$B9,Database!$C:$C,CF$1,Database!$F:$F,"Total")</f>
        <v>0</v>
      </c>
      <c r="CG9" s="137">
        <f>SUMIFS(Database!$G:$G,Database!$D:$D,"Import",Database!$E:$E,$B9,Database!$C:$C,CG$1,Database!$F:$F,"Total")</f>
        <v>0</v>
      </c>
      <c r="CH9" s="137">
        <f>SUMIFS(Database!$G:$G,Database!$D:$D,"Import",Database!$E:$E,$B9,Database!$C:$C,CH$1,Database!$F:$F,"Total")</f>
        <v>0</v>
      </c>
      <c r="CI9" s="137">
        <f>SUMIFS(Database!$G:$G,Database!$D:$D,"Import",Database!$E:$E,$B9,Database!$C:$C,CI$1,Database!$F:$F,"Total")</f>
        <v>0</v>
      </c>
      <c r="CJ9" s="137">
        <f>SUMIFS(Database!$G:$G,Database!$D:$D,"Import",Database!$E:$E,$B9,Database!$C:$C,CJ$1,Database!$F:$F,"Total")</f>
        <v>0</v>
      </c>
      <c r="CK9" s="137">
        <f>SUMIFS(Database!$G:$G,Database!$D:$D,"Import",Database!$E:$E,$B9,Database!$C:$C,CK$1,Database!$F:$F,"Total")</f>
        <v>0</v>
      </c>
      <c r="CL9" s="137">
        <f>SUMIFS(Database!$G:$G,Database!$D:$D,"Import",Database!$E:$E,$B9,Database!$C:$C,CL$1,Database!$F:$F,"Total")</f>
        <v>0</v>
      </c>
      <c r="CM9" s="137">
        <f>SUMIFS(Database!$G:$G,Database!$D:$D,"Import",Database!$E:$E,$B9,Database!$C:$C,CM$1,Database!$F:$F,"Total")</f>
        <v>0</v>
      </c>
      <c r="CN9" s="137">
        <f>SUMIFS(Database!$G:$G,Database!$D:$D,"Import",Database!$E:$E,$B9,Database!$C:$C,CN$1,Database!$F:$F,"Total")</f>
        <v>0</v>
      </c>
      <c r="CO9" s="137">
        <f>SUMIFS(Database!$G:$G,Database!$D:$D,"Import",Database!$E:$E,$B9,Database!$C:$C,CO$1,Database!$F:$F,"Total")</f>
        <v>0</v>
      </c>
      <c r="CP9" s="137">
        <f>SUMIFS(Database!$G:$G,Database!$D:$D,"Import",Database!$E:$E,$B9,Database!$C:$C,CP$1,Database!$F:$F,"Total")</f>
        <v>0</v>
      </c>
      <c r="CQ9" s="137">
        <f>SUMIFS(Database!$G:$G,Database!$D:$D,"Import",Database!$E:$E,$B9,Database!$C:$C,CQ$1,Database!$F:$F,"Total")</f>
        <v>0</v>
      </c>
      <c r="CR9" s="137">
        <f>SUMIFS(Database!$G:$G,Database!$D:$D,"Import",Database!$E:$E,$B9,Database!$C:$C,CR$1,Database!$F:$F,"Total")</f>
        <v>0</v>
      </c>
      <c r="CS9" s="137">
        <f>SUMIFS(Database!$G:$G,Database!$D:$D,"Import",Database!$E:$E,$B9,Database!$C:$C,CS$1,Database!$F:$F,"Total")</f>
        <v>0</v>
      </c>
      <c r="CT9" s="137">
        <f>SUMIFS(Database!$G:$G,Database!$D:$D,"Import",Database!$E:$E,$B9,Database!$C:$C,CT$1,Database!$F:$F,"Total")</f>
        <v>0</v>
      </c>
      <c r="CU9" s="137">
        <f>SUMIFS(Database!$G:$G,Database!$D:$D,"Import",Database!$E:$E,$B9,Database!$C:$C,CU$1,Database!$F:$F,"Total")</f>
        <v>0</v>
      </c>
    </row>
    <row r="10" spans="1:99" x14ac:dyDescent="0.25">
      <c r="A10" s="132" t="s">
        <v>484</v>
      </c>
      <c r="B10" s="133" t="s">
        <v>35</v>
      </c>
      <c r="C10" s="137">
        <f>SUMIFS(Database!$G:$G,Database!$D:$D,"Import",Database!$E:$E,$B10,Database!$C:$C,C$1,Database!$F:$F,"Total")</f>
        <v>0</v>
      </c>
      <c r="D10" s="137">
        <f>SUMIFS(Database!$G:$G,Database!$D:$D,"Import",Database!$E:$E,$B10,Database!$C:$C,D$1,Database!$F:$F,"Total")</f>
        <v>0</v>
      </c>
      <c r="E10" s="137">
        <f>SUMIFS(Database!$G:$G,Database!$D:$D,"Import",Database!$E:$E,$B10,Database!$C:$C,E$1,Database!$F:$F,"Total")</f>
        <v>0</v>
      </c>
      <c r="F10" s="137">
        <f>SUMIFS(Database!$G:$G,Database!$D:$D,"Import",Database!$E:$E,$B10,Database!$C:$C,F$1,Database!$F:$F,"Total")</f>
        <v>0</v>
      </c>
      <c r="G10" s="137">
        <f>SUMIFS(Database!$G:$G,Database!$D:$D,"Import",Database!$E:$E,$B10,Database!$C:$C,G$1,Database!$F:$F,"Total")</f>
        <v>0</v>
      </c>
      <c r="H10" s="137">
        <f>SUMIFS(Database!$G:$G,Database!$D:$D,"Import",Database!$E:$E,$B10,Database!$C:$C,H$1,Database!$F:$F,"Total")</f>
        <v>0</v>
      </c>
      <c r="I10" s="137">
        <f>SUMIFS(Database!$G:$G,Database!$D:$D,"Import",Database!$E:$E,$B10,Database!$C:$C,I$1,Database!$F:$F,"Total")</f>
        <v>0</v>
      </c>
      <c r="J10" s="137">
        <f>SUMIFS(Database!$G:$G,Database!$D:$D,"Import",Database!$E:$E,$B10,Database!$C:$C,J$1,Database!$F:$F,"Total")</f>
        <v>0</v>
      </c>
      <c r="K10" s="137">
        <f>SUMIFS(Database!$G:$G,Database!$D:$D,"Import",Database!$E:$E,$B10,Database!$C:$C,K$1,Database!$F:$F,"Total")</f>
        <v>0</v>
      </c>
      <c r="L10" s="137">
        <f>SUMIFS(Database!$G:$G,Database!$D:$D,"Import",Database!$E:$E,$B10,Database!$C:$C,L$1,Database!$F:$F,"Total")</f>
        <v>0</v>
      </c>
      <c r="M10" s="137">
        <f>SUMIFS(Database!$G:$G,Database!$D:$D,"Import",Database!$E:$E,$B10,Database!$C:$C,M$1,Database!$F:$F,"Total")</f>
        <v>0</v>
      </c>
      <c r="N10" s="137">
        <f>SUMIFS(Database!$G:$G,Database!$D:$D,"Import",Database!$E:$E,$B10,Database!$C:$C,N$1,Database!$F:$F,"Total")</f>
        <v>0</v>
      </c>
      <c r="O10" s="137">
        <f>SUMIFS(Database!$G:$G,Database!$D:$D,"Import",Database!$E:$E,$B10,Database!$C:$C,O$1,Database!$F:$F,"Total")</f>
        <v>0</v>
      </c>
      <c r="P10" s="137">
        <f>SUMIFS(Database!$G:$G,Database!$D:$D,"Import",Database!$E:$E,$B10,Database!$C:$C,P$1,Database!$F:$F,"Total")</f>
        <v>0</v>
      </c>
      <c r="Q10" s="137">
        <f>SUMIFS(Database!$G:$G,Database!$D:$D,"Import",Database!$E:$E,$B10,Database!$C:$C,Q$1,Database!$F:$F,"Total")</f>
        <v>0</v>
      </c>
      <c r="R10" s="137">
        <f>SUMIFS(Database!$G:$G,Database!$D:$D,"Import",Database!$E:$E,$B10,Database!$C:$C,R$1,Database!$F:$F,"Total")</f>
        <v>0</v>
      </c>
      <c r="S10" s="137">
        <f>SUMIFS(Database!$G:$G,Database!$D:$D,"Import",Database!$E:$E,$B10,Database!$C:$C,S$1,Database!$F:$F,"Total")</f>
        <v>0</v>
      </c>
      <c r="T10" s="137">
        <f>SUMIFS(Database!$G:$G,Database!$D:$D,"Import",Database!$E:$E,$B10,Database!$C:$C,T$1,Database!$F:$F,"Total")</f>
        <v>0</v>
      </c>
      <c r="U10" s="137">
        <f>SUMIFS(Database!$G:$G,Database!$D:$D,"Import",Database!$E:$E,$B10,Database!$C:$C,U$1,Database!$F:$F,"Total")</f>
        <v>0</v>
      </c>
      <c r="V10" s="137">
        <f>SUMIFS(Database!$G:$G,Database!$D:$D,"Import",Database!$E:$E,$B10,Database!$C:$C,V$1,Database!$F:$F,"Total")</f>
        <v>0</v>
      </c>
      <c r="W10" s="137">
        <f>SUMIFS(Database!$G:$G,Database!$D:$D,"Import",Database!$E:$E,$B10,Database!$C:$C,W$1,Database!$F:$F,"Total")</f>
        <v>0</v>
      </c>
      <c r="X10" s="137">
        <f>SUMIFS(Database!$G:$G,Database!$D:$D,"Import",Database!$E:$E,$B10,Database!$C:$C,X$1,Database!$F:$F,"Total")</f>
        <v>0</v>
      </c>
      <c r="Y10" s="137">
        <f>SUMIFS(Database!$G:$G,Database!$D:$D,"Import",Database!$E:$E,$B10,Database!$C:$C,Y$1,Database!$F:$F,"Total")</f>
        <v>0</v>
      </c>
      <c r="Z10" s="137">
        <f>SUMIFS(Database!$G:$G,Database!$D:$D,"Import",Database!$E:$E,$B10,Database!$C:$C,Z$1,Database!$F:$F,"Total")</f>
        <v>0</v>
      </c>
      <c r="AA10" s="137">
        <f>SUMIFS(Database!$G:$G,Database!$D:$D,"Import",Database!$E:$E,$B10,Database!$C:$C,AA$1,Database!$F:$F,"Total")</f>
        <v>0</v>
      </c>
      <c r="AB10" s="137">
        <f>SUMIFS(Database!$G:$G,Database!$D:$D,"Import",Database!$E:$E,$B10,Database!$C:$C,AB$1,Database!$F:$F,"Total")</f>
        <v>0</v>
      </c>
      <c r="AC10" s="137">
        <f>SUMIFS(Database!$G:$G,Database!$D:$D,"Import",Database!$E:$E,$B10,Database!$C:$C,AC$1,Database!$F:$F,"Total")</f>
        <v>0</v>
      </c>
      <c r="AD10" s="137">
        <f>SUMIFS(Database!$G:$G,Database!$D:$D,"Import",Database!$E:$E,$B10,Database!$C:$C,AD$1,Database!$F:$F,"Total")</f>
        <v>0</v>
      </c>
      <c r="AE10" s="137">
        <f>SUMIFS(Database!$G:$G,Database!$D:$D,"Import",Database!$E:$E,$B10,Database!$C:$C,AE$1,Database!$F:$F,"Total")</f>
        <v>0</v>
      </c>
      <c r="AF10" s="137">
        <f>SUMIFS(Database!$G:$G,Database!$D:$D,"Import",Database!$E:$E,$B10,Database!$C:$C,AF$1,Database!$F:$F,"Total")</f>
        <v>0</v>
      </c>
      <c r="AG10" s="137">
        <f>SUMIFS(Database!$G:$G,Database!$D:$D,"Import",Database!$E:$E,$B10,Database!$C:$C,AG$1,Database!$F:$F,"Total")</f>
        <v>0</v>
      </c>
      <c r="AH10" s="137">
        <f>SUMIFS(Database!$G:$G,Database!$D:$D,"Import",Database!$E:$E,$B10,Database!$C:$C,AH$1,Database!$F:$F,"Total")</f>
        <v>0</v>
      </c>
      <c r="AI10" s="137">
        <f>SUMIFS(Database!$G:$G,Database!$D:$D,"Import",Database!$E:$E,$B10,Database!$C:$C,AI$1,Database!$F:$F,"Total")</f>
        <v>0</v>
      </c>
      <c r="AJ10" s="137">
        <f>SUMIFS(Database!$G:$G,Database!$D:$D,"Import",Database!$E:$E,$B10,Database!$C:$C,AJ$1,Database!$F:$F,"Total")</f>
        <v>18795</v>
      </c>
      <c r="AK10" s="137">
        <f>SUMIFS(Database!$G:$G,Database!$D:$D,"Import",Database!$E:$E,$B10,Database!$C:$C,AK$1,Database!$F:$F,"Total")</f>
        <v>9007</v>
      </c>
      <c r="AL10" s="137">
        <f>SUMIFS(Database!$G:$G,Database!$D:$D,"Import",Database!$E:$E,$B10,Database!$C:$C,AL$1,Database!$F:$F,"Total")</f>
        <v>16219</v>
      </c>
      <c r="AM10" s="137">
        <f>SUMIFS(Database!$G:$G,Database!$D:$D,"Import",Database!$E:$E,$B10,Database!$C:$C,AM$1,Database!$F:$F,"Total")</f>
        <v>15451</v>
      </c>
      <c r="AN10" s="137">
        <f>SUMIFS(Database!$G:$G,Database!$D:$D,"Import",Database!$E:$E,$B10,Database!$C:$C,AN$1,Database!$F:$F,"Total")</f>
        <v>8423</v>
      </c>
      <c r="AO10" s="137">
        <f>SUMIFS(Database!$G:$G,Database!$D:$D,"Import",Database!$E:$E,$B10,Database!$C:$C,AO$1,Database!$F:$F,"Total")</f>
        <v>13348</v>
      </c>
      <c r="AP10" s="137">
        <f>SUMIFS(Database!$G:$G,Database!$D:$D,"Import",Database!$E:$E,$B10,Database!$C:$C,AP$1,Database!$F:$F,"Total")</f>
        <v>2835</v>
      </c>
      <c r="AQ10" s="137">
        <f>SUMIFS(Database!$G:$G,Database!$D:$D,"Import",Database!$E:$E,$B10,Database!$C:$C,AQ$1,Database!$F:$F,"Total")</f>
        <v>713</v>
      </c>
      <c r="AR10" s="137">
        <f>SUMIFS(Database!$G:$G,Database!$D:$D,"Import",Database!$E:$E,$B10,Database!$C:$C,AR$1,Database!$F:$F,"Total")</f>
        <v>2606</v>
      </c>
      <c r="AS10" s="137">
        <f>SUMIFS(Database!$G:$G,Database!$D:$D,"Import",Database!$E:$E,$B10,Database!$C:$C,AS$1,Database!$F:$F,"Total")</f>
        <v>6151</v>
      </c>
      <c r="AT10" s="137">
        <f>SUMIFS(Database!$G:$G,Database!$D:$D,"Import",Database!$E:$E,$B10,Database!$C:$C,AT$1,Database!$F:$F,"Total")</f>
        <v>553</v>
      </c>
      <c r="AU10" s="137">
        <f>SUMIFS(Database!$G:$G,Database!$D:$D,"Import",Database!$E:$E,$B10,Database!$C:$C,AU$1,Database!$F:$F,"Total")</f>
        <v>1571</v>
      </c>
      <c r="AV10" s="137">
        <f>SUMIFS(Database!$G:$G,Database!$D:$D,"Import",Database!$E:$E,$B10,Database!$C:$C,AV$1,Database!$F:$F,"Total")</f>
        <v>1461</v>
      </c>
      <c r="AW10" s="137">
        <f>SUMIFS(Database!$G:$G,Database!$D:$D,"Import",Database!$E:$E,$B10,Database!$C:$C,AW$1,Database!$F:$F,"Total")</f>
        <v>12983</v>
      </c>
      <c r="AX10" s="137">
        <f>SUMIFS(Database!$G:$G,Database!$D:$D,"Import",Database!$E:$E,$B10,Database!$C:$C,AX$1,Database!$F:$F,"Total")</f>
        <v>7485</v>
      </c>
      <c r="AY10" s="137">
        <f>SUMIFS(Database!$G:$G,Database!$D:$D,"Import",Database!$E:$E,$B10,Database!$C:$C,AY$1,Database!$F:$F,"Total")</f>
        <v>4064</v>
      </c>
      <c r="AZ10" s="137">
        <f>SUMIFS(Database!$G:$G,Database!$D:$D,"Import",Database!$E:$E,$B10,Database!$C:$C,AZ$1,Database!$F:$F,"Total")</f>
        <v>4666</v>
      </c>
      <c r="BA10" s="137">
        <f>SUMIFS(Database!$G:$G,Database!$D:$D,"Import",Database!$E:$E,$B10,Database!$C:$C,BA$1,Database!$F:$F,"Total")</f>
        <v>4647</v>
      </c>
      <c r="BB10" s="137">
        <f>SUMIFS(Database!$G:$G,Database!$D:$D,"Import",Database!$E:$E,$B10,Database!$C:$C,BB$1,Database!$F:$F,"Total")</f>
        <v>5408</v>
      </c>
      <c r="BC10" s="137">
        <f>SUMIFS(Database!$G:$G,Database!$D:$D,"Import",Database!$E:$E,$B10,Database!$C:$C,BC$1,Database!$F:$F,"Total")</f>
        <v>2392</v>
      </c>
      <c r="BD10" s="137">
        <f>SUMIFS(Database!$G:$G,Database!$D:$D,"Import",Database!$E:$E,$B10,Database!$C:$C,BD$1,Database!$F:$F,"Total")</f>
        <v>3756</v>
      </c>
      <c r="BE10" s="137">
        <f>SUMIFS(Database!$G:$G,Database!$D:$D,"Import",Database!$E:$E,$B10,Database!$C:$C,BE$1,Database!$F:$F,"Total")</f>
        <v>5303</v>
      </c>
      <c r="BF10" s="137">
        <f>SUMIFS(Database!$G:$G,Database!$D:$D,"Import",Database!$E:$E,$B10,Database!$C:$C,BF$1,Database!$F:$F,"Total")</f>
        <v>5342</v>
      </c>
      <c r="BG10" s="137">
        <f>SUMIFS(Database!$G:$G,Database!$D:$D,"Import",Database!$E:$E,$B10,Database!$C:$C,BG$1,Database!$F:$F,"Total")</f>
        <v>3640</v>
      </c>
      <c r="BH10" s="137">
        <f>SUMIFS(Database!$G:$G,Database!$D:$D,"Import",Database!$E:$E,$B10,Database!$C:$C,BH$1,Database!$F:$F,"Total")</f>
        <v>3356</v>
      </c>
      <c r="BI10" s="137">
        <f>SUMIFS(Database!$G:$G,Database!$D:$D,"Import",Database!$E:$E,$B10,Database!$C:$C,BI$1,Database!$F:$F,"Total")</f>
        <v>0</v>
      </c>
      <c r="BJ10" s="137">
        <f>SUMIFS(Database!$G:$G,Database!$D:$D,"Import",Database!$E:$E,$B10,Database!$C:$C,BJ$1,Database!$F:$F,"Total")</f>
        <v>1351</v>
      </c>
      <c r="BK10" s="137">
        <f>SUMIFS(Database!$G:$G,Database!$D:$D,"Import",Database!$E:$E,$B10,Database!$C:$C,BK$1,Database!$F:$F,"Total")</f>
        <v>0</v>
      </c>
      <c r="BL10" s="137">
        <f>SUMIFS(Database!$G:$G,Database!$D:$D,"Import",Database!$E:$E,$B10,Database!$C:$C,BL$1,Database!$F:$F,"Total")</f>
        <v>0</v>
      </c>
      <c r="BM10" s="137">
        <f>SUMIFS(Database!$G:$G,Database!$D:$D,"Import",Database!$E:$E,$B10,Database!$C:$C,BM$1,Database!$F:$F,"Total")</f>
        <v>0</v>
      </c>
      <c r="BN10" s="137">
        <f>SUMIFS(Database!$G:$G,Database!$D:$D,"Import",Database!$E:$E,$B10,Database!$C:$C,BN$1,Database!$F:$F,"Total")</f>
        <v>430</v>
      </c>
      <c r="BO10" s="137">
        <f>SUMIFS(Database!$G:$G,Database!$D:$D,"Import",Database!$E:$E,$B10,Database!$C:$C,BO$1,Database!$F:$F,"Total")</f>
        <v>0</v>
      </c>
      <c r="BP10" s="137">
        <f>SUMIFS(Database!$G:$G,Database!$D:$D,"Import",Database!$E:$E,$B10,Database!$C:$C,BP$1,Database!$F:$F,"Total")</f>
        <v>135</v>
      </c>
      <c r="BQ10" s="137">
        <f>SUMIFS(Database!$G:$G,Database!$D:$D,"Import",Database!$E:$E,$B10,Database!$C:$C,BQ$1,Database!$F:$F,"Total")</f>
        <v>2372850</v>
      </c>
      <c r="BR10" s="137">
        <f>SUMIFS(Database!$G:$G,Database!$D:$D,"Import",Database!$E:$E,$B10,Database!$C:$C,BR$1,Database!$F:$F,"Total")</f>
        <v>110</v>
      </c>
      <c r="BS10" s="137">
        <f>SUMIFS(Database!$G:$G,Database!$D:$D,"Import",Database!$E:$E,$B10,Database!$C:$C,BS$1,Database!$F:$F,"Total")</f>
        <v>350</v>
      </c>
      <c r="BT10" s="137">
        <f>SUMIFS(Database!$G:$G,Database!$D:$D,"Import",Database!$E:$E,$B10,Database!$C:$C,BT$1,Database!$F:$F,"Total")</f>
        <v>393</v>
      </c>
      <c r="BU10" s="137">
        <f>SUMIFS(Database!$G:$G,Database!$D:$D,"Import",Database!$E:$E,$B10,Database!$C:$C,BU$1,Database!$F:$F,"Total")</f>
        <v>683</v>
      </c>
      <c r="BV10" s="137">
        <f>SUMIFS(Database!$G:$G,Database!$D:$D,"Import",Database!$E:$E,$B10,Database!$C:$C,BV$1,Database!$F:$F,"Total")</f>
        <v>0</v>
      </c>
      <c r="BW10" s="137">
        <f>SUMIFS(Database!$G:$G,Database!$D:$D,"Import",Database!$E:$E,$B10,Database!$C:$C,BW$1,Database!$F:$F,"Total")</f>
        <v>0</v>
      </c>
      <c r="BX10" s="137">
        <f>SUMIFS(Database!$G:$G,Database!$D:$D,"Import",Database!$E:$E,$B10,Database!$C:$C,BX$1,Database!$F:$F,"Total")</f>
        <v>0</v>
      </c>
      <c r="BY10" s="137">
        <f>SUMIFS(Database!$G:$G,Database!$D:$D,"Import",Database!$E:$E,$B10,Database!$C:$C,BY$1,Database!$F:$F,"Total")</f>
        <v>0</v>
      </c>
      <c r="BZ10" s="137">
        <f>SUMIFS(Database!$G:$G,Database!$D:$D,"Import",Database!$E:$E,$B10,Database!$C:$C,BZ$1,Database!$F:$F,"Total")</f>
        <v>0</v>
      </c>
      <c r="CA10" s="137">
        <f>SUMIFS(Database!$G:$G,Database!$D:$D,"Import",Database!$E:$E,$B10,Database!$C:$C,CA$1,Database!$F:$F,"Total")</f>
        <v>0</v>
      </c>
      <c r="CB10" s="137">
        <f>SUMIFS(Database!$G:$G,Database!$D:$D,"Import",Database!$E:$E,$B10,Database!$C:$C,CB$1,Database!$F:$F,"Total")</f>
        <v>0</v>
      </c>
      <c r="CC10" s="137">
        <f>SUMIFS(Database!$G:$G,Database!$D:$D,"Import",Database!$E:$E,$B10,Database!$C:$C,CC$1,Database!$F:$F,"Total")</f>
        <v>0</v>
      </c>
      <c r="CD10" s="137">
        <f>SUMIFS(Database!$G:$G,Database!$D:$D,"Import",Database!$E:$E,$B10,Database!$C:$C,CD$1,Database!$F:$F,"Total")</f>
        <v>0</v>
      </c>
      <c r="CE10" s="137">
        <f>SUMIFS(Database!$G:$G,Database!$D:$D,"Import",Database!$E:$E,$B10,Database!$C:$C,CE$1,Database!$F:$F,"Total")</f>
        <v>0</v>
      </c>
      <c r="CF10" s="137">
        <f>SUMIFS(Database!$G:$G,Database!$D:$D,"Import",Database!$E:$E,$B10,Database!$C:$C,CF$1,Database!$F:$F,"Total")</f>
        <v>0</v>
      </c>
      <c r="CG10" s="137">
        <f>SUMIFS(Database!$G:$G,Database!$D:$D,"Import",Database!$E:$E,$B10,Database!$C:$C,CG$1,Database!$F:$F,"Total")</f>
        <v>0</v>
      </c>
      <c r="CH10" s="137">
        <f>SUMIFS(Database!$G:$G,Database!$D:$D,"Import",Database!$E:$E,$B10,Database!$C:$C,CH$1,Database!$F:$F,"Total")</f>
        <v>0</v>
      </c>
      <c r="CI10" s="137">
        <f>SUMIFS(Database!$G:$G,Database!$D:$D,"Import",Database!$E:$E,$B10,Database!$C:$C,CI$1,Database!$F:$F,"Total")</f>
        <v>0</v>
      </c>
      <c r="CJ10" s="137">
        <f>SUMIFS(Database!$G:$G,Database!$D:$D,"Import",Database!$E:$E,$B10,Database!$C:$C,CJ$1,Database!$F:$F,"Total")</f>
        <v>0</v>
      </c>
      <c r="CK10" s="137">
        <f>SUMIFS(Database!$G:$G,Database!$D:$D,"Import",Database!$E:$E,$B10,Database!$C:$C,CK$1,Database!$F:$F,"Total")</f>
        <v>0</v>
      </c>
      <c r="CL10" s="137">
        <f>SUMIFS(Database!$G:$G,Database!$D:$D,"Import",Database!$E:$E,$B10,Database!$C:$C,CL$1,Database!$F:$F,"Total")</f>
        <v>0</v>
      </c>
      <c r="CM10" s="137">
        <f>SUMIFS(Database!$G:$G,Database!$D:$D,"Import",Database!$E:$E,$B10,Database!$C:$C,CM$1,Database!$F:$F,"Total")</f>
        <v>0</v>
      </c>
      <c r="CN10" s="137">
        <f>SUMIFS(Database!$G:$G,Database!$D:$D,"Import",Database!$E:$E,$B10,Database!$C:$C,CN$1,Database!$F:$F,"Total")</f>
        <v>0</v>
      </c>
      <c r="CO10" s="137">
        <f>SUMIFS(Database!$G:$G,Database!$D:$D,"Import",Database!$E:$E,$B10,Database!$C:$C,CO$1,Database!$F:$F,"Total")</f>
        <v>0</v>
      </c>
      <c r="CP10" s="137">
        <f>SUMIFS(Database!$G:$G,Database!$D:$D,"Import",Database!$E:$E,$B10,Database!$C:$C,CP$1,Database!$F:$F,"Total")</f>
        <v>0</v>
      </c>
      <c r="CQ10" s="137">
        <f>SUMIFS(Database!$G:$G,Database!$D:$D,"Import",Database!$E:$E,$B10,Database!$C:$C,CQ$1,Database!$F:$F,"Total")</f>
        <v>0</v>
      </c>
      <c r="CR10" s="137">
        <f>SUMIFS(Database!$G:$G,Database!$D:$D,"Import",Database!$E:$E,$B10,Database!$C:$C,CR$1,Database!$F:$F,"Total")</f>
        <v>0</v>
      </c>
      <c r="CS10" s="137">
        <f>SUMIFS(Database!$G:$G,Database!$D:$D,"Import",Database!$E:$E,$B10,Database!$C:$C,CS$1,Database!$F:$F,"Total")</f>
        <v>0</v>
      </c>
      <c r="CT10" s="137">
        <f>SUMIFS(Database!$G:$G,Database!$D:$D,"Import",Database!$E:$E,$B10,Database!$C:$C,CT$1,Database!$F:$F,"Total")</f>
        <v>0</v>
      </c>
      <c r="CU10" s="137">
        <f>SUMIFS(Database!$G:$G,Database!$D:$D,"Import",Database!$E:$E,$B10,Database!$C:$C,CU$1,Database!$F:$F,"Total")</f>
        <v>0</v>
      </c>
    </row>
    <row r="11" spans="1:99" x14ac:dyDescent="0.25">
      <c r="A11" s="132" t="s">
        <v>484</v>
      </c>
      <c r="B11" s="133" t="s">
        <v>36</v>
      </c>
      <c r="C11" s="137">
        <f>SUMIFS(Database!$G:$G,Database!$D:$D,"Import",Database!$E:$E,$B11,Database!$C:$C,C$1,Database!$F:$F,"Total")</f>
        <v>0</v>
      </c>
      <c r="D11" s="137">
        <f>SUMIFS(Database!$G:$G,Database!$D:$D,"Import",Database!$E:$E,$B11,Database!$C:$C,D$1,Database!$F:$F,"Total")</f>
        <v>0</v>
      </c>
      <c r="E11" s="137">
        <f>SUMIFS(Database!$G:$G,Database!$D:$D,"Import",Database!$E:$E,$B11,Database!$C:$C,E$1,Database!$F:$F,"Total")</f>
        <v>0</v>
      </c>
      <c r="F11" s="137">
        <f>SUMIFS(Database!$G:$G,Database!$D:$D,"Import",Database!$E:$E,$B11,Database!$C:$C,F$1,Database!$F:$F,"Total")</f>
        <v>0</v>
      </c>
      <c r="G11" s="137">
        <f>SUMIFS(Database!$G:$G,Database!$D:$D,"Import",Database!$E:$E,$B11,Database!$C:$C,G$1,Database!$F:$F,"Total")</f>
        <v>0</v>
      </c>
      <c r="H11" s="137">
        <f>SUMIFS(Database!$G:$G,Database!$D:$D,"Import",Database!$E:$E,$B11,Database!$C:$C,H$1,Database!$F:$F,"Total")</f>
        <v>0</v>
      </c>
      <c r="I11" s="137">
        <f>SUMIFS(Database!$G:$G,Database!$D:$D,"Import",Database!$E:$E,$B11,Database!$C:$C,I$1,Database!$F:$F,"Total")</f>
        <v>0</v>
      </c>
      <c r="J11" s="137">
        <f>SUMIFS(Database!$G:$G,Database!$D:$D,"Import",Database!$E:$E,$B11,Database!$C:$C,J$1,Database!$F:$F,"Total")</f>
        <v>0</v>
      </c>
      <c r="K11" s="137">
        <f>SUMIFS(Database!$G:$G,Database!$D:$D,"Import",Database!$E:$E,$B11,Database!$C:$C,K$1,Database!$F:$F,"Total")</f>
        <v>0</v>
      </c>
      <c r="L11" s="137">
        <f>SUMIFS(Database!$G:$G,Database!$D:$D,"Import",Database!$E:$E,$B11,Database!$C:$C,L$1,Database!$F:$F,"Total")</f>
        <v>0</v>
      </c>
      <c r="M11" s="137">
        <f>SUMIFS(Database!$G:$G,Database!$D:$D,"Import",Database!$E:$E,$B11,Database!$C:$C,M$1,Database!$F:$F,"Total")</f>
        <v>0</v>
      </c>
      <c r="N11" s="137">
        <f>SUMIFS(Database!$G:$G,Database!$D:$D,"Import",Database!$E:$E,$B11,Database!$C:$C,N$1,Database!$F:$F,"Total")</f>
        <v>0</v>
      </c>
      <c r="O11" s="137">
        <f>SUMIFS(Database!$G:$G,Database!$D:$D,"Import",Database!$E:$E,$B11,Database!$C:$C,O$1,Database!$F:$F,"Total")</f>
        <v>0</v>
      </c>
      <c r="P11" s="137">
        <f>SUMIFS(Database!$G:$G,Database!$D:$D,"Import",Database!$E:$E,$B11,Database!$C:$C,P$1,Database!$F:$F,"Total")</f>
        <v>0</v>
      </c>
      <c r="Q11" s="137">
        <f>SUMIFS(Database!$G:$G,Database!$D:$D,"Import",Database!$E:$E,$B11,Database!$C:$C,Q$1,Database!$F:$F,"Total")</f>
        <v>0</v>
      </c>
      <c r="R11" s="137">
        <f>SUMIFS(Database!$G:$G,Database!$D:$D,"Import",Database!$E:$E,$B11,Database!$C:$C,R$1,Database!$F:$F,"Total")</f>
        <v>0</v>
      </c>
      <c r="S11" s="137">
        <f>SUMIFS(Database!$G:$G,Database!$D:$D,"Import",Database!$E:$E,$B11,Database!$C:$C,S$1,Database!$F:$F,"Total")</f>
        <v>0</v>
      </c>
      <c r="T11" s="137">
        <f>SUMIFS(Database!$G:$G,Database!$D:$D,"Import",Database!$E:$E,$B11,Database!$C:$C,T$1,Database!$F:$F,"Total")</f>
        <v>0</v>
      </c>
      <c r="U11" s="137">
        <f>SUMIFS(Database!$G:$G,Database!$D:$D,"Import",Database!$E:$E,$B11,Database!$C:$C,U$1,Database!$F:$F,"Total")</f>
        <v>0</v>
      </c>
      <c r="V11" s="137">
        <f>SUMIFS(Database!$G:$G,Database!$D:$D,"Import",Database!$E:$E,$B11,Database!$C:$C,V$1,Database!$F:$F,"Total")</f>
        <v>0</v>
      </c>
      <c r="W11" s="137">
        <f>SUMIFS(Database!$G:$G,Database!$D:$D,"Import",Database!$E:$E,$B11,Database!$C:$C,W$1,Database!$F:$F,"Total")</f>
        <v>0</v>
      </c>
      <c r="X11" s="137">
        <f>SUMIFS(Database!$G:$G,Database!$D:$D,"Import",Database!$E:$E,$B11,Database!$C:$C,X$1,Database!$F:$F,"Total")</f>
        <v>0</v>
      </c>
      <c r="Y11" s="137">
        <f>SUMIFS(Database!$G:$G,Database!$D:$D,"Import",Database!$E:$E,$B11,Database!$C:$C,Y$1,Database!$F:$F,"Total")</f>
        <v>0</v>
      </c>
      <c r="Z11" s="137">
        <f>SUMIFS(Database!$G:$G,Database!$D:$D,"Import",Database!$E:$E,$B11,Database!$C:$C,Z$1,Database!$F:$F,"Total")</f>
        <v>0</v>
      </c>
      <c r="AA11" s="137">
        <f>SUMIFS(Database!$G:$G,Database!$D:$D,"Import",Database!$E:$E,$B11,Database!$C:$C,AA$1,Database!$F:$F,"Total")</f>
        <v>0</v>
      </c>
      <c r="AB11" s="137">
        <f>SUMIFS(Database!$G:$G,Database!$D:$D,"Import",Database!$E:$E,$B11,Database!$C:$C,AB$1,Database!$F:$F,"Total")</f>
        <v>0</v>
      </c>
      <c r="AC11" s="137">
        <f>SUMIFS(Database!$G:$G,Database!$D:$D,"Import",Database!$E:$E,$B11,Database!$C:$C,AC$1,Database!$F:$F,"Total")</f>
        <v>0</v>
      </c>
      <c r="AD11" s="137">
        <f>SUMIFS(Database!$G:$G,Database!$D:$D,"Import",Database!$E:$E,$B11,Database!$C:$C,AD$1,Database!$F:$F,"Total")</f>
        <v>0</v>
      </c>
      <c r="AE11" s="137">
        <f>SUMIFS(Database!$G:$G,Database!$D:$D,"Import",Database!$E:$E,$B11,Database!$C:$C,AE$1,Database!$F:$F,"Total")</f>
        <v>0</v>
      </c>
      <c r="AF11" s="137">
        <f>SUMIFS(Database!$G:$G,Database!$D:$D,"Import",Database!$E:$E,$B11,Database!$C:$C,AF$1,Database!$F:$F,"Total")</f>
        <v>0</v>
      </c>
      <c r="AG11" s="137">
        <f>SUMIFS(Database!$G:$G,Database!$D:$D,"Import",Database!$E:$E,$B11,Database!$C:$C,AG$1,Database!$F:$F,"Total")</f>
        <v>0</v>
      </c>
      <c r="AH11" s="137">
        <f>SUMIFS(Database!$G:$G,Database!$D:$D,"Import",Database!$E:$E,$B11,Database!$C:$C,AH$1,Database!$F:$F,"Total")</f>
        <v>0</v>
      </c>
      <c r="AI11" s="137">
        <f>SUMIFS(Database!$G:$G,Database!$D:$D,"Import",Database!$E:$E,$B11,Database!$C:$C,AI$1,Database!$F:$F,"Total")</f>
        <v>0</v>
      </c>
      <c r="AJ11" s="137">
        <f>SUMIFS(Database!$G:$G,Database!$D:$D,"Import",Database!$E:$E,$B11,Database!$C:$C,AJ$1,Database!$F:$F,"Total")</f>
        <v>10696</v>
      </c>
      <c r="AK11" s="137">
        <f>SUMIFS(Database!$G:$G,Database!$D:$D,"Import",Database!$E:$E,$B11,Database!$C:$C,AK$1,Database!$F:$F,"Total")</f>
        <v>7283.5</v>
      </c>
      <c r="AL11" s="137">
        <f>SUMIFS(Database!$G:$G,Database!$D:$D,"Import",Database!$E:$E,$B11,Database!$C:$C,AL$1,Database!$F:$F,"Total")</f>
        <v>6959</v>
      </c>
      <c r="AM11" s="137">
        <f>SUMIFS(Database!$G:$G,Database!$D:$D,"Import",Database!$E:$E,$B11,Database!$C:$C,AM$1,Database!$F:$F,"Total")</f>
        <v>4868</v>
      </c>
      <c r="AN11" s="137">
        <f>SUMIFS(Database!$G:$G,Database!$D:$D,"Import",Database!$E:$E,$B11,Database!$C:$C,AN$1,Database!$F:$F,"Total")</f>
        <v>4610</v>
      </c>
      <c r="AO11" s="137">
        <f>SUMIFS(Database!$G:$G,Database!$D:$D,"Import",Database!$E:$E,$B11,Database!$C:$C,AO$1,Database!$F:$F,"Total")</f>
        <v>7043</v>
      </c>
      <c r="AP11" s="137">
        <f>SUMIFS(Database!$G:$G,Database!$D:$D,"Import",Database!$E:$E,$B11,Database!$C:$C,AP$1,Database!$F:$F,"Total")</f>
        <v>3655</v>
      </c>
      <c r="AQ11" s="137">
        <f>SUMIFS(Database!$G:$G,Database!$D:$D,"Import",Database!$E:$E,$B11,Database!$C:$C,AQ$1,Database!$F:$F,"Total")</f>
        <v>3382</v>
      </c>
      <c r="AR11" s="137">
        <f>SUMIFS(Database!$G:$G,Database!$D:$D,"Import",Database!$E:$E,$B11,Database!$C:$C,AR$1,Database!$F:$F,"Total")</f>
        <v>2844</v>
      </c>
      <c r="AS11" s="137">
        <f>SUMIFS(Database!$G:$G,Database!$D:$D,"Import",Database!$E:$E,$B11,Database!$C:$C,AS$1,Database!$F:$F,"Total")</f>
        <v>3107</v>
      </c>
      <c r="AT11" s="137">
        <f>SUMIFS(Database!$G:$G,Database!$D:$D,"Import",Database!$E:$E,$B11,Database!$C:$C,AT$1,Database!$F:$F,"Total")</f>
        <v>4481</v>
      </c>
      <c r="AU11" s="137">
        <f>SUMIFS(Database!$G:$G,Database!$D:$D,"Import",Database!$E:$E,$B11,Database!$C:$C,AU$1,Database!$F:$F,"Total")</f>
        <v>681</v>
      </c>
      <c r="AV11" s="137">
        <f>SUMIFS(Database!$G:$G,Database!$D:$D,"Import",Database!$E:$E,$B11,Database!$C:$C,AV$1,Database!$F:$F,"Total")</f>
        <v>7146</v>
      </c>
      <c r="AW11" s="137">
        <f>SUMIFS(Database!$G:$G,Database!$D:$D,"Import",Database!$E:$E,$B11,Database!$C:$C,AW$1,Database!$F:$F,"Total")</f>
        <v>2802</v>
      </c>
      <c r="AX11" s="137">
        <f>SUMIFS(Database!$G:$G,Database!$D:$D,"Import",Database!$E:$E,$B11,Database!$C:$C,AX$1,Database!$F:$F,"Total")</f>
        <v>4875</v>
      </c>
      <c r="AY11" s="137">
        <f>SUMIFS(Database!$G:$G,Database!$D:$D,"Import",Database!$E:$E,$B11,Database!$C:$C,AY$1,Database!$F:$F,"Total")</f>
        <v>3526</v>
      </c>
      <c r="AZ11" s="137">
        <f>SUMIFS(Database!$G:$G,Database!$D:$D,"Import",Database!$E:$E,$B11,Database!$C:$C,AZ$1,Database!$F:$F,"Total")</f>
        <v>4497</v>
      </c>
      <c r="BA11" s="137">
        <f>SUMIFS(Database!$G:$G,Database!$D:$D,"Import",Database!$E:$E,$B11,Database!$C:$C,BA$1,Database!$F:$F,"Total")</f>
        <v>3964</v>
      </c>
      <c r="BB11" s="137">
        <f>SUMIFS(Database!$G:$G,Database!$D:$D,"Import",Database!$E:$E,$B11,Database!$C:$C,BB$1,Database!$F:$F,"Total")</f>
        <v>2452</v>
      </c>
      <c r="BC11" s="137">
        <f>SUMIFS(Database!$G:$G,Database!$D:$D,"Import",Database!$E:$E,$B11,Database!$C:$C,BC$1,Database!$F:$F,"Total")</f>
        <v>2279</v>
      </c>
      <c r="BD11" s="137">
        <f>SUMIFS(Database!$G:$G,Database!$D:$D,"Import",Database!$E:$E,$B11,Database!$C:$C,BD$1,Database!$F:$F,"Total")</f>
        <v>4799</v>
      </c>
      <c r="BE11" s="137">
        <f>SUMIFS(Database!$G:$G,Database!$D:$D,"Import",Database!$E:$E,$B11,Database!$C:$C,BE$1,Database!$F:$F,"Total")</f>
        <v>3932</v>
      </c>
      <c r="BF11" s="137">
        <f>SUMIFS(Database!$G:$G,Database!$D:$D,"Import",Database!$E:$E,$B11,Database!$C:$C,BF$1,Database!$F:$F,"Total")</f>
        <v>4382</v>
      </c>
      <c r="BG11" s="137">
        <f>SUMIFS(Database!$G:$G,Database!$D:$D,"Import",Database!$E:$E,$B11,Database!$C:$C,BG$1,Database!$F:$F,"Total")</f>
        <v>5126</v>
      </c>
      <c r="BH11" s="137">
        <f>SUMIFS(Database!$G:$G,Database!$D:$D,"Import",Database!$E:$E,$B11,Database!$C:$C,BH$1,Database!$F:$F,"Total")</f>
        <v>3271</v>
      </c>
      <c r="BI11" s="137">
        <f>SUMIFS(Database!$G:$G,Database!$D:$D,"Import",Database!$E:$E,$B11,Database!$C:$C,BI$1,Database!$F:$F,"Total")</f>
        <v>0</v>
      </c>
      <c r="BJ11" s="137">
        <f>SUMIFS(Database!$G:$G,Database!$D:$D,"Import",Database!$E:$E,$B11,Database!$C:$C,BJ$1,Database!$F:$F,"Total")</f>
        <v>0</v>
      </c>
      <c r="BK11" s="137">
        <f>SUMIFS(Database!$G:$G,Database!$D:$D,"Import",Database!$E:$E,$B11,Database!$C:$C,BK$1,Database!$F:$F,"Total")</f>
        <v>0</v>
      </c>
      <c r="BL11" s="137">
        <f>SUMIFS(Database!$G:$G,Database!$D:$D,"Import",Database!$E:$E,$B11,Database!$C:$C,BL$1,Database!$F:$F,"Total")</f>
        <v>0</v>
      </c>
      <c r="BM11" s="137">
        <f>SUMIFS(Database!$G:$G,Database!$D:$D,"Import",Database!$E:$E,$B11,Database!$C:$C,BM$1,Database!$F:$F,"Total")</f>
        <v>0</v>
      </c>
      <c r="BN11" s="137">
        <f>SUMIFS(Database!$G:$G,Database!$D:$D,"Import",Database!$E:$E,$B11,Database!$C:$C,BN$1,Database!$F:$F,"Total")</f>
        <v>5127</v>
      </c>
      <c r="BO11" s="137">
        <f>SUMIFS(Database!$G:$G,Database!$D:$D,"Import",Database!$E:$E,$B11,Database!$C:$C,BO$1,Database!$F:$F,"Total")</f>
        <v>0</v>
      </c>
      <c r="BP11" s="137">
        <f>SUMIFS(Database!$G:$G,Database!$D:$D,"Import",Database!$E:$E,$B11,Database!$C:$C,BP$1,Database!$F:$F,"Total")</f>
        <v>2382.5</v>
      </c>
      <c r="BQ11" s="137">
        <f>SUMIFS(Database!$G:$G,Database!$D:$D,"Import",Database!$E:$E,$B11,Database!$C:$C,BQ$1,Database!$F:$F,"Total")</f>
        <v>6159.5</v>
      </c>
      <c r="BR11" s="137">
        <f>SUMIFS(Database!$G:$G,Database!$D:$D,"Import",Database!$E:$E,$B11,Database!$C:$C,BR$1,Database!$F:$F,"Total")</f>
        <v>4409</v>
      </c>
      <c r="BS11" s="137">
        <f>SUMIFS(Database!$G:$G,Database!$D:$D,"Import",Database!$E:$E,$B11,Database!$C:$C,BS$1,Database!$F:$F,"Total")</f>
        <v>7714</v>
      </c>
      <c r="BT11" s="137">
        <f>SUMIFS(Database!$G:$G,Database!$D:$D,"Import",Database!$E:$E,$B11,Database!$C:$C,BT$1,Database!$F:$F,"Total")</f>
        <v>6883</v>
      </c>
      <c r="BU11" s="137">
        <f>SUMIFS(Database!$G:$G,Database!$D:$D,"Import",Database!$E:$E,$B11,Database!$C:$C,BU$1,Database!$F:$F,"Total")</f>
        <v>9824</v>
      </c>
      <c r="BV11" s="137">
        <f>SUMIFS(Database!$G:$G,Database!$D:$D,"Import",Database!$E:$E,$B11,Database!$C:$C,BV$1,Database!$F:$F,"Total")</f>
        <v>0</v>
      </c>
      <c r="BW11" s="137">
        <f>SUMIFS(Database!$G:$G,Database!$D:$D,"Import",Database!$E:$E,$B11,Database!$C:$C,BW$1,Database!$F:$F,"Total")</f>
        <v>0</v>
      </c>
      <c r="BX11" s="137">
        <f>SUMIFS(Database!$G:$G,Database!$D:$D,"Import",Database!$E:$E,$B11,Database!$C:$C,BX$1,Database!$F:$F,"Total")</f>
        <v>0</v>
      </c>
      <c r="BY11" s="137">
        <f>SUMIFS(Database!$G:$G,Database!$D:$D,"Import",Database!$E:$E,$B11,Database!$C:$C,BY$1,Database!$F:$F,"Total")</f>
        <v>0</v>
      </c>
      <c r="BZ11" s="137">
        <f>SUMIFS(Database!$G:$G,Database!$D:$D,"Import",Database!$E:$E,$B11,Database!$C:$C,BZ$1,Database!$F:$F,"Total")</f>
        <v>0</v>
      </c>
      <c r="CA11" s="137">
        <f>SUMIFS(Database!$G:$G,Database!$D:$D,"Import",Database!$E:$E,$B11,Database!$C:$C,CA$1,Database!$F:$F,"Total")</f>
        <v>0</v>
      </c>
      <c r="CB11" s="137">
        <f>SUMIFS(Database!$G:$G,Database!$D:$D,"Import",Database!$E:$E,$B11,Database!$C:$C,CB$1,Database!$F:$F,"Total")</f>
        <v>0</v>
      </c>
      <c r="CC11" s="137">
        <f>SUMIFS(Database!$G:$G,Database!$D:$D,"Import",Database!$E:$E,$B11,Database!$C:$C,CC$1,Database!$F:$F,"Total")</f>
        <v>0</v>
      </c>
      <c r="CD11" s="137">
        <f>SUMIFS(Database!$G:$G,Database!$D:$D,"Import",Database!$E:$E,$B11,Database!$C:$C,CD$1,Database!$F:$F,"Total")</f>
        <v>0</v>
      </c>
      <c r="CE11" s="137">
        <f>SUMIFS(Database!$G:$G,Database!$D:$D,"Import",Database!$E:$E,$B11,Database!$C:$C,CE$1,Database!$F:$F,"Total")</f>
        <v>0</v>
      </c>
      <c r="CF11" s="137">
        <f>SUMIFS(Database!$G:$G,Database!$D:$D,"Import",Database!$E:$E,$B11,Database!$C:$C,CF$1,Database!$F:$F,"Total")</f>
        <v>0</v>
      </c>
      <c r="CG11" s="137">
        <f>SUMIFS(Database!$G:$G,Database!$D:$D,"Import",Database!$E:$E,$B11,Database!$C:$C,CG$1,Database!$F:$F,"Total")</f>
        <v>0</v>
      </c>
      <c r="CH11" s="137">
        <f>SUMIFS(Database!$G:$G,Database!$D:$D,"Import",Database!$E:$E,$B11,Database!$C:$C,CH$1,Database!$F:$F,"Total")</f>
        <v>0</v>
      </c>
      <c r="CI11" s="137">
        <f>SUMIFS(Database!$G:$G,Database!$D:$D,"Import",Database!$E:$E,$B11,Database!$C:$C,CI$1,Database!$F:$F,"Total")</f>
        <v>0</v>
      </c>
      <c r="CJ11" s="137">
        <f>SUMIFS(Database!$G:$G,Database!$D:$D,"Import",Database!$E:$E,$B11,Database!$C:$C,CJ$1,Database!$F:$F,"Total")</f>
        <v>0</v>
      </c>
      <c r="CK11" s="137">
        <f>SUMIFS(Database!$G:$G,Database!$D:$D,"Import",Database!$E:$E,$B11,Database!$C:$C,CK$1,Database!$F:$F,"Total")</f>
        <v>0</v>
      </c>
      <c r="CL11" s="137">
        <f>SUMIFS(Database!$G:$G,Database!$D:$D,"Import",Database!$E:$E,$B11,Database!$C:$C,CL$1,Database!$F:$F,"Total")</f>
        <v>0</v>
      </c>
      <c r="CM11" s="137">
        <f>SUMIFS(Database!$G:$G,Database!$D:$D,"Import",Database!$E:$E,$B11,Database!$C:$C,CM$1,Database!$F:$F,"Total")</f>
        <v>0</v>
      </c>
      <c r="CN11" s="137">
        <f>SUMIFS(Database!$G:$G,Database!$D:$D,"Import",Database!$E:$E,$B11,Database!$C:$C,CN$1,Database!$F:$F,"Total")</f>
        <v>0</v>
      </c>
      <c r="CO11" s="137">
        <f>SUMIFS(Database!$G:$G,Database!$D:$D,"Import",Database!$E:$E,$B11,Database!$C:$C,CO$1,Database!$F:$F,"Total")</f>
        <v>0</v>
      </c>
      <c r="CP11" s="137">
        <f>SUMIFS(Database!$G:$G,Database!$D:$D,"Import",Database!$E:$E,$B11,Database!$C:$C,CP$1,Database!$F:$F,"Total")</f>
        <v>0</v>
      </c>
      <c r="CQ11" s="137">
        <f>SUMIFS(Database!$G:$G,Database!$D:$D,"Import",Database!$E:$E,$B11,Database!$C:$C,CQ$1,Database!$F:$F,"Total")</f>
        <v>0</v>
      </c>
      <c r="CR11" s="137">
        <f>SUMIFS(Database!$G:$G,Database!$D:$D,"Import",Database!$E:$E,$B11,Database!$C:$C,CR$1,Database!$F:$F,"Total")</f>
        <v>0</v>
      </c>
      <c r="CS11" s="137">
        <f>SUMIFS(Database!$G:$G,Database!$D:$D,"Import",Database!$E:$E,$B11,Database!$C:$C,CS$1,Database!$F:$F,"Total")</f>
        <v>0</v>
      </c>
      <c r="CT11" s="137">
        <f>SUMIFS(Database!$G:$G,Database!$D:$D,"Import",Database!$E:$E,$B11,Database!$C:$C,CT$1,Database!$F:$F,"Total")</f>
        <v>0</v>
      </c>
      <c r="CU11" s="137">
        <f>SUMIFS(Database!$G:$G,Database!$D:$D,"Import",Database!$E:$E,$B11,Database!$C:$C,CU$1,Database!$F:$F,"Total")</f>
        <v>0</v>
      </c>
    </row>
    <row r="12" spans="1:99" x14ac:dyDescent="0.25">
      <c r="A12" s="132" t="s">
        <v>484</v>
      </c>
      <c r="B12" s="133" t="s">
        <v>39</v>
      </c>
      <c r="C12" s="137">
        <f>SUMIFS(Database!$G:$G,Database!$D:$D,"Import",Database!$E:$E,$B12,Database!$C:$C,C$1,Database!$F:$F,"Total")</f>
        <v>0</v>
      </c>
      <c r="D12" s="137">
        <f>SUMIFS(Database!$G:$G,Database!$D:$D,"Import",Database!$E:$E,$B12,Database!$C:$C,D$1,Database!$F:$F,"Total")</f>
        <v>0</v>
      </c>
      <c r="E12" s="137">
        <f>SUMIFS(Database!$G:$G,Database!$D:$D,"Import",Database!$E:$E,$B12,Database!$C:$C,E$1,Database!$F:$F,"Total")</f>
        <v>0</v>
      </c>
      <c r="F12" s="137">
        <f>SUMIFS(Database!$G:$G,Database!$D:$D,"Import",Database!$E:$E,$B12,Database!$C:$C,F$1,Database!$F:$F,"Total")</f>
        <v>0</v>
      </c>
      <c r="G12" s="137">
        <f>SUMIFS(Database!$G:$G,Database!$D:$D,"Import",Database!$E:$E,$B12,Database!$C:$C,G$1,Database!$F:$F,"Total")</f>
        <v>0</v>
      </c>
      <c r="H12" s="137">
        <f>SUMIFS(Database!$G:$G,Database!$D:$D,"Import",Database!$E:$E,$B12,Database!$C:$C,H$1,Database!$F:$F,"Total")</f>
        <v>0</v>
      </c>
      <c r="I12" s="137">
        <f>SUMIFS(Database!$G:$G,Database!$D:$D,"Import",Database!$E:$E,$B12,Database!$C:$C,I$1,Database!$F:$F,"Total")</f>
        <v>0</v>
      </c>
      <c r="J12" s="137">
        <f>SUMIFS(Database!$G:$G,Database!$D:$D,"Import",Database!$E:$E,$B12,Database!$C:$C,J$1,Database!$F:$F,"Total")</f>
        <v>0</v>
      </c>
      <c r="K12" s="137">
        <f>SUMIFS(Database!$G:$G,Database!$D:$D,"Import",Database!$E:$E,$B12,Database!$C:$C,K$1,Database!$F:$F,"Total")</f>
        <v>0</v>
      </c>
      <c r="L12" s="137">
        <f>SUMIFS(Database!$G:$G,Database!$D:$D,"Import",Database!$E:$E,$B12,Database!$C:$C,L$1,Database!$F:$F,"Total")</f>
        <v>0</v>
      </c>
      <c r="M12" s="137">
        <f>SUMIFS(Database!$G:$G,Database!$D:$D,"Import",Database!$E:$E,$B12,Database!$C:$C,M$1,Database!$F:$F,"Total")</f>
        <v>0</v>
      </c>
      <c r="N12" s="137">
        <f>SUMIFS(Database!$G:$G,Database!$D:$D,"Import",Database!$E:$E,$B12,Database!$C:$C,N$1,Database!$F:$F,"Total")</f>
        <v>0</v>
      </c>
      <c r="O12" s="137">
        <f>SUMIFS(Database!$G:$G,Database!$D:$D,"Import",Database!$E:$E,$B12,Database!$C:$C,O$1,Database!$F:$F,"Total")</f>
        <v>0</v>
      </c>
      <c r="P12" s="137">
        <f>SUMIFS(Database!$G:$G,Database!$D:$D,"Import",Database!$E:$E,$B12,Database!$C:$C,P$1,Database!$F:$F,"Total")</f>
        <v>0</v>
      </c>
      <c r="Q12" s="137">
        <f>SUMIFS(Database!$G:$G,Database!$D:$D,"Import",Database!$E:$E,$B12,Database!$C:$C,Q$1,Database!$F:$F,"Total")</f>
        <v>0</v>
      </c>
      <c r="R12" s="137">
        <f>SUMIFS(Database!$G:$G,Database!$D:$D,"Import",Database!$E:$E,$B12,Database!$C:$C,R$1,Database!$F:$F,"Total")</f>
        <v>0</v>
      </c>
      <c r="S12" s="137">
        <f>SUMIFS(Database!$G:$G,Database!$D:$D,"Import",Database!$E:$E,$B12,Database!$C:$C,S$1,Database!$F:$F,"Total")</f>
        <v>0</v>
      </c>
      <c r="T12" s="137">
        <f>SUMIFS(Database!$G:$G,Database!$D:$D,"Import",Database!$E:$E,$B12,Database!$C:$C,T$1,Database!$F:$F,"Total")</f>
        <v>0</v>
      </c>
      <c r="U12" s="137">
        <f>SUMIFS(Database!$G:$G,Database!$D:$D,"Import",Database!$E:$E,$B12,Database!$C:$C,U$1,Database!$F:$F,"Total")</f>
        <v>0</v>
      </c>
      <c r="V12" s="137">
        <f>SUMIFS(Database!$G:$G,Database!$D:$D,"Import",Database!$E:$E,$B12,Database!$C:$C,V$1,Database!$F:$F,"Total")</f>
        <v>0</v>
      </c>
      <c r="W12" s="137">
        <f>SUMIFS(Database!$G:$G,Database!$D:$D,"Import",Database!$E:$E,$B12,Database!$C:$C,W$1,Database!$F:$F,"Total")</f>
        <v>0</v>
      </c>
      <c r="X12" s="137">
        <f>SUMIFS(Database!$G:$G,Database!$D:$D,"Import",Database!$E:$E,$B12,Database!$C:$C,X$1,Database!$F:$F,"Total")</f>
        <v>0</v>
      </c>
      <c r="Y12" s="137">
        <f>SUMIFS(Database!$G:$G,Database!$D:$D,"Import",Database!$E:$E,$B12,Database!$C:$C,Y$1,Database!$F:$F,"Total")</f>
        <v>0</v>
      </c>
      <c r="Z12" s="137">
        <f>SUMIFS(Database!$G:$G,Database!$D:$D,"Import",Database!$E:$E,$B12,Database!$C:$C,Z$1,Database!$F:$F,"Total")</f>
        <v>0</v>
      </c>
      <c r="AA12" s="137">
        <f>SUMIFS(Database!$G:$G,Database!$D:$D,"Import",Database!$E:$E,$B12,Database!$C:$C,AA$1,Database!$F:$F,"Total")</f>
        <v>0</v>
      </c>
      <c r="AB12" s="137">
        <f>SUMIFS(Database!$G:$G,Database!$D:$D,"Import",Database!$E:$E,$B12,Database!$C:$C,AB$1,Database!$F:$F,"Total")</f>
        <v>0</v>
      </c>
      <c r="AC12" s="137">
        <f>SUMIFS(Database!$G:$G,Database!$D:$D,"Import",Database!$E:$E,$B12,Database!$C:$C,AC$1,Database!$F:$F,"Total")</f>
        <v>0</v>
      </c>
      <c r="AD12" s="137">
        <f>SUMIFS(Database!$G:$G,Database!$D:$D,"Import",Database!$E:$E,$B12,Database!$C:$C,AD$1,Database!$F:$F,"Total")</f>
        <v>0</v>
      </c>
      <c r="AE12" s="137">
        <f>SUMIFS(Database!$G:$G,Database!$D:$D,"Import",Database!$E:$E,$B12,Database!$C:$C,AE$1,Database!$F:$F,"Total")</f>
        <v>0</v>
      </c>
      <c r="AF12" s="137">
        <f>SUMIFS(Database!$G:$G,Database!$D:$D,"Import",Database!$E:$E,$B12,Database!$C:$C,AF$1,Database!$F:$F,"Total")</f>
        <v>0</v>
      </c>
      <c r="AG12" s="137">
        <f>SUMIFS(Database!$G:$G,Database!$D:$D,"Import",Database!$E:$E,$B12,Database!$C:$C,AG$1,Database!$F:$F,"Total")</f>
        <v>0</v>
      </c>
      <c r="AH12" s="137">
        <f>SUMIFS(Database!$G:$G,Database!$D:$D,"Import",Database!$E:$E,$B12,Database!$C:$C,AH$1,Database!$F:$F,"Total")</f>
        <v>0</v>
      </c>
      <c r="AI12" s="137">
        <f>SUMIFS(Database!$G:$G,Database!$D:$D,"Import",Database!$E:$E,$B12,Database!$C:$C,AI$1,Database!$F:$F,"Total")</f>
        <v>0</v>
      </c>
      <c r="AJ12" s="137">
        <f>SUMIFS(Database!$G:$G,Database!$D:$D,"Import",Database!$E:$E,$B12,Database!$C:$C,AJ$1,Database!$F:$F,"Total")</f>
        <v>4234</v>
      </c>
      <c r="AK12" s="137">
        <f>SUMIFS(Database!$G:$G,Database!$D:$D,"Import",Database!$E:$E,$B12,Database!$C:$C,AK$1,Database!$F:$F,"Total")</f>
        <v>2022</v>
      </c>
      <c r="AL12" s="137">
        <f>SUMIFS(Database!$G:$G,Database!$D:$D,"Import",Database!$E:$E,$B12,Database!$C:$C,AL$1,Database!$F:$F,"Total")</f>
        <v>4508</v>
      </c>
      <c r="AM12" s="137">
        <f>SUMIFS(Database!$G:$G,Database!$D:$D,"Import",Database!$E:$E,$B12,Database!$C:$C,AM$1,Database!$F:$F,"Total")</f>
        <v>2301</v>
      </c>
      <c r="AN12" s="137">
        <f>SUMIFS(Database!$G:$G,Database!$D:$D,"Import",Database!$E:$E,$B12,Database!$C:$C,AN$1,Database!$F:$F,"Total")</f>
        <v>4049</v>
      </c>
      <c r="AO12" s="137">
        <f>SUMIFS(Database!$G:$G,Database!$D:$D,"Import",Database!$E:$E,$B12,Database!$C:$C,AO$1,Database!$F:$F,"Total")</f>
        <v>7446</v>
      </c>
      <c r="AP12" s="137">
        <f>SUMIFS(Database!$G:$G,Database!$D:$D,"Import",Database!$E:$E,$B12,Database!$C:$C,AP$1,Database!$F:$F,"Total")</f>
        <v>2579</v>
      </c>
      <c r="AQ12" s="137">
        <f>SUMIFS(Database!$G:$G,Database!$D:$D,"Import",Database!$E:$E,$B12,Database!$C:$C,AQ$1,Database!$F:$F,"Total")</f>
        <v>1224</v>
      </c>
      <c r="AR12" s="137">
        <f>SUMIFS(Database!$G:$G,Database!$D:$D,"Import",Database!$E:$E,$B12,Database!$C:$C,AR$1,Database!$F:$F,"Total")</f>
        <v>3676</v>
      </c>
      <c r="AS12" s="137">
        <f>SUMIFS(Database!$G:$G,Database!$D:$D,"Import",Database!$E:$E,$B12,Database!$C:$C,AS$1,Database!$F:$F,"Total")</f>
        <v>5098</v>
      </c>
      <c r="AT12" s="137">
        <f>SUMIFS(Database!$G:$G,Database!$D:$D,"Import",Database!$E:$E,$B12,Database!$C:$C,AT$1,Database!$F:$F,"Total")</f>
        <v>1780</v>
      </c>
      <c r="AU12" s="137">
        <f>SUMIFS(Database!$G:$G,Database!$D:$D,"Import",Database!$E:$E,$B12,Database!$C:$C,AU$1,Database!$F:$F,"Total")</f>
        <v>130</v>
      </c>
      <c r="AV12" s="137">
        <f>SUMIFS(Database!$G:$G,Database!$D:$D,"Import",Database!$E:$E,$B12,Database!$C:$C,AV$1,Database!$F:$F,"Total")</f>
        <v>0</v>
      </c>
      <c r="AW12" s="137">
        <f>SUMIFS(Database!$G:$G,Database!$D:$D,"Import",Database!$E:$E,$B12,Database!$C:$C,AW$1,Database!$F:$F,"Total")</f>
        <v>2258</v>
      </c>
      <c r="AX12" s="137">
        <f>SUMIFS(Database!$G:$G,Database!$D:$D,"Import",Database!$E:$E,$B12,Database!$C:$C,AX$1,Database!$F:$F,"Total")</f>
        <v>7198</v>
      </c>
      <c r="AY12" s="137">
        <f>SUMIFS(Database!$G:$G,Database!$D:$D,"Import",Database!$E:$E,$B12,Database!$C:$C,AY$1,Database!$F:$F,"Total")</f>
        <v>1861</v>
      </c>
      <c r="AZ12" s="137">
        <f>SUMIFS(Database!$G:$G,Database!$D:$D,"Import",Database!$E:$E,$B12,Database!$C:$C,AZ$1,Database!$F:$F,"Total")</f>
        <v>1611</v>
      </c>
      <c r="BA12" s="137">
        <f>SUMIFS(Database!$G:$G,Database!$D:$D,"Import",Database!$E:$E,$B12,Database!$C:$C,BA$1,Database!$F:$F,"Total")</f>
        <v>2584</v>
      </c>
      <c r="BB12" s="137">
        <f>SUMIFS(Database!$G:$G,Database!$D:$D,"Import",Database!$E:$E,$B12,Database!$C:$C,BB$1,Database!$F:$F,"Total")</f>
        <v>1021</v>
      </c>
      <c r="BC12" s="137">
        <f>SUMIFS(Database!$G:$G,Database!$D:$D,"Import",Database!$E:$E,$B12,Database!$C:$C,BC$1,Database!$F:$F,"Total")</f>
        <v>1170</v>
      </c>
      <c r="BD12" s="137">
        <f>SUMIFS(Database!$G:$G,Database!$D:$D,"Import",Database!$E:$E,$B12,Database!$C:$C,BD$1,Database!$F:$F,"Total")</f>
        <v>2487</v>
      </c>
      <c r="BE12" s="137">
        <f>SUMIFS(Database!$G:$G,Database!$D:$D,"Import",Database!$E:$E,$B12,Database!$C:$C,BE$1,Database!$F:$F,"Total")</f>
        <v>3195</v>
      </c>
      <c r="BF12" s="137">
        <f>SUMIFS(Database!$G:$G,Database!$D:$D,"Import",Database!$E:$E,$B12,Database!$C:$C,BF$1,Database!$F:$F,"Total")</f>
        <v>1971</v>
      </c>
      <c r="BG12" s="137">
        <f>SUMIFS(Database!$G:$G,Database!$D:$D,"Import",Database!$E:$E,$B12,Database!$C:$C,BG$1,Database!$F:$F,"Total")</f>
        <v>3581</v>
      </c>
      <c r="BH12" s="137">
        <f>SUMIFS(Database!$G:$G,Database!$D:$D,"Import",Database!$E:$E,$B12,Database!$C:$C,BH$1,Database!$F:$F,"Total")</f>
        <v>0</v>
      </c>
      <c r="BI12" s="137">
        <f>SUMIFS(Database!$G:$G,Database!$D:$D,"Import",Database!$E:$E,$B12,Database!$C:$C,BI$1,Database!$F:$F,"Total")</f>
        <v>0</v>
      </c>
      <c r="BJ12" s="137">
        <f>SUMIFS(Database!$G:$G,Database!$D:$D,"Import",Database!$E:$E,$B12,Database!$C:$C,BJ$1,Database!$F:$F,"Total")</f>
        <v>0</v>
      </c>
      <c r="BK12" s="137">
        <f>SUMIFS(Database!$G:$G,Database!$D:$D,"Import",Database!$E:$E,$B12,Database!$C:$C,BK$1,Database!$F:$F,"Total")</f>
        <v>0</v>
      </c>
      <c r="BL12" s="137">
        <f>SUMIFS(Database!$G:$G,Database!$D:$D,"Import",Database!$E:$E,$B12,Database!$C:$C,BL$1,Database!$F:$F,"Total")</f>
        <v>0</v>
      </c>
      <c r="BM12" s="137">
        <f>SUMIFS(Database!$G:$G,Database!$D:$D,"Import",Database!$E:$E,$B12,Database!$C:$C,BM$1,Database!$F:$F,"Total")</f>
        <v>0</v>
      </c>
      <c r="BN12" s="137">
        <f>SUMIFS(Database!$G:$G,Database!$D:$D,"Import",Database!$E:$E,$B12,Database!$C:$C,BN$1,Database!$F:$F,"Total")</f>
        <v>0</v>
      </c>
      <c r="BO12" s="137">
        <f>SUMIFS(Database!$G:$G,Database!$D:$D,"Import",Database!$E:$E,$B12,Database!$C:$C,BO$1,Database!$F:$F,"Total")</f>
        <v>0</v>
      </c>
      <c r="BP12" s="137">
        <f>SUMIFS(Database!$G:$G,Database!$D:$D,"Import",Database!$E:$E,$B12,Database!$C:$C,BP$1,Database!$F:$F,"Total")</f>
        <v>0</v>
      </c>
      <c r="BQ12" s="137">
        <f>SUMIFS(Database!$G:$G,Database!$D:$D,"Import",Database!$E:$E,$B12,Database!$C:$C,BQ$1,Database!$F:$F,"Total")</f>
        <v>0</v>
      </c>
      <c r="BR12" s="137">
        <f>SUMIFS(Database!$G:$G,Database!$D:$D,"Import",Database!$E:$E,$B12,Database!$C:$C,BR$1,Database!$F:$F,"Total")</f>
        <v>0</v>
      </c>
      <c r="BS12" s="137">
        <f>SUMIFS(Database!$G:$G,Database!$D:$D,"Import",Database!$E:$E,$B12,Database!$C:$C,BS$1,Database!$F:$F,"Total")</f>
        <v>0</v>
      </c>
      <c r="BT12" s="137">
        <f>SUMIFS(Database!$G:$G,Database!$D:$D,"Import",Database!$E:$E,$B12,Database!$C:$C,BT$1,Database!$F:$F,"Total")</f>
        <v>0</v>
      </c>
      <c r="BU12" s="137">
        <f>SUMIFS(Database!$G:$G,Database!$D:$D,"Import",Database!$E:$E,$B12,Database!$C:$C,BU$1,Database!$F:$F,"Total")</f>
        <v>0</v>
      </c>
      <c r="BV12" s="137">
        <f>SUMIFS(Database!$G:$G,Database!$D:$D,"Import",Database!$E:$E,$B12,Database!$C:$C,BV$1,Database!$F:$F,"Total")</f>
        <v>0</v>
      </c>
      <c r="BW12" s="137">
        <f>SUMIFS(Database!$G:$G,Database!$D:$D,"Import",Database!$E:$E,$B12,Database!$C:$C,BW$1,Database!$F:$F,"Total")</f>
        <v>0</v>
      </c>
      <c r="BX12" s="137">
        <f>SUMIFS(Database!$G:$G,Database!$D:$D,"Import",Database!$E:$E,$B12,Database!$C:$C,BX$1,Database!$F:$F,"Total")</f>
        <v>0</v>
      </c>
      <c r="BY12" s="137">
        <f>SUMIFS(Database!$G:$G,Database!$D:$D,"Import",Database!$E:$E,$B12,Database!$C:$C,BY$1,Database!$F:$F,"Total")</f>
        <v>0</v>
      </c>
      <c r="BZ12" s="137">
        <f>SUMIFS(Database!$G:$G,Database!$D:$D,"Import",Database!$E:$E,$B12,Database!$C:$C,BZ$1,Database!$F:$F,"Total")</f>
        <v>0</v>
      </c>
      <c r="CA12" s="137">
        <f>SUMIFS(Database!$G:$G,Database!$D:$D,"Import",Database!$E:$E,$B12,Database!$C:$C,CA$1,Database!$F:$F,"Total")</f>
        <v>0</v>
      </c>
      <c r="CB12" s="137">
        <f>SUMIFS(Database!$G:$G,Database!$D:$D,"Import",Database!$E:$E,$B12,Database!$C:$C,CB$1,Database!$F:$F,"Total")</f>
        <v>0</v>
      </c>
      <c r="CC12" s="137">
        <f>SUMIFS(Database!$G:$G,Database!$D:$D,"Import",Database!$E:$E,$B12,Database!$C:$C,CC$1,Database!$F:$F,"Total")</f>
        <v>0</v>
      </c>
      <c r="CD12" s="137">
        <f>SUMIFS(Database!$G:$G,Database!$D:$D,"Import",Database!$E:$E,$B12,Database!$C:$C,CD$1,Database!$F:$F,"Total")</f>
        <v>0</v>
      </c>
      <c r="CE12" s="137">
        <f>SUMIFS(Database!$G:$G,Database!$D:$D,"Import",Database!$E:$E,$B12,Database!$C:$C,CE$1,Database!$F:$F,"Total")</f>
        <v>0</v>
      </c>
      <c r="CF12" s="137">
        <f>SUMIFS(Database!$G:$G,Database!$D:$D,"Import",Database!$E:$E,$B12,Database!$C:$C,CF$1,Database!$F:$F,"Total")</f>
        <v>0</v>
      </c>
      <c r="CG12" s="137">
        <f>SUMIFS(Database!$G:$G,Database!$D:$D,"Import",Database!$E:$E,$B12,Database!$C:$C,CG$1,Database!$F:$F,"Total")</f>
        <v>0</v>
      </c>
      <c r="CH12" s="137">
        <f>SUMIFS(Database!$G:$G,Database!$D:$D,"Import",Database!$E:$E,$B12,Database!$C:$C,CH$1,Database!$F:$F,"Total")</f>
        <v>0</v>
      </c>
      <c r="CI12" s="137">
        <f>SUMIFS(Database!$G:$G,Database!$D:$D,"Import",Database!$E:$E,$B12,Database!$C:$C,CI$1,Database!$F:$F,"Total")</f>
        <v>0</v>
      </c>
      <c r="CJ12" s="137">
        <f>SUMIFS(Database!$G:$G,Database!$D:$D,"Import",Database!$E:$E,$B12,Database!$C:$C,CJ$1,Database!$F:$F,"Total")</f>
        <v>0</v>
      </c>
      <c r="CK12" s="137">
        <f>SUMIFS(Database!$G:$G,Database!$D:$D,"Import",Database!$E:$E,$B12,Database!$C:$C,CK$1,Database!$F:$F,"Total")</f>
        <v>0</v>
      </c>
      <c r="CL12" s="137">
        <f>SUMIFS(Database!$G:$G,Database!$D:$D,"Import",Database!$E:$E,$B12,Database!$C:$C,CL$1,Database!$F:$F,"Total")</f>
        <v>0</v>
      </c>
      <c r="CM12" s="137">
        <f>SUMIFS(Database!$G:$G,Database!$D:$D,"Import",Database!$E:$E,$B12,Database!$C:$C,CM$1,Database!$F:$F,"Total")</f>
        <v>0</v>
      </c>
      <c r="CN12" s="137">
        <f>SUMIFS(Database!$G:$G,Database!$D:$D,"Import",Database!$E:$E,$B12,Database!$C:$C,CN$1,Database!$F:$F,"Total")</f>
        <v>0</v>
      </c>
      <c r="CO12" s="137">
        <f>SUMIFS(Database!$G:$G,Database!$D:$D,"Import",Database!$E:$E,$B12,Database!$C:$C,CO$1,Database!$F:$F,"Total")</f>
        <v>0</v>
      </c>
      <c r="CP12" s="137">
        <f>SUMIFS(Database!$G:$G,Database!$D:$D,"Import",Database!$E:$E,$B12,Database!$C:$C,CP$1,Database!$F:$F,"Total")</f>
        <v>0</v>
      </c>
      <c r="CQ12" s="137">
        <f>SUMIFS(Database!$G:$G,Database!$D:$D,"Import",Database!$E:$E,$B12,Database!$C:$C,CQ$1,Database!$F:$F,"Total")</f>
        <v>0</v>
      </c>
      <c r="CR12" s="137">
        <f>SUMIFS(Database!$G:$G,Database!$D:$D,"Import",Database!$E:$E,$B12,Database!$C:$C,CR$1,Database!$F:$F,"Total")</f>
        <v>0</v>
      </c>
      <c r="CS12" s="137">
        <f>SUMIFS(Database!$G:$G,Database!$D:$D,"Import",Database!$E:$E,$B12,Database!$C:$C,CS$1,Database!$F:$F,"Total")</f>
        <v>0</v>
      </c>
      <c r="CT12" s="137">
        <f>SUMIFS(Database!$G:$G,Database!$D:$D,"Import",Database!$E:$E,$B12,Database!$C:$C,CT$1,Database!$F:$F,"Total")</f>
        <v>0</v>
      </c>
      <c r="CU12" s="137">
        <f>SUMIFS(Database!$G:$G,Database!$D:$D,"Import",Database!$E:$E,$B12,Database!$C:$C,CU$1,Database!$F:$F,"Total")</f>
        <v>0</v>
      </c>
    </row>
    <row r="13" spans="1:99" x14ac:dyDescent="0.25">
      <c r="A13" s="132" t="s">
        <v>484</v>
      </c>
      <c r="B13" s="133" t="s">
        <v>40</v>
      </c>
      <c r="C13" s="137">
        <f>SUMIFS(Database!$G:$G,Database!$D:$D,"Import",Database!$E:$E,$B13,Database!$C:$C,C$1,Database!$F:$F,"Total")</f>
        <v>0</v>
      </c>
      <c r="D13" s="137">
        <f>SUMIFS(Database!$G:$G,Database!$D:$D,"Import",Database!$E:$E,$B13,Database!$C:$C,D$1,Database!$F:$F,"Total")</f>
        <v>0</v>
      </c>
      <c r="E13" s="137">
        <f>SUMIFS(Database!$G:$G,Database!$D:$D,"Import",Database!$E:$E,$B13,Database!$C:$C,E$1,Database!$F:$F,"Total")</f>
        <v>0</v>
      </c>
      <c r="F13" s="137">
        <f>SUMIFS(Database!$G:$G,Database!$D:$D,"Import",Database!$E:$E,$B13,Database!$C:$C,F$1,Database!$F:$F,"Total")</f>
        <v>0</v>
      </c>
      <c r="G13" s="137">
        <f>SUMIFS(Database!$G:$G,Database!$D:$D,"Import",Database!$E:$E,$B13,Database!$C:$C,G$1,Database!$F:$F,"Total")</f>
        <v>0</v>
      </c>
      <c r="H13" s="137">
        <f>SUMIFS(Database!$G:$G,Database!$D:$D,"Import",Database!$E:$E,$B13,Database!$C:$C,H$1,Database!$F:$F,"Total")</f>
        <v>0</v>
      </c>
      <c r="I13" s="137">
        <f>SUMIFS(Database!$G:$G,Database!$D:$D,"Import",Database!$E:$E,$B13,Database!$C:$C,I$1,Database!$F:$F,"Total")</f>
        <v>0</v>
      </c>
      <c r="J13" s="137">
        <f>SUMIFS(Database!$G:$G,Database!$D:$D,"Import",Database!$E:$E,$B13,Database!$C:$C,J$1,Database!$F:$F,"Total")</f>
        <v>0</v>
      </c>
      <c r="K13" s="137">
        <f>SUMIFS(Database!$G:$G,Database!$D:$D,"Import",Database!$E:$E,$B13,Database!$C:$C,K$1,Database!$F:$F,"Total")</f>
        <v>0</v>
      </c>
      <c r="L13" s="137">
        <f>SUMIFS(Database!$G:$G,Database!$D:$D,"Import",Database!$E:$E,$B13,Database!$C:$C,L$1,Database!$F:$F,"Total")</f>
        <v>0</v>
      </c>
      <c r="M13" s="137">
        <f>SUMIFS(Database!$G:$G,Database!$D:$D,"Import",Database!$E:$E,$B13,Database!$C:$C,M$1,Database!$F:$F,"Total")</f>
        <v>0</v>
      </c>
      <c r="N13" s="137">
        <f>SUMIFS(Database!$G:$G,Database!$D:$D,"Import",Database!$E:$E,$B13,Database!$C:$C,N$1,Database!$F:$F,"Total")</f>
        <v>0</v>
      </c>
      <c r="O13" s="137">
        <f>SUMIFS(Database!$G:$G,Database!$D:$D,"Import",Database!$E:$E,$B13,Database!$C:$C,O$1,Database!$F:$F,"Total")</f>
        <v>0</v>
      </c>
      <c r="P13" s="137">
        <f>SUMIFS(Database!$G:$G,Database!$D:$D,"Import",Database!$E:$E,$B13,Database!$C:$C,P$1,Database!$F:$F,"Total")</f>
        <v>0</v>
      </c>
      <c r="Q13" s="137">
        <f>SUMIFS(Database!$G:$G,Database!$D:$D,"Import",Database!$E:$E,$B13,Database!$C:$C,Q$1,Database!$F:$F,"Total")</f>
        <v>0</v>
      </c>
      <c r="R13" s="137">
        <f>SUMIFS(Database!$G:$G,Database!$D:$D,"Import",Database!$E:$E,$B13,Database!$C:$C,R$1,Database!$F:$F,"Total")</f>
        <v>0</v>
      </c>
      <c r="S13" s="137">
        <f>SUMIFS(Database!$G:$G,Database!$D:$D,"Import",Database!$E:$E,$B13,Database!$C:$C,S$1,Database!$F:$F,"Total")</f>
        <v>0</v>
      </c>
      <c r="T13" s="137">
        <f>SUMIFS(Database!$G:$G,Database!$D:$D,"Import",Database!$E:$E,$B13,Database!$C:$C,T$1,Database!$F:$F,"Total")</f>
        <v>0</v>
      </c>
      <c r="U13" s="137">
        <f>SUMIFS(Database!$G:$G,Database!$D:$D,"Import",Database!$E:$E,$B13,Database!$C:$C,U$1,Database!$F:$F,"Total")</f>
        <v>0</v>
      </c>
      <c r="V13" s="137">
        <f>SUMIFS(Database!$G:$G,Database!$D:$D,"Import",Database!$E:$E,$B13,Database!$C:$C,V$1,Database!$F:$F,"Total")</f>
        <v>0</v>
      </c>
      <c r="W13" s="137">
        <f>SUMIFS(Database!$G:$G,Database!$D:$D,"Import",Database!$E:$E,$B13,Database!$C:$C,W$1,Database!$F:$F,"Total")</f>
        <v>0</v>
      </c>
      <c r="X13" s="137">
        <f>SUMIFS(Database!$G:$G,Database!$D:$D,"Import",Database!$E:$E,$B13,Database!$C:$C,X$1,Database!$F:$F,"Total")</f>
        <v>0</v>
      </c>
      <c r="Y13" s="137">
        <f>SUMIFS(Database!$G:$G,Database!$D:$D,"Import",Database!$E:$E,$B13,Database!$C:$C,Y$1,Database!$F:$F,"Total")</f>
        <v>0</v>
      </c>
      <c r="Z13" s="137">
        <f>SUMIFS(Database!$G:$G,Database!$D:$D,"Import",Database!$E:$E,$B13,Database!$C:$C,Z$1,Database!$F:$F,"Total")</f>
        <v>0</v>
      </c>
      <c r="AA13" s="137">
        <f>SUMIFS(Database!$G:$G,Database!$D:$D,"Import",Database!$E:$E,$B13,Database!$C:$C,AA$1,Database!$F:$F,"Total")</f>
        <v>0</v>
      </c>
      <c r="AB13" s="137">
        <f>SUMIFS(Database!$G:$G,Database!$D:$D,"Import",Database!$E:$E,$B13,Database!$C:$C,AB$1,Database!$F:$F,"Total")</f>
        <v>0</v>
      </c>
      <c r="AC13" s="137">
        <f>SUMIFS(Database!$G:$G,Database!$D:$D,"Import",Database!$E:$E,$B13,Database!$C:$C,AC$1,Database!$F:$F,"Total")</f>
        <v>0</v>
      </c>
      <c r="AD13" s="137">
        <f>SUMIFS(Database!$G:$G,Database!$D:$D,"Import",Database!$E:$E,$B13,Database!$C:$C,AD$1,Database!$F:$F,"Total")</f>
        <v>0</v>
      </c>
      <c r="AE13" s="137">
        <f>SUMIFS(Database!$G:$G,Database!$D:$D,"Import",Database!$E:$E,$B13,Database!$C:$C,AE$1,Database!$F:$F,"Total")</f>
        <v>0</v>
      </c>
      <c r="AF13" s="137">
        <f>SUMIFS(Database!$G:$G,Database!$D:$D,"Import",Database!$E:$E,$B13,Database!$C:$C,AF$1,Database!$F:$F,"Total")</f>
        <v>0</v>
      </c>
      <c r="AG13" s="137">
        <f>SUMIFS(Database!$G:$G,Database!$D:$D,"Import",Database!$E:$E,$B13,Database!$C:$C,AG$1,Database!$F:$F,"Total")</f>
        <v>0</v>
      </c>
      <c r="AH13" s="137">
        <f>SUMIFS(Database!$G:$G,Database!$D:$D,"Import",Database!$E:$E,$B13,Database!$C:$C,AH$1,Database!$F:$F,"Total")</f>
        <v>0</v>
      </c>
      <c r="AI13" s="137">
        <f>SUMIFS(Database!$G:$G,Database!$D:$D,"Import",Database!$E:$E,$B13,Database!$C:$C,AI$1,Database!$F:$F,"Total")</f>
        <v>0</v>
      </c>
      <c r="AJ13" s="137">
        <f>SUMIFS(Database!$G:$G,Database!$D:$D,"Import",Database!$E:$E,$B13,Database!$C:$C,AJ$1,Database!$F:$F,"Total")</f>
        <v>0</v>
      </c>
      <c r="AK13" s="137">
        <f>SUMIFS(Database!$G:$G,Database!$D:$D,"Import",Database!$E:$E,$B13,Database!$C:$C,AK$1,Database!$F:$F,"Total")</f>
        <v>0</v>
      </c>
      <c r="AL13" s="137">
        <f>SUMIFS(Database!$G:$G,Database!$D:$D,"Import",Database!$E:$E,$B13,Database!$C:$C,AL$1,Database!$F:$F,"Total")</f>
        <v>0</v>
      </c>
      <c r="AM13" s="137">
        <f>SUMIFS(Database!$G:$G,Database!$D:$D,"Import",Database!$E:$E,$B13,Database!$C:$C,AM$1,Database!$F:$F,"Total")</f>
        <v>0</v>
      </c>
      <c r="AN13" s="137">
        <f>SUMIFS(Database!$G:$G,Database!$D:$D,"Import",Database!$E:$E,$B13,Database!$C:$C,AN$1,Database!$F:$F,"Total")</f>
        <v>0</v>
      </c>
      <c r="AO13" s="137">
        <f>SUMIFS(Database!$G:$G,Database!$D:$D,"Import",Database!$E:$E,$B13,Database!$C:$C,AO$1,Database!$F:$F,"Total")</f>
        <v>0</v>
      </c>
      <c r="AP13" s="137">
        <f>SUMIFS(Database!$G:$G,Database!$D:$D,"Import",Database!$E:$E,$B13,Database!$C:$C,AP$1,Database!$F:$F,"Total")</f>
        <v>0</v>
      </c>
      <c r="AQ13" s="137">
        <f>SUMIFS(Database!$G:$G,Database!$D:$D,"Import",Database!$E:$E,$B13,Database!$C:$C,AQ$1,Database!$F:$F,"Total")</f>
        <v>0</v>
      </c>
      <c r="AR13" s="137">
        <f>SUMIFS(Database!$G:$G,Database!$D:$D,"Import",Database!$E:$E,$B13,Database!$C:$C,AR$1,Database!$F:$F,"Total")</f>
        <v>0</v>
      </c>
      <c r="AS13" s="137">
        <f>SUMIFS(Database!$G:$G,Database!$D:$D,"Import",Database!$E:$E,$B13,Database!$C:$C,AS$1,Database!$F:$F,"Total")</f>
        <v>0</v>
      </c>
      <c r="AT13" s="137">
        <f>SUMIFS(Database!$G:$G,Database!$D:$D,"Import",Database!$E:$E,$B13,Database!$C:$C,AT$1,Database!$F:$F,"Total")</f>
        <v>0</v>
      </c>
      <c r="AU13" s="137">
        <f>SUMIFS(Database!$G:$G,Database!$D:$D,"Import",Database!$E:$E,$B13,Database!$C:$C,AU$1,Database!$F:$F,"Total")</f>
        <v>0</v>
      </c>
      <c r="AV13" s="137">
        <f>SUMIFS(Database!$G:$G,Database!$D:$D,"Import",Database!$E:$E,$B13,Database!$C:$C,AV$1,Database!$F:$F,"Total")</f>
        <v>0</v>
      </c>
      <c r="AW13" s="137">
        <f>SUMIFS(Database!$G:$G,Database!$D:$D,"Import",Database!$E:$E,$B13,Database!$C:$C,AW$1,Database!$F:$F,"Total")</f>
        <v>0</v>
      </c>
      <c r="AX13" s="137">
        <f>SUMIFS(Database!$G:$G,Database!$D:$D,"Import",Database!$E:$E,$B13,Database!$C:$C,AX$1,Database!$F:$F,"Total")</f>
        <v>0</v>
      </c>
      <c r="AY13" s="137">
        <f>SUMIFS(Database!$G:$G,Database!$D:$D,"Import",Database!$E:$E,$B13,Database!$C:$C,AY$1,Database!$F:$F,"Total")</f>
        <v>0</v>
      </c>
      <c r="AZ13" s="137">
        <f>SUMIFS(Database!$G:$G,Database!$D:$D,"Import",Database!$E:$E,$B13,Database!$C:$C,AZ$1,Database!$F:$F,"Total")</f>
        <v>0</v>
      </c>
      <c r="BA13" s="137">
        <f>SUMIFS(Database!$G:$G,Database!$D:$D,"Import",Database!$E:$E,$B13,Database!$C:$C,BA$1,Database!$F:$F,"Total")</f>
        <v>0</v>
      </c>
      <c r="BB13" s="137">
        <f>SUMIFS(Database!$G:$G,Database!$D:$D,"Import",Database!$E:$E,$B13,Database!$C:$C,BB$1,Database!$F:$F,"Total")</f>
        <v>0</v>
      </c>
      <c r="BC13" s="137">
        <f>SUMIFS(Database!$G:$G,Database!$D:$D,"Import",Database!$E:$E,$B13,Database!$C:$C,BC$1,Database!$F:$F,"Total")</f>
        <v>0</v>
      </c>
      <c r="BD13" s="137">
        <f>SUMIFS(Database!$G:$G,Database!$D:$D,"Import",Database!$E:$E,$B13,Database!$C:$C,BD$1,Database!$F:$F,"Total")</f>
        <v>0</v>
      </c>
      <c r="BE13" s="137">
        <f>SUMIFS(Database!$G:$G,Database!$D:$D,"Import",Database!$E:$E,$B13,Database!$C:$C,BE$1,Database!$F:$F,"Total")</f>
        <v>0</v>
      </c>
      <c r="BF13" s="137">
        <f>SUMIFS(Database!$G:$G,Database!$D:$D,"Import",Database!$E:$E,$B13,Database!$C:$C,BF$1,Database!$F:$F,"Total")</f>
        <v>0</v>
      </c>
      <c r="BG13" s="137">
        <f>SUMIFS(Database!$G:$G,Database!$D:$D,"Import",Database!$E:$E,$B13,Database!$C:$C,BG$1,Database!$F:$F,"Total")</f>
        <v>0</v>
      </c>
      <c r="BH13" s="137">
        <f>SUMIFS(Database!$G:$G,Database!$D:$D,"Import",Database!$E:$E,$B13,Database!$C:$C,BH$1,Database!$F:$F,"Total")</f>
        <v>282285</v>
      </c>
      <c r="BI13" s="137">
        <f>SUMIFS(Database!$G:$G,Database!$D:$D,"Import",Database!$E:$E,$B13,Database!$C:$C,BI$1,Database!$F:$F,"Total")</f>
        <v>830193</v>
      </c>
      <c r="BJ13" s="137">
        <f>SUMIFS(Database!$G:$G,Database!$D:$D,"Import",Database!$E:$E,$B13,Database!$C:$C,BJ$1,Database!$F:$F,"Total")</f>
        <v>508875</v>
      </c>
      <c r="BK13" s="137">
        <f>SUMIFS(Database!$G:$G,Database!$D:$D,"Import",Database!$E:$E,$B13,Database!$C:$C,BK$1,Database!$F:$F,"Total")</f>
        <v>143029</v>
      </c>
      <c r="BL13" s="137">
        <f>SUMIFS(Database!$G:$G,Database!$D:$D,"Import",Database!$E:$E,$B13,Database!$C:$C,BL$1,Database!$F:$F,"Total")</f>
        <v>0</v>
      </c>
      <c r="BM13" s="137">
        <f>SUMIFS(Database!$G:$G,Database!$D:$D,"Import",Database!$E:$E,$B13,Database!$C:$C,BM$1,Database!$F:$F,"Total")</f>
        <v>0</v>
      </c>
      <c r="BN13" s="137">
        <f>SUMIFS(Database!$G:$G,Database!$D:$D,"Import",Database!$E:$E,$B13,Database!$C:$C,BN$1,Database!$F:$F,"Total")</f>
        <v>292432</v>
      </c>
      <c r="BO13" s="137">
        <f>SUMIFS(Database!$G:$G,Database!$D:$D,"Import",Database!$E:$E,$B13,Database!$C:$C,BO$1,Database!$F:$F,"Total")</f>
        <v>0</v>
      </c>
      <c r="BP13" s="137">
        <f>SUMIFS(Database!$G:$G,Database!$D:$D,"Import",Database!$E:$E,$B13,Database!$C:$C,BP$1,Database!$F:$F,"Total")</f>
        <v>475972</v>
      </c>
      <c r="BQ13" s="137">
        <f>SUMIFS(Database!$G:$G,Database!$D:$D,"Import",Database!$E:$E,$B13,Database!$C:$C,BQ$1,Database!$F:$F,"Total")</f>
        <v>210672</v>
      </c>
      <c r="BR13" s="137">
        <f>SUMIFS(Database!$G:$G,Database!$D:$D,"Import",Database!$E:$E,$B13,Database!$C:$C,BR$1,Database!$F:$F,"Total")</f>
        <v>84672</v>
      </c>
      <c r="BS13" s="137">
        <f>SUMIFS(Database!$G:$G,Database!$D:$D,"Import",Database!$E:$E,$B13,Database!$C:$C,BS$1,Database!$F:$F,"Total")</f>
        <v>203280</v>
      </c>
      <c r="BT13" s="137">
        <f>SUMIFS(Database!$G:$G,Database!$D:$D,"Import",Database!$E:$E,$B13,Database!$C:$C,BT$1,Database!$F:$F,"Total")</f>
        <v>120400</v>
      </c>
      <c r="BU13" s="137">
        <f>SUMIFS(Database!$G:$G,Database!$D:$D,"Import",Database!$E:$E,$B13,Database!$C:$C,BU$1,Database!$F:$F,"Total")</f>
        <v>169232</v>
      </c>
      <c r="BV13" s="137">
        <f>SUMIFS(Database!$G:$G,Database!$D:$D,"Import",Database!$E:$E,$B13,Database!$C:$C,BV$1,Database!$F:$F,"Total")</f>
        <v>4620158</v>
      </c>
      <c r="BW13" s="137">
        <f>SUMIFS(Database!$G:$G,Database!$D:$D,"Import",Database!$E:$E,$B13,Database!$C:$C,BW$1,Database!$F:$F,"Total")</f>
        <v>1116917</v>
      </c>
      <c r="BX13" s="137">
        <f>SUMIFS(Database!$G:$G,Database!$D:$D,"Import",Database!$E:$E,$B13,Database!$C:$C,BX$1,Database!$F:$F,"Total")</f>
        <v>1076343</v>
      </c>
      <c r="BY13" s="137">
        <f>SUMIFS(Database!$G:$G,Database!$D:$D,"Import",Database!$E:$E,$B13,Database!$C:$C,BY$1,Database!$F:$F,"Total")</f>
        <v>1573779</v>
      </c>
      <c r="BZ13" s="137">
        <f>SUMIFS(Database!$G:$G,Database!$D:$D,"Import",Database!$E:$E,$B13,Database!$C:$C,BZ$1,Database!$F:$F,"Total")</f>
        <v>1966359</v>
      </c>
      <c r="CA13" s="137">
        <f>SUMIFS(Database!$G:$G,Database!$D:$D,"Import",Database!$E:$E,$B13,Database!$C:$C,CA$1,Database!$F:$F,"Total")</f>
        <v>1282923</v>
      </c>
      <c r="CB13" s="137">
        <f>SUMIFS(Database!$G:$G,Database!$D:$D,"Import",Database!$E:$E,$B13,Database!$C:$C,CB$1,Database!$F:$F,"Total")</f>
        <v>0</v>
      </c>
      <c r="CC13" s="137">
        <f>SUMIFS(Database!$G:$G,Database!$D:$D,"Import",Database!$E:$E,$B13,Database!$C:$C,CC$1,Database!$F:$F,"Total")</f>
        <v>0</v>
      </c>
      <c r="CD13" s="137">
        <f>SUMIFS(Database!$G:$G,Database!$D:$D,"Import",Database!$E:$E,$B13,Database!$C:$C,CD$1,Database!$F:$F,"Total")</f>
        <v>0</v>
      </c>
      <c r="CE13" s="137">
        <f>SUMIFS(Database!$G:$G,Database!$D:$D,"Import",Database!$E:$E,$B13,Database!$C:$C,CE$1,Database!$F:$F,"Total")</f>
        <v>0</v>
      </c>
      <c r="CF13" s="137">
        <f>SUMIFS(Database!$G:$G,Database!$D:$D,"Import",Database!$E:$E,$B13,Database!$C:$C,CF$1,Database!$F:$F,"Total")</f>
        <v>0</v>
      </c>
      <c r="CG13" s="137">
        <f>SUMIFS(Database!$G:$G,Database!$D:$D,"Import",Database!$E:$E,$B13,Database!$C:$C,CG$1,Database!$F:$F,"Total")</f>
        <v>0</v>
      </c>
      <c r="CH13" s="137">
        <f>SUMIFS(Database!$G:$G,Database!$D:$D,"Import",Database!$E:$E,$B13,Database!$C:$C,CH$1,Database!$F:$F,"Total")</f>
        <v>0</v>
      </c>
      <c r="CI13" s="137">
        <f>SUMIFS(Database!$G:$G,Database!$D:$D,"Import",Database!$E:$E,$B13,Database!$C:$C,CI$1,Database!$F:$F,"Total")</f>
        <v>0</v>
      </c>
      <c r="CJ13" s="137">
        <f>SUMIFS(Database!$G:$G,Database!$D:$D,"Import",Database!$E:$E,$B13,Database!$C:$C,CJ$1,Database!$F:$F,"Total")</f>
        <v>0</v>
      </c>
      <c r="CK13" s="137">
        <f>SUMIFS(Database!$G:$G,Database!$D:$D,"Import",Database!$E:$E,$B13,Database!$C:$C,CK$1,Database!$F:$F,"Total")</f>
        <v>0</v>
      </c>
      <c r="CL13" s="137">
        <f>SUMIFS(Database!$G:$G,Database!$D:$D,"Import",Database!$E:$E,$B13,Database!$C:$C,CL$1,Database!$F:$F,"Total")</f>
        <v>0</v>
      </c>
      <c r="CM13" s="137">
        <f>SUMIFS(Database!$G:$G,Database!$D:$D,"Import",Database!$E:$E,$B13,Database!$C:$C,CM$1,Database!$F:$F,"Total")</f>
        <v>0</v>
      </c>
      <c r="CN13" s="137">
        <f>SUMIFS(Database!$G:$G,Database!$D:$D,"Import",Database!$E:$E,$B13,Database!$C:$C,CN$1,Database!$F:$F,"Total")</f>
        <v>0</v>
      </c>
      <c r="CO13" s="137">
        <f>SUMIFS(Database!$G:$G,Database!$D:$D,"Import",Database!$E:$E,$B13,Database!$C:$C,CO$1,Database!$F:$F,"Total")</f>
        <v>0</v>
      </c>
      <c r="CP13" s="137">
        <f>SUMIFS(Database!$G:$G,Database!$D:$D,"Import",Database!$E:$E,$B13,Database!$C:$C,CP$1,Database!$F:$F,"Total")</f>
        <v>0</v>
      </c>
      <c r="CQ13" s="137">
        <f>SUMIFS(Database!$G:$G,Database!$D:$D,"Import",Database!$E:$E,$B13,Database!$C:$C,CQ$1,Database!$F:$F,"Total")</f>
        <v>0</v>
      </c>
      <c r="CR13" s="137">
        <f>SUMIFS(Database!$G:$G,Database!$D:$D,"Import",Database!$E:$E,$B13,Database!$C:$C,CR$1,Database!$F:$F,"Total")</f>
        <v>0</v>
      </c>
      <c r="CS13" s="137">
        <f>SUMIFS(Database!$G:$G,Database!$D:$D,"Import",Database!$E:$E,$B13,Database!$C:$C,CS$1,Database!$F:$F,"Total")</f>
        <v>0</v>
      </c>
      <c r="CT13" s="137">
        <f>SUMIFS(Database!$G:$G,Database!$D:$D,"Import",Database!$E:$E,$B13,Database!$C:$C,CT$1,Database!$F:$F,"Total")</f>
        <v>0</v>
      </c>
      <c r="CU13" s="137">
        <f>SUMIFS(Database!$G:$G,Database!$D:$D,"Import",Database!$E:$E,$B13,Database!$C:$C,CU$1,Database!$F:$F,"Total")</f>
        <v>0</v>
      </c>
    </row>
    <row r="14" spans="1:99" x14ac:dyDescent="0.25">
      <c r="A14" s="132" t="s">
        <v>484</v>
      </c>
      <c r="B14" s="133" t="s">
        <v>42</v>
      </c>
      <c r="C14" s="137">
        <f>SUMIFS(Database!$G:$G,Database!$D:$D,"Import",Database!$E:$E,$B14,Database!$C:$C,C$1,Database!$F:$F,"Total")</f>
        <v>0</v>
      </c>
      <c r="D14" s="137">
        <f>SUMIFS(Database!$G:$G,Database!$D:$D,"Import",Database!$E:$E,$B14,Database!$C:$C,D$1,Database!$F:$F,"Total")</f>
        <v>0</v>
      </c>
      <c r="E14" s="137">
        <f>SUMIFS(Database!$G:$G,Database!$D:$D,"Import",Database!$E:$E,$B14,Database!$C:$C,E$1,Database!$F:$F,"Total")</f>
        <v>0</v>
      </c>
      <c r="F14" s="137">
        <f>SUMIFS(Database!$G:$G,Database!$D:$D,"Import",Database!$E:$E,$B14,Database!$C:$C,F$1,Database!$F:$F,"Total")</f>
        <v>0</v>
      </c>
      <c r="G14" s="137">
        <f>SUMIFS(Database!$G:$G,Database!$D:$D,"Import",Database!$E:$E,$B14,Database!$C:$C,G$1,Database!$F:$F,"Total")</f>
        <v>0</v>
      </c>
      <c r="H14" s="137">
        <f>SUMIFS(Database!$G:$G,Database!$D:$D,"Import",Database!$E:$E,$B14,Database!$C:$C,H$1,Database!$F:$F,"Total")</f>
        <v>0</v>
      </c>
      <c r="I14" s="137">
        <f>SUMIFS(Database!$G:$G,Database!$D:$D,"Import",Database!$E:$E,$B14,Database!$C:$C,I$1,Database!$F:$F,"Total")</f>
        <v>0</v>
      </c>
      <c r="J14" s="137">
        <f>SUMIFS(Database!$G:$G,Database!$D:$D,"Import",Database!$E:$E,$B14,Database!$C:$C,J$1,Database!$F:$F,"Total")</f>
        <v>0</v>
      </c>
      <c r="K14" s="137">
        <f>SUMIFS(Database!$G:$G,Database!$D:$D,"Import",Database!$E:$E,$B14,Database!$C:$C,K$1,Database!$F:$F,"Total")</f>
        <v>0</v>
      </c>
      <c r="L14" s="137">
        <f>SUMIFS(Database!$G:$G,Database!$D:$D,"Import",Database!$E:$E,$B14,Database!$C:$C,L$1,Database!$F:$F,"Total")</f>
        <v>0</v>
      </c>
      <c r="M14" s="137">
        <f>SUMIFS(Database!$G:$G,Database!$D:$D,"Import",Database!$E:$E,$B14,Database!$C:$C,M$1,Database!$F:$F,"Total")</f>
        <v>0</v>
      </c>
      <c r="N14" s="137">
        <f>SUMIFS(Database!$G:$G,Database!$D:$D,"Import",Database!$E:$E,$B14,Database!$C:$C,N$1,Database!$F:$F,"Total")</f>
        <v>0</v>
      </c>
      <c r="O14" s="137">
        <f>SUMIFS(Database!$G:$G,Database!$D:$D,"Import",Database!$E:$E,$B14,Database!$C:$C,O$1,Database!$F:$F,"Total")</f>
        <v>0</v>
      </c>
      <c r="P14" s="137">
        <f>SUMIFS(Database!$G:$G,Database!$D:$D,"Import",Database!$E:$E,$B14,Database!$C:$C,P$1,Database!$F:$F,"Total")</f>
        <v>0</v>
      </c>
      <c r="Q14" s="137">
        <f>SUMIFS(Database!$G:$G,Database!$D:$D,"Import",Database!$E:$E,$B14,Database!$C:$C,Q$1,Database!$F:$F,"Total")</f>
        <v>0</v>
      </c>
      <c r="R14" s="137">
        <f>SUMIFS(Database!$G:$G,Database!$D:$D,"Import",Database!$E:$E,$B14,Database!$C:$C,R$1,Database!$F:$F,"Total")</f>
        <v>0</v>
      </c>
      <c r="S14" s="137">
        <f>SUMIFS(Database!$G:$G,Database!$D:$D,"Import",Database!$E:$E,$B14,Database!$C:$C,S$1,Database!$F:$F,"Total")</f>
        <v>0</v>
      </c>
      <c r="T14" s="137">
        <f>SUMIFS(Database!$G:$G,Database!$D:$D,"Import",Database!$E:$E,$B14,Database!$C:$C,T$1,Database!$F:$F,"Total")</f>
        <v>0</v>
      </c>
      <c r="U14" s="137">
        <f>SUMIFS(Database!$G:$G,Database!$D:$D,"Import",Database!$E:$E,$B14,Database!$C:$C,U$1,Database!$F:$F,"Total")</f>
        <v>0</v>
      </c>
      <c r="V14" s="137">
        <f>SUMIFS(Database!$G:$G,Database!$D:$D,"Import",Database!$E:$E,$B14,Database!$C:$C,V$1,Database!$F:$F,"Total")</f>
        <v>0</v>
      </c>
      <c r="W14" s="137">
        <f>SUMIFS(Database!$G:$G,Database!$D:$D,"Import",Database!$E:$E,$B14,Database!$C:$C,W$1,Database!$F:$F,"Total")</f>
        <v>0</v>
      </c>
      <c r="X14" s="137">
        <f>SUMIFS(Database!$G:$G,Database!$D:$D,"Import",Database!$E:$E,$B14,Database!$C:$C,X$1,Database!$F:$F,"Total")</f>
        <v>0</v>
      </c>
      <c r="Y14" s="137">
        <f>SUMIFS(Database!$G:$G,Database!$D:$D,"Import",Database!$E:$E,$B14,Database!$C:$C,Y$1,Database!$F:$F,"Total")</f>
        <v>0</v>
      </c>
      <c r="Z14" s="137">
        <f>SUMIFS(Database!$G:$G,Database!$D:$D,"Import",Database!$E:$E,$B14,Database!$C:$C,Z$1,Database!$F:$F,"Total")</f>
        <v>0</v>
      </c>
      <c r="AA14" s="137">
        <f>SUMIFS(Database!$G:$G,Database!$D:$D,"Import",Database!$E:$E,$B14,Database!$C:$C,AA$1,Database!$F:$F,"Total")</f>
        <v>0</v>
      </c>
      <c r="AB14" s="137">
        <f>SUMIFS(Database!$G:$G,Database!$D:$D,"Import",Database!$E:$E,$B14,Database!$C:$C,AB$1,Database!$F:$F,"Total")</f>
        <v>0</v>
      </c>
      <c r="AC14" s="137">
        <f>SUMIFS(Database!$G:$G,Database!$D:$D,"Import",Database!$E:$E,$B14,Database!$C:$C,AC$1,Database!$F:$F,"Total")</f>
        <v>0</v>
      </c>
      <c r="AD14" s="137">
        <f>SUMIFS(Database!$G:$G,Database!$D:$D,"Import",Database!$E:$E,$B14,Database!$C:$C,AD$1,Database!$F:$F,"Total")</f>
        <v>0</v>
      </c>
      <c r="AE14" s="137">
        <f>SUMIFS(Database!$G:$G,Database!$D:$D,"Import",Database!$E:$E,$B14,Database!$C:$C,AE$1,Database!$F:$F,"Total")</f>
        <v>0</v>
      </c>
      <c r="AF14" s="137">
        <f>SUMIFS(Database!$G:$G,Database!$D:$D,"Import",Database!$E:$E,$B14,Database!$C:$C,AF$1,Database!$F:$F,"Total")</f>
        <v>0</v>
      </c>
      <c r="AG14" s="137">
        <f>SUMIFS(Database!$G:$G,Database!$D:$D,"Import",Database!$E:$E,$B14,Database!$C:$C,AG$1,Database!$F:$F,"Total")</f>
        <v>0</v>
      </c>
      <c r="AH14" s="137">
        <f>SUMIFS(Database!$G:$G,Database!$D:$D,"Import",Database!$E:$E,$B14,Database!$C:$C,AH$1,Database!$F:$F,"Total")</f>
        <v>0</v>
      </c>
      <c r="AI14" s="137">
        <f>SUMIFS(Database!$G:$G,Database!$D:$D,"Import",Database!$E:$E,$B14,Database!$C:$C,AI$1,Database!$F:$F,"Total")</f>
        <v>0</v>
      </c>
      <c r="AJ14" s="137">
        <f>SUMIFS(Database!$G:$G,Database!$D:$D,"Import",Database!$E:$E,$B14,Database!$C:$C,AJ$1,Database!$F:$F,"Total")</f>
        <v>0</v>
      </c>
      <c r="AK14" s="137">
        <f>SUMIFS(Database!$G:$G,Database!$D:$D,"Import",Database!$E:$E,$B14,Database!$C:$C,AK$1,Database!$F:$F,"Total")</f>
        <v>679</v>
      </c>
      <c r="AL14" s="137">
        <f>SUMIFS(Database!$G:$G,Database!$D:$D,"Import",Database!$E:$E,$B14,Database!$C:$C,AL$1,Database!$F:$F,"Total")</f>
        <v>10</v>
      </c>
      <c r="AM14" s="137">
        <f>SUMIFS(Database!$G:$G,Database!$D:$D,"Import",Database!$E:$E,$B14,Database!$C:$C,AM$1,Database!$F:$F,"Total")</f>
        <v>0</v>
      </c>
      <c r="AN14" s="137">
        <f>SUMIFS(Database!$G:$G,Database!$D:$D,"Import",Database!$E:$E,$B14,Database!$C:$C,AN$1,Database!$F:$F,"Total")</f>
        <v>0</v>
      </c>
      <c r="AO14" s="137">
        <f>SUMIFS(Database!$G:$G,Database!$D:$D,"Import",Database!$E:$E,$B14,Database!$C:$C,AO$1,Database!$F:$F,"Total")</f>
        <v>0</v>
      </c>
      <c r="AP14" s="137">
        <f>SUMIFS(Database!$G:$G,Database!$D:$D,"Import",Database!$E:$E,$B14,Database!$C:$C,AP$1,Database!$F:$F,"Total")</f>
        <v>0</v>
      </c>
      <c r="AQ14" s="137">
        <f>SUMIFS(Database!$G:$G,Database!$D:$D,"Import",Database!$E:$E,$B14,Database!$C:$C,AQ$1,Database!$F:$F,"Total")</f>
        <v>0</v>
      </c>
      <c r="AR14" s="137">
        <f>SUMIFS(Database!$G:$G,Database!$D:$D,"Import",Database!$E:$E,$B14,Database!$C:$C,AR$1,Database!$F:$F,"Total")</f>
        <v>0</v>
      </c>
      <c r="AS14" s="137">
        <f>SUMIFS(Database!$G:$G,Database!$D:$D,"Import",Database!$E:$E,$B14,Database!$C:$C,AS$1,Database!$F:$F,"Total")</f>
        <v>0</v>
      </c>
      <c r="AT14" s="137">
        <f>SUMIFS(Database!$G:$G,Database!$D:$D,"Import",Database!$E:$E,$B14,Database!$C:$C,AT$1,Database!$F:$F,"Total")</f>
        <v>0</v>
      </c>
      <c r="AU14" s="137">
        <f>SUMIFS(Database!$G:$G,Database!$D:$D,"Import",Database!$E:$E,$B14,Database!$C:$C,AU$1,Database!$F:$F,"Total")</f>
        <v>0</v>
      </c>
      <c r="AV14" s="137">
        <f>SUMIFS(Database!$G:$G,Database!$D:$D,"Import",Database!$E:$E,$B14,Database!$C:$C,AV$1,Database!$F:$F,"Total")</f>
        <v>0</v>
      </c>
      <c r="AW14" s="137">
        <f>SUMIFS(Database!$G:$G,Database!$D:$D,"Import",Database!$E:$E,$B14,Database!$C:$C,AW$1,Database!$F:$F,"Total")</f>
        <v>0</v>
      </c>
      <c r="AX14" s="137">
        <f>SUMIFS(Database!$G:$G,Database!$D:$D,"Import",Database!$E:$E,$B14,Database!$C:$C,AX$1,Database!$F:$F,"Total")</f>
        <v>0</v>
      </c>
      <c r="AY14" s="137">
        <f>SUMIFS(Database!$G:$G,Database!$D:$D,"Import",Database!$E:$E,$B14,Database!$C:$C,AY$1,Database!$F:$F,"Total")</f>
        <v>0</v>
      </c>
      <c r="AZ14" s="137">
        <f>SUMIFS(Database!$G:$G,Database!$D:$D,"Import",Database!$E:$E,$B14,Database!$C:$C,AZ$1,Database!$F:$F,"Total")</f>
        <v>0</v>
      </c>
      <c r="BA14" s="137">
        <f>SUMIFS(Database!$G:$G,Database!$D:$D,"Import",Database!$E:$E,$B14,Database!$C:$C,BA$1,Database!$F:$F,"Total")</f>
        <v>0</v>
      </c>
      <c r="BB14" s="137">
        <f>SUMIFS(Database!$G:$G,Database!$D:$D,"Import",Database!$E:$E,$B14,Database!$C:$C,BB$1,Database!$F:$F,"Total")</f>
        <v>0</v>
      </c>
      <c r="BC14" s="137">
        <f>SUMIFS(Database!$G:$G,Database!$D:$D,"Import",Database!$E:$E,$B14,Database!$C:$C,BC$1,Database!$F:$F,"Total")</f>
        <v>0</v>
      </c>
      <c r="BD14" s="137">
        <f>SUMIFS(Database!$G:$G,Database!$D:$D,"Import",Database!$E:$E,$B14,Database!$C:$C,BD$1,Database!$F:$F,"Total")</f>
        <v>0</v>
      </c>
      <c r="BE14" s="137">
        <f>SUMIFS(Database!$G:$G,Database!$D:$D,"Import",Database!$E:$E,$B14,Database!$C:$C,BE$1,Database!$F:$F,"Total")</f>
        <v>0</v>
      </c>
      <c r="BF14" s="137">
        <f>SUMIFS(Database!$G:$G,Database!$D:$D,"Import",Database!$E:$E,$B14,Database!$C:$C,BF$1,Database!$F:$F,"Total")</f>
        <v>0</v>
      </c>
      <c r="BG14" s="137">
        <f>SUMIFS(Database!$G:$G,Database!$D:$D,"Import",Database!$E:$E,$B14,Database!$C:$C,BG$1,Database!$F:$F,"Total")</f>
        <v>0</v>
      </c>
      <c r="BH14" s="137">
        <f>SUMIFS(Database!$G:$G,Database!$D:$D,"Import",Database!$E:$E,$B14,Database!$C:$C,BH$1,Database!$F:$F,"Total")</f>
        <v>0</v>
      </c>
      <c r="BI14" s="137">
        <f>SUMIFS(Database!$G:$G,Database!$D:$D,"Import",Database!$E:$E,$B14,Database!$C:$C,BI$1,Database!$F:$F,"Total")</f>
        <v>0</v>
      </c>
      <c r="BJ14" s="137">
        <f>SUMIFS(Database!$G:$G,Database!$D:$D,"Import",Database!$E:$E,$B14,Database!$C:$C,BJ$1,Database!$F:$F,"Total")</f>
        <v>0</v>
      </c>
      <c r="BK14" s="137">
        <f>SUMIFS(Database!$G:$G,Database!$D:$D,"Import",Database!$E:$E,$B14,Database!$C:$C,BK$1,Database!$F:$F,"Total")</f>
        <v>0</v>
      </c>
      <c r="BL14" s="137">
        <f>SUMIFS(Database!$G:$G,Database!$D:$D,"Import",Database!$E:$E,$B14,Database!$C:$C,BL$1,Database!$F:$F,"Total")</f>
        <v>0</v>
      </c>
      <c r="BM14" s="137">
        <f>SUMIFS(Database!$G:$G,Database!$D:$D,"Import",Database!$E:$E,$B14,Database!$C:$C,BM$1,Database!$F:$F,"Total")</f>
        <v>0</v>
      </c>
      <c r="BN14" s="137">
        <f>SUMIFS(Database!$G:$G,Database!$D:$D,"Import",Database!$E:$E,$B14,Database!$C:$C,BN$1,Database!$F:$F,"Total")</f>
        <v>0</v>
      </c>
      <c r="BO14" s="137">
        <f>SUMIFS(Database!$G:$G,Database!$D:$D,"Import",Database!$E:$E,$B14,Database!$C:$C,BO$1,Database!$F:$F,"Total")</f>
        <v>0</v>
      </c>
      <c r="BP14" s="137">
        <f>SUMIFS(Database!$G:$G,Database!$D:$D,"Import",Database!$E:$E,$B14,Database!$C:$C,BP$1,Database!$F:$F,"Total")</f>
        <v>0</v>
      </c>
      <c r="BQ14" s="137">
        <f>SUMIFS(Database!$G:$G,Database!$D:$D,"Import",Database!$E:$E,$B14,Database!$C:$C,BQ$1,Database!$F:$F,"Total")</f>
        <v>0</v>
      </c>
      <c r="BR14" s="137">
        <f>SUMIFS(Database!$G:$G,Database!$D:$D,"Import",Database!$E:$E,$B14,Database!$C:$C,BR$1,Database!$F:$F,"Total")</f>
        <v>0</v>
      </c>
      <c r="BS14" s="137">
        <f>SUMIFS(Database!$G:$G,Database!$D:$D,"Import",Database!$E:$E,$B14,Database!$C:$C,BS$1,Database!$F:$F,"Total")</f>
        <v>0</v>
      </c>
      <c r="BT14" s="137">
        <f>SUMIFS(Database!$G:$G,Database!$D:$D,"Import",Database!$E:$E,$B14,Database!$C:$C,BT$1,Database!$F:$F,"Total")</f>
        <v>0</v>
      </c>
      <c r="BU14" s="137">
        <f>SUMIFS(Database!$G:$G,Database!$D:$D,"Import",Database!$E:$E,$B14,Database!$C:$C,BU$1,Database!$F:$F,"Total")</f>
        <v>0</v>
      </c>
      <c r="BV14" s="137">
        <f>SUMIFS(Database!$G:$G,Database!$D:$D,"Import",Database!$E:$E,$B14,Database!$C:$C,BV$1,Database!$F:$F,"Total")</f>
        <v>0</v>
      </c>
      <c r="BW14" s="137">
        <f>SUMIFS(Database!$G:$G,Database!$D:$D,"Import",Database!$E:$E,$B14,Database!$C:$C,BW$1,Database!$F:$F,"Total")</f>
        <v>0</v>
      </c>
      <c r="BX14" s="137">
        <f>SUMIFS(Database!$G:$G,Database!$D:$D,"Import",Database!$E:$E,$B14,Database!$C:$C,BX$1,Database!$F:$F,"Total")</f>
        <v>0</v>
      </c>
      <c r="BY14" s="137">
        <f>SUMIFS(Database!$G:$G,Database!$D:$D,"Import",Database!$E:$E,$B14,Database!$C:$C,BY$1,Database!$F:$F,"Total")</f>
        <v>0</v>
      </c>
      <c r="BZ14" s="137">
        <f>SUMIFS(Database!$G:$G,Database!$D:$D,"Import",Database!$E:$E,$B14,Database!$C:$C,BZ$1,Database!$F:$F,"Total")</f>
        <v>0</v>
      </c>
      <c r="CA14" s="137">
        <f>SUMIFS(Database!$G:$G,Database!$D:$D,"Import",Database!$E:$E,$B14,Database!$C:$C,CA$1,Database!$F:$F,"Total")</f>
        <v>0</v>
      </c>
      <c r="CB14" s="137">
        <f>SUMIFS(Database!$G:$G,Database!$D:$D,"Import",Database!$E:$E,$B14,Database!$C:$C,CB$1,Database!$F:$F,"Total")</f>
        <v>0</v>
      </c>
      <c r="CC14" s="137">
        <f>SUMIFS(Database!$G:$G,Database!$D:$D,"Import",Database!$E:$E,$B14,Database!$C:$C,CC$1,Database!$F:$F,"Total")</f>
        <v>0</v>
      </c>
      <c r="CD14" s="137">
        <f>SUMIFS(Database!$G:$G,Database!$D:$D,"Import",Database!$E:$E,$B14,Database!$C:$C,CD$1,Database!$F:$F,"Total")</f>
        <v>0</v>
      </c>
      <c r="CE14" s="137">
        <f>SUMIFS(Database!$G:$G,Database!$D:$D,"Import",Database!$E:$E,$B14,Database!$C:$C,CE$1,Database!$F:$F,"Total")</f>
        <v>0</v>
      </c>
      <c r="CF14" s="137">
        <f>SUMIFS(Database!$G:$G,Database!$D:$D,"Import",Database!$E:$E,$B14,Database!$C:$C,CF$1,Database!$F:$F,"Total")</f>
        <v>0</v>
      </c>
      <c r="CG14" s="137">
        <f>SUMIFS(Database!$G:$G,Database!$D:$D,"Import",Database!$E:$E,$B14,Database!$C:$C,CG$1,Database!$F:$F,"Total")</f>
        <v>0</v>
      </c>
      <c r="CH14" s="137">
        <f>SUMIFS(Database!$G:$G,Database!$D:$D,"Import",Database!$E:$E,$B14,Database!$C:$C,CH$1,Database!$F:$F,"Total")</f>
        <v>0</v>
      </c>
      <c r="CI14" s="137">
        <f>SUMIFS(Database!$G:$G,Database!$D:$D,"Import",Database!$E:$E,$B14,Database!$C:$C,CI$1,Database!$F:$F,"Total")</f>
        <v>0</v>
      </c>
      <c r="CJ14" s="137">
        <f>SUMIFS(Database!$G:$G,Database!$D:$D,"Import",Database!$E:$E,$B14,Database!$C:$C,CJ$1,Database!$F:$F,"Total")</f>
        <v>0</v>
      </c>
      <c r="CK14" s="137">
        <f>SUMIFS(Database!$G:$G,Database!$D:$D,"Import",Database!$E:$E,$B14,Database!$C:$C,CK$1,Database!$F:$F,"Total")</f>
        <v>0</v>
      </c>
      <c r="CL14" s="137">
        <f>SUMIFS(Database!$G:$G,Database!$D:$D,"Import",Database!$E:$E,$B14,Database!$C:$C,CL$1,Database!$F:$F,"Total")</f>
        <v>0</v>
      </c>
      <c r="CM14" s="137">
        <f>SUMIFS(Database!$G:$G,Database!$D:$D,"Import",Database!$E:$E,$B14,Database!$C:$C,CM$1,Database!$F:$F,"Total")</f>
        <v>0</v>
      </c>
      <c r="CN14" s="137">
        <f>SUMIFS(Database!$G:$G,Database!$D:$D,"Import",Database!$E:$E,$B14,Database!$C:$C,CN$1,Database!$F:$F,"Total")</f>
        <v>0</v>
      </c>
      <c r="CO14" s="137">
        <f>SUMIFS(Database!$G:$G,Database!$D:$D,"Import",Database!$E:$E,$B14,Database!$C:$C,CO$1,Database!$F:$F,"Total")</f>
        <v>0</v>
      </c>
      <c r="CP14" s="137">
        <f>SUMIFS(Database!$G:$G,Database!$D:$D,"Import",Database!$E:$E,$B14,Database!$C:$C,CP$1,Database!$F:$F,"Total")</f>
        <v>0</v>
      </c>
      <c r="CQ14" s="137">
        <f>SUMIFS(Database!$G:$G,Database!$D:$D,"Import",Database!$E:$E,$B14,Database!$C:$C,CQ$1,Database!$F:$F,"Total")</f>
        <v>0</v>
      </c>
      <c r="CR14" s="137">
        <f>SUMIFS(Database!$G:$G,Database!$D:$D,"Import",Database!$E:$E,$B14,Database!$C:$C,CR$1,Database!$F:$F,"Total")</f>
        <v>0</v>
      </c>
      <c r="CS14" s="137">
        <f>SUMIFS(Database!$G:$G,Database!$D:$D,"Import",Database!$E:$E,$B14,Database!$C:$C,CS$1,Database!$F:$F,"Total")</f>
        <v>0</v>
      </c>
      <c r="CT14" s="137">
        <f>SUMIFS(Database!$G:$G,Database!$D:$D,"Import",Database!$E:$E,$B14,Database!$C:$C,CT$1,Database!$F:$F,"Total")</f>
        <v>0</v>
      </c>
      <c r="CU14" s="137">
        <f>SUMIFS(Database!$G:$G,Database!$D:$D,"Import",Database!$E:$E,$B14,Database!$C:$C,CU$1,Database!$F:$F,"Total")</f>
        <v>0</v>
      </c>
    </row>
    <row r="15" spans="1:99" x14ac:dyDescent="0.25">
      <c r="A15" s="132" t="s">
        <v>484</v>
      </c>
      <c r="B15" s="133" t="s">
        <v>45</v>
      </c>
      <c r="C15" s="137">
        <f>SUMIFS(Database!$G:$G,Database!$D:$D,"Import",Database!$E:$E,$B15,Database!$C:$C,C$1,Database!$F:$F,"Total")</f>
        <v>0</v>
      </c>
      <c r="D15" s="137">
        <f>SUMIFS(Database!$G:$G,Database!$D:$D,"Import",Database!$E:$E,$B15,Database!$C:$C,D$1,Database!$F:$F,"Total")</f>
        <v>0</v>
      </c>
      <c r="E15" s="137">
        <f>SUMIFS(Database!$G:$G,Database!$D:$D,"Import",Database!$E:$E,$B15,Database!$C:$C,E$1,Database!$F:$F,"Total")</f>
        <v>0</v>
      </c>
      <c r="F15" s="137">
        <f>SUMIFS(Database!$G:$G,Database!$D:$D,"Import",Database!$E:$E,$B15,Database!$C:$C,F$1,Database!$F:$F,"Total")</f>
        <v>0</v>
      </c>
      <c r="G15" s="137">
        <f>SUMIFS(Database!$G:$G,Database!$D:$D,"Import",Database!$E:$E,$B15,Database!$C:$C,G$1,Database!$F:$F,"Total")</f>
        <v>0</v>
      </c>
      <c r="H15" s="137">
        <f>SUMIFS(Database!$G:$G,Database!$D:$D,"Import",Database!$E:$E,$B15,Database!$C:$C,H$1,Database!$F:$F,"Total")</f>
        <v>0</v>
      </c>
      <c r="I15" s="137">
        <f>SUMIFS(Database!$G:$G,Database!$D:$D,"Import",Database!$E:$E,$B15,Database!$C:$C,I$1,Database!$F:$F,"Total")</f>
        <v>0</v>
      </c>
      <c r="J15" s="137">
        <f>SUMIFS(Database!$G:$G,Database!$D:$D,"Import",Database!$E:$E,$B15,Database!$C:$C,J$1,Database!$F:$F,"Total")</f>
        <v>0</v>
      </c>
      <c r="K15" s="137">
        <f>SUMIFS(Database!$G:$G,Database!$D:$D,"Import",Database!$E:$E,$B15,Database!$C:$C,K$1,Database!$F:$F,"Total")</f>
        <v>0</v>
      </c>
      <c r="L15" s="137">
        <f>SUMIFS(Database!$G:$G,Database!$D:$D,"Import",Database!$E:$E,$B15,Database!$C:$C,L$1,Database!$F:$F,"Total")</f>
        <v>0</v>
      </c>
      <c r="M15" s="137">
        <f>SUMIFS(Database!$G:$G,Database!$D:$D,"Import",Database!$E:$E,$B15,Database!$C:$C,M$1,Database!$F:$F,"Total")</f>
        <v>0</v>
      </c>
      <c r="N15" s="137">
        <f>SUMIFS(Database!$G:$G,Database!$D:$D,"Import",Database!$E:$E,$B15,Database!$C:$C,N$1,Database!$F:$F,"Total")</f>
        <v>0</v>
      </c>
      <c r="O15" s="137">
        <f>SUMIFS(Database!$G:$G,Database!$D:$D,"Import",Database!$E:$E,$B15,Database!$C:$C,O$1,Database!$F:$F,"Total")</f>
        <v>0</v>
      </c>
      <c r="P15" s="137">
        <f>SUMIFS(Database!$G:$G,Database!$D:$D,"Import",Database!$E:$E,$B15,Database!$C:$C,P$1,Database!$F:$F,"Total")</f>
        <v>0</v>
      </c>
      <c r="Q15" s="137">
        <f>SUMIFS(Database!$G:$G,Database!$D:$D,"Import",Database!$E:$E,$B15,Database!$C:$C,Q$1,Database!$F:$F,"Total")</f>
        <v>0</v>
      </c>
      <c r="R15" s="137">
        <f>SUMIFS(Database!$G:$G,Database!$D:$D,"Import",Database!$E:$E,$B15,Database!$C:$C,R$1,Database!$F:$F,"Total")</f>
        <v>0</v>
      </c>
      <c r="S15" s="137">
        <f>SUMIFS(Database!$G:$G,Database!$D:$D,"Import",Database!$E:$E,$B15,Database!$C:$C,S$1,Database!$F:$F,"Total")</f>
        <v>0</v>
      </c>
      <c r="T15" s="137">
        <f>SUMIFS(Database!$G:$G,Database!$D:$D,"Import",Database!$E:$E,$B15,Database!$C:$C,T$1,Database!$F:$F,"Total")</f>
        <v>0</v>
      </c>
      <c r="U15" s="137">
        <f>SUMIFS(Database!$G:$G,Database!$D:$D,"Import",Database!$E:$E,$B15,Database!$C:$C,U$1,Database!$F:$F,"Total")</f>
        <v>0</v>
      </c>
      <c r="V15" s="137">
        <f>SUMIFS(Database!$G:$G,Database!$D:$D,"Import",Database!$E:$E,$B15,Database!$C:$C,V$1,Database!$F:$F,"Total")</f>
        <v>0</v>
      </c>
      <c r="W15" s="137">
        <f>SUMIFS(Database!$G:$G,Database!$D:$D,"Import",Database!$E:$E,$B15,Database!$C:$C,W$1,Database!$F:$F,"Total")</f>
        <v>0</v>
      </c>
      <c r="X15" s="137">
        <f>SUMIFS(Database!$G:$G,Database!$D:$D,"Import",Database!$E:$E,$B15,Database!$C:$C,X$1,Database!$F:$F,"Total")</f>
        <v>0</v>
      </c>
      <c r="Y15" s="137">
        <f>SUMIFS(Database!$G:$G,Database!$D:$D,"Import",Database!$E:$E,$B15,Database!$C:$C,Y$1,Database!$F:$F,"Total")</f>
        <v>0</v>
      </c>
      <c r="Z15" s="137">
        <f>SUMIFS(Database!$G:$G,Database!$D:$D,"Import",Database!$E:$E,$B15,Database!$C:$C,Z$1,Database!$F:$F,"Total")</f>
        <v>0</v>
      </c>
      <c r="AA15" s="137">
        <f>SUMIFS(Database!$G:$G,Database!$D:$D,"Import",Database!$E:$E,$B15,Database!$C:$C,AA$1,Database!$F:$F,"Total")</f>
        <v>0</v>
      </c>
      <c r="AB15" s="137">
        <f>SUMIFS(Database!$G:$G,Database!$D:$D,"Import",Database!$E:$E,$B15,Database!$C:$C,AB$1,Database!$F:$F,"Total")</f>
        <v>0</v>
      </c>
      <c r="AC15" s="137">
        <f>SUMIFS(Database!$G:$G,Database!$D:$D,"Import",Database!$E:$E,$B15,Database!$C:$C,AC$1,Database!$F:$F,"Total")</f>
        <v>0</v>
      </c>
      <c r="AD15" s="137">
        <f>SUMIFS(Database!$G:$G,Database!$D:$D,"Import",Database!$E:$E,$B15,Database!$C:$C,AD$1,Database!$F:$F,"Total")</f>
        <v>0</v>
      </c>
      <c r="AE15" s="137">
        <f>SUMIFS(Database!$G:$G,Database!$D:$D,"Import",Database!$E:$E,$B15,Database!$C:$C,AE$1,Database!$F:$F,"Total")</f>
        <v>0</v>
      </c>
      <c r="AF15" s="137">
        <f>SUMIFS(Database!$G:$G,Database!$D:$D,"Import",Database!$E:$E,$B15,Database!$C:$C,AF$1,Database!$F:$F,"Total")</f>
        <v>0</v>
      </c>
      <c r="AG15" s="137">
        <f>SUMIFS(Database!$G:$G,Database!$D:$D,"Import",Database!$E:$E,$B15,Database!$C:$C,AG$1,Database!$F:$F,"Total")</f>
        <v>0</v>
      </c>
      <c r="AH15" s="137">
        <f>SUMIFS(Database!$G:$G,Database!$D:$D,"Import",Database!$E:$E,$B15,Database!$C:$C,AH$1,Database!$F:$F,"Total")</f>
        <v>0</v>
      </c>
      <c r="AI15" s="137">
        <f>SUMIFS(Database!$G:$G,Database!$D:$D,"Import",Database!$E:$E,$B15,Database!$C:$C,AI$1,Database!$F:$F,"Total")</f>
        <v>0</v>
      </c>
      <c r="AJ15" s="137">
        <f>SUMIFS(Database!$G:$G,Database!$D:$D,"Import",Database!$E:$E,$B15,Database!$C:$C,AJ$1,Database!$F:$F,"Total")</f>
        <v>2552</v>
      </c>
      <c r="AK15" s="137">
        <f>SUMIFS(Database!$G:$G,Database!$D:$D,"Import",Database!$E:$E,$B15,Database!$C:$C,AK$1,Database!$F:$F,"Total")</f>
        <v>2705</v>
      </c>
      <c r="AL15" s="137">
        <f>SUMIFS(Database!$G:$G,Database!$D:$D,"Import",Database!$E:$E,$B15,Database!$C:$C,AL$1,Database!$F:$F,"Total")</f>
        <v>5376</v>
      </c>
      <c r="AM15" s="137">
        <f>SUMIFS(Database!$G:$G,Database!$D:$D,"Import",Database!$E:$E,$B15,Database!$C:$C,AM$1,Database!$F:$F,"Total")</f>
        <v>1273</v>
      </c>
      <c r="AN15" s="137">
        <f>SUMIFS(Database!$G:$G,Database!$D:$D,"Import",Database!$E:$E,$B15,Database!$C:$C,AN$1,Database!$F:$F,"Total")</f>
        <v>173</v>
      </c>
      <c r="AO15" s="137">
        <f>SUMIFS(Database!$G:$G,Database!$D:$D,"Import",Database!$E:$E,$B15,Database!$C:$C,AO$1,Database!$F:$F,"Total")</f>
        <v>121</v>
      </c>
      <c r="AP15" s="137">
        <f>SUMIFS(Database!$G:$G,Database!$D:$D,"Import",Database!$E:$E,$B15,Database!$C:$C,AP$1,Database!$F:$F,"Total")</f>
        <v>552</v>
      </c>
      <c r="AQ15" s="137">
        <f>SUMIFS(Database!$G:$G,Database!$D:$D,"Import",Database!$E:$E,$B15,Database!$C:$C,AQ$1,Database!$F:$F,"Total")</f>
        <v>706</v>
      </c>
      <c r="AR15" s="137">
        <f>SUMIFS(Database!$G:$G,Database!$D:$D,"Import",Database!$E:$E,$B15,Database!$C:$C,AR$1,Database!$F:$F,"Total")</f>
        <v>179</v>
      </c>
      <c r="AS15" s="137">
        <f>SUMIFS(Database!$G:$G,Database!$D:$D,"Import",Database!$E:$E,$B15,Database!$C:$C,AS$1,Database!$F:$F,"Total")</f>
        <v>344</v>
      </c>
      <c r="AT15" s="137">
        <f>SUMIFS(Database!$G:$G,Database!$D:$D,"Import",Database!$E:$E,$B15,Database!$C:$C,AT$1,Database!$F:$F,"Total")</f>
        <v>80</v>
      </c>
      <c r="AU15" s="137">
        <f>SUMIFS(Database!$G:$G,Database!$D:$D,"Import",Database!$E:$E,$B15,Database!$C:$C,AU$1,Database!$F:$F,"Total")</f>
        <v>63</v>
      </c>
      <c r="AV15" s="137">
        <f>SUMIFS(Database!$G:$G,Database!$D:$D,"Import",Database!$E:$E,$B15,Database!$C:$C,AV$1,Database!$F:$F,"Total")</f>
        <v>33</v>
      </c>
      <c r="AW15" s="137">
        <f>SUMIFS(Database!$G:$G,Database!$D:$D,"Import",Database!$E:$E,$B15,Database!$C:$C,AW$1,Database!$F:$F,"Total")</f>
        <v>0</v>
      </c>
      <c r="AX15" s="137">
        <f>SUMIFS(Database!$G:$G,Database!$D:$D,"Import",Database!$E:$E,$B15,Database!$C:$C,AX$1,Database!$F:$F,"Total")</f>
        <v>0</v>
      </c>
      <c r="AY15" s="137">
        <f>SUMIFS(Database!$G:$G,Database!$D:$D,"Import",Database!$E:$E,$B15,Database!$C:$C,AY$1,Database!$F:$F,"Total")</f>
        <v>0</v>
      </c>
      <c r="AZ15" s="137">
        <f>SUMIFS(Database!$G:$G,Database!$D:$D,"Import",Database!$E:$E,$B15,Database!$C:$C,AZ$1,Database!$F:$F,"Total")</f>
        <v>0</v>
      </c>
      <c r="BA15" s="137">
        <f>SUMIFS(Database!$G:$G,Database!$D:$D,"Import",Database!$E:$E,$B15,Database!$C:$C,BA$1,Database!$F:$F,"Total")</f>
        <v>0</v>
      </c>
      <c r="BB15" s="137">
        <f>SUMIFS(Database!$G:$G,Database!$D:$D,"Import",Database!$E:$E,$B15,Database!$C:$C,BB$1,Database!$F:$F,"Total")</f>
        <v>18004</v>
      </c>
      <c r="BC15" s="137">
        <f>SUMIFS(Database!$G:$G,Database!$D:$D,"Import",Database!$E:$E,$B15,Database!$C:$C,BC$1,Database!$F:$F,"Total")</f>
        <v>0</v>
      </c>
      <c r="BD15" s="137">
        <f>SUMIFS(Database!$G:$G,Database!$D:$D,"Import",Database!$E:$E,$B15,Database!$C:$C,BD$1,Database!$F:$F,"Total")</f>
        <v>0</v>
      </c>
      <c r="BE15" s="137">
        <f>SUMIFS(Database!$G:$G,Database!$D:$D,"Import",Database!$E:$E,$B15,Database!$C:$C,BE$1,Database!$F:$F,"Total")</f>
        <v>0</v>
      </c>
      <c r="BF15" s="137">
        <f>SUMIFS(Database!$G:$G,Database!$D:$D,"Import",Database!$E:$E,$B15,Database!$C:$C,BF$1,Database!$F:$F,"Total")</f>
        <v>0</v>
      </c>
      <c r="BG15" s="137">
        <f>SUMIFS(Database!$G:$G,Database!$D:$D,"Import",Database!$E:$E,$B15,Database!$C:$C,BG$1,Database!$F:$F,"Total")</f>
        <v>0</v>
      </c>
      <c r="BH15" s="137">
        <f>SUMIFS(Database!$G:$G,Database!$D:$D,"Import",Database!$E:$E,$B15,Database!$C:$C,BH$1,Database!$F:$F,"Total")</f>
        <v>0</v>
      </c>
      <c r="BI15" s="137">
        <f>SUMIFS(Database!$G:$G,Database!$D:$D,"Import",Database!$E:$E,$B15,Database!$C:$C,BI$1,Database!$F:$F,"Total")</f>
        <v>0</v>
      </c>
      <c r="BJ15" s="137">
        <f>SUMIFS(Database!$G:$G,Database!$D:$D,"Import",Database!$E:$E,$B15,Database!$C:$C,BJ$1,Database!$F:$F,"Total")</f>
        <v>0</v>
      </c>
      <c r="BK15" s="137">
        <f>SUMIFS(Database!$G:$G,Database!$D:$D,"Import",Database!$E:$E,$B15,Database!$C:$C,BK$1,Database!$F:$F,"Total")</f>
        <v>0</v>
      </c>
      <c r="BL15" s="137">
        <f>SUMIFS(Database!$G:$G,Database!$D:$D,"Import",Database!$E:$E,$B15,Database!$C:$C,BL$1,Database!$F:$F,"Total")</f>
        <v>0</v>
      </c>
      <c r="BM15" s="137">
        <f>SUMIFS(Database!$G:$G,Database!$D:$D,"Import",Database!$E:$E,$B15,Database!$C:$C,BM$1,Database!$F:$F,"Total")</f>
        <v>0</v>
      </c>
      <c r="BN15" s="137">
        <f>SUMIFS(Database!$G:$G,Database!$D:$D,"Import",Database!$E:$E,$B15,Database!$C:$C,BN$1,Database!$F:$F,"Total")</f>
        <v>9148</v>
      </c>
      <c r="BO15" s="137">
        <f>SUMIFS(Database!$G:$G,Database!$D:$D,"Import",Database!$E:$E,$B15,Database!$C:$C,BO$1,Database!$F:$F,"Total")</f>
        <v>0</v>
      </c>
      <c r="BP15" s="137">
        <f>SUMIFS(Database!$G:$G,Database!$D:$D,"Import",Database!$E:$E,$B15,Database!$C:$C,BP$1,Database!$F:$F,"Total")</f>
        <v>0</v>
      </c>
      <c r="BQ15" s="137">
        <f>SUMIFS(Database!$G:$G,Database!$D:$D,"Import",Database!$E:$E,$B15,Database!$C:$C,BQ$1,Database!$F:$F,"Total")</f>
        <v>12354</v>
      </c>
      <c r="BR15" s="137">
        <f>SUMIFS(Database!$G:$G,Database!$D:$D,"Import",Database!$E:$E,$B15,Database!$C:$C,BR$1,Database!$F:$F,"Total")</f>
        <v>0</v>
      </c>
      <c r="BS15" s="137">
        <f>SUMIFS(Database!$G:$G,Database!$D:$D,"Import",Database!$E:$E,$B15,Database!$C:$C,BS$1,Database!$F:$F,"Total")</f>
        <v>0</v>
      </c>
      <c r="BT15" s="137">
        <f>SUMIFS(Database!$G:$G,Database!$D:$D,"Import",Database!$E:$E,$B15,Database!$C:$C,BT$1,Database!$F:$F,"Total")</f>
        <v>0</v>
      </c>
      <c r="BU15" s="137">
        <f>SUMIFS(Database!$G:$G,Database!$D:$D,"Import",Database!$E:$E,$B15,Database!$C:$C,BU$1,Database!$F:$F,"Total")</f>
        <v>0</v>
      </c>
      <c r="BV15" s="137">
        <f>SUMIFS(Database!$G:$G,Database!$D:$D,"Import",Database!$E:$E,$B15,Database!$C:$C,BV$1,Database!$F:$F,"Total")</f>
        <v>0</v>
      </c>
      <c r="BW15" s="137">
        <f>SUMIFS(Database!$G:$G,Database!$D:$D,"Import",Database!$E:$E,$B15,Database!$C:$C,BW$1,Database!$F:$F,"Total")</f>
        <v>0</v>
      </c>
      <c r="BX15" s="137">
        <f>SUMIFS(Database!$G:$G,Database!$D:$D,"Import",Database!$E:$E,$B15,Database!$C:$C,BX$1,Database!$F:$F,"Total")</f>
        <v>0</v>
      </c>
      <c r="BY15" s="137">
        <f>SUMIFS(Database!$G:$G,Database!$D:$D,"Import",Database!$E:$E,$B15,Database!$C:$C,BY$1,Database!$F:$F,"Total")</f>
        <v>0</v>
      </c>
      <c r="BZ15" s="137">
        <f>SUMIFS(Database!$G:$G,Database!$D:$D,"Import",Database!$E:$E,$B15,Database!$C:$C,BZ$1,Database!$F:$F,"Total")</f>
        <v>0</v>
      </c>
      <c r="CA15" s="137">
        <f>SUMIFS(Database!$G:$G,Database!$D:$D,"Import",Database!$E:$E,$B15,Database!$C:$C,CA$1,Database!$F:$F,"Total")</f>
        <v>0</v>
      </c>
      <c r="CB15" s="137">
        <f>SUMIFS(Database!$G:$G,Database!$D:$D,"Import",Database!$E:$E,$B15,Database!$C:$C,CB$1,Database!$F:$F,"Total")</f>
        <v>0</v>
      </c>
      <c r="CC15" s="137">
        <f>SUMIFS(Database!$G:$G,Database!$D:$D,"Import",Database!$E:$E,$B15,Database!$C:$C,CC$1,Database!$F:$F,"Total")</f>
        <v>0</v>
      </c>
      <c r="CD15" s="137">
        <f>SUMIFS(Database!$G:$G,Database!$D:$D,"Import",Database!$E:$E,$B15,Database!$C:$C,CD$1,Database!$F:$F,"Total")</f>
        <v>0</v>
      </c>
      <c r="CE15" s="137">
        <f>SUMIFS(Database!$G:$G,Database!$D:$D,"Import",Database!$E:$E,$B15,Database!$C:$C,CE$1,Database!$F:$F,"Total")</f>
        <v>0</v>
      </c>
      <c r="CF15" s="137">
        <f>SUMIFS(Database!$G:$G,Database!$D:$D,"Import",Database!$E:$E,$B15,Database!$C:$C,CF$1,Database!$F:$F,"Total")</f>
        <v>0</v>
      </c>
      <c r="CG15" s="137">
        <f>SUMIFS(Database!$G:$G,Database!$D:$D,"Import",Database!$E:$E,$B15,Database!$C:$C,CG$1,Database!$F:$F,"Total")</f>
        <v>0</v>
      </c>
      <c r="CH15" s="137">
        <f>SUMIFS(Database!$G:$G,Database!$D:$D,"Import",Database!$E:$E,$B15,Database!$C:$C,CH$1,Database!$F:$F,"Total")</f>
        <v>0</v>
      </c>
      <c r="CI15" s="137">
        <f>SUMIFS(Database!$G:$G,Database!$D:$D,"Import",Database!$E:$E,$B15,Database!$C:$C,CI$1,Database!$F:$F,"Total")</f>
        <v>0</v>
      </c>
      <c r="CJ15" s="137">
        <f>SUMIFS(Database!$G:$G,Database!$D:$D,"Import",Database!$E:$E,$B15,Database!$C:$C,CJ$1,Database!$F:$F,"Total")</f>
        <v>0</v>
      </c>
      <c r="CK15" s="137">
        <f>SUMIFS(Database!$G:$G,Database!$D:$D,"Import",Database!$E:$E,$B15,Database!$C:$C,CK$1,Database!$F:$F,"Total")</f>
        <v>0</v>
      </c>
      <c r="CL15" s="137">
        <f>SUMIFS(Database!$G:$G,Database!$D:$D,"Import",Database!$E:$E,$B15,Database!$C:$C,CL$1,Database!$F:$F,"Total")</f>
        <v>0</v>
      </c>
      <c r="CM15" s="137">
        <f>SUMIFS(Database!$G:$G,Database!$D:$D,"Import",Database!$E:$E,$B15,Database!$C:$C,CM$1,Database!$F:$F,"Total")</f>
        <v>0</v>
      </c>
      <c r="CN15" s="137">
        <f>SUMIFS(Database!$G:$G,Database!$D:$D,"Import",Database!$E:$E,$B15,Database!$C:$C,CN$1,Database!$F:$F,"Total")</f>
        <v>0</v>
      </c>
      <c r="CO15" s="137">
        <f>SUMIFS(Database!$G:$G,Database!$D:$D,"Import",Database!$E:$E,$B15,Database!$C:$C,CO$1,Database!$F:$F,"Total")</f>
        <v>0</v>
      </c>
      <c r="CP15" s="137">
        <f>SUMIFS(Database!$G:$G,Database!$D:$D,"Import",Database!$E:$E,$B15,Database!$C:$C,CP$1,Database!$F:$F,"Total")</f>
        <v>0</v>
      </c>
      <c r="CQ15" s="137">
        <f>SUMIFS(Database!$G:$G,Database!$D:$D,"Import",Database!$E:$E,$B15,Database!$C:$C,CQ$1,Database!$F:$F,"Total")</f>
        <v>0</v>
      </c>
      <c r="CR15" s="137">
        <f>SUMIFS(Database!$G:$G,Database!$D:$D,"Import",Database!$E:$E,$B15,Database!$C:$C,CR$1,Database!$F:$F,"Total")</f>
        <v>0</v>
      </c>
      <c r="CS15" s="137">
        <f>SUMIFS(Database!$G:$G,Database!$D:$D,"Import",Database!$E:$E,$B15,Database!$C:$C,CS$1,Database!$F:$F,"Total")</f>
        <v>0</v>
      </c>
      <c r="CT15" s="137">
        <f>SUMIFS(Database!$G:$G,Database!$D:$D,"Import",Database!$E:$E,$B15,Database!$C:$C,CT$1,Database!$F:$F,"Total")</f>
        <v>0</v>
      </c>
      <c r="CU15" s="137">
        <f>SUMIFS(Database!$G:$G,Database!$D:$D,"Import",Database!$E:$E,$B15,Database!$C:$C,CU$1,Database!$F:$F,"Total")</f>
        <v>0</v>
      </c>
    </row>
    <row r="16" spans="1:99" x14ac:dyDescent="0.25">
      <c r="A16" s="132" t="s">
        <v>484</v>
      </c>
      <c r="B16" s="133" t="s">
        <v>450</v>
      </c>
      <c r="C16" s="137">
        <f>SUMIFS(Database!$G:$G,Database!$D:$D,"Import",Database!$E:$E,$B16,Database!$C:$C,C$1,Database!$F:$F,"Total")</f>
        <v>0</v>
      </c>
      <c r="D16" s="137">
        <f>SUMIFS(Database!$G:$G,Database!$D:$D,"Import",Database!$E:$E,$B16,Database!$C:$C,D$1,Database!$F:$F,"Total")</f>
        <v>0</v>
      </c>
      <c r="E16" s="137">
        <f>SUMIFS(Database!$G:$G,Database!$D:$D,"Import",Database!$E:$E,$B16,Database!$C:$C,E$1,Database!$F:$F,"Total")</f>
        <v>0</v>
      </c>
      <c r="F16" s="137">
        <f>SUMIFS(Database!$G:$G,Database!$D:$D,"Import",Database!$E:$E,$B16,Database!$C:$C,F$1,Database!$F:$F,"Total")</f>
        <v>0</v>
      </c>
      <c r="G16" s="137">
        <f>SUMIFS(Database!$G:$G,Database!$D:$D,"Import",Database!$E:$E,$B16,Database!$C:$C,G$1,Database!$F:$F,"Total")</f>
        <v>0</v>
      </c>
      <c r="H16" s="137">
        <f>SUMIFS(Database!$G:$G,Database!$D:$D,"Import",Database!$E:$E,$B16,Database!$C:$C,H$1,Database!$F:$F,"Total")</f>
        <v>0</v>
      </c>
      <c r="I16" s="137">
        <f>SUMIFS(Database!$G:$G,Database!$D:$D,"Import",Database!$E:$E,$B16,Database!$C:$C,I$1,Database!$F:$F,"Total")</f>
        <v>0</v>
      </c>
      <c r="J16" s="137">
        <f>SUMIFS(Database!$G:$G,Database!$D:$D,"Import",Database!$E:$E,$B16,Database!$C:$C,J$1,Database!$F:$F,"Total")</f>
        <v>0</v>
      </c>
      <c r="K16" s="137">
        <f>SUMIFS(Database!$G:$G,Database!$D:$D,"Import",Database!$E:$E,$B16,Database!$C:$C,K$1,Database!$F:$F,"Total")</f>
        <v>0</v>
      </c>
      <c r="L16" s="137">
        <f>SUMIFS(Database!$G:$G,Database!$D:$D,"Import",Database!$E:$E,$B16,Database!$C:$C,L$1,Database!$F:$F,"Total")</f>
        <v>0</v>
      </c>
      <c r="M16" s="137">
        <f>SUMIFS(Database!$G:$G,Database!$D:$D,"Import",Database!$E:$E,$B16,Database!$C:$C,M$1,Database!$F:$F,"Total")</f>
        <v>0</v>
      </c>
      <c r="N16" s="137">
        <f>SUMIFS(Database!$G:$G,Database!$D:$D,"Import",Database!$E:$E,$B16,Database!$C:$C,N$1,Database!$F:$F,"Total")</f>
        <v>0</v>
      </c>
      <c r="O16" s="137">
        <f>SUMIFS(Database!$G:$G,Database!$D:$D,"Import",Database!$E:$E,$B16,Database!$C:$C,O$1,Database!$F:$F,"Total")</f>
        <v>0</v>
      </c>
      <c r="P16" s="137">
        <f>SUMIFS(Database!$G:$G,Database!$D:$D,"Import",Database!$E:$E,$B16,Database!$C:$C,P$1,Database!$F:$F,"Total")</f>
        <v>0</v>
      </c>
      <c r="Q16" s="137">
        <f>SUMIFS(Database!$G:$G,Database!$D:$D,"Import",Database!$E:$E,$B16,Database!$C:$C,Q$1,Database!$F:$F,"Total")</f>
        <v>0</v>
      </c>
      <c r="R16" s="137">
        <f>SUMIFS(Database!$G:$G,Database!$D:$D,"Import",Database!$E:$E,$B16,Database!$C:$C,R$1,Database!$F:$F,"Total")</f>
        <v>0</v>
      </c>
      <c r="S16" s="137">
        <f>SUMIFS(Database!$G:$G,Database!$D:$D,"Import",Database!$E:$E,$B16,Database!$C:$C,S$1,Database!$F:$F,"Total")</f>
        <v>0</v>
      </c>
      <c r="T16" s="137">
        <f>SUMIFS(Database!$G:$G,Database!$D:$D,"Import",Database!$E:$E,$B16,Database!$C:$C,T$1,Database!$F:$F,"Total")</f>
        <v>0</v>
      </c>
      <c r="U16" s="137">
        <f>SUMIFS(Database!$G:$G,Database!$D:$D,"Import",Database!$E:$E,$B16,Database!$C:$C,U$1,Database!$F:$F,"Total")</f>
        <v>0</v>
      </c>
      <c r="V16" s="137">
        <f>SUMIFS(Database!$G:$G,Database!$D:$D,"Import",Database!$E:$E,$B16,Database!$C:$C,V$1,Database!$F:$F,"Total")</f>
        <v>0</v>
      </c>
      <c r="W16" s="137">
        <f>SUMIFS(Database!$G:$G,Database!$D:$D,"Import",Database!$E:$E,$B16,Database!$C:$C,W$1,Database!$F:$F,"Total")</f>
        <v>0</v>
      </c>
      <c r="X16" s="137">
        <f>SUMIFS(Database!$G:$G,Database!$D:$D,"Import",Database!$E:$E,$B16,Database!$C:$C,X$1,Database!$F:$F,"Total")</f>
        <v>0</v>
      </c>
      <c r="Y16" s="137">
        <f>SUMIFS(Database!$G:$G,Database!$D:$D,"Import",Database!$E:$E,$B16,Database!$C:$C,Y$1,Database!$F:$F,"Total")</f>
        <v>0</v>
      </c>
      <c r="Z16" s="137">
        <f>SUMIFS(Database!$G:$G,Database!$D:$D,"Import",Database!$E:$E,$B16,Database!$C:$C,Z$1,Database!$F:$F,"Total")</f>
        <v>0</v>
      </c>
      <c r="AA16" s="137">
        <f>SUMIFS(Database!$G:$G,Database!$D:$D,"Import",Database!$E:$E,$B16,Database!$C:$C,AA$1,Database!$F:$F,"Total")</f>
        <v>0</v>
      </c>
      <c r="AB16" s="137">
        <f>SUMIFS(Database!$G:$G,Database!$D:$D,"Import",Database!$E:$E,$B16,Database!$C:$C,AB$1,Database!$F:$F,"Total")</f>
        <v>0</v>
      </c>
      <c r="AC16" s="137">
        <f>SUMIFS(Database!$G:$G,Database!$D:$D,"Import",Database!$E:$E,$B16,Database!$C:$C,AC$1,Database!$F:$F,"Total")</f>
        <v>0</v>
      </c>
      <c r="AD16" s="137">
        <f>SUMIFS(Database!$G:$G,Database!$D:$D,"Import",Database!$E:$E,$B16,Database!$C:$C,AD$1,Database!$F:$F,"Total")</f>
        <v>0</v>
      </c>
      <c r="AE16" s="137">
        <f>SUMIFS(Database!$G:$G,Database!$D:$D,"Import",Database!$E:$E,$B16,Database!$C:$C,AE$1,Database!$F:$F,"Total")</f>
        <v>0</v>
      </c>
      <c r="AF16" s="137">
        <f>SUMIFS(Database!$G:$G,Database!$D:$D,"Import",Database!$E:$E,$B16,Database!$C:$C,AF$1,Database!$F:$F,"Total")</f>
        <v>0</v>
      </c>
      <c r="AG16" s="137">
        <f>SUMIFS(Database!$G:$G,Database!$D:$D,"Import",Database!$E:$E,$B16,Database!$C:$C,AG$1,Database!$F:$F,"Total")</f>
        <v>0</v>
      </c>
      <c r="AH16" s="137">
        <f>SUMIFS(Database!$G:$G,Database!$D:$D,"Import",Database!$E:$E,$B16,Database!$C:$C,AH$1,Database!$F:$F,"Total")</f>
        <v>0</v>
      </c>
      <c r="AI16" s="137">
        <f>SUMIFS(Database!$G:$G,Database!$D:$D,"Import",Database!$E:$E,$B16,Database!$C:$C,AI$1,Database!$F:$F,"Total")</f>
        <v>0</v>
      </c>
      <c r="AJ16" s="137">
        <f>SUMIFS(Database!$G:$G,Database!$D:$D,"Import",Database!$E:$E,$B16,Database!$C:$C,AJ$1,Database!$F:$F,"Total")</f>
        <v>0</v>
      </c>
      <c r="AK16" s="137">
        <f>SUMIFS(Database!$G:$G,Database!$D:$D,"Import",Database!$E:$E,$B16,Database!$C:$C,AK$1,Database!$F:$F,"Total")</f>
        <v>0</v>
      </c>
      <c r="AL16" s="137">
        <f>SUMIFS(Database!$G:$G,Database!$D:$D,"Import",Database!$E:$E,$B16,Database!$C:$C,AL$1,Database!$F:$F,"Total")</f>
        <v>0</v>
      </c>
      <c r="AM16" s="137">
        <f>SUMIFS(Database!$G:$G,Database!$D:$D,"Import",Database!$E:$E,$B16,Database!$C:$C,AM$1,Database!$F:$F,"Total")</f>
        <v>0</v>
      </c>
      <c r="AN16" s="137">
        <f>SUMIFS(Database!$G:$G,Database!$D:$D,"Import",Database!$E:$E,$B16,Database!$C:$C,AN$1,Database!$F:$F,"Total")</f>
        <v>0</v>
      </c>
      <c r="AO16" s="137">
        <f>SUMIFS(Database!$G:$G,Database!$D:$D,"Import",Database!$E:$E,$B16,Database!$C:$C,AO$1,Database!$F:$F,"Total")</f>
        <v>0</v>
      </c>
      <c r="AP16" s="137">
        <f>SUMIFS(Database!$G:$G,Database!$D:$D,"Import",Database!$E:$E,$B16,Database!$C:$C,AP$1,Database!$F:$F,"Total")</f>
        <v>0</v>
      </c>
      <c r="AQ16" s="137">
        <f>SUMIFS(Database!$G:$G,Database!$D:$D,"Import",Database!$E:$E,$B16,Database!$C:$C,AQ$1,Database!$F:$F,"Total")</f>
        <v>0</v>
      </c>
      <c r="AR16" s="137">
        <f>SUMIFS(Database!$G:$G,Database!$D:$D,"Import",Database!$E:$E,$B16,Database!$C:$C,AR$1,Database!$F:$F,"Total")</f>
        <v>0</v>
      </c>
      <c r="AS16" s="137">
        <f>SUMIFS(Database!$G:$G,Database!$D:$D,"Import",Database!$E:$E,$B16,Database!$C:$C,AS$1,Database!$F:$F,"Total")</f>
        <v>0</v>
      </c>
      <c r="AT16" s="137">
        <f>SUMIFS(Database!$G:$G,Database!$D:$D,"Import",Database!$E:$E,$B16,Database!$C:$C,AT$1,Database!$F:$F,"Total")</f>
        <v>0</v>
      </c>
      <c r="AU16" s="137">
        <f>SUMIFS(Database!$G:$G,Database!$D:$D,"Import",Database!$E:$E,$B16,Database!$C:$C,AU$1,Database!$F:$F,"Total")</f>
        <v>0</v>
      </c>
      <c r="AV16" s="137">
        <f>SUMIFS(Database!$G:$G,Database!$D:$D,"Import",Database!$E:$E,$B16,Database!$C:$C,AV$1,Database!$F:$F,"Total")</f>
        <v>0</v>
      </c>
      <c r="AW16" s="137">
        <f>SUMIFS(Database!$G:$G,Database!$D:$D,"Import",Database!$E:$E,$B16,Database!$C:$C,AW$1,Database!$F:$F,"Total")</f>
        <v>0</v>
      </c>
      <c r="AX16" s="137">
        <f>SUMIFS(Database!$G:$G,Database!$D:$D,"Import",Database!$E:$E,$B16,Database!$C:$C,AX$1,Database!$F:$F,"Total")</f>
        <v>0</v>
      </c>
      <c r="AY16" s="137">
        <f>SUMIFS(Database!$G:$G,Database!$D:$D,"Import",Database!$E:$E,$B16,Database!$C:$C,AY$1,Database!$F:$F,"Total")</f>
        <v>0</v>
      </c>
      <c r="AZ16" s="137">
        <f>SUMIFS(Database!$G:$G,Database!$D:$D,"Import",Database!$E:$E,$B16,Database!$C:$C,AZ$1,Database!$F:$F,"Total")</f>
        <v>0</v>
      </c>
      <c r="BA16" s="137">
        <f>SUMIFS(Database!$G:$G,Database!$D:$D,"Import",Database!$E:$E,$B16,Database!$C:$C,BA$1,Database!$F:$F,"Total")</f>
        <v>0</v>
      </c>
      <c r="BB16" s="137">
        <f>SUMIFS(Database!$G:$G,Database!$D:$D,"Import",Database!$E:$E,$B16,Database!$C:$C,BB$1,Database!$F:$F,"Total")</f>
        <v>0</v>
      </c>
      <c r="BC16" s="137">
        <f>SUMIFS(Database!$G:$G,Database!$D:$D,"Import",Database!$E:$E,$B16,Database!$C:$C,BC$1,Database!$F:$F,"Total")</f>
        <v>0</v>
      </c>
      <c r="BD16" s="137">
        <f>SUMIFS(Database!$G:$G,Database!$D:$D,"Import",Database!$E:$E,$B16,Database!$C:$C,BD$1,Database!$F:$F,"Total")</f>
        <v>0</v>
      </c>
      <c r="BE16" s="137">
        <f>SUMIFS(Database!$G:$G,Database!$D:$D,"Import",Database!$E:$E,$B16,Database!$C:$C,BE$1,Database!$F:$F,"Total")</f>
        <v>0</v>
      </c>
      <c r="BF16" s="137">
        <f>SUMIFS(Database!$G:$G,Database!$D:$D,"Import",Database!$E:$E,$B16,Database!$C:$C,BF$1,Database!$F:$F,"Total")</f>
        <v>0</v>
      </c>
      <c r="BG16" s="137">
        <f>SUMIFS(Database!$G:$G,Database!$D:$D,"Import",Database!$E:$E,$B16,Database!$C:$C,BG$1,Database!$F:$F,"Total")</f>
        <v>0</v>
      </c>
      <c r="BH16" s="137">
        <f>SUMIFS(Database!$G:$G,Database!$D:$D,"Import",Database!$E:$E,$B16,Database!$C:$C,BH$1,Database!$F:$F,"Total")</f>
        <v>0</v>
      </c>
      <c r="BI16" s="137">
        <f>SUMIFS(Database!$G:$G,Database!$D:$D,"Import",Database!$E:$E,$B16,Database!$C:$C,BI$1,Database!$F:$F,"Total")</f>
        <v>0</v>
      </c>
      <c r="BJ16" s="137">
        <f>SUMIFS(Database!$G:$G,Database!$D:$D,"Import",Database!$E:$E,$B16,Database!$C:$C,BJ$1,Database!$F:$F,"Total")</f>
        <v>0</v>
      </c>
      <c r="BK16" s="137">
        <f>SUMIFS(Database!$G:$G,Database!$D:$D,"Import",Database!$E:$E,$B16,Database!$C:$C,BK$1,Database!$F:$F,"Total")</f>
        <v>0</v>
      </c>
      <c r="BL16" s="137">
        <f>SUMIFS(Database!$G:$G,Database!$D:$D,"Import",Database!$E:$E,$B16,Database!$C:$C,BL$1,Database!$F:$F,"Total")</f>
        <v>0</v>
      </c>
      <c r="BM16" s="137">
        <f>SUMIFS(Database!$G:$G,Database!$D:$D,"Import",Database!$E:$E,$B16,Database!$C:$C,BM$1,Database!$F:$F,"Total")</f>
        <v>0</v>
      </c>
      <c r="BN16" s="137">
        <f>SUMIFS(Database!$G:$G,Database!$D:$D,"Import",Database!$E:$E,$B16,Database!$C:$C,BN$1,Database!$F:$F,"Total")</f>
        <v>0</v>
      </c>
      <c r="BO16" s="137">
        <f>SUMIFS(Database!$G:$G,Database!$D:$D,"Import",Database!$E:$E,$B16,Database!$C:$C,BO$1,Database!$F:$F,"Total")</f>
        <v>0</v>
      </c>
      <c r="BP16" s="137">
        <f>SUMIFS(Database!$G:$G,Database!$D:$D,"Import",Database!$E:$E,$B16,Database!$C:$C,BP$1,Database!$F:$F,"Total")</f>
        <v>13717.5</v>
      </c>
      <c r="BQ16" s="137">
        <f>SUMIFS(Database!$G:$G,Database!$D:$D,"Import",Database!$E:$E,$B16,Database!$C:$C,BQ$1,Database!$F:$F,"Total")</f>
        <v>0</v>
      </c>
      <c r="BR16" s="137">
        <f>SUMIFS(Database!$G:$G,Database!$D:$D,"Import",Database!$E:$E,$B16,Database!$C:$C,BR$1,Database!$F:$F,"Total")</f>
        <v>23338.5</v>
      </c>
      <c r="BS16" s="137">
        <f>SUMIFS(Database!$G:$G,Database!$D:$D,"Import",Database!$E:$E,$B16,Database!$C:$C,BS$1,Database!$F:$F,"Total")</f>
        <v>14053</v>
      </c>
      <c r="BT16" s="137">
        <f>SUMIFS(Database!$G:$G,Database!$D:$D,"Import",Database!$E:$E,$B16,Database!$C:$C,BT$1,Database!$F:$F,"Total")</f>
        <v>17997</v>
      </c>
      <c r="BU16" s="137">
        <f>SUMIFS(Database!$G:$G,Database!$D:$D,"Import",Database!$E:$E,$B16,Database!$C:$C,BU$1,Database!$F:$F,"Total")</f>
        <v>15836</v>
      </c>
      <c r="BV16" s="137">
        <f>SUMIFS(Database!$G:$G,Database!$D:$D,"Import",Database!$E:$E,$B16,Database!$C:$C,BV$1,Database!$F:$F,"Total")</f>
        <v>21150</v>
      </c>
      <c r="BW16" s="137">
        <f>SUMIFS(Database!$G:$G,Database!$D:$D,"Import",Database!$E:$E,$B16,Database!$C:$C,BW$1,Database!$F:$F,"Total")</f>
        <v>21046</v>
      </c>
      <c r="BX16" s="137">
        <f>SUMIFS(Database!$G:$G,Database!$D:$D,"Import",Database!$E:$E,$B16,Database!$C:$C,BX$1,Database!$F:$F,"Total")</f>
        <v>29086</v>
      </c>
      <c r="BY16" s="137">
        <f>SUMIFS(Database!$G:$G,Database!$D:$D,"Import",Database!$E:$E,$B16,Database!$C:$C,BY$1,Database!$F:$F,"Total")</f>
        <v>34588</v>
      </c>
      <c r="BZ16" s="137">
        <f>SUMIFS(Database!$G:$G,Database!$D:$D,"Import",Database!$E:$E,$B16,Database!$C:$C,BZ$1,Database!$F:$F,"Total")</f>
        <v>26472</v>
      </c>
      <c r="CA16" s="137">
        <f>SUMIFS(Database!$G:$G,Database!$D:$D,"Import",Database!$E:$E,$B16,Database!$C:$C,CA$1,Database!$F:$F,"Total")</f>
        <v>29776</v>
      </c>
      <c r="CB16" s="137">
        <f>SUMIFS(Database!$G:$G,Database!$D:$D,"Import",Database!$E:$E,$B16,Database!$C:$C,CB$1,Database!$F:$F,"Total")</f>
        <v>0</v>
      </c>
      <c r="CC16" s="137">
        <f>SUMIFS(Database!$G:$G,Database!$D:$D,"Import",Database!$E:$E,$B16,Database!$C:$C,CC$1,Database!$F:$F,"Total")</f>
        <v>0</v>
      </c>
      <c r="CD16" s="137">
        <f>SUMIFS(Database!$G:$G,Database!$D:$D,"Import",Database!$E:$E,$B16,Database!$C:$C,CD$1,Database!$F:$F,"Total")</f>
        <v>0</v>
      </c>
      <c r="CE16" s="137">
        <f>SUMIFS(Database!$G:$G,Database!$D:$D,"Import",Database!$E:$E,$B16,Database!$C:$C,CE$1,Database!$F:$F,"Total")</f>
        <v>0</v>
      </c>
      <c r="CF16" s="137">
        <f>SUMIFS(Database!$G:$G,Database!$D:$D,"Import",Database!$E:$E,$B16,Database!$C:$C,CF$1,Database!$F:$F,"Total")</f>
        <v>0</v>
      </c>
      <c r="CG16" s="137">
        <f>SUMIFS(Database!$G:$G,Database!$D:$D,"Import",Database!$E:$E,$B16,Database!$C:$C,CG$1,Database!$F:$F,"Total")</f>
        <v>0</v>
      </c>
      <c r="CH16" s="137">
        <f>SUMIFS(Database!$G:$G,Database!$D:$D,"Import",Database!$E:$E,$B16,Database!$C:$C,CH$1,Database!$F:$F,"Total")</f>
        <v>0</v>
      </c>
      <c r="CI16" s="137">
        <f>SUMIFS(Database!$G:$G,Database!$D:$D,"Import",Database!$E:$E,$B16,Database!$C:$C,CI$1,Database!$F:$F,"Total")</f>
        <v>0</v>
      </c>
      <c r="CJ16" s="137">
        <f>SUMIFS(Database!$G:$G,Database!$D:$D,"Import",Database!$E:$E,$B16,Database!$C:$C,CJ$1,Database!$F:$F,"Total")</f>
        <v>0</v>
      </c>
      <c r="CK16" s="137">
        <f>SUMIFS(Database!$G:$G,Database!$D:$D,"Import",Database!$E:$E,$B16,Database!$C:$C,CK$1,Database!$F:$F,"Total")</f>
        <v>0</v>
      </c>
      <c r="CL16" s="137">
        <f>SUMIFS(Database!$G:$G,Database!$D:$D,"Import",Database!$E:$E,$B16,Database!$C:$C,CL$1,Database!$F:$F,"Total")</f>
        <v>0</v>
      </c>
      <c r="CM16" s="137">
        <f>SUMIFS(Database!$G:$G,Database!$D:$D,"Import",Database!$E:$E,$B16,Database!$C:$C,CM$1,Database!$F:$F,"Total")</f>
        <v>0</v>
      </c>
      <c r="CN16" s="137">
        <f>SUMIFS(Database!$G:$G,Database!$D:$D,"Import",Database!$E:$E,$B16,Database!$C:$C,CN$1,Database!$F:$F,"Total")</f>
        <v>0</v>
      </c>
      <c r="CO16" s="137">
        <f>SUMIFS(Database!$G:$G,Database!$D:$D,"Import",Database!$E:$E,$B16,Database!$C:$C,CO$1,Database!$F:$F,"Total")</f>
        <v>0</v>
      </c>
      <c r="CP16" s="137">
        <f>SUMIFS(Database!$G:$G,Database!$D:$D,"Import",Database!$E:$E,$B16,Database!$C:$C,CP$1,Database!$F:$F,"Total")</f>
        <v>0</v>
      </c>
      <c r="CQ16" s="137">
        <f>SUMIFS(Database!$G:$G,Database!$D:$D,"Import",Database!$E:$E,$B16,Database!$C:$C,CQ$1,Database!$F:$F,"Total")</f>
        <v>0</v>
      </c>
      <c r="CR16" s="137">
        <f>SUMIFS(Database!$G:$G,Database!$D:$D,"Import",Database!$E:$E,$B16,Database!$C:$C,CR$1,Database!$F:$F,"Total")</f>
        <v>0</v>
      </c>
      <c r="CS16" s="137">
        <f>SUMIFS(Database!$G:$G,Database!$D:$D,"Import",Database!$E:$E,$B16,Database!$C:$C,CS$1,Database!$F:$F,"Total")</f>
        <v>0</v>
      </c>
      <c r="CT16" s="137">
        <f>SUMIFS(Database!$G:$G,Database!$D:$D,"Import",Database!$E:$E,$B16,Database!$C:$C,CT$1,Database!$F:$F,"Total")</f>
        <v>0</v>
      </c>
      <c r="CU16" s="137">
        <f>SUMIFS(Database!$G:$G,Database!$D:$D,"Import",Database!$E:$E,$B16,Database!$C:$C,CU$1,Database!$F:$F,"Total")</f>
        <v>0</v>
      </c>
    </row>
    <row r="17" spans="1:99" x14ac:dyDescent="0.25">
      <c r="A17" s="132" t="s">
        <v>484</v>
      </c>
      <c r="B17" s="133" t="s">
        <v>497</v>
      </c>
      <c r="C17" s="137">
        <f>SUMIFS(Database!$G:$G,Database!$D:$D,"Import",Database!$E:$E,$B17,Database!$C:$C,C$1,Database!$F:$F,"Total")</f>
        <v>0</v>
      </c>
      <c r="D17" s="137">
        <f>SUMIFS(Database!$G:$G,Database!$D:$D,"Import",Database!$E:$E,$B17,Database!$C:$C,D$1,Database!$F:$F,"Total")</f>
        <v>0</v>
      </c>
      <c r="E17" s="137">
        <f>SUMIFS(Database!$G:$G,Database!$D:$D,"Import",Database!$E:$E,$B17,Database!$C:$C,E$1,Database!$F:$F,"Total")</f>
        <v>0</v>
      </c>
      <c r="F17" s="137">
        <f>SUMIFS(Database!$G:$G,Database!$D:$D,"Import",Database!$E:$E,$B17,Database!$C:$C,F$1,Database!$F:$F,"Total")</f>
        <v>0</v>
      </c>
      <c r="G17" s="137">
        <f>SUMIFS(Database!$G:$G,Database!$D:$D,"Import",Database!$E:$E,$B17,Database!$C:$C,G$1,Database!$F:$F,"Total")</f>
        <v>0</v>
      </c>
      <c r="H17" s="137">
        <f>SUMIFS(Database!$G:$G,Database!$D:$D,"Import",Database!$E:$E,$B17,Database!$C:$C,H$1,Database!$F:$F,"Total")</f>
        <v>0</v>
      </c>
      <c r="I17" s="137">
        <f>SUMIFS(Database!$G:$G,Database!$D:$D,"Import",Database!$E:$E,$B17,Database!$C:$C,I$1,Database!$F:$F,"Total")</f>
        <v>0</v>
      </c>
      <c r="J17" s="137">
        <f>SUMIFS(Database!$G:$G,Database!$D:$D,"Import",Database!$E:$E,$B17,Database!$C:$C,J$1,Database!$F:$F,"Total")</f>
        <v>0</v>
      </c>
      <c r="K17" s="137">
        <f>SUMIFS(Database!$G:$G,Database!$D:$D,"Import",Database!$E:$E,$B17,Database!$C:$C,K$1,Database!$F:$F,"Total")</f>
        <v>0</v>
      </c>
      <c r="L17" s="137">
        <f>SUMIFS(Database!$G:$G,Database!$D:$D,"Import",Database!$E:$E,$B17,Database!$C:$C,L$1,Database!$F:$F,"Total")</f>
        <v>0</v>
      </c>
      <c r="M17" s="137">
        <f>SUMIFS(Database!$G:$G,Database!$D:$D,"Import",Database!$E:$E,$B17,Database!$C:$C,M$1,Database!$F:$F,"Total")</f>
        <v>0</v>
      </c>
      <c r="N17" s="137">
        <f>SUMIFS(Database!$G:$G,Database!$D:$D,"Import",Database!$E:$E,$B17,Database!$C:$C,N$1,Database!$F:$F,"Total")</f>
        <v>0</v>
      </c>
      <c r="O17" s="137">
        <f>SUMIFS(Database!$G:$G,Database!$D:$D,"Import",Database!$E:$E,$B17,Database!$C:$C,O$1,Database!$F:$F,"Total")</f>
        <v>0</v>
      </c>
      <c r="P17" s="137">
        <f>SUMIFS(Database!$G:$G,Database!$D:$D,"Import",Database!$E:$E,$B17,Database!$C:$C,P$1,Database!$F:$F,"Total")</f>
        <v>0</v>
      </c>
      <c r="Q17" s="137">
        <f>SUMIFS(Database!$G:$G,Database!$D:$D,"Import",Database!$E:$E,$B17,Database!$C:$C,Q$1,Database!$F:$F,"Total")</f>
        <v>0</v>
      </c>
      <c r="R17" s="137">
        <f>SUMIFS(Database!$G:$G,Database!$D:$D,"Import",Database!$E:$E,$B17,Database!$C:$C,R$1,Database!$F:$F,"Total")</f>
        <v>0</v>
      </c>
      <c r="S17" s="137">
        <f>SUMIFS(Database!$G:$G,Database!$D:$D,"Import",Database!$E:$E,$B17,Database!$C:$C,S$1,Database!$F:$F,"Total")</f>
        <v>0</v>
      </c>
      <c r="T17" s="137">
        <f>SUMIFS(Database!$G:$G,Database!$D:$D,"Import",Database!$E:$E,$B17,Database!$C:$C,T$1,Database!$F:$F,"Total")</f>
        <v>0</v>
      </c>
      <c r="U17" s="137">
        <f>SUMIFS(Database!$G:$G,Database!$D:$D,"Import",Database!$E:$E,$B17,Database!$C:$C,U$1,Database!$F:$F,"Total")</f>
        <v>0</v>
      </c>
      <c r="V17" s="137">
        <f>SUMIFS(Database!$G:$G,Database!$D:$D,"Import",Database!$E:$E,$B17,Database!$C:$C,V$1,Database!$F:$F,"Total")</f>
        <v>0</v>
      </c>
      <c r="W17" s="137">
        <f>SUMIFS(Database!$G:$G,Database!$D:$D,"Import",Database!$E:$E,$B17,Database!$C:$C,W$1,Database!$F:$F,"Total")</f>
        <v>0</v>
      </c>
      <c r="X17" s="137">
        <f>SUMIFS(Database!$G:$G,Database!$D:$D,"Import",Database!$E:$E,$B17,Database!$C:$C,X$1,Database!$F:$F,"Total")</f>
        <v>0</v>
      </c>
      <c r="Y17" s="137">
        <f>SUMIFS(Database!$G:$G,Database!$D:$D,"Import",Database!$E:$E,$B17,Database!$C:$C,Y$1,Database!$F:$F,"Total")</f>
        <v>0</v>
      </c>
      <c r="Z17" s="137">
        <f>SUMIFS(Database!$G:$G,Database!$D:$D,"Import",Database!$E:$E,$B17,Database!$C:$C,Z$1,Database!$F:$F,"Total")</f>
        <v>0</v>
      </c>
      <c r="AA17" s="137">
        <f>SUMIFS(Database!$G:$G,Database!$D:$D,"Import",Database!$E:$E,$B17,Database!$C:$C,AA$1,Database!$F:$F,"Total")</f>
        <v>0</v>
      </c>
      <c r="AB17" s="137">
        <f>SUMIFS(Database!$G:$G,Database!$D:$D,"Import",Database!$E:$E,$B17,Database!$C:$C,AB$1,Database!$F:$F,"Total")</f>
        <v>0</v>
      </c>
      <c r="AC17" s="137">
        <f>SUMIFS(Database!$G:$G,Database!$D:$D,"Import",Database!$E:$E,$B17,Database!$C:$C,AC$1,Database!$F:$F,"Total")</f>
        <v>0</v>
      </c>
      <c r="AD17" s="137">
        <f>SUMIFS(Database!$G:$G,Database!$D:$D,"Import",Database!$E:$E,$B17,Database!$C:$C,AD$1,Database!$F:$F,"Total")</f>
        <v>0</v>
      </c>
      <c r="AE17" s="137">
        <f>SUMIFS(Database!$G:$G,Database!$D:$D,"Import",Database!$E:$E,$B17,Database!$C:$C,AE$1,Database!$F:$F,"Total")</f>
        <v>0</v>
      </c>
      <c r="AF17" s="137">
        <f>SUMIFS(Database!$G:$G,Database!$D:$D,"Import",Database!$E:$E,$B17,Database!$C:$C,AF$1,Database!$F:$F,"Total")</f>
        <v>0</v>
      </c>
      <c r="AG17" s="137">
        <f>SUMIFS(Database!$G:$G,Database!$D:$D,"Import",Database!$E:$E,$B17,Database!$C:$C,AG$1,Database!$F:$F,"Total")</f>
        <v>0</v>
      </c>
      <c r="AH17" s="137">
        <f>SUMIFS(Database!$G:$G,Database!$D:$D,"Import",Database!$E:$E,$B17,Database!$C:$C,AH$1,Database!$F:$F,"Total")</f>
        <v>0</v>
      </c>
      <c r="AI17" s="137">
        <f>SUMIFS(Database!$G:$G,Database!$D:$D,"Import",Database!$E:$E,$B17,Database!$C:$C,AI$1,Database!$F:$F,"Total")</f>
        <v>0</v>
      </c>
      <c r="AJ17" s="137">
        <f>SUMIFS(Database!$G:$G,Database!$D:$D,"Import",Database!$E:$E,$B17,Database!$C:$C,AJ$1,Database!$F:$F,"Total")</f>
        <v>0</v>
      </c>
      <c r="AK17" s="137">
        <f>SUMIFS(Database!$G:$G,Database!$D:$D,"Import",Database!$E:$E,$B17,Database!$C:$C,AK$1,Database!$F:$F,"Total")</f>
        <v>0</v>
      </c>
      <c r="AL17" s="137">
        <f>SUMIFS(Database!$G:$G,Database!$D:$D,"Import",Database!$E:$E,$B17,Database!$C:$C,AL$1,Database!$F:$F,"Total")</f>
        <v>0</v>
      </c>
      <c r="AM17" s="137">
        <f>SUMIFS(Database!$G:$G,Database!$D:$D,"Import",Database!$E:$E,$B17,Database!$C:$C,AM$1,Database!$F:$F,"Total")</f>
        <v>0</v>
      </c>
      <c r="AN17" s="137">
        <f>SUMIFS(Database!$G:$G,Database!$D:$D,"Import",Database!$E:$E,$B17,Database!$C:$C,AN$1,Database!$F:$F,"Total")</f>
        <v>0</v>
      </c>
      <c r="AO17" s="137">
        <f>SUMIFS(Database!$G:$G,Database!$D:$D,"Import",Database!$E:$E,$B17,Database!$C:$C,AO$1,Database!$F:$F,"Total")</f>
        <v>0</v>
      </c>
      <c r="AP17" s="137">
        <f>SUMIFS(Database!$G:$G,Database!$D:$D,"Import",Database!$E:$E,$B17,Database!$C:$C,AP$1,Database!$F:$F,"Total")</f>
        <v>0</v>
      </c>
      <c r="AQ17" s="137">
        <f>SUMIFS(Database!$G:$G,Database!$D:$D,"Import",Database!$E:$E,$B17,Database!$C:$C,AQ$1,Database!$F:$F,"Total")</f>
        <v>0</v>
      </c>
      <c r="AR17" s="137">
        <f>SUMIFS(Database!$G:$G,Database!$D:$D,"Import",Database!$E:$E,$B17,Database!$C:$C,AR$1,Database!$F:$F,"Total")</f>
        <v>0</v>
      </c>
      <c r="AS17" s="137">
        <f>SUMIFS(Database!$G:$G,Database!$D:$D,"Import",Database!$E:$E,$B17,Database!$C:$C,AS$1,Database!$F:$F,"Total")</f>
        <v>0</v>
      </c>
      <c r="AT17" s="137">
        <f>SUMIFS(Database!$G:$G,Database!$D:$D,"Import",Database!$E:$E,$B17,Database!$C:$C,AT$1,Database!$F:$F,"Total")</f>
        <v>0</v>
      </c>
      <c r="AU17" s="137">
        <f>SUMIFS(Database!$G:$G,Database!$D:$D,"Import",Database!$E:$E,$B17,Database!$C:$C,AU$1,Database!$F:$F,"Total")</f>
        <v>0</v>
      </c>
      <c r="AV17" s="137">
        <f>SUMIFS(Database!$G:$G,Database!$D:$D,"Import",Database!$E:$E,$B17,Database!$C:$C,AV$1,Database!$F:$F,"Total")</f>
        <v>0</v>
      </c>
      <c r="AW17" s="137">
        <f>SUMIFS(Database!$G:$G,Database!$D:$D,"Import",Database!$E:$E,$B17,Database!$C:$C,AW$1,Database!$F:$F,"Total")</f>
        <v>0</v>
      </c>
      <c r="AX17" s="137">
        <f>SUMIFS(Database!$G:$G,Database!$D:$D,"Import",Database!$E:$E,$B17,Database!$C:$C,AX$1,Database!$F:$F,"Total")</f>
        <v>0</v>
      </c>
      <c r="AY17" s="137">
        <f>SUMIFS(Database!$G:$G,Database!$D:$D,"Import",Database!$E:$E,$B17,Database!$C:$C,AY$1,Database!$F:$F,"Total")</f>
        <v>0</v>
      </c>
      <c r="AZ17" s="137">
        <f>SUMIFS(Database!$G:$G,Database!$D:$D,"Import",Database!$E:$E,$B17,Database!$C:$C,AZ$1,Database!$F:$F,"Total")</f>
        <v>0</v>
      </c>
      <c r="BA17" s="137">
        <f>SUMIFS(Database!$G:$G,Database!$D:$D,"Import",Database!$E:$E,$B17,Database!$C:$C,BA$1,Database!$F:$F,"Total")</f>
        <v>0</v>
      </c>
      <c r="BB17" s="137">
        <f>SUMIFS(Database!$G:$G,Database!$D:$D,"Import",Database!$E:$E,$B17,Database!$C:$C,BB$1,Database!$F:$F,"Total")</f>
        <v>0</v>
      </c>
      <c r="BC17" s="137">
        <f>SUMIFS(Database!$G:$G,Database!$D:$D,"Import",Database!$E:$E,$B17,Database!$C:$C,BC$1,Database!$F:$F,"Total")</f>
        <v>0</v>
      </c>
      <c r="BD17" s="137">
        <f>SUMIFS(Database!$G:$G,Database!$D:$D,"Import",Database!$E:$E,$B17,Database!$C:$C,BD$1,Database!$F:$F,"Total")</f>
        <v>0</v>
      </c>
      <c r="BE17" s="137">
        <f>SUMIFS(Database!$G:$G,Database!$D:$D,"Import",Database!$E:$E,$B17,Database!$C:$C,BE$1,Database!$F:$F,"Total")</f>
        <v>0</v>
      </c>
      <c r="BF17" s="137">
        <f>SUMIFS(Database!$G:$G,Database!$D:$D,"Import",Database!$E:$E,$B17,Database!$C:$C,BF$1,Database!$F:$F,"Total")</f>
        <v>0</v>
      </c>
      <c r="BG17" s="137">
        <f>SUMIFS(Database!$G:$G,Database!$D:$D,"Import",Database!$E:$E,$B17,Database!$C:$C,BG$1,Database!$F:$F,"Total")</f>
        <v>0</v>
      </c>
      <c r="BH17" s="137">
        <f>SUMIFS(Database!$G:$G,Database!$D:$D,"Import",Database!$E:$E,$B17,Database!$C:$C,BH$1,Database!$F:$F,"Total")</f>
        <v>80108</v>
      </c>
      <c r="BI17" s="137">
        <f>SUMIFS(Database!$G:$G,Database!$D:$D,"Import",Database!$E:$E,$B17,Database!$C:$C,BI$1,Database!$F:$F,"Total")</f>
        <v>0</v>
      </c>
      <c r="BJ17" s="137">
        <f>SUMIFS(Database!$G:$G,Database!$D:$D,"Import",Database!$E:$E,$B17,Database!$C:$C,BJ$1,Database!$F:$F,"Total")</f>
        <v>0</v>
      </c>
      <c r="BK17" s="137">
        <f>SUMIFS(Database!$G:$G,Database!$D:$D,"Import",Database!$E:$E,$B17,Database!$C:$C,BK$1,Database!$F:$F,"Total")</f>
        <v>0</v>
      </c>
      <c r="BL17" s="137">
        <f>SUMIFS(Database!$G:$G,Database!$D:$D,"Import",Database!$E:$E,$B17,Database!$C:$C,BL$1,Database!$F:$F,"Total")</f>
        <v>0</v>
      </c>
      <c r="BM17" s="137">
        <f>SUMIFS(Database!$G:$G,Database!$D:$D,"Import",Database!$E:$E,$B17,Database!$C:$C,BM$1,Database!$F:$F,"Total")</f>
        <v>0</v>
      </c>
      <c r="BN17" s="137">
        <f>SUMIFS(Database!$G:$G,Database!$D:$D,"Import",Database!$E:$E,$B17,Database!$C:$C,BN$1,Database!$F:$F,"Total")</f>
        <v>0</v>
      </c>
      <c r="BO17" s="137">
        <f>SUMIFS(Database!$G:$G,Database!$D:$D,"Import",Database!$E:$E,$B17,Database!$C:$C,BO$1,Database!$F:$F,"Total")</f>
        <v>0</v>
      </c>
      <c r="BP17" s="137">
        <f>SUMIFS(Database!$G:$G,Database!$D:$D,"Import",Database!$E:$E,$B17,Database!$C:$C,BP$1,Database!$F:$F,"Total")</f>
        <v>0</v>
      </c>
      <c r="BQ17" s="137">
        <f>SUMIFS(Database!$G:$G,Database!$D:$D,"Import",Database!$E:$E,$B17,Database!$C:$C,BQ$1,Database!$F:$F,"Total")</f>
        <v>0</v>
      </c>
      <c r="BR17" s="137">
        <f>SUMIFS(Database!$G:$G,Database!$D:$D,"Import",Database!$E:$E,$B17,Database!$C:$C,BR$1,Database!$F:$F,"Total")</f>
        <v>0</v>
      </c>
      <c r="BS17" s="137">
        <f>SUMIFS(Database!$G:$G,Database!$D:$D,"Import",Database!$E:$E,$B17,Database!$C:$C,BS$1,Database!$F:$F,"Total")</f>
        <v>0</v>
      </c>
      <c r="BT17" s="137">
        <f>SUMIFS(Database!$G:$G,Database!$D:$D,"Import",Database!$E:$E,$B17,Database!$C:$C,BT$1,Database!$F:$F,"Total")</f>
        <v>0</v>
      </c>
      <c r="BU17" s="137">
        <f>SUMIFS(Database!$G:$G,Database!$D:$D,"Import",Database!$E:$E,$B17,Database!$C:$C,BU$1,Database!$F:$F,"Total")</f>
        <v>0</v>
      </c>
      <c r="BV17" s="137">
        <f>SUMIFS(Database!$G:$G,Database!$D:$D,"Import",Database!$E:$E,$B17,Database!$C:$C,BV$1,Database!$F:$F,"Total")</f>
        <v>0</v>
      </c>
      <c r="BW17" s="137">
        <f>SUMIFS(Database!$G:$G,Database!$D:$D,"Import",Database!$E:$E,$B17,Database!$C:$C,BW$1,Database!$F:$F,"Total")</f>
        <v>0</v>
      </c>
      <c r="BX17" s="137">
        <f>SUMIFS(Database!$G:$G,Database!$D:$D,"Import",Database!$E:$E,$B17,Database!$C:$C,BX$1,Database!$F:$F,"Total")</f>
        <v>0</v>
      </c>
      <c r="BY17" s="137">
        <f>SUMIFS(Database!$G:$G,Database!$D:$D,"Import",Database!$E:$E,$B17,Database!$C:$C,BY$1,Database!$F:$F,"Total")</f>
        <v>0</v>
      </c>
      <c r="BZ17" s="137">
        <f>SUMIFS(Database!$G:$G,Database!$D:$D,"Import",Database!$E:$E,$B17,Database!$C:$C,BZ$1,Database!$F:$F,"Total")</f>
        <v>0</v>
      </c>
      <c r="CA17" s="137">
        <f>SUMIFS(Database!$G:$G,Database!$D:$D,"Import",Database!$E:$E,$B17,Database!$C:$C,CA$1,Database!$F:$F,"Total")</f>
        <v>0</v>
      </c>
      <c r="CB17" s="137">
        <f>SUMIFS(Database!$G:$G,Database!$D:$D,"Import",Database!$E:$E,$B17,Database!$C:$C,CB$1,Database!$F:$F,"Total")</f>
        <v>0</v>
      </c>
      <c r="CC17" s="137">
        <f>SUMIFS(Database!$G:$G,Database!$D:$D,"Import",Database!$E:$E,$B17,Database!$C:$C,CC$1,Database!$F:$F,"Total")</f>
        <v>0</v>
      </c>
      <c r="CD17" s="137">
        <f>SUMIFS(Database!$G:$G,Database!$D:$D,"Import",Database!$E:$E,$B17,Database!$C:$C,CD$1,Database!$F:$F,"Total")</f>
        <v>0</v>
      </c>
      <c r="CE17" s="137">
        <f>SUMIFS(Database!$G:$G,Database!$D:$D,"Import",Database!$E:$E,$B17,Database!$C:$C,CE$1,Database!$F:$F,"Total")</f>
        <v>0</v>
      </c>
      <c r="CF17" s="137">
        <f>SUMIFS(Database!$G:$G,Database!$D:$D,"Import",Database!$E:$E,$B17,Database!$C:$C,CF$1,Database!$F:$F,"Total")</f>
        <v>0</v>
      </c>
      <c r="CG17" s="137">
        <f>SUMIFS(Database!$G:$G,Database!$D:$D,"Import",Database!$E:$E,$B17,Database!$C:$C,CG$1,Database!$F:$F,"Total")</f>
        <v>0</v>
      </c>
      <c r="CH17" s="137">
        <f>SUMIFS(Database!$G:$G,Database!$D:$D,"Import",Database!$E:$E,$B17,Database!$C:$C,CH$1,Database!$F:$F,"Total")</f>
        <v>0</v>
      </c>
      <c r="CI17" s="137">
        <f>SUMIFS(Database!$G:$G,Database!$D:$D,"Import",Database!$E:$E,$B17,Database!$C:$C,CI$1,Database!$F:$F,"Total")</f>
        <v>0</v>
      </c>
      <c r="CJ17" s="137">
        <f>SUMIFS(Database!$G:$G,Database!$D:$D,"Import",Database!$E:$E,$B17,Database!$C:$C,CJ$1,Database!$F:$F,"Total")</f>
        <v>0</v>
      </c>
      <c r="CK17" s="137">
        <f>SUMIFS(Database!$G:$G,Database!$D:$D,"Import",Database!$E:$E,$B17,Database!$C:$C,CK$1,Database!$F:$F,"Total")</f>
        <v>0</v>
      </c>
      <c r="CL17" s="137">
        <f>SUMIFS(Database!$G:$G,Database!$D:$D,"Import",Database!$E:$E,$B17,Database!$C:$C,CL$1,Database!$F:$F,"Total")</f>
        <v>0</v>
      </c>
      <c r="CM17" s="137">
        <f>SUMIFS(Database!$G:$G,Database!$D:$D,"Import",Database!$E:$E,$B17,Database!$C:$C,CM$1,Database!$F:$F,"Total")</f>
        <v>0</v>
      </c>
      <c r="CN17" s="137">
        <f>SUMIFS(Database!$G:$G,Database!$D:$D,"Import",Database!$E:$E,$B17,Database!$C:$C,CN$1,Database!$F:$F,"Total")</f>
        <v>0</v>
      </c>
      <c r="CO17" s="137">
        <f>SUMIFS(Database!$G:$G,Database!$D:$D,"Import",Database!$E:$E,$B17,Database!$C:$C,CO$1,Database!$F:$F,"Total")</f>
        <v>0</v>
      </c>
      <c r="CP17" s="137">
        <f>SUMIFS(Database!$G:$G,Database!$D:$D,"Import",Database!$E:$E,$B17,Database!$C:$C,CP$1,Database!$F:$F,"Total")</f>
        <v>0</v>
      </c>
      <c r="CQ17" s="137">
        <f>SUMIFS(Database!$G:$G,Database!$D:$D,"Import",Database!$E:$E,$B17,Database!$C:$C,CQ$1,Database!$F:$F,"Total")</f>
        <v>0</v>
      </c>
      <c r="CR17" s="137">
        <f>SUMIFS(Database!$G:$G,Database!$D:$D,"Import",Database!$E:$E,$B17,Database!$C:$C,CR$1,Database!$F:$F,"Total")</f>
        <v>0</v>
      </c>
      <c r="CS17" s="137">
        <f>SUMIFS(Database!$G:$G,Database!$D:$D,"Import",Database!$E:$E,$B17,Database!$C:$C,CS$1,Database!$F:$F,"Total")</f>
        <v>0</v>
      </c>
      <c r="CT17" s="137">
        <f>SUMIFS(Database!$G:$G,Database!$D:$D,"Import",Database!$E:$E,$B17,Database!$C:$C,CT$1,Database!$F:$F,"Total")</f>
        <v>0</v>
      </c>
      <c r="CU17" s="137">
        <f>SUMIFS(Database!$G:$G,Database!$D:$D,"Import",Database!$E:$E,$B17,Database!$C:$C,CU$1,Database!$F:$F,"Total")</f>
        <v>0</v>
      </c>
    </row>
    <row r="18" spans="1:99" x14ac:dyDescent="0.25">
      <c r="A18" s="132" t="s">
        <v>484</v>
      </c>
      <c r="B18" s="133" t="s">
        <v>48</v>
      </c>
      <c r="C18" s="137">
        <f>SUMIFS(Database!$G:$G,Database!$D:$D,"Import",Database!$E:$E,$B18,Database!$C:$C,C$1,Database!$F:$F,"Total")</f>
        <v>0</v>
      </c>
      <c r="D18" s="137">
        <f>SUMIFS(Database!$G:$G,Database!$D:$D,"Import",Database!$E:$E,$B18,Database!$C:$C,D$1,Database!$F:$F,"Total")</f>
        <v>0</v>
      </c>
      <c r="E18" s="137">
        <f>SUMIFS(Database!$G:$G,Database!$D:$D,"Import",Database!$E:$E,$B18,Database!$C:$C,E$1,Database!$F:$F,"Total")</f>
        <v>0</v>
      </c>
      <c r="F18" s="137">
        <f>SUMIFS(Database!$G:$G,Database!$D:$D,"Import",Database!$E:$E,$B18,Database!$C:$C,F$1,Database!$F:$F,"Total")</f>
        <v>0</v>
      </c>
      <c r="G18" s="137">
        <f>SUMIFS(Database!$G:$G,Database!$D:$D,"Import",Database!$E:$E,$B18,Database!$C:$C,G$1,Database!$F:$F,"Total")</f>
        <v>0</v>
      </c>
      <c r="H18" s="137">
        <f>SUMIFS(Database!$G:$G,Database!$D:$D,"Import",Database!$E:$E,$B18,Database!$C:$C,H$1,Database!$F:$F,"Total")</f>
        <v>0</v>
      </c>
      <c r="I18" s="137">
        <f>SUMIFS(Database!$G:$G,Database!$D:$D,"Import",Database!$E:$E,$B18,Database!$C:$C,I$1,Database!$F:$F,"Total")</f>
        <v>0</v>
      </c>
      <c r="J18" s="137">
        <f>SUMIFS(Database!$G:$G,Database!$D:$D,"Import",Database!$E:$E,$B18,Database!$C:$C,J$1,Database!$F:$F,"Total")</f>
        <v>0</v>
      </c>
      <c r="K18" s="137">
        <f>SUMIFS(Database!$G:$G,Database!$D:$D,"Import",Database!$E:$E,$B18,Database!$C:$C,K$1,Database!$F:$F,"Total")</f>
        <v>0</v>
      </c>
      <c r="L18" s="137">
        <f>SUMIFS(Database!$G:$G,Database!$D:$D,"Import",Database!$E:$E,$B18,Database!$C:$C,L$1,Database!$F:$F,"Total")</f>
        <v>0</v>
      </c>
      <c r="M18" s="137">
        <f>SUMIFS(Database!$G:$G,Database!$D:$D,"Import",Database!$E:$E,$B18,Database!$C:$C,M$1,Database!$F:$F,"Total")</f>
        <v>0</v>
      </c>
      <c r="N18" s="137">
        <f>SUMIFS(Database!$G:$G,Database!$D:$D,"Import",Database!$E:$E,$B18,Database!$C:$C,N$1,Database!$F:$F,"Total")</f>
        <v>0</v>
      </c>
      <c r="O18" s="137">
        <f>SUMIFS(Database!$G:$G,Database!$D:$D,"Import",Database!$E:$E,$B18,Database!$C:$C,O$1,Database!$F:$F,"Total")</f>
        <v>0</v>
      </c>
      <c r="P18" s="137">
        <f>SUMIFS(Database!$G:$G,Database!$D:$D,"Import",Database!$E:$E,$B18,Database!$C:$C,P$1,Database!$F:$F,"Total")</f>
        <v>0</v>
      </c>
      <c r="Q18" s="137">
        <f>SUMIFS(Database!$G:$G,Database!$D:$D,"Import",Database!$E:$E,$B18,Database!$C:$C,Q$1,Database!$F:$F,"Total")</f>
        <v>0</v>
      </c>
      <c r="R18" s="137">
        <f>SUMIFS(Database!$G:$G,Database!$D:$D,"Import",Database!$E:$E,$B18,Database!$C:$C,R$1,Database!$F:$F,"Total")</f>
        <v>0</v>
      </c>
      <c r="S18" s="137">
        <f>SUMIFS(Database!$G:$G,Database!$D:$D,"Import",Database!$E:$E,$B18,Database!$C:$C,S$1,Database!$F:$F,"Total")</f>
        <v>0</v>
      </c>
      <c r="T18" s="137">
        <f>SUMIFS(Database!$G:$G,Database!$D:$D,"Import",Database!$E:$E,$B18,Database!$C:$C,T$1,Database!$F:$F,"Total")</f>
        <v>0</v>
      </c>
      <c r="U18" s="137">
        <f>SUMIFS(Database!$G:$G,Database!$D:$D,"Import",Database!$E:$E,$B18,Database!$C:$C,U$1,Database!$F:$F,"Total")</f>
        <v>0</v>
      </c>
      <c r="V18" s="137">
        <f>SUMIFS(Database!$G:$G,Database!$D:$D,"Import",Database!$E:$E,$B18,Database!$C:$C,V$1,Database!$F:$F,"Total")</f>
        <v>0</v>
      </c>
      <c r="W18" s="137">
        <f>SUMIFS(Database!$G:$G,Database!$D:$D,"Import",Database!$E:$E,$B18,Database!$C:$C,W$1,Database!$F:$F,"Total")</f>
        <v>0</v>
      </c>
      <c r="X18" s="137">
        <f>SUMIFS(Database!$G:$G,Database!$D:$D,"Import",Database!$E:$E,$B18,Database!$C:$C,X$1,Database!$F:$F,"Total")</f>
        <v>0</v>
      </c>
      <c r="Y18" s="137">
        <f>SUMIFS(Database!$G:$G,Database!$D:$D,"Import",Database!$E:$E,$B18,Database!$C:$C,Y$1,Database!$F:$F,"Total")</f>
        <v>0</v>
      </c>
      <c r="Z18" s="137">
        <f>SUMIFS(Database!$G:$G,Database!$D:$D,"Import",Database!$E:$E,$B18,Database!$C:$C,Z$1,Database!$F:$F,"Total")</f>
        <v>0</v>
      </c>
      <c r="AA18" s="137">
        <f>SUMIFS(Database!$G:$G,Database!$D:$D,"Import",Database!$E:$E,$B18,Database!$C:$C,AA$1,Database!$F:$F,"Total")</f>
        <v>0</v>
      </c>
      <c r="AB18" s="137">
        <f>SUMIFS(Database!$G:$G,Database!$D:$D,"Import",Database!$E:$E,$B18,Database!$C:$C,AB$1,Database!$F:$F,"Total")</f>
        <v>0</v>
      </c>
      <c r="AC18" s="137">
        <f>SUMIFS(Database!$G:$G,Database!$D:$D,"Import",Database!$E:$E,$B18,Database!$C:$C,AC$1,Database!$F:$F,"Total")</f>
        <v>0</v>
      </c>
      <c r="AD18" s="137">
        <f>SUMIFS(Database!$G:$G,Database!$D:$D,"Import",Database!$E:$E,$B18,Database!$C:$C,AD$1,Database!$F:$F,"Total")</f>
        <v>0</v>
      </c>
      <c r="AE18" s="137">
        <f>SUMIFS(Database!$G:$G,Database!$D:$D,"Import",Database!$E:$E,$B18,Database!$C:$C,AE$1,Database!$F:$F,"Total")</f>
        <v>0</v>
      </c>
      <c r="AF18" s="137">
        <f>SUMIFS(Database!$G:$G,Database!$D:$D,"Import",Database!$E:$E,$B18,Database!$C:$C,AF$1,Database!$F:$F,"Total")</f>
        <v>0</v>
      </c>
      <c r="AG18" s="137">
        <f>SUMIFS(Database!$G:$G,Database!$D:$D,"Import",Database!$E:$E,$B18,Database!$C:$C,AG$1,Database!$F:$F,"Total")</f>
        <v>0</v>
      </c>
      <c r="AH18" s="137">
        <f>SUMIFS(Database!$G:$G,Database!$D:$D,"Import",Database!$E:$E,$B18,Database!$C:$C,AH$1,Database!$F:$F,"Total")</f>
        <v>0</v>
      </c>
      <c r="AI18" s="137">
        <f>SUMIFS(Database!$G:$G,Database!$D:$D,"Import",Database!$E:$E,$B18,Database!$C:$C,AI$1,Database!$F:$F,"Total")</f>
        <v>0</v>
      </c>
      <c r="AJ18" s="137">
        <f>SUMIFS(Database!$G:$G,Database!$D:$D,"Import",Database!$E:$E,$B18,Database!$C:$C,AJ$1,Database!$F:$F,"Total")</f>
        <v>0</v>
      </c>
      <c r="AK18" s="137">
        <f>SUMIFS(Database!$G:$G,Database!$D:$D,"Import",Database!$E:$E,$B18,Database!$C:$C,AK$1,Database!$F:$F,"Total")</f>
        <v>0</v>
      </c>
      <c r="AL18" s="137">
        <f>SUMIFS(Database!$G:$G,Database!$D:$D,"Import",Database!$E:$E,$B18,Database!$C:$C,AL$1,Database!$F:$F,"Total")</f>
        <v>0</v>
      </c>
      <c r="AM18" s="137">
        <f>SUMIFS(Database!$G:$G,Database!$D:$D,"Import",Database!$E:$E,$B18,Database!$C:$C,AM$1,Database!$F:$F,"Total")</f>
        <v>0</v>
      </c>
      <c r="AN18" s="137">
        <f>SUMIFS(Database!$G:$G,Database!$D:$D,"Import",Database!$E:$E,$B18,Database!$C:$C,AN$1,Database!$F:$F,"Total")</f>
        <v>0</v>
      </c>
      <c r="AO18" s="137">
        <f>SUMIFS(Database!$G:$G,Database!$D:$D,"Import",Database!$E:$E,$B18,Database!$C:$C,AO$1,Database!$F:$F,"Total")</f>
        <v>0</v>
      </c>
      <c r="AP18" s="137">
        <f>SUMIFS(Database!$G:$G,Database!$D:$D,"Import",Database!$E:$E,$B18,Database!$C:$C,AP$1,Database!$F:$F,"Total")</f>
        <v>0</v>
      </c>
      <c r="AQ18" s="137">
        <f>SUMIFS(Database!$G:$G,Database!$D:$D,"Import",Database!$E:$E,$B18,Database!$C:$C,AQ$1,Database!$F:$F,"Total")</f>
        <v>0</v>
      </c>
      <c r="AR18" s="137">
        <f>SUMIFS(Database!$G:$G,Database!$D:$D,"Import",Database!$E:$E,$B18,Database!$C:$C,AR$1,Database!$F:$F,"Total")</f>
        <v>0</v>
      </c>
      <c r="AS18" s="137">
        <f>SUMIFS(Database!$G:$G,Database!$D:$D,"Import",Database!$E:$E,$B18,Database!$C:$C,AS$1,Database!$F:$F,"Total")</f>
        <v>0</v>
      </c>
      <c r="AT18" s="137">
        <f>SUMIFS(Database!$G:$G,Database!$D:$D,"Import",Database!$E:$E,$B18,Database!$C:$C,AT$1,Database!$F:$F,"Total")</f>
        <v>0</v>
      </c>
      <c r="AU18" s="137">
        <f>SUMIFS(Database!$G:$G,Database!$D:$D,"Import",Database!$E:$E,$B18,Database!$C:$C,AU$1,Database!$F:$F,"Total")</f>
        <v>0</v>
      </c>
      <c r="AV18" s="137">
        <f>SUMIFS(Database!$G:$G,Database!$D:$D,"Import",Database!$E:$E,$B18,Database!$C:$C,AV$1,Database!$F:$F,"Total")</f>
        <v>0</v>
      </c>
      <c r="AW18" s="137">
        <f>SUMIFS(Database!$G:$G,Database!$D:$D,"Import",Database!$E:$E,$B18,Database!$C:$C,AW$1,Database!$F:$F,"Total")</f>
        <v>0</v>
      </c>
      <c r="AX18" s="137">
        <f>SUMIFS(Database!$G:$G,Database!$D:$D,"Import",Database!$E:$E,$B18,Database!$C:$C,AX$1,Database!$F:$F,"Total")</f>
        <v>0</v>
      </c>
      <c r="AY18" s="137">
        <f>SUMIFS(Database!$G:$G,Database!$D:$D,"Import",Database!$E:$E,$B18,Database!$C:$C,AY$1,Database!$F:$F,"Total")</f>
        <v>0</v>
      </c>
      <c r="AZ18" s="137">
        <f>SUMIFS(Database!$G:$G,Database!$D:$D,"Import",Database!$E:$E,$B18,Database!$C:$C,AZ$1,Database!$F:$F,"Total")</f>
        <v>0</v>
      </c>
      <c r="BA18" s="137">
        <f>SUMIFS(Database!$G:$G,Database!$D:$D,"Import",Database!$E:$E,$B18,Database!$C:$C,BA$1,Database!$F:$F,"Total")</f>
        <v>0</v>
      </c>
      <c r="BB18" s="137">
        <f>SUMIFS(Database!$G:$G,Database!$D:$D,"Import",Database!$E:$E,$B18,Database!$C:$C,BB$1,Database!$F:$F,"Total")</f>
        <v>15960</v>
      </c>
      <c r="BC18" s="137">
        <f>SUMIFS(Database!$G:$G,Database!$D:$D,"Import",Database!$E:$E,$B18,Database!$C:$C,BC$1,Database!$F:$F,"Total")</f>
        <v>0</v>
      </c>
      <c r="BD18" s="137">
        <f>SUMIFS(Database!$G:$G,Database!$D:$D,"Import",Database!$E:$E,$B18,Database!$C:$C,BD$1,Database!$F:$F,"Total")</f>
        <v>0</v>
      </c>
      <c r="BE18" s="137">
        <f>SUMIFS(Database!$G:$G,Database!$D:$D,"Import",Database!$E:$E,$B18,Database!$C:$C,BE$1,Database!$F:$F,"Total")</f>
        <v>0</v>
      </c>
      <c r="BF18" s="137">
        <f>SUMIFS(Database!$G:$G,Database!$D:$D,"Import",Database!$E:$E,$B18,Database!$C:$C,BF$1,Database!$F:$F,"Total")</f>
        <v>0</v>
      </c>
      <c r="BG18" s="137">
        <f>SUMIFS(Database!$G:$G,Database!$D:$D,"Import",Database!$E:$E,$B18,Database!$C:$C,BG$1,Database!$F:$F,"Total")</f>
        <v>0</v>
      </c>
      <c r="BH18" s="137">
        <f>SUMIFS(Database!$G:$G,Database!$D:$D,"Import",Database!$E:$E,$B18,Database!$C:$C,BH$1,Database!$F:$F,"Total")</f>
        <v>0</v>
      </c>
      <c r="BI18" s="137">
        <f>SUMIFS(Database!$G:$G,Database!$D:$D,"Import",Database!$E:$E,$B18,Database!$C:$C,BI$1,Database!$F:$F,"Total")</f>
        <v>0</v>
      </c>
      <c r="BJ18" s="137">
        <f>SUMIFS(Database!$G:$G,Database!$D:$D,"Import",Database!$E:$E,$B18,Database!$C:$C,BJ$1,Database!$F:$F,"Total")</f>
        <v>0</v>
      </c>
      <c r="BK18" s="137">
        <f>SUMIFS(Database!$G:$G,Database!$D:$D,"Import",Database!$E:$E,$B18,Database!$C:$C,BK$1,Database!$F:$F,"Total")</f>
        <v>0</v>
      </c>
      <c r="BL18" s="137">
        <f>SUMIFS(Database!$G:$G,Database!$D:$D,"Import",Database!$E:$E,$B18,Database!$C:$C,BL$1,Database!$F:$F,"Total")</f>
        <v>0</v>
      </c>
      <c r="BM18" s="137">
        <f>SUMIFS(Database!$G:$G,Database!$D:$D,"Import",Database!$E:$E,$B18,Database!$C:$C,BM$1,Database!$F:$F,"Total")</f>
        <v>0</v>
      </c>
      <c r="BN18" s="137">
        <f>SUMIFS(Database!$G:$G,Database!$D:$D,"Import",Database!$E:$E,$B18,Database!$C:$C,BN$1,Database!$F:$F,"Total")</f>
        <v>10828</v>
      </c>
      <c r="BO18" s="137">
        <f>SUMIFS(Database!$G:$G,Database!$D:$D,"Import",Database!$E:$E,$B18,Database!$C:$C,BO$1,Database!$F:$F,"Total")</f>
        <v>0</v>
      </c>
      <c r="BP18" s="137">
        <f>SUMIFS(Database!$G:$G,Database!$D:$D,"Import",Database!$E:$E,$B18,Database!$C:$C,BP$1,Database!$F:$F,"Total")</f>
        <v>17478.5</v>
      </c>
      <c r="BQ18" s="137">
        <f>SUMIFS(Database!$G:$G,Database!$D:$D,"Import",Database!$E:$E,$B18,Database!$C:$C,BQ$1,Database!$F:$F,"Total")</f>
        <v>9154</v>
      </c>
      <c r="BR18" s="137">
        <f>SUMIFS(Database!$G:$G,Database!$D:$D,"Import",Database!$E:$E,$B18,Database!$C:$C,BR$1,Database!$F:$F,"Total")</f>
        <v>18430</v>
      </c>
      <c r="BS18" s="137">
        <f>SUMIFS(Database!$G:$G,Database!$D:$D,"Import",Database!$E:$E,$B18,Database!$C:$C,BS$1,Database!$F:$F,"Total")</f>
        <v>15448</v>
      </c>
      <c r="BT18" s="137">
        <f>SUMIFS(Database!$G:$G,Database!$D:$D,"Import",Database!$E:$E,$B18,Database!$C:$C,BT$1,Database!$F:$F,"Total")</f>
        <v>8812</v>
      </c>
      <c r="BU18" s="137">
        <f>SUMIFS(Database!$G:$G,Database!$D:$D,"Import",Database!$E:$E,$B18,Database!$C:$C,BU$1,Database!$F:$F,"Total")</f>
        <v>22872</v>
      </c>
      <c r="BV18" s="137">
        <f>SUMIFS(Database!$G:$G,Database!$D:$D,"Import",Database!$E:$E,$B18,Database!$C:$C,BV$1,Database!$F:$F,"Total")</f>
        <v>13634</v>
      </c>
      <c r="BW18" s="137">
        <f>SUMIFS(Database!$G:$G,Database!$D:$D,"Import",Database!$E:$E,$B18,Database!$C:$C,BW$1,Database!$F:$F,"Total")</f>
        <v>13292</v>
      </c>
      <c r="BX18" s="137">
        <f>SUMIFS(Database!$G:$G,Database!$D:$D,"Import",Database!$E:$E,$B18,Database!$C:$C,BX$1,Database!$F:$F,"Total")</f>
        <v>17273</v>
      </c>
      <c r="BY18" s="137">
        <f>SUMIFS(Database!$G:$G,Database!$D:$D,"Import",Database!$E:$E,$B18,Database!$C:$C,BY$1,Database!$F:$F,"Total")</f>
        <v>30967</v>
      </c>
      <c r="BZ18" s="137">
        <f>SUMIFS(Database!$G:$G,Database!$D:$D,"Import",Database!$E:$E,$B18,Database!$C:$C,BZ$1,Database!$F:$F,"Total")</f>
        <v>16028</v>
      </c>
      <c r="CA18" s="137">
        <f>SUMIFS(Database!$G:$G,Database!$D:$D,"Import",Database!$E:$E,$B18,Database!$C:$C,CA$1,Database!$F:$F,"Total")</f>
        <v>21045</v>
      </c>
      <c r="CB18" s="137">
        <f>SUMIFS(Database!$G:$G,Database!$D:$D,"Import",Database!$E:$E,$B18,Database!$C:$C,CB$1,Database!$F:$F,"Total")</f>
        <v>0</v>
      </c>
      <c r="CC18" s="137">
        <f>SUMIFS(Database!$G:$G,Database!$D:$D,"Import",Database!$E:$E,$B18,Database!$C:$C,CC$1,Database!$F:$F,"Total")</f>
        <v>0</v>
      </c>
      <c r="CD18" s="137">
        <f>SUMIFS(Database!$G:$G,Database!$D:$D,"Import",Database!$E:$E,$B18,Database!$C:$C,CD$1,Database!$F:$F,"Total")</f>
        <v>0</v>
      </c>
      <c r="CE18" s="137">
        <f>SUMIFS(Database!$G:$G,Database!$D:$D,"Import",Database!$E:$E,$B18,Database!$C:$C,CE$1,Database!$F:$F,"Total")</f>
        <v>0</v>
      </c>
      <c r="CF18" s="137">
        <f>SUMIFS(Database!$G:$G,Database!$D:$D,"Import",Database!$E:$E,$B18,Database!$C:$C,CF$1,Database!$F:$F,"Total")</f>
        <v>0</v>
      </c>
      <c r="CG18" s="137">
        <f>SUMIFS(Database!$G:$G,Database!$D:$D,"Import",Database!$E:$E,$B18,Database!$C:$C,CG$1,Database!$F:$F,"Total")</f>
        <v>0</v>
      </c>
      <c r="CH18" s="137">
        <f>SUMIFS(Database!$G:$G,Database!$D:$D,"Import",Database!$E:$E,$B18,Database!$C:$C,CH$1,Database!$F:$F,"Total")</f>
        <v>0</v>
      </c>
      <c r="CI18" s="137">
        <f>SUMIFS(Database!$G:$G,Database!$D:$D,"Import",Database!$E:$E,$B18,Database!$C:$C,CI$1,Database!$F:$F,"Total")</f>
        <v>0</v>
      </c>
      <c r="CJ18" s="137">
        <f>SUMIFS(Database!$G:$G,Database!$D:$D,"Import",Database!$E:$E,$B18,Database!$C:$C,CJ$1,Database!$F:$F,"Total")</f>
        <v>0</v>
      </c>
      <c r="CK18" s="137">
        <f>SUMIFS(Database!$G:$G,Database!$D:$D,"Import",Database!$E:$E,$B18,Database!$C:$C,CK$1,Database!$F:$F,"Total")</f>
        <v>0</v>
      </c>
      <c r="CL18" s="137">
        <f>SUMIFS(Database!$G:$G,Database!$D:$D,"Import",Database!$E:$E,$B18,Database!$C:$C,CL$1,Database!$F:$F,"Total")</f>
        <v>0</v>
      </c>
      <c r="CM18" s="137">
        <f>SUMIFS(Database!$G:$G,Database!$D:$D,"Import",Database!$E:$E,$B18,Database!$C:$C,CM$1,Database!$F:$F,"Total")</f>
        <v>0</v>
      </c>
      <c r="CN18" s="137">
        <f>SUMIFS(Database!$G:$G,Database!$D:$D,"Import",Database!$E:$E,$B18,Database!$C:$C,CN$1,Database!$F:$F,"Total")</f>
        <v>0</v>
      </c>
      <c r="CO18" s="137">
        <f>SUMIFS(Database!$G:$G,Database!$D:$D,"Import",Database!$E:$E,$B18,Database!$C:$C,CO$1,Database!$F:$F,"Total")</f>
        <v>0</v>
      </c>
      <c r="CP18" s="137">
        <f>SUMIFS(Database!$G:$G,Database!$D:$D,"Import",Database!$E:$E,$B18,Database!$C:$C,CP$1,Database!$F:$F,"Total")</f>
        <v>0</v>
      </c>
      <c r="CQ18" s="137">
        <f>SUMIFS(Database!$G:$G,Database!$D:$D,"Import",Database!$E:$E,$B18,Database!$C:$C,CQ$1,Database!$F:$F,"Total")</f>
        <v>0</v>
      </c>
      <c r="CR18" s="137">
        <f>SUMIFS(Database!$G:$G,Database!$D:$D,"Import",Database!$E:$E,$B18,Database!$C:$C,CR$1,Database!$F:$F,"Total")</f>
        <v>0</v>
      </c>
      <c r="CS18" s="137">
        <f>SUMIFS(Database!$G:$G,Database!$D:$D,"Import",Database!$E:$E,$B18,Database!$C:$C,CS$1,Database!$F:$F,"Total")</f>
        <v>0</v>
      </c>
      <c r="CT18" s="137">
        <f>SUMIFS(Database!$G:$G,Database!$D:$D,"Import",Database!$E:$E,$B18,Database!$C:$C,CT$1,Database!$F:$F,"Total")</f>
        <v>0</v>
      </c>
      <c r="CU18" s="137">
        <f>SUMIFS(Database!$G:$G,Database!$D:$D,"Import",Database!$E:$E,$B18,Database!$C:$C,CU$1,Database!$F:$F,"Total")</f>
        <v>0</v>
      </c>
    </row>
    <row r="19" spans="1:99" x14ac:dyDescent="0.25">
      <c r="A19" s="132" t="s">
        <v>484</v>
      </c>
      <c r="B19" s="133" t="s">
        <v>49</v>
      </c>
      <c r="C19" s="137">
        <f>SUMIFS(Database!$G:$G,Database!$D:$D,"Import",Database!$E:$E,$B19,Database!$C:$C,C$1,Database!$F:$F,"Total")</f>
        <v>0</v>
      </c>
      <c r="D19" s="137">
        <f>SUMIFS(Database!$G:$G,Database!$D:$D,"Import",Database!$E:$E,$B19,Database!$C:$C,D$1,Database!$F:$F,"Total")</f>
        <v>0</v>
      </c>
      <c r="E19" s="137">
        <f>SUMIFS(Database!$G:$G,Database!$D:$D,"Import",Database!$E:$E,$B19,Database!$C:$C,E$1,Database!$F:$F,"Total")</f>
        <v>0</v>
      </c>
      <c r="F19" s="137">
        <f>SUMIFS(Database!$G:$G,Database!$D:$D,"Import",Database!$E:$E,$B19,Database!$C:$C,F$1,Database!$F:$F,"Total")</f>
        <v>0</v>
      </c>
      <c r="G19" s="137">
        <f>SUMIFS(Database!$G:$G,Database!$D:$D,"Import",Database!$E:$E,$B19,Database!$C:$C,G$1,Database!$F:$F,"Total")</f>
        <v>0</v>
      </c>
      <c r="H19" s="137">
        <f>SUMIFS(Database!$G:$G,Database!$D:$D,"Import",Database!$E:$E,$B19,Database!$C:$C,H$1,Database!$F:$F,"Total")</f>
        <v>0</v>
      </c>
      <c r="I19" s="137">
        <f>SUMIFS(Database!$G:$G,Database!$D:$D,"Import",Database!$E:$E,$B19,Database!$C:$C,I$1,Database!$F:$F,"Total")</f>
        <v>0</v>
      </c>
      <c r="J19" s="137">
        <f>SUMIFS(Database!$G:$G,Database!$D:$D,"Import",Database!$E:$E,$B19,Database!$C:$C,J$1,Database!$F:$F,"Total")</f>
        <v>0</v>
      </c>
      <c r="K19" s="137">
        <f>SUMIFS(Database!$G:$G,Database!$D:$D,"Import",Database!$E:$E,$B19,Database!$C:$C,K$1,Database!$F:$F,"Total")</f>
        <v>0</v>
      </c>
      <c r="L19" s="137">
        <f>SUMIFS(Database!$G:$G,Database!$D:$D,"Import",Database!$E:$E,$B19,Database!$C:$C,L$1,Database!$F:$F,"Total")</f>
        <v>0</v>
      </c>
      <c r="M19" s="137">
        <f>SUMIFS(Database!$G:$G,Database!$D:$D,"Import",Database!$E:$E,$B19,Database!$C:$C,M$1,Database!$F:$F,"Total")</f>
        <v>0</v>
      </c>
      <c r="N19" s="137">
        <f>SUMIFS(Database!$G:$G,Database!$D:$D,"Import",Database!$E:$E,$B19,Database!$C:$C,N$1,Database!$F:$F,"Total")</f>
        <v>0</v>
      </c>
      <c r="O19" s="137">
        <f>SUMIFS(Database!$G:$G,Database!$D:$D,"Import",Database!$E:$E,$B19,Database!$C:$C,O$1,Database!$F:$F,"Total")</f>
        <v>0</v>
      </c>
      <c r="P19" s="137">
        <f>SUMIFS(Database!$G:$G,Database!$D:$D,"Import",Database!$E:$E,$B19,Database!$C:$C,P$1,Database!$F:$F,"Total")</f>
        <v>0</v>
      </c>
      <c r="Q19" s="137">
        <f>SUMIFS(Database!$G:$G,Database!$D:$D,"Import",Database!$E:$E,$B19,Database!$C:$C,Q$1,Database!$F:$F,"Total")</f>
        <v>0</v>
      </c>
      <c r="R19" s="137">
        <f>SUMIFS(Database!$G:$G,Database!$D:$D,"Import",Database!$E:$E,$B19,Database!$C:$C,R$1,Database!$F:$F,"Total")</f>
        <v>0</v>
      </c>
      <c r="S19" s="137">
        <f>SUMIFS(Database!$G:$G,Database!$D:$D,"Import",Database!$E:$E,$B19,Database!$C:$C,S$1,Database!$F:$F,"Total")</f>
        <v>0</v>
      </c>
      <c r="T19" s="137">
        <f>SUMIFS(Database!$G:$G,Database!$D:$D,"Import",Database!$E:$E,$B19,Database!$C:$C,T$1,Database!$F:$F,"Total")</f>
        <v>0</v>
      </c>
      <c r="U19" s="137">
        <f>SUMIFS(Database!$G:$G,Database!$D:$D,"Import",Database!$E:$E,$B19,Database!$C:$C,U$1,Database!$F:$F,"Total")</f>
        <v>0</v>
      </c>
      <c r="V19" s="137">
        <f>SUMIFS(Database!$G:$G,Database!$D:$D,"Import",Database!$E:$E,$B19,Database!$C:$C,V$1,Database!$F:$F,"Total")</f>
        <v>0</v>
      </c>
      <c r="W19" s="137">
        <f>SUMIFS(Database!$G:$G,Database!$D:$D,"Import",Database!$E:$E,$B19,Database!$C:$C,W$1,Database!$F:$F,"Total")</f>
        <v>0</v>
      </c>
      <c r="X19" s="137">
        <f>SUMIFS(Database!$G:$G,Database!$D:$D,"Import",Database!$E:$E,$B19,Database!$C:$C,X$1,Database!$F:$F,"Total")</f>
        <v>0</v>
      </c>
      <c r="Y19" s="137">
        <f>SUMIFS(Database!$G:$G,Database!$D:$D,"Import",Database!$E:$E,$B19,Database!$C:$C,Y$1,Database!$F:$F,"Total")</f>
        <v>0</v>
      </c>
      <c r="Z19" s="137">
        <f>SUMIFS(Database!$G:$G,Database!$D:$D,"Import",Database!$E:$E,$B19,Database!$C:$C,Z$1,Database!$F:$F,"Total")</f>
        <v>0</v>
      </c>
      <c r="AA19" s="137">
        <f>SUMIFS(Database!$G:$G,Database!$D:$D,"Import",Database!$E:$E,$B19,Database!$C:$C,AA$1,Database!$F:$F,"Total")</f>
        <v>0</v>
      </c>
      <c r="AB19" s="137">
        <f>SUMIFS(Database!$G:$G,Database!$D:$D,"Import",Database!$E:$E,$B19,Database!$C:$C,AB$1,Database!$F:$F,"Total")</f>
        <v>0</v>
      </c>
      <c r="AC19" s="137">
        <f>SUMIFS(Database!$G:$G,Database!$D:$D,"Import",Database!$E:$E,$B19,Database!$C:$C,AC$1,Database!$F:$F,"Total")</f>
        <v>0</v>
      </c>
      <c r="AD19" s="137">
        <f>SUMIFS(Database!$G:$G,Database!$D:$D,"Import",Database!$E:$E,$B19,Database!$C:$C,AD$1,Database!$F:$F,"Total")</f>
        <v>0</v>
      </c>
      <c r="AE19" s="137">
        <f>SUMIFS(Database!$G:$G,Database!$D:$D,"Import",Database!$E:$E,$B19,Database!$C:$C,AE$1,Database!$F:$F,"Total")</f>
        <v>0</v>
      </c>
      <c r="AF19" s="137">
        <f>SUMIFS(Database!$G:$G,Database!$D:$D,"Import",Database!$E:$E,$B19,Database!$C:$C,AF$1,Database!$F:$F,"Total")</f>
        <v>0</v>
      </c>
      <c r="AG19" s="137">
        <f>SUMIFS(Database!$G:$G,Database!$D:$D,"Import",Database!$E:$E,$B19,Database!$C:$C,AG$1,Database!$F:$F,"Total")</f>
        <v>0</v>
      </c>
      <c r="AH19" s="137">
        <f>SUMIFS(Database!$G:$G,Database!$D:$D,"Import",Database!$E:$E,$B19,Database!$C:$C,AH$1,Database!$F:$F,"Total")</f>
        <v>0</v>
      </c>
      <c r="AI19" s="137">
        <f>SUMIFS(Database!$G:$G,Database!$D:$D,"Import",Database!$E:$E,$B19,Database!$C:$C,AI$1,Database!$F:$F,"Total")</f>
        <v>0</v>
      </c>
      <c r="AJ19" s="137">
        <f>SUMIFS(Database!$G:$G,Database!$D:$D,"Import",Database!$E:$E,$B19,Database!$C:$C,AJ$1,Database!$F:$F,"Total")</f>
        <v>0</v>
      </c>
      <c r="AK19" s="137">
        <f>SUMIFS(Database!$G:$G,Database!$D:$D,"Import",Database!$E:$E,$B19,Database!$C:$C,AK$1,Database!$F:$F,"Total")</f>
        <v>0</v>
      </c>
      <c r="AL19" s="137">
        <f>SUMIFS(Database!$G:$G,Database!$D:$D,"Import",Database!$E:$E,$B19,Database!$C:$C,AL$1,Database!$F:$F,"Total")</f>
        <v>0</v>
      </c>
      <c r="AM19" s="137">
        <f>SUMIFS(Database!$G:$G,Database!$D:$D,"Import",Database!$E:$E,$B19,Database!$C:$C,AM$1,Database!$F:$F,"Total")</f>
        <v>0</v>
      </c>
      <c r="AN19" s="137">
        <f>SUMIFS(Database!$G:$G,Database!$D:$D,"Import",Database!$E:$E,$B19,Database!$C:$C,AN$1,Database!$F:$F,"Total")</f>
        <v>0</v>
      </c>
      <c r="AO19" s="137">
        <f>SUMIFS(Database!$G:$G,Database!$D:$D,"Import",Database!$E:$E,$B19,Database!$C:$C,AO$1,Database!$F:$F,"Total")</f>
        <v>0</v>
      </c>
      <c r="AP19" s="137">
        <f>SUMIFS(Database!$G:$G,Database!$D:$D,"Import",Database!$E:$E,$B19,Database!$C:$C,AP$1,Database!$F:$F,"Total")</f>
        <v>0</v>
      </c>
      <c r="AQ19" s="137">
        <f>SUMIFS(Database!$G:$G,Database!$D:$D,"Import",Database!$E:$E,$B19,Database!$C:$C,AQ$1,Database!$F:$F,"Total")</f>
        <v>0</v>
      </c>
      <c r="AR19" s="137">
        <f>SUMIFS(Database!$G:$G,Database!$D:$D,"Import",Database!$E:$E,$B19,Database!$C:$C,AR$1,Database!$F:$F,"Total")</f>
        <v>0</v>
      </c>
      <c r="AS19" s="137">
        <f>SUMIFS(Database!$G:$G,Database!$D:$D,"Import",Database!$E:$E,$B19,Database!$C:$C,AS$1,Database!$F:$F,"Total")</f>
        <v>0</v>
      </c>
      <c r="AT19" s="137">
        <f>SUMIFS(Database!$G:$G,Database!$D:$D,"Import",Database!$E:$E,$B19,Database!$C:$C,AT$1,Database!$F:$F,"Total")</f>
        <v>0</v>
      </c>
      <c r="AU19" s="137">
        <f>SUMIFS(Database!$G:$G,Database!$D:$D,"Import",Database!$E:$E,$B19,Database!$C:$C,AU$1,Database!$F:$F,"Total")</f>
        <v>0</v>
      </c>
      <c r="AV19" s="137">
        <f>SUMIFS(Database!$G:$G,Database!$D:$D,"Import",Database!$E:$E,$B19,Database!$C:$C,AV$1,Database!$F:$F,"Total")</f>
        <v>0</v>
      </c>
      <c r="AW19" s="137">
        <f>SUMIFS(Database!$G:$G,Database!$D:$D,"Import",Database!$E:$E,$B19,Database!$C:$C,AW$1,Database!$F:$F,"Total")</f>
        <v>0</v>
      </c>
      <c r="AX19" s="137">
        <f>SUMIFS(Database!$G:$G,Database!$D:$D,"Import",Database!$E:$E,$B19,Database!$C:$C,AX$1,Database!$F:$F,"Total")</f>
        <v>0</v>
      </c>
      <c r="AY19" s="137">
        <f>SUMIFS(Database!$G:$G,Database!$D:$D,"Import",Database!$E:$E,$B19,Database!$C:$C,AY$1,Database!$F:$F,"Total")</f>
        <v>0</v>
      </c>
      <c r="AZ19" s="137">
        <f>SUMIFS(Database!$G:$G,Database!$D:$D,"Import",Database!$E:$E,$B19,Database!$C:$C,AZ$1,Database!$F:$F,"Total")</f>
        <v>0</v>
      </c>
      <c r="BA19" s="137">
        <f>SUMIFS(Database!$G:$G,Database!$D:$D,"Import",Database!$E:$E,$B19,Database!$C:$C,BA$1,Database!$F:$F,"Total")</f>
        <v>0</v>
      </c>
      <c r="BB19" s="137">
        <f>SUMIFS(Database!$G:$G,Database!$D:$D,"Import",Database!$E:$E,$B19,Database!$C:$C,BB$1,Database!$F:$F,"Total")</f>
        <v>0</v>
      </c>
      <c r="BC19" s="137">
        <f>SUMIFS(Database!$G:$G,Database!$D:$D,"Import",Database!$E:$E,$B19,Database!$C:$C,BC$1,Database!$F:$F,"Total")</f>
        <v>0</v>
      </c>
      <c r="BD19" s="137">
        <f>SUMIFS(Database!$G:$G,Database!$D:$D,"Import",Database!$E:$E,$B19,Database!$C:$C,BD$1,Database!$F:$F,"Total")</f>
        <v>0</v>
      </c>
      <c r="BE19" s="137">
        <f>SUMIFS(Database!$G:$G,Database!$D:$D,"Import",Database!$E:$E,$B19,Database!$C:$C,BE$1,Database!$F:$F,"Total")</f>
        <v>0</v>
      </c>
      <c r="BF19" s="137">
        <f>SUMIFS(Database!$G:$G,Database!$D:$D,"Import",Database!$E:$E,$B19,Database!$C:$C,BF$1,Database!$F:$F,"Total")</f>
        <v>0</v>
      </c>
      <c r="BG19" s="137">
        <f>SUMIFS(Database!$G:$G,Database!$D:$D,"Import",Database!$E:$E,$B19,Database!$C:$C,BG$1,Database!$F:$F,"Total")</f>
        <v>0</v>
      </c>
      <c r="BH19" s="137">
        <f>SUMIFS(Database!$G:$G,Database!$D:$D,"Import",Database!$E:$E,$B19,Database!$C:$C,BH$1,Database!$F:$F,"Total")</f>
        <v>54728</v>
      </c>
      <c r="BI19" s="137">
        <f>SUMIFS(Database!$G:$G,Database!$D:$D,"Import",Database!$E:$E,$B19,Database!$C:$C,BI$1,Database!$F:$F,"Total")</f>
        <v>0</v>
      </c>
      <c r="BJ19" s="137">
        <f>SUMIFS(Database!$G:$G,Database!$D:$D,"Import",Database!$E:$E,$B19,Database!$C:$C,BJ$1,Database!$F:$F,"Total")</f>
        <v>0</v>
      </c>
      <c r="BK19" s="137">
        <f>SUMIFS(Database!$G:$G,Database!$D:$D,"Import",Database!$E:$E,$B19,Database!$C:$C,BK$1,Database!$F:$F,"Total")</f>
        <v>0</v>
      </c>
      <c r="BL19" s="137">
        <f>SUMIFS(Database!$G:$G,Database!$D:$D,"Import",Database!$E:$E,$B19,Database!$C:$C,BL$1,Database!$F:$F,"Total")</f>
        <v>0</v>
      </c>
      <c r="BM19" s="137">
        <f>SUMIFS(Database!$G:$G,Database!$D:$D,"Import",Database!$E:$E,$B19,Database!$C:$C,BM$1,Database!$F:$F,"Total")</f>
        <v>0</v>
      </c>
      <c r="BN19" s="137">
        <f>SUMIFS(Database!$G:$G,Database!$D:$D,"Import",Database!$E:$E,$B19,Database!$C:$C,BN$1,Database!$F:$F,"Total")</f>
        <v>0</v>
      </c>
      <c r="BO19" s="137">
        <f>SUMIFS(Database!$G:$G,Database!$D:$D,"Import",Database!$E:$E,$B19,Database!$C:$C,BO$1,Database!$F:$F,"Total")</f>
        <v>0</v>
      </c>
      <c r="BP19" s="137">
        <f>SUMIFS(Database!$G:$G,Database!$D:$D,"Import",Database!$E:$E,$B19,Database!$C:$C,BP$1,Database!$F:$F,"Total")</f>
        <v>0</v>
      </c>
      <c r="BQ19" s="137">
        <f>SUMIFS(Database!$G:$G,Database!$D:$D,"Import",Database!$E:$E,$B19,Database!$C:$C,BQ$1,Database!$F:$F,"Total")</f>
        <v>0</v>
      </c>
      <c r="BR19" s="137">
        <f>SUMIFS(Database!$G:$G,Database!$D:$D,"Import",Database!$E:$E,$B19,Database!$C:$C,BR$1,Database!$F:$F,"Total")</f>
        <v>0</v>
      </c>
      <c r="BS19" s="137">
        <f>SUMIFS(Database!$G:$G,Database!$D:$D,"Import",Database!$E:$E,$B19,Database!$C:$C,BS$1,Database!$F:$F,"Total")</f>
        <v>0</v>
      </c>
      <c r="BT19" s="137">
        <f>SUMIFS(Database!$G:$G,Database!$D:$D,"Import",Database!$E:$E,$B19,Database!$C:$C,BT$1,Database!$F:$F,"Total")</f>
        <v>0</v>
      </c>
      <c r="BU19" s="137">
        <f>SUMIFS(Database!$G:$G,Database!$D:$D,"Import",Database!$E:$E,$B19,Database!$C:$C,BU$1,Database!$F:$F,"Total")</f>
        <v>0</v>
      </c>
      <c r="BV19" s="137">
        <f>SUMIFS(Database!$G:$G,Database!$D:$D,"Import",Database!$E:$E,$B19,Database!$C:$C,BV$1,Database!$F:$F,"Total")</f>
        <v>0</v>
      </c>
      <c r="BW19" s="137">
        <f>SUMIFS(Database!$G:$G,Database!$D:$D,"Import",Database!$E:$E,$B19,Database!$C:$C,BW$1,Database!$F:$F,"Total")</f>
        <v>0</v>
      </c>
      <c r="BX19" s="137">
        <f>SUMIFS(Database!$G:$G,Database!$D:$D,"Import",Database!$E:$E,$B19,Database!$C:$C,BX$1,Database!$F:$F,"Total")</f>
        <v>0</v>
      </c>
      <c r="BY19" s="137">
        <f>SUMIFS(Database!$G:$G,Database!$D:$D,"Import",Database!$E:$E,$B19,Database!$C:$C,BY$1,Database!$F:$F,"Total")</f>
        <v>0</v>
      </c>
      <c r="BZ19" s="137">
        <f>SUMIFS(Database!$G:$G,Database!$D:$D,"Import",Database!$E:$E,$B19,Database!$C:$C,BZ$1,Database!$F:$F,"Total")</f>
        <v>0</v>
      </c>
      <c r="CA19" s="137">
        <f>SUMIFS(Database!$G:$G,Database!$D:$D,"Import",Database!$E:$E,$B19,Database!$C:$C,CA$1,Database!$F:$F,"Total")</f>
        <v>0</v>
      </c>
      <c r="CB19" s="137">
        <f>SUMIFS(Database!$G:$G,Database!$D:$D,"Import",Database!$E:$E,$B19,Database!$C:$C,CB$1,Database!$F:$F,"Total")</f>
        <v>0</v>
      </c>
      <c r="CC19" s="137">
        <f>SUMIFS(Database!$G:$G,Database!$D:$D,"Import",Database!$E:$E,$B19,Database!$C:$C,CC$1,Database!$F:$F,"Total")</f>
        <v>0</v>
      </c>
      <c r="CD19" s="137">
        <f>SUMIFS(Database!$G:$G,Database!$D:$D,"Import",Database!$E:$E,$B19,Database!$C:$C,CD$1,Database!$F:$F,"Total")</f>
        <v>0</v>
      </c>
      <c r="CE19" s="137">
        <f>SUMIFS(Database!$G:$G,Database!$D:$D,"Import",Database!$E:$E,$B19,Database!$C:$C,CE$1,Database!$F:$F,"Total")</f>
        <v>0</v>
      </c>
      <c r="CF19" s="137">
        <f>SUMIFS(Database!$G:$G,Database!$D:$D,"Import",Database!$E:$E,$B19,Database!$C:$C,CF$1,Database!$F:$F,"Total")</f>
        <v>0</v>
      </c>
      <c r="CG19" s="137">
        <f>SUMIFS(Database!$G:$G,Database!$D:$D,"Import",Database!$E:$E,$B19,Database!$C:$C,CG$1,Database!$F:$F,"Total")</f>
        <v>0</v>
      </c>
      <c r="CH19" s="137">
        <f>SUMIFS(Database!$G:$G,Database!$D:$D,"Import",Database!$E:$E,$B19,Database!$C:$C,CH$1,Database!$F:$F,"Total")</f>
        <v>0</v>
      </c>
      <c r="CI19" s="137">
        <f>SUMIFS(Database!$G:$G,Database!$D:$D,"Import",Database!$E:$E,$B19,Database!$C:$C,CI$1,Database!$F:$F,"Total")</f>
        <v>0</v>
      </c>
      <c r="CJ19" s="137">
        <f>SUMIFS(Database!$G:$G,Database!$D:$D,"Import",Database!$E:$E,$B19,Database!$C:$C,CJ$1,Database!$F:$F,"Total")</f>
        <v>0</v>
      </c>
      <c r="CK19" s="137">
        <f>SUMIFS(Database!$G:$G,Database!$D:$D,"Import",Database!$E:$E,$B19,Database!$C:$C,CK$1,Database!$F:$F,"Total")</f>
        <v>0</v>
      </c>
      <c r="CL19" s="137">
        <f>SUMIFS(Database!$G:$G,Database!$D:$D,"Import",Database!$E:$E,$B19,Database!$C:$C,CL$1,Database!$F:$F,"Total")</f>
        <v>0</v>
      </c>
      <c r="CM19" s="137">
        <f>SUMIFS(Database!$G:$G,Database!$D:$D,"Import",Database!$E:$E,$B19,Database!$C:$C,CM$1,Database!$F:$F,"Total")</f>
        <v>0</v>
      </c>
      <c r="CN19" s="137">
        <f>SUMIFS(Database!$G:$G,Database!$D:$D,"Import",Database!$E:$E,$B19,Database!$C:$C,CN$1,Database!$F:$F,"Total")</f>
        <v>0</v>
      </c>
      <c r="CO19" s="137">
        <f>SUMIFS(Database!$G:$G,Database!$D:$D,"Import",Database!$E:$E,$B19,Database!$C:$C,CO$1,Database!$F:$F,"Total")</f>
        <v>0</v>
      </c>
      <c r="CP19" s="137">
        <f>SUMIFS(Database!$G:$G,Database!$D:$D,"Import",Database!$E:$E,$B19,Database!$C:$C,CP$1,Database!$F:$F,"Total")</f>
        <v>0</v>
      </c>
      <c r="CQ19" s="137">
        <f>SUMIFS(Database!$G:$G,Database!$D:$D,"Import",Database!$E:$E,$B19,Database!$C:$C,CQ$1,Database!$F:$F,"Total")</f>
        <v>0</v>
      </c>
      <c r="CR19" s="137">
        <f>SUMIFS(Database!$G:$G,Database!$D:$D,"Import",Database!$E:$E,$B19,Database!$C:$C,CR$1,Database!$F:$F,"Total")</f>
        <v>0</v>
      </c>
      <c r="CS19" s="137">
        <f>SUMIFS(Database!$G:$G,Database!$D:$D,"Import",Database!$E:$E,$B19,Database!$C:$C,CS$1,Database!$F:$F,"Total")</f>
        <v>0</v>
      </c>
      <c r="CT19" s="137">
        <f>SUMIFS(Database!$G:$G,Database!$D:$D,"Import",Database!$E:$E,$B19,Database!$C:$C,CT$1,Database!$F:$F,"Total")</f>
        <v>0</v>
      </c>
      <c r="CU19" s="137">
        <f>SUMIFS(Database!$G:$G,Database!$D:$D,"Import",Database!$E:$E,$B19,Database!$C:$C,CU$1,Database!$F:$F,"Total")</f>
        <v>0</v>
      </c>
    </row>
    <row r="20" spans="1:99" x14ac:dyDescent="0.25">
      <c r="A20" s="132" t="s">
        <v>484</v>
      </c>
      <c r="B20" s="133" t="s">
        <v>51</v>
      </c>
      <c r="C20" s="137">
        <f>SUMIFS(Database!$G:$G,Database!$D:$D,"Import",Database!$E:$E,$B20,Database!$C:$C,C$1,Database!$F:$F,"Total")</f>
        <v>0</v>
      </c>
      <c r="D20" s="137">
        <f>SUMIFS(Database!$G:$G,Database!$D:$D,"Import",Database!$E:$E,$B20,Database!$C:$C,D$1,Database!$F:$F,"Total")</f>
        <v>0</v>
      </c>
      <c r="E20" s="137">
        <f>SUMIFS(Database!$G:$G,Database!$D:$D,"Import",Database!$E:$E,$B20,Database!$C:$C,E$1,Database!$F:$F,"Total")</f>
        <v>0</v>
      </c>
      <c r="F20" s="137">
        <f>SUMIFS(Database!$G:$G,Database!$D:$D,"Import",Database!$E:$E,$B20,Database!$C:$C,F$1,Database!$F:$F,"Total")</f>
        <v>0</v>
      </c>
      <c r="G20" s="137">
        <f>SUMIFS(Database!$G:$G,Database!$D:$D,"Import",Database!$E:$E,$B20,Database!$C:$C,G$1,Database!$F:$F,"Total")</f>
        <v>0</v>
      </c>
      <c r="H20" s="137">
        <f>SUMIFS(Database!$G:$G,Database!$D:$D,"Import",Database!$E:$E,$B20,Database!$C:$C,H$1,Database!$F:$F,"Total")</f>
        <v>0</v>
      </c>
      <c r="I20" s="137">
        <f>SUMIFS(Database!$G:$G,Database!$D:$D,"Import",Database!$E:$E,$B20,Database!$C:$C,I$1,Database!$F:$F,"Total")</f>
        <v>0</v>
      </c>
      <c r="J20" s="137">
        <f>SUMIFS(Database!$G:$G,Database!$D:$D,"Import",Database!$E:$E,$B20,Database!$C:$C,J$1,Database!$F:$F,"Total")</f>
        <v>0</v>
      </c>
      <c r="K20" s="137">
        <f>SUMIFS(Database!$G:$G,Database!$D:$D,"Import",Database!$E:$E,$B20,Database!$C:$C,K$1,Database!$F:$F,"Total")</f>
        <v>0</v>
      </c>
      <c r="L20" s="137">
        <f>SUMIFS(Database!$G:$G,Database!$D:$D,"Import",Database!$E:$E,$B20,Database!$C:$C,L$1,Database!$F:$F,"Total")</f>
        <v>0</v>
      </c>
      <c r="M20" s="137">
        <f>SUMIFS(Database!$G:$G,Database!$D:$D,"Import",Database!$E:$E,$B20,Database!$C:$C,M$1,Database!$F:$F,"Total")</f>
        <v>0</v>
      </c>
      <c r="N20" s="137">
        <f>SUMIFS(Database!$G:$G,Database!$D:$D,"Import",Database!$E:$E,$B20,Database!$C:$C,N$1,Database!$F:$F,"Total")</f>
        <v>0</v>
      </c>
      <c r="O20" s="137">
        <f>SUMIFS(Database!$G:$G,Database!$D:$D,"Import",Database!$E:$E,$B20,Database!$C:$C,O$1,Database!$F:$F,"Total")</f>
        <v>0</v>
      </c>
      <c r="P20" s="137">
        <f>SUMIFS(Database!$G:$G,Database!$D:$D,"Import",Database!$E:$E,$B20,Database!$C:$C,P$1,Database!$F:$F,"Total")</f>
        <v>0</v>
      </c>
      <c r="Q20" s="137">
        <f>SUMIFS(Database!$G:$G,Database!$D:$D,"Import",Database!$E:$E,$B20,Database!$C:$C,Q$1,Database!$F:$F,"Total")</f>
        <v>0</v>
      </c>
      <c r="R20" s="137">
        <f>SUMIFS(Database!$G:$G,Database!$D:$D,"Import",Database!$E:$E,$B20,Database!$C:$C,R$1,Database!$F:$F,"Total")</f>
        <v>0</v>
      </c>
      <c r="S20" s="137">
        <f>SUMIFS(Database!$G:$G,Database!$D:$D,"Import",Database!$E:$E,$B20,Database!$C:$C,S$1,Database!$F:$F,"Total")</f>
        <v>0</v>
      </c>
      <c r="T20" s="137">
        <f>SUMIFS(Database!$G:$G,Database!$D:$D,"Import",Database!$E:$E,$B20,Database!$C:$C,T$1,Database!$F:$F,"Total")</f>
        <v>0</v>
      </c>
      <c r="U20" s="137">
        <f>SUMIFS(Database!$G:$G,Database!$D:$D,"Import",Database!$E:$E,$B20,Database!$C:$C,U$1,Database!$F:$F,"Total")</f>
        <v>0</v>
      </c>
      <c r="V20" s="137">
        <f>SUMIFS(Database!$G:$G,Database!$D:$D,"Import",Database!$E:$E,$B20,Database!$C:$C,V$1,Database!$F:$F,"Total")</f>
        <v>0</v>
      </c>
      <c r="W20" s="137">
        <f>SUMIFS(Database!$G:$G,Database!$D:$D,"Import",Database!$E:$E,$B20,Database!$C:$C,W$1,Database!$F:$F,"Total")</f>
        <v>0</v>
      </c>
      <c r="X20" s="137">
        <f>SUMIFS(Database!$G:$G,Database!$D:$D,"Import",Database!$E:$E,$B20,Database!$C:$C,X$1,Database!$F:$F,"Total")</f>
        <v>0</v>
      </c>
      <c r="Y20" s="137">
        <f>SUMIFS(Database!$G:$G,Database!$D:$D,"Import",Database!$E:$E,$B20,Database!$C:$C,Y$1,Database!$F:$F,"Total")</f>
        <v>0</v>
      </c>
      <c r="Z20" s="137">
        <f>SUMIFS(Database!$G:$G,Database!$D:$D,"Import",Database!$E:$E,$B20,Database!$C:$C,Z$1,Database!$F:$F,"Total")</f>
        <v>0</v>
      </c>
      <c r="AA20" s="137">
        <f>SUMIFS(Database!$G:$G,Database!$D:$D,"Import",Database!$E:$E,$B20,Database!$C:$C,AA$1,Database!$F:$F,"Total")</f>
        <v>0</v>
      </c>
      <c r="AB20" s="137">
        <f>SUMIFS(Database!$G:$G,Database!$D:$D,"Import",Database!$E:$E,$B20,Database!$C:$C,AB$1,Database!$F:$F,"Total")</f>
        <v>0</v>
      </c>
      <c r="AC20" s="137">
        <f>SUMIFS(Database!$G:$G,Database!$D:$D,"Import",Database!$E:$E,$B20,Database!$C:$C,AC$1,Database!$F:$F,"Total")</f>
        <v>0</v>
      </c>
      <c r="AD20" s="137">
        <f>SUMIFS(Database!$G:$G,Database!$D:$D,"Import",Database!$E:$E,$B20,Database!$C:$C,AD$1,Database!$F:$F,"Total")</f>
        <v>0</v>
      </c>
      <c r="AE20" s="137">
        <f>SUMIFS(Database!$G:$G,Database!$D:$D,"Import",Database!$E:$E,$B20,Database!$C:$C,AE$1,Database!$F:$F,"Total")</f>
        <v>0</v>
      </c>
      <c r="AF20" s="137">
        <f>SUMIFS(Database!$G:$G,Database!$D:$D,"Import",Database!$E:$E,$B20,Database!$C:$C,AF$1,Database!$F:$F,"Total")</f>
        <v>0</v>
      </c>
      <c r="AG20" s="137">
        <f>SUMIFS(Database!$G:$G,Database!$D:$D,"Import",Database!$E:$E,$B20,Database!$C:$C,AG$1,Database!$F:$F,"Total")</f>
        <v>0</v>
      </c>
      <c r="AH20" s="137">
        <f>SUMIFS(Database!$G:$G,Database!$D:$D,"Import",Database!$E:$E,$B20,Database!$C:$C,AH$1,Database!$F:$F,"Total")</f>
        <v>0</v>
      </c>
      <c r="AI20" s="137">
        <f>SUMIFS(Database!$G:$G,Database!$D:$D,"Import",Database!$E:$E,$B20,Database!$C:$C,AI$1,Database!$F:$F,"Total")</f>
        <v>0</v>
      </c>
      <c r="AJ20" s="137">
        <f>SUMIFS(Database!$G:$G,Database!$D:$D,"Import",Database!$E:$E,$B20,Database!$C:$C,AJ$1,Database!$F:$F,"Total")</f>
        <v>1000</v>
      </c>
      <c r="AK20" s="137">
        <f>SUMIFS(Database!$G:$G,Database!$D:$D,"Import",Database!$E:$E,$B20,Database!$C:$C,AK$1,Database!$F:$F,"Total")</f>
        <v>4970</v>
      </c>
      <c r="AL20" s="137">
        <f>SUMIFS(Database!$G:$G,Database!$D:$D,"Import",Database!$E:$E,$B20,Database!$C:$C,AL$1,Database!$F:$F,"Total")</f>
        <v>0</v>
      </c>
      <c r="AM20" s="137">
        <f>SUMIFS(Database!$G:$G,Database!$D:$D,"Import",Database!$E:$E,$B20,Database!$C:$C,AM$1,Database!$F:$F,"Total")</f>
        <v>0</v>
      </c>
      <c r="AN20" s="137">
        <f>SUMIFS(Database!$G:$G,Database!$D:$D,"Import",Database!$E:$E,$B20,Database!$C:$C,AN$1,Database!$F:$F,"Total")</f>
        <v>0</v>
      </c>
      <c r="AO20" s="137">
        <f>SUMIFS(Database!$G:$G,Database!$D:$D,"Import",Database!$E:$E,$B20,Database!$C:$C,AO$1,Database!$F:$F,"Total")</f>
        <v>0</v>
      </c>
      <c r="AP20" s="137">
        <f>SUMIFS(Database!$G:$G,Database!$D:$D,"Import",Database!$E:$E,$B20,Database!$C:$C,AP$1,Database!$F:$F,"Total")</f>
        <v>0</v>
      </c>
      <c r="AQ20" s="137">
        <f>SUMIFS(Database!$G:$G,Database!$D:$D,"Import",Database!$E:$E,$B20,Database!$C:$C,AQ$1,Database!$F:$F,"Total")</f>
        <v>0</v>
      </c>
      <c r="AR20" s="137">
        <f>SUMIFS(Database!$G:$G,Database!$D:$D,"Import",Database!$E:$E,$B20,Database!$C:$C,AR$1,Database!$F:$F,"Total")</f>
        <v>0</v>
      </c>
      <c r="AS20" s="137">
        <f>SUMIFS(Database!$G:$G,Database!$D:$D,"Import",Database!$E:$E,$B20,Database!$C:$C,AS$1,Database!$F:$F,"Total")</f>
        <v>0</v>
      </c>
      <c r="AT20" s="137">
        <f>SUMIFS(Database!$G:$G,Database!$D:$D,"Import",Database!$E:$E,$B20,Database!$C:$C,AT$1,Database!$F:$F,"Total")</f>
        <v>0</v>
      </c>
      <c r="AU20" s="137">
        <f>SUMIFS(Database!$G:$G,Database!$D:$D,"Import",Database!$E:$E,$B20,Database!$C:$C,AU$1,Database!$F:$F,"Total")</f>
        <v>0</v>
      </c>
      <c r="AV20" s="137">
        <f>SUMIFS(Database!$G:$G,Database!$D:$D,"Import",Database!$E:$E,$B20,Database!$C:$C,AV$1,Database!$F:$F,"Total")</f>
        <v>0</v>
      </c>
      <c r="AW20" s="137">
        <f>SUMIFS(Database!$G:$G,Database!$D:$D,"Import",Database!$E:$E,$B20,Database!$C:$C,AW$1,Database!$F:$F,"Total")</f>
        <v>0</v>
      </c>
      <c r="AX20" s="137">
        <f>SUMIFS(Database!$G:$G,Database!$D:$D,"Import",Database!$E:$E,$B20,Database!$C:$C,AX$1,Database!$F:$F,"Total")</f>
        <v>0</v>
      </c>
      <c r="AY20" s="137">
        <f>SUMIFS(Database!$G:$G,Database!$D:$D,"Import",Database!$E:$E,$B20,Database!$C:$C,AY$1,Database!$F:$F,"Total")</f>
        <v>0</v>
      </c>
      <c r="AZ20" s="137">
        <f>SUMIFS(Database!$G:$G,Database!$D:$D,"Import",Database!$E:$E,$B20,Database!$C:$C,AZ$1,Database!$F:$F,"Total")</f>
        <v>0</v>
      </c>
      <c r="BA20" s="137">
        <f>SUMIFS(Database!$G:$G,Database!$D:$D,"Import",Database!$E:$E,$B20,Database!$C:$C,BA$1,Database!$F:$F,"Total")</f>
        <v>0</v>
      </c>
      <c r="BB20" s="137">
        <f>SUMIFS(Database!$G:$G,Database!$D:$D,"Import",Database!$E:$E,$B20,Database!$C:$C,BB$1,Database!$F:$F,"Total")</f>
        <v>0</v>
      </c>
      <c r="BC20" s="137">
        <f>SUMIFS(Database!$G:$G,Database!$D:$D,"Import",Database!$E:$E,$B20,Database!$C:$C,BC$1,Database!$F:$F,"Total")</f>
        <v>0</v>
      </c>
      <c r="BD20" s="137">
        <f>SUMIFS(Database!$G:$G,Database!$D:$D,"Import",Database!$E:$E,$B20,Database!$C:$C,BD$1,Database!$F:$F,"Total")</f>
        <v>0</v>
      </c>
      <c r="BE20" s="137">
        <f>SUMIFS(Database!$G:$G,Database!$D:$D,"Import",Database!$E:$E,$B20,Database!$C:$C,BE$1,Database!$F:$F,"Total")</f>
        <v>0</v>
      </c>
      <c r="BF20" s="137">
        <f>SUMIFS(Database!$G:$G,Database!$D:$D,"Import",Database!$E:$E,$B20,Database!$C:$C,BF$1,Database!$F:$F,"Total")</f>
        <v>0</v>
      </c>
      <c r="BG20" s="137">
        <f>SUMIFS(Database!$G:$G,Database!$D:$D,"Import",Database!$E:$E,$B20,Database!$C:$C,BG$1,Database!$F:$F,"Total")</f>
        <v>0</v>
      </c>
      <c r="BH20" s="137">
        <f>SUMIFS(Database!$G:$G,Database!$D:$D,"Import",Database!$E:$E,$B20,Database!$C:$C,BH$1,Database!$F:$F,"Total")</f>
        <v>0</v>
      </c>
      <c r="BI20" s="137">
        <f>SUMIFS(Database!$G:$G,Database!$D:$D,"Import",Database!$E:$E,$B20,Database!$C:$C,BI$1,Database!$F:$F,"Total")</f>
        <v>0</v>
      </c>
      <c r="BJ20" s="137">
        <f>SUMIFS(Database!$G:$G,Database!$D:$D,"Import",Database!$E:$E,$B20,Database!$C:$C,BJ$1,Database!$F:$F,"Total")</f>
        <v>0</v>
      </c>
      <c r="BK20" s="137">
        <f>SUMIFS(Database!$G:$G,Database!$D:$D,"Import",Database!$E:$E,$B20,Database!$C:$C,BK$1,Database!$F:$F,"Total")</f>
        <v>0</v>
      </c>
      <c r="BL20" s="137">
        <f>SUMIFS(Database!$G:$G,Database!$D:$D,"Import",Database!$E:$E,$B20,Database!$C:$C,BL$1,Database!$F:$F,"Total")</f>
        <v>0</v>
      </c>
      <c r="BM20" s="137">
        <f>SUMIFS(Database!$G:$G,Database!$D:$D,"Import",Database!$E:$E,$B20,Database!$C:$C,BM$1,Database!$F:$F,"Total")</f>
        <v>0</v>
      </c>
      <c r="BN20" s="137">
        <f>SUMIFS(Database!$G:$G,Database!$D:$D,"Import",Database!$E:$E,$B20,Database!$C:$C,BN$1,Database!$F:$F,"Total")</f>
        <v>0</v>
      </c>
      <c r="BO20" s="137">
        <f>SUMIFS(Database!$G:$G,Database!$D:$D,"Import",Database!$E:$E,$B20,Database!$C:$C,BO$1,Database!$F:$F,"Total")</f>
        <v>0</v>
      </c>
      <c r="BP20" s="137">
        <f>SUMIFS(Database!$G:$G,Database!$D:$D,"Import",Database!$E:$E,$B20,Database!$C:$C,BP$1,Database!$F:$F,"Total")</f>
        <v>0</v>
      </c>
      <c r="BQ20" s="137">
        <f>SUMIFS(Database!$G:$G,Database!$D:$D,"Import",Database!$E:$E,$B20,Database!$C:$C,BQ$1,Database!$F:$F,"Total")</f>
        <v>0</v>
      </c>
      <c r="BR20" s="137">
        <f>SUMIFS(Database!$G:$G,Database!$D:$D,"Import",Database!$E:$E,$B20,Database!$C:$C,BR$1,Database!$F:$F,"Total")</f>
        <v>0</v>
      </c>
      <c r="BS20" s="137">
        <f>SUMIFS(Database!$G:$G,Database!$D:$D,"Import",Database!$E:$E,$B20,Database!$C:$C,BS$1,Database!$F:$F,"Total")</f>
        <v>0</v>
      </c>
      <c r="BT20" s="137">
        <f>SUMIFS(Database!$G:$G,Database!$D:$D,"Import",Database!$E:$E,$B20,Database!$C:$C,BT$1,Database!$F:$F,"Total")</f>
        <v>0</v>
      </c>
      <c r="BU20" s="137">
        <f>SUMIFS(Database!$G:$G,Database!$D:$D,"Import",Database!$E:$E,$B20,Database!$C:$C,BU$1,Database!$F:$F,"Total")</f>
        <v>0</v>
      </c>
      <c r="BV20" s="137">
        <f>SUMIFS(Database!$G:$G,Database!$D:$D,"Import",Database!$E:$E,$B20,Database!$C:$C,BV$1,Database!$F:$F,"Total")</f>
        <v>0</v>
      </c>
      <c r="BW20" s="137">
        <f>SUMIFS(Database!$G:$G,Database!$D:$D,"Import",Database!$E:$E,$B20,Database!$C:$C,BW$1,Database!$F:$F,"Total")</f>
        <v>0</v>
      </c>
      <c r="BX20" s="137">
        <f>SUMIFS(Database!$G:$G,Database!$D:$D,"Import",Database!$E:$E,$B20,Database!$C:$C,BX$1,Database!$F:$F,"Total")</f>
        <v>0</v>
      </c>
      <c r="BY20" s="137">
        <f>SUMIFS(Database!$G:$G,Database!$D:$D,"Import",Database!$E:$E,$B20,Database!$C:$C,BY$1,Database!$F:$F,"Total")</f>
        <v>0</v>
      </c>
      <c r="BZ20" s="137">
        <f>SUMIFS(Database!$G:$G,Database!$D:$D,"Import",Database!$E:$E,$B20,Database!$C:$C,BZ$1,Database!$F:$F,"Total")</f>
        <v>0</v>
      </c>
      <c r="CA20" s="137">
        <f>SUMIFS(Database!$G:$G,Database!$D:$D,"Import",Database!$E:$E,$B20,Database!$C:$C,CA$1,Database!$F:$F,"Total")</f>
        <v>0</v>
      </c>
      <c r="CB20" s="137">
        <f>SUMIFS(Database!$G:$G,Database!$D:$D,"Import",Database!$E:$E,$B20,Database!$C:$C,CB$1,Database!$F:$F,"Total")</f>
        <v>0</v>
      </c>
      <c r="CC20" s="137">
        <f>SUMIFS(Database!$G:$G,Database!$D:$D,"Import",Database!$E:$E,$B20,Database!$C:$C,CC$1,Database!$F:$F,"Total")</f>
        <v>0</v>
      </c>
      <c r="CD20" s="137">
        <f>SUMIFS(Database!$G:$G,Database!$D:$D,"Import",Database!$E:$E,$B20,Database!$C:$C,CD$1,Database!$F:$F,"Total")</f>
        <v>0</v>
      </c>
      <c r="CE20" s="137">
        <f>SUMIFS(Database!$G:$G,Database!$D:$D,"Import",Database!$E:$E,$B20,Database!$C:$C,CE$1,Database!$F:$F,"Total")</f>
        <v>0</v>
      </c>
      <c r="CF20" s="137">
        <f>SUMIFS(Database!$G:$G,Database!$D:$D,"Import",Database!$E:$E,$B20,Database!$C:$C,CF$1,Database!$F:$F,"Total")</f>
        <v>0</v>
      </c>
      <c r="CG20" s="137">
        <f>SUMIFS(Database!$G:$G,Database!$D:$D,"Import",Database!$E:$E,$B20,Database!$C:$C,CG$1,Database!$F:$F,"Total")</f>
        <v>0</v>
      </c>
      <c r="CH20" s="137">
        <f>SUMIFS(Database!$G:$G,Database!$D:$D,"Import",Database!$E:$E,$B20,Database!$C:$C,CH$1,Database!$F:$F,"Total")</f>
        <v>0</v>
      </c>
      <c r="CI20" s="137">
        <f>SUMIFS(Database!$G:$G,Database!$D:$D,"Import",Database!$E:$E,$B20,Database!$C:$C,CI$1,Database!$F:$F,"Total")</f>
        <v>0</v>
      </c>
      <c r="CJ20" s="137">
        <f>SUMIFS(Database!$G:$G,Database!$D:$D,"Import",Database!$E:$E,$B20,Database!$C:$C,CJ$1,Database!$F:$F,"Total")</f>
        <v>0</v>
      </c>
      <c r="CK20" s="137">
        <f>SUMIFS(Database!$G:$G,Database!$D:$D,"Import",Database!$E:$E,$B20,Database!$C:$C,CK$1,Database!$F:$F,"Total")</f>
        <v>0</v>
      </c>
      <c r="CL20" s="137">
        <f>SUMIFS(Database!$G:$G,Database!$D:$D,"Import",Database!$E:$E,$B20,Database!$C:$C,CL$1,Database!$F:$F,"Total")</f>
        <v>0</v>
      </c>
      <c r="CM20" s="137">
        <f>SUMIFS(Database!$G:$G,Database!$D:$D,"Import",Database!$E:$E,$B20,Database!$C:$C,CM$1,Database!$F:$F,"Total")</f>
        <v>0</v>
      </c>
      <c r="CN20" s="137">
        <f>SUMIFS(Database!$G:$G,Database!$D:$D,"Import",Database!$E:$E,$B20,Database!$C:$C,CN$1,Database!$F:$F,"Total")</f>
        <v>0</v>
      </c>
      <c r="CO20" s="137">
        <f>SUMIFS(Database!$G:$G,Database!$D:$D,"Import",Database!$E:$E,$B20,Database!$C:$C,CO$1,Database!$F:$F,"Total")</f>
        <v>0</v>
      </c>
      <c r="CP20" s="137">
        <f>SUMIFS(Database!$G:$G,Database!$D:$D,"Import",Database!$E:$E,$B20,Database!$C:$C,CP$1,Database!$F:$F,"Total")</f>
        <v>0</v>
      </c>
      <c r="CQ20" s="137">
        <f>SUMIFS(Database!$G:$G,Database!$D:$D,"Import",Database!$E:$E,$B20,Database!$C:$C,CQ$1,Database!$F:$F,"Total")</f>
        <v>0</v>
      </c>
      <c r="CR20" s="137">
        <f>SUMIFS(Database!$G:$G,Database!$D:$D,"Import",Database!$E:$E,$B20,Database!$C:$C,CR$1,Database!$F:$F,"Total")</f>
        <v>0</v>
      </c>
      <c r="CS20" s="137">
        <f>SUMIFS(Database!$G:$G,Database!$D:$D,"Import",Database!$E:$E,$B20,Database!$C:$C,CS$1,Database!$F:$F,"Total")</f>
        <v>0</v>
      </c>
      <c r="CT20" s="137">
        <f>SUMIFS(Database!$G:$G,Database!$D:$D,"Import",Database!$E:$E,$B20,Database!$C:$C,CT$1,Database!$F:$F,"Total")</f>
        <v>0</v>
      </c>
      <c r="CU20" s="137">
        <f>SUMIFS(Database!$G:$G,Database!$D:$D,"Import",Database!$E:$E,$B20,Database!$C:$C,CU$1,Database!$F:$F,"Total")</f>
        <v>0</v>
      </c>
    </row>
    <row r="21" spans="1:99" x14ac:dyDescent="0.25">
      <c r="A21" s="132" t="s">
        <v>484</v>
      </c>
      <c r="B21" s="133" t="s">
        <v>500</v>
      </c>
      <c r="C21" s="137">
        <f>SUMIFS(Database!$G:$G,Database!$D:$D,"Import",Database!$E:$E,$B21,Database!$C:$C,C$1,Database!$F:$F,"Total")</f>
        <v>0</v>
      </c>
      <c r="D21" s="137">
        <f>SUMIFS(Database!$G:$G,Database!$D:$D,"Import",Database!$E:$E,$B21,Database!$C:$C,D$1,Database!$F:$F,"Total")</f>
        <v>0</v>
      </c>
      <c r="E21" s="137">
        <f>SUMIFS(Database!$G:$G,Database!$D:$D,"Import",Database!$E:$E,$B21,Database!$C:$C,E$1,Database!$F:$F,"Total")</f>
        <v>0</v>
      </c>
      <c r="F21" s="137">
        <f>SUMIFS(Database!$G:$G,Database!$D:$D,"Import",Database!$E:$E,$B21,Database!$C:$C,F$1,Database!$F:$F,"Total")</f>
        <v>0</v>
      </c>
      <c r="G21" s="137">
        <f>SUMIFS(Database!$G:$G,Database!$D:$D,"Import",Database!$E:$E,$B21,Database!$C:$C,G$1,Database!$F:$F,"Total")</f>
        <v>0</v>
      </c>
      <c r="H21" s="137">
        <f>SUMIFS(Database!$G:$G,Database!$D:$D,"Import",Database!$E:$E,$B21,Database!$C:$C,H$1,Database!$F:$F,"Total")</f>
        <v>0</v>
      </c>
      <c r="I21" s="137">
        <f>SUMIFS(Database!$G:$G,Database!$D:$D,"Import",Database!$E:$E,$B21,Database!$C:$C,I$1,Database!$F:$F,"Total")</f>
        <v>0</v>
      </c>
      <c r="J21" s="137">
        <f>SUMIFS(Database!$G:$G,Database!$D:$D,"Import",Database!$E:$E,$B21,Database!$C:$C,J$1,Database!$F:$F,"Total")</f>
        <v>0</v>
      </c>
      <c r="K21" s="137">
        <f>SUMIFS(Database!$G:$G,Database!$D:$D,"Import",Database!$E:$E,$B21,Database!$C:$C,K$1,Database!$F:$F,"Total")</f>
        <v>0</v>
      </c>
      <c r="L21" s="137">
        <f>SUMIFS(Database!$G:$G,Database!$D:$D,"Import",Database!$E:$E,$B21,Database!$C:$C,L$1,Database!$F:$F,"Total")</f>
        <v>0</v>
      </c>
      <c r="M21" s="137">
        <f>SUMIFS(Database!$G:$G,Database!$D:$D,"Import",Database!$E:$E,$B21,Database!$C:$C,M$1,Database!$F:$F,"Total")</f>
        <v>0</v>
      </c>
      <c r="N21" s="137">
        <f>SUMIFS(Database!$G:$G,Database!$D:$D,"Import",Database!$E:$E,$B21,Database!$C:$C,N$1,Database!$F:$F,"Total")</f>
        <v>0</v>
      </c>
      <c r="O21" s="137">
        <f>SUMIFS(Database!$G:$G,Database!$D:$D,"Import",Database!$E:$E,$B21,Database!$C:$C,O$1,Database!$F:$F,"Total")</f>
        <v>0</v>
      </c>
      <c r="P21" s="137">
        <f>SUMIFS(Database!$G:$G,Database!$D:$D,"Import",Database!$E:$E,$B21,Database!$C:$C,P$1,Database!$F:$F,"Total")</f>
        <v>0</v>
      </c>
      <c r="Q21" s="137">
        <f>SUMIFS(Database!$G:$G,Database!$D:$D,"Import",Database!$E:$E,$B21,Database!$C:$C,Q$1,Database!$F:$F,"Total")</f>
        <v>0</v>
      </c>
      <c r="R21" s="137">
        <f>SUMIFS(Database!$G:$G,Database!$D:$D,"Import",Database!$E:$E,$B21,Database!$C:$C,R$1,Database!$F:$F,"Total")</f>
        <v>0</v>
      </c>
      <c r="S21" s="137">
        <f>SUMIFS(Database!$G:$G,Database!$D:$D,"Import",Database!$E:$E,$B21,Database!$C:$C,S$1,Database!$F:$F,"Total")</f>
        <v>0</v>
      </c>
      <c r="T21" s="137">
        <f>SUMIFS(Database!$G:$G,Database!$D:$D,"Import",Database!$E:$E,$B21,Database!$C:$C,T$1,Database!$F:$F,"Total")</f>
        <v>0</v>
      </c>
      <c r="U21" s="137">
        <f>SUMIFS(Database!$G:$G,Database!$D:$D,"Import",Database!$E:$E,$B21,Database!$C:$C,U$1,Database!$F:$F,"Total")</f>
        <v>0</v>
      </c>
      <c r="V21" s="137">
        <f>SUMIFS(Database!$G:$G,Database!$D:$D,"Import",Database!$E:$E,$B21,Database!$C:$C,V$1,Database!$F:$F,"Total")</f>
        <v>0</v>
      </c>
      <c r="W21" s="137">
        <f>SUMIFS(Database!$G:$G,Database!$D:$D,"Import",Database!$E:$E,$B21,Database!$C:$C,W$1,Database!$F:$F,"Total")</f>
        <v>0</v>
      </c>
      <c r="X21" s="137">
        <f>SUMIFS(Database!$G:$G,Database!$D:$D,"Import",Database!$E:$E,$B21,Database!$C:$C,X$1,Database!$F:$F,"Total")</f>
        <v>0</v>
      </c>
      <c r="Y21" s="137">
        <f>SUMIFS(Database!$G:$G,Database!$D:$D,"Import",Database!$E:$E,$B21,Database!$C:$C,Y$1,Database!$F:$F,"Total")</f>
        <v>0</v>
      </c>
      <c r="Z21" s="137">
        <f>SUMIFS(Database!$G:$G,Database!$D:$D,"Import",Database!$E:$E,$B21,Database!$C:$C,Z$1,Database!$F:$F,"Total")</f>
        <v>0</v>
      </c>
      <c r="AA21" s="137">
        <f>SUMIFS(Database!$G:$G,Database!$D:$D,"Import",Database!$E:$E,$B21,Database!$C:$C,AA$1,Database!$F:$F,"Total")</f>
        <v>0</v>
      </c>
      <c r="AB21" s="137">
        <f>SUMIFS(Database!$G:$G,Database!$D:$D,"Import",Database!$E:$E,$B21,Database!$C:$C,AB$1,Database!$F:$F,"Total")</f>
        <v>0</v>
      </c>
      <c r="AC21" s="137">
        <f>SUMIFS(Database!$G:$G,Database!$D:$D,"Import",Database!$E:$E,$B21,Database!$C:$C,AC$1,Database!$F:$F,"Total")</f>
        <v>0</v>
      </c>
      <c r="AD21" s="137">
        <f>SUMIFS(Database!$G:$G,Database!$D:$D,"Import",Database!$E:$E,$B21,Database!$C:$C,AD$1,Database!$F:$F,"Total")</f>
        <v>0</v>
      </c>
      <c r="AE21" s="137">
        <f>SUMIFS(Database!$G:$G,Database!$D:$D,"Import",Database!$E:$E,$B21,Database!$C:$C,AE$1,Database!$F:$F,"Total")</f>
        <v>0</v>
      </c>
      <c r="AF21" s="137">
        <f>SUMIFS(Database!$G:$G,Database!$D:$D,"Import",Database!$E:$E,$B21,Database!$C:$C,AF$1,Database!$F:$F,"Total")</f>
        <v>0</v>
      </c>
      <c r="AG21" s="137">
        <f>SUMIFS(Database!$G:$G,Database!$D:$D,"Import",Database!$E:$E,$B21,Database!$C:$C,AG$1,Database!$F:$F,"Total")</f>
        <v>0</v>
      </c>
      <c r="AH21" s="137">
        <f>SUMIFS(Database!$G:$G,Database!$D:$D,"Import",Database!$E:$E,$B21,Database!$C:$C,AH$1,Database!$F:$F,"Total")</f>
        <v>0</v>
      </c>
      <c r="AI21" s="137">
        <f>SUMIFS(Database!$G:$G,Database!$D:$D,"Import",Database!$E:$E,$B21,Database!$C:$C,AI$1,Database!$F:$F,"Total")</f>
        <v>0</v>
      </c>
      <c r="AJ21" s="137">
        <f>SUMIFS(Database!$G:$G,Database!$D:$D,"Import",Database!$E:$E,$B21,Database!$C:$C,AJ$1,Database!$F:$F,"Total")</f>
        <v>0</v>
      </c>
      <c r="AK21" s="137">
        <f>SUMIFS(Database!$G:$G,Database!$D:$D,"Import",Database!$E:$E,$B21,Database!$C:$C,AK$1,Database!$F:$F,"Total")</f>
        <v>0</v>
      </c>
      <c r="AL21" s="137">
        <f>SUMIFS(Database!$G:$G,Database!$D:$D,"Import",Database!$E:$E,$B21,Database!$C:$C,AL$1,Database!$F:$F,"Total")</f>
        <v>0</v>
      </c>
      <c r="AM21" s="137">
        <f>SUMIFS(Database!$G:$G,Database!$D:$D,"Import",Database!$E:$E,$B21,Database!$C:$C,AM$1,Database!$F:$F,"Total")</f>
        <v>0</v>
      </c>
      <c r="AN21" s="137">
        <f>SUMIFS(Database!$G:$G,Database!$D:$D,"Import",Database!$E:$E,$B21,Database!$C:$C,AN$1,Database!$F:$F,"Total")</f>
        <v>0</v>
      </c>
      <c r="AO21" s="137">
        <f>SUMIFS(Database!$G:$G,Database!$D:$D,"Import",Database!$E:$E,$B21,Database!$C:$C,AO$1,Database!$F:$F,"Total")</f>
        <v>0</v>
      </c>
      <c r="AP21" s="137">
        <f>SUMIFS(Database!$G:$G,Database!$D:$D,"Import",Database!$E:$E,$B21,Database!$C:$C,AP$1,Database!$F:$F,"Total")</f>
        <v>0</v>
      </c>
      <c r="AQ21" s="137">
        <f>SUMIFS(Database!$G:$G,Database!$D:$D,"Import",Database!$E:$E,$B21,Database!$C:$C,AQ$1,Database!$F:$F,"Total")</f>
        <v>0</v>
      </c>
      <c r="AR21" s="137">
        <f>SUMIFS(Database!$G:$G,Database!$D:$D,"Import",Database!$E:$E,$B21,Database!$C:$C,AR$1,Database!$F:$F,"Total")</f>
        <v>0</v>
      </c>
      <c r="AS21" s="137">
        <f>SUMIFS(Database!$G:$G,Database!$D:$D,"Import",Database!$E:$E,$B21,Database!$C:$C,AS$1,Database!$F:$F,"Total")</f>
        <v>0</v>
      </c>
      <c r="AT21" s="137">
        <f>SUMIFS(Database!$G:$G,Database!$D:$D,"Import",Database!$E:$E,$B21,Database!$C:$C,AT$1,Database!$F:$F,"Total")</f>
        <v>0</v>
      </c>
      <c r="AU21" s="137">
        <f>SUMIFS(Database!$G:$G,Database!$D:$D,"Import",Database!$E:$E,$B21,Database!$C:$C,AU$1,Database!$F:$F,"Total")</f>
        <v>0</v>
      </c>
      <c r="AV21" s="137">
        <f>SUMIFS(Database!$G:$G,Database!$D:$D,"Import",Database!$E:$E,$B21,Database!$C:$C,AV$1,Database!$F:$F,"Total")</f>
        <v>0</v>
      </c>
      <c r="AW21" s="137">
        <f>SUMIFS(Database!$G:$G,Database!$D:$D,"Import",Database!$E:$E,$B21,Database!$C:$C,AW$1,Database!$F:$F,"Total")</f>
        <v>0</v>
      </c>
      <c r="AX21" s="137">
        <f>SUMIFS(Database!$G:$G,Database!$D:$D,"Import",Database!$E:$E,$B21,Database!$C:$C,AX$1,Database!$F:$F,"Total")</f>
        <v>0</v>
      </c>
      <c r="AY21" s="137">
        <f>SUMIFS(Database!$G:$G,Database!$D:$D,"Import",Database!$E:$E,$B21,Database!$C:$C,AY$1,Database!$F:$F,"Total")</f>
        <v>0</v>
      </c>
      <c r="AZ21" s="137">
        <f>SUMIFS(Database!$G:$G,Database!$D:$D,"Import",Database!$E:$E,$B21,Database!$C:$C,AZ$1,Database!$F:$F,"Total")</f>
        <v>0</v>
      </c>
      <c r="BA21" s="137">
        <f>SUMIFS(Database!$G:$G,Database!$D:$D,"Import",Database!$E:$E,$B21,Database!$C:$C,BA$1,Database!$F:$F,"Total")</f>
        <v>0</v>
      </c>
      <c r="BB21" s="137">
        <f>SUMIFS(Database!$G:$G,Database!$D:$D,"Import",Database!$E:$E,$B21,Database!$C:$C,BB$1,Database!$F:$F,"Total")</f>
        <v>0</v>
      </c>
      <c r="BC21" s="137">
        <f>SUMIFS(Database!$G:$G,Database!$D:$D,"Import",Database!$E:$E,$B21,Database!$C:$C,BC$1,Database!$F:$F,"Total")</f>
        <v>0</v>
      </c>
      <c r="BD21" s="137">
        <f>SUMIFS(Database!$G:$G,Database!$D:$D,"Import",Database!$E:$E,$B21,Database!$C:$C,BD$1,Database!$F:$F,"Total")</f>
        <v>0</v>
      </c>
      <c r="BE21" s="137">
        <f>SUMIFS(Database!$G:$G,Database!$D:$D,"Import",Database!$E:$E,$B21,Database!$C:$C,BE$1,Database!$F:$F,"Total")</f>
        <v>0</v>
      </c>
      <c r="BF21" s="137">
        <f>SUMIFS(Database!$G:$G,Database!$D:$D,"Import",Database!$E:$E,$B21,Database!$C:$C,BF$1,Database!$F:$F,"Total")</f>
        <v>0</v>
      </c>
      <c r="BG21" s="137">
        <f>SUMIFS(Database!$G:$G,Database!$D:$D,"Import",Database!$E:$E,$B21,Database!$C:$C,BG$1,Database!$F:$F,"Total")</f>
        <v>0</v>
      </c>
      <c r="BH21" s="137">
        <f>SUMIFS(Database!$G:$G,Database!$D:$D,"Import",Database!$E:$E,$B21,Database!$C:$C,BH$1,Database!$F:$F,"Total")</f>
        <v>61</v>
      </c>
      <c r="BI21" s="137">
        <f>SUMIFS(Database!$G:$G,Database!$D:$D,"Import",Database!$E:$E,$B21,Database!$C:$C,BI$1,Database!$F:$F,"Total")</f>
        <v>0</v>
      </c>
      <c r="BJ21" s="137">
        <f>SUMIFS(Database!$G:$G,Database!$D:$D,"Import",Database!$E:$E,$B21,Database!$C:$C,BJ$1,Database!$F:$F,"Total")</f>
        <v>0</v>
      </c>
      <c r="BK21" s="137">
        <f>SUMIFS(Database!$G:$G,Database!$D:$D,"Import",Database!$E:$E,$B21,Database!$C:$C,BK$1,Database!$F:$F,"Total")</f>
        <v>0</v>
      </c>
      <c r="BL21" s="137">
        <f>SUMIFS(Database!$G:$G,Database!$D:$D,"Import",Database!$E:$E,$B21,Database!$C:$C,BL$1,Database!$F:$F,"Total")</f>
        <v>0</v>
      </c>
      <c r="BM21" s="137">
        <f>SUMIFS(Database!$G:$G,Database!$D:$D,"Import",Database!$E:$E,$B21,Database!$C:$C,BM$1,Database!$F:$F,"Total")</f>
        <v>0</v>
      </c>
      <c r="BN21" s="137">
        <f>SUMIFS(Database!$G:$G,Database!$D:$D,"Import",Database!$E:$E,$B21,Database!$C:$C,BN$1,Database!$F:$F,"Total")</f>
        <v>0</v>
      </c>
      <c r="BO21" s="137">
        <f>SUMIFS(Database!$G:$G,Database!$D:$D,"Import",Database!$E:$E,$B21,Database!$C:$C,BO$1,Database!$F:$F,"Total")</f>
        <v>0</v>
      </c>
      <c r="BP21" s="137">
        <f>SUMIFS(Database!$G:$G,Database!$D:$D,"Import",Database!$E:$E,$B21,Database!$C:$C,BP$1,Database!$F:$F,"Total")</f>
        <v>0</v>
      </c>
      <c r="BQ21" s="137">
        <f>SUMIFS(Database!$G:$G,Database!$D:$D,"Import",Database!$E:$E,$B21,Database!$C:$C,BQ$1,Database!$F:$F,"Total")</f>
        <v>0</v>
      </c>
      <c r="BR21" s="137">
        <f>SUMIFS(Database!$G:$G,Database!$D:$D,"Import",Database!$E:$E,$B21,Database!$C:$C,BR$1,Database!$F:$F,"Total")</f>
        <v>0</v>
      </c>
      <c r="BS21" s="137">
        <f>SUMIFS(Database!$G:$G,Database!$D:$D,"Import",Database!$E:$E,$B21,Database!$C:$C,BS$1,Database!$F:$F,"Total")</f>
        <v>0</v>
      </c>
      <c r="BT21" s="137">
        <f>SUMIFS(Database!$G:$G,Database!$D:$D,"Import",Database!$E:$E,$B21,Database!$C:$C,BT$1,Database!$F:$F,"Total")</f>
        <v>0</v>
      </c>
      <c r="BU21" s="137">
        <f>SUMIFS(Database!$G:$G,Database!$D:$D,"Import",Database!$E:$E,$B21,Database!$C:$C,BU$1,Database!$F:$F,"Total")</f>
        <v>0</v>
      </c>
      <c r="BV21" s="137">
        <f>SUMIFS(Database!$G:$G,Database!$D:$D,"Import",Database!$E:$E,$B21,Database!$C:$C,BV$1,Database!$F:$F,"Total")</f>
        <v>0</v>
      </c>
      <c r="BW21" s="137">
        <f>SUMIFS(Database!$G:$G,Database!$D:$D,"Import",Database!$E:$E,$B21,Database!$C:$C,BW$1,Database!$F:$F,"Total")</f>
        <v>0</v>
      </c>
      <c r="BX21" s="137">
        <f>SUMIFS(Database!$G:$G,Database!$D:$D,"Import",Database!$E:$E,$B21,Database!$C:$C,BX$1,Database!$F:$F,"Total")</f>
        <v>0</v>
      </c>
      <c r="BY21" s="137">
        <f>SUMIFS(Database!$G:$G,Database!$D:$D,"Import",Database!$E:$E,$B21,Database!$C:$C,BY$1,Database!$F:$F,"Total")</f>
        <v>0</v>
      </c>
      <c r="BZ21" s="137">
        <f>SUMIFS(Database!$G:$G,Database!$D:$D,"Import",Database!$E:$E,$B21,Database!$C:$C,BZ$1,Database!$F:$F,"Total")</f>
        <v>0</v>
      </c>
      <c r="CA21" s="137">
        <f>SUMIFS(Database!$G:$G,Database!$D:$D,"Import",Database!$E:$E,$B21,Database!$C:$C,CA$1,Database!$F:$F,"Total")</f>
        <v>0</v>
      </c>
      <c r="CB21" s="137">
        <f>SUMIFS(Database!$G:$G,Database!$D:$D,"Import",Database!$E:$E,$B21,Database!$C:$C,CB$1,Database!$F:$F,"Total")</f>
        <v>0</v>
      </c>
      <c r="CC21" s="137">
        <f>SUMIFS(Database!$G:$G,Database!$D:$D,"Import",Database!$E:$E,$B21,Database!$C:$C,CC$1,Database!$F:$F,"Total")</f>
        <v>0</v>
      </c>
      <c r="CD21" s="137">
        <f>SUMIFS(Database!$G:$G,Database!$D:$D,"Import",Database!$E:$E,$B21,Database!$C:$C,CD$1,Database!$F:$F,"Total")</f>
        <v>0</v>
      </c>
      <c r="CE21" s="137">
        <f>SUMIFS(Database!$G:$G,Database!$D:$D,"Import",Database!$E:$E,$B21,Database!$C:$C,CE$1,Database!$F:$F,"Total")</f>
        <v>0</v>
      </c>
      <c r="CF21" s="137">
        <f>SUMIFS(Database!$G:$G,Database!$D:$D,"Import",Database!$E:$E,$B21,Database!$C:$C,CF$1,Database!$F:$F,"Total")</f>
        <v>0</v>
      </c>
      <c r="CG21" s="137">
        <f>SUMIFS(Database!$G:$G,Database!$D:$D,"Import",Database!$E:$E,$B21,Database!$C:$C,CG$1,Database!$F:$F,"Total")</f>
        <v>0</v>
      </c>
      <c r="CH21" s="137">
        <f>SUMIFS(Database!$G:$G,Database!$D:$D,"Import",Database!$E:$E,$B21,Database!$C:$C,CH$1,Database!$F:$F,"Total")</f>
        <v>0</v>
      </c>
      <c r="CI21" s="137">
        <f>SUMIFS(Database!$G:$G,Database!$D:$D,"Import",Database!$E:$E,$B21,Database!$C:$C,CI$1,Database!$F:$F,"Total")</f>
        <v>0</v>
      </c>
      <c r="CJ21" s="137">
        <f>SUMIFS(Database!$G:$G,Database!$D:$D,"Import",Database!$E:$E,$B21,Database!$C:$C,CJ$1,Database!$F:$F,"Total")</f>
        <v>0</v>
      </c>
      <c r="CK21" s="137">
        <f>SUMIFS(Database!$G:$G,Database!$D:$D,"Import",Database!$E:$E,$B21,Database!$C:$C,CK$1,Database!$F:$F,"Total")</f>
        <v>0</v>
      </c>
      <c r="CL21" s="137">
        <f>SUMIFS(Database!$G:$G,Database!$D:$D,"Import",Database!$E:$E,$B21,Database!$C:$C,CL$1,Database!$F:$F,"Total")</f>
        <v>0</v>
      </c>
      <c r="CM21" s="137">
        <f>SUMIFS(Database!$G:$G,Database!$D:$D,"Import",Database!$E:$E,$B21,Database!$C:$C,CM$1,Database!$F:$F,"Total")</f>
        <v>0</v>
      </c>
      <c r="CN21" s="137">
        <f>SUMIFS(Database!$G:$G,Database!$D:$D,"Import",Database!$E:$E,$B21,Database!$C:$C,CN$1,Database!$F:$F,"Total")</f>
        <v>0</v>
      </c>
      <c r="CO21" s="137">
        <f>SUMIFS(Database!$G:$G,Database!$D:$D,"Import",Database!$E:$E,$B21,Database!$C:$C,CO$1,Database!$F:$F,"Total")</f>
        <v>0</v>
      </c>
      <c r="CP21" s="137">
        <f>SUMIFS(Database!$G:$G,Database!$D:$D,"Import",Database!$E:$E,$B21,Database!$C:$C,CP$1,Database!$F:$F,"Total")</f>
        <v>0</v>
      </c>
      <c r="CQ21" s="137">
        <f>SUMIFS(Database!$G:$G,Database!$D:$D,"Import",Database!$E:$E,$B21,Database!$C:$C,CQ$1,Database!$F:$F,"Total")</f>
        <v>0</v>
      </c>
      <c r="CR21" s="137">
        <f>SUMIFS(Database!$G:$G,Database!$D:$D,"Import",Database!$E:$E,$B21,Database!$C:$C,CR$1,Database!$F:$F,"Total")</f>
        <v>0</v>
      </c>
      <c r="CS21" s="137">
        <f>SUMIFS(Database!$G:$G,Database!$D:$D,"Import",Database!$E:$E,$B21,Database!$C:$C,CS$1,Database!$F:$F,"Total")</f>
        <v>0</v>
      </c>
      <c r="CT21" s="137">
        <f>SUMIFS(Database!$G:$G,Database!$D:$D,"Import",Database!$E:$E,$B21,Database!$C:$C,CT$1,Database!$F:$F,"Total")</f>
        <v>0</v>
      </c>
      <c r="CU21" s="137">
        <f>SUMIFS(Database!$G:$G,Database!$D:$D,"Import",Database!$E:$E,$B21,Database!$C:$C,CU$1,Database!$F:$F,"Total")</f>
        <v>0</v>
      </c>
    </row>
    <row r="22" spans="1:99" x14ac:dyDescent="0.25">
      <c r="A22" s="132" t="s">
        <v>484</v>
      </c>
      <c r="B22" s="133" t="s">
        <v>52</v>
      </c>
      <c r="C22" s="137">
        <f>SUMIFS(Database!$G:$G,Database!$D:$D,"Import",Database!$E:$E,$B22,Database!$C:$C,C$1,Database!$F:$F,"Total")</f>
        <v>0</v>
      </c>
      <c r="D22" s="137">
        <f>SUMIFS(Database!$G:$G,Database!$D:$D,"Import",Database!$E:$E,$B22,Database!$C:$C,D$1,Database!$F:$F,"Total")</f>
        <v>0</v>
      </c>
      <c r="E22" s="137">
        <f>SUMIFS(Database!$G:$G,Database!$D:$D,"Import",Database!$E:$E,$B22,Database!$C:$C,E$1,Database!$F:$F,"Total")</f>
        <v>0</v>
      </c>
      <c r="F22" s="137">
        <f>SUMIFS(Database!$G:$G,Database!$D:$D,"Import",Database!$E:$E,$B22,Database!$C:$C,F$1,Database!$F:$F,"Total")</f>
        <v>0</v>
      </c>
      <c r="G22" s="137">
        <f>SUMIFS(Database!$G:$G,Database!$D:$D,"Import",Database!$E:$E,$B22,Database!$C:$C,G$1,Database!$F:$F,"Total")</f>
        <v>0</v>
      </c>
      <c r="H22" s="137">
        <f>SUMIFS(Database!$G:$G,Database!$D:$D,"Import",Database!$E:$E,$B22,Database!$C:$C,H$1,Database!$F:$F,"Total")</f>
        <v>0</v>
      </c>
      <c r="I22" s="137">
        <f>SUMIFS(Database!$G:$G,Database!$D:$D,"Import",Database!$E:$E,$B22,Database!$C:$C,I$1,Database!$F:$F,"Total")</f>
        <v>0</v>
      </c>
      <c r="J22" s="137">
        <f>SUMIFS(Database!$G:$G,Database!$D:$D,"Import",Database!$E:$E,$B22,Database!$C:$C,J$1,Database!$F:$F,"Total")</f>
        <v>0</v>
      </c>
      <c r="K22" s="137">
        <f>SUMIFS(Database!$G:$G,Database!$D:$D,"Import",Database!$E:$E,$B22,Database!$C:$C,K$1,Database!$F:$F,"Total")</f>
        <v>0</v>
      </c>
      <c r="L22" s="137">
        <f>SUMIFS(Database!$G:$G,Database!$D:$D,"Import",Database!$E:$E,$B22,Database!$C:$C,L$1,Database!$F:$F,"Total")</f>
        <v>0</v>
      </c>
      <c r="M22" s="137">
        <f>SUMIFS(Database!$G:$G,Database!$D:$D,"Import",Database!$E:$E,$B22,Database!$C:$C,M$1,Database!$F:$F,"Total")</f>
        <v>0</v>
      </c>
      <c r="N22" s="137">
        <f>SUMIFS(Database!$G:$G,Database!$D:$D,"Import",Database!$E:$E,$B22,Database!$C:$C,N$1,Database!$F:$F,"Total")</f>
        <v>0</v>
      </c>
      <c r="O22" s="137">
        <f>SUMIFS(Database!$G:$G,Database!$D:$D,"Import",Database!$E:$E,$B22,Database!$C:$C,O$1,Database!$F:$F,"Total")</f>
        <v>0</v>
      </c>
      <c r="P22" s="137">
        <f>SUMIFS(Database!$G:$G,Database!$D:$D,"Import",Database!$E:$E,$B22,Database!$C:$C,P$1,Database!$F:$F,"Total")</f>
        <v>0</v>
      </c>
      <c r="Q22" s="137">
        <f>SUMIFS(Database!$G:$G,Database!$D:$D,"Import",Database!$E:$E,$B22,Database!$C:$C,Q$1,Database!$F:$F,"Total")</f>
        <v>0</v>
      </c>
      <c r="R22" s="137">
        <f>SUMIFS(Database!$G:$G,Database!$D:$D,"Import",Database!$E:$E,$B22,Database!$C:$C,R$1,Database!$F:$F,"Total")</f>
        <v>0</v>
      </c>
      <c r="S22" s="137">
        <f>SUMIFS(Database!$G:$G,Database!$D:$D,"Import",Database!$E:$E,$B22,Database!$C:$C,S$1,Database!$F:$F,"Total")</f>
        <v>0</v>
      </c>
      <c r="T22" s="137">
        <f>SUMIFS(Database!$G:$G,Database!$D:$D,"Import",Database!$E:$E,$B22,Database!$C:$C,T$1,Database!$F:$F,"Total")</f>
        <v>0</v>
      </c>
      <c r="U22" s="137">
        <f>SUMIFS(Database!$G:$G,Database!$D:$D,"Import",Database!$E:$E,$B22,Database!$C:$C,U$1,Database!$F:$F,"Total")</f>
        <v>0</v>
      </c>
      <c r="V22" s="137">
        <f>SUMIFS(Database!$G:$G,Database!$D:$D,"Import",Database!$E:$E,$B22,Database!$C:$C,V$1,Database!$F:$F,"Total")</f>
        <v>0</v>
      </c>
      <c r="W22" s="137">
        <f>SUMIFS(Database!$G:$G,Database!$D:$D,"Import",Database!$E:$E,$B22,Database!$C:$C,W$1,Database!$F:$F,"Total")</f>
        <v>0</v>
      </c>
      <c r="X22" s="137">
        <f>SUMIFS(Database!$G:$G,Database!$D:$D,"Import",Database!$E:$E,$B22,Database!$C:$C,X$1,Database!$F:$F,"Total")</f>
        <v>0</v>
      </c>
      <c r="Y22" s="137">
        <f>SUMIFS(Database!$G:$G,Database!$D:$D,"Import",Database!$E:$E,$B22,Database!$C:$C,Y$1,Database!$F:$F,"Total")</f>
        <v>0</v>
      </c>
      <c r="Z22" s="137">
        <f>SUMIFS(Database!$G:$G,Database!$D:$D,"Import",Database!$E:$E,$B22,Database!$C:$C,Z$1,Database!$F:$F,"Total")</f>
        <v>0</v>
      </c>
      <c r="AA22" s="137">
        <f>SUMIFS(Database!$G:$G,Database!$D:$D,"Import",Database!$E:$E,$B22,Database!$C:$C,AA$1,Database!$F:$F,"Total")</f>
        <v>0</v>
      </c>
      <c r="AB22" s="137">
        <f>SUMIFS(Database!$G:$G,Database!$D:$D,"Import",Database!$E:$E,$B22,Database!$C:$C,AB$1,Database!$F:$F,"Total")</f>
        <v>0</v>
      </c>
      <c r="AC22" s="137">
        <f>SUMIFS(Database!$G:$G,Database!$D:$D,"Import",Database!$E:$E,$B22,Database!$C:$C,AC$1,Database!$F:$F,"Total")</f>
        <v>0</v>
      </c>
      <c r="AD22" s="137">
        <f>SUMIFS(Database!$G:$G,Database!$D:$D,"Import",Database!$E:$E,$B22,Database!$C:$C,AD$1,Database!$F:$F,"Total")</f>
        <v>0</v>
      </c>
      <c r="AE22" s="137">
        <f>SUMIFS(Database!$G:$G,Database!$D:$D,"Import",Database!$E:$E,$B22,Database!$C:$C,AE$1,Database!$F:$F,"Total")</f>
        <v>0</v>
      </c>
      <c r="AF22" s="137">
        <f>SUMIFS(Database!$G:$G,Database!$D:$D,"Import",Database!$E:$E,$B22,Database!$C:$C,AF$1,Database!$F:$F,"Total")</f>
        <v>0</v>
      </c>
      <c r="AG22" s="137">
        <f>SUMIFS(Database!$G:$G,Database!$D:$D,"Import",Database!$E:$E,$B22,Database!$C:$C,AG$1,Database!$F:$F,"Total")</f>
        <v>0</v>
      </c>
      <c r="AH22" s="137">
        <f>SUMIFS(Database!$G:$G,Database!$D:$D,"Import",Database!$E:$E,$B22,Database!$C:$C,AH$1,Database!$F:$F,"Total")</f>
        <v>0</v>
      </c>
      <c r="AI22" s="137">
        <f>SUMIFS(Database!$G:$G,Database!$D:$D,"Import",Database!$E:$E,$B22,Database!$C:$C,AI$1,Database!$F:$F,"Total")</f>
        <v>0</v>
      </c>
      <c r="AJ22" s="137">
        <f>SUMIFS(Database!$G:$G,Database!$D:$D,"Import",Database!$E:$E,$B22,Database!$C:$C,AJ$1,Database!$F:$F,"Total")</f>
        <v>0</v>
      </c>
      <c r="AK22" s="137">
        <f>SUMIFS(Database!$G:$G,Database!$D:$D,"Import",Database!$E:$E,$B22,Database!$C:$C,AK$1,Database!$F:$F,"Total")</f>
        <v>0</v>
      </c>
      <c r="AL22" s="137">
        <f>SUMIFS(Database!$G:$G,Database!$D:$D,"Import",Database!$E:$E,$B22,Database!$C:$C,AL$1,Database!$F:$F,"Total")</f>
        <v>0</v>
      </c>
      <c r="AM22" s="137">
        <f>SUMIFS(Database!$G:$G,Database!$D:$D,"Import",Database!$E:$E,$B22,Database!$C:$C,AM$1,Database!$F:$F,"Total")</f>
        <v>0</v>
      </c>
      <c r="AN22" s="137">
        <f>SUMIFS(Database!$G:$G,Database!$D:$D,"Import",Database!$E:$E,$B22,Database!$C:$C,AN$1,Database!$F:$F,"Total")</f>
        <v>0</v>
      </c>
      <c r="AO22" s="137">
        <f>SUMIFS(Database!$G:$G,Database!$D:$D,"Import",Database!$E:$E,$B22,Database!$C:$C,AO$1,Database!$F:$F,"Total")</f>
        <v>0</v>
      </c>
      <c r="AP22" s="137">
        <f>SUMIFS(Database!$G:$G,Database!$D:$D,"Import",Database!$E:$E,$B22,Database!$C:$C,AP$1,Database!$F:$F,"Total")</f>
        <v>0</v>
      </c>
      <c r="AQ22" s="137">
        <f>SUMIFS(Database!$G:$G,Database!$D:$D,"Import",Database!$E:$E,$B22,Database!$C:$C,AQ$1,Database!$F:$F,"Total")</f>
        <v>0</v>
      </c>
      <c r="AR22" s="137">
        <f>SUMIFS(Database!$G:$G,Database!$D:$D,"Import",Database!$E:$E,$B22,Database!$C:$C,AR$1,Database!$F:$F,"Total")</f>
        <v>0</v>
      </c>
      <c r="AS22" s="137">
        <f>SUMIFS(Database!$G:$G,Database!$D:$D,"Import",Database!$E:$E,$B22,Database!$C:$C,AS$1,Database!$F:$F,"Total")</f>
        <v>0</v>
      </c>
      <c r="AT22" s="137">
        <f>SUMIFS(Database!$G:$G,Database!$D:$D,"Import",Database!$E:$E,$B22,Database!$C:$C,AT$1,Database!$F:$F,"Total")</f>
        <v>0</v>
      </c>
      <c r="AU22" s="137">
        <f>SUMIFS(Database!$G:$G,Database!$D:$D,"Import",Database!$E:$E,$B22,Database!$C:$C,AU$1,Database!$F:$F,"Total")</f>
        <v>0</v>
      </c>
      <c r="AV22" s="137">
        <f>SUMIFS(Database!$G:$G,Database!$D:$D,"Import",Database!$E:$E,$B22,Database!$C:$C,AV$1,Database!$F:$F,"Total")</f>
        <v>0</v>
      </c>
      <c r="AW22" s="137">
        <f>SUMIFS(Database!$G:$G,Database!$D:$D,"Import",Database!$E:$E,$B22,Database!$C:$C,AW$1,Database!$F:$F,"Total")</f>
        <v>0</v>
      </c>
      <c r="AX22" s="137">
        <f>SUMIFS(Database!$G:$G,Database!$D:$D,"Import",Database!$E:$E,$B22,Database!$C:$C,AX$1,Database!$F:$F,"Total")</f>
        <v>0</v>
      </c>
      <c r="AY22" s="137">
        <f>SUMIFS(Database!$G:$G,Database!$D:$D,"Import",Database!$E:$E,$B22,Database!$C:$C,AY$1,Database!$F:$F,"Total")</f>
        <v>0</v>
      </c>
      <c r="AZ22" s="137">
        <f>SUMIFS(Database!$G:$G,Database!$D:$D,"Import",Database!$E:$E,$B22,Database!$C:$C,AZ$1,Database!$F:$F,"Total")</f>
        <v>0</v>
      </c>
      <c r="BA22" s="137">
        <f>SUMIFS(Database!$G:$G,Database!$D:$D,"Import",Database!$E:$E,$B22,Database!$C:$C,BA$1,Database!$F:$F,"Total")</f>
        <v>0</v>
      </c>
      <c r="BB22" s="137">
        <f>SUMIFS(Database!$G:$G,Database!$D:$D,"Import",Database!$E:$E,$B22,Database!$C:$C,BB$1,Database!$F:$F,"Total")</f>
        <v>0</v>
      </c>
      <c r="BC22" s="137">
        <f>SUMIFS(Database!$G:$G,Database!$D:$D,"Import",Database!$E:$E,$B22,Database!$C:$C,BC$1,Database!$F:$F,"Total")</f>
        <v>0</v>
      </c>
      <c r="BD22" s="137">
        <f>SUMIFS(Database!$G:$G,Database!$D:$D,"Import",Database!$E:$E,$B22,Database!$C:$C,BD$1,Database!$F:$F,"Total")</f>
        <v>0</v>
      </c>
      <c r="BE22" s="137">
        <f>SUMIFS(Database!$G:$G,Database!$D:$D,"Import",Database!$E:$E,$B22,Database!$C:$C,BE$1,Database!$F:$F,"Total")</f>
        <v>0</v>
      </c>
      <c r="BF22" s="137">
        <f>SUMIFS(Database!$G:$G,Database!$D:$D,"Import",Database!$E:$E,$B22,Database!$C:$C,BF$1,Database!$F:$F,"Total")</f>
        <v>0</v>
      </c>
      <c r="BG22" s="137">
        <f>SUMIFS(Database!$G:$G,Database!$D:$D,"Import",Database!$E:$E,$B22,Database!$C:$C,BG$1,Database!$F:$F,"Total")</f>
        <v>0</v>
      </c>
      <c r="BH22" s="137">
        <f>SUMIFS(Database!$G:$G,Database!$D:$D,"Import",Database!$E:$E,$B22,Database!$C:$C,BH$1,Database!$F:$F,"Total")</f>
        <v>0</v>
      </c>
      <c r="BI22" s="137">
        <f>SUMIFS(Database!$G:$G,Database!$D:$D,"Import",Database!$E:$E,$B22,Database!$C:$C,BI$1,Database!$F:$F,"Total")</f>
        <v>0</v>
      </c>
      <c r="BJ22" s="137">
        <f>SUMIFS(Database!$G:$G,Database!$D:$D,"Import",Database!$E:$E,$B22,Database!$C:$C,BJ$1,Database!$F:$F,"Total")</f>
        <v>0</v>
      </c>
      <c r="BK22" s="137">
        <f>SUMIFS(Database!$G:$G,Database!$D:$D,"Import",Database!$E:$E,$B22,Database!$C:$C,BK$1,Database!$F:$F,"Total")</f>
        <v>0</v>
      </c>
      <c r="BL22" s="137">
        <f>SUMIFS(Database!$G:$G,Database!$D:$D,"Import",Database!$E:$E,$B22,Database!$C:$C,BL$1,Database!$F:$F,"Total")</f>
        <v>0</v>
      </c>
      <c r="BM22" s="137">
        <f>SUMIFS(Database!$G:$G,Database!$D:$D,"Import",Database!$E:$E,$B22,Database!$C:$C,BM$1,Database!$F:$F,"Total")</f>
        <v>0</v>
      </c>
      <c r="BN22" s="137">
        <f>SUMIFS(Database!$G:$G,Database!$D:$D,"Import",Database!$E:$E,$B22,Database!$C:$C,BN$1,Database!$F:$F,"Total")</f>
        <v>0</v>
      </c>
      <c r="BO22" s="137">
        <f>SUMIFS(Database!$G:$G,Database!$D:$D,"Import",Database!$E:$E,$B22,Database!$C:$C,BO$1,Database!$F:$F,"Total")</f>
        <v>0</v>
      </c>
      <c r="BP22" s="137">
        <f>SUMIFS(Database!$G:$G,Database!$D:$D,"Import",Database!$E:$E,$B22,Database!$C:$C,BP$1,Database!$F:$F,"Total")</f>
        <v>0</v>
      </c>
      <c r="BQ22" s="137">
        <f>SUMIFS(Database!$G:$G,Database!$D:$D,"Import",Database!$E:$E,$B22,Database!$C:$C,BQ$1,Database!$F:$F,"Total")</f>
        <v>0</v>
      </c>
      <c r="BR22" s="137">
        <f>SUMIFS(Database!$G:$G,Database!$D:$D,"Import",Database!$E:$E,$B22,Database!$C:$C,BR$1,Database!$F:$F,"Total")</f>
        <v>0</v>
      </c>
      <c r="BS22" s="137">
        <f>SUMIFS(Database!$G:$G,Database!$D:$D,"Import",Database!$E:$E,$B22,Database!$C:$C,BS$1,Database!$F:$F,"Total")</f>
        <v>0</v>
      </c>
      <c r="BT22" s="137">
        <f>SUMIFS(Database!$G:$G,Database!$D:$D,"Import",Database!$E:$E,$B22,Database!$C:$C,BT$1,Database!$F:$F,"Total")</f>
        <v>33041</v>
      </c>
      <c r="BU22" s="137">
        <f>SUMIFS(Database!$G:$G,Database!$D:$D,"Import",Database!$E:$E,$B22,Database!$C:$C,BU$1,Database!$F:$F,"Total")</f>
        <v>49464</v>
      </c>
      <c r="BV22" s="137">
        <f>SUMIFS(Database!$G:$G,Database!$D:$D,"Import",Database!$E:$E,$B22,Database!$C:$C,BV$1,Database!$F:$F,"Total")</f>
        <v>0</v>
      </c>
      <c r="BW22" s="137">
        <f>SUMIFS(Database!$G:$G,Database!$D:$D,"Import",Database!$E:$E,$B22,Database!$C:$C,BW$1,Database!$F:$F,"Total")</f>
        <v>0</v>
      </c>
      <c r="BX22" s="137">
        <f>SUMIFS(Database!$G:$G,Database!$D:$D,"Import",Database!$E:$E,$B22,Database!$C:$C,BX$1,Database!$F:$F,"Total")</f>
        <v>0</v>
      </c>
      <c r="BY22" s="137">
        <f>SUMIFS(Database!$G:$G,Database!$D:$D,"Import",Database!$E:$E,$B22,Database!$C:$C,BY$1,Database!$F:$F,"Total")</f>
        <v>0</v>
      </c>
      <c r="BZ22" s="137">
        <f>SUMIFS(Database!$G:$G,Database!$D:$D,"Import",Database!$E:$E,$B22,Database!$C:$C,BZ$1,Database!$F:$F,"Total")</f>
        <v>0</v>
      </c>
      <c r="CA22" s="137">
        <f>SUMIFS(Database!$G:$G,Database!$D:$D,"Import",Database!$E:$E,$B22,Database!$C:$C,CA$1,Database!$F:$F,"Total")</f>
        <v>0</v>
      </c>
      <c r="CB22" s="137">
        <f>SUMIFS(Database!$G:$G,Database!$D:$D,"Import",Database!$E:$E,$B22,Database!$C:$C,CB$1,Database!$F:$F,"Total")</f>
        <v>0</v>
      </c>
      <c r="CC22" s="137">
        <f>SUMIFS(Database!$G:$G,Database!$D:$D,"Import",Database!$E:$E,$B22,Database!$C:$C,CC$1,Database!$F:$F,"Total")</f>
        <v>0</v>
      </c>
      <c r="CD22" s="137">
        <f>SUMIFS(Database!$G:$G,Database!$D:$D,"Import",Database!$E:$E,$B22,Database!$C:$C,CD$1,Database!$F:$F,"Total")</f>
        <v>0</v>
      </c>
      <c r="CE22" s="137">
        <f>SUMIFS(Database!$G:$G,Database!$D:$D,"Import",Database!$E:$E,$B22,Database!$C:$C,CE$1,Database!$F:$F,"Total")</f>
        <v>0</v>
      </c>
      <c r="CF22" s="137">
        <f>SUMIFS(Database!$G:$G,Database!$D:$D,"Import",Database!$E:$E,$B22,Database!$C:$C,CF$1,Database!$F:$F,"Total")</f>
        <v>0</v>
      </c>
      <c r="CG22" s="137">
        <f>SUMIFS(Database!$G:$G,Database!$D:$D,"Import",Database!$E:$E,$B22,Database!$C:$C,CG$1,Database!$F:$F,"Total")</f>
        <v>0</v>
      </c>
      <c r="CH22" s="137">
        <f>SUMIFS(Database!$G:$G,Database!$D:$D,"Import",Database!$E:$E,$B22,Database!$C:$C,CH$1,Database!$F:$F,"Total")</f>
        <v>0</v>
      </c>
      <c r="CI22" s="137">
        <f>SUMIFS(Database!$G:$G,Database!$D:$D,"Import",Database!$E:$E,$B22,Database!$C:$C,CI$1,Database!$F:$F,"Total")</f>
        <v>0</v>
      </c>
      <c r="CJ22" s="137">
        <f>SUMIFS(Database!$G:$G,Database!$D:$D,"Import",Database!$E:$E,$B22,Database!$C:$C,CJ$1,Database!$F:$F,"Total")</f>
        <v>0</v>
      </c>
      <c r="CK22" s="137">
        <f>SUMIFS(Database!$G:$G,Database!$D:$D,"Import",Database!$E:$E,$B22,Database!$C:$C,CK$1,Database!$F:$F,"Total")</f>
        <v>0</v>
      </c>
      <c r="CL22" s="137">
        <f>SUMIFS(Database!$G:$G,Database!$D:$D,"Import",Database!$E:$E,$B22,Database!$C:$C,CL$1,Database!$F:$F,"Total")</f>
        <v>0</v>
      </c>
      <c r="CM22" s="137">
        <f>SUMIFS(Database!$G:$G,Database!$D:$D,"Import",Database!$E:$E,$B22,Database!$C:$C,CM$1,Database!$F:$F,"Total")</f>
        <v>0</v>
      </c>
      <c r="CN22" s="137">
        <f>SUMIFS(Database!$G:$G,Database!$D:$D,"Import",Database!$E:$E,$B22,Database!$C:$C,CN$1,Database!$F:$F,"Total")</f>
        <v>0</v>
      </c>
      <c r="CO22" s="137">
        <f>SUMIFS(Database!$G:$G,Database!$D:$D,"Import",Database!$E:$E,$B22,Database!$C:$C,CO$1,Database!$F:$F,"Total")</f>
        <v>0</v>
      </c>
      <c r="CP22" s="137">
        <f>SUMIFS(Database!$G:$G,Database!$D:$D,"Import",Database!$E:$E,$B22,Database!$C:$C,CP$1,Database!$F:$F,"Total")</f>
        <v>0</v>
      </c>
      <c r="CQ22" s="137">
        <f>SUMIFS(Database!$G:$G,Database!$D:$D,"Import",Database!$E:$E,$B22,Database!$C:$C,CQ$1,Database!$F:$F,"Total")</f>
        <v>0</v>
      </c>
      <c r="CR22" s="137">
        <f>SUMIFS(Database!$G:$G,Database!$D:$D,"Import",Database!$E:$E,$B22,Database!$C:$C,CR$1,Database!$F:$F,"Total")</f>
        <v>0</v>
      </c>
      <c r="CS22" s="137">
        <f>SUMIFS(Database!$G:$G,Database!$D:$D,"Import",Database!$E:$E,$B22,Database!$C:$C,CS$1,Database!$F:$F,"Total")</f>
        <v>0</v>
      </c>
      <c r="CT22" s="137">
        <f>SUMIFS(Database!$G:$G,Database!$D:$D,"Import",Database!$E:$E,$B22,Database!$C:$C,CT$1,Database!$F:$F,"Total")</f>
        <v>0</v>
      </c>
      <c r="CU22" s="137">
        <f>SUMIFS(Database!$G:$G,Database!$D:$D,"Import",Database!$E:$E,$B22,Database!$C:$C,CU$1,Database!$F:$F,"Total")</f>
        <v>0</v>
      </c>
    </row>
    <row r="23" spans="1:99" x14ac:dyDescent="0.25">
      <c r="A23" s="132" t="s">
        <v>484</v>
      </c>
      <c r="B23" s="133" t="s">
        <v>53</v>
      </c>
      <c r="C23" s="137">
        <f>SUMIFS(Database!$G:$G,Database!$D:$D,"Import",Database!$E:$E,$B23,Database!$C:$C,C$1,Database!$F:$F,"Total")</f>
        <v>0</v>
      </c>
      <c r="D23" s="137">
        <f>SUMIFS(Database!$G:$G,Database!$D:$D,"Import",Database!$E:$E,$B23,Database!$C:$C,D$1,Database!$F:$F,"Total")</f>
        <v>0</v>
      </c>
      <c r="E23" s="137">
        <f>SUMIFS(Database!$G:$G,Database!$D:$D,"Import",Database!$E:$E,$B23,Database!$C:$C,E$1,Database!$F:$F,"Total")</f>
        <v>0</v>
      </c>
      <c r="F23" s="137">
        <f>SUMIFS(Database!$G:$G,Database!$D:$D,"Import",Database!$E:$E,$B23,Database!$C:$C,F$1,Database!$F:$F,"Total")</f>
        <v>0</v>
      </c>
      <c r="G23" s="137">
        <f>SUMIFS(Database!$G:$G,Database!$D:$D,"Import",Database!$E:$E,$B23,Database!$C:$C,G$1,Database!$F:$F,"Total")</f>
        <v>0</v>
      </c>
      <c r="H23" s="137">
        <f>SUMIFS(Database!$G:$G,Database!$D:$D,"Import",Database!$E:$E,$B23,Database!$C:$C,H$1,Database!$F:$F,"Total")</f>
        <v>0</v>
      </c>
      <c r="I23" s="137">
        <f>SUMIFS(Database!$G:$G,Database!$D:$D,"Import",Database!$E:$E,$B23,Database!$C:$C,I$1,Database!$F:$F,"Total")</f>
        <v>0</v>
      </c>
      <c r="J23" s="137">
        <f>SUMIFS(Database!$G:$G,Database!$D:$D,"Import",Database!$E:$E,$B23,Database!$C:$C,J$1,Database!$F:$F,"Total")</f>
        <v>0</v>
      </c>
      <c r="K23" s="137">
        <f>SUMIFS(Database!$G:$G,Database!$D:$D,"Import",Database!$E:$E,$B23,Database!$C:$C,K$1,Database!$F:$F,"Total")</f>
        <v>0</v>
      </c>
      <c r="L23" s="137">
        <f>SUMIFS(Database!$G:$G,Database!$D:$D,"Import",Database!$E:$E,$B23,Database!$C:$C,L$1,Database!$F:$F,"Total")</f>
        <v>0</v>
      </c>
      <c r="M23" s="137">
        <f>SUMIFS(Database!$G:$G,Database!$D:$D,"Import",Database!$E:$E,$B23,Database!$C:$C,M$1,Database!$F:$F,"Total")</f>
        <v>0</v>
      </c>
      <c r="N23" s="137">
        <f>SUMIFS(Database!$G:$G,Database!$D:$D,"Import",Database!$E:$E,$B23,Database!$C:$C,N$1,Database!$F:$F,"Total")</f>
        <v>0</v>
      </c>
      <c r="O23" s="137">
        <f>SUMIFS(Database!$G:$G,Database!$D:$D,"Import",Database!$E:$E,$B23,Database!$C:$C,O$1,Database!$F:$F,"Total")</f>
        <v>0</v>
      </c>
      <c r="P23" s="137">
        <f>SUMIFS(Database!$G:$G,Database!$D:$D,"Import",Database!$E:$E,$B23,Database!$C:$C,P$1,Database!$F:$F,"Total")</f>
        <v>0</v>
      </c>
      <c r="Q23" s="137">
        <f>SUMIFS(Database!$G:$G,Database!$D:$D,"Import",Database!$E:$E,$B23,Database!$C:$C,Q$1,Database!$F:$F,"Total")</f>
        <v>0</v>
      </c>
      <c r="R23" s="137">
        <f>SUMIFS(Database!$G:$G,Database!$D:$D,"Import",Database!$E:$E,$B23,Database!$C:$C,R$1,Database!$F:$F,"Total")</f>
        <v>0</v>
      </c>
      <c r="S23" s="137">
        <f>SUMIFS(Database!$G:$G,Database!$D:$D,"Import",Database!$E:$E,$B23,Database!$C:$C,S$1,Database!$F:$F,"Total")</f>
        <v>0</v>
      </c>
      <c r="T23" s="137">
        <f>SUMIFS(Database!$G:$G,Database!$D:$D,"Import",Database!$E:$E,$B23,Database!$C:$C,T$1,Database!$F:$F,"Total")</f>
        <v>0</v>
      </c>
      <c r="U23" s="137">
        <f>SUMIFS(Database!$G:$G,Database!$D:$D,"Import",Database!$E:$E,$B23,Database!$C:$C,U$1,Database!$F:$F,"Total")</f>
        <v>0</v>
      </c>
      <c r="V23" s="137">
        <f>SUMIFS(Database!$G:$G,Database!$D:$D,"Import",Database!$E:$E,$B23,Database!$C:$C,V$1,Database!$F:$F,"Total")</f>
        <v>0</v>
      </c>
      <c r="W23" s="137">
        <f>SUMIFS(Database!$G:$G,Database!$D:$D,"Import",Database!$E:$E,$B23,Database!$C:$C,W$1,Database!$F:$F,"Total")</f>
        <v>0</v>
      </c>
      <c r="X23" s="137">
        <f>SUMIFS(Database!$G:$G,Database!$D:$D,"Import",Database!$E:$E,$B23,Database!$C:$C,X$1,Database!$F:$F,"Total")</f>
        <v>0</v>
      </c>
      <c r="Y23" s="137">
        <f>SUMIFS(Database!$G:$G,Database!$D:$D,"Import",Database!$E:$E,$B23,Database!$C:$C,Y$1,Database!$F:$F,"Total")</f>
        <v>0</v>
      </c>
      <c r="Z23" s="137">
        <f>SUMIFS(Database!$G:$G,Database!$D:$D,"Import",Database!$E:$E,$B23,Database!$C:$C,Z$1,Database!$F:$F,"Total")</f>
        <v>0</v>
      </c>
      <c r="AA23" s="137">
        <f>SUMIFS(Database!$G:$G,Database!$D:$D,"Import",Database!$E:$E,$B23,Database!$C:$C,AA$1,Database!$F:$F,"Total")</f>
        <v>0</v>
      </c>
      <c r="AB23" s="137">
        <f>SUMIFS(Database!$G:$G,Database!$D:$D,"Import",Database!$E:$E,$B23,Database!$C:$C,AB$1,Database!$F:$F,"Total")</f>
        <v>0</v>
      </c>
      <c r="AC23" s="137">
        <f>SUMIFS(Database!$G:$G,Database!$D:$D,"Import",Database!$E:$E,$B23,Database!$C:$C,AC$1,Database!$F:$F,"Total")</f>
        <v>0</v>
      </c>
      <c r="AD23" s="137">
        <f>SUMIFS(Database!$G:$G,Database!$D:$D,"Import",Database!$E:$E,$B23,Database!$C:$C,AD$1,Database!$F:$F,"Total")</f>
        <v>0</v>
      </c>
      <c r="AE23" s="137">
        <f>SUMIFS(Database!$G:$G,Database!$D:$D,"Import",Database!$E:$E,$B23,Database!$C:$C,AE$1,Database!$F:$F,"Total")</f>
        <v>0</v>
      </c>
      <c r="AF23" s="137">
        <f>SUMIFS(Database!$G:$G,Database!$D:$D,"Import",Database!$E:$E,$B23,Database!$C:$C,AF$1,Database!$F:$F,"Total")</f>
        <v>0</v>
      </c>
      <c r="AG23" s="137">
        <f>SUMIFS(Database!$G:$G,Database!$D:$D,"Import",Database!$E:$E,$B23,Database!$C:$C,AG$1,Database!$F:$F,"Total")</f>
        <v>0</v>
      </c>
      <c r="AH23" s="137">
        <f>SUMIFS(Database!$G:$G,Database!$D:$D,"Import",Database!$E:$E,$B23,Database!$C:$C,AH$1,Database!$F:$F,"Total")</f>
        <v>0</v>
      </c>
      <c r="AI23" s="137">
        <f>SUMIFS(Database!$G:$G,Database!$D:$D,"Import",Database!$E:$E,$B23,Database!$C:$C,AI$1,Database!$F:$F,"Total")</f>
        <v>0</v>
      </c>
      <c r="AJ23" s="137">
        <f>SUMIFS(Database!$G:$G,Database!$D:$D,"Import",Database!$E:$E,$B23,Database!$C:$C,AJ$1,Database!$F:$F,"Total")</f>
        <v>123420</v>
      </c>
      <c r="AK23" s="137">
        <f>SUMIFS(Database!$G:$G,Database!$D:$D,"Import",Database!$E:$E,$B23,Database!$C:$C,AK$1,Database!$F:$F,"Total")</f>
        <v>124959</v>
      </c>
      <c r="AL23" s="137">
        <f>SUMIFS(Database!$G:$G,Database!$D:$D,"Import",Database!$E:$E,$B23,Database!$C:$C,AL$1,Database!$F:$F,"Total")</f>
        <v>69327</v>
      </c>
      <c r="AM23" s="137">
        <f>SUMIFS(Database!$G:$G,Database!$D:$D,"Import",Database!$E:$E,$B23,Database!$C:$C,AM$1,Database!$F:$F,"Total")</f>
        <v>1346</v>
      </c>
      <c r="AN23" s="137">
        <f>SUMIFS(Database!$G:$G,Database!$D:$D,"Import",Database!$E:$E,$B23,Database!$C:$C,AN$1,Database!$F:$F,"Total")</f>
        <v>928</v>
      </c>
      <c r="AO23" s="137">
        <f>SUMIFS(Database!$G:$G,Database!$D:$D,"Import",Database!$E:$E,$B23,Database!$C:$C,AO$1,Database!$F:$F,"Total")</f>
        <v>1620</v>
      </c>
      <c r="AP23" s="137">
        <f>SUMIFS(Database!$G:$G,Database!$D:$D,"Import",Database!$E:$E,$B23,Database!$C:$C,AP$1,Database!$F:$F,"Total")</f>
        <v>2375</v>
      </c>
      <c r="AQ23" s="137">
        <f>SUMIFS(Database!$G:$G,Database!$D:$D,"Import",Database!$E:$E,$B23,Database!$C:$C,AQ$1,Database!$F:$F,"Total")</f>
        <v>363</v>
      </c>
      <c r="AR23" s="137">
        <f>SUMIFS(Database!$G:$G,Database!$D:$D,"Import",Database!$E:$E,$B23,Database!$C:$C,AR$1,Database!$F:$F,"Total")</f>
        <v>59</v>
      </c>
      <c r="AS23" s="137">
        <f>SUMIFS(Database!$G:$G,Database!$D:$D,"Import",Database!$E:$E,$B23,Database!$C:$C,AS$1,Database!$F:$F,"Total")</f>
        <v>405</v>
      </c>
      <c r="AT23" s="137">
        <f>SUMIFS(Database!$G:$G,Database!$D:$D,"Import",Database!$E:$E,$B23,Database!$C:$C,AT$1,Database!$F:$F,"Total")</f>
        <v>0</v>
      </c>
      <c r="AU23" s="137">
        <f>SUMIFS(Database!$G:$G,Database!$D:$D,"Import",Database!$E:$E,$B23,Database!$C:$C,AU$1,Database!$F:$F,"Total")</f>
        <v>42650</v>
      </c>
      <c r="AV23" s="137">
        <f>SUMIFS(Database!$G:$G,Database!$D:$D,"Import",Database!$E:$E,$B23,Database!$C:$C,AV$1,Database!$F:$F,"Total")</f>
        <v>0</v>
      </c>
      <c r="AW23" s="137">
        <f>SUMIFS(Database!$G:$G,Database!$D:$D,"Import",Database!$E:$E,$B23,Database!$C:$C,AW$1,Database!$F:$F,"Total")</f>
        <v>0</v>
      </c>
      <c r="AX23" s="137">
        <f>SUMIFS(Database!$G:$G,Database!$D:$D,"Import",Database!$E:$E,$B23,Database!$C:$C,AX$1,Database!$F:$F,"Total")</f>
        <v>0</v>
      </c>
      <c r="AY23" s="137">
        <f>SUMIFS(Database!$G:$G,Database!$D:$D,"Import",Database!$E:$E,$B23,Database!$C:$C,AY$1,Database!$F:$F,"Total")</f>
        <v>0</v>
      </c>
      <c r="AZ23" s="137">
        <f>SUMIFS(Database!$G:$G,Database!$D:$D,"Import",Database!$E:$E,$B23,Database!$C:$C,AZ$1,Database!$F:$F,"Total")</f>
        <v>0</v>
      </c>
      <c r="BA23" s="137">
        <f>SUMIFS(Database!$G:$G,Database!$D:$D,"Import",Database!$E:$E,$B23,Database!$C:$C,BA$1,Database!$F:$F,"Total")</f>
        <v>0</v>
      </c>
      <c r="BB23" s="137">
        <f>SUMIFS(Database!$G:$G,Database!$D:$D,"Import",Database!$E:$E,$B23,Database!$C:$C,BB$1,Database!$F:$F,"Total")</f>
        <v>0</v>
      </c>
      <c r="BC23" s="137">
        <f>SUMIFS(Database!$G:$G,Database!$D:$D,"Import",Database!$E:$E,$B23,Database!$C:$C,BC$1,Database!$F:$F,"Total")</f>
        <v>0</v>
      </c>
      <c r="BD23" s="137">
        <f>SUMIFS(Database!$G:$G,Database!$D:$D,"Import",Database!$E:$E,$B23,Database!$C:$C,BD$1,Database!$F:$F,"Total")</f>
        <v>0</v>
      </c>
      <c r="BE23" s="137">
        <f>SUMIFS(Database!$G:$G,Database!$D:$D,"Import",Database!$E:$E,$B23,Database!$C:$C,BE$1,Database!$F:$F,"Total")</f>
        <v>0</v>
      </c>
      <c r="BF23" s="137">
        <f>SUMIFS(Database!$G:$G,Database!$D:$D,"Import",Database!$E:$E,$B23,Database!$C:$C,BF$1,Database!$F:$F,"Total")</f>
        <v>0</v>
      </c>
      <c r="BG23" s="137">
        <f>SUMIFS(Database!$G:$G,Database!$D:$D,"Import",Database!$E:$E,$B23,Database!$C:$C,BG$1,Database!$F:$F,"Total")</f>
        <v>0</v>
      </c>
      <c r="BH23" s="137">
        <f>SUMIFS(Database!$G:$G,Database!$D:$D,"Import",Database!$E:$E,$B23,Database!$C:$C,BH$1,Database!$F:$F,"Total")</f>
        <v>0</v>
      </c>
      <c r="BI23" s="137">
        <f>SUMIFS(Database!$G:$G,Database!$D:$D,"Import",Database!$E:$E,$B23,Database!$C:$C,BI$1,Database!$F:$F,"Total")</f>
        <v>39531</v>
      </c>
      <c r="BJ23" s="137">
        <f>SUMIFS(Database!$G:$G,Database!$D:$D,"Import",Database!$E:$E,$B23,Database!$C:$C,BJ$1,Database!$F:$F,"Total")</f>
        <v>0</v>
      </c>
      <c r="BK23" s="137">
        <f>SUMIFS(Database!$G:$G,Database!$D:$D,"Import",Database!$E:$E,$B23,Database!$C:$C,BK$1,Database!$F:$F,"Total")</f>
        <v>0</v>
      </c>
      <c r="BL23" s="137">
        <f>SUMIFS(Database!$G:$G,Database!$D:$D,"Import",Database!$E:$E,$B23,Database!$C:$C,BL$1,Database!$F:$F,"Total")</f>
        <v>0</v>
      </c>
      <c r="BM23" s="137">
        <f>SUMIFS(Database!$G:$G,Database!$D:$D,"Import",Database!$E:$E,$B23,Database!$C:$C,BM$1,Database!$F:$F,"Total")</f>
        <v>0</v>
      </c>
      <c r="BN23" s="137">
        <f>SUMIFS(Database!$G:$G,Database!$D:$D,"Import",Database!$E:$E,$B23,Database!$C:$C,BN$1,Database!$F:$F,"Total")</f>
        <v>0</v>
      </c>
      <c r="BO23" s="137">
        <f>SUMIFS(Database!$G:$G,Database!$D:$D,"Import",Database!$E:$E,$B23,Database!$C:$C,BO$1,Database!$F:$F,"Total")</f>
        <v>0</v>
      </c>
      <c r="BP23" s="137">
        <f>SUMIFS(Database!$G:$G,Database!$D:$D,"Import",Database!$E:$E,$B23,Database!$C:$C,BP$1,Database!$F:$F,"Total")</f>
        <v>0</v>
      </c>
      <c r="BQ23" s="137">
        <f>SUMIFS(Database!$G:$G,Database!$D:$D,"Import",Database!$E:$E,$B23,Database!$C:$C,BQ$1,Database!$F:$F,"Total")</f>
        <v>0</v>
      </c>
      <c r="BR23" s="137">
        <f>SUMIFS(Database!$G:$G,Database!$D:$D,"Import",Database!$E:$E,$B23,Database!$C:$C,BR$1,Database!$F:$F,"Total")</f>
        <v>0</v>
      </c>
      <c r="BS23" s="137">
        <f>SUMIFS(Database!$G:$G,Database!$D:$D,"Import",Database!$E:$E,$B23,Database!$C:$C,BS$1,Database!$F:$F,"Total")</f>
        <v>0</v>
      </c>
      <c r="BT23" s="137">
        <f>SUMIFS(Database!$G:$G,Database!$D:$D,"Import",Database!$E:$E,$B23,Database!$C:$C,BT$1,Database!$F:$F,"Total")</f>
        <v>0</v>
      </c>
      <c r="BU23" s="137">
        <f>SUMIFS(Database!$G:$G,Database!$D:$D,"Import",Database!$E:$E,$B23,Database!$C:$C,BU$1,Database!$F:$F,"Total")</f>
        <v>0</v>
      </c>
      <c r="BV23" s="137">
        <f>SUMIFS(Database!$G:$G,Database!$D:$D,"Import",Database!$E:$E,$B23,Database!$C:$C,BV$1,Database!$F:$F,"Total")</f>
        <v>75433</v>
      </c>
      <c r="BW23" s="137">
        <f>SUMIFS(Database!$G:$G,Database!$D:$D,"Import",Database!$E:$E,$B23,Database!$C:$C,BW$1,Database!$F:$F,"Total")</f>
        <v>83718</v>
      </c>
      <c r="BX23" s="137">
        <f>SUMIFS(Database!$G:$G,Database!$D:$D,"Import",Database!$E:$E,$B23,Database!$C:$C,BX$1,Database!$F:$F,"Total")</f>
        <v>78895</v>
      </c>
      <c r="BY23" s="137">
        <f>SUMIFS(Database!$G:$G,Database!$D:$D,"Import",Database!$E:$E,$B23,Database!$C:$C,BY$1,Database!$F:$F,"Total")</f>
        <v>68637</v>
      </c>
      <c r="BZ23" s="137">
        <f>SUMIFS(Database!$G:$G,Database!$D:$D,"Import",Database!$E:$E,$B23,Database!$C:$C,BZ$1,Database!$F:$F,"Total")</f>
        <v>79863</v>
      </c>
      <c r="CA23" s="137">
        <f>SUMIFS(Database!$G:$G,Database!$D:$D,"Import",Database!$E:$E,$B23,Database!$C:$C,CA$1,Database!$F:$F,"Total")</f>
        <v>75916</v>
      </c>
      <c r="CB23" s="137">
        <f>SUMIFS(Database!$G:$G,Database!$D:$D,"Import",Database!$E:$E,$B23,Database!$C:$C,CB$1,Database!$F:$F,"Total")</f>
        <v>0</v>
      </c>
      <c r="CC23" s="137">
        <f>SUMIFS(Database!$G:$G,Database!$D:$D,"Import",Database!$E:$E,$B23,Database!$C:$C,CC$1,Database!$F:$F,"Total")</f>
        <v>0</v>
      </c>
      <c r="CD23" s="137">
        <f>SUMIFS(Database!$G:$G,Database!$D:$D,"Import",Database!$E:$E,$B23,Database!$C:$C,CD$1,Database!$F:$F,"Total")</f>
        <v>0</v>
      </c>
      <c r="CE23" s="137">
        <f>SUMIFS(Database!$G:$G,Database!$D:$D,"Import",Database!$E:$E,$B23,Database!$C:$C,CE$1,Database!$F:$F,"Total")</f>
        <v>0</v>
      </c>
      <c r="CF23" s="137">
        <f>SUMIFS(Database!$G:$G,Database!$D:$D,"Import",Database!$E:$E,$B23,Database!$C:$C,CF$1,Database!$F:$F,"Total")</f>
        <v>0</v>
      </c>
      <c r="CG23" s="137">
        <f>SUMIFS(Database!$G:$G,Database!$D:$D,"Import",Database!$E:$E,$B23,Database!$C:$C,CG$1,Database!$F:$F,"Total")</f>
        <v>0</v>
      </c>
      <c r="CH23" s="137">
        <f>SUMIFS(Database!$G:$G,Database!$D:$D,"Import",Database!$E:$E,$B23,Database!$C:$C,CH$1,Database!$F:$F,"Total")</f>
        <v>0</v>
      </c>
      <c r="CI23" s="137">
        <f>SUMIFS(Database!$G:$G,Database!$D:$D,"Import",Database!$E:$E,$B23,Database!$C:$C,CI$1,Database!$F:$F,"Total")</f>
        <v>0</v>
      </c>
      <c r="CJ23" s="137">
        <f>SUMIFS(Database!$G:$G,Database!$D:$D,"Import",Database!$E:$E,$B23,Database!$C:$C,CJ$1,Database!$F:$F,"Total")</f>
        <v>0</v>
      </c>
      <c r="CK23" s="137">
        <f>SUMIFS(Database!$G:$G,Database!$D:$D,"Import",Database!$E:$E,$B23,Database!$C:$C,CK$1,Database!$F:$F,"Total")</f>
        <v>0</v>
      </c>
      <c r="CL23" s="137">
        <f>SUMIFS(Database!$G:$G,Database!$D:$D,"Import",Database!$E:$E,$B23,Database!$C:$C,CL$1,Database!$F:$F,"Total")</f>
        <v>0</v>
      </c>
      <c r="CM23" s="137">
        <f>SUMIFS(Database!$G:$G,Database!$D:$D,"Import",Database!$E:$E,$B23,Database!$C:$C,CM$1,Database!$F:$F,"Total")</f>
        <v>0</v>
      </c>
      <c r="CN23" s="137">
        <f>SUMIFS(Database!$G:$G,Database!$D:$D,"Import",Database!$E:$E,$B23,Database!$C:$C,CN$1,Database!$F:$F,"Total")</f>
        <v>0</v>
      </c>
      <c r="CO23" s="137">
        <f>SUMIFS(Database!$G:$G,Database!$D:$D,"Import",Database!$E:$E,$B23,Database!$C:$C,CO$1,Database!$F:$F,"Total")</f>
        <v>0</v>
      </c>
      <c r="CP23" s="137">
        <f>SUMIFS(Database!$G:$G,Database!$D:$D,"Import",Database!$E:$E,$B23,Database!$C:$C,CP$1,Database!$F:$F,"Total")</f>
        <v>0</v>
      </c>
      <c r="CQ23" s="137">
        <f>SUMIFS(Database!$G:$G,Database!$D:$D,"Import",Database!$E:$E,$B23,Database!$C:$C,CQ$1,Database!$F:$F,"Total")</f>
        <v>0</v>
      </c>
      <c r="CR23" s="137">
        <f>SUMIFS(Database!$G:$G,Database!$D:$D,"Import",Database!$E:$E,$B23,Database!$C:$C,CR$1,Database!$F:$F,"Total")</f>
        <v>0</v>
      </c>
      <c r="CS23" s="137">
        <f>SUMIFS(Database!$G:$G,Database!$D:$D,"Import",Database!$E:$E,$B23,Database!$C:$C,CS$1,Database!$F:$F,"Total")</f>
        <v>0</v>
      </c>
      <c r="CT23" s="137">
        <f>SUMIFS(Database!$G:$G,Database!$D:$D,"Import",Database!$E:$E,$B23,Database!$C:$C,CT$1,Database!$F:$F,"Total")</f>
        <v>0</v>
      </c>
      <c r="CU23" s="137">
        <f>SUMIFS(Database!$G:$G,Database!$D:$D,"Import",Database!$E:$E,$B23,Database!$C:$C,CU$1,Database!$F:$F,"Total")</f>
        <v>0</v>
      </c>
    </row>
    <row r="24" spans="1:99" x14ac:dyDescent="0.25">
      <c r="A24" s="132" t="s">
        <v>484</v>
      </c>
      <c r="B24" s="133" t="s">
        <v>54</v>
      </c>
      <c r="C24" s="137">
        <f>SUMIFS(Database!$G:$G,Database!$D:$D,"Import",Database!$E:$E,$B24,Database!$C:$C,C$1,Database!$F:$F,"Total")</f>
        <v>0</v>
      </c>
      <c r="D24" s="137">
        <f>SUMIFS(Database!$G:$G,Database!$D:$D,"Import",Database!$E:$E,$B24,Database!$C:$C,D$1,Database!$F:$F,"Total")</f>
        <v>0</v>
      </c>
      <c r="E24" s="137">
        <f>SUMIFS(Database!$G:$G,Database!$D:$D,"Import",Database!$E:$E,$B24,Database!$C:$C,E$1,Database!$F:$F,"Total")</f>
        <v>0</v>
      </c>
      <c r="F24" s="137">
        <f>SUMIFS(Database!$G:$G,Database!$D:$D,"Import",Database!$E:$E,$B24,Database!$C:$C,F$1,Database!$F:$F,"Total")</f>
        <v>0</v>
      </c>
      <c r="G24" s="137">
        <f>SUMIFS(Database!$G:$G,Database!$D:$D,"Import",Database!$E:$E,$B24,Database!$C:$C,G$1,Database!$F:$F,"Total")</f>
        <v>0</v>
      </c>
      <c r="H24" s="137">
        <f>SUMIFS(Database!$G:$G,Database!$D:$D,"Import",Database!$E:$E,$B24,Database!$C:$C,H$1,Database!$F:$F,"Total")</f>
        <v>0</v>
      </c>
      <c r="I24" s="137">
        <f>SUMIFS(Database!$G:$G,Database!$D:$D,"Import",Database!$E:$E,$B24,Database!$C:$C,I$1,Database!$F:$F,"Total")</f>
        <v>0</v>
      </c>
      <c r="J24" s="137">
        <f>SUMIFS(Database!$G:$G,Database!$D:$D,"Import",Database!$E:$E,$B24,Database!$C:$C,J$1,Database!$F:$F,"Total")</f>
        <v>0</v>
      </c>
      <c r="K24" s="137">
        <f>SUMIFS(Database!$G:$G,Database!$D:$D,"Import",Database!$E:$E,$B24,Database!$C:$C,K$1,Database!$F:$F,"Total")</f>
        <v>0</v>
      </c>
      <c r="L24" s="137">
        <f>SUMIFS(Database!$G:$G,Database!$D:$D,"Import",Database!$E:$E,$B24,Database!$C:$C,L$1,Database!$F:$F,"Total")</f>
        <v>0</v>
      </c>
      <c r="M24" s="137">
        <f>SUMIFS(Database!$G:$G,Database!$D:$D,"Import",Database!$E:$E,$B24,Database!$C:$C,M$1,Database!$F:$F,"Total")</f>
        <v>0</v>
      </c>
      <c r="N24" s="137">
        <f>SUMIFS(Database!$G:$G,Database!$D:$D,"Import",Database!$E:$E,$B24,Database!$C:$C,N$1,Database!$F:$F,"Total")</f>
        <v>0</v>
      </c>
      <c r="O24" s="137">
        <f>SUMIFS(Database!$G:$G,Database!$D:$D,"Import",Database!$E:$E,$B24,Database!$C:$C,O$1,Database!$F:$F,"Total")</f>
        <v>0</v>
      </c>
      <c r="P24" s="137">
        <f>SUMIFS(Database!$G:$G,Database!$D:$D,"Import",Database!$E:$E,$B24,Database!$C:$C,P$1,Database!$F:$F,"Total")</f>
        <v>0</v>
      </c>
      <c r="Q24" s="137">
        <f>SUMIFS(Database!$G:$G,Database!$D:$D,"Import",Database!$E:$E,$B24,Database!$C:$C,Q$1,Database!$F:$F,"Total")</f>
        <v>0</v>
      </c>
      <c r="R24" s="137">
        <f>SUMIFS(Database!$G:$G,Database!$D:$D,"Import",Database!$E:$E,$B24,Database!$C:$C,R$1,Database!$F:$F,"Total")</f>
        <v>0</v>
      </c>
      <c r="S24" s="137">
        <f>SUMIFS(Database!$G:$G,Database!$D:$D,"Import",Database!$E:$E,$B24,Database!$C:$C,S$1,Database!$F:$F,"Total")</f>
        <v>0</v>
      </c>
      <c r="T24" s="137">
        <f>SUMIFS(Database!$G:$G,Database!$D:$D,"Import",Database!$E:$E,$B24,Database!$C:$C,T$1,Database!$F:$F,"Total")</f>
        <v>0</v>
      </c>
      <c r="U24" s="137">
        <f>SUMIFS(Database!$G:$G,Database!$D:$D,"Import",Database!$E:$E,$B24,Database!$C:$C,U$1,Database!$F:$F,"Total")</f>
        <v>0</v>
      </c>
      <c r="V24" s="137">
        <f>SUMIFS(Database!$G:$G,Database!$D:$D,"Import",Database!$E:$E,$B24,Database!$C:$C,V$1,Database!$F:$F,"Total")</f>
        <v>0</v>
      </c>
      <c r="W24" s="137">
        <f>SUMIFS(Database!$G:$G,Database!$D:$D,"Import",Database!$E:$E,$B24,Database!$C:$C,W$1,Database!$F:$F,"Total")</f>
        <v>0</v>
      </c>
      <c r="X24" s="137">
        <f>SUMIFS(Database!$G:$G,Database!$D:$D,"Import",Database!$E:$E,$B24,Database!$C:$C,X$1,Database!$F:$F,"Total")</f>
        <v>0</v>
      </c>
      <c r="Y24" s="137">
        <f>SUMIFS(Database!$G:$G,Database!$D:$D,"Import",Database!$E:$E,$B24,Database!$C:$C,Y$1,Database!$F:$F,"Total")</f>
        <v>0</v>
      </c>
      <c r="Z24" s="137">
        <f>SUMIFS(Database!$G:$G,Database!$D:$D,"Import",Database!$E:$E,$B24,Database!$C:$C,Z$1,Database!$F:$F,"Total")</f>
        <v>0</v>
      </c>
      <c r="AA24" s="137">
        <f>SUMIFS(Database!$G:$G,Database!$D:$D,"Import",Database!$E:$E,$B24,Database!$C:$C,AA$1,Database!$F:$F,"Total")</f>
        <v>0</v>
      </c>
      <c r="AB24" s="137">
        <f>SUMIFS(Database!$G:$G,Database!$D:$D,"Import",Database!$E:$E,$B24,Database!$C:$C,AB$1,Database!$F:$F,"Total")</f>
        <v>0</v>
      </c>
      <c r="AC24" s="137">
        <f>SUMIFS(Database!$G:$G,Database!$D:$D,"Import",Database!$E:$E,$B24,Database!$C:$C,AC$1,Database!$F:$F,"Total")</f>
        <v>0</v>
      </c>
      <c r="AD24" s="137">
        <f>SUMIFS(Database!$G:$G,Database!$D:$D,"Import",Database!$E:$E,$B24,Database!$C:$C,AD$1,Database!$F:$F,"Total")</f>
        <v>0</v>
      </c>
      <c r="AE24" s="137">
        <f>SUMIFS(Database!$G:$G,Database!$D:$D,"Import",Database!$E:$E,$B24,Database!$C:$C,AE$1,Database!$F:$F,"Total")</f>
        <v>0</v>
      </c>
      <c r="AF24" s="137">
        <f>SUMIFS(Database!$G:$G,Database!$D:$D,"Import",Database!$E:$E,$B24,Database!$C:$C,AF$1,Database!$F:$F,"Total")</f>
        <v>0</v>
      </c>
      <c r="AG24" s="137">
        <f>SUMIFS(Database!$G:$G,Database!$D:$D,"Import",Database!$E:$E,$B24,Database!$C:$C,AG$1,Database!$F:$F,"Total")</f>
        <v>0</v>
      </c>
      <c r="AH24" s="137">
        <f>SUMIFS(Database!$G:$G,Database!$D:$D,"Import",Database!$E:$E,$B24,Database!$C:$C,AH$1,Database!$F:$F,"Total")</f>
        <v>0</v>
      </c>
      <c r="AI24" s="137">
        <f>SUMIFS(Database!$G:$G,Database!$D:$D,"Import",Database!$E:$E,$B24,Database!$C:$C,AI$1,Database!$F:$F,"Total")</f>
        <v>0</v>
      </c>
      <c r="AJ24" s="137">
        <f>SUMIFS(Database!$G:$G,Database!$D:$D,"Import",Database!$E:$E,$B24,Database!$C:$C,AJ$1,Database!$F:$F,"Total")</f>
        <v>237</v>
      </c>
      <c r="AK24" s="137">
        <f>SUMIFS(Database!$G:$G,Database!$D:$D,"Import",Database!$E:$E,$B24,Database!$C:$C,AK$1,Database!$F:$F,"Total")</f>
        <v>833</v>
      </c>
      <c r="AL24" s="137">
        <f>SUMIFS(Database!$G:$G,Database!$D:$D,"Import",Database!$E:$E,$B24,Database!$C:$C,AL$1,Database!$F:$F,"Total")</f>
        <v>162</v>
      </c>
      <c r="AM24" s="137">
        <f>SUMIFS(Database!$G:$G,Database!$D:$D,"Import",Database!$E:$E,$B24,Database!$C:$C,AM$1,Database!$F:$F,"Total")</f>
        <v>0</v>
      </c>
      <c r="AN24" s="137">
        <f>SUMIFS(Database!$G:$G,Database!$D:$D,"Import",Database!$E:$E,$B24,Database!$C:$C,AN$1,Database!$F:$F,"Total")</f>
        <v>0</v>
      </c>
      <c r="AO24" s="137">
        <f>SUMIFS(Database!$G:$G,Database!$D:$D,"Import",Database!$E:$E,$B24,Database!$C:$C,AO$1,Database!$F:$F,"Total")</f>
        <v>0</v>
      </c>
      <c r="AP24" s="137">
        <f>SUMIFS(Database!$G:$G,Database!$D:$D,"Import",Database!$E:$E,$B24,Database!$C:$C,AP$1,Database!$F:$F,"Total")</f>
        <v>0</v>
      </c>
      <c r="AQ24" s="137">
        <f>SUMIFS(Database!$G:$G,Database!$D:$D,"Import",Database!$E:$E,$B24,Database!$C:$C,AQ$1,Database!$F:$F,"Total")</f>
        <v>270</v>
      </c>
      <c r="AR24" s="137">
        <f>SUMIFS(Database!$G:$G,Database!$D:$D,"Import",Database!$E:$E,$B24,Database!$C:$C,AR$1,Database!$F:$F,"Total")</f>
        <v>27</v>
      </c>
      <c r="AS24" s="137">
        <f>SUMIFS(Database!$G:$G,Database!$D:$D,"Import",Database!$E:$E,$B24,Database!$C:$C,AS$1,Database!$F:$F,"Total")</f>
        <v>0</v>
      </c>
      <c r="AT24" s="137">
        <f>SUMIFS(Database!$G:$G,Database!$D:$D,"Import",Database!$E:$E,$B24,Database!$C:$C,AT$1,Database!$F:$F,"Total")</f>
        <v>0</v>
      </c>
      <c r="AU24" s="137">
        <f>SUMIFS(Database!$G:$G,Database!$D:$D,"Import",Database!$E:$E,$B24,Database!$C:$C,AU$1,Database!$F:$F,"Total")</f>
        <v>0</v>
      </c>
      <c r="AV24" s="137">
        <f>SUMIFS(Database!$G:$G,Database!$D:$D,"Import",Database!$E:$E,$B24,Database!$C:$C,AV$1,Database!$F:$F,"Total")</f>
        <v>0</v>
      </c>
      <c r="AW24" s="137">
        <f>SUMIFS(Database!$G:$G,Database!$D:$D,"Import",Database!$E:$E,$B24,Database!$C:$C,AW$1,Database!$F:$F,"Total")</f>
        <v>0</v>
      </c>
      <c r="AX24" s="137">
        <f>SUMIFS(Database!$G:$G,Database!$D:$D,"Import",Database!$E:$E,$B24,Database!$C:$C,AX$1,Database!$F:$F,"Total")</f>
        <v>0</v>
      </c>
      <c r="AY24" s="137">
        <f>SUMIFS(Database!$G:$G,Database!$D:$D,"Import",Database!$E:$E,$B24,Database!$C:$C,AY$1,Database!$F:$F,"Total")</f>
        <v>0</v>
      </c>
      <c r="AZ24" s="137">
        <f>SUMIFS(Database!$G:$G,Database!$D:$D,"Import",Database!$E:$E,$B24,Database!$C:$C,AZ$1,Database!$F:$F,"Total")</f>
        <v>0</v>
      </c>
      <c r="BA24" s="137">
        <f>SUMIFS(Database!$G:$G,Database!$D:$D,"Import",Database!$E:$E,$B24,Database!$C:$C,BA$1,Database!$F:$F,"Total")</f>
        <v>0</v>
      </c>
      <c r="BB24" s="137">
        <f>SUMIFS(Database!$G:$G,Database!$D:$D,"Import",Database!$E:$E,$B24,Database!$C:$C,BB$1,Database!$F:$F,"Total")</f>
        <v>0</v>
      </c>
      <c r="BC24" s="137">
        <f>SUMIFS(Database!$G:$G,Database!$D:$D,"Import",Database!$E:$E,$B24,Database!$C:$C,BC$1,Database!$F:$F,"Total")</f>
        <v>0</v>
      </c>
      <c r="BD24" s="137">
        <f>SUMIFS(Database!$G:$G,Database!$D:$D,"Import",Database!$E:$E,$B24,Database!$C:$C,BD$1,Database!$F:$F,"Total")</f>
        <v>0</v>
      </c>
      <c r="BE24" s="137">
        <f>SUMIFS(Database!$G:$G,Database!$D:$D,"Import",Database!$E:$E,$B24,Database!$C:$C,BE$1,Database!$F:$F,"Total")</f>
        <v>0</v>
      </c>
      <c r="BF24" s="137">
        <f>SUMIFS(Database!$G:$G,Database!$D:$D,"Import",Database!$E:$E,$B24,Database!$C:$C,BF$1,Database!$F:$F,"Total")</f>
        <v>0</v>
      </c>
      <c r="BG24" s="137">
        <f>SUMIFS(Database!$G:$G,Database!$D:$D,"Import",Database!$E:$E,$B24,Database!$C:$C,BG$1,Database!$F:$F,"Total")</f>
        <v>0</v>
      </c>
      <c r="BH24" s="137">
        <f>SUMIFS(Database!$G:$G,Database!$D:$D,"Import",Database!$E:$E,$B24,Database!$C:$C,BH$1,Database!$F:$F,"Total")</f>
        <v>0</v>
      </c>
      <c r="BI24" s="137">
        <f>SUMIFS(Database!$G:$G,Database!$D:$D,"Import",Database!$E:$E,$B24,Database!$C:$C,BI$1,Database!$F:$F,"Total")</f>
        <v>0</v>
      </c>
      <c r="BJ24" s="137">
        <f>SUMIFS(Database!$G:$G,Database!$D:$D,"Import",Database!$E:$E,$B24,Database!$C:$C,BJ$1,Database!$F:$F,"Total")</f>
        <v>0</v>
      </c>
      <c r="BK24" s="137">
        <f>SUMIFS(Database!$G:$G,Database!$D:$D,"Import",Database!$E:$E,$B24,Database!$C:$C,BK$1,Database!$F:$F,"Total")</f>
        <v>0</v>
      </c>
      <c r="BL24" s="137">
        <f>SUMIFS(Database!$G:$G,Database!$D:$D,"Import",Database!$E:$E,$B24,Database!$C:$C,BL$1,Database!$F:$F,"Total")</f>
        <v>0</v>
      </c>
      <c r="BM24" s="137">
        <f>SUMIFS(Database!$G:$G,Database!$D:$D,"Import",Database!$E:$E,$B24,Database!$C:$C,BM$1,Database!$F:$F,"Total")</f>
        <v>0</v>
      </c>
      <c r="BN24" s="137">
        <f>SUMIFS(Database!$G:$G,Database!$D:$D,"Import",Database!$E:$E,$B24,Database!$C:$C,BN$1,Database!$F:$F,"Total")</f>
        <v>0</v>
      </c>
      <c r="BO24" s="137">
        <f>SUMIFS(Database!$G:$G,Database!$D:$D,"Import",Database!$E:$E,$B24,Database!$C:$C,BO$1,Database!$F:$F,"Total")</f>
        <v>0</v>
      </c>
      <c r="BP24" s="137">
        <f>SUMIFS(Database!$G:$G,Database!$D:$D,"Import",Database!$E:$E,$B24,Database!$C:$C,BP$1,Database!$F:$F,"Total")</f>
        <v>0</v>
      </c>
      <c r="BQ24" s="137">
        <f>SUMIFS(Database!$G:$G,Database!$D:$D,"Import",Database!$E:$E,$B24,Database!$C:$C,BQ$1,Database!$F:$F,"Total")</f>
        <v>0</v>
      </c>
      <c r="BR24" s="137">
        <f>SUMIFS(Database!$G:$G,Database!$D:$D,"Import",Database!$E:$E,$B24,Database!$C:$C,BR$1,Database!$F:$F,"Total")</f>
        <v>0</v>
      </c>
      <c r="BS24" s="137">
        <f>SUMIFS(Database!$G:$G,Database!$D:$D,"Import",Database!$E:$E,$B24,Database!$C:$C,BS$1,Database!$F:$F,"Total")</f>
        <v>0</v>
      </c>
      <c r="BT24" s="137">
        <f>SUMIFS(Database!$G:$G,Database!$D:$D,"Import",Database!$E:$E,$B24,Database!$C:$C,BT$1,Database!$F:$F,"Total")</f>
        <v>0</v>
      </c>
      <c r="BU24" s="137">
        <f>SUMIFS(Database!$G:$G,Database!$D:$D,"Import",Database!$E:$E,$B24,Database!$C:$C,BU$1,Database!$F:$F,"Total")</f>
        <v>0</v>
      </c>
      <c r="BV24" s="137">
        <f>SUMIFS(Database!$G:$G,Database!$D:$D,"Import",Database!$E:$E,$B24,Database!$C:$C,BV$1,Database!$F:$F,"Total")</f>
        <v>0</v>
      </c>
      <c r="BW24" s="137">
        <f>SUMIFS(Database!$G:$G,Database!$D:$D,"Import",Database!$E:$E,$B24,Database!$C:$C,BW$1,Database!$F:$F,"Total")</f>
        <v>0</v>
      </c>
      <c r="BX24" s="137">
        <f>SUMIFS(Database!$G:$G,Database!$D:$D,"Import",Database!$E:$E,$B24,Database!$C:$C,BX$1,Database!$F:$F,"Total")</f>
        <v>0</v>
      </c>
      <c r="BY24" s="137">
        <f>SUMIFS(Database!$G:$G,Database!$D:$D,"Import",Database!$E:$E,$B24,Database!$C:$C,BY$1,Database!$F:$F,"Total")</f>
        <v>0</v>
      </c>
      <c r="BZ24" s="137">
        <f>SUMIFS(Database!$G:$G,Database!$D:$D,"Import",Database!$E:$E,$B24,Database!$C:$C,BZ$1,Database!$F:$F,"Total")</f>
        <v>0</v>
      </c>
      <c r="CA24" s="137">
        <f>SUMIFS(Database!$G:$G,Database!$D:$D,"Import",Database!$E:$E,$B24,Database!$C:$C,CA$1,Database!$F:$F,"Total")</f>
        <v>0</v>
      </c>
      <c r="CB24" s="137">
        <f>SUMIFS(Database!$G:$G,Database!$D:$D,"Import",Database!$E:$E,$B24,Database!$C:$C,CB$1,Database!$F:$F,"Total")</f>
        <v>0</v>
      </c>
      <c r="CC24" s="137">
        <f>SUMIFS(Database!$G:$G,Database!$D:$D,"Import",Database!$E:$E,$B24,Database!$C:$C,CC$1,Database!$F:$F,"Total")</f>
        <v>0</v>
      </c>
      <c r="CD24" s="137">
        <f>SUMIFS(Database!$G:$G,Database!$D:$D,"Import",Database!$E:$E,$B24,Database!$C:$C,CD$1,Database!$F:$F,"Total")</f>
        <v>0</v>
      </c>
      <c r="CE24" s="137">
        <f>SUMIFS(Database!$G:$G,Database!$D:$D,"Import",Database!$E:$E,$B24,Database!$C:$C,CE$1,Database!$F:$F,"Total")</f>
        <v>0</v>
      </c>
      <c r="CF24" s="137">
        <f>SUMIFS(Database!$G:$G,Database!$D:$D,"Import",Database!$E:$E,$B24,Database!$C:$C,CF$1,Database!$F:$F,"Total")</f>
        <v>0</v>
      </c>
      <c r="CG24" s="137">
        <f>SUMIFS(Database!$G:$G,Database!$D:$D,"Import",Database!$E:$E,$B24,Database!$C:$C,CG$1,Database!$F:$F,"Total")</f>
        <v>0</v>
      </c>
      <c r="CH24" s="137">
        <f>SUMIFS(Database!$G:$G,Database!$D:$D,"Import",Database!$E:$E,$B24,Database!$C:$C,CH$1,Database!$F:$F,"Total")</f>
        <v>0</v>
      </c>
      <c r="CI24" s="137">
        <f>SUMIFS(Database!$G:$G,Database!$D:$D,"Import",Database!$E:$E,$B24,Database!$C:$C,CI$1,Database!$F:$F,"Total")</f>
        <v>0</v>
      </c>
      <c r="CJ24" s="137">
        <f>SUMIFS(Database!$G:$G,Database!$D:$D,"Import",Database!$E:$E,$B24,Database!$C:$C,CJ$1,Database!$F:$F,"Total")</f>
        <v>0</v>
      </c>
      <c r="CK24" s="137">
        <f>SUMIFS(Database!$G:$G,Database!$D:$D,"Import",Database!$E:$E,$B24,Database!$C:$C,CK$1,Database!$F:$F,"Total")</f>
        <v>0</v>
      </c>
      <c r="CL24" s="137">
        <f>SUMIFS(Database!$G:$G,Database!$D:$D,"Import",Database!$E:$E,$B24,Database!$C:$C,CL$1,Database!$F:$F,"Total")</f>
        <v>0</v>
      </c>
      <c r="CM24" s="137">
        <f>SUMIFS(Database!$G:$G,Database!$D:$D,"Import",Database!$E:$E,$B24,Database!$C:$C,CM$1,Database!$F:$F,"Total")</f>
        <v>0</v>
      </c>
      <c r="CN24" s="137">
        <f>SUMIFS(Database!$G:$G,Database!$D:$D,"Import",Database!$E:$E,$B24,Database!$C:$C,CN$1,Database!$F:$F,"Total")</f>
        <v>0</v>
      </c>
      <c r="CO24" s="137">
        <f>SUMIFS(Database!$G:$G,Database!$D:$D,"Import",Database!$E:$E,$B24,Database!$C:$C,CO$1,Database!$F:$F,"Total")</f>
        <v>0</v>
      </c>
      <c r="CP24" s="137">
        <f>SUMIFS(Database!$G:$G,Database!$D:$D,"Import",Database!$E:$E,$B24,Database!$C:$C,CP$1,Database!$F:$F,"Total")</f>
        <v>0</v>
      </c>
      <c r="CQ24" s="137">
        <f>SUMIFS(Database!$G:$G,Database!$D:$D,"Import",Database!$E:$E,$B24,Database!$C:$C,CQ$1,Database!$F:$F,"Total")</f>
        <v>0</v>
      </c>
      <c r="CR24" s="137">
        <f>SUMIFS(Database!$G:$G,Database!$D:$D,"Import",Database!$E:$E,$B24,Database!$C:$C,CR$1,Database!$F:$F,"Total")</f>
        <v>0</v>
      </c>
      <c r="CS24" s="137">
        <f>SUMIFS(Database!$G:$G,Database!$D:$D,"Import",Database!$E:$E,$B24,Database!$C:$C,CS$1,Database!$F:$F,"Total")</f>
        <v>0</v>
      </c>
      <c r="CT24" s="137">
        <f>SUMIFS(Database!$G:$G,Database!$D:$D,"Import",Database!$E:$E,$B24,Database!$C:$C,CT$1,Database!$F:$F,"Total")</f>
        <v>0</v>
      </c>
      <c r="CU24" s="137">
        <f>SUMIFS(Database!$G:$G,Database!$D:$D,"Import",Database!$E:$E,$B24,Database!$C:$C,CU$1,Database!$F:$F,"Total")</f>
        <v>0</v>
      </c>
    </row>
    <row r="25" spans="1:99" x14ac:dyDescent="0.25">
      <c r="A25" s="132" t="s">
        <v>484</v>
      </c>
      <c r="B25" s="133" t="s">
        <v>382</v>
      </c>
      <c r="C25" s="137">
        <f>SUMIFS(Database!$G:$G,Database!$D:$D,"Import",Database!$E:$E,$B25,Database!$C:$C,C$1,Database!$F:$F,"Total")</f>
        <v>0</v>
      </c>
      <c r="D25" s="137">
        <f>SUMIFS(Database!$G:$G,Database!$D:$D,"Import",Database!$E:$E,$B25,Database!$C:$C,D$1,Database!$F:$F,"Total")</f>
        <v>0</v>
      </c>
      <c r="E25" s="137">
        <f>SUMIFS(Database!$G:$G,Database!$D:$D,"Import",Database!$E:$E,$B25,Database!$C:$C,E$1,Database!$F:$F,"Total")</f>
        <v>0</v>
      </c>
      <c r="F25" s="137">
        <f>SUMIFS(Database!$G:$G,Database!$D:$D,"Import",Database!$E:$E,$B25,Database!$C:$C,F$1,Database!$F:$F,"Total")</f>
        <v>0</v>
      </c>
      <c r="G25" s="137">
        <f>SUMIFS(Database!$G:$G,Database!$D:$D,"Import",Database!$E:$E,$B25,Database!$C:$C,G$1,Database!$F:$F,"Total")</f>
        <v>0</v>
      </c>
      <c r="H25" s="137">
        <f>SUMIFS(Database!$G:$G,Database!$D:$D,"Import",Database!$E:$E,$B25,Database!$C:$C,H$1,Database!$F:$F,"Total")</f>
        <v>0</v>
      </c>
      <c r="I25" s="137">
        <f>SUMIFS(Database!$G:$G,Database!$D:$D,"Import",Database!$E:$E,$B25,Database!$C:$C,I$1,Database!$F:$F,"Total")</f>
        <v>0</v>
      </c>
      <c r="J25" s="137">
        <f>SUMIFS(Database!$G:$G,Database!$D:$D,"Import",Database!$E:$E,$B25,Database!$C:$C,J$1,Database!$F:$F,"Total")</f>
        <v>0</v>
      </c>
      <c r="K25" s="137">
        <f>SUMIFS(Database!$G:$G,Database!$D:$D,"Import",Database!$E:$E,$B25,Database!$C:$C,K$1,Database!$F:$F,"Total")</f>
        <v>0</v>
      </c>
      <c r="L25" s="137">
        <f>SUMIFS(Database!$G:$G,Database!$D:$D,"Import",Database!$E:$E,$B25,Database!$C:$C,L$1,Database!$F:$F,"Total")</f>
        <v>0</v>
      </c>
      <c r="M25" s="137">
        <f>SUMIFS(Database!$G:$G,Database!$D:$D,"Import",Database!$E:$E,$B25,Database!$C:$C,M$1,Database!$F:$F,"Total")</f>
        <v>0</v>
      </c>
      <c r="N25" s="137">
        <f>SUMIFS(Database!$G:$G,Database!$D:$D,"Import",Database!$E:$E,$B25,Database!$C:$C,N$1,Database!$F:$F,"Total")</f>
        <v>0</v>
      </c>
      <c r="O25" s="137">
        <f>SUMIFS(Database!$G:$G,Database!$D:$D,"Import",Database!$E:$E,$B25,Database!$C:$C,O$1,Database!$F:$F,"Total")</f>
        <v>0</v>
      </c>
      <c r="P25" s="137">
        <f>SUMIFS(Database!$G:$G,Database!$D:$D,"Import",Database!$E:$E,$B25,Database!$C:$C,P$1,Database!$F:$F,"Total")</f>
        <v>0</v>
      </c>
      <c r="Q25" s="137">
        <f>SUMIFS(Database!$G:$G,Database!$D:$D,"Import",Database!$E:$E,$B25,Database!$C:$C,Q$1,Database!$F:$F,"Total")</f>
        <v>0</v>
      </c>
      <c r="R25" s="137">
        <f>SUMIFS(Database!$G:$G,Database!$D:$D,"Import",Database!$E:$E,$B25,Database!$C:$C,R$1,Database!$F:$F,"Total")</f>
        <v>0</v>
      </c>
      <c r="S25" s="137">
        <f>SUMIFS(Database!$G:$G,Database!$D:$D,"Import",Database!$E:$E,$B25,Database!$C:$C,S$1,Database!$F:$F,"Total")</f>
        <v>0</v>
      </c>
      <c r="T25" s="137">
        <f>SUMIFS(Database!$G:$G,Database!$D:$D,"Import",Database!$E:$E,$B25,Database!$C:$C,T$1,Database!$F:$F,"Total")</f>
        <v>0</v>
      </c>
      <c r="U25" s="137">
        <f>SUMIFS(Database!$G:$G,Database!$D:$D,"Import",Database!$E:$E,$B25,Database!$C:$C,U$1,Database!$F:$F,"Total")</f>
        <v>0</v>
      </c>
      <c r="V25" s="137">
        <f>SUMIFS(Database!$G:$G,Database!$D:$D,"Import",Database!$E:$E,$B25,Database!$C:$C,V$1,Database!$F:$F,"Total")</f>
        <v>0</v>
      </c>
      <c r="W25" s="137">
        <f>SUMIFS(Database!$G:$G,Database!$D:$D,"Import",Database!$E:$E,$B25,Database!$C:$C,W$1,Database!$F:$F,"Total")</f>
        <v>0</v>
      </c>
      <c r="X25" s="137">
        <f>SUMIFS(Database!$G:$G,Database!$D:$D,"Import",Database!$E:$E,$B25,Database!$C:$C,X$1,Database!$F:$F,"Total")</f>
        <v>0</v>
      </c>
      <c r="Y25" s="137">
        <f>SUMIFS(Database!$G:$G,Database!$D:$D,"Import",Database!$E:$E,$B25,Database!$C:$C,Y$1,Database!$F:$F,"Total")</f>
        <v>0</v>
      </c>
      <c r="Z25" s="137">
        <f>SUMIFS(Database!$G:$G,Database!$D:$D,"Import",Database!$E:$E,$B25,Database!$C:$C,Z$1,Database!$F:$F,"Total")</f>
        <v>0</v>
      </c>
      <c r="AA25" s="137">
        <f>SUMIFS(Database!$G:$G,Database!$D:$D,"Import",Database!$E:$E,$B25,Database!$C:$C,AA$1,Database!$F:$F,"Total")</f>
        <v>0</v>
      </c>
      <c r="AB25" s="137">
        <f>SUMIFS(Database!$G:$G,Database!$D:$D,"Import",Database!$E:$E,$B25,Database!$C:$C,AB$1,Database!$F:$F,"Total")</f>
        <v>0</v>
      </c>
      <c r="AC25" s="137">
        <f>SUMIFS(Database!$G:$G,Database!$D:$D,"Import",Database!$E:$E,$B25,Database!$C:$C,AC$1,Database!$F:$F,"Total")</f>
        <v>0</v>
      </c>
      <c r="AD25" s="137">
        <f>SUMIFS(Database!$G:$G,Database!$D:$D,"Import",Database!$E:$E,$B25,Database!$C:$C,AD$1,Database!$F:$F,"Total")</f>
        <v>0</v>
      </c>
      <c r="AE25" s="137">
        <f>SUMIFS(Database!$G:$G,Database!$D:$D,"Import",Database!$E:$E,$B25,Database!$C:$C,AE$1,Database!$F:$F,"Total")</f>
        <v>0</v>
      </c>
      <c r="AF25" s="137">
        <f>SUMIFS(Database!$G:$G,Database!$D:$D,"Import",Database!$E:$E,$B25,Database!$C:$C,AF$1,Database!$F:$F,"Total")</f>
        <v>0</v>
      </c>
      <c r="AG25" s="137">
        <f>SUMIFS(Database!$G:$G,Database!$D:$D,"Import",Database!$E:$E,$B25,Database!$C:$C,AG$1,Database!$F:$F,"Total")</f>
        <v>0</v>
      </c>
      <c r="AH25" s="137">
        <f>SUMIFS(Database!$G:$G,Database!$D:$D,"Import",Database!$E:$E,$B25,Database!$C:$C,AH$1,Database!$F:$F,"Total")</f>
        <v>0</v>
      </c>
      <c r="AI25" s="137">
        <f>SUMIFS(Database!$G:$G,Database!$D:$D,"Import",Database!$E:$E,$B25,Database!$C:$C,AI$1,Database!$F:$F,"Total")</f>
        <v>0</v>
      </c>
      <c r="AJ25" s="137">
        <f>SUMIFS(Database!$G:$G,Database!$D:$D,"Import",Database!$E:$E,$B25,Database!$C:$C,AJ$1,Database!$F:$F,"Total")</f>
        <v>0</v>
      </c>
      <c r="AK25" s="137">
        <f>SUMIFS(Database!$G:$G,Database!$D:$D,"Import",Database!$E:$E,$B25,Database!$C:$C,AK$1,Database!$F:$F,"Total")</f>
        <v>0</v>
      </c>
      <c r="AL25" s="137">
        <f>SUMIFS(Database!$G:$G,Database!$D:$D,"Import",Database!$E:$E,$B25,Database!$C:$C,AL$1,Database!$F:$F,"Total")</f>
        <v>0</v>
      </c>
      <c r="AM25" s="137">
        <f>SUMIFS(Database!$G:$G,Database!$D:$D,"Import",Database!$E:$E,$B25,Database!$C:$C,AM$1,Database!$F:$F,"Total")</f>
        <v>0</v>
      </c>
      <c r="AN25" s="137">
        <f>SUMIFS(Database!$G:$G,Database!$D:$D,"Import",Database!$E:$E,$B25,Database!$C:$C,AN$1,Database!$F:$F,"Total")</f>
        <v>0</v>
      </c>
      <c r="AO25" s="137">
        <f>SUMIFS(Database!$G:$G,Database!$D:$D,"Import",Database!$E:$E,$B25,Database!$C:$C,AO$1,Database!$F:$F,"Total")</f>
        <v>0</v>
      </c>
      <c r="AP25" s="137">
        <f>SUMIFS(Database!$G:$G,Database!$D:$D,"Import",Database!$E:$E,$B25,Database!$C:$C,AP$1,Database!$F:$F,"Total")</f>
        <v>0</v>
      </c>
      <c r="AQ25" s="137">
        <f>SUMIFS(Database!$G:$G,Database!$D:$D,"Import",Database!$E:$E,$B25,Database!$C:$C,AQ$1,Database!$F:$F,"Total")</f>
        <v>0</v>
      </c>
      <c r="AR25" s="137">
        <f>SUMIFS(Database!$G:$G,Database!$D:$D,"Import",Database!$E:$E,$B25,Database!$C:$C,AR$1,Database!$F:$F,"Total")</f>
        <v>0</v>
      </c>
      <c r="AS25" s="137">
        <f>SUMIFS(Database!$G:$G,Database!$D:$D,"Import",Database!$E:$E,$B25,Database!$C:$C,AS$1,Database!$F:$F,"Total")</f>
        <v>0</v>
      </c>
      <c r="AT25" s="137">
        <f>SUMIFS(Database!$G:$G,Database!$D:$D,"Import",Database!$E:$E,$B25,Database!$C:$C,AT$1,Database!$F:$F,"Total")</f>
        <v>0</v>
      </c>
      <c r="AU25" s="137">
        <f>SUMIFS(Database!$G:$G,Database!$D:$D,"Import",Database!$E:$E,$B25,Database!$C:$C,AU$1,Database!$F:$F,"Total")</f>
        <v>9174</v>
      </c>
      <c r="AV25" s="137">
        <f>SUMIFS(Database!$G:$G,Database!$D:$D,"Import",Database!$E:$E,$B25,Database!$C:$C,AV$1,Database!$F:$F,"Total")</f>
        <v>0</v>
      </c>
      <c r="AW25" s="137">
        <f>SUMIFS(Database!$G:$G,Database!$D:$D,"Import",Database!$E:$E,$B25,Database!$C:$C,AW$1,Database!$F:$F,"Total")</f>
        <v>0</v>
      </c>
      <c r="AX25" s="137">
        <f>SUMIFS(Database!$G:$G,Database!$D:$D,"Import",Database!$E:$E,$B25,Database!$C:$C,AX$1,Database!$F:$F,"Total")</f>
        <v>0</v>
      </c>
      <c r="AY25" s="137">
        <f>SUMIFS(Database!$G:$G,Database!$D:$D,"Import",Database!$E:$E,$B25,Database!$C:$C,AY$1,Database!$F:$F,"Total")</f>
        <v>0</v>
      </c>
      <c r="AZ25" s="137">
        <f>SUMIFS(Database!$G:$G,Database!$D:$D,"Import",Database!$E:$E,$B25,Database!$C:$C,AZ$1,Database!$F:$F,"Total")</f>
        <v>0</v>
      </c>
      <c r="BA25" s="137">
        <f>SUMIFS(Database!$G:$G,Database!$D:$D,"Import",Database!$E:$E,$B25,Database!$C:$C,BA$1,Database!$F:$F,"Total")</f>
        <v>0</v>
      </c>
      <c r="BB25" s="137">
        <f>SUMIFS(Database!$G:$G,Database!$D:$D,"Import",Database!$E:$E,$B25,Database!$C:$C,BB$1,Database!$F:$F,"Total")</f>
        <v>0</v>
      </c>
      <c r="BC25" s="137">
        <f>SUMIFS(Database!$G:$G,Database!$D:$D,"Import",Database!$E:$E,$B25,Database!$C:$C,BC$1,Database!$F:$F,"Total")</f>
        <v>0</v>
      </c>
      <c r="BD25" s="137">
        <f>SUMIFS(Database!$G:$G,Database!$D:$D,"Import",Database!$E:$E,$B25,Database!$C:$C,BD$1,Database!$F:$F,"Total")</f>
        <v>0</v>
      </c>
      <c r="BE25" s="137">
        <f>SUMIFS(Database!$G:$G,Database!$D:$D,"Import",Database!$E:$E,$B25,Database!$C:$C,BE$1,Database!$F:$F,"Total")</f>
        <v>0</v>
      </c>
      <c r="BF25" s="137">
        <f>SUMIFS(Database!$G:$G,Database!$D:$D,"Import",Database!$E:$E,$B25,Database!$C:$C,BF$1,Database!$F:$F,"Total")</f>
        <v>0</v>
      </c>
      <c r="BG25" s="137">
        <f>SUMIFS(Database!$G:$G,Database!$D:$D,"Import",Database!$E:$E,$B25,Database!$C:$C,BG$1,Database!$F:$F,"Total")</f>
        <v>0</v>
      </c>
      <c r="BH25" s="137">
        <f>SUMIFS(Database!$G:$G,Database!$D:$D,"Import",Database!$E:$E,$B25,Database!$C:$C,BH$1,Database!$F:$F,"Total")</f>
        <v>0</v>
      </c>
      <c r="BI25" s="137">
        <f>SUMIFS(Database!$G:$G,Database!$D:$D,"Import",Database!$E:$E,$B25,Database!$C:$C,BI$1,Database!$F:$F,"Total")</f>
        <v>0</v>
      </c>
      <c r="BJ25" s="137">
        <f>SUMIFS(Database!$G:$G,Database!$D:$D,"Import",Database!$E:$E,$B25,Database!$C:$C,BJ$1,Database!$F:$F,"Total")</f>
        <v>0</v>
      </c>
      <c r="BK25" s="137">
        <f>SUMIFS(Database!$G:$G,Database!$D:$D,"Import",Database!$E:$E,$B25,Database!$C:$C,BK$1,Database!$F:$F,"Total")</f>
        <v>0</v>
      </c>
      <c r="BL25" s="137">
        <f>SUMIFS(Database!$G:$G,Database!$D:$D,"Import",Database!$E:$E,$B25,Database!$C:$C,BL$1,Database!$F:$F,"Total")</f>
        <v>0</v>
      </c>
      <c r="BM25" s="137">
        <f>SUMIFS(Database!$G:$G,Database!$D:$D,"Import",Database!$E:$E,$B25,Database!$C:$C,BM$1,Database!$F:$F,"Total")</f>
        <v>0</v>
      </c>
      <c r="BN25" s="137">
        <f>SUMIFS(Database!$G:$G,Database!$D:$D,"Import",Database!$E:$E,$B25,Database!$C:$C,BN$1,Database!$F:$F,"Total")</f>
        <v>0</v>
      </c>
      <c r="BO25" s="137">
        <f>SUMIFS(Database!$G:$G,Database!$D:$D,"Import",Database!$E:$E,$B25,Database!$C:$C,BO$1,Database!$F:$F,"Total")</f>
        <v>0</v>
      </c>
      <c r="BP25" s="137">
        <f>SUMIFS(Database!$G:$G,Database!$D:$D,"Import",Database!$E:$E,$B25,Database!$C:$C,BP$1,Database!$F:$F,"Total")</f>
        <v>0</v>
      </c>
      <c r="BQ25" s="137">
        <f>SUMIFS(Database!$G:$G,Database!$D:$D,"Import",Database!$E:$E,$B25,Database!$C:$C,BQ$1,Database!$F:$F,"Total")</f>
        <v>0</v>
      </c>
      <c r="BR25" s="137">
        <f>SUMIFS(Database!$G:$G,Database!$D:$D,"Import",Database!$E:$E,$B25,Database!$C:$C,BR$1,Database!$F:$F,"Total")</f>
        <v>0</v>
      </c>
      <c r="BS25" s="137">
        <f>SUMIFS(Database!$G:$G,Database!$D:$D,"Import",Database!$E:$E,$B25,Database!$C:$C,BS$1,Database!$F:$F,"Total")</f>
        <v>0</v>
      </c>
      <c r="BT25" s="137">
        <f>SUMIFS(Database!$G:$G,Database!$D:$D,"Import",Database!$E:$E,$B25,Database!$C:$C,BT$1,Database!$F:$F,"Total")</f>
        <v>0</v>
      </c>
      <c r="BU25" s="137">
        <f>SUMIFS(Database!$G:$G,Database!$D:$D,"Import",Database!$E:$E,$B25,Database!$C:$C,BU$1,Database!$F:$F,"Total")</f>
        <v>0</v>
      </c>
      <c r="BV25" s="137">
        <f>SUMIFS(Database!$G:$G,Database!$D:$D,"Import",Database!$E:$E,$B25,Database!$C:$C,BV$1,Database!$F:$F,"Total")</f>
        <v>0</v>
      </c>
      <c r="BW25" s="137">
        <f>SUMIFS(Database!$G:$G,Database!$D:$D,"Import",Database!$E:$E,$B25,Database!$C:$C,BW$1,Database!$F:$F,"Total")</f>
        <v>0</v>
      </c>
      <c r="BX25" s="137">
        <f>SUMIFS(Database!$G:$G,Database!$D:$D,"Import",Database!$E:$E,$B25,Database!$C:$C,BX$1,Database!$F:$F,"Total")</f>
        <v>0</v>
      </c>
      <c r="BY25" s="137">
        <f>SUMIFS(Database!$G:$G,Database!$D:$D,"Import",Database!$E:$E,$B25,Database!$C:$C,BY$1,Database!$F:$F,"Total")</f>
        <v>0</v>
      </c>
      <c r="BZ25" s="137">
        <f>SUMIFS(Database!$G:$G,Database!$D:$D,"Import",Database!$E:$E,$B25,Database!$C:$C,BZ$1,Database!$F:$F,"Total")</f>
        <v>0</v>
      </c>
      <c r="CA25" s="137">
        <f>SUMIFS(Database!$G:$G,Database!$D:$D,"Import",Database!$E:$E,$B25,Database!$C:$C,CA$1,Database!$F:$F,"Total")</f>
        <v>0</v>
      </c>
      <c r="CB25" s="137">
        <f>SUMIFS(Database!$G:$G,Database!$D:$D,"Import",Database!$E:$E,$B25,Database!$C:$C,CB$1,Database!$F:$F,"Total")</f>
        <v>0</v>
      </c>
      <c r="CC25" s="137">
        <f>SUMIFS(Database!$G:$G,Database!$D:$D,"Import",Database!$E:$E,$B25,Database!$C:$C,CC$1,Database!$F:$F,"Total")</f>
        <v>0</v>
      </c>
      <c r="CD25" s="137">
        <f>SUMIFS(Database!$G:$G,Database!$D:$D,"Import",Database!$E:$E,$B25,Database!$C:$C,CD$1,Database!$F:$F,"Total")</f>
        <v>0</v>
      </c>
      <c r="CE25" s="137">
        <f>SUMIFS(Database!$G:$G,Database!$D:$D,"Import",Database!$E:$E,$B25,Database!$C:$C,CE$1,Database!$F:$F,"Total")</f>
        <v>0</v>
      </c>
      <c r="CF25" s="137">
        <f>SUMIFS(Database!$G:$G,Database!$D:$D,"Import",Database!$E:$E,$B25,Database!$C:$C,CF$1,Database!$F:$F,"Total")</f>
        <v>0</v>
      </c>
      <c r="CG25" s="137">
        <f>SUMIFS(Database!$G:$G,Database!$D:$D,"Import",Database!$E:$E,$B25,Database!$C:$C,CG$1,Database!$F:$F,"Total")</f>
        <v>0</v>
      </c>
      <c r="CH25" s="137">
        <f>SUMIFS(Database!$G:$G,Database!$D:$D,"Import",Database!$E:$E,$B25,Database!$C:$C,CH$1,Database!$F:$F,"Total")</f>
        <v>0</v>
      </c>
      <c r="CI25" s="137">
        <f>SUMIFS(Database!$G:$G,Database!$D:$D,"Import",Database!$E:$E,$B25,Database!$C:$C,CI$1,Database!$F:$F,"Total")</f>
        <v>0</v>
      </c>
      <c r="CJ25" s="137">
        <f>SUMIFS(Database!$G:$G,Database!$D:$D,"Import",Database!$E:$E,$B25,Database!$C:$C,CJ$1,Database!$F:$F,"Total")</f>
        <v>0</v>
      </c>
      <c r="CK25" s="137">
        <f>SUMIFS(Database!$G:$G,Database!$D:$D,"Import",Database!$E:$E,$B25,Database!$C:$C,CK$1,Database!$F:$F,"Total")</f>
        <v>0</v>
      </c>
      <c r="CL25" s="137">
        <f>SUMIFS(Database!$G:$G,Database!$D:$D,"Import",Database!$E:$E,$B25,Database!$C:$C,CL$1,Database!$F:$F,"Total")</f>
        <v>0</v>
      </c>
      <c r="CM25" s="137">
        <f>SUMIFS(Database!$G:$G,Database!$D:$D,"Import",Database!$E:$E,$B25,Database!$C:$C,CM$1,Database!$F:$F,"Total")</f>
        <v>0</v>
      </c>
      <c r="CN25" s="137">
        <f>SUMIFS(Database!$G:$G,Database!$D:$D,"Import",Database!$E:$E,$B25,Database!$C:$C,CN$1,Database!$F:$F,"Total")</f>
        <v>0</v>
      </c>
      <c r="CO25" s="137">
        <f>SUMIFS(Database!$G:$G,Database!$D:$D,"Import",Database!$E:$E,$B25,Database!$C:$C,CO$1,Database!$F:$F,"Total")</f>
        <v>0</v>
      </c>
      <c r="CP25" s="137">
        <f>SUMIFS(Database!$G:$G,Database!$D:$D,"Import",Database!$E:$E,$B25,Database!$C:$C,CP$1,Database!$F:$F,"Total")</f>
        <v>0</v>
      </c>
      <c r="CQ25" s="137">
        <f>SUMIFS(Database!$G:$G,Database!$D:$D,"Import",Database!$E:$E,$B25,Database!$C:$C,CQ$1,Database!$F:$F,"Total")</f>
        <v>0</v>
      </c>
      <c r="CR25" s="137">
        <f>SUMIFS(Database!$G:$G,Database!$D:$D,"Import",Database!$E:$E,$B25,Database!$C:$C,CR$1,Database!$F:$F,"Total")</f>
        <v>0</v>
      </c>
      <c r="CS25" s="137">
        <f>SUMIFS(Database!$G:$G,Database!$D:$D,"Import",Database!$E:$E,$B25,Database!$C:$C,CS$1,Database!$F:$F,"Total")</f>
        <v>0</v>
      </c>
      <c r="CT25" s="137">
        <f>SUMIFS(Database!$G:$G,Database!$D:$D,"Import",Database!$E:$E,$B25,Database!$C:$C,CT$1,Database!$F:$F,"Total")</f>
        <v>0</v>
      </c>
      <c r="CU25" s="137">
        <f>SUMIFS(Database!$G:$G,Database!$D:$D,"Import",Database!$E:$E,$B25,Database!$C:$C,CU$1,Database!$F:$F,"Total")</f>
        <v>0</v>
      </c>
    </row>
    <row r="26" spans="1:99" x14ac:dyDescent="0.25">
      <c r="A26" s="132" t="s">
        <v>484</v>
      </c>
      <c r="B26" s="133" t="s">
        <v>335</v>
      </c>
      <c r="C26" s="137">
        <f>SUMIFS(Database!$G:$G,Database!$D:$D,"Import",Database!$E:$E,$B26,Database!$C:$C,C$1,Database!$F:$F,"Total")</f>
        <v>0</v>
      </c>
      <c r="D26" s="137">
        <f>SUMIFS(Database!$G:$G,Database!$D:$D,"Import",Database!$E:$E,$B26,Database!$C:$C,D$1,Database!$F:$F,"Total")</f>
        <v>0</v>
      </c>
      <c r="E26" s="137">
        <f>SUMIFS(Database!$G:$G,Database!$D:$D,"Import",Database!$E:$E,$B26,Database!$C:$C,E$1,Database!$F:$F,"Total")</f>
        <v>0</v>
      </c>
      <c r="F26" s="137">
        <f>SUMIFS(Database!$G:$G,Database!$D:$D,"Import",Database!$E:$E,$B26,Database!$C:$C,F$1,Database!$F:$F,"Total")</f>
        <v>0</v>
      </c>
      <c r="G26" s="137">
        <f>SUMIFS(Database!$G:$G,Database!$D:$D,"Import",Database!$E:$E,$B26,Database!$C:$C,G$1,Database!$F:$F,"Total")</f>
        <v>0</v>
      </c>
      <c r="H26" s="137">
        <f>SUMIFS(Database!$G:$G,Database!$D:$D,"Import",Database!$E:$E,$B26,Database!$C:$C,H$1,Database!$F:$F,"Total")</f>
        <v>0</v>
      </c>
      <c r="I26" s="137">
        <f>SUMIFS(Database!$G:$G,Database!$D:$D,"Import",Database!$E:$E,$B26,Database!$C:$C,I$1,Database!$F:$F,"Total")</f>
        <v>0</v>
      </c>
      <c r="J26" s="137">
        <f>SUMIFS(Database!$G:$G,Database!$D:$D,"Import",Database!$E:$E,$B26,Database!$C:$C,J$1,Database!$F:$F,"Total")</f>
        <v>0</v>
      </c>
      <c r="K26" s="137">
        <f>SUMIFS(Database!$G:$G,Database!$D:$D,"Import",Database!$E:$E,$B26,Database!$C:$C,K$1,Database!$F:$F,"Total")</f>
        <v>0</v>
      </c>
      <c r="L26" s="137">
        <f>SUMIFS(Database!$G:$G,Database!$D:$D,"Import",Database!$E:$E,$B26,Database!$C:$C,L$1,Database!$F:$F,"Total")</f>
        <v>0</v>
      </c>
      <c r="M26" s="137">
        <f>SUMIFS(Database!$G:$G,Database!$D:$D,"Import",Database!$E:$E,$B26,Database!$C:$C,M$1,Database!$F:$F,"Total")</f>
        <v>0</v>
      </c>
      <c r="N26" s="137">
        <f>SUMIFS(Database!$G:$G,Database!$D:$D,"Import",Database!$E:$E,$B26,Database!$C:$C,N$1,Database!$F:$F,"Total")</f>
        <v>0</v>
      </c>
      <c r="O26" s="137">
        <f>SUMIFS(Database!$G:$G,Database!$D:$D,"Import",Database!$E:$E,$B26,Database!$C:$C,O$1,Database!$F:$F,"Total")</f>
        <v>0</v>
      </c>
      <c r="P26" s="137">
        <f>SUMIFS(Database!$G:$G,Database!$D:$D,"Import",Database!$E:$E,$B26,Database!$C:$C,P$1,Database!$F:$F,"Total")</f>
        <v>0</v>
      </c>
      <c r="Q26" s="137">
        <f>SUMIFS(Database!$G:$G,Database!$D:$D,"Import",Database!$E:$E,$B26,Database!$C:$C,Q$1,Database!$F:$F,"Total")</f>
        <v>0</v>
      </c>
      <c r="R26" s="137">
        <f>SUMIFS(Database!$G:$G,Database!$D:$D,"Import",Database!$E:$E,$B26,Database!$C:$C,R$1,Database!$F:$F,"Total")</f>
        <v>0</v>
      </c>
      <c r="S26" s="137">
        <f>SUMIFS(Database!$G:$G,Database!$D:$D,"Import",Database!$E:$E,$B26,Database!$C:$C,S$1,Database!$F:$F,"Total")</f>
        <v>0</v>
      </c>
      <c r="T26" s="137">
        <f>SUMIFS(Database!$G:$G,Database!$D:$D,"Import",Database!$E:$E,$B26,Database!$C:$C,T$1,Database!$F:$F,"Total")</f>
        <v>0</v>
      </c>
      <c r="U26" s="137">
        <f>SUMIFS(Database!$G:$G,Database!$D:$D,"Import",Database!$E:$E,$B26,Database!$C:$C,U$1,Database!$F:$F,"Total")</f>
        <v>0</v>
      </c>
      <c r="V26" s="137">
        <f>SUMIFS(Database!$G:$G,Database!$D:$D,"Import",Database!$E:$E,$B26,Database!$C:$C,V$1,Database!$F:$F,"Total")</f>
        <v>0</v>
      </c>
      <c r="W26" s="137">
        <f>SUMIFS(Database!$G:$G,Database!$D:$D,"Import",Database!$E:$E,$B26,Database!$C:$C,W$1,Database!$F:$F,"Total")</f>
        <v>0</v>
      </c>
      <c r="X26" s="137">
        <f>SUMIFS(Database!$G:$G,Database!$D:$D,"Import",Database!$E:$E,$B26,Database!$C:$C,X$1,Database!$F:$F,"Total")</f>
        <v>0</v>
      </c>
      <c r="Y26" s="137">
        <f>SUMIFS(Database!$G:$G,Database!$D:$D,"Import",Database!$E:$E,$B26,Database!$C:$C,Y$1,Database!$F:$F,"Total")</f>
        <v>0</v>
      </c>
      <c r="Z26" s="137">
        <f>SUMIFS(Database!$G:$G,Database!$D:$D,"Import",Database!$E:$E,$B26,Database!$C:$C,Z$1,Database!$F:$F,"Total")</f>
        <v>0</v>
      </c>
      <c r="AA26" s="137">
        <f>SUMIFS(Database!$G:$G,Database!$D:$D,"Import",Database!$E:$E,$B26,Database!$C:$C,AA$1,Database!$F:$F,"Total")</f>
        <v>0</v>
      </c>
      <c r="AB26" s="137">
        <f>SUMIFS(Database!$G:$G,Database!$D:$D,"Import",Database!$E:$E,$B26,Database!$C:$C,AB$1,Database!$F:$F,"Total")</f>
        <v>0</v>
      </c>
      <c r="AC26" s="137">
        <f>SUMIFS(Database!$G:$G,Database!$D:$D,"Import",Database!$E:$E,$B26,Database!$C:$C,AC$1,Database!$F:$F,"Total")</f>
        <v>0</v>
      </c>
      <c r="AD26" s="137">
        <f>SUMIFS(Database!$G:$G,Database!$D:$D,"Import",Database!$E:$E,$B26,Database!$C:$C,AD$1,Database!$F:$F,"Total")</f>
        <v>0</v>
      </c>
      <c r="AE26" s="137">
        <f>SUMIFS(Database!$G:$G,Database!$D:$D,"Import",Database!$E:$E,$B26,Database!$C:$C,AE$1,Database!$F:$F,"Total")</f>
        <v>0</v>
      </c>
      <c r="AF26" s="137">
        <f>SUMIFS(Database!$G:$G,Database!$D:$D,"Import",Database!$E:$E,$B26,Database!$C:$C,AF$1,Database!$F:$F,"Total")</f>
        <v>0</v>
      </c>
      <c r="AG26" s="137">
        <f>SUMIFS(Database!$G:$G,Database!$D:$D,"Import",Database!$E:$E,$B26,Database!$C:$C,AG$1,Database!$F:$F,"Total")</f>
        <v>0</v>
      </c>
      <c r="AH26" s="137">
        <f>SUMIFS(Database!$G:$G,Database!$D:$D,"Import",Database!$E:$E,$B26,Database!$C:$C,AH$1,Database!$F:$F,"Total")</f>
        <v>0</v>
      </c>
      <c r="AI26" s="137">
        <f>SUMIFS(Database!$G:$G,Database!$D:$D,"Import",Database!$E:$E,$B26,Database!$C:$C,AI$1,Database!$F:$F,"Total")</f>
        <v>0</v>
      </c>
      <c r="AJ26" s="137">
        <f>SUMIFS(Database!$G:$G,Database!$D:$D,"Import",Database!$E:$E,$B26,Database!$C:$C,AJ$1,Database!$F:$F,"Total")</f>
        <v>0</v>
      </c>
      <c r="AK26" s="137">
        <f>SUMIFS(Database!$G:$G,Database!$D:$D,"Import",Database!$E:$E,$B26,Database!$C:$C,AK$1,Database!$F:$F,"Total")</f>
        <v>0</v>
      </c>
      <c r="AL26" s="137">
        <f>SUMIFS(Database!$G:$G,Database!$D:$D,"Import",Database!$E:$E,$B26,Database!$C:$C,AL$1,Database!$F:$F,"Total")</f>
        <v>0</v>
      </c>
      <c r="AM26" s="137">
        <f>SUMIFS(Database!$G:$G,Database!$D:$D,"Import",Database!$E:$E,$B26,Database!$C:$C,AM$1,Database!$F:$F,"Total")</f>
        <v>606</v>
      </c>
      <c r="AN26" s="137">
        <f>SUMIFS(Database!$G:$G,Database!$D:$D,"Import",Database!$E:$E,$B26,Database!$C:$C,AN$1,Database!$F:$F,"Total")</f>
        <v>0</v>
      </c>
      <c r="AO26" s="137">
        <f>SUMIFS(Database!$G:$G,Database!$D:$D,"Import",Database!$E:$E,$B26,Database!$C:$C,AO$1,Database!$F:$F,"Total")</f>
        <v>0</v>
      </c>
      <c r="AP26" s="137">
        <f>SUMIFS(Database!$G:$G,Database!$D:$D,"Import",Database!$E:$E,$B26,Database!$C:$C,AP$1,Database!$F:$F,"Total")</f>
        <v>0</v>
      </c>
      <c r="AQ26" s="137">
        <f>SUMIFS(Database!$G:$G,Database!$D:$D,"Import",Database!$E:$E,$B26,Database!$C:$C,AQ$1,Database!$F:$F,"Total")</f>
        <v>0</v>
      </c>
      <c r="AR26" s="137">
        <f>SUMIFS(Database!$G:$G,Database!$D:$D,"Import",Database!$E:$E,$B26,Database!$C:$C,AR$1,Database!$F:$F,"Total")</f>
        <v>0</v>
      </c>
      <c r="AS26" s="137">
        <f>SUMIFS(Database!$G:$G,Database!$D:$D,"Import",Database!$E:$E,$B26,Database!$C:$C,AS$1,Database!$F:$F,"Total")</f>
        <v>0</v>
      </c>
      <c r="AT26" s="137">
        <f>SUMIFS(Database!$G:$G,Database!$D:$D,"Import",Database!$E:$E,$B26,Database!$C:$C,AT$1,Database!$F:$F,"Total")</f>
        <v>0</v>
      </c>
      <c r="AU26" s="137">
        <f>SUMIFS(Database!$G:$G,Database!$D:$D,"Import",Database!$E:$E,$B26,Database!$C:$C,AU$1,Database!$F:$F,"Total")</f>
        <v>0</v>
      </c>
      <c r="AV26" s="137">
        <f>SUMIFS(Database!$G:$G,Database!$D:$D,"Import",Database!$E:$E,$B26,Database!$C:$C,AV$1,Database!$F:$F,"Total")</f>
        <v>0</v>
      </c>
      <c r="AW26" s="137">
        <f>SUMIFS(Database!$G:$G,Database!$D:$D,"Import",Database!$E:$E,$B26,Database!$C:$C,AW$1,Database!$F:$F,"Total")</f>
        <v>0</v>
      </c>
      <c r="AX26" s="137">
        <f>SUMIFS(Database!$G:$G,Database!$D:$D,"Import",Database!$E:$E,$B26,Database!$C:$C,AX$1,Database!$F:$F,"Total")</f>
        <v>0</v>
      </c>
      <c r="AY26" s="137">
        <f>SUMIFS(Database!$G:$G,Database!$D:$D,"Import",Database!$E:$E,$B26,Database!$C:$C,AY$1,Database!$F:$F,"Total")</f>
        <v>0</v>
      </c>
      <c r="AZ26" s="137">
        <f>SUMIFS(Database!$G:$G,Database!$D:$D,"Import",Database!$E:$E,$B26,Database!$C:$C,AZ$1,Database!$F:$F,"Total")</f>
        <v>0</v>
      </c>
      <c r="BA26" s="137">
        <f>SUMIFS(Database!$G:$G,Database!$D:$D,"Import",Database!$E:$E,$B26,Database!$C:$C,BA$1,Database!$F:$F,"Total")</f>
        <v>0</v>
      </c>
      <c r="BB26" s="137">
        <f>SUMIFS(Database!$G:$G,Database!$D:$D,"Import",Database!$E:$E,$B26,Database!$C:$C,BB$1,Database!$F:$F,"Total")</f>
        <v>0</v>
      </c>
      <c r="BC26" s="137">
        <f>SUMIFS(Database!$G:$G,Database!$D:$D,"Import",Database!$E:$E,$B26,Database!$C:$C,BC$1,Database!$F:$F,"Total")</f>
        <v>0</v>
      </c>
      <c r="BD26" s="137">
        <f>SUMIFS(Database!$G:$G,Database!$D:$D,"Import",Database!$E:$E,$B26,Database!$C:$C,BD$1,Database!$F:$F,"Total")</f>
        <v>0</v>
      </c>
      <c r="BE26" s="137">
        <f>SUMIFS(Database!$G:$G,Database!$D:$D,"Import",Database!$E:$E,$B26,Database!$C:$C,BE$1,Database!$F:$F,"Total")</f>
        <v>0</v>
      </c>
      <c r="BF26" s="137">
        <f>SUMIFS(Database!$G:$G,Database!$D:$D,"Import",Database!$E:$E,$B26,Database!$C:$C,BF$1,Database!$F:$F,"Total")</f>
        <v>0</v>
      </c>
      <c r="BG26" s="137">
        <f>SUMIFS(Database!$G:$G,Database!$D:$D,"Import",Database!$E:$E,$B26,Database!$C:$C,BG$1,Database!$F:$F,"Total")</f>
        <v>0</v>
      </c>
      <c r="BH26" s="137">
        <f>SUMIFS(Database!$G:$G,Database!$D:$D,"Import",Database!$E:$E,$B26,Database!$C:$C,BH$1,Database!$F:$F,"Total")</f>
        <v>0</v>
      </c>
      <c r="BI26" s="137">
        <f>SUMIFS(Database!$G:$G,Database!$D:$D,"Import",Database!$E:$E,$B26,Database!$C:$C,BI$1,Database!$F:$F,"Total")</f>
        <v>0</v>
      </c>
      <c r="BJ26" s="137">
        <f>SUMIFS(Database!$G:$G,Database!$D:$D,"Import",Database!$E:$E,$B26,Database!$C:$C,BJ$1,Database!$F:$F,"Total")</f>
        <v>0</v>
      </c>
      <c r="BK26" s="137">
        <f>SUMIFS(Database!$G:$G,Database!$D:$D,"Import",Database!$E:$E,$B26,Database!$C:$C,BK$1,Database!$F:$F,"Total")</f>
        <v>0</v>
      </c>
      <c r="BL26" s="137">
        <f>SUMIFS(Database!$G:$G,Database!$D:$D,"Import",Database!$E:$E,$B26,Database!$C:$C,BL$1,Database!$F:$F,"Total")</f>
        <v>0</v>
      </c>
      <c r="BM26" s="137">
        <f>SUMIFS(Database!$G:$G,Database!$D:$D,"Import",Database!$E:$E,$B26,Database!$C:$C,BM$1,Database!$F:$F,"Total")</f>
        <v>0</v>
      </c>
      <c r="BN26" s="137">
        <f>SUMIFS(Database!$G:$G,Database!$D:$D,"Import",Database!$E:$E,$B26,Database!$C:$C,BN$1,Database!$F:$F,"Total")</f>
        <v>0</v>
      </c>
      <c r="BO26" s="137">
        <f>SUMIFS(Database!$G:$G,Database!$D:$D,"Import",Database!$E:$E,$B26,Database!$C:$C,BO$1,Database!$F:$F,"Total")</f>
        <v>0</v>
      </c>
      <c r="BP26" s="137">
        <f>SUMIFS(Database!$G:$G,Database!$D:$D,"Import",Database!$E:$E,$B26,Database!$C:$C,BP$1,Database!$F:$F,"Total")</f>
        <v>0</v>
      </c>
      <c r="BQ26" s="137">
        <f>SUMIFS(Database!$G:$G,Database!$D:$D,"Import",Database!$E:$E,$B26,Database!$C:$C,BQ$1,Database!$F:$F,"Total")</f>
        <v>0</v>
      </c>
      <c r="BR26" s="137">
        <f>SUMIFS(Database!$G:$G,Database!$D:$D,"Import",Database!$E:$E,$B26,Database!$C:$C,BR$1,Database!$F:$F,"Total")</f>
        <v>0</v>
      </c>
      <c r="BS26" s="137">
        <f>SUMIFS(Database!$G:$G,Database!$D:$D,"Import",Database!$E:$E,$B26,Database!$C:$C,BS$1,Database!$F:$F,"Total")</f>
        <v>0</v>
      </c>
      <c r="BT26" s="137">
        <f>SUMIFS(Database!$G:$G,Database!$D:$D,"Import",Database!$E:$E,$B26,Database!$C:$C,BT$1,Database!$F:$F,"Total")</f>
        <v>0</v>
      </c>
      <c r="BU26" s="137">
        <f>SUMIFS(Database!$G:$G,Database!$D:$D,"Import",Database!$E:$E,$B26,Database!$C:$C,BU$1,Database!$F:$F,"Total")</f>
        <v>0</v>
      </c>
      <c r="BV26" s="137">
        <f>SUMIFS(Database!$G:$G,Database!$D:$D,"Import",Database!$E:$E,$B26,Database!$C:$C,BV$1,Database!$F:$F,"Total")</f>
        <v>0</v>
      </c>
      <c r="BW26" s="137">
        <f>SUMIFS(Database!$G:$G,Database!$D:$D,"Import",Database!$E:$E,$B26,Database!$C:$C,BW$1,Database!$F:$F,"Total")</f>
        <v>0</v>
      </c>
      <c r="BX26" s="137">
        <f>SUMIFS(Database!$G:$G,Database!$D:$D,"Import",Database!$E:$E,$B26,Database!$C:$C,BX$1,Database!$F:$F,"Total")</f>
        <v>0</v>
      </c>
      <c r="BY26" s="137">
        <f>SUMIFS(Database!$G:$G,Database!$D:$D,"Import",Database!$E:$E,$B26,Database!$C:$C,BY$1,Database!$F:$F,"Total")</f>
        <v>0</v>
      </c>
      <c r="BZ26" s="137">
        <f>SUMIFS(Database!$G:$G,Database!$D:$D,"Import",Database!$E:$E,$B26,Database!$C:$C,BZ$1,Database!$F:$F,"Total")</f>
        <v>0</v>
      </c>
      <c r="CA26" s="137">
        <f>SUMIFS(Database!$G:$G,Database!$D:$D,"Import",Database!$E:$E,$B26,Database!$C:$C,CA$1,Database!$F:$F,"Total")</f>
        <v>0</v>
      </c>
      <c r="CB26" s="137">
        <f>SUMIFS(Database!$G:$G,Database!$D:$D,"Import",Database!$E:$E,$B26,Database!$C:$C,CB$1,Database!$F:$F,"Total")</f>
        <v>0</v>
      </c>
      <c r="CC26" s="137">
        <f>SUMIFS(Database!$G:$G,Database!$D:$D,"Import",Database!$E:$E,$B26,Database!$C:$C,CC$1,Database!$F:$F,"Total")</f>
        <v>0</v>
      </c>
      <c r="CD26" s="137">
        <f>SUMIFS(Database!$G:$G,Database!$D:$D,"Import",Database!$E:$E,$B26,Database!$C:$C,CD$1,Database!$F:$F,"Total")</f>
        <v>0</v>
      </c>
      <c r="CE26" s="137">
        <f>SUMIFS(Database!$G:$G,Database!$D:$D,"Import",Database!$E:$E,$B26,Database!$C:$C,CE$1,Database!$F:$F,"Total")</f>
        <v>0</v>
      </c>
      <c r="CF26" s="137">
        <f>SUMIFS(Database!$G:$G,Database!$D:$D,"Import",Database!$E:$E,$B26,Database!$C:$C,CF$1,Database!$F:$F,"Total")</f>
        <v>0</v>
      </c>
      <c r="CG26" s="137">
        <f>SUMIFS(Database!$G:$G,Database!$D:$D,"Import",Database!$E:$E,$B26,Database!$C:$C,CG$1,Database!$F:$F,"Total")</f>
        <v>0</v>
      </c>
      <c r="CH26" s="137">
        <f>SUMIFS(Database!$G:$G,Database!$D:$D,"Import",Database!$E:$E,$B26,Database!$C:$C,CH$1,Database!$F:$F,"Total")</f>
        <v>0</v>
      </c>
      <c r="CI26" s="137">
        <f>SUMIFS(Database!$G:$G,Database!$D:$D,"Import",Database!$E:$E,$B26,Database!$C:$C,CI$1,Database!$F:$F,"Total")</f>
        <v>0</v>
      </c>
      <c r="CJ26" s="137">
        <f>SUMIFS(Database!$G:$G,Database!$D:$D,"Import",Database!$E:$E,$B26,Database!$C:$C,CJ$1,Database!$F:$F,"Total")</f>
        <v>0</v>
      </c>
      <c r="CK26" s="137">
        <f>SUMIFS(Database!$G:$G,Database!$D:$D,"Import",Database!$E:$E,$B26,Database!$C:$C,CK$1,Database!$F:$F,"Total")</f>
        <v>0</v>
      </c>
      <c r="CL26" s="137">
        <f>SUMIFS(Database!$G:$G,Database!$D:$D,"Import",Database!$E:$E,$B26,Database!$C:$C,CL$1,Database!$F:$F,"Total")</f>
        <v>0</v>
      </c>
      <c r="CM26" s="137">
        <f>SUMIFS(Database!$G:$G,Database!$D:$D,"Import",Database!$E:$E,$B26,Database!$C:$C,CM$1,Database!$F:$F,"Total")</f>
        <v>0</v>
      </c>
      <c r="CN26" s="137">
        <f>SUMIFS(Database!$G:$G,Database!$D:$D,"Import",Database!$E:$E,$B26,Database!$C:$C,CN$1,Database!$F:$F,"Total")</f>
        <v>0</v>
      </c>
      <c r="CO26" s="137">
        <f>SUMIFS(Database!$G:$G,Database!$D:$D,"Import",Database!$E:$E,$B26,Database!$C:$C,CO$1,Database!$F:$F,"Total")</f>
        <v>0</v>
      </c>
      <c r="CP26" s="137">
        <f>SUMIFS(Database!$G:$G,Database!$D:$D,"Import",Database!$E:$E,$B26,Database!$C:$C,CP$1,Database!$F:$F,"Total")</f>
        <v>0</v>
      </c>
      <c r="CQ26" s="137">
        <f>SUMIFS(Database!$G:$G,Database!$D:$D,"Import",Database!$E:$E,$B26,Database!$C:$C,CQ$1,Database!$F:$F,"Total")</f>
        <v>0</v>
      </c>
      <c r="CR26" s="137">
        <f>SUMIFS(Database!$G:$G,Database!$D:$D,"Import",Database!$E:$E,$B26,Database!$C:$C,CR$1,Database!$F:$F,"Total")</f>
        <v>0</v>
      </c>
      <c r="CS26" s="137">
        <f>SUMIFS(Database!$G:$G,Database!$D:$D,"Import",Database!$E:$E,$B26,Database!$C:$C,CS$1,Database!$F:$F,"Total")</f>
        <v>0</v>
      </c>
      <c r="CT26" s="137">
        <f>SUMIFS(Database!$G:$G,Database!$D:$D,"Import",Database!$E:$E,$B26,Database!$C:$C,CT$1,Database!$F:$F,"Total")</f>
        <v>0</v>
      </c>
      <c r="CU26" s="137">
        <f>SUMIFS(Database!$G:$G,Database!$D:$D,"Import",Database!$E:$E,$B26,Database!$C:$C,CU$1,Database!$F:$F,"Total")</f>
        <v>0</v>
      </c>
    </row>
    <row r="27" spans="1:99" x14ac:dyDescent="0.25">
      <c r="A27" s="132" t="s">
        <v>484</v>
      </c>
      <c r="B27" s="133" t="s">
        <v>336</v>
      </c>
      <c r="C27" s="137">
        <f>SUMIFS(Database!$G:$G,Database!$D:$D,"Import",Database!$E:$E,$B27,Database!$C:$C,C$1,Database!$F:$F,"Total")</f>
        <v>0</v>
      </c>
      <c r="D27" s="137">
        <f>SUMIFS(Database!$G:$G,Database!$D:$D,"Import",Database!$E:$E,$B27,Database!$C:$C,D$1,Database!$F:$F,"Total")</f>
        <v>0</v>
      </c>
      <c r="E27" s="137">
        <f>SUMIFS(Database!$G:$G,Database!$D:$D,"Import",Database!$E:$E,$B27,Database!$C:$C,E$1,Database!$F:$F,"Total")</f>
        <v>0</v>
      </c>
      <c r="F27" s="137">
        <f>SUMIFS(Database!$G:$G,Database!$D:$D,"Import",Database!$E:$E,$B27,Database!$C:$C,F$1,Database!$F:$F,"Total")</f>
        <v>0</v>
      </c>
      <c r="G27" s="137">
        <f>SUMIFS(Database!$G:$G,Database!$D:$D,"Import",Database!$E:$E,$B27,Database!$C:$C,G$1,Database!$F:$F,"Total")</f>
        <v>0</v>
      </c>
      <c r="H27" s="137">
        <f>SUMIFS(Database!$G:$G,Database!$D:$D,"Import",Database!$E:$E,$B27,Database!$C:$C,H$1,Database!$F:$F,"Total")</f>
        <v>0</v>
      </c>
      <c r="I27" s="137">
        <f>SUMIFS(Database!$G:$G,Database!$D:$D,"Import",Database!$E:$E,$B27,Database!$C:$C,I$1,Database!$F:$F,"Total")</f>
        <v>0</v>
      </c>
      <c r="J27" s="137">
        <f>SUMIFS(Database!$G:$G,Database!$D:$D,"Import",Database!$E:$E,$B27,Database!$C:$C,J$1,Database!$F:$F,"Total")</f>
        <v>0</v>
      </c>
      <c r="K27" s="137">
        <f>SUMIFS(Database!$G:$G,Database!$D:$D,"Import",Database!$E:$E,$B27,Database!$C:$C,K$1,Database!$F:$F,"Total")</f>
        <v>0</v>
      </c>
      <c r="L27" s="137">
        <f>SUMIFS(Database!$G:$G,Database!$D:$D,"Import",Database!$E:$E,$B27,Database!$C:$C,L$1,Database!$F:$F,"Total")</f>
        <v>0</v>
      </c>
      <c r="M27" s="137">
        <f>SUMIFS(Database!$G:$G,Database!$D:$D,"Import",Database!$E:$E,$B27,Database!$C:$C,M$1,Database!$F:$F,"Total")</f>
        <v>0</v>
      </c>
      <c r="N27" s="137">
        <f>SUMIFS(Database!$G:$G,Database!$D:$D,"Import",Database!$E:$E,$B27,Database!$C:$C,N$1,Database!$F:$F,"Total")</f>
        <v>0</v>
      </c>
      <c r="O27" s="137">
        <f>SUMIFS(Database!$G:$G,Database!$D:$D,"Import",Database!$E:$E,$B27,Database!$C:$C,O$1,Database!$F:$F,"Total")</f>
        <v>0</v>
      </c>
      <c r="P27" s="137">
        <f>SUMIFS(Database!$G:$G,Database!$D:$D,"Import",Database!$E:$E,$B27,Database!$C:$C,P$1,Database!$F:$F,"Total")</f>
        <v>0</v>
      </c>
      <c r="Q27" s="137">
        <f>SUMIFS(Database!$G:$G,Database!$D:$D,"Import",Database!$E:$E,$B27,Database!$C:$C,Q$1,Database!$F:$F,"Total")</f>
        <v>0</v>
      </c>
      <c r="R27" s="137">
        <f>SUMIFS(Database!$G:$G,Database!$D:$D,"Import",Database!$E:$E,$B27,Database!$C:$C,R$1,Database!$F:$F,"Total")</f>
        <v>0</v>
      </c>
      <c r="S27" s="137">
        <f>SUMIFS(Database!$G:$G,Database!$D:$D,"Import",Database!$E:$E,$B27,Database!$C:$C,S$1,Database!$F:$F,"Total")</f>
        <v>0</v>
      </c>
      <c r="T27" s="137">
        <f>SUMIFS(Database!$G:$G,Database!$D:$D,"Import",Database!$E:$E,$B27,Database!$C:$C,T$1,Database!$F:$F,"Total")</f>
        <v>0</v>
      </c>
      <c r="U27" s="137">
        <f>SUMIFS(Database!$G:$G,Database!$D:$D,"Import",Database!$E:$E,$B27,Database!$C:$C,U$1,Database!$F:$F,"Total")</f>
        <v>0</v>
      </c>
      <c r="V27" s="137">
        <f>SUMIFS(Database!$G:$G,Database!$D:$D,"Import",Database!$E:$E,$B27,Database!$C:$C,V$1,Database!$F:$F,"Total")</f>
        <v>0</v>
      </c>
      <c r="W27" s="137">
        <f>SUMIFS(Database!$G:$G,Database!$D:$D,"Import",Database!$E:$E,$B27,Database!$C:$C,W$1,Database!$F:$F,"Total")</f>
        <v>0</v>
      </c>
      <c r="X27" s="137">
        <f>SUMIFS(Database!$G:$G,Database!$D:$D,"Import",Database!$E:$E,$B27,Database!$C:$C,X$1,Database!$F:$F,"Total")</f>
        <v>0</v>
      </c>
      <c r="Y27" s="137">
        <f>SUMIFS(Database!$G:$G,Database!$D:$D,"Import",Database!$E:$E,$B27,Database!$C:$C,Y$1,Database!$F:$F,"Total")</f>
        <v>0</v>
      </c>
      <c r="Z27" s="137">
        <f>SUMIFS(Database!$G:$G,Database!$D:$D,"Import",Database!$E:$E,$B27,Database!$C:$C,Z$1,Database!$F:$F,"Total")</f>
        <v>0</v>
      </c>
      <c r="AA27" s="137">
        <f>SUMIFS(Database!$G:$G,Database!$D:$D,"Import",Database!$E:$E,$B27,Database!$C:$C,AA$1,Database!$F:$F,"Total")</f>
        <v>0</v>
      </c>
      <c r="AB27" s="137">
        <f>SUMIFS(Database!$G:$G,Database!$D:$D,"Import",Database!$E:$E,$B27,Database!$C:$C,AB$1,Database!$F:$F,"Total")</f>
        <v>0</v>
      </c>
      <c r="AC27" s="137">
        <f>SUMIFS(Database!$G:$G,Database!$D:$D,"Import",Database!$E:$E,$B27,Database!$C:$C,AC$1,Database!$F:$F,"Total")</f>
        <v>0</v>
      </c>
      <c r="AD27" s="137">
        <f>SUMIFS(Database!$G:$G,Database!$D:$D,"Import",Database!$E:$E,$B27,Database!$C:$C,AD$1,Database!$F:$F,"Total")</f>
        <v>0</v>
      </c>
      <c r="AE27" s="137">
        <f>SUMIFS(Database!$G:$G,Database!$D:$D,"Import",Database!$E:$E,$B27,Database!$C:$C,AE$1,Database!$F:$F,"Total")</f>
        <v>0</v>
      </c>
      <c r="AF27" s="137">
        <f>SUMIFS(Database!$G:$G,Database!$D:$D,"Import",Database!$E:$E,$B27,Database!$C:$C,AF$1,Database!$F:$F,"Total")</f>
        <v>0</v>
      </c>
      <c r="AG27" s="137">
        <f>SUMIFS(Database!$G:$G,Database!$D:$D,"Import",Database!$E:$E,$B27,Database!$C:$C,AG$1,Database!$F:$F,"Total")</f>
        <v>0</v>
      </c>
      <c r="AH27" s="137">
        <f>SUMIFS(Database!$G:$G,Database!$D:$D,"Import",Database!$E:$E,$B27,Database!$C:$C,AH$1,Database!$F:$F,"Total")</f>
        <v>0</v>
      </c>
      <c r="AI27" s="137">
        <f>SUMIFS(Database!$G:$G,Database!$D:$D,"Import",Database!$E:$E,$B27,Database!$C:$C,AI$1,Database!$F:$F,"Total")</f>
        <v>0</v>
      </c>
      <c r="AJ27" s="137">
        <f>SUMIFS(Database!$G:$G,Database!$D:$D,"Import",Database!$E:$E,$B27,Database!$C:$C,AJ$1,Database!$F:$F,"Total")</f>
        <v>0</v>
      </c>
      <c r="AK27" s="137">
        <f>SUMIFS(Database!$G:$G,Database!$D:$D,"Import",Database!$E:$E,$B27,Database!$C:$C,AK$1,Database!$F:$F,"Total")</f>
        <v>0</v>
      </c>
      <c r="AL27" s="137">
        <f>SUMIFS(Database!$G:$G,Database!$D:$D,"Import",Database!$E:$E,$B27,Database!$C:$C,AL$1,Database!$F:$F,"Total")</f>
        <v>0</v>
      </c>
      <c r="AM27" s="137">
        <f>SUMIFS(Database!$G:$G,Database!$D:$D,"Import",Database!$E:$E,$B27,Database!$C:$C,AM$1,Database!$F:$F,"Total")</f>
        <v>28132</v>
      </c>
      <c r="AN27" s="137">
        <f>SUMIFS(Database!$G:$G,Database!$D:$D,"Import",Database!$E:$E,$B27,Database!$C:$C,AN$1,Database!$F:$F,"Total")</f>
        <v>0</v>
      </c>
      <c r="AO27" s="137">
        <f>SUMIFS(Database!$G:$G,Database!$D:$D,"Import",Database!$E:$E,$B27,Database!$C:$C,AO$1,Database!$F:$F,"Total")</f>
        <v>0</v>
      </c>
      <c r="AP27" s="137">
        <f>SUMIFS(Database!$G:$G,Database!$D:$D,"Import",Database!$E:$E,$B27,Database!$C:$C,AP$1,Database!$F:$F,"Total")</f>
        <v>0</v>
      </c>
      <c r="AQ27" s="137">
        <f>SUMIFS(Database!$G:$G,Database!$D:$D,"Import",Database!$E:$E,$B27,Database!$C:$C,AQ$1,Database!$F:$F,"Total")</f>
        <v>0</v>
      </c>
      <c r="AR27" s="137">
        <f>SUMIFS(Database!$G:$G,Database!$D:$D,"Import",Database!$E:$E,$B27,Database!$C:$C,AR$1,Database!$F:$F,"Total")</f>
        <v>0</v>
      </c>
      <c r="AS27" s="137">
        <f>SUMIFS(Database!$G:$G,Database!$D:$D,"Import",Database!$E:$E,$B27,Database!$C:$C,AS$1,Database!$F:$F,"Total")</f>
        <v>0</v>
      </c>
      <c r="AT27" s="137">
        <f>SUMIFS(Database!$G:$G,Database!$D:$D,"Import",Database!$E:$E,$B27,Database!$C:$C,AT$1,Database!$F:$F,"Total")</f>
        <v>0</v>
      </c>
      <c r="AU27" s="137">
        <f>SUMIFS(Database!$G:$G,Database!$D:$D,"Import",Database!$E:$E,$B27,Database!$C:$C,AU$1,Database!$F:$F,"Total")</f>
        <v>0</v>
      </c>
      <c r="AV27" s="137">
        <f>SUMIFS(Database!$G:$G,Database!$D:$D,"Import",Database!$E:$E,$B27,Database!$C:$C,AV$1,Database!$F:$F,"Total")</f>
        <v>0</v>
      </c>
      <c r="AW27" s="137">
        <f>SUMIFS(Database!$G:$G,Database!$D:$D,"Import",Database!$E:$E,$B27,Database!$C:$C,AW$1,Database!$F:$F,"Total")</f>
        <v>0</v>
      </c>
      <c r="AX27" s="137">
        <f>SUMIFS(Database!$G:$G,Database!$D:$D,"Import",Database!$E:$E,$B27,Database!$C:$C,AX$1,Database!$F:$F,"Total")</f>
        <v>0</v>
      </c>
      <c r="AY27" s="137">
        <f>SUMIFS(Database!$G:$G,Database!$D:$D,"Import",Database!$E:$E,$B27,Database!$C:$C,AY$1,Database!$F:$F,"Total")</f>
        <v>0</v>
      </c>
      <c r="AZ27" s="137">
        <f>SUMIFS(Database!$G:$G,Database!$D:$D,"Import",Database!$E:$E,$B27,Database!$C:$C,AZ$1,Database!$F:$F,"Total")</f>
        <v>0</v>
      </c>
      <c r="BA27" s="137">
        <f>SUMIFS(Database!$G:$G,Database!$D:$D,"Import",Database!$E:$E,$B27,Database!$C:$C,BA$1,Database!$F:$F,"Total")</f>
        <v>0</v>
      </c>
      <c r="BB27" s="137">
        <f>SUMIFS(Database!$G:$G,Database!$D:$D,"Import",Database!$E:$E,$B27,Database!$C:$C,BB$1,Database!$F:$F,"Total")</f>
        <v>0</v>
      </c>
      <c r="BC27" s="137">
        <f>SUMIFS(Database!$G:$G,Database!$D:$D,"Import",Database!$E:$E,$B27,Database!$C:$C,BC$1,Database!$F:$F,"Total")</f>
        <v>0</v>
      </c>
      <c r="BD27" s="137">
        <f>SUMIFS(Database!$G:$G,Database!$D:$D,"Import",Database!$E:$E,$B27,Database!$C:$C,BD$1,Database!$F:$F,"Total")</f>
        <v>0</v>
      </c>
      <c r="BE27" s="137">
        <f>SUMIFS(Database!$G:$G,Database!$D:$D,"Import",Database!$E:$E,$B27,Database!$C:$C,BE$1,Database!$F:$F,"Total")</f>
        <v>0</v>
      </c>
      <c r="BF27" s="137">
        <f>SUMIFS(Database!$G:$G,Database!$D:$D,"Import",Database!$E:$E,$B27,Database!$C:$C,BF$1,Database!$F:$F,"Total")</f>
        <v>0</v>
      </c>
      <c r="BG27" s="137">
        <f>SUMIFS(Database!$G:$G,Database!$D:$D,"Import",Database!$E:$E,$B27,Database!$C:$C,BG$1,Database!$F:$F,"Total")</f>
        <v>0</v>
      </c>
      <c r="BH27" s="137">
        <f>SUMIFS(Database!$G:$G,Database!$D:$D,"Import",Database!$E:$E,$B27,Database!$C:$C,BH$1,Database!$F:$F,"Total")</f>
        <v>0</v>
      </c>
      <c r="BI27" s="137">
        <f>SUMIFS(Database!$G:$G,Database!$D:$D,"Import",Database!$E:$E,$B27,Database!$C:$C,BI$1,Database!$F:$F,"Total")</f>
        <v>0</v>
      </c>
      <c r="BJ27" s="137">
        <f>SUMIFS(Database!$G:$G,Database!$D:$D,"Import",Database!$E:$E,$B27,Database!$C:$C,BJ$1,Database!$F:$F,"Total")</f>
        <v>0</v>
      </c>
      <c r="BK27" s="137">
        <f>SUMIFS(Database!$G:$G,Database!$D:$D,"Import",Database!$E:$E,$B27,Database!$C:$C,BK$1,Database!$F:$F,"Total")</f>
        <v>0</v>
      </c>
      <c r="BL27" s="137">
        <f>SUMIFS(Database!$G:$G,Database!$D:$D,"Import",Database!$E:$E,$B27,Database!$C:$C,BL$1,Database!$F:$F,"Total")</f>
        <v>0</v>
      </c>
      <c r="BM27" s="137">
        <f>SUMIFS(Database!$G:$G,Database!$D:$D,"Import",Database!$E:$E,$B27,Database!$C:$C,BM$1,Database!$F:$F,"Total")</f>
        <v>0</v>
      </c>
      <c r="BN27" s="137">
        <f>SUMIFS(Database!$G:$G,Database!$D:$D,"Import",Database!$E:$E,$B27,Database!$C:$C,BN$1,Database!$F:$F,"Total")</f>
        <v>0</v>
      </c>
      <c r="BO27" s="137">
        <f>SUMIFS(Database!$G:$G,Database!$D:$D,"Import",Database!$E:$E,$B27,Database!$C:$C,BO$1,Database!$F:$F,"Total")</f>
        <v>0</v>
      </c>
      <c r="BP27" s="137">
        <f>SUMIFS(Database!$G:$G,Database!$D:$D,"Import",Database!$E:$E,$B27,Database!$C:$C,BP$1,Database!$F:$F,"Total")</f>
        <v>0</v>
      </c>
      <c r="BQ27" s="137">
        <f>SUMIFS(Database!$G:$G,Database!$D:$D,"Import",Database!$E:$E,$B27,Database!$C:$C,BQ$1,Database!$F:$F,"Total")</f>
        <v>0</v>
      </c>
      <c r="BR27" s="137">
        <f>SUMIFS(Database!$G:$G,Database!$D:$D,"Import",Database!$E:$E,$B27,Database!$C:$C,BR$1,Database!$F:$F,"Total")</f>
        <v>0</v>
      </c>
      <c r="BS27" s="137">
        <f>SUMIFS(Database!$G:$G,Database!$D:$D,"Import",Database!$E:$E,$B27,Database!$C:$C,BS$1,Database!$F:$F,"Total")</f>
        <v>0</v>
      </c>
      <c r="BT27" s="137">
        <f>SUMIFS(Database!$G:$G,Database!$D:$D,"Import",Database!$E:$E,$B27,Database!$C:$C,BT$1,Database!$F:$F,"Total")</f>
        <v>0</v>
      </c>
      <c r="BU27" s="137">
        <f>SUMIFS(Database!$G:$G,Database!$D:$D,"Import",Database!$E:$E,$B27,Database!$C:$C,BU$1,Database!$F:$F,"Total")</f>
        <v>0</v>
      </c>
      <c r="BV27" s="137">
        <f>SUMIFS(Database!$G:$G,Database!$D:$D,"Import",Database!$E:$E,$B27,Database!$C:$C,BV$1,Database!$F:$F,"Total")</f>
        <v>0</v>
      </c>
      <c r="BW27" s="137">
        <f>SUMIFS(Database!$G:$G,Database!$D:$D,"Import",Database!$E:$E,$B27,Database!$C:$C,BW$1,Database!$F:$F,"Total")</f>
        <v>0</v>
      </c>
      <c r="BX27" s="137">
        <f>SUMIFS(Database!$G:$G,Database!$D:$D,"Import",Database!$E:$E,$B27,Database!$C:$C,BX$1,Database!$F:$F,"Total")</f>
        <v>0</v>
      </c>
      <c r="BY27" s="137">
        <f>SUMIFS(Database!$G:$G,Database!$D:$D,"Import",Database!$E:$E,$B27,Database!$C:$C,BY$1,Database!$F:$F,"Total")</f>
        <v>0</v>
      </c>
      <c r="BZ27" s="137">
        <f>SUMIFS(Database!$G:$G,Database!$D:$D,"Import",Database!$E:$E,$B27,Database!$C:$C,BZ$1,Database!$F:$F,"Total")</f>
        <v>0</v>
      </c>
      <c r="CA27" s="137">
        <f>SUMIFS(Database!$G:$G,Database!$D:$D,"Import",Database!$E:$E,$B27,Database!$C:$C,CA$1,Database!$F:$F,"Total")</f>
        <v>0</v>
      </c>
      <c r="CB27" s="137">
        <f>SUMIFS(Database!$G:$G,Database!$D:$D,"Import",Database!$E:$E,$B27,Database!$C:$C,CB$1,Database!$F:$F,"Total")</f>
        <v>0</v>
      </c>
      <c r="CC27" s="137">
        <f>SUMIFS(Database!$G:$G,Database!$D:$D,"Import",Database!$E:$E,$B27,Database!$C:$C,CC$1,Database!$F:$F,"Total")</f>
        <v>0</v>
      </c>
      <c r="CD27" s="137">
        <f>SUMIFS(Database!$G:$G,Database!$D:$D,"Import",Database!$E:$E,$B27,Database!$C:$C,CD$1,Database!$F:$F,"Total")</f>
        <v>0</v>
      </c>
      <c r="CE27" s="137">
        <f>SUMIFS(Database!$G:$G,Database!$D:$D,"Import",Database!$E:$E,$B27,Database!$C:$C,CE$1,Database!$F:$F,"Total")</f>
        <v>0</v>
      </c>
      <c r="CF27" s="137">
        <f>SUMIFS(Database!$G:$G,Database!$D:$D,"Import",Database!$E:$E,$B27,Database!$C:$C,CF$1,Database!$F:$F,"Total")</f>
        <v>0</v>
      </c>
      <c r="CG27" s="137">
        <f>SUMIFS(Database!$G:$G,Database!$D:$D,"Import",Database!$E:$E,$B27,Database!$C:$C,CG$1,Database!$F:$F,"Total")</f>
        <v>0</v>
      </c>
      <c r="CH27" s="137">
        <f>SUMIFS(Database!$G:$G,Database!$D:$D,"Import",Database!$E:$E,$B27,Database!$C:$C,CH$1,Database!$F:$F,"Total")</f>
        <v>0</v>
      </c>
      <c r="CI27" s="137">
        <f>SUMIFS(Database!$G:$G,Database!$D:$D,"Import",Database!$E:$E,$B27,Database!$C:$C,CI$1,Database!$F:$F,"Total")</f>
        <v>0</v>
      </c>
      <c r="CJ27" s="137">
        <f>SUMIFS(Database!$G:$G,Database!$D:$D,"Import",Database!$E:$E,$B27,Database!$C:$C,CJ$1,Database!$F:$F,"Total")</f>
        <v>0</v>
      </c>
      <c r="CK27" s="137">
        <f>SUMIFS(Database!$G:$G,Database!$D:$D,"Import",Database!$E:$E,$B27,Database!$C:$C,CK$1,Database!$F:$F,"Total")</f>
        <v>0</v>
      </c>
      <c r="CL27" s="137">
        <f>SUMIFS(Database!$G:$G,Database!$D:$D,"Import",Database!$E:$E,$B27,Database!$C:$C,CL$1,Database!$F:$F,"Total")</f>
        <v>0</v>
      </c>
      <c r="CM27" s="137">
        <f>SUMIFS(Database!$G:$G,Database!$D:$D,"Import",Database!$E:$E,$B27,Database!$C:$C,CM$1,Database!$F:$F,"Total")</f>
        <v>0</v>
      </c>
      <c r="CN27" s="137">
        <f>SUMIFS(Database!$G:$G,Database!$D:$D,"Import",Database!$E:$E,$B27,Database!$C:$C,CN$1,Database!$F:$F,"Total")</f>
        <v>0</v>
      </c>
      <c r="CO27" s="137">
        <f>SUMIFS(Database!$G:$G,Database!$D:$D,"Import",Database!$E:$E,$B27,Database!$C:$C,CO$1,Database!$F:$F,"Total")</f>
        <v>0</v>
      </c>
      <c r="CP27" s="137">
        <f>SUMIFS(Database!$G:$G,Database!$D:$D,"Import",Database!$E:$E,$B27,Database!$C:$C,CP$1,Database!$F:$F,"Total")</f>
        <v>0</v>
      </c>
      <c r="CQ27" s="137">
        <f>SUMIFS(Database!$G:$G,Database!$D:$D,"Import",Database!$E:$E,$B27,Database!$C:$C,CQ$1,Database!$F:$F,"Total")</f>
        <v>0</v>
      </c>
      <c r="CR27" s="137">
        <f>SUMIFS(Database!$G:$G,Database!$D:$D,"Import",Database!$E:$E,$B27,Database!$C:$C,CR$1,Database!$F:$F,"Total")</f>
        <v>0</v>
      </c>
      <c r="CS27" s="137">
        <f>SUMIFS(Database!$G:$G,Database!$D:$D,"Import",Database!$E:$E,$B27,Database!$C:$C,CS$1,Database!$F:$F,"Total")</f>
        <v>0</v>
      </c>
      <c r="CT27" s="137">
        <f>SUMIFS(Database!$G:$G,Database!$D:$D,"Import",Database!$E:$E,$B27,Database!$C:$C,CT$1,Database!$F:$F,"Total")</f>
        <v>0</v>
      </c>
      <c r="CU27" s="137">
        <f>SUMIFS(Database!$G:$G,Database!$D:$D,"Import",Database!$E:$E,$B27,Database!$C:$C,CU$1,Database!$F:$F,"Total")</f>
        <v>0</v>
      </c>
    </row>
    <row r="28" spans="1:99" x14ac:dyDescent="0.25">
      <c r="A28" s="132" t="s">
        <v>484</v>
      </c>
      <c r="B28" s="133" t="s">
        <v>339</v>
      </c>
      <c r="C28" s="137">
        <f>SUMIFS(Database!$G:$G,Database!$D:$D,"Import",Database!$E:$E,$B28,Database!$C:$C,C$1,Database!$F:$F,"Total")</f>
        <v>0</v>
      </c>
      <c r="D28" s="137">
        <f>SUMIFS(Database!$G:$G,Database!$D:$D,"Import",Database!$E:$E,$B28,Database!$C:$C,D$1,Database!$F:$F,"Total")</f>
        <v>0</v>
      </c>
      <c r="E28" s="137">
        <f>SUMIFS(Database!$G:$G,Database!$D:$D,"Import",Database!$E:$E,$B28,Database!$C:$C,E$1,Database!$F:$F,"Total")</f>
        <v>0</v>
      </c>
      <c r="F28" s="137">
        <f>SUMIFS(Database!$G:$G,Database!$D:$D,"Import",Database!$E:$E,$B28,Database!$C:$C,F$1,Database!$F:$F,"Total")</f>
        <v>0</v>
      </c>
      <c r="G28" s="137">
        <f>SUMIFS(Database!$G:$G,Database!$D:$D,"Import",Database!$E:$E,$B28,Database!$C:$C,G$1,Database!$F:$F,"Total")</f>
        <v>0</v>
      </c>
      <c r="H28" s="137">
        <f>SUMIFS(Database!$G:$G,Database!$D:$D,"Import",Database!$E:$E,$B28,Database!$C:$C,H$1,Database!$F:$F,"Total")</f>
        <v>0</v>
      </c>
      <c r="I28" s="137">
        <f>SUMIFS(Database!$G:$G,Database!$D:$D,"Import",Database!$E:$E,$B28,Database!$C:$C,I$1,Database!$F:$F,"Total")</f>
        <v>0</v>
      </c>
      <c r="J28" s="137">
        <f>SUMIFS(Database!$G:$G,Database!$D:$D,"Import",Database!$E:$E,$B28,Database!$C:$C,J$1,Database!$F:$F,"Total")</f>
        <v>0</v>
      </c>
      <c r="K28" s="137">
        <f>SUMIFS(Database!$G:$G,Database!$D:$D,"Import",Database!$E:$E,$B28,Database!$C:$C,K$1,Database!$F:$F,"Total")</f>
        <v>0</v>
      </c>
      <c r="L28" s="137">
        <f>SUMIFS(Database!$G:$G,Database!$D:$D,"Import",Database!$E:$E,$B28,Database!$C:$C,L$1,Database!$F:$F,"Total")</f>
        <v>0</v>
      </c>
      <c r="M28" s="137">
        <f>SUMIFS(Database!$G:$G,Database!$D:$D,"Import",Database!$E:$E,$B28,Database!$C:$C,M$1,Database!$F:$F,"Total")</f>
        <v>0</v>
      </c>
      <c r="N28" s="137">
        <f>SUMIFS(Database!$G:$G,Database!$D:$D,"Import",Database!$E:$E,$B28,Database!$C:$C,N$1,Database!$F:$F,"Total")</f>
        <v>0</v>
      </c>
      <c r="O28" s="137">
        <f>SUMIFS(Database!$G:$G,Database!$D:$D,"Import",Database!$E:$E,$B28,Database!$C:$C,O$1,Database!$F:$F,"Total")</f>
        <v>0</v>
      </c>
      <c r="P28" s="137">
        <f>SUMIFS(Database!$G:$G,Database!$D:$D,"Import",Database!$E:$E,$B28,Database!$C:$C,P$1,Database!$F:$F,"Total")</f>
        <v>0</v>
      </c>
      <c r="Q28" s="137">
        <f>SUMIFS(Database!$G:$G,Database!$D:$D,"Import",Database!$E:$E,$B28,Database!$C:$C,Q$1,Database!$F:$F,"Total")</f>
        <v>0</v>
      </c>
      <c r="R28" s="137">
        <f>SUMIFS(Database!$G:$G,Database!$D:$D,"Import",Database!$E:$E,$B28,Database!$C:$C,R$1,Database!$F:$F,"Total")</f>
        <v>0</v>
      </c>
      <c r="S28" s="137">
        <f>SUMIFS(Database!$G:$G,Database!$D:$D,"Import",Database!$E:$E,$B28,Database!$C:$C,S$1,Database!$F:$F,"Total")</f>
        <v>0</v>
      </c>
      <c r="T28" s="137">
        <f>SUMIFS(Database!$G:$G,Database!$D:$D,"Import",Database!$E:$E,$B28,Database!$C:$C,T$1,Database!$F:$F,"Total")</f>
        <v>0</v>
      </c>
      <c r="U28" s="137">
        <f>SUMIFS(Database!$G:$G,Database!$D:$D,"Import",Database!$E:$E,$B28,Database!$C:$C,U$1,Database!$F:$F,"Total")</f>
        <v>0</v>
      </c>
      <c r="V28" s="137">
        <f>SUMIFS(Database!$G:$G,Database!$D:$D,"Import",Database!$E:$E,$B28,Database!$C:$C,V$1,Database!$F:$F,"Total")</f>
        <v>0</v>
      </c>
      <c r="W28" s="137">
        <f>SUMIFS(Database!$G:$G,Database!$D:$D,"Import",Database!$E:$E,$B28,Database!$C:$C,W$1,Database!$F:$F,"Total")</f>
        <v>0</v>
      </c>
      <c r="X28" s="137">
        <f>SUMIFS(Database!$G:$G,Database!$D:$D,"Import",Database!$E:$E,$B28,Database!$C:$C,X$1,Database!$F:$F,"Total")</f>
        <v>0</v>
      </c>
      <c r="Y28" s="137">
        <f>SUMIFS(Database!$G:$G,Database!$D:$D,"Import",Database!$E:$E,$B28,Database!$C:$C,Y$1,Database!$F:$F,"Total")</f>
        <v>0</v>
      </c>
      <c r="Z28" s="137">
        <f>SUMIFS(Database!$G:$G,Database!$D:$D,"Import",Database!$E:$E,$B28,Database!$C:$C,Z$1,Database!$F:$F,"Total")</f>
        <v>0</v>
      </c>
      <c r="AA28" s="137">
        <f>SUMIFS(Database!$G:$G,Database!$D:$D,"Import",Database!$E:$E,$B28,Database!$C:$C,AA$1,Database!$F:$F,"Total")</f>
        <v>0</v>
      </c>
      <c r="AB28" s="137">
        <f>SUMIFS(Database!$G:$G,Database!$D:$D,"Import",Database!$E:$E,$B28,Database!$C:$C,AB$1,Database!$F:$F,"Total")</f>
        <v>0</v>
      </c>
      <c r="AC28" s="137">
        <f>SUMIFS(Database!$G:$G,Database!$D:$D,"Import",Database!$E:$E,$B28,Database!$C:$C,AC$1,Database!$F:$F,"Total")</f>
        <v>0</v>
      </c>
      <c r="AD28" s="137">
        <f>SUMIFS(Database!$G:$G,Database!$D:$D,"Import",Database!$E:$E,$B28,Database!$C:$C,AD$1,Database!$F:$F,"Total")</f>
        <v>0</v>
      </c>
      <c r="AE28" s="137">
        <f>SUMIFS(Database!$G:$G,Database!$D:$D,"Import",Database!$E:$E,$B28,Database!$C:$C,AE$1,Database!$F:$F,"Total")</f>
        <v>0</v>
      </c>
      <c r="AF28" s="137">
        <f>SUMIFS(Database!$G:$G,Database!$D:$D,"Import",Database!$E:$E,$B28,Database!$C:$C,AF$1,Database!$F:$F,"Total")</f>
        <v>0</v>
      </c>
      <c r="AG28" s="137">
        <f>SUMIFS(Database!$G:$G,Database!$D:$D,"Import",Database!$E:$E,$B28,Database!$C:$C,AG$1,Database!$F:$F,"Total")</f>
        <v>0</v>
      </c>
      <c r="AH28" s="137">
        <f>SUMIFS(Database!$G:$G,Database!$D:$D,"Import",Database!$E:$E,$B28,Database!$C:$C,AH$1,Database!$F:$F,"Total")</f>
        <v>0</v>
      </c>
      <c r="AI28" s="137">
        <f>SUMIFS(Database!$G:$G,Database!$D:$D,"Import",Database!$E:$E,$B28,Database!$C:$C,AI$1,Database!$F:$F,"Total")</f>
        <v>0</v>
      </c>
      <c r="AJ28" s="137">
        <f>SUMIFS(Database!$G:$G,Database!$D:$D,"Import",Database!$E:$E,$B28,Database!$C:$C,AJ$1,Database!$F:$F,"Total")</f>
        <v>0</v>
      </c>
      <c r="AK28" s="137">
        <f>SUMIFS(Database!$G:$G,Database!$D:$D,"Import",Database!$E:$E,$B28,Database!$C:$C,AK$1,Database!$F:$F,"Total")</f>
        <v>0</v>
      </c>
      <c r="AL28" s="137">
        <f>SUMIFS(Database!$G:$G,Database!$D:$D,"Import",Database!$E:$E,$B28,Database!$C:$C,AL$1,Database!$F:$F,"Total")</f>
        <v>0</v>
      </c>
      <c r="AM28" s="137">
        <f>SUMIFS(Database!$G:$G,Database!$D:$D,"Import",Database!$E:$E,$B28,Database!$C:$C,AM$1,Database!$F:$F,"Total")</f>
        <v>0</v>
      </c>
      <c r="AN28" s="137">
        <f>SUMIFS(Database!$G:$G,Database!$D:$D,"Import",Database!$E:$E,$B28,Database!$C:$C,AN$1,Database!$F:$F,"Total")</f>
        <v>420</v>
      </c>
      <c r="AO28" s="137">
        <f>SUMIFS(Database!$G:$G,Database!$D:$D,"Import",Database!$E:$E,$B28,Database!$C:$C,AO$1,Database!$F:$F,"Total")</f>
        <v>0</v>
      </c>
      <c r="AP28" s="137">
        <f>SUMIFS(Database!$G:$G,Database!$D:$D,"Import",Database!$E:$E,$B28,Database!$C:$C,AP$1,Database!$F:$F,"Total")</f>
        <v>0</v>
      </c>
      <c r="AQ28" s="137">
        <f>SUMIFS(Database!$G:$G,Database!$D:$D,"Import",Database!$E:$E,$B28,Database!$C:$C,AQ$1,Database!$F:$F,"Total")</f>
        <v>0</v>
      </c>
      <c r="AR28" s="137">
        <f>SUMIFS(Database!$G:$G,Database!$D:$D,"Import",Database!$E:$E,$B28,Database!$C:$C,AR$1,Database!$F:$F,"Total")</f>
        <v>0</v>
      </c>
      <c r="AS28" s="137">
        <f>SUMIFS(Database!$G:$G,Database!$D:$D,"Import",Database!$E:$E,$B28,Database!$C:$C,AS$1,Database!$F:$F,"Total")</f>
        <v>0</v>
      </c>
      <c r="AT28" s="137">
        <f>SUMIFS(Database!$G:$G,Database!$D:$D,"Import",Database!$E:$E,$B28,Database!$C:$C,AT$1,Database!$F:$F,"Total")</f>
        <v>0</v>
      </c>
      <c r="AU28" s="137">
        <f>SUMIFS(Database!$G:$G,Database!$D:$D,"Import",Database!$E:$E,$B28,Database!$C:$C,AU$1,Database!$F:$F,"Total")</f>
        <v>0</v>
      </c>
      <c r="AV28" s="137">
        <f>SUMIFS(Database!$G:$G,Database!$D:$D,"Import",Database!$E:$E,$B28,Database!$C:$C,AV$1,Database!$F:$F,"Total")</f>
        <v>0</v>
      </c>
      <c r="AW28" s="137">
        <f>SUMIFS(Database!$G:$G,Database!$D:$D,"Import",Database!$E:$E,$B28,Database!$C:$C,AW$1,Database!$F:$F,"Total")</f>
        <v>0</v>
      </c>
      <c r="AX28" s="137">
        <f>SUMIFS(Database!$G:$G,Database!$D:$D,"Import",Database!$E:$E,$B28,Database!$C:$C,AX$1,Database!$F:$F,"Total")</f>
        <v>0</v>
      </c>
      <c r="AY28" s="137">
        <f>SUMIFS(Database!$G:$G,Database!$D:$D,"Import",Database!$E:$E,$B28,Database!$C:$C,AY$1,Database!$F:$F,"Total")</f>
        <v>0</v>
      </c>
      <c r="AZ28" s="137">
        <f>SUMIFS(Database!$G:$G,Database!$D:$D,"Import",Database!$E:$E,$B28,Database!$C:$C,AZ$1,Database!$F:$F,"Total")</f>
        <v>0</v>
      </c>
      <c r="BA28" s="137">
        <f>SUMIFS(Database!$G:$G,Database!$D:$D,"Import",Database!$E:$E,$B28,Database!$C:$C,BA$1,Database!$F:$F,"Total")</f>
        <v>0</v>
      </c>
      <c r="BB28" s="137">
        <f>SUMIFS(Database!$G:$G,Database!$D:$D,"Import",Database!$E:$E,$B28,Database!$C:$C,BB$1,Database!$F:$F,"Total")</f>
        <v>0</v>
      </c>
      <c r="BC28" s="137">
        <f>SUMIFS(Database!$G:$G,Database!$D:$D,"Import",Database!$E:$E,$B28,Database!$C:$C,BC$1,Database!$F:$F,"Total")</f>
        <v>0</v>
      </c>
      <c r="BD28" s="137">
        <f>SUMIFS(Database!$G:$G,Database!$D:$D,"Import",Database!$E:$E,$B28,Database!$C:$C,BD$1,Database!$F:$F,"Total")</f>
        <v>0</v>
      </c>
      <c r="BE28" s="137">
        <f>SUMIFS(Database!$G:$G,Database!$D:$D,"Import",Database!$E:$E,$B28,Database!$C:$C,BE$1,Database!$F:$F,"Total")</f>
        <v>0</v>
      </c>
      <c r="BF28" s="137">
        <f>SUMIFS(Database!$G:$G,Database!$D:$D,"Import",Database!$E:$E,$B28,Database!$C:$C,BF$1,Database!$F:$F,"Total")</f>
        <v>0</v>
      </c>
      <c r="BG28" s="137">
        <f>SUMIFS(Database!$G:$G,Database!$D:$D,"Import",Database!$E:$E,$B28,Database!$C:$C,BG$1,Database!$F:$F,"Total")</f>
        <v>0</v>
      </c>
      <c r="BH28" s="137">
        <f>SUMIFS(Database!$G:$G,Database!$D:$D,"Import",Database!$E:$E,$B28,Database!$C:$C,BH$1,Database!$F:$F,"Total")</f>
        <v>0</v>
      </c>
      <c r="BI28" s="137">
        <f>SUMIFS(Database!$G:$G,Database!$D:$D,"Import",Database!$E:$E,$B28,Database!$C:$C,BI$1,Database!$F:$F,"Total")</f>
        <v>0</v>
      </c>
      <c r="BJ28" s="137">
        <f>SUMIFS(Database!$G:$G,Database!$D:$D,"Import",Database!$E:$E,$B28,Database!$C:$C,BJ$1,Database!$F:$F,"Total")</f>
        <v>0</v>
      </c>
      <c r="BK28" s="137">
        <f>SUMIFS(Database!$G:$G,Database!$D:$D,"Import",Database!$E:$E,$B28,Database!$C:$C,BK$1,Database!$F:$F,"Total")</f>
        <v>0</v>
      </c>
      <c r="BL28" s="137">
        <f>SUMIFS(Database!$G:$G,Database!$D:$D,"Import",Database!$E:$E,$B28,Database!$C:$C,BL$1,Database!$F:$F,"Total")</f>
        <v>0</v>
      </c>
      <c r="BM28" s="137">
        <f>SUMIFS(Database!$G:$G,Database!$D:$D,"Import",Database!$E:$E,$B28,Database!$C:$C,BM$1,Database!$F:$F,"Total")</f>
        <v>0</v>
      </c>
      <c r="BN28" s="137">
        <f>SUMIFS(Database!$G:$G,Database!$D:$D,"Import",Database!$E:$E,$B28,Database!$C:$C,BN$1,Database!$F:$F,"Total")</f>
        <v>0</v>
      </c>
      <c r="BO28" s="137">
        <f>SUMIFS(Database!$G:$G,Database!$D:$D,"Import",Database!$E:$E,$B28,Database!$C:$C,BO$1,Database!$F:$F,"Total")</f>
        <v>0</v>
      </c>
      <c r="BP28" s="137">
        <f>SUMIFS(Database!$G:$G,Database!$D:$D,"Import",Database!$E:$E,$B28,Database!$C:$C,BP$1,Database!$F:$F,"Total")</f>
        <v>0</v>
      </c>
      <c r="BQ28" s="137">
        <f>SUMIFS(Database!$G:$G,Database!$D:$D,"Import",Database!$E:$E,$B28,Database!$C:$C,BQ$1,Database!$F:$F,"Total")</f>
        <v>0</v>
      </c>
      <c r="BR28" s="137">
        <f>SUMIFS(Database!$G:$G,Database!$D:$D,"Import",Database!$E:$E,$B28,Database!$C:$C,BR$1,Database!$F:$F,"Total")</f>
        <v>0</v>
      </c>
      <c r="BS28" s="137">
        <f>SUMIFS(Database!$G:$G,Database!$D:$D,"Import",Database!$E:$E,$B28,Database!$C:$C,BS$1,Database!$F:$F,"Total")</f>
        <v>0</v>
      </c>
      <c r="BT28" s="137">
        <f>SUMIFS(Database!$G:$G,Database!$D:$D,"Import",Database!$E:$E,$B28,Database!$C:$C,BT$1,Database!$F:$F,"Total")</f>
        <v>0</v>
      </c>
      <c r="BU28" s="137">
        <f>SUMIFS(Database!$G:$G,Database!$D:$D,"Import",Database!$E:$E,$B28,Database!$C:$C,BU$1,Database!$F:$F,"Total")</f>
        <v>0</v>
      </c>
      <c r="BV28" s="137">
        <f>SUMIFS(Database!$G:$G,Database!$D:$D,"Import",Database!$E:$E,$B28,Database!$C:$C,BV$1,Database!$F:$F,"Total")</f>
        <v>0</v>
      </c>
      <c r="BW28" s="137">
        <f>SUMIFS(Database!$G:$G,Database!$D:$D,"Import",Database!$E:$E,$B28,Database!$C:$C,BW$1,Database!$F:$F,"Total")</f>
        <v>0</v>
      </c>
      <c r="BX28" s="137">
        <f>SUMIFS(Database!$G:$G,Database!$D:$D,"Import",Database!$E:$E,$B28,Database!$C:$C,BX$1,Database!$F:$F,"Total")</f>
        <v>0</v>
      </c>
      <c r="BY28" s="137">
        <f>SUMIFS(Database!$G:$G,Database!$D:$D,"Import",Database!$E:$E,$B28,Database!$C:$C,BY$1,Database!$F:$F,"Total")</f>
        <v>0</v>
      </c>
      <c r="BZ28" s="137">
        <f>SUMIFS(Database!$G:$G,Database!$D:$D,"Import",Database!$E:$E,$B28,Database!$C:$C,BZ$1,Database!$F:$F,"Total")</f>
        <v>0</v>
      </c>
      <c r="CA28" s="137">
        <f>SUMIFS(Database!$G:$G,Database!$D:$D,"Import",Database!$E:$E,$B28,Database!$C:$C,CA$1,Database!$F:$F,"Total")</f>
        <v>0</v>
      </c>
      <c r="CB28" s="137">
        <f>SUMIFS(Database!$G:$G,Database!$D:$D,"Import",Database!$E:$E,$B28,Database!$C:$C,CB$1,Database!$F:$F,"Total")</f>
        <v>0</v>
      </c>
      <c r="CC28" s="137">
        <f>SUMIFS(Database!$G:$G,Database!$D:$D,"Import",Database!$E:$E,$B28,Database!$C:$C,CC$1,Database!$F:$F,"Total")</f>
        <v>0</v>
      </c>
      <c r="CD28" s="137">
        <f>SUMIFS(Database!$G:$G,Database!$D:$D,"Import",Database!$E:$E,$B28,Database!$C:$C,CD$1,Database!$F:$F,"Total")</f>
        <v>0</v>
      </c>
      <c r="CE28" s="137">
        <f>SUMIFS(Database!$G:$G,Database!$D:$D,"Import",Database!$E:$E,$B28,Database!$C:$C,CE$1,Database!$F:$F,"Total")</f>
        <v>0</v>
      </c>
      <c r="CF28" s="137">
        <f>SUMIFS(Database!$G:$G,Database!$D:$D,"Import",Database!$E:$E,$B28,Database!$C:$C,CF$1,Database!$F:$F,"Total")</f>
        <v>0</v>
      </c>
      <c r="CG28" s="137">
        <f>SUMIFS(Database!$G:$G,Database!$D:$D,"Import",Database!$E:$E,$B28,Database!$C:$C,CG$1,Database!$F:$F,"Total")</f>
        <v>0</v>
      </c>
      <c r="CH28" s="137">
        <f>SUMIFS(Database!$G:$G,Database!$D:$D,"Import",Database!$E:$E,$B28,Database!$C:$C,CH$1,Database!$F:$F,"Total")</f>
        <v>0</v>
      </c>
      <c r="CI28" s="137">
        <f>SUMIFS(Database!$G:$G,Database!$D:$D,"Import",Database!$E:$E,$B28,Database!$C:$C,CI$1,Database!$F:$F,"Total")</f>
        <v>0</v>
      </c>
      <c r="CJ28" s="137">
        <f>SUMIFS(Database!$G:$G,Database!$D:$D,"Import",Database!$E:$E,$B28,Database!$C:$C,CJ$1,Database!$F:$F,"Total")</f>
        <v>0</v>
      </c>
      <c r="CK28" s="137">
        <f>SUMIFS(Database!$G:$G,Database!$D:$D,"Import",Database!$E:$E,$B28,Database!$C:$C,CK$1,Database!$F:$F,"Total")</f>
        <v>0</v>
      </c>
      <c r="CL28" s="137">
        <f>SUMIFS(Database!$G:$G,Database!$D:$D,"Import",Database!$E:$E,$B28,Database!$C:$C,CL$1,Database!$F:$F,"Total")</f>
        <v>0</v>
      </c>
      <c r="CM28" s="137">
        <f>SUMIFS(Database!$G:$G,Database!$D:$D,"Import",Database!$E:$E,$B28,Database!$C:$C,CM$1,Database!$F:$F,"Total")</f>
        <v>0</v>
      </c>
      <c r="CN28" s="137">
        <f>SUMIFS(Database!$G:$G,Database!$D:$D,"Import",Database!$E:$E,$B28,Database!$C:$C,CN$1,Database!$F:$F,"Total")</f>
        <v>0</v>
      </c>
      <c r="CO28" s="137">
        <f>SUMIFS(Database!$G:$G,Database!$D:$D,"Import",Database!$E:$E,$B28,Database!$C:$C,CO$1,Database!$F:$F,"Total")</f>
        <v>0</v>
      </c>
      <c r="CP28" s="137">
        <f>SUMIFS(Database!$G:$G,Database!$D:$D,"Import",Database!$E:$E,$B28,Database!$C:$C,CP$1,Database!$F:$F,"Total")</f>
        <v>0</v>
      </c>
      <c r="CQ28" s="137">
        <f>SUMIFS(Database!$G:$G,Database!$D:$D,"Import",Database!$E:$E,$B28,Database!$C:$C,CQ$1,Database!$F:$F,"Total")</f>
        <v>0</v>
      </c>
      <c r="CR28" s="137">
        <f>SUMIFS(Database!$G:$G,Database!$D:$D,"Import",Database!$E:$E,$B28,Database!$C:$C,CR$1,Database!$F:$F,"Total")</f>
        <v>0</v>
      </c>
      <c r="CS28" s="137">
        <f>SUMIFS(Database!$G:$G,Database!$D:$D,"Import",Database!$E:$E,$B28,Database!$C:$C,CS$1,Database!$F:$F,"Total")</f>
        <v>0</v>
      </c>
      <c r="CT28" s="137">
        <f>SUMIFS(Database!$G:$G,Database!$D:$D,"Import",Database!$E:$E,$B28,Database!$C:$C,CT$1,Database!$F:$F,"Total")</f>
        <v>0</v>
      </c>
      <c r="CU28" s="137">
        <f>SUMIFS(Database!$G:$G,Database!$D:$D,"Import",Database!$E:$E,$B28,Database!$C:$C,CU$1,Database!$F:$F,"Total")</f>
        <v>0</v>
      </c>
    </row>
    <row r="29" spans="1:99" x14ac:dyDescent="0.25">
      <c r="A29" s="132" t="s">
        <v>484</v>
      </c>
      <c r="B29" s="133" t="s">
        <v>340</v>
      </c>
      <c r="C29" s="137">
        <f>SUMIFS(Database!$G:$G,Database!$D:$D,"Import",Database!$E:$E,$B29,Database!$C:$C,C$1,Database!$F:$F,"Total")</f>
        <v>0</v>
      </c>
      <c r="D29" s="137">
        <f>SUMIFS(Database!$G:$G,Database!$D:$D,"Import",Database!$E:$E,$B29,Database!$C:$C,D$1,Database!$F:$F,"Total")</f>
        <v>0</v>
      </c>
      <c r="E29" s="137">
        <f>SUMIFS(Database!$G:$G,Database!$D:$D,"Import",Database!$E:$E,$B29,Database!$C:$C,E$1,Database!$F:$F,"Total")</f>
        <v>0</v>
      </c>
      <c r="F29" s="137">
        <f>SUMIFS(Database!$G:$G,Database!$D:$D,"Import",Database!$E:$E,$B29,Database!$C:$C,F$1,Database!$F:$F,"Total")</f>
        <v>0</v>
      </c>
      <c r="G29" s="137">
        <f>SUMIFS(Database!$G:$G,Database!$D:$D,"Import",Database!$E:$E,$B29,Database!$C:$C,G$1,Database!$F:$F,"Total")</f>
        <v>0</v>
      </c>
      <c r="H29" s="137">
        <f>SUMIFS(Database!$G:$G,Database!$D:$D,"Import",Database!$E:$E,$B29,Database!$C:$C,H$1,Database!$F:$F,"Total")</f>
        <v>0</v>
      </c>
      <c r="I29" s="137">
        <f>SUMIFS(Database!$G:$G,Database!$D:$D,"Import",Database!$E:$E,$B29,Database!$C:$C,I$1,Database!$F:$F,"Total")</f>
        <v>0</v>
      </c>
      <c r="J29" s="137">
        <f>SUMIFS(Database!$G:$G,Database!$D:$D,"Import",Database!$E:$E,$B29,Database!$C:$C,J$1,Database!$F:$F,"Total")</f>
        <v>0</v>
      </c>
      <c r="K29" s="137">
        <f>SUMIFS(Database!$G:$G,Database!$D:$D,"Import",Database!$E:$E,$B29,Database!$C:$C,K$1,Database!$F:$F,"Total")</f>
        <v>0</v>
      </c>
      <c r="L29" s="137">
        <f>SUMIFS(Database!$G:$G,Database!$D:$D,"Import",Database!$E:$E,$B29,Database!$C:$C,L$1,Database!$F:$F,"Total")</f>
        <v>0</v>
      </c>
      <c r="M29" s="137">
        <f>SUMIFS(Database!$G:$G,Database!$D:$D,"Import",Database!$E:$E,$B29,Database!$C:$C,M$1,Database!$F:$F,"Total")</f>
        <v>0</v>
      </c>
      <c r="N29" s="137">
        <f>SUMIFS(Database!$G:$G,Database!$D:$D,"Import",Database!$E:$E,$B29,Database!$C:$C,N$1,Database!$F:$F,"Total")</f>
        <v>0</v>
      </c>
      <c r="O29" s="137">
        <f>SUMIFS(Database!$G:$G,Database!$D:$D,"Import",Database!$E:$E,$B29,Database!$C:$C,O$1,Database!$F:$F,"Total")</f>
        <v>0</v>
      </c>
      <c r="P29" s="137">
        <f>SUMIFS(Database!$G:$G,Database!$D:$D,"Import",Database!$E:$E,$B29,Database!$C:$C,P$1,Database!$F:$F,"Total")</f>
        <v>0</v>
      </c>
      <c r="Q29" s="137">
        <f>SUMIFS(Database!$G:$G,Database!$D:$D,"Import",Database!$E:$E,$B29,Database!$C:$C,Q$1,Database!$F:$F,"Total")</f>
        <v>0</v>
      </c>
      <c r="R29" s="137">
        <f>SUMIFS(Database!$G:$G,Database!$D:$D,"Import",Database!$E:$E,$B29,Database!$C:$C,R$1,Database!$F:$F,"Total")</f>
        <v>0</v>
      </c>
      <c r="S29" s="137">
        <f>SUMIFS(Database!$G:$G,Database!$D:$D,"Import",Database!$E:$E,$B29,Database!$C:$C,S$1,Database!$F:$F,"Total")</f>
        <v>0</v>
      </c>
      <c r="T29" s="137">
        <f>SUMIFS(Database!$G:$G,Database!$D:$D,"Import",Database!$E:$E,$B29,Database!$C:$C,T$1,Database!$F:$F,"Total")</f>
        <v>0</v>
      </c>
      <c r="U29" s="137">
        <f>SUMIFS(Database!$G:$G,Database!$D:$D,"Import",Database!$E:$E,$B29,Database!$C:$C,U$1,Database!$F:$F,"Total")</f>
        <v>0</v>
      </c>
      <c r="V29" s="137">
        <f>SUMIFS(Database!$G:$G,Database!$D:$D,"Import",Database!$E:$E,$B29,Database!$C:$C,V$1,Database!$F:$F,"Total")</f>
        <v>0</v>
      </c>
      <c r="W29" s="137">
        <f>SUMIFS(Database!$G:$G,Database!$D:$D,"Import",Database!$E:$E,$B29,Database!$C:$C,W$1,Database!$F:$F,"Total")</f>
        <v>0</v>
      </c>
      <c r="X29" s="137">
        <f>SUMIFS(Database!$G:$G,Database!$D:$D,"Import",Database!$E:$E,$B29,Database!$C:$C,X$1,Database!$F:$F,"Total")</f>
        <v>0</v>
      </c>
      <c r="Y29" s="137">
        <f>SUMIFS(Database!$G:$G,Database!$D:$D,"Import",Database!$E:$E,$B29,Database!$C:$C,Y$1,Database!$F:$F,"Total")</f>
        <v>0</v>
      </c>
      <c r="Z29" s="137">
        <f>SUMIFS(Database!$G:$G,Database!$D:$D,"Import",Database!$E:$E,$B29,Database!$C:$C,Z$1,Database!$F:$F,"Total")</f>
        <v>0</v>
      </c>
      <c r="AA29" s="137">
        <f>SUMIFS(Database!$G:$G,Database!$D:$D,"Import",Database!$E:$E,$B29,Database!$C:$C,AA$1,Database!$F:$F,"Total")</f>
        <v>0</v>
      </c>
      <c r="AB29" s="137">
        <f>SUMIFS(Database!$G:$G,Database!$D:$D,"Import",Database!$E:$E,$B29,Database!$C:$C,AB$1,Database!$F:$F,"Total")</f>
        <v>0</v>
      </c>
      <c r="AC29" s="137">
        <f>SUMIFS(Database!$G:$G,Database!$D:$D,"Import",Database!$E:$E,$B29,Database!$C:$C,AC$1,Database!$F:$F,"Total")</f>
        <v>0</v>
      </c>
      <c r="AD29" s="137">
        <f>SUMIFS(Database!$G:$G,Database!$D:$D,"Import",Database!$E:$E,$B29,Database!$C:$C,AD$1,Database!$F:$F,"Total")</f>
        <v>0</v>
      </c>
      <c r="AE29" s="137">
        <f>SUMIFS(Database!$G:$G,Database!$D:$D,"Import",Database!$E:$E,$B29,Database!$C:$C,AE$1,Database!$F:$F,"Total")</f>
        <v>0</v>
      </c>
      <c r="AF29" s="137">
        <f>SUMIFS(Database!$G:$G,Database!$D:$D,"Import",Database!$E:$E,$B29,Database!$C:$C,AF$1,Database!$F:$F,"Total")</f>
        <v>0</v>
      </c>
      <c r="AG29" s="137">
        <f>SUMIFS(Database!$G:$G,Database!$D:$D,"Import",Database!$E:$E,$B29,Database!$C:$C,AG$1,Database!$F:$F,"Total")</f>
        <v>0</v>
      </c>
      <c r="AH29" s="137">
        <f>SUMIFS(Database!$G:$G,Database!$D:$D,"Import",Database!$E:$E,$B29,Database!$C:$C,AH$1,Database!$F:$F,"Total")</f>
        <v>0</v>
      </c>
      <c r="AI29" s="137">
        <f>SUMIFS(Database!$G:$G,Database!$D:$D,"Import",Database!$E:$E,$B29,Database!$C:$C,AI$1,Database!$F:$F,"Total")</f>
        <v>0</v>
      </c>
      <c r="AJ29" s="137">
        <f>SUMIFS(Database!$G:$G,Database!$D:$D,"Import",Database!$E:$E,$B29,Database!$C:$C,AJ$1,Database!$F:$F,"Total")</f>
        <v>0</v>
      </c>
      <c r="AK29" s="137">
        <f>SUMIFS(Database!$G:$G,Database!$D:$D,"Import",Database!$E:$E,$B29,Database!$C:$C,AK$1,Database!$F:$F,"Total")</f>
        <v>0</v>
      </c>
      <c r="AL29" s="137">
        <f>SUMIFS(Database!$G:$G,Database!$D:$D,"Import",Database!$E:$E,$B29,Database!$C:$C,AL$1,Database!$F:$F,"Total")</f>
        <v>0</v>
      </c>
      <c r="AM29" s="137">
        <f>SUMIFS(Database!$G:$G,Database!$D:$D,"Import",Database!$E:$E,$B29,Database!$C:$C,AM$1,Database!$F:$F,"Total")</f>
        <v>0</v>
      </c>
      <c r="AN29" s="137">
        <f>SUMIFS(Database!$G:$G,Database!$D:$D,"Import",Database!$E:$E,$B29,Database!$C:$C,AN$1,Database!$F:$F,"Total")</f>
        <v>90109</v>
      </c>
      <c r="AO29" s="137">
        <f>SUMIFS(Database!$G:$G,Database!$D:$D,"Import",Database!$E:$E,$B29,Database!$C:$C,AO$1,Database!$F:$F,"Total")</f>
        <v>0</v>
      </c>
      <c r="AP29" s="137">
        <f>SUMIFS(Database!$G:$G,Database!$D:$D,"Import",Database!$E:$E,$B29,Database!$C:$C,AP$1,Database!$F:$F,"Total")</f>
        <v>0</v>
      </c>
      <c r="AQ29" s="137">
        <f>SUMIFS(Database!$G:$G,Database!$D:$D,"Import",Database!$E:$E,$B29,Database!$C:$C,AQ$1,Database!$F:$F,"Total")</f>
        <v>0</v>
      </c>
      <c r="AR29" s="137">
        <f>SUMIFS(Database!$G:$G,Database!$D:$D,"Import",Database!$E:$E,$B29,Database!$C:$C,AR$1,Database!$F:$F,"Total")</f>
        <v>0</v>
      </c>
      <c r="AS29" s="137">
        <f>SUMIFS(Database!$G:$G,Database!$D:$D,"Import",Database!$E:$E,$B29,Database!$C:$C,AS$1,Database!$F:$F,"Total")</f>
        <v>0</v>
      </c>
      <c r="AT29" s="137">
        <f>SUMIFS(Database!$G:$G,Database!$D:$D,"Import",Database!$E:$E,$B29,Database!$C:$C,AT$1,Database!$F:$F,"Total")</f>
        <v>0</v>
      </c>
      <c r="AU29" s="137">
        <f>SUMIFS(Database!$G:$G,Database!$D:$D,"Import",Database!$E:$E,$B29,Database!$C:$C,AU$1,Database!$F:$F,"Total")</f>
        <v>0</v>
      </c>
      <c r="AV29" s="137">
        <f>SUMIFS(Database!$G:$G,Database!$D:$D,"Import",Database!$E:$E,$B29,Database!$C:$C,AV$1,Database!$F:$F,"Total")</f>
        <v>0</v>
      </c>
      <c r="AW29" s="137">
        <f>SUMIFS(Database!$G:$G,Database!$D:$D,"Import",Database!$E:$E,$B29,Database!$C:$C,AW$1,Database!$F:$F,"Total")</f>
        <v>0</v>
      </c>
      <c r="AX29" s="137">
        <f>SUMIFS(Database!$G:$G,Database!$D:$D,"Import",Database!$E:$E,$B29,Database!$C:$C,AX$1,Database!$F:$F,"Total")</f>
        <v>0</v>
      </c>
      <c r="AY29" s="137">
        <f>SUMIFS(Database!$G:$G,Database!$D:$D,"Import",Database!$E:$E,$B29,Database!$C:$C,AY$1,Database!$F:$F,"Total")</f>
        <v>0</v>
      </c>
      <c r="AZ29" s="137">
        <f>SUMIFS(Database!$G:$G,Database!$D:$D,"Import",Database!$E:$E,$B29,Database!$C:$C,AZ$1,Database!$F:$F,"Total")</f>
        <v>0</v>
      </c>
      <c r="BA29" s="137">
        <f>SUMIFS(Database!$G:$G,Database!$D:$D,"Import",Database!$E:$E,$B29,Database!$C:$C,BA$1,Database!$F:$F,"Total")</f>
        <v>0</v>
      </c>
      <c r="BB29" s="137">
        <f>SUMIFS(Database!$G:$G,Database!$D:$D,"Import",Database!$E:$E,$B29,Database!$C:$C,BB$1,Database!$F:$F,"Total")</f>
        <v>0</v>
      </c>
      <c r="BC29" s="137">
        <f>SUMIFS(Database!$G:$G,Database!$D:$D,"Import",Database!$E:$E,$B29,Database!$C:$C,BC$1,Database!$F:$F,"Total")</f>
        <v>0</v>
      </c>
      <c r="BD29" s="137">
        <f>SUMIFS(Database!$G:$G,Database!$D:$D,"Import",Database!$E:$E,$B29,Database!$C:$C,BD$1,Database!$F:$F,"Total")</f>
        <v>0</v>
      </c>
      <c r="BE29" s="137">
        <f>SUMIFS(Database!$G:$G,Database!$D:$D,"Import",Database!$E:$E,$B29,Database!$C:$C,BE$1,Database!$F:$F,"Total")</f>
        <v>0</v>
      </c>
      <c r="BF29" s="137">
        <f>SUMIFS(Database!$G:$G,Database!$D:$D,"Import",Database!$E:$E,$B29,Database!$C:$C,BF$1,Database!$F:$F,"Total")</f>
        <v>0</v>
      </c>
      <c r="BG29" s="137">
        <f>SUMIFS(Database!$G:$G,Database!$D:$D,"Import",Database!$E:$E,$B29,Database!$C:$C,BG$1,Database!$F:$F,"Total")</f>
        <v>0</v>
      </c>
      <c r="BH29" s="137">
        <f>SUMIFS(Database!$G:$G,Database!$D:$D,"Import",Database!$E:$E,$B29,Database!$C:$C,BH$1,Database!$F:$F,"Total")</f>
        <v>0</v>
      </c>
      <c r="BI29" s="137">
        <f>SUMIFS(Database!$G:$G,Database!$D:$D,"Import",Database!$E:$E,$B29,Database!$C:$C,BI$1,Database!$F:$F,"Total")</f>
        <v>0</v>
      </c>
      <c r="BJ29" s="137">
        <f>SUMIFS(Database!$G:$G,Database!$D:$D,"Import",Database!$E:$E,$B29,Database!$C:$C,BJ$1,Database!$F:$F,"Total")</f>
        <v>0</v>
      </c>
      <c r="BK29" s="137">
        <f>SUMIFS(Database!$G:$G,Database!$D:$D,"Import",Database!$E:$E,$B29,Database!$C:$C,BK$1,Database!$F:$F,"Total")</f>
        <v>0</v>
      </c>
      <c r="BL29" s="137">
        <f>SUMIFS(Database!$G:$G,Database!$D:$D,"Import",Database!$E:$E,$B29,Database!$C:$C,BL$1,Database!$F:$F,"Total")</f>
        <v>0</v>
      </c>
      <c r="BM29" s="137">
        <f>SUMIFS(Database!$G:$G,Database!$D:$D,"Import",Database!$E:$E,$B29,Database!$C:$C,BM$1,Database!$F:$F,"Total")</f>
        <v>0</v>
      </c>
      <c r="BN29" s="137">
        <f>SUMIFS(Database!$G:$G,Database!$D:$D,"Import",Database!$E:$E,$B29,Database!$C:$C,BN$1,Database!$F:$F,"Total")</f>
        <v>0</v>
      </c>
      <c r="BO29" s="137">
        <f>SUMIFS(Database!$G:$G,Database!$D:$D,"Import",Database!$E:$E,$B29,Database!$C:$C,BO$1,Database!$F:$F,"Total")</f>
        <v>0</v>
      </c>
      <c r="BP29" s="137">
        <f>SUMIFS(Database!$G:$G,Database!$D:$D,"Import",Database!$E:$E,$B29,Database!$C:$C,BP$1,Database!$F:$F,"Total")</f>
        <v>0</v>
      </c>
      <c r="BQ29" s="137">
        <f>SUMIFS(Database!$G:$G,Database!$D:$D,"Import",Database!$E:$E,$B29,Database!$C:$C,BQ$1,Database!$F:$F,"Total")</f>
        <v>0</v>
      </c>
      <c r="BR29" s="137">
        <f>SUMIFS(Database!$G:$G,Database!$D:$D,"Import",Database!$E:$E,$B29,Database!$C:$C,BR$1,Database!$F:$F,"Total")</f>
        <v>0</v>
      </c>
      <c r="BS29" s="137">
        <f>SUMIFS(Database!$G:$G,Database!$D:$D,"Import",Database!$E:$E,$B29,Database!$C:$C,BS$1,Database!$F:$F,"Total")</f>
        <v>0</v>
      </c>
      <c r="BT29" s="137">
        <f>SUMIFS(Database!$G:$G,Database!$D:$D,"Import",Database!$E:$E,$B29,Database!$C:$C,BT$1,Database!$F:$F,"Total")</f>
        <v>0</v>
      </c>
      <c r="BU29" s="137">
        <f>SUMIFS(Database!$G:$G,Database!$D:$D,"Import",Database!$E:$E,$B29,Database!$C:$C,BU$1,Database!$F:$F,"Total")</f>
        <v>0</v>
      </c>
      <c r="BV29" s="137">
        <f>SUMIFS(Database!$G:$G,Database!$D:$D,"Import",Database!$E:$E,$B29,Database!$C:$C,BV$1,Database!$F:$F,"Total")</f>
        <v>0</v>
      </c>
      <c r="BW29" s="137">
        <f>SUMIFS(Database!$G:$G,Database!$D:$D,"Import",Database!$E:$E,$B29,Database!$C:$C,BW$1,Database!$F:$F,"Total")</f>
        <v>0</v>
      </c>
      <c r="BX29" s="137">
        <f>SUMIFS(Database!$G:$G,Database!$D:$D,"Import",Database!$E:$E,$B29,Database!$C:$C,BX$1,Database!$F:$F,"Total")</f>
        <v>0</v>
      </c>
      <c r="BY29" s="137">
        <f>SUMIFS(Database!$G:$G,Database!$D:$D,"Import",Database!$E:$E,$B29,Database!$C:$C,BY$1,Database!$F:$F,"Total")</f>
        <v>0</v>
      </c>
      <c r="BZ29" s="137">
        <f>SUMIFS(Database!$G:$G,Database!$D:$D,"Import",Database!$E:$E,$B29,Database!$C:$C,BZ$1,Database!$F:$F,"Total")</f>
        <v>0</v>
      </c>
      <c r="CA29" s="137">
        <f>SUMIFS(Database!$G:$G,Database!$D:$D,"Import",Database!$E:$E,$B29,Database!$C:$C,CA$1,Database!$F:$F,"Total")</f>
        <v>0</v>
      </c>
      <c r="CB29" s="137">
        <f>SUMIFS(Database!$G:$G,Database!$D:$D,"Import",Database!$E:$E,$B29,Database!$C:$C,CB$1,Database!$F:$F,"Total")</f>
        <v>0</v>
      </c>
      <c r="CC29" s="137">
        <f>SUMIFS(Database!$G:$G,Database!$D:$D,"Import",Database!$E:$E,$B29,Database!$C:$C,CC$1,Database!$F:$F,"Total")</f>
        <v>0</v>
      </c>
      <c r="CD29" s="137">
        <f>SUMIFS(Database!$G:$G,Database!$D:$D,"Import",Database!$E:$E,$B29,Database!$C:$C,CD$1,Database!$F:$F,"Total")</f>
        <v>0</v>
      </c>
      <c r="CE29" s="137">
        <f>SUMIFS(Database!$G:$G,Database!$D:$D,"Import",Database!$E:$E,$B29,Database!$C:$C,CE$1,Database!$F:$F,"Total")</f>
        <v>0</v>
      </c>
      <c r="CF29" s="137">
        <f>SUMIFS(Database!$G:$G,Database!$D:$D,"Import",Database!$E:$E,$B29,Database!$C:$C,CF$1,Database!$F:$F,"Total")</f>
        <v>0</v>
      </c>
      <c r="CG29" s="137">
        <f>SUMIFS(Database!$G:$G,Database!$D:$D,"Import",Database!$E:$E,$B29,Database!$C:$C,CG$1,Database!$F:$F,"Total")</f>
        <v>0</v>
      </c>
      <c r="CH29" s="137">
        <f>SUMIFS(Database!$G:$G,Database!$D:$D,"Import",Database!$E:$E,$B29,Database!$C:$C,CH$1,Database!$F:$F,"Total")</f>
        <v>0</v>
      </c>
      <c r="CI29" s="137">
        <f>SUMIFS(Database!$G:$G,Database!$D:$D,"Import",Database!$E:$E,$B29,Database!$C:$C,CI$1,Database!$F:$F,"Total")</f>
        <v>0</v>
      </c>
      <c r="CJ29" s="137">
        <f>SUMIFS(Database!$G:$G,Database!$D:$D,"Import",Database!$E:$E,$B29,Database!$C:$C,CJ$1,Database!$F:$F,"Total")</f>
        <v>0</v>
      </c>
      <c r="CK29" s="137">
        <f>SUMIFS(Database!$G:$G,Database!$D:$D,"Import",Database!$E:$E,$B29,Database!$C:$C,CK$1,Database!$F:$F,"Total")</f>
        <v>0</v>
      </c>
      <c r="CL29" s="137">
        <f>SUMIFS(Database!$G:$G,Database!$D:$D,"Import",Database!$E:$E,$B29,Database!$C:$C,CL$1,Database!$F:$F,"Total")</f>
        <v>0</v>
      </c>
      <c r="CM29" s="137">
        <f>SUMIFS(Database!$G:$G,Database!$D:$D,"Import",Database!$E:$E,$B29,Database!$C:$C,CM$1,Database!$F:$F,"Total")</f>
        <v>0</v>
      </c>
      <c r="CN29" s="137">
        <f>SUMIFS(Database!$G:$G,Database!$D:$D,"Import",Database!$E:$E,$B29,Database!$C:$C,CN$1,Database!$F:$F,"Total")</f>
        <v>0</v>
      </c>
      <c r="CO29" s="137">
        <f>SUMIFS(Database!$G:$G,Database!$D:$D,"Import",Database!$E:$E,$B29,Database!$C:$C,CO$1,Database!$F:$F,"Total")</f>
        <v>0</v>
      </c>
      <c r="CP29" s="137">
        <f>SUMIFS(Database!$G:$G,Database!$D:$D,"Import",Database!$E:$E,$B29,Database!$C:$C,CP$1,Database!$F:$F,"Total")</f>
        <v>0</v>
      </c>
      <c r="CQ29" s="137">
        <f>SUMIFS(Database!$G:$G,Database!$D:$D,"Import",Database!$E:$E,$B29,Database!$C:$C,CQ$1,Database!$F:$F,"Total")</f>
        <v>0</v>
      </c>
      <c r="CR29" s="137">
        <f>SUMIFS(Database!$G:$G,Database!$D:$D,"Import",Database!$E:$E,$B29,Database!$C:$C,CR$1,Database!$F:$F,"Total")</f>
        <v>0</v>
      </c>
      <c r="CS29" s="137">
        <f>SUMIFS(Database!$G:$G,Database!$D:$D,"Import",Database!$E:$E,$B29,Database!$C:$C,CS$1,Database!$F:$F,"Total")</f>
        <v>0</v>
      </c>
      <c r="CT29" s="137">
        <f>SUMIFS(Database!$G:$G,Database!$D:$D,"Import",Database!$E:$E,$B29,Database!$C:$C,CT$1,Database!$F:$F,"Total")</f>
        <v>0</v>
      </c>
      <c r="CU29" s="137">
        <f>SUMIFS(Database!$G:$G,Database!$D:$D,"Import",Database!$E:$E,$B29,Database!$C:$C,CU$1,Database!$F:$F,"Total")</f>
        <v>0</v>
      </c>
    </row>
    <row r="30" spans="1:99" x14ac:dyDescent="0.25">
      <c r="A30" s="132" t="s">
        <v>484</v>
      </c>
      <c r="B30" s="133" t="s">
        <v>351</v>
      </c>
      <c r="C30" s="137">
        <f>SUMIFS(Database!$G:$G,Database!$D:$D,"Import",Database!$E:$E,$B30,Database!$C:$C,C$1,Database!$F:$F,"Total")</f>
        <v>0</v>
      </c>
      <c r="D30" s="137">
        <f>SUMIFS(Database!$G:$G,Database!$D:$D,"Import",Database!$E:$E,$B30,Database!$C:$C,D$1,Database!$F:$F,"Total")</f>
        <v>0</v>
      </c>
      <c r="E30" s="137">
        <f>SUMIFS(Database!$G:$G,Database!$D:$D,"Import",Database!$E:$E,$B30,Database!$C:$C,E$1,Database!$F:$F,"Total")</f>
        <v>0</v>
      </c>
      <c r="F30" s="137">
        <f>SUMIFS(Database!$G:$G,Database!$D:$D,"Import",Database!$E:$E,$B30,Database!$C:$C,F$1,Database!$F:$F,"Total")</f>
        <v>0</v>
      </c>
      <c r="G30" s="137">
        <f>SUMIFS(Database!$G:$G,Database!$D:$D,"Import",Database!$E:$E,$B30,Database!$C:$C,G$1,Database!$F:$F,"Total")</f>
        <v>0</v>
      </c>
      <c r="H30" s="137">
        <f>SUMIFS(Database!$G:$G,Database!$D:$D,"Import",Database!$E:$E,$B30,Database!$C:$C,H$1,Database!$F:$F,"Total")</f>
        <v>0</v>
      </c>
      <c r="I30" s="137">
        <f>SUMIFS(Database!$G:$G,Database!$D:$D,"Import",Database!$E:$E,$B30,Database!$C:$C,I$1,Database!$F:$F,"Total")</f>
        <v>0</v>
      </c>
      <c r="J30" s="137">
        <f>SUMIFS(Database!$G:$G,Database!$D:$D,"Import",Database!$E:$E,$B30,Database!$C:$C,J$1,Database!$F:$F,"Total")</f>
        <v>0</v>
      </c>
      <c r="K30" s="137">
        <f>SUMIFS(Database!$G:$G,Database!$D:$D,"Import",Database!$E:$E,$B30,Database!$C:$C,K$1,Database!$F:$F,"Total")</f>
        <v>0</v>
      </c>
      <c r="L30" s="137">
        <f>SUMIFS(Database!$G:$G,Database!$D:$D,"Import",Database!$E:$E,$B30,Database!$C:$C,L$1,Database!$F:$F,"Total")</f>
        <v>0</v>
      </c>
      <c r="M30" s="137">
        <f>SUMIFS(Database!$G:$G,Database!$D:$D,"Import",Database!$E:$E,$B30,Database!$C:$C,M$1,Database!$F:$F,"Total")</f>
        <v>0</v>
      </c>
      <c r="N30" s="137">
        <f>SUMIFS(Database!$G:$G,Database!$D:$D,"Import",Database!$E:$E,$B30,Database!$C:$C,N$1,Database!$F:$F,"Total")</f>
        <v>0</v>
      </c>
      <c r="O30" s="137">
        <f>SUMIFS(Database!$G:$G,Database!$D:$D,"Import",Database!$E:$E,$B30,Database!$C:$C,O$1,Database!$F:$F,"Total")</f>
        <v>0</v>
      </c>
      <c r="P30" s="137">
        <f>SUMIFS(Database!$G:$G,Database!$D:$D,"Import",Database!$E:$E,$B30,Database!$C:$C,P$1,Database!$F:$F,"Total")</f>
        <v>0</v>
      </c>
      <c r="Q30" s="137">
        <f>SUMIFS(Database!$G:$G,Database!$D:$D,"Import",Database!$E:$E,$B30,Database!$C:$C,Q$1,Database!$F:$F,"Total")</f>
        <v>0</v>
      </c>
      <c r="R30" s="137">
        <f>SUMIFS(Database!$G:$G,Database!$D:$D,"Import",Database!$E:$E,$B30,Database!$C:$C,R$1,Database!$F:$F,"Total")</f>
        <v>0</v>
      </c>
      <c r="S30" s="137">
        <f>SUMIFS(Database!$G:$G,Database!$D:$D,"Import",Database!$E:$E,$B30,Database!$C:$C,S$1,Database!$F:$F,"Total")</f>
        <v>0</v>
      </c>
      <c r="T30" s="137">
        <f>SUMIFS(Database!$G:$G,Database!$D:$D,"Import",Database!$E:$E,$B30,Database!$C:$C,T$1,Database!$F:$F,"Total")</f>
        <v>0</v>
      </c>
      <c r="U30" s="137">
        <f>SUMIFS(Database!$G:$G,Database!$D:$D,"Import",Database!$E:$E,$B30,Database!$C:$C,U$1,Database!$F:$F,"Total")</f>
        <v>0</v>
      </c>
      <c r="V30" s="137">
        <f>SUMIFS(Database!$G:$G,Database!$D:$D,"Import",Database!$E:$E,$B30,Database!$C:$C,V$1,Database!$F:$F,"Total")</f>
        <v>0</v>
      </c>
      <c r="W30" s="137">
        <f>SUMIFS(Database!$G:$G,Database!$D:$D,"Import",Database!$E:$E,$B30,Database!$C:$C,W$1,Database!$F:$F,"Total")</f>
        <v>0</v>
      </c>
      <c r="X30" s="137">
        <f>SUMIFS(Database!$G:$G,Database!$D:$D,"Import",Database!$E:$E,$B30,Database!$C:$C,X$1,Database!$F:$F,"Total")</f>
        <v>0</v>
      </c>
      <c r="Y30" s="137">
        <f>SUMIFS(Database!$G:$G,Database!$D:$D,"Import",Database!$E:$E,$B30,Database!$C:$C,Y$1,Database!$F:$F,"Total")</f>
        <v>0</v>
      </c>
      <c r="Z30" s="137">
        <f>SUMIFS(Database!$G:$G,Database!$D:$D,"Import",Database!$E:$E,$B30,Database!$C:$C,Z$1,Database!$F:$F,"Total")</f>
        <v>0</v>
      </c>
      <c r="AA30" s="137">
        <f>SUMIFS(Database!$G:$G,Database!$D:$D,"Import",Database!$E:$E,$B30,Database!$C:$C,AA$1,Database!$F:$F,"Total")</f>
        <v>0</v>
      </c>
      <c r="AB30" s="137">
        <f>SUMIFS(Database!$G:$G,Database!$D:$D,"Import",Database!$E:$E,$B30,Database!$C:$C,AB$1,Database!$F:$F,"Total")</f>
        <v>0</v>
      </c>
      <c r="AC30" s="137">
        <f>SUMIFS(Database!$G:$G,Database!$D:$D,"Import",Database!$E:$E,$B30,Database!$C:$C,AC$1,Database!$F:$F,"Total")</f>
        <v>0</v>
      </c>
      <c r="AD30" s="137">
        <f>SUMIFS(Database!$G:$G,Database!$D:$D,"Import",Database!$E:$E,$B30,Database!$C:$C,AD$1,Database!$F:$F,"Total")</f>
        <v>0</v>
      </c>
      <c r="AE30" s="137">
        <f>SUMIFS(Database!$G:$G,Database!$D:$D,"Import",Database!$E:$E,$B30,Database!$C:$C,AE$1,Database!$F:$F,"Total")</f>
        <v>0</v>
      </c>
      <c r="AF30" s="137">
        <f>SUMIFS(Database!$G:$G,Database!$D:$D,"Import",Database!$E:$E,$B30,Database!$C:$C,AF$1,Database!$F:$F,"Total")</f>
        <v>0</v>
      </c>
      <c r="AG30" s="137">
        <f>SUMIFS(Database!$G:$G,Database!$D:$D,"Import",Database!$E:$E,$B30,Database!$C:$C,AG$1,Database!$F:$F,"Total")</f>
        <v>0</v>
      </c>
      <c r="AH30" s="137">
        <f>SUMIFS(Database!$G:$G,Database!$D:$D,"Import",Database!$E:$E,$B30,Database!$C:$C,AH$1,Database!$F:$F,"Total")</f>
        <v>0</v>
      </c>
      <c r="AI30" s="137">
        <f>SUMIFS(Database!$G:$G,Database!$D:$D,"Import",Database!$E:$E,$B30,Database!$C:$C,AI$1,Database!$F:$F,"Total")</f>
        <v>0</v>
      </c>
      <c r="AJ30" s="137">
        <f>SUMIFS(Database!$G:$G,Database!$D:$D,"Import",Database!$E:$E,$B30,Database!$C:$C,AJ$1,Database!$F:$F,"Total")</f>
        <v>0</v>
      </c>
      <c r="AK30" s="137">
        <f>SUMIFS(Database!$G:$G,Database!$D:$D,"Import",Database!$E:$E,$B30,Database!$C:$C,AK$1,Database!$F:$F,"Total")</f>
        <v>0</v>
      </c>
      <c r="AL30" s="137">
        <f>SUMIFS(Database!$G:$G,Database!$D:$D,"Import",Database!$E:$E,$B30,Database!$C:$C,AL$1,Database!$F:$F,"Total")</f>
        <v>0</v>
      </c>
      <c r="AM30" s="137">
        <f>SUMIFS(Database!$G:$G,Database!$D:$D,"Import",Database!$E:$E,$B30,Database!$C:$C,AM$1,Database!$F:$F,"Total")</f>
        <v>0</v>
      </c>
      <c r="AN30" s="137">
        <f>SUMIFS(Database!$G:$G,Database!$D:$D,"Import",Database!$E:$E,$B30,Database!$C:$C,AN$1,Database!$F:$F,"Total")</f>
        <v>0</v>
      </c>
      <c r="AO30" s="137">
        <f>SUMIFS(Database!$G:$G,Database!$D:$D,"Import",Database!$E:$E,$B30,Database!$C:$C,AO$1,Database!$F:$F,"Total")</f>
        <v>1569</v>
      </c>
      <c r="AP30" s="137">
        <f>SUMIFS(Database!$G:$G,Database!$D:$D,"Import",Database!$E:$E,$B30,Database!$C:$C,AP$1,Database!$F:$F,"Total")</f>
        <v>29</v>
      </c>
      <c r="AQ30" s="137">
        <f>SUMIFS(Database!$G:$G,Database!$D:$D,"Import",Database!$E:$E,$B30,Database!$C:$C,AQ$1,Database!$F:$F,"Total")</f>
        <v>1084</v>
      </c>
      <c r="AR30" s="137">
        <f>SUMIFS(Database!$G:$G,Database!$D:$D,"Import",Database!$E:$E,$B30,Database!$C:$C,AR$1,Database!$F:$F,"Total")</f>
        <v>719</v>
      </c>
      <c r="AS30" s="137">
        <f>SUMIFS(Database!$G:$G,Database!$D:$D,"Import",Database!$E:$E,$B30,Database!$C:$C,AS$1,Database!$F:$F,"Total")</f>
        <v>2114</v>
      </c>
      <c r="AT30" s="137">
        <f>SUMIFS(Database!$G:$G,Database!$D:$D,"Import",Database!$E:$E,$B30,Database!$C:$C,AT$1,Database!$F:$F,"Total")</f>
        <v>473</v>
      </c>
      <c r="AU30" s="137">
        <f>SUMIFS(Database!$G:$G,Database!$D:$D,"Import",Database!$E:$E,$B30,Database!$C:$C,AU$1,Database!$F:$F,"Total")</f>
        <v>0</v>
      </c>
      <c r="AV30" s="137">
        <f>SUMIFS(Database!$G:$G,Database!$D:$D,"Import",Database!$E:$E,$B30,Database!$C:$C,AV$1,Database!$F:$F,"Total")</f>
        <v>0</v>
      </c>
      <c r="AW30" s="137">
        <f>SUMIFS(Database!$G:$G,Database!$D:$D,"Import",Database!$E:$E,$B30,Database!$C:$C,AW$1,Database!$F:$F,"Total")</f>
        <v>0</v>
      </c>
      <c r="AX30" s="137">
        <f>SUMIFS(Database!$G:$G,Database!$D:$D,"Import",Database!$E:$E,$B30,Database!$C:$C,AX$1,Database!$F:$F,"Total")</f>
        <v>0</v>
      </c>
      <c r="AY30" s="137">
        <f>SUMIFS(Database!$G:$G,Database!$D:$D,"Import",Database!$E:$E,$B30,Database!$C:$C,AY$1,Database!$F:$F,"Total")</f>
        <v>0</v>
      </c>
      <c r="AZ30" s="137">
        <f>SUMIFS(Database!$G:$G,Database!$D:$D,"Import",Database!$E:$E,$B30,Database!$C:$C,AZ$1,Database!$F:$F,"Total")</f>
        <v>0</v>
      </c>
      <c r="BA30" s="137">
        <f>SUMIFS(Database!$G:$G,Database!$D:$D,"Import",Database!$E:$E,$B30,Database!$C:$C,BA$1,Database!$F:$F,"Total")</f>
        <v>0</v>
      </c>
      <c r="BB30" s="137">
        <f>SUMIFS(Database!$G:$G,Database!$D:$D,"Import",Database!$E:$E,$B30,Database!$C:$C,BB$1,Database!$F:$F,"Total")</f>
        <v>0</v>
      </c>
      <c r="BC30" s="137">
        <f>SUMIFS(Database!$G:$G,Database!$D:$D,"Import",Database!$E:$E,$B30,Database!$C:$C,BC$1,Database!$F:$F,"Total")</f>
        <v>0</v>
      </c>
      <c r="BD30" s="137">
        <f>SUMIFS(Database!$G:$G,Database!$D:$D,"Import",Database!$E:$E,$B30,Database!$C:$C,BD$1,Database!$F:$F,"Total")</f>
        <v>0</v>
      </c>
      <c r="BE30" s="137">
        <f>SUMIFS(Database!$G:$G,Database!$D:$D,"Import",Database!$E:$E,$B30,Database!$C:$C,BE$1,Database!$F:$F,"Total")</f>
        <v>0</v>
      </c>
      <c r="BF30" s="137">
        <f>SUMIFS(Database!$G:$G,Database!$D:$D,"Import",Database!$E:$E,$B30,Database!$C:$C,BF$1,Database!$F:$F,"Total")</f>
        <v>0</v>
      </c>
      <c r="BG30" s="137">
        <f>SUMIFS(Database!$G:$G,Database!$D:$D,"Import",Database!$E:$E,$B30,Database!$C:$C,BG$1,Database!$F:$F,"Total")</f>
        <v>0</v>
      </c>
      <c r="BH30" s="137">
        <f>SUMIFS(Database!$G:$G,Database!$D:$D,"Import",Database!$E:$E,$B30,Database!$C:$C,BH$1,Database!$F:$F,"Total")</f>
        <v>0</v>
      </c>
      <c r="BI30" s="137">
        <f>SUMIFS(Database!$G:$G,Database!$D:$D,"Import",Database!$E:$E,$B30,Database!$C:$C,BI$1,Database!$F:$F,"Total")</f>
        <v>0</v>
      </c>
      <c r="BJ30" s="137">
        <f>SUMIFS(Database!$G:$G,Database!$D:$D,"Import",Database!$E:$E,$B30,Database!$C:$C,BJ$1,Database!$F:$F,"Total")</f>
        <v>0</v>
      </c>
      <c r="BK30" s="137">
        <f>SUMIFS(Database!$G:$G,Database!$D:$D,"Import",Database!$E:$E,$B30,Database!$C:$C,BK$1,Database!$F:$F,"Total")</f>
        <v>0</v>
      </c>
      <c r="BL30" s="137">
        <f>SUMIFS(Database!$G:$G,Database!$D:$D,"Import",Database!$E:$E,$B30,Database!$C:$C,BL$1,Database!$F:$F,"Total")</f>
        <v>0</v>
      </c>
      <c r="BM30" s="137">
        <f>SUMIFS(Database!$G:$G,Database!$D:$D,"Import",Database!$E:$E,$B30,Database!$C:$C,BM$1,Database!$F:$F,"Total")</f>
        <v>0</v>
      </c>
      <c r="BN30" s="137">
        <f>SUMIFS(Database!$G:$G,Database!$D:$D,"Import",Database!$E:$E,$B30,Database!$C:$C,BN$1,Database!$F:$F,"Total")</f>
        <v>0</v>
      </c>
      <c r="BO30" s="137">
        <f>SUMIFS(Database!$G:$G,Database!$D:$D,"Import",Database!$E:$E,$B30,Database!$C:$C,BO$1,Database!$F:$F,"Total")</f>
        <v>0</v>
      </c>
      <c r="BP30" s="137">
        <f>SUMIFS(Database!$G:$G,Database!$D:$D,"Import",Database!$E:$E,$B30,Database!$C:$C,BP$1,Database!$F:$F,"Total")</f>
        <v>0</v>
      </c>
      <c r="BQ30" s="137">
        <f>SUMIFS(Database!$G:$G,Database!$D:$D,"Import",Database!$E:$E,$B30,Database!$C:$C,BQ$1,Database!$F:$F,"Total")</f>
        <v>0</v>
      </c>
      <c r="BR30" s="137">
        <f>SUMIFS(Database!$G:$G,Database!$D:$D,"Import",Database!$E:$E,$B30,Database!$C:$C,BR$1,Database!$F:$F,"Total")</f>
        <v>0</v>
      </c>
      <c r="BS30" s="137">
        <f>SUMIFS(Database!$G:$G,Database!$D:$D,"Import",Database!$E:$E,$B30,Database!$C:$C,BS$1,Database!$F:$F,"Total")</f>
        <v>0</v>
      </c>
      <c r="BT30" s="137">
        <f>SUMIFS(Database!$G:$G,Database!$D:$D,"Import",Database!$E:$E,$B30,Database!$C:$C,BT$1,Database!$F:$F,"Total")</f>
        <v>0</v>
      </c>
      <c r="BU30" s="137">
        <f>SUMIFS(Database!$G:$G,Database!$D:$D,"Import",Database!$E:$E,$B30,Database!$C:$C,BU$1,Database!$F:$F,"Total")</f>
        <v>0</v>
      </c>
      <c r="BV30" s="137">
        <f>SUMIFS(Database!$G:$G,Database!$D:$D,"Import",Database!$E:$E,$B30,Database!$C:$C,BV$1,Database!$F:$F,"Total")</f>
        <v>0</v>
      </c>
      <c r="BW30" s="137">
        <f>SUMIFS(Database!$G:$G,Database!$D:$D,"Import",Database!$E:$E,$B30,Database!$C:$C,BW$1,Database!$F:$F,"Total")</f>
        <v>0</v>
      </c>
      <c r="BX30" s="137">
        <f>SUMIFS(Database!$G:$G,Database!$D:$D,"Import",Database!$E:$E,$B30,Database!$C:$C,BX$1,Database!$F:$F,"Total")</f>
        <v>0</v>
      </c>
      <c r="BY30" s="137">
        <f>SUMIFS(Database!$G:$G,Database!$D:$D,"Import",Database!$E:$E,$B30,Database!$C:$C,BY$1,Database!$F:$F,"Total")</f>
        <v>0</v>
      </c>
      <c r="BZ30" s="137">
        <f>SUMIFS(Database!$G:$G,Database!$D:$D,"Import",Database!$E:$E,$B30,Database!$C:$C,BZ$1,Database!$F:$F,"Total")</f>
        <v>0</v>
      </c>
      <c r="CA30" s="137">
        <f>SUMIFS(Database!$G:$G,Database!$D:$D,"Import",Database!$E:$E,$B30,Database!$C:$C,CA$1,Database!$F:$F,"Total")</f>
        <v>0</v>
      </c>
      <c r="CB30" s="137">
        <f>SUMIFS(Database!$G:$G,Database!$D:$D,"Import",Database!$E:$E,$B30,Database!$C:$C,CB$1,Database!$F:$F,"Total")</f>
        <v>0</v>
      </c>
      <c r="CC30" s="137">
        <f>SUMIFS(Database!$G:$G,Database!$D:$D,"Import",Database!$E:$E,$B30,Database!$C:$C,CC$1,Database!$F:$F,"Total")</f>
        <v>0</v>
      </c>
      <c r="CD30" s="137">
        <f>SUMIFS(Database!$G:$G,Database!$D:$D,"Import",Database!$E:$E,$B30,Database!$C:$C,CD$1,Database!$F:$F,"Total")</f>
        <v>0</v>
      </c>
      <c r="CE30" s="137">
        <f>SUMIFS(Database!$G:$G,Database!$D:$D,"Import",Database!$E:$E,$B30,Database!$C:$C,CE$1,Database!$F:$F,"Total")</f>
        <v>0</v>
      </c>
      <c r="CF30" s="137">
        <f>SUMIFS(Database!$G:$G,Database!$D:$D,"Import",Database!$E:$E,$B30,Database!$C:$C,CF$1,Database!$F:$F,"Total")</f>
        <v>0</v>
      </c>
      <c r="CG30" s="137">
        <f>SUMIFS(Database!$G:$G,Database!$D:$D,"Import",Database!$E:$E,$B30,Database!$C:$C,CG$1,Database!$F:$F,"Total")</f>
        <v>0</v>
      </c>
      <c r="CH30" s="137">
        <f>SUMIFS(Database!$G:$G,Database!$D:$D,"Import",Database!$E:$E,$B30,Database!$C:$C,CH$1,Database!$F:$F,"Total")</f>
        <v>0</v>
      </c>
      <c r="CI30" s="137">
        <f>SUMIFS(Database!$G:$G,Database!$D:$D,"Import",Database!$E:$E,$B30,Database!$C:$C,CI$1,Database!$F:$F,"Total")</f>
        <v>0</v>
      </c>
      <c r="CJ30" s="137">
        <f>SUMIFS(Database!$G:$G,Database!$D:$D,"Import",Database!$E:$E,$B30,Database!$C:$C,CJ$1,Database!$F:$F,"Total")</f>
        <v>0</v>
      </c>
      <c r="CK30" s="137">
        <f>SUMIFS(Database!$G:$G,Database!$D:$D,"Import",Database!$E:$E,$B30,Database!$C:$C,CK$1,Database!$F:$F,"Total")</f>
        <v>0</v>
      </c>
      <c r="CL30" s="137">
        <f>SUMIFS(Database!$G:$G,Database!$D:$D,"Import",Database!$E:$E,$B30,Database!$C:$C,CL$1,Database!$F:$F,"Total")</f>
        <v>0</v>
      </c>
      <c r="CM30" s="137">
        <f>SUMIFS(Database!$G:$G,Database!$D:$D,"Import",Database!$E:$E,$B30,Database!$C:$C,CM$1,Database!$F:$F,"Total")</f>
        <v>0</v>
      </c>
      <c r="CN30" s="137">
        <f>SUMIFS(Database!$G:$G,Database!$D:$D,"Import",Database!$E:$E,$B30,Database!$C:$C,CN$1,Database!$F:$F,"Total")</f>
        <v>0</v>
      </c>
      <c r="CO30" s="137">
        <f>SUMIFS(Database!$G:$G,Database!$D:$D,"Import",Database!$E:$E,$B30,Database!$C:$C,CO$1,Database!$F:$F,"Total")</f>
        <v>0</v>
      </c>
      <c r="CP30" s="137">
        <f>SUMIFS(Database!$G:$G,Database!$D:$D,"Import",Database!$E:$E,$B30,Database!$C:$C,CP$1,Database!$F:$F,"Total")</f>
        <v>0</v>
      </c>
      <c r="CQ30" s="137">
        <f>SUMIFS(Database!$G:$G,Database!$D:$D,"Import",Database!$E:$E,$B30,Database!$C:$C,CQ$1,Database!$F:$F,"Total")</f>
        <v>0</v>
      </c>
      <c r="CR30" s="137">
        <f>SUMIFS(Database!$G:$G,Database!$D:$D,"Import",Database!$E:$E,$B30,Database!$C:$C,CR$1,Database!$F:$F,"Total")</f>
        <v>0</v>
      </c>
      <c r="CS30" s="137">
        <f>SUMIFS(Database!$G:$G,Database!$D:$D,"Import",Database!$E:$E,$B30,Database!$C:$C,CS$1,Database!$F:$F,"Total")</f>
        <v>0</v>
      </c>
      <c r="CT30" s="137">
        <f>SUMIFS(Database!$G:$G,Database!$D:$D,"Import",Database!$E:$E,$B30,Database!$C:$C,CT$1,Database!$F:$F,"Total")</f>
        <v>0</v>
      </c>
      <c r="CU30" s="137">
        <f>SUMIFS(Database!$G:$G,Database!$D:$D,"Import",Database!$E:$E,$B30,Database!$C:$C,CU$1,Database!$F:$F,"Total")</f>
        <v>0</v>
      </c>
    </row>
    <row r="31" spans="1:99" x14ac:dyDescent="0.25">
      <c r="A31" s="132" t="s">
        <v>484</v>
      </c>
      <c r="B31" s="133" t="s">
        <v>367</v>
      </c>
      <c r="C31" s="137">
        <f>SUMIFS(Database!$G:$G,Database!$D:$D,"Import",Database!$E:$E,$B31,Database!$C:$C,C$1,Database!$F:$F,"Total")</f>
        <v>0</v>
      </c>
      <c r="D31" s="137">
        <f>SUMIFS(Database!$G:$G,Database!$D:$D,"Import",Database!$E:$E,$B31,Database!$C:$C,D$1,Database!$F:$F,"Total")</f>
        <v>0</v>
      </c>
      <c r="E31" s="137">
        <f>SUMIFS(Database!$G:$G,Database!$D:$D,"Import",Database!$E:$E,$B31,Database!$C:$C,E$1,Database!$F:$F,"Total")</f>
        <v>0</v>
      </c>
      <c r="F31" s="137">
        <f>SUMIFS(Database!$G:$G,Database!$D:$D,"Import",Database!$E:$E,$B31,Database!$C:$C,F$1,Database!$F:$F,"Total")</f>
        <v>0</v>
      </c>
      <c r="G31" s="137">
        <f>SUMIFS(Database!$G:$G,Database!$D:$D,"Import",Database!$E:$E,$B31,Database!$C:$C,G$1,Database!$F:$F,"Total")</f>
        <v>0</v>
      </c>
      <c r="H31" s="137">
        <f>SUMIFS(Database!$G:$G,Database!$D:$D,"Import",Database!$E:$E,$B31,Database!$C:$C,H$1,Database!$F:$F,"Total")</f>
        <v>0</v>
      </c>
      <c r="I31" s="137">
        <f>SUMIFS(Database!$G:$G,Database!$D:$D,"Import",Database!$E:$E,$B31,Database!$C:$C,I$1,Database!$F:$F,"Total")</f>
        <v>0</v>
      </c>
      <c r="J31" s="137">
        <f>SUMIFS(Database!$G:$G,Database!$D:$D,"Import",Database!$E:$E,$B31,Database!$C:$C,J$1,Database!$F:$F,"Total")</f>
        <v>0</v>
      </c>
      <c r="K31" s="137">
        <f>SUMIFS(Database!$G:$G,Database!$D:$D,"Import",Database!$E:$E,$B31,Database!$C:$C,K$1,Database!$F:$F,"Total")</f>
        <v>0</v>
      </c>
      <c r="L31" s="137">
        <f>SUMIFS(Database!$G:$G,Database!$D:$D,"Import",Database!$E:$E,$B31,Database!$C:$C,L$1,Database!$F:$F,"Total")</f>
        <v>0</v>
      </c>
      <c r="M31" s="137">
        <f>SUMIFS(Database!$G:$G,Database!$D:$D,"Import",Database!$E:$E,$B31,Database!$C:$C,M$1,Database!$F:$F,"Total")</f>
        <v>0</v>
      </c>
      <c r="N31" s="137">
        <f>SUMIFS(Database!$G:$G,Database!$D:$D,"Import",Database!$E:$E,$B31,Database!$C:$C,N$1,Database!$F:$F,"Total")</f>
        <v>0</v>
      </c>
      <c r="O31" s="137">
        <f>SUMIFS(Database!$G:$G,Database!$D:$D,"Import",Database!$E:$E,$B31,Database!$C:$C,O$1,Database!$F:$F,"Total")</f>
        <v>0</v>
      </c>
      <c r="P31" s="137">
        <f>SUMIFS(Database!$G:$G,Database!$D:$D,"Import",Database!$E:$E,$B31,Database!$C:$C,P$1,Database!$F:$F,"Total")</f>
        <v>0</v>
      </c>
      <c r="Q31" s="137">
        <f>SUMIFS(Database!$G:$G,Database!$D:$D,"Import",Database!$E:$E,$B31,Database!$C:$C,Q$1,Database!$F:$F,"Total")</f>
        <v>0</v>
      </c>
      <c r="R31" s="137">
        <f>SUMIFS(Database!$G:$G,Database!$D:$D,"Import",Database!$E:$E,$B31,Database!$C:$C,R$1,Database!$F:$F,"Total")</f>
        <v>0</v>
      </c>
      <c r="S31" s="137">
        <f>SUMIFS(Database!$G:$G,Database!$D:$D,"Import",Database!$E:$E,$B31,Database!$C:$C,S$1,Database!$F:$F,"Total")</f>
        <v>0</v>
      </c>
      <c r="T31" s="137">
        <f>SUMIFS(Database!$G:$G,Database!$D:$D,"Import",Database!$E:$E,$B31,Database!$C:$C,T$1,Database!$F:$F,"Total")</f>
        <v>0</v>
      </c>
      <c r="U31" s="137">
        <f>SUMIFS(Database!$G:$G,Database!$D:$D,"Import",Database!$E:$E,$B31,Database!$C:$C,U$1,Database!$F:$F,"Total")</f>
        <v>0</v>
      </c>
      <c r="V31" s="137">
        <f>SUMIFS(Database!$G:$G,Database!$D:$D,"Import",Database!$E:$E,$B31,Database!$C:$C,V$1,Database!$F:$F,"Total")</f>
        <v>0</v>
      </c>
      <c r="W31" s="137">
        <f>SUMIFS(Database!$G:$G,Database!$D:$D,"Import",Database!$E:$E,$B31,Database!$C:$C,W$1,Database!$F:$F,"Total")</f>
        <v>0</v>
      </c>
      <c r="X31" s="137">
        <f>SUMIFS(Database!$G:$G,Database!$D:$D,"Import",Database!$E:$E,$B31,Database!$C:$C,X$1,Database!$F:$F,"Total")</f>
        <v>0</v>
      </c>
      <c r="Y31" s="137">
        <f>SUMIFS(Database!$G:$G,Database!$D:$D,"Import",Database!$E:$E,$B31,Database!$C:$C,Y$1,Database!$F:$F,"Total")</f>
        <v>0</v>
      </c>
      <c r="Z31" s="137">
        <f>SUMIFS(Database!$G:$G,Database!$D:$D,"Import",Database!$E:$E,$B31,Database!$C:$C,Z$1,Database!$F:$F,"Total")</f>
        <v>0</v>
      </c>
      <c r="AA31" s="137">
        <f>SUMIFS(Database!$G:$G,Database!$D:$D,"Import",Database!$E:$E,$B31,Database!$C:$C,AA$1,Database!$F:$F,"Total")</f>
        <v>0</v>
      </c>
      <c r="AB31" s="137">
        <f>SUMIFS(Database!$G:$G,Database!$D:$D,"Import",Database!$E:$E,$B31,Database!$C:$C,AB$1,Database!$F:$F,"Total")</f>
        <v>0</v>
      </c>
      <c r="AC31" s="137">
        <f>SUMIFS(Database!$G:$G,Database!$D:$D,"Import",Database!$E:$E,$B31,Database!$C:$C,AC$1,Database!$F:$F,"Total")</f>
        <v>0</v>
      </c>
      <c r="AD31" s="137">
        <f>SUMIFS(Database!$G:$G,Database!$D:$D,"Import",Database!$E:$E,$B31,Database!$C:$C,AD$1,Database!$F:$F,"Total")</f>
        <v>0</v>
      </c>
      <c r="AE31" s="137">
        <f>SUMIFS(Database!$G:$G,Database!$D:$D,"Import",Database!$E:$E,$B31,Database!$C:$C,AE$1,Database!$F:$F,"Total")</f>
        <v>0</v>
      </c>
      <c r="AF31" s="137">
        <f>SUMIFS(Database!$G:$G,Database!$D:$D,"Import",Database!$E:$E,$B31,Database!$C:$C,AF$1,Database!$F:$F,"Total")</f>
        <v>0</v>
      </c>
      <c r="AG31" s="137">
        <f>SUMIFS(Database!$G:$G,Database!$D:$D,"Import",Database!$E:$E,$B31,Database!$C:$C,AG$1,Database!$F:$F,"Total")</f>
        <v>0</v>
      </c>
      <c r="AH31" s="137">
        <f>SUMIFS(Database!$G:$G,Database!$D:$D,"Import",Database!$E:$E,$B31,Database!$C:$C,AH$1,Database!$F:$F,"Total")</f>
        <v>0</v>
      </c>
      <c r="AI31" s="137">
        <f>SUMIFS(Database!$G:$G,Database!$D:$D,"Import",Database!$E:$E,$B31,Database!$C:$C,AI$1,Database!$F:$F,"Total")</f>
        <v>0</v>
      </c>
      <c r="AJ31" s="137">
        <f>SUMIFS(Database!$G:$G,Database!$D:$D,"Import",Database!$E:$E,$B31,Database!$C:$C,AJ$1,Database!$F:$F,"Total")</f>
        <v>0</v>
      </c>
      <c r="AK31" s="137">
        <f>SUMIFS(Database!$G:$G,Database!$D:$D,"Import",Database!$E:$E,$B31,Database!$C:$C,AK$1,Database!$F:$F,"Total")</f>
        <v>0</v>
      </c>
      <c r="AL31" s="137">
        <f>SUMIFS(Database!$G:$G,Database!$D:$D,"Import",Database!$E:$E,$B31,Database!$C:$C,AL$1,Database!$F:$F,"Total")</f>
        <v>0</v>
      </c>
      <c r="AM31" s="137">
        <f>SUMIFS(Database!$G:$G,Database!$D:$D,"Import",Database!$E:$E,$B31,Database!$C:$C,AM$1,Database!$F:$F,"Total")</f>
        <v>0</v>
      </c>
      <c r="AN31" s="137">
        <f>SUMIFS(Database!$G:$G,Database!$D:$D,"Import",Database!$E:$E,$B31,Database!$C:$C,AN$1,Database!$F:$F,"Total")</f>
        <v>0</v>
      </c>
      <c r="AO31" s="137">
        <f>SUMIFS(Database!$G:$G,Database!$D:$D,"Import",Database!$E:$E,$B31,Database!$C:$C,AO$1,Database!$F:$F,"Total")</f>
        <v>0</v>
      </c>
      <c r="AP31" s="137">
        <f>SUMIFS(Database!$G:$G,Database!$D:$D,"Import",Database!$E:$E,$B31,Database!$C:$C,AP$1,Database!$F:$F,"Total")</f>
        <v>0</v>
      </c>
      <c r="AQ31" s="137">
        <f>SUMIFS(Database!$G:$G,Database!$D:$D,"Import",Database!$E:$E,$B31,Database!$C:$C,AQ$1,Database!$F:$F,"Total")</f>
        <v>0</v>
      </c>
      <c r="AR31" s="137">
        <f>SUMIFS(Database!$G:$G,Database!$D:$D,"Import",Database!$E:$E,$B31,Database!$C:$C,AR$1,Database!$F:$F,"Total")</f>
        <v>160</v>
      </c>
      <c r="AS31" s="137">
        <f>SUMIFS(Database!$G:$G,Database!$D:$D,"Import",Database!$E:$E,$B31,Database!$C:$C,AS$1,Database!$F:$F,"Total")</f>
        <v>950</v>
      </c>
      <c r="AT31" s="137">
        <f>SUMIFS(Database!$G:$G,Database!$D:$D,"Import",Database!$E:$E,$B31,Database!$C:$C,AT$1,Database!$F:$F,"Total")</f>
        <v>557</v>
      </c>
      <c r="AU31" s="137">
        <f>SUMIFS(Database!$G:$G,Database!$D:$D,"Import",Database!$E:$E,$B31,Database!$C:$C,AU$1,Database!$F:$F,"Total")</f>
        <v>0</v>
      </c>
      <c r="AV31" s="137">
        <f>SUMIFS(Database!$G:$G,Database!$D:$D,"Import",Database!$E:$E,$B31,Database!$C:$C,AV$1,Database!$F:$F,"Total")</f>
        <v>0</v>
      </c>
      <c r="AW31" s="137">
        <f>SUMIFS(Database!$G:$G,Database!$D:$D,"Import",Database!$E:$E,$B31,Database!$C:$C,AW$1,Database!$F:$F,"Total")</f>
        <v>0</v>
      </c>
      <c r="AX31" s="137">
        <f>SUMIFS(Database!$G:$G,Database!$D:$D,"Import",Database!$E:$E,$B31,Database!$C:$C,AX$1,Database!$F:$F,"Total")</f>
        <v>0</v>
      </c>
      <c r="AY31" s="137">
        <f>SUMIFS(Database!$G:$G,Database!$D:$D,"Import",Database!$E:$E,$B31,Database!$C:$C,AY$1,Database!$F:$F,"Total")</f>
        <v>0</v>
      </c>
      <c r="AZ31" s="137">
        <f>SUMIFS(Database!$G:$G,Database!$D:$D,"Import",Database!$E:$E,$B31,Database!$C:$C,AZ$1,Database!$F:$F,"Total")</f>
        <v>0</v>
      </c>
      <c r="BA31" s="137">
        <f>SUMIFS(Database!$G:$G,Database!$D:$D,"Import",Database!$E:$E,$B31,Database!$C:$C,BA$1,Database!$F:$F,"Total")</f>
        <v>0</v>
      </c>
      <c r="BB31" s="137">
        <f>SUMIFS(Database!$G:$G,Database!$D:$D,"Import",Database!$E:$E,$B31,Database!$C:$C,BB$1,Database!$F:$F,"Total")</f>
        <v>0</v>
      </c>
      <c r="BC31" s="137">
        <f>SUMIFS(Database!$G:$G,Database!$D:$D,"Import",Database!$E:$E,$B31,Database!$C:$C,BC$1,Database!$F:$F,"Total")</f>
        <v>0</v>
      </c>
      <c r="BD31" s="137">
        <f>SUMIFS(Database!$G:$G,Database!$D:$D,"Import",Database!$E:$E,$B31,Database!$C:$C,BD$1,Database!$F:$F,"Total")</f>
        <v>0</v>
      </c>
      <c r="BE31" s="137">
        <f>SUMIFS(Database!$G:$G,Database!$D:$D,"Import",Database!$E:$E,$B31,Database!$C:$C,BE$1,Database!$F:$F,"Total")</f>
        <v>0</v>
      </c>
      <c r="BF31" s="137">
        <f>SUMIFS(Database!$G:$G,Database!$D:$D,"Import",Database!$E:$E,$B31,Database!$C:$C,BF$1,Database!$F:$F,"Total")</f>
        <v>0</v>
      </c>
      <c r="BG31" s="137">
        <f>SUMIFS(Database!$G:$G,Database!$D:$D,"Import",Database!$E:$E,$B31,Database!$C:$C,BG$1,Database!$F:$F,"Total")</f>
        <v>0</v>
      </c>
      <c r="BH31" s="137">
        <f>SUMIFS(Database!$G:$G,Database!$D:$D,"Import",Database!$E:$E,$B31,Database!$C:$C,BH$1,Database!$F:$F,"Total")</f>
        <v>0</v>
      </c>
      <c r="BI31" s="137">
        <f>SUMIFS(Database!$G:$G,Database!$D:$D,"Import",Database!$E:$E,$B31,Database!$C:$C,BI$1,Database!$F:$F,"Total")</f>
        <v>0</v>
      </c>
      <c r="BJ31" s="137">
        <f>SUMIFS(Database!$G:$G,Database!$D:$D,"Import",Database!$E:$E,$B31,Database!$C:$C,BJ$1,Database!$F:$F,"Total")</f>
        <v>0</v>
      </c>
      <c r="BK31" s="137">
        <f>SUMIFS(Database!$G:$G,Database!$D:$D,"Import",Database!$E:$E,$B31,Database!$C:$C,BK$1,Database!$F:$F,"Total")</f>
        <v>0</v>
      </c>
      <c r="BL31" s="137">
        <f>SUMIFS(Database!$G:$G,Database!$D:$D,"Import",Database!$E:$E,$B31,Database!$C:$C,BL$1,Database!$F:$F,"Total")</f>
        <v>0</v>
      </c>
      <c r="BM31" s="137">
        <f>SUMIFS(Database!$G:$G,Database!$D:$D,"Import",Database!$E:$E,$B31,Database!$C:$C,BM$1,Database!$F:$F,"Total")</f>
        <v>0</v>
      </c>
      <c r="BN31" s="137">
        <f>SUMIFS(Database!$G:$G,Database!$D:$D,"Import",Database!$E:$E,$B31,Database!$C:$C,BN$1,Database!$F:$F,"Total")</f>
        <v>0</v>
      </c>
      <c r="BO31" s="137">
        <f>SUMIFS(Database!$G:$G,Database!$D:$D,"Import",Database!$E:$E,$B31,Database!$C:$C,BO$1,Database!$F:$F,"Total")</f>
        <v>0</v>
      </c>
      <c r="BP31" s="137">
        <f>SUMIFS(Database!$G:$G,Database!$D:$D,"Import",Database!$E:$E,$B31,Database!$C:$C,BP$1,Database!$F:$F,"Total")</f>
        <v>0</v>
      </c>
      <c r="BQ31" s="137">
        <f>SUMIFS(Database!$G:$G,Database!$D:$D,"Import",Database!$E:$E,$B31,Database!$C:$C,BQ$1,Database!$F:$F,"Total")</f>
        <v>0</v>
      </c>
      <c r="BR31" s="137">
        <f>SUMIFS(Database!$G:$G,Database!$D:$D,"Import",Database!$E:$E,$B31,Database!$C:$C,BR$1,Database!$F:$F,"Total")</f>
        <v>0</v>
      </c>
      <c r="BS31" s="137">
        <f>SUMIFS(Database!$G:$G,Database!$D:$D,"Import",Database!$E:$E,$B31,Database!$C:$C,BS$1,Database!$F:$F,"Total")</f>
        <v>0</v>
      </c>
      <c r="BT31" s="137">
        <f>SUMIFS(Database!$G:$G,Database!$D:$D,"Import",Database!$E:$E,$B31,Database!$C:$C,BT$1,Database!$F:$F,"Total")</f>
        <v>0</v>
      </c>
      <c r="BU31" s="137">
        <f>SUMIFS(Database!$G:$G,Database!$D:$D,"Import",Database!$E:$E,$B31,Database!$C:$C,BU$1,Database!$F:$F,"Total")</f>
        <v>0</v>
      </c>
      <c r="BV31" s="137">
        <f>SUMIFS(Database!$G:$G,Database!$D:$D,"Import",Database!$E:$E,$B31,Database!$C:$C,BV$1,Database!$F:$F,"Total")</f>
        <v>0</v>
      </c>
      <c r="BW31" s="137">
        <f>SUMIFS(Database!$G:$G,Database!$D:$D,"Import",Database!$E:$E,$B31,Database!$C:$C,BW$1,Database!$F:$F,"Total")</f>
        <v>0</v>
      </c>
      <c r="BX31" s="137">
        <f>SUMIFS(Database!$G:$G,Database!$D:$D,"Import",Database!$E:$E,$B31,Database!$C:$C,BX$1,Database!$F:$F,"Total")</f>
        <v>0</v>
      </c>
      <c r="BY31" s="137">
        <f>SUMIFS(Database!$G:$G,Database!$D:$D,"Import",Database!$E:$E,$B31,Database!$C:$C,BY$1,Database!$F:$F,"Total")</f>
        <v>0</v>
      </c>
      <c r="BZ31" s="137">
        <f>SUMIFS(Database!$G:$G,Database!$D:$D,"Import",Database!$E:$E,$B31,Database!$C:$C,BZ$1,Database!$F:$F,"Total")</f>
        <v>0</v>
      </c>
      <c r="CA31" s="137">
        <f>SUMIFS(Database!$G:$G,Database!$D:$D,"Import",Database!$E:$E,$B31,Database!$C:$C,CA$1,Database!$F:$F,"Total")</f>
        <v>0</v>
      </c>
      <c r="CB31" s="137">
        <f>SUMIFS(Database!$G:$G,Database!$D:$D,"Import",Database!$E:$E,$B31,Database!$C:$C,CB$1,Database!$F:$F,"Total")</f>
        <v>0</v>
      </c>
      <c r="CC31" s="137">
        <f>SUMIFS(Database!$G:$G,Database!$D:$D,"Import",Database!$E:$E,$B31,Database!$C:$C,CC$1,Database!$F:$F,"Total")</f>
        <v>0</v>
      </c>
      <c r="CD31" s="137">
        <f>SUMIFS(Database!$G:$G,Database!$D:$D,"Import",Database!$E:$E,$B31,Database!$C:$C,CD$1,Database!$F:$F,"Total")</f>
        <v>0</v>
      </c>
      <c r="CE31" s="137">
        <f>SUMIFS(Database!$G:$G,Database!$D:$D,"Import",Database!$E:$E,$B31,Database!$C:$C,CE$1,Database!$F:$F,"Total")</f>
        <v>0</v>
      </c>
      <c r="CF31" s="137">
        <f>SUMIFS(Database!$G:$G,Database!$D:$D,"Import",Database!$E:$E,$B31,Database!$C:$C,CF$1,Database!$F:$F,"Total")</f>
        <v>0</v>
      </c>
      <c r="CG31" s="137">
        <f>SUMIFS(Database!$G:$G,Database!$D:$D,"Import",Database!$E:$E,$B31,Database!$C:$C,CG$1,Database!$F:$F,"Total")</f>
        <v>0</v>
      </c>
      <c r="CH31" s="137">
        <f>SUMIFS(Database!$G:$G,Database!$D:$D,"Import",Database!$E:$E,$B31,Database!$C:$C,CH$1,Database!$F:$F,"Total")</f>
        <v>0</v>
      </c>
      <c r="CI31" s="137">
        <f>SUMIFS(Database!$G:$G,Database!$D:$D,"Import",Database!$E:$E,$B31,Database!$C:$C,CI$1,Database!$F:$F,"Total")</f>
        <v>0</v>
      </c>
      <c r="CJ31" s="137">
        <f>SUMIFS(Database!$G:$G,Database!$D:$D,"Import",Database!$E:$E,$B31,Database!$C:$C,CJ$1,Database!$F:$F,"Total")</f>
        <v>0</v>
      </c>
      <c r="CK31" s="137">
        <f>SUMIFS(Database!$G:$G,Database!$D:$D,"Import",Database!$E:$E,$B31,Database!$C:$C,CK$1,Database!$F:$F,"Total")</f>
        <v>0</v>
      </c>
      <c r="CL31" s="137">
        <f>SUMIFS(Database!$G:$G,Database!$D:$D,"Import",Database!$E:$E,$B31,Database!$C:$C,CL$1,Database!$F:$F,"Total")</f>
        <v>0</v>
      </c>
      <c r="CM31" s="137">
        <f>SUMIFS(Database!$G:$G,Database!$D:$D,"Import",Database!$E:$E,$B31,Database!$C:$C,CM$1,Database!$F:$F,"Total")</f>
        <v>0</v>
      </c>
      <c r="CN31" s="137">
        <f>SUMIFS(Database!$G:$G,Database!$D:$D,"Import",Database!$E:$E,$B31,Database!$C:$C,CN$1,Database!$F:$F,"Total")</f>
        <v>0</v>
      </c>
      <c r="CO31" s="137">
        <f>SUMIFS(Database!$G:$G,Database!$D:$D,"Import",Database!$E:$E,$B31,Database!$C:$C,CO$1,Database!$F:$F,"Total")</f>
        <v>0</v>
      </c>
      <c r="CP31" s="137">
        <f>SUMIFS(Database!$G:$G,Database!$D:$D,"Import",Database!$E:$E,$B31,Database!$C:$C,CP$1,Database!$F:$F,"Total")</f>
        <v>0</v>
      </c>
      <c r="CQ31" s="137">
        <f>SUMIFS(Database!$G:$G,Database!$D:$D,"Import",Database!$E:$E,$B31,Database!$C:$C,CQ$1,Database!$F:$F,"Total")</f>
        <v>0</v>
      </c>
      <c r="CR31" s="137">
        <f>SUMIFS(Database!$G:$G,Database!$D:$D,"Import",Database!$E:$E,$B31,Database!$C:$C,CR$1,Database!$F:$F,"Total")</f>
        <v>0</v>
      </c>
      <c r="CS31" s="137">
        <f>SUMIFS(Database!$G:$G,Database!$D:$D,"Import",Database!$E:$E,$B31,Database!$C:$C,CS$1,Database!$F:$F,"Total")</f>
        <v>0</v>
      </c>
      <c r="CT31" s="137">
        <f>SUMIFS(Database!$G:$G,Database!$D:$D,"Import",Database!$E:$E,$B31,Database!$C:$C,CT$1,Database!$F:$F,"Total")</f>
        <v>0</v>
      </c>
      <c r="CU31" s="137">
        <f>SUMIFS(Database!$G:$G,Database!$D:$D,"Import",Database!$E:$E,$B31,Database!$C:$C,CU$1,Database!$F:$F,"Total")</f>
        <v>0</v>
      </c>
    </row>
    <row r="32" spans="1:99" x14ac:dyDescent="0.25">
      <c r="A32" s="132" t="s">
        <v>484</v>
      </c>
      <c r="B32" s="133" t="s">
        <v>352</v>
      </c>
      <c r="C32" s="137">
        <f>SUMIFS(Database!$G:$G,Database!$D:$D,"Import",Database!$E:$E,$B32,Database!$C:$C,C$1,Database!$F:$F,"Total")</f>
        <v>0</v>
      </c>
      <c r="D32" s="137">
        <f>SUMIFS(Database!$G:$G,Database!$D:$D,"Import",Database!$E:$E,$B32,Database!$C:$C,D$1,Database!$F:$F,"Total")</f>
        <v>0</v>
      </c>
      <c r="E32" s="137">
        <f>SUMIFS(Database!$G:$G,Database!$D:$D,"Import",Database!$E:$E,$B32,Database!$C:$C,E$1,Database!$F:$F,"Total")</f>
        <v>0</v>
      </c>
      <c r="F32" s="137">
        <f>SUMIFS(Database!$G:$G,Database!$D:$D,"Import",Database!$E:$E,$B32,Database!$C:$C,F$1,Database!$F:$F,"Total")</f>
        <v>0</v>
      </c>
      <c r="G32" s="137">
        <f>SUMIFS(Database!$G:$G,Database!$D:$D,"Import",Database!$E:$E,$B32,Database!$C:$C,G$1,Database!$F:$F,"Total")</f>
        <v>0</v>
      </c>
      <c r="H32" s="137">
        <f>SUMIFS(Database!$G:$G,Database!$D:$D,"Import",Database!$E:$E,$B32,Database!$C:$C,H$1,Database!$F:$F,"Total")</f>
        <v>0</v>
      </c>
      <c r="I32" s="137">
        <f>SUMIFS(Database!$G:$G,Database!$D:$D,"Import",Database!$E:$E,$B32,Database!$C:$C,I$1,Database!$F:$F,"Total")</f>
        <v>0</v>
      </c>
      <c r="J32" s="137">
        <f>SUMIFS(Database!$G:$G,Database!$D:$D,"Import",Database!$E:$E,$B32,Database!$C:$C,J$1,Database!$F:$F,"Total")</f>
        <v>0</v>
      </c>
      <c r="K32" s="137">
        <f>SUMIFS(Database!$G:$G,Database!$D:$D,"Import",Database!$E:$E,$B32,Database!$C:$C,K$1,Database!$F:$F,"Total")</f>
        <v>0</v>
      </c>
      <c r="L32" s="137">
        <f>SUMIFS(Database!$G:$G,Database!$D:$D,"Import",Database!$E:$E,$B32,Database!$C:$C,L$1,Database!$F:$F,"Total")</f>
        <v>0</v>
      </c>
      <c r="M32" s="137">
        <f>SUMIFS(Database!$G:$G,Database!$D:$D,"Import",Database!$E:$E,$B32,Database!$C:$C,M$1,Database!$F:$F,"Total")</f>
        <v>0</v>
      </c>
      <c r="N32" s="137">
        <f>SUMIFS(Database!$G:$G,Database!$D:$D,"Import",Database!$E:$E,$B32,Database!$C:$C,N$1,Database!$F:$F,"Total")</f>
        <v>0</v>
      </c>
      <c r="O32" s="137">
        <f>SUMIFS(Database!$G:$G,Database!$D:$D,"Import",Database!$E:$E,$B32,Database!$C:$C,O$1,Database!$F:$F,"Total")</f>
        <v>0</v>
      </c>
      <c r="P32" s="137">
        <f>SUMIFS(Database!$G:$G,Database!$D:$D,"Import",Database!$E:$E,$B32,Database!$C:$C,P$1,Database!$F:$F,"Total")</f>
        <v>0</v>
      </c>
      <c r="Q32" s="137">
        <f>SUMIFS(Database!$G:$G,Database!$D:$D,"Import",Database!$E:$E,$B32,Database!$C:$C,Q$1,Database!$F:$F,"Total")</f>
        <v>0</v>
      </c>
      <c r="R32" s="137">
        <f>SUMIFS(Database!$G:$G,Database!$D:$D,"Import",Database!$E:$E,$B32,Database!$C:$C,R$1,Database!$F:$F,"Total")</f>
        <v>0</v>
      </c>
      <c r="S32" s="137">
        <f>SUMIFS(Database!$G:$G,Database!$D:$D,"Import",Database!$E:$E,$B32,Database!$C:$C,S$1,Database!$F:$F,"Total")</f>
        <v>0</v>
      </c>
      <c r="T32" s="137">
        <f>SUMIFS(Database!$G:$G,Database!$D:$D,"Import",Database!$E:$E,$B32,Database!$C:$C,T$1,Database!$F:$F,"Total")</f>
        <v>0</v>
      </c>
      <c r="U32" s="137">
        <f>SUMIFS(Database!$G:$G,Database!$D:$D,"Import",Database!$E:$E,$B32,Database!$C:$C,U$1,Database!$F:$F,"Total")</f>
        <v>0</v>
      </c>
      <c r="V32" s="137">
        <f>SUMIFS(Database!$G:$G,Database!$D:$D,"Import",Database!$E:$E,$B32,Database!$C:$C,V$1,Database!$F:$F,"Total")</f>
        <v>0</v>
      </c>
      <c r="W32" s="137">
        <f>SUMIFS(Database!$G:$G,Database!$D:$D,"Import",Database!$E:$E,$B32,Database!$C:$C,W$1,Database!$F:$F,"Total")</f>
        <v>0</v>
      </c>
      <c r="X32" s="137">
        <f>SUMIFS(Database!$G:$G,Database!$D:$D,"Import",Database!$E:$E,$B32,Database!$C:$C,X$1,Database!$F:$F,"Total")</f>
        <v>0</v>
      </c>
      <c r="Y32" s="137">
        <f>SUMIFS(Database!$G:$G,Database!$D:$D,"Import",Database!$E:$E,$B32,Database!$C:$C,Y$1,Database!$F:$F,"Total")</f>
        <v>0</v>
      </c>
      <c r="Z32" s="137">
        <f>SUMIFS(Database!$G:$G,Database!$D:$D,"Import",Database!$E:$E,$B32,Database!$C:$C,Z$1,Database!$F:$F,"Total")</f>
        <v>0</v>
      </c>
      <c r="AA32" s="137">
        <f>SUMIFS(Database!$G:$G,Database!$D:$D,"Import",Database!$E:$E,$B32,Database!$C:$C,AA$1,Database!$F:$F,"Total")</f>
        <v>0</v>
      </c>
      <c r="AB32" s="137">
        <f>SUMIFS(Database!$G:$G,Database!$D:$D,"Import",Database!$E:$E,$B32,Database!$C:$C,AB$1,Database!$F:$F,"Total")</f>
        <v>0</v>
      </c>
      <c r="AC32" s="137">
        <f>SUMIFS(Database!$G:$G,Database!$D:$D,"Import",Database!$E:$E,$B32,Database!$C:$C,AC$1,Database!$F:$F,"Total")</f>
        <v>0</v>
      </c>
      <c r="AD32" s="137">
        <f>SUMIFS(Database!$G:$G,Database!$D:$D,"Import",Database!$E:$E,$B32,Database!$C:$C,AD$1,Database!$F:$F,"Total")</f>
        <v>0</v>
      </c>
      <c r="AE32" s="137">
        <f>SUMIFS(Database!$G:$G,Database!$D:$D,"Import",Database!$E:$E,$B32,Database!$C:$C,AE$1,Database!$F:$F,"Total")</f>
        <v>0</v>
      </c>
      <c r="AF32" s="137">
        <f>SUMIFS(Database!$G:$G,Database!$D:$D,"Import",Database!$E:$E,$B32,Database!$C:$C,AF$1,Database!$F:$F,"Total")</f>
        <v>0</v>
      </c>
      <c r="AG32" s="137">
        <f>SUMIFS(Database!$G:$G,Database!$D:$D,"Import",Database!$E:$E,$B32,Database!$C:$C,AG$1,Database!$F:$F,"Total")</f>
        <v>0</v>
      </c>
      <c r="AH32" s="137">
        <f>SUMIFS(Database!$G:$G,Database!$D:$D,"Import",Database!$E:$E,$B32,Database!$C:$C,AH$1,Database!$F:$F,"Total")</f>
        <v>0</v>
      </c>
      <c r="AI32" s="137">
        <f>SUMIFS(Database!$G:$G,Database!$D:$D,"Import",Database!$E:$E,$B32,Database!$C:$C,AI$1,Database!$F:$F,"Total")</f>
        <v>0</v>
      </c>
      <c r="AJ32" s="137">
        <f>SUMIFS(Database!$G:$G,Database!$D:$D,"Import",Database!$E:$E,$B32,Database!$C:$C,AJ$1,Database!$F:$F,"Total")</f>
        <v>0</v>
      </c>
      <c r="AK32" s="137">
        <f>SUMIFS(Database!$G:$G,Database!$D:$D,"Import",Database!$E:$E,$B32,Database!$C:$C,AK$1,Database!$F:$F,"Total")</f>
        <v>0</v>
      </c>
      <c r="AL32" s="137">
        <f>SUMIFS(Database!$G:$G,Database!$D:$D,"Import",Database!$E:$E,$B32,Database!$C:$C,AL$1,Database!$F:$F,"Total")</f>
        <v>0</v>
      </c>
      <c r="AM32" s="137">
        <f>SUMIFS(Database!$G:$G,Database!$D:$D,"Import",Database!$E:$E,$B32,Database!$C:$C,AM$1,Database!$F:$F,"Total")</f>
        <v>0</v>
      </c>
      <c r="AN32" s="137">
        <f>SUMIFS(Database!$G:$G,Database!$D:$D,"Import",Database!$E:$E,$B32,Database!$C:$C,AN$1,Database!$F:$F,"Total")</f>
        <v>0</v>
      </c>
      <c r="AO32" s="137">
        <f>SUMIFS(Database!$G:$G,Database!$D:$D,"Import",Database!$E:$E,$B32,Database!$C:$C,AO$1,Database!$F:$F,"Total")</f>
        <v>54446</v>
      </c>
      <c r="AP32" s="137">
        <f>SUMIFS(Database!$G:$G,Database!$D:$D,"Import",Database!$E:$E,$B32,Database!$C:$C,AP$1,Database!$F:$F,"Total")</f>
        <v>44244</v>
      </c>
      <c r="AQ32" s="137">
        <f>SUMIFS(Database!$G:$G,Database!$D:$D,"Import",Database!$E:$E,$B32,Database!$C:$C,AQ$1,Database!$F:$F,"Total")</f>
        <v>23119</v>
      </c>
      <c r="AR32" s="137">
        <f>SUMIFS(Database!$G:$G,Database!$D:$D,"Import",Database!$E:$E,$B32,Database!$C:$C,AR$1,Database!$F:$F,"Total")</f>
        <v>15874</v>
      </c>
      <c r="AS32" s="137">
        <f>SUMIFS(Database!$G:$G,Database!$D:$D,"Import",Database!$E:$E,$B32,Database!$C:$C,AS$1,Database!$F:$F,"Total")</f>
        <v>24960</v>
      </c>
      <c r="AT32" s="137">
        <f>SUMIFS(Database!$G:$G,Database!$D:$D,"Import",Database!$E:$E,$B32,Database!$C:$C,AT$1,Database!$F:$F,"Total")</f>
        <v>11847</v>
      </c>
      <c r="AU32" s="137">
        <f>SUMIFS(Database!$G:$G,Database!$D:$D,"Import",Database!$E:$E,$B32,Database!$C:$C,AU$1,Database!$F:$F,"Total")</f>
        <v>0</v>
      </c>
      <c r="AV32" s="137">
        <f>SUMIFS(Database!$G:$G,Database!$D:$D,"Import",Database!$E:$E,$B32,Database!$C:$C,AV$1,Database!$F:$F,"Total")</f>
        <v>0</v>
      </c>
      <c r="AW32" s="137">
        <f>SUMIFS(Database!$G:$G,Database!$D:$D,"Import",Database!$E:$E,$B32,Database!$C:$C,AW$1,Database!$F:$F,"Total")</f>
        <v>0</v>
      </c>
      <c r="AX32" s="137">
        <f>SUMIFS(Database!$G:$G,Database!$D:$D,"Import",Database!$E:$E,$B32,Database!$C:$C,AX$1,Database!$F:$F,"Total")</f>
        <v>0</v>
      </c>
      <c r="AY32" s="137">
        <f>SUMIFS(Database!$G:$G,Database!$D:$D,"Import",Database!$E:$E,$B32,Database!$C:$C,AY$1,Database!$F:$F,"Total")</f>
        <v>0</v>
      </c>
      <c r="AZ32" s="137">
        <f>SUMIFS(Database!$G:$G,Database!$D:$D,"Import",Database!$E:$E,$B32,Database!$C:$C,AZ$1,Database!$F:$F,"Total")</f>
        <v>0</v>
      </c>
      <c r="BA32" s="137">
        <f>SUMIFS(Database!$G:$G,Database!$D:$D,"Import",Database!$E:$E,$B32,Database!$C:$C,BA$1,Database!$F:$F,"Total")</f>
        <v>0</v>
      </c>
      <c r="BB32" s="137">
        <f>SUMIFS(Database!$G:$G,Database!$D:$D,"Import",Database!$E:$E,$B32,Database!$C:$C,BB$1,Database!$F:$F,"Total")</f>
        <v>0</v>
      </c>
      <c r="BC32" s="137">
        <f>SUMIFS(Database!$G:$G,Database!$D:$D,"Import",Database!$E:$E,$B32,Database!$C:$C,BC$1,Database!$F:$F,"Total")</f>
        <v>0</v>
      </c>
      <c r="BD32" s="137">
        <f>SUMIFS(Database!$G:$G,Database!$D:$D,"Import",Database!$E:$E,$B32,Database!$C:$C,BD$1,Database!$F:$F,"Total")</f>
        <v>0</v>
      </c>
      <c r="BE32" s="137">
        <f>SUMIFS(Database!$G:$G,Database!$D:$D,"Import",Database!$E:$E,$B32,Database!$C:$C,BE$1,Database!$F:$F,"Total")</f>
        <v>0</v>
      </c>
      <c r="BF32" s="137">
        <f>SUMIFS(Database!$G:$G,Database!$D:$D,"Import",Database!$E:$E,$B32,Database!$C:$C,BF$1,Database!$F:$F,"Total")</f>
        <v>0</v>
      </c>
      <c r="BG32" s="137">
        <f>SUMIFS(Database!$G:$G,Database!$D:$D,"Import",Database!$E:$E,$B32,Database!$C:$C,BG$1,Database!$F:$F,"Total")</f>
        <v>0</v>
      </c>
      <c r="BH32" s="137">
        <f>SUMIFS(Database!$G:$G,Database!$D:$D,"Import",Database!$E:$E,$B32,Database!$C:$C,BH$1,Database!$F:$F,"Total")</f>
        <v>42517</v>
      </c>
      <c r="BI32" s="137">
        <f>SUMIFS(Database!$G:$G,Database!$D:$D,"Import",Database!$E:$E,$B32,Database!$C:$C,BI$1,Database!$F:$F,"Total")</f>
        <v>0</v>
      </c>
      <c r="BJ32" s="137">
        <f>SUMIFS(Database!$G:$G,Database!$D:$D,"Import",Database!$E:$E,$B32,Database!$C:$C,BJ$1,Database!$F:$F,"Total")</f>
        <v>0</v>
      </c>
      <c r="BK32" s="137">
        <f>SUMIFS(Database!$G:$G,Database!$D:$D,"Import",Database!$E:$E,$B32,Database!$C:$C,BK$1,Database!$F:$F,"Total")</f>
        <v>0</v>
      </c>
      <c r="BL32" s="137">
        <f>SUMIFS(Database!$G:$G,Database!$D:$D,"Import",Database!$E:$E,$B32,Database!$C:$C,BL$1,Database!$F:$F,"Total")</f>
        <v>0</v>
      </c>
      <c r="BM32" s="137">
        <f>SUMIFS(Database!$G:$G,Database!$D:$D,"Import",Database!$E:$E,$B32,Database!$C:$C,BM$1,Database!$F:$F,"Total")</f>
        <v>0</v>
      </c>
      <c r="BN32" s="137">
        <f>SUMIFS(Database!$G:$G,Database!$D:$D,"Import",Database!$E:$E,$B32,Database!$C:$C,BN$1,Database!$F:$F,"Total")</f>
        <v>0</v>
      </c>
      <c r="BO32" s="137">
        <f>SUMIFS(Database!$G:$G,Database!$D:$D,"Import",Database!$E:$E,$B32,Database!$C:$C,BO$1,Database!$F:$F,"Total")</f>
        <v>0</v>
      </c>
      <c r="BP32" s="137">
        <f>SUMIFS(Database!$G:$G,Database!$D:$D,"Import",Database!$E:$E,$B32,Database!$C:$C,BP$1,Database!$F:$F,"Total")</f>
        <v>0</v>
      </c>
      <c r="BQ32" s="137">
        <f>SUMIFS(Database!$G:$G,Database!$D:$D,"Import",Database!$E:$E,$B32,Database!$C:$C,BQ$1,Database!$F:$F,"Total")</f>
        <v>0</v>
      </c>
      <c r="BR32" s="137">
        <f>SUMIFS(Database!$G:$G,Database!$D:$D,"Import",Database!$E:$E,$B32,Database!$C:$C,BR$1,Database!$F:$F,"Total")</f>
        <v>0</v>
      </c>
      <c r="BS32" s="137">
        <f>SUMIFS(Database!$G:$G,Database!$D:$D,"Import",Database!$E:$E,$B32,Database!$C:$C,BS$1,Database!$F:$F,"Total")</f>
        <v>0</v>
      </c>
      <c r="BT32" s="137">
        <f>SUMIFS(Database!$G:$G,Database!$D:$D,"Import",Database!$E:$E,$B32,Database!$C:$C,BT$1,Database!$F:$F,"Total")</f>
        <v>0</v>
      </c>
      <c r="BU32" s="137">
        <f>SUMIFS(Database!$G:$G,Database!$D:$D,"Import",Database!$E:$E,$B32,Database!$C:$C,BU$1,Database!$F:$F,"Total")</f>
        <v>0</v>
      </c>
      <c r="BV32" s="137">
        <f>SUMIFS(Database!$G:$G,Database!$D:$D,"Import",Database!$E:$E,$B32,Database!$C:$C,BV$1,Database!$F:$F,"Total")</f>
        <v>0</v>
      </c>
      <c r="BW32" s="137">
        <f>SUMIFS(Database!$G:$G,Database!$D:$D,"Import",Database!$E:$E,$B32,Database!$C:$C,BW$1,Database!$F:$F,"Total")</f>
        <v>0</v>
      </c>
      <c r="BX32" s="137">
        <f>SUMIFS(Database!$G:$G,Database!$D:$D,"Import",Database!$E:$E,$B32,Database!$C:$C,BX$1,Database!$F:$F,"Total")</f>
        <v>0</v>
      </c>
      <c r="BY32" s="137">
        <f>SUMIFS(Database!$G:$G,Database!$D:$D,"Import",Database!$E:$E,$B32,Database!$C:$C,BY$1,Database!$F:$F,"Total")</f>
        <v>0</v>
      </c>
      <c r="BZ32" s="137">
        <f>SUMIFS(Database!$G:$G,Database!$D:$D,"Import",Database!$E:$E,$B32,Database!$C:$C,BZ$1,Database!$F:$F,"Total")</f>
        <v>0</v>
      </c>
      <c r="CA32" s="137">
        <f>SUMIFS(Database!$G:$G,Database!$D:$D,"Import",Database!$E:$E,$B32,Database!$C:$C,CA$1,Database!$F:$F,"Total")</f>
        <v>0</v>
      </c>
      <c r="CB32" s="137">
        <f>SUMIFS(Database!$G:$G,Database!$D:$D,"Import",Database!$E:$E,$B32,Database!$C:$C,CB$1,Database!$F:$F,"Total")</f>
        <v>0</v>
      </c>
      <c r="CC32" s="137">
        <f>SUMIFS(Database!$G:$G,Database!$D:$D,"Import",Database!$E:$E,$B32,Database!$C:$C,CC$1,Database!$F:$F,"Total")</f>
        <v>0</v>
      </c>
      <c r="CD32" s="137">
        <f>SUMIFS(Database!$G:$G,Database!$D:$D,"Import",Database!$E:$E,$B32,Database!$C:$C,CD$1,Database!$F:$F,"Total")</f>
        <v>0</v>
      </c>
      <c r="CE32" s="137">
        <f>SUMIFS(Database!$G:$G,Database!$D:$D,"Import",Database!$E:$E,$B32,Database!$C:$C,CE$1,Database!$F:$F,"Total")</f>
        <v>0</v>
      </c>
      <c r="CF32" s="137">
        <f>SUMIFS(Database!$G:$G,Database!$D:$D,"Import",Database!$E:$E,$B32,Database!$C:$C,CF$1,Database!$F:$F,"Total")</f>
        <v>0</v>
      </c>
      <c r="CG32" s="137">
        <f>SUMIFS(Database!$G:$G,Database!$D:$D,"Import",Database!$E:$E,$B32,Database!$C:$C,CG$1,Database!$F:$F,"Total")</f>
        <v>0</v>
      </c>
      <c r="CH32" s="137">
        <f>SUMIFS(Database!$G:$G,Database!$D:$D,"Import",Database!$E:$E,$B32,Database!$C:$C,CH$1,Database!$F:$F,"Total")</f>
        <v>0</v>
      </c>
      <c r="CI32" s="137">
        <f>SUMIFS(Database!$G:$G,Database!$D:$D,"Import",Database!$E:$E,$B32,Database!$C:$C,CI$1,Database!$F:$F,"Total")</f>
        <v>0</v>
      </c>
      <c r="CJ32" s="137">
        <f>SUMIFS(Database!$G:$G,Database!$D:$D,"Import",Database!$E:$E,$B32,Database!$C:$C,CJ$1,Database!$F:$F,"Total")</f>
        <v>0</v>
      </c>
      <c r="CK32" s="137">
        <f>SUMIFS(Database!$G:$G,Database!$D:$D,"Import",Database!$E:$E,$B32,Database!$C:$C,CK$1,Database!$F:$F,"Total")</f>
        <v>0</v>
      </c>
      <c r="CL32" s="137">
        <f>SUMIFS(Database!$G:$G,Database!$D:$D,"Import",Database!$E:$E,$B32,Database!$C:$C,CL$1,Database!$F:$F,"Total")</f>
        <v>0</v>
      </c>
      <c r="CM32" s="137">
        <f>SUMIFS(Database!$G:$G,Database!$D:$D,"Import",Database!$E:$E,$B32,Database!$C:$C,CM$1,Database!$F:$F,"Total")</f>
        <v>0</v>
      </c>
      <c r="CN32" s="137">
        <f>SUMIFS(Database!$G:$G,Database!$D:$D,"Import",Database!$E:$E,$B32,Database!$C:$C,CN$1,Database!$F:$F,"Total")</f>
        <v>0</v>
      </c>
      <c r="CO32" s="137">
        <f>SUMIFS(Database!$G:$G,Database!$D:$D,"Import",Database!$E:$E,$B32,Database!$C:$C,CO$1,Database!$F:$F,"Total")</f>
        <v>0</v>
      </c>
      <c r="CP32" s="137">
        <f>SUMIFS(Database!$G:$G,Database!$D:$D,"Import",Database!$E:$E,$B32,Database!$C:$C,CP$1,Database!$F:$F,"Total")</f>
        <v>0</v>
      </c>
      <c r="CQ32" s="137">
        <f>SUMIFS(Database!$G:$G,Database!$D:$D,"Import",Database!$E:$E,$B32,Database!$C:$C,CQ$1,Database!$F:$F,"Total")</f>
        <v>0</v>
      </c>
      <c r="CR32" s="137">
        <f>SUMIFS(Database!$G:$G,Database!$D:$D,"Import",Database!$E:$E,$B32,Database!$C:$C,CR$1,Database!$F:$F,"Total")</f>
        <v>0</v>
      </c>
      <c r="CS32" s="137">
        <f>SUMIFS(Database!$G:$G,Database!$D:$D,"Import",Database!$E:$E,$B32,Database!$C:$C,CS$1,Database!$F:$F,"Total")</f>
        <v>0</v>
      </c>
      <c r="CT32" s="137">
        <f>SUMIFS(Database!$G:$G,Database!$D:$D,"Import",Database!$E:$E,$B32,Database!$C:$C,CT$1,Database!$F:$F,"Total")</f>
        <v>0</v>
      </c>
      <c r="CU32" s="137">
        <f>SUMIFS(Database!$G:$G,Database!$D:$D,"Import",Database!$E:$E,$B32,Database!$C:$C,CU$1,Database!$F:$F,"Total")</f>
        <v>0</v>
      </c>
    </row>
    <row r="33" spans="1:99" x14ac:dyDescent="0.25">
      <c r="A33" s="132" t="s">
        <v>484</v>
      </c>
      <c r="B33" s="133" t="s">
        <v>435</v>
      </c>
      <c r="C33" s="137">
        <f>SUMIFS(Database!$G:$G,Database!$D:$D,"Import",Database!$E:$E,$B33,Database!$C:$C,C$1,Database!$F:$F,"Total")</f>
        <v>0</v>
      </c>
      <c r="D33" s="137">
        <f>SUMIFS(Database!$G:$G,Database!$D:$D,"Import",Database!$E:$E,$B33,Database!$C:$C,D$1,Database!$F:$F,"Total")</f>
        <v>0</v>
      </c>
      <c r="E33" s="137">
        <f>SUMIFS(Database!$G:$G,Database!$D:$D,"Import",Database!$E:$E,$B33,Database!$C:$C,E$1,Database!$F:$F,"Total")</f>
        <v>0</v>
      </c>
      <c r="F33" s="137">
        <f>SUMIFS(Database!$G:$G,Database!$D:$D,"Import",Database!$E:$E,$B33,Database!$C:$C,F$1,Database!$F:$F,"Total")</f>
        <v>0</v>
      </c>
      <c r="G33" s="137">
        <f>SUMIFS(Database!$G:$G,Database!$D:$D,"Import",Database!$E:$E,$B33,Database!$C:$C,G$1,Database!$F:$F,"Total")</f>
        <v>0</v>
      </c>
      <c r="H33" s="137">
        <f>SUMIFS(Database!$G:$G,Database!$D:$D,"Import",Database!$E:$E,$B33,Database!$C:$C,H$1,Database!$F:$F,"Total")</f>
        <v>0</v>
      </c>
      <c r="I33" s="137">
        <f>SUMIFS(Database!$G:$G,Database!$D:$D,"Import",Database!$E:$E,$B33,Database!$C:$C,I$1,Database!$F:$F,"Total")</f>
        <v>0</v>
      </c>
      <c r="J33" s="137">
        <f>SUMIFS(Database!$G:$G,Database!$D:$D,"Import",Database!$E:$E,$B33,Database!$C:$C,J$1,Database!$F:$F,"Total")</f>
        <v>0</v>
      </c>
      <c r="K33" s="137">
        <f>SUMIFS(Database!$G:$G,Database!$D:$D,"Import",Database!$E:$E,$B33,Database!$C:$C,K$1,Database!$F:$F,"Total")</f>
        <v>0</v>
      </c>
      <c r="L33" s="137">
        <f>SUMIFS(Database!$G:$G,Database!$D:$D,"Import",Database!$E:$E,$B33,Database!$C:$C,L$1,Database!$F:$F,"Total")</f>
        <v>0</v>
      </c>
      <c r="M33" s="137">
        <f>SUMIFS(Database!$G:$G,Database!$D:$D,"Import",Database!$E:$E,$B33,Database!$C:$C,M$1,Database!$F:$F,"Total")</f>
        <v>0</v>
      </c>
      <c r="N33" s="137">
        <f>SUMIFS(Database!$G:$G,Database!$D:$D,"Import",Database!$E:$E,$B33,Database!$C:$C,N$1,Database!$F:$F,"Total")</f>
        <v>0</v>
      </c>
      <c r="O33" s="137">
        <f>SUMIFS(Database!$G:$G,Database!$D:$D,"Import",Database!$E:$E,$B33,Database!$C:$C,O$1,Database!$F:$F,"Total")</f>
        <v>0</v>
      </c>
      <c r="P33" s="137">
        <f>SUMIFS(Database!$G:$G,Database!$D:$D,"Import",Database!$E:$E,$B33,Database!$C:$C,P$1,Database!$F:$F,"Total")</f>
        <v>0</v>
      </c>
      <c r="Q33" s="137">
        <f>SUMIFS(Database!$G:$G,Database!$D:$D,"Import",Database!$E:$E,$B33,Database!$C:$C,Q$1,Database!$F:$F,"Total")</f>
        <v>0</v>
      </c>
      <c r="R33" s="137">
        <f>SUMIFS(Database!$G:$G,Database!$D:$D,"Import",Database!$E:$E,$B33,Database!$C:$C,R$1,Database!$F:$F,"Total")</f>
        <v>0</v>
      </c>
      <c r="S33" s="137">
        <f>SUMIFS(Database!$G:$G,Database!$D:$D,"Import",Database!$E:$E,$B33,Database!$C:$C,S$1,Database!$F:$F,"Total")</f>
        <v>0</v>
      </c>
      <c r="T33" s="137">
        <f>SUMIFS(Database!$G:$G,Database!$D:$D,"Import",Database!$E:$E,$B33,Database!$C:$C,T$1,Database!$F:$F,"Total")</f>
        <v>0</v>
      </c>
      <c r="U33" s="137">
        <f>SUMIFS(Database!$G:$G,Database!$D:$D,"Import",Database!$E:$E,$B33,Database!$C:$C,U$1,Database!$F:$F,"Total")</f>
        <v>0</v>
      </c>
      <c r="V33" s="137">
        <f>SUMIFS(Database!$G:$G,Database!$D:$D,"Import",Database!$E:$E,$B33,Database!$C:$C,V$1,Database!$F:$F,"Total")</f>
        <v>0</v>
      </c>
      <c r="W33" s="137">
        <f>SUMIFS(Database!$G:$G,Database!$D:$D,"Import",Database!$E:$E,$B33,Database!$C:$C,W$1,Database!$F:$F,"Total")</f>
        <v>0</v>
      </c>
      <c r="X33" s="137">
        <f>SUMIFS(Database!$G:$G,Database!$D:$D,"Import",Database!$E:$E,$B33,Database!$C:$C,X$1,Database!$F:$F,"Total")</f>
        <v>0</v>
      </c>
      <c r="Y33" s="137">
        <f>SUMIFS(Database!$G:$G,Database!$D:$D,"Import",Database!$E:$E,$B33,Database!$C:$C,Y$1,Database!$F:$F,"Total")</f>
        <v>0</v>
      </c>
      <c r="Z33" s="137">
        <f>SUMIFS(Database!$G:$G,Database!$D:$D,"Import",Database!$E:$E,$B33,Database!$C:$C,Z$1,Database!$F:$F,"Total")</f>
        <v>0</v>
      </c>
      <c r="AA33" s="137">
        <f>SUMIFS(Database!$G:$G,Database!$D:$D,"Import",Database!$E:$E,$B33,Database!$C:$C,AA$1,Database!$F:$F,"Total")</f>
        <v>0</v>
      </c>
      <c r="AB33" s="137">
        <f>SUMIFS(Database!$G:$G,Database!$D:$D,"Import",Database!$E:$E,$B33,Database!$C:$C,AB$1,Database!$F:$F,"Total")</f>
        <v>0</v>
      </c>
      <c r="AC33" s="137">
        <f>SUMIFS(Database!$G:$G,Database!$D:$D,"Import",Database!$E:$E,$B33,Database!$C:$C,AC$1,Database!$F:$F,"Total")</f>
        <v>0</v>
      </c>
      <c r="AD33" s="137">
        <f>SUMIFS(Database!$G:$G,Database!$D:$D,"Import",Database!$E:$E,$B33,Database!$C:$C,AD$1,Database!$F:$F,"Total")</f>
        <v>0</v>
      </c>
      <c r="AE33" s="137">
        <f>SUMIFS(Database!$G:$G,Database!$D:$D,"Import",Database!$E:$E,$B33,Database!$C:$C,AE$1,Database!$F:$F,"Total")</f>
        <v>0</v>
      </c>
      <c r="AF33" s="137">
        <f>SUMIFS(Database!$G:$G,Database!$D:$D,"Import",Database!$E:$E,$B33,Database!$C:$C,AF$1,Database!$F:$F,"Total")</f>
        <v>0</v>
      </c>
      <c r="AG33" s="137">
        <f>SUMIFS(Database!$G:$G,Database!$D:$D,"Import",Database!$E:$E,$B33,Database!$C:$C,AG$1,Database!$F:$F,"Total")</f>
        <v>0</v>
      </c>
      <c r="AH33" s="137">
        <f>SUMIFS(Database!$G:$G,Database!$D:$D,"Import",Database!$E:$E,$B33,Database!$C:$C,AH$1,Database!$F:$F,"Total")</f>
        <v>0</v>
      </c>
      <c r="AI33" s="137">
        <f>SUMIFS(Database!$G:$G,Database!$D:$D,"Import",Database!$E:$E,$B33,Database!$C:$C,AI$1,Database!$F:$F,"Total")</f>
        <v>0</v>
      </c>
      <c r="AJ33" s="137">
        <f>SUMIFS(Database!$G:$G,Database!$D:$D,"Import",Database!$E:$E,$B33,Database!$C:$C,AJ$1,Database!$F:$F,"Total")</f>
        <v>0</v>
      </c>
      <c r="AK33" s="137">
        <f>SUMIFS(Database!$G:$G,Database!$D:$D,"Import",Database!$E:$E,$B33,Database!$C:$C,AK$1,Database!$F:$F,"Total")</f>
        <v>0</v>
      </c>
      <c r="AL33" s="137">
        <f>SUMIFS(Database!$G:$G,Database!$D:$D,"Import",Database!$E:$E,$B33,Database!$C:$C,AL$1,Database!$F:$F,"Total")</f>
        <v>0</v>
      </c>
      <c r="AM33" s="137">
        <f>SUMIFS(Database!$G:$G,Database!$D:$D,"Import",Database!$E:$E,$B33,Database!$C:$C,AM$1,Database!$F:$F,"Total")</f>
        <v>0</v>
      </c>
      <c r="AN33" s="137">
        <f>SUMIFS(Database!$G:$G,Database!$D:$D,"Import",Database!$E:$E,$B33,Database!$C:$C,AN$1,Database!$F:$F,"Total")</f>
        <v>0</v>
      </c>
      <c r="AO33" s="137">
        <f>SUMIFS(Database!$G:$G,Database!$D:$D,"Import",Database!$E:$E,$B33,Database!$C:$C,AO$1,Database!$F:$F,"Total")</f>
        <v>0</v>
      </c>
      <c r="AP33" s="137">
        <f>SUMIFS(Database!$G:$G,Database!$D:$D,"Import",Database!$E:$E,$B33,Database!$C:$C,AP$1,Database!$F:$F,"Total")</f>
        <v>0</v>
      </c>
      <c r="AQ33" s="137">
        <f>SUMIFS(Database!$G:$G,Database!$D:$D,"Import",Database!$E:$E,$B33,Database!$C:$C,AQ$1,Database!$F:$F,"Total")</f>
        <v>0</v>
      </c>
      <c r="AR33" s="137">
        <f>SUMIFS(Database!$G:$G,Database!$D:$D,"Import",Database!$E:$E,$B33,Database!$C:$C,AR$1,Database!$F:$F,"Total")</f>
        <v>0</v>
      </c>
      <c r="AS33" s="137">
        <f>SUMIFS(Database!$G:$G,Database!$D:$D,"Import",Database!$E:$E,$B33,Database!$C:$C,AS$1,Database!$F:$F,"Total")</f>
        <v>0</v>
      </c>
      <c r="AT33" s="137">
        <f>SUMIFS(Database!$G:$G,Database!$D:$D,"Import",Database!$E:$E,$B33,Database!$C:$C,AT$1,Database!$F:$F,"Total")</f>
        <v>0</v>
      </c>
      <c r="AU33" s="137">
        <f>SUMIFS(Database!$G:$G,Database!$D:$D,"Import",Database!$E:$E,$B33,Database!$C:$C,AU$1,Database!$F:$F,"Total")</f>
        <v>0</v>
      </c>
      <c r="AV33" s="137">
        <f>SUMIFS(Database!$G:$G,Database!$D:$D,"Import",Database!$E:$E,$B33,Database!$C:$C,AV$1,Database!$F:$F,"Total")</f>
        <v>0</v>
      </c>
      <c r="AW33" s="137">
        <f>SUMIFS(Database!$G:$G,Database!$D:$D,"Import",Database!$E:$E,$B33,Database!$C:$C,AW$1,Database!$F:$F,"Total")</f>
        <v>0</v>
      </c>
      <c r="AX33" s="137">
        <f>SUMIFS(Database!$G:$G,Database!$D:$D,"Import",Database!$E:$E,$B33,Database!$C:$C,AX$1,Database!$F:$F,"Total")</f>
        <v>0</v>
      </c>
      <c r="AY33" s="137">
        <f>SUMIFS(Database!$G:$G,Database!$D:$D,"Import",Database!$E:$E,$B33,Database!$C:$C,AY$1,Database!$F:$F,"Total")</f>
        <v>0</v>
      </c>
      <c r="AZ33" s="137">
        <f>SUMIFS(Database!$G:$G,Database!$D:$D,"Import",Database!$E:$E,$B33,Database!$C:$C,AZ$1,Database!$F:$F,"Total")</f>
        <v>0</v>
      </c>
      <c r="BA33" s="137">
        <f>SUMIFS(Database!$G:$G,Database!$D:$D,"Import",Database!$E:$E,$B33,Database!$C:$C,BA$1,Database!$F:$F,"Total")</f>
        <v>0</v>
      </c>
      <c r="BB33" s="137">
        <f>SUMIFS(Database!$G:$G,Database!$D:$D,"Import",Database!$E:$E,$B33,Database!$C:$C,BB$1,Database!$F:$F,"Total")</f>
        <v>0</v>
      </c>
      <c r="BC33" s="137">
        <f>SUMIFS(Database!$G:$G,Database!$D:$D,"Import",Database!$E:$E,$B33,Database!$C:$C,BC$1,Database!$F:$F,"Total")</f>
        <v>0</v>
      </c>
      <c r="BD33" s="137">
        <f>SUMIFS(Database!$G:$G,Database!$D:$D,"Import",Database!$E:$E,$B33,Database!$C:$C,BD$1,Database!$F:$F,"Total")</f>
        <v>0</v>
      </c>
      <c r="BE33" s="137">
        <f>SUMIFS(Database!$G:$G,Database!$D:$D,"Import",Database!$E:$E,$B33,Database!$C:$C,BE$1,Database!$F:$F,"Total")</f>
        <v>0</v>
      </c>
      <c r="BF33" s="137">
        <f>SUMIFS(Database!$G:$G,Database!$D:$D,"Import",Database!$E:$E,$B33,Database!$C:$C,BF$1,Database!$F:$F,"Total")</f>
        <v>0</v>
      </c>
      <c r="BG33" s="137">
        <f>SUMIFS(Database!$G:$G,Database!$D:$D,"Import",Database!$E:$E,$B33,Database!$C:$C,BG$1,Database!$F:$F,"Total")</f>
        <v>0</v>
      </c>
      <c r="BH33" s="137">
        <f>SUMIFS(Database!$G:$G,Database!$D:$D,"Import",Database!$E:$E,$B33,Database!$C:$C,BH$1,Database!$F:$F,"Total")</f>
        <v>0</v>
      </c>
      <c r="BI33" s="137">
        <f>SUMIFS(Database!$G:$G,Database!$D:$D,"Import",Database!$E:$E,$B33,Database!$C:$C,BI$1,Database!$F:$F,"Total")</f>
        <v>0</v>
      </c>
      <c r="BJ33" s="137">
        <f>SUMIFS(Database!$G:$G,Database!$D:$D,"Import",Database!$E:$E,$B33,Database!$C:$C,BJ$1,Database!$F:$F,"Total")</f>
        <v>41276</v>
      </c>
      <c r="BK33" s="137">
        <f>SUMIFS(Database!$G:$G,Database!$D:$D,"Import",Database!$E:$E,$B33,Database!$C:$C,BK$1,Database!$F:$F,"Total")</f>
        <v>22596</v>
      </c>
      <c r="BL33" s="137">
        <f>SUMIFS(Database!$G:$G,Database!$D:$D,"Import",Database!$E:$E,$B33,Database!$C:$C,BL$1,Database!$F:$F,"Total")</f>
        <v>0</v>
      </c>
      <c r="BM33" s="137">
        <f>SUMIFS(Database!$G:$G,Database!$D:$D,"Import",Database!$E:$E,$B33,Database!$C:$C,BM$1,Database!$F:$F,"Total")</f>
        <v>0</v>
      </c>
      <c r="BN33" s="137">
        <f>SUMIFS(Database!$G:$G,Database!$D:$D,"Import",Database!$E:$E,$B33,Database!$C:$C,BN$1,Database!$F:$F,"Total")</f>
        <v>0</v>
      </c>
      <c r="BO33" s="137">
        <f>SUMIFS(Database!$G:$G,Database!$D:$D,"Import",Database!$E:$E,$B33,Database!$C:$C,BO$1,Database!$F:$F,"Total")</f>
        <v>0</v>
      </c>
      <c r="BP33" s="137">
        <f>SUMIFS(Database!$G:$G,Database!$D:$D,"Import",Database!$E:$E,$B33,Database!$C:$C,BP$1,Database!$F:$F,"Total")</f>
        <v>0</v>
      </c>
      <c r="BQ33" s="137">
        <f>SUMIFS(Database!$G:$G,Database!$D:$D,"Import",Database!$E:$E,$B33,Database!$C:$C,BQ$1,Database!$F:$F,"Total")</f>
        <v>0</v>
      </c>
      <c r="BR33" s="137">
        <f>SUMIFS(Database!$G:$G,Database!$D:$D,"Import",Database!$E:$E,$B33,Database!$C:$C,BR$1,Database!$F:$F,"Total")</f>
        <v>0</v>
      </c>
      <c r="BS33" s="137">
        <f>SUMIFS(Database!$G:$G,Database!$D:$D,"Import",Database!$E:$E,$B33,Database!$C:$C,BS$1,Database!$F:$F,"Total")</f>
        <v>0</v>
      </c>
      <c r="BT33" s="137">
        <f>SUMIFS(Database!$G:$G,Database!$D:$D,"Import",Database!$E:$E,$B33,Database!$C:$C,BT$1,Database!$F:$F,"Total")</f>
        <v>0</v>
      </c>
      <c r="BU33" s="137">
        <f>SUMIFS(Database!$G:$G,Database!$D:$D,"Import",Database!$E:$E,$B33,Database!$C:$C,BU$1,Database!$F:$F,"Total")</f>
        <v>0</v>
      </c>
      <c r="BV33" s="137">
        <f>SUMIFS(Database!$G:$G,Database!$D:$D,"Import",Database!$E:$E,$B33,Database!$C:$C,BV$1,Database!$F:$F,"Total")</f>
        <v>0</v>
      </c>
      <c r="BW33" s="137">
        <f>SUMIFS(Database!$G:$G,Database!$D:$D,"Import",Database!$E:$E,$B33,Database!$C:$C,BW$1,Database!$F:$F,"Total")</f>
        <v>0</v>
      </c>
      <c r="BX33" s="137">
        <f>SUMIFS(Database!$G:$G,Database!$D:$D,"Import",Database!$E:$E,$B33,Database!$C:$C,BX$1,Database!$F:$F,"Total")</f>
        <v>0</v>
      </c>
      <c r="BY33" s="137">
        <f>SUMIFS(Database!$G:$G,Database!$D:$D,"Import",Database!$E:$E,$B33,Database!$C:$C,BY$1,Database!$F:$F,"Total")</f>
        <v>0</v>
      </c>
      <c r="BZ33" s="137">
        <f>SUMIFS(Database!$G:$G,Database!$D:$D,"Import",Database!$E:$E,$B33,Database!$C:$C,BZ$1,Database!$F:$F,"Total")</f>
        <v>0</v>
      </c>
      <c r="CA33" s="137">
        <f>SUMIFS(Database!$G:$G,Database!$D:$D,"Import",Database!$E:$E,$B33,Database!$C:$C,CA$1,Database!$F:$F,"Total")</f>
        <v>0</v>
      </c>
      <c r="CB33" s="137">
        <f>SUMIFS(Database!$G:$G,Database!$D:$D,"Import",Database!$E:$E,$B33,Database!$C:$C,CB$1,Database!$F:$F,"Total")</f>
        <v>0</v>
      </c>
      <c r="CC33" s="137">
        <f>SUMIFS(Database!$G:$G,Database!$D:$D,"Import",Database!$E:$E,$B33,Database!$C:$C,CC$1,Database!$F:$F,"Total")</f>
        <v>0</v>
      </c>
      <c r="CD33" s="137">
        <f>SUMIFS(Database!$G:$G,Database!$D:$D,"Import",Database!$E:$E,$B33,Database!$C:$C,CD$1,Database!$F:$F,"Total")</f>
        <v>0</v>
      </c>
      <c r="CE33" s="137">
        <f>SUMIFS(Database!$G:$G,Database!$D:$D,"Import",Database!$E:$E,$B33,Database!$C:$C,CE$1,Database!$F:$F,"Total")</f>
        <v>0</v>
      </c>
      <c r="CF33" s="137">
        <f>SUMIFS(Database!$G:$G,Database!$D:$D,"Import",Database!$E:$E,$B33,Database!$C:$C,CF$1,Database!$F:$F,"Total")</f>
        <v>0</v>
      </c>
      <c r="CG33" s="137">
        <f>SUMIFS(Database!$G:$G,Database!$D:$D,"Import",Database!$E:$E,$B33,Database!$C:$C,CG$1,Database!$F:$F,"Total")</f>
        <v>0</v>
      </c>
      <c r="CH33" s="137">
        <f>SUMIFS(Database!$G:$G,Database!$D:$D,"Import",Database!$E:$E,$B33,Database!$C:$C,CH$1,Database!$F:$F,"Total")</f>
        <v>0</v>
      </c>
      <c r="CI33" s="137">
        <f>SUMIFS(Database!$G:$G,Database!$D:$D,"Import",Database!$E:$E,$B33,Database!$C:$C,CI$1,Database!$F:$F,"Total")</f>
        <v>0</v>
      </c>
      <c r="CJ33" s="137">
        <f>SUMIFS(Database!$G:$G,Database!$D:$D,"Import",Database!$E:$E,$B33,Database!$C:$C,CJ$1,Database!$F:$F,"Total")</f>
        <v>0</v>
      </c>
      <c r="CK33" s="137">
        <f>SUMIFS(Database!$G:$G,Database!$D:$D,"Import",Database!$E:$E,$B33,Database!$C:$C,CK$1,Database!$F:$F,"Total")</f>
        <v>0</v>
      </c>
      <c r="CL33" s="137">
        <f>SUMIFS(Database!$G:$G,Database!$D:$D,"Import",Database!$E:$E,$B33,Database!$C:$C,CL$1,Database!$F:$F,"Total")</f>
        <v>0</v>
      </c>
      <c r="CM33" s="137">
        <f>SUMIFS(Database!$G:$G,Database!$D:$D,"Import",Database!$E:$E,$B33,Database!$C:$C,CM$1,Database!$F:$F,"Total")</f>
        <v>0</v>
      </c>
      <c r="CN33" s="137">
        <f>SUMIFS(Database!$G:$G,Database!$D:$D,"Import",Database!$E:$E,$B33,Database!$C:$C,CN$1,Database!$F:$F,"Total")</f>
        <v>0</v>
      </c>
      <c r="CO33" s="137">
        <f>SUMIFS(Database!$G:$G,Database!$D:$D,"Import",Database!$E:$E,$B33,Database!$C:$C,CO$1,Database!$F:$F,"Total")</f>
        <v>0</v>
      </c>
      <c r="CP33" s="137">
        <f>SUMIFS(Database!$G:$G,Database!$D:$D,"Import",Database!$E:$E,$B33,Database!$C:$C,CP$1,Database!$F:$F,"Total")</f>
        <v>0</v>
      </c>
      <c r="CQ33" s="137">
        <f>SUMIFS(Database!$G:$G,Database!$D:$D,"Import",Database!$E:$E,$B33,Database!$C:$C,CQ$1,Database!$F:$F,"Total")</f>
        <v>0</v>
      </c>
      <c r="CR33" s="137">
        <f>SUMIFS(Database!$G:$G,Database!$D:$D,"Import",Database!$E:$E,$B33,Database!$C:$C,CR$1,Database!$F:$F,"Total")</f>
        <v>0</v>
      </c>
      <c r="CS33" s="137">
        <f>SUMIFS(Database!$G:$G,Database!$D:$D,"Import",Database!$E:$E,$B33,Database!$C:$C,CS$1,Database!$F:$F,"Total")</f>
        <v>0</v>
      </c>
      <c r="CT33" s="137">
        <f>SUMIFS(Database!$G:$G,Database!$D:$D,"Import",Database!$E:$E,$B33,Database!$C:$C,CT$1,Database!$F:$F,"Total")</f>
        <v>0</v>
      </c>
      <c r="CU33" s="137">
        <f>SUMIFS(Database!$G:$G,Database!$D:$D,"Import",Database!$E:$E,$B33,Database!$C:$C,CU$1,Database!$F:$F,"Total")</f>
        <v>0</v>
      </c>
    </row>
    <row r="34" spans="1:99" x14ac:dyDescent="0.25">
      <c r="A34" s="132" t="s">
        <v>484</v>
      </c>
      <c r="B34" s="133" t="s">
        <v>442</v>
      </c>
      <c r="C34" s="137">
        <f>SUMIFS(Database!$G:$G,Database!$D:$D,"Import",Database!$E:$E,$B34,Database!$C:$C,C$1,Database!$F:$F,"Total")</f>
        <v>0</v>
      </c>
      <c r="D34" s="137">
        <f>SUMIFS(Database!$G:$G,Database!$D:$D,"Import",Database!$E:$E,$B34,Database!$C:$C,D$1,Database!$F:$F,"Total")</f>
        <v>0</v>
      </c>
      <c r="E34" s="137">
        <f>SUMIFS(Database!$G:$G,Database!$D:$D,"Import",Database!$E:$E,$B34,Database!$C:$C,E$1,Database!$F:$F,"Total")</f>
        <v>0</v>
      </c>
      <c r="F34" s="137">
        <f>SUMIFS(Database!$G:$G,Database!$D:$D,"Import",Database!$E:$E,$B34,Database!$C:$C,F$1,Database!$F:$F,"Total")</f>
        <v>0</v>
      </c>
      <c r="G34" s="137">
        <f>SUMIFS(Database!$G:$G,Database!$D:$D,"Import",Database!$E:$E,$B34,Database!$C:$C,G$1,Database!$F:$F,"Total")</f>
        <v>0</v>
      </c>
      <c r="H34" s="137">
        <f>SUMIFS(Database!$G:$G,Database!$D:$D,"Import",Database!$E:$E,$B34,Database!$C:$C,H$1,Database!$F:$F,"Total")</f>
        <v>0</v>
      </c>
      <c r="I34" s="137">
        <f>SUMIFS(Database!$G:$G,Database!$D:$D,"Import",Database!$E:$E,$B34,Database!$C:$C,I$1,Database!$F:$F,"Total")</f>
        <v>0</v>
      </c>
      <c r="J34" s="137">
        <f>SUMIFS(Database!$G:$G,Database!$D:$D,"Import",Database!$E:$E,$B34,Database!$C:$C,J$1,Database!$F:$F,"Total")</f>
        <v>0</v>
      </c>
      <c r="K34" s="137">
        <f>SUMIFS(Database!$G:$G,Database!$D:$D,"Import",Database!$E:$E,$B34,Database!$C:$C,K$1,Database!$F:$F,"Total")</f>
        <v>0</v>
      </c>
      <c r="L34" s="137">
        <f>SUMIFS(Database!$G:$G,Database!$D:$D,"Import",Database!$E:$E,$B34,Database!$C:$C,L$1,Database!$F:$F,"Total")</f>
        <v>0</v>
      </c>
      <c r="M34" s="137">
        <f>SUMIFS(Database!$G:$G,Database!$D:$D,"Import",Database!$E:$E,$B34,Database!$C:$C,M$1,Database!$F:$F,"Total")</f>
        <v>0</v>
      </c>
      <c r="N34" s="137">
        <f>SUMIFS(Database!$G:$G,Database!$D:$D,"Import",Database!$E:$E,$B34,Database!$C:$C,N$1,Database!$F:$F,"Total")</f>
        <v>0</v>
      </c>
      <c r="O34" s="137">
        <f>SUMIFS(Database!$G:$G,Database!$D:$D,"Import",Database!$E:$E,$B34,Database!$C:$C,O$1,Database!$F:$F,"Total")</f>
        <v>0</v>
      </c>
      <c r="P34" s="137">
        <f>SUMIFS(Database!$G:$G,Database!$D:$D,"Import",Database!$E:$E,$B34,Database!$C:$C,P$1,Database!$F:$F,"Total")</f>
        <v>0</v>
      </c>
      <c r="Q34" s="137">
        <f>SUMIFS(Database!$G:$G,Database!$D:$D,"Import",Database!$E:$E,$B34,Database!$C:$C,Q$1,Database!$F:$F,"Total")</f>
        <v>0</v>
      </c>
      <c r="R34" s="137">
        <f>SUMIFS(Database!$G:$G,Database!$D:$D,"Import",Database!$E:$E,$B34,Database!$C:$C,R$1,Database!$F:$F,"Total")</f>
        <v>0</v>
      </c>
      <c r="S34" s="137">
        <f>SUMIFS(Database!$G:$G,Database!$D:$D,"Import",Database!$E:$E,$B34,Database!$C:$C,S$1,Database!$F:$F,"Total")</f>
        <v>0</v>
      </c>
      <c r="T34" s="137">
        <f>SUMIFS(Database!$G:$G,Database!$D:$D,"Import",Database!$E:$E,$B34,Database!$C:$C,T$1,Database!$F:$F,"Total")</f>
        <v>0</v>
      </c>
      <c r="U34" s="137">
        <f>SUMIFS(Database!$G:$G,Database!$D:$D,"Import",Database!$E:$E,$B34,Database!$C:$C,U$1,Database!$F:$F,"Total")</f>
        <v>0</v>
      </c>
      <c r="V34" s="137">
        <f>SUMIFS(Database!$G:$G,Database!$D:$D,"Import",Database!$E:$E,$B34,Database!$C:$C,V$1,Database!$F:$F,"Total")</f>
        <v>0</v>
      </c>
      <c r="W34" s="137">
        <f>SUMIFS(Database!$G:$G,Database!$D:$D,"Import",Database!$E:$E,$B34,Database!$C:$C,W$1,Database!$F:$F,"Total")</f>
        <v>0</v>
      </c>
      <c r="X34" s="137">
        <f>SUMIFS(Database!$G:$G,Database!$D:$D,"Import",Database!$E:$E,$B34,Database!$C:$C,X$1,Database!$F:$F,"Total")</f>
        <v>0</v>
      </c>
      <c r="Y34" s="137">
        <f>SUMIFS(Database!$G:$G,Database!$D:$D,"Import",Database!$E:$E,$B34,Database!$C:$C,Y$1,Database!$F:$F,"Total")</f>
        <v>0</v>
      </c>
      <c r="Z34" s="137">
        <f>SUMIFS(Database!$G:$G,Database!$D:$D,"Import",Database!$E:$E,$B34,Database!$C:$C,Z$1,Database!$F:$F,"Total")</f>
        <v>0</v>
      </c>
      <c r="AA34" s="137">
        <f>SUMIFS(Database!$G:$G,Database!$D:$D,"Import",Database!$E:$E,$B34,Database!$C:$C,AA$1,Database!$F:$F,"Total")</f>
        <v>0</v>
      </c>
      <c r="AB34" s="137">
        <f>SUMIFS(Database!$G:$G,Database!$D:$D,"Import",Database!$E:$E,$B34,Database!$C:$C,AB$1,Database!$F:$F,"Total")</f>
        <v>0</v>
      </c>
      <c r="AC34" s="137">
        <f>SUMIFS(Database!$G:$G,Database!$D:$D,"Import",Database!$E:$E,$B34,Database!$C:$C,AC$1,Database!$F:$F,"Total")</f>
        <v>0</v>
      </c>
      <c r="AD34" s="137">
        <f>SUMIFS(Database!$G:$G,Database!$D:$D,"Import",Database!$E:$E,$B34,Database!$C:$C,AD$1,Database!$F:$F,"Total")</f>
        <v>0</v>
      </c>
      <c r="AE34" s="137">
        <f>SUMIFS(Database!$G:$G,Database!$D:$D,"Import",Database!$E:$E,$B34,Database!$C:$C,AE$1,Database!$F:$F,"Total")</f>
        <v>0</v>
      </c>
      <c r="AF34" s="137">
        <f>SUMIFS(Database!$G:$G,Database!$D:$D,"Import",Database!$E:$E,$B34,Database!$C:$C,AF$1,Database!$F:$F,"Total")</f>
        <v>0</v>
      </c>
      <c r="AG34" s="137">
        <f>SUMIFS(Database!$G:$G,Database!$D:$D,"Import",Database!$E:$E,$B34,Database!$C:$C,AG$1,Database!$F:$F,"Total")</f>
        <v>0</v>
      </c>
      <c r="AH34" s="137">
        <f>SUMIFS(Database!$G:$G,Database!$D:$D,"Import",Database!$E:$E,$B34,Database!$C:$C,AH$1,Database!$F:$F,"Total")</f>
        <v>0</v>
      </c>
      <c r="AI34" s="137">
        <f>SUMIFS(Database!$G:$G,Database!$D:$D,"Import",Database!$E:$E,$B34,Database!$C:$C,AI$1,Database!$F:$F,"Total")</f>
        <v>0</v>
      </c>
      <c r="AJ34" s="137">
        <f>SUMIFS(Database!$G:$G,Database!$D:$D,"Import",Database!$E:$E,$B34,Database!$C:$C,AJ$1,Database!$F:$F,"Total")</f>
        <v>0</v>
      </c>
      <c r="AK34" s="137">
        <f>SUMIFS(Database!$G:$G,Database!$D:$D,"Import",Database!$E:$E,$B34,Database!$C:$C,AK$1,Database!$F:$F,"Total")</f>
        <v>0</v>
      </c>
      <c r="AL34" s="137">
        <f>SUMIFS(Database!$G:$G,Database!$D:$D,"Import",Database!$E:$E,$B34,Database!$C:$C,AL$1,Database!$F:$F,"Total")</f>
        <v>0</v>
      </c>
      <c r="AM34" s="137">
        <f>SUMIFS(Database!$G:$G,Database!$D:$D,"Import",Database!$E:$E,$B34,Database!$C:$C,AM$1,Database!$F:$F,"Total")</f>
        <v>0</v>
      </c>
      <c r="AN34" s="137">
        <f>SUMIFS(Database!$G:$G,Database!$D:$D,"Import",Database!$E:$E,$B34,Database!$C:$C,AN$1,Database!$F:$F,"Total")</f>
        <v>0</v>
      </c>
      <c r="AO34" s="137">
        <f>SUMIFS(Database!$G:$G,Database!$D:$D,"Import",Database!$E:$E,$B34,Database!$C:$C,AO$1,Database!$F:$F,"Total")</f>
        <v>0</v>
      </c>
      <c r="AP34" s="137">
        <f>SUMIFS(Database!$G:$G,Database!$D:$D,"Import",Database!$E:$E,$B34,Database!$C:$C,AP$1,Database!$F:$F,"Total")</f>
        <v>0</v>
      </c>
      <c r="AQ34" s="137">
        <f>SUMIFS(Database!$G:$G,Database!$D:$D,"Import",Database!$E:$E,$B34,Database!$C:$C,AQ$1,Database!$F:$F,"Total")</f>
        <v>0</v>
      </c>
      <c r="AR34" s="137">
        <f>SUMIFS(Database!$G:$G,Database!$D:$D,"Import",Database!$E:$E,$B34,Database!$C:$C,AR$1,Database!$F:$F,"Total")</f>
        <v>0</v>
      </c>
      <c r="AS34" s="137">
        <f>SUMIFS(Database!$G:$G,Database!$D:$D,"Import",Database!$E:$E,$B34,Database!$C:$C,AS$1,Database!$F:$F,"Total")</f>
        <v>0</v>
      </c>
      <c r="AT34" s="137">
        <f>SUMIFS(Database!$G:$G,Database!$D:$D,"Import",Database!$E:$E,$B34,Database!$C:$C,AT$1,Database!$F:$F,"Total")</f>
        <v>0</v>
      </c>
      <c r="AU34" s="137">
        <f>SUMIFS(Database!$G:$G,Database!$D:$D,"Import",Database!$E:$E,$B34,Database!$C:$C,AU$1,Database!$F:$F,"Total")</f>
        <v>0</v>
      </c>
      <c r="AV34" s="137">
        <f>SUMIFS(Database!$G:$G,Database!$D:$D,"Import",Database!$E:$E,$B34,Database!$C:$C,AV$1,Database!$F:$F,"Total")</f>
        <v>0</v>
      </c>
      <c r="AW34" s="137">
        <f>SUMIFS(Database!$G:$G,Database!$D:$D,"Import",Database!$E:$E,$B34,Database!$C:$C,AW$1,Database!$F:$F,"Total")</f>
        <v>0</v>
      </c>
      <c r="AX34" s="137">
        <f>SUMIFS(Database!$G:$G,Database!$D:$D,"Import",Database!$E:$E,$B34,Database!$C:$C,AX$1,Database!$F:$F,"Total")</f>
        <v>0</v>
      </c>
      <c r="AY34" s="137">
        <f>SUMIFS(Database!$G:$G,Database!$D:$D,"Import",Database!$E:$E,$B34,Database!$C:$C,AY$1,Database!$F:$F,"Total")</f>
        <v>0</v>
      </c>
      <c r="AZ34" s="137">
        <f>SUMIFS(Database!$G:$G,Database!$D:$D,"Import",Database!$E:$E,$B34,Database!$C:$C,AZ$1,Database!$F:$F,"Total")</f>
        <v>0</v>
      </c>
      <c r="BA34" s="137">
        <f>SUMIFS(Database!$G:$G,Database!$D:$D,"Import",Database!$E:$E,$B34,Database!$C:$C,BA$1,Database!$F:$F,"Total")</f>
        <v>0</v>
      </c>
      <c r="BB34" s="137">
        <f>SUMIFS(Database!$G:$G,Database!$D:$D,"Import",Database!$E:$E,$B34,Database!$C:$C,BB$1,Database!$F:$F,"Total")</f>
        <v>0</v>
      </c>
      <c r="BC34" s="137">
        <f>SUMIFS(Database!$G:$G,Database!$D:$D,"Import",Database!$E:$E,$B34,Database!$C:$C,BC$1,Database!$F:$F,"Total")</f>
        <v>0</v>
      </c>
      <c r="BD34" s="137">
        <f>SUMIFS(Database!$G:$G,Database!$D:$D,"Import",Database!$E:$E,$B34,Database!$C:$C,BD$1,Database!$F:$F,"Total")</f>
        <v>0</v>
      </c>
      <c r="BE34" s="137">
        <f>SUMIFS(Database!$G:$G,Database!$D:$D,"Import",Database!$E:$E,$B34,Database!$C:$C,BE$1,Database!$F:$F,"Total")</f>
        <v>0</v>
      </c>
      <c r="BF34" s="137">
        <f>SUMIFS(Database!$G:$G,Database!$D:$D,"Import",Database!$E:$E,$B34,Database!$C:$C,BF$1,Database!$F:$F,"Total")</f>
        <v>0</v>
      </c>
      <c r="BG34" s="137">
        <f>SUMIFS(Database!$G:$G,Database!$D:$D,"Import",Database!$E:$E,$B34,Database!$C:$C,BG$1,Database!$F:$F,"Total")</f>
        <v>0</v>
      </c>
      <c r="BH34" s="137">
        <f>SUMIFS(Database!$G:$G,Database!$D:$D,"Import",Database!$E:$E,$B34,Database!$C:$C,BH$1,Database!$F:$F,"Total")</f>
        <v>0</v>
      </c>
      <c r="BI34" s="137">
        <f>SUMIFS(Database!$G:$G,Database!$D:$D,"Import",Database!$E:$E,$B34,Database!$C:$C,BI$1,Database!$F:$F,"Total")</f>
        <v>0</v>
      </c>
      <c r="BJ34" s="137">
        <f>SUMIFS(Database!$G:$G,Database!$D:$D,"Import",Database!$E:$E,$B34,Database!$C:$C,BJ$1,Database!$F:$F,"Total")</f>
        <v>0</v>
      </c>
      <c r="BK34" s="137">
        <f>SUMIFS(Database!$G:$G,Database!$D:$D,"Import",Database!$E:$E,$B34,Database!$C:$C,BK$1,Database!$F:$F,"Total")</f>
        <v>0</v>
      </c>
      <c r="BL34" s="137">
        <f>SUMIFS(Database!$G:$G,Database!$D:$D,"Import",Database!$E:$E,$B34,Database!$C:$C,BL$1,Database!$F:$F,"Total")</f>
        <v>0</v>
      </c>
      <c r="BM34" s="137">
        <f>SUMIFS(Database!$G:$G,Database!$D:$D,"Import",Database!$E:$E,$B34,Database!$C:$C,BM$1,Database!$F:$F,"Total")</f>
        <v>0</v>
      </c>
      <c r="BN34" s="137">
        <f>SUMIFS(Database!$G:$G,Database!$D:$D,"Import",Database!$E:$E,$B34,Database!$C:$C,BN$1,Database!$F:$F,"Total")</f>
        <v>13416</v>
      </c>
      <c r="BO34" s="137">
        <f>SUMIFS(Database!$G:$G,Database!$D:$D,"Import",Database!$E:$E,$B34,Database!$C:$C,BO$1,Database!$F:$F,"Total")</f>
        <v>0</v>
      </c>
      <c r="BP34" s="137">
        <f>SUMIFS(Database!$G:$G,Database!$D:$D,"Import",Database!$E:$E,$B34,Database!$C:$C,BP$1,Database!$F:$F,"Total")</f>
        <v>17234.5</v>
      </c>
      <c r="BQ34" s="137">
        <f>SUMIFS(Database!$G:$G,Database!$D:$D,"Import",Database!$E:$E,$B34,Database!$C:$C,BQ$1,Database!$F:$F,"Total")</f>
        <v>25923</v>
      </c>
      <c r="BR34" s="137">
        <f>SUMIFS(Database!$G:$G,Database!$D:$D,"Import",Database!$E:$E,$B34,Database!$C:$C,BR$1,Database!$F:$F,"Total")</f>
        <v>0</v>
      </c>
      <c r="BS34" s="137">
        <f>SUMIFS(Database!$G:$G,Database!$D:$D,"Import",Database!$E:$E,$B34,Database!$C:$C,BS$1,Database!$F:$F,"Total")</f>
        <v>0</v>
      </c>
      <c r="BT34" s="137">
        <f>SUMIFS(Database!$G:$G,Database!$D:$D,"Import",Database!$E:$E,$B34,Database!$C:$C,BT$1,Database!$F:$F,"Total")</f>
        <v>0</v>
      </c>
      <c r="BU34" s="137">
        <f>SUMIFS(Database!$G:$G,Database!$D:$D,"Import",Database!$E:$E,$B34,Database!$C:$C,BU$1,Database!$F:$F,"Total")</f>
        <v>0</v>
      </c>
      <c r="BV34" s="137">
        <f>SUMIFS(Database!$G:$G,Database!$D:$D,"Import",Database!$E:$E,$B34,Database!$C:$C,BV$1,Database!$F:$F,"Total")</f>
        <v>0</v>
      </c>
      <c r="BW34" s="137">
        <f>SUMIFS(Database!$G:$G,Database!$D:$D,"Import",Database!$E:$E,$B34,Database!$C:$C,BW$1,Database!$F:$F,"Total")</f>
        <v>0</v>
      </c>
      <c r="BX34" s="137">
        <f>SUMIFS(Database!$G:$G,Database!$D:$D,"Import",Database!$E:$E,$B34,Database!$C:$C,BX$1,Database!$F:$F,"Total")</f>
        <v>0</v>
      </c>
      <c r="BY34" s="137">
        <f>SUMIFS(Database!$G:$G,Database!$D:$D,"Import",Database!$E:$E,$B34,Database!$C:$C,BY$1,Database!$F:$F,"Total")</f>
        <v>0</v>
      </c>
      <c r="BZ34" s="137">
        <f>SUMIFS(Database!$G:$G,Database!$D:$D,"Import",Database!$E:$E,$B34,Database!$C:$C,BZ$1,Database!$F:$F,"Total")</f>
        <v>0</v>
      </c>
      <c r="CA34" s="137">
        <f>SUMIFS(Database!$G:$G,Database!$D:$D,"Import",Database!$E:$E,$B34,Database!$C:$C,CA$1,Database!$F:$F,"Total")</f>
        <v>0</v>
      </c>
      <c r="CB34" s="137">
        <f>SUMIFS(Database!$G:$G,Database!$D:$D,"Import",Database!$E:$E,$B34,Database!$C:$C,CB$1,Database!$F:$F,"Total")</f>
        <v>0</v>
      </c>
      <c r="CC34" s="137">
        <f>SUMIFS(Database!$G:$G,Database!$D:$D,"Import",Database!$E:$E,$B34,Database!$C:$C,CC$1,Database!$F:$F,"Total")</f>
        <v>0</v>
      </c>
      <c r="CD34" s="137">
        <f>SUMIFS(Database!$G:$G,Database!$D:$D,"Import",Database!$E:$E,$B34,Database!$C:$C,CD$1,Database!$F:$F,"Total")</f>
        <v>0</v>
      </c>
      <c r="CE34" s="137">
        <f>SUMIFS(Database!$G:$G,Database!$D:$D,"Import",Database!$E:$E,$B34,Database!$C:$C,CE$1,Database!$F:$F,"Total")</f>
        <v>0</v>
      </c>
      <c r="CF34" s="137">
        <f>SUMIFS(Database!$G:$G,Database!$D:$D,"Import",Database!$E:$E,$B34,Database!$C:$C,CF$1,Database!$F:$F,"Total")</f>
        <v>0</v>
      </c>
      <c r="CG34" s="137">
        <f>SUMIFS(Database!$G:$G,Database!$D:$D,"Import",Database!$E:$E,$B34,Database!$C:$C,CG$1,Database!$F:$F,"Total")</f>
        <v>0</v>
      </c>
      <c r="CH34" s="137">
        <f>SUMIFS(Database!$G:$G,Database!$D:$D,"Import",Database!$E:$E,$B34,Database!$C:$C,CH$1,Database!$F:$F,"Total")</f>
        <v>0</v>
      </c>
      <c r="CI34" s="137">
        <f>SUMIFS(Database!$G:$G,Database!$D:$D,"Import",Database!$E:$E,$B34,Database!$C:$C,CI$1,Database!$F:$F,"Total")</f>
        <v>0</v>
      </c>
      <c r="CJ34" s="137">
        <f>SUMIFS(Database!$G:$G,Database!$D:$D,"Import",Database!$E:$E,$B34,Database!$C:$C,CJ$1,Database!$F:$F,"Total")</f>
        <v>0</v>
      </c>
      <c r="CK34" s="137">
        <f>SUMIFS(Database!$G:$G,Database!$D:$D,"Import",Database!$E:$E,$B34,Database!$C:$C,CK$1,Database!$F:$F,"Total")</f>
        <v>0</v>
      </c>
      <c r="CL34" s="137">
        <f>SUMIFS(Database!$G:$G,Database!$D:$D,"Import",Database!$E:$E,$B34,Database!$C:$C,CL$1,Database!$F:$F,"Total")</f>
        <v>0</v>
      </c>
      <c r="CM34" s="137">
        <f>SUMIFS(Database!$G:$G,Database!$D:$D,"Import",Database!$E:$E,$B34,Database!$C:$C,CM$1,Database!$F:$F,"Total")</f>
        <v>0</v>
      </c>
      <c r="CN34" s="137">
        <f>SUMIFS(Database!$G:$G,Database!$D:$D,"Import",Database!$E:$E,$B34,Database!$C:$C,CN$1,Database!$F:$F,"Total")</f>
        <v>0</v>
      </c>
      <c r="CO34" s="137">
        <f>SUMIFS(Database!$G:$G,Database!$D:$D,"Import",Database!$E:$E,$B34,Database!$C:$C,CO$1,Database!$F:$F,"Total")</f>
        <v>0</v>
      </c>
      <c r="CP34" s="137">
        <f>SUMIFS(Database!$G:$G,Database!$D:$D,"Import",Database!$E:$E,$B34,Database!$C:$C,CP$1,Database!$F:$F,"Total")</f>
        <v>0</v>
      </c>
      <c r="CQ34" s="137">
        <f>SUMIFS(Database!$G:$G,Database!$D:$D,"Import",Database!$E:$E,$B34,Database!$C:$C,CQ$1,Database!$F:$F,"Total")</f>
        <v>0</v>
      </c>
      <c r="CR34" s="137">
        <f>SUMIFS(Database!$G:$G,Database!$D:$D,"Import",Database!$E:$E,$B34,Database!$C:$C,CR$1,Database!$F:$F,"Total")</f>
        <v>0</v>
      </c>
      <c r="CS34" s="137">
        <f>SUMIFS(Database!$G:$G,Database!$D:$D,"Import",Database!$E:$E,$B34,Database!$C:$C,CS$1,Database!$F:$F,"Total")</f>
        <v>0</v>
      </c>
      <c r="CT34" s="137">
        <f>SUMIFS(Database!$G:$G,Database!$D:$D,"Import",Database!$E:$E,$B34,Database!$C:$C,CT$1,Database!$F:$F,"Total")</f>
        <v>0</v>
      </c>
      <c r="CU34" s="137">
        <f>SUMIFS(Database!$G:$G,Database!$D:$D,"Import",Database!$E:$E,$B34,Database!$C:$C,CU$1,Database!$F:$F,"Total")</f>
        <v>0</v>
      </c>
    </row>
    <row r="35" spans="1:99" x14ac:dyDescent="0.25">
      <c r="A35" s="132" t="s">
        <v>484</v>
      </c>
      <c r="B35" s="133" t="s">
        <v>466</v>
      </c>
      <c r="C35" s="137">
        <f>SUMIFS(Database!$G:$G,Database!$D:$D,"Import",Database!$E:$E,$B35,Database!$C:$C,C$1,Database!$F:$F,"Total")</f>
        <v>0</v>
      </c>
      <c r="D35" s="137">
        <f>SUMIFS(Database!$G:$G,Database!$D:$D,"Import",Database!$E:$E,$B35,Database!$C:$C,D$1,Database!$F:$F,"Total")</f>
        <v>0</v>
      </c>
      <c r="E35" s="137">
        <f>SUMIFS(Database!$G:$G,Database!$D:$D,"Import",Database!$E:$E,$B35,Database!$C:$C,E$1,Database!$F:$F,"Total")</f>
        <v>0</v>
      </c>
      <c r="F35" s="137">
        <f>SUMIFS(Database!$G:$G,Database!$D:$D,"Import",Database!$E:$E,$B35,Database!$C:$C,F$1,Database!$F:$F,"Total")</f>
        <v>0</v>
      </c>
      <c r="G35" s="137">
        <f>SUMIFS(Database!$G:$G,Database!$D:$D,"Import",Database!$E:$E,$B35,Database!$C:$C,G$1,Database!$F:$F,"Total")</f>
        <v>0</v>
      </c>
      <c r="H35" s="137">
        <f>SUMIFS(Database!$G:$G,Database!$D:$D,"Import",Database!$E:$E,$B35,Database!$C:$C,H$1,Database!$F:$F,"Total")</f>
        <v>0</v>
      </c>
      <c r="I35" s="137">
        <f>SUMIFS(Database!$G:$G,Database!$D:$D,"Import",Database!$E:$E,$B35,Database!$C:$C,I$1,Database!$F:$F,"Total")</f>
        <v>0</v>
      </c>
      <c r="J35" s="137">
        <f>SUMIFS(Database!$G:$G,Database!$D:$D,"Import",Database!$E:$E,$B35,Database!$C:$C,J$1,Database!$F:$F,"Total")</f>
        <v>0</v>
      </c>
      <c r="K35" s="137">
        <f>SUMIFS(Database!$G:$G,Database!$D:$D,"Import",Database!$E:$E,$B35,Database!$C:$C,K$1,Database!$F:$F,"Total")</f>
        <v>0</v>
      </c>
      <c r="L35" s="137">
        <f>SUMIFS(Database!$G:$G,Database!$D:$D,"Import",Database!$E:$E,$B35,Database!$C:$C,L$1,Database!$F:$F,"Total")</f>
        <v>0</v>
      </c>
      <c r="M35" s="137">
        <f>SUMIFS(Database!$G:$G,Database!$D:$D,"Import",Database!$E:$E,$B35,Database!$C:$C,M$1,Database!$F:$F,"Total")</f>
        <v>0</v>
      </c>
      <c r="N35" s="137">
        <f>SUMIFS(Database!$G:$G,Database!$D:$D,"Import",Database!$E:$E,$B35,Database!$C:$C,N$1,Database!$F:$F,"Total")</f>
        <v>0</v>
      </c>
      <c r="O35" s="137">
        <f>SUMIFS(Database!$G:$G,Database!$D:$D,"Import",Database!$E:$E,$B35,Database!$C:$C,O$1,Database!$F:$F,"Total")</f>
        <v>0</v>
      </c>
      <c r="P35" s="137">
        <f>SUMIFS(Database!$G:$G,Database!$D:$D,"Import",Database!$E:$E,$B35,Database!$C:$C,P$1,Database!$F:$F,"Total")</f>
        <v>0</v>
      </c>
      <c r="Q35" s="137">
        <f>SUMIFS(Database!$G:$G,Database!$D:$D,"Import",Database!$E:$E,$B35,Database!$C:$C,Q$1,Database!$F:$F,"Total")</f>
        <v>0</v>
      </c>
      <c r="R35" s="137">
        <f>SUMIFS(Database!$G:$G,Database!$D:$D,"Import",Database!$E:$E,$B35,Database!$C:$C,R$1,Database!$F:$F,"Total")</f>
        <v>0</v>
      </c>
      <c r="S35" s="137">
        <f>SUMIFS(Database!$G:$G,Database!$D:$D,"Import",Database!$E:$E,$B35,Database!$C:$C,S$1,Database!$F:$F,"Total")</f>
        <v>0</v>
      </c>
      <c r="T35" s="137">
        <f>SUMIFS(Database!$G:$G,Database!$D:$D,"Import",Database!$E:$E,$B35,Database!$C:$C,T$1,Database!$F:$F,"Total")</f>
        <v>0</v>
      </c>
      <c r="U35" s="137">
        <f>SUMIFS(Database!$G:$G,Database!$D:$D,"Import",Database!$E:$E,$B35,Database!$C:$C,U$1,Database!$F:$F,"Total")</f>
        <v>0</v>
      </c>
      <c r="V35" s="137">
        <f>SUMIFS(Database!$G:$G,Database!$D:$D,"Import",Database!$E:$E,$B35,Database!$C:$C,V$1,Database!$F:$F,"Total")</f>
        <v>0</v>
      </c>
      <c r="W35" s="137">
        <f>SUMIFS(Database!$G:$G,Database!$D:$D,"Import",Database!$E:$E,$B35,Database!$C:$C,W$1,Database!$F:$F,"Total")</f>
        <v>0</v>
      </c>
      <c r="X35" s="137">
        <f>SUMIFS(Database!$G:$G,Database!$D:$D,"Import",Database!$E:$E,$B35,Database!$C:$C,X$1,Database!$F:$F,"Total")</f>
        <v>0</v>
      </c>
      <c r="Y35" s="137">
        <f>SUMIFS(Database!$G:$G,Database!$D:$D,"Import",Database!$E:$E,$B35,Database!$C:$C,Y$1,Database!$F:$F,"Total")</f>
        <v>0</v>
      </c>
      <c r="Z35" s="137">
        <f>SUMIFS(Database!$G:$G,Database!$D:$D,"Import",Database!$E:$E,$B35,Database!$C:$C,Z$1,Database!$F:$F,"Total")</f>
        <v>0</v>
      </c>
      <c r="AA35" s="137">
        <f>SUMIFS(Database!$G:$G,Database!$D:$D,"Import",Database!$E:$E,$B35,Database!$C:$C,AA$1,Database!$F:$F,"Total")</f>
        <v>0</v>
      </c>
      <c r="AB35" s="137">
        <f>SUMIFS(Database!$G:$G,Database!$D:$D,"Import",Database!$E:$E,$B35,Database!$C:$C,AB$1,Database!$F:$F,"Total")</f>
        <v>0</v>
      </c>
      <c r="AC35" s="137">
        <f>SUMIFS(Database!$G:$G,Database!$D:$D,"Import",Database!$E:$E,$B35,Database!$C:$C,AC$1,Database!$F:$F,"Total")</f>
        <v>0</v>
      </c>
      <c r="AD35" s="137">
        <f>SUMIFS(Database!$G:$G,Database!$D:$D,"Import",Database!$E:$E,$B35,Database!$C:$C,AD$1,Database!$F:$F,"Total")</f>
        <v>0</v>
      </c>
      <c r="AE35" s="137">
        <f>SUMIFS(Database!$G:$G,Database!$D:$D,"Import",Database!$E:$E,$B35,Database!$C:$C,AE$1,Database!$F:$F,"Total")</f>
        <v>0</v>
      </c>
      <c r="AF35" s="137">
        <f>SUMIFS(Database!$G:$G,Database!$D:$D,"Import",Database!$E:$E,$B35,Database!$C:$C,AF$1,Database!$F:$F,"Total")</f>
        <v>0</v>
      </c>
      <c r="AG35" s="137">
        <f>SUMIFS(Database!$G:$G,Database!$D:$D,"Import",Database!$E:$E,$B35,Database!$C:$C,AG$1,Database!$F:$F,"Total")</f>
        <v>0</v>
      </c>
      <c r="AH35" s="137">
        <f>SUMIFS(Database!$G:$G,Database!$D:$D,"Import",Database!$E:$E,$B35,Database!$C:$C,AH$1,Database!$F:$F,"Total")</f>
        <v>0</v>
      </c>
      <c r="AI35" s="137">
        <f>SUMIFS(Database!$G:$G,Database!$D:$D,"Import",Database!$E:$E,$B35,Database!$C:$C,AI$1,Database!$F:$F,"Total")</f>
        <v>0</v>
      </c>
      <c r="AJ35" s="137">
        <f>SUMIFS(Database!$G:$G,Database!$D:$D,"Import",Database!$E:$E,$B35,Database!$C:$C,AJ$1,Database!$F:$F,"Total")</f>
        <v>0</v>
      </c>
      <c r="AK35" s="137">
        <f>SUMIFS(Database!$G:$G,Database!$D:$D,"Import",Database!$E:$E,$B35,Database!$C:$C,AK$1,Database!$F:$F,"Total")</f>
        <v>0</v>
      </c>
      <c r="AL35" s="137">
        <f>SUMIFS(Database!$G:$G,Database!$D:$D,"Import",Database!$E:$E,$B35,Database!$C:$C,AL$1,Database!$F:$F,"Total")</f>
        <v>0</v>
      </c>
      <c r="AM35" s="137">
        <f>SUMIFS(Database!$G:$G,Database!$D:$D,"Import",Database!$E:$E,$B35,Database!$C:$C,AM$1,Database!$F:$F,"Total")</f>
        <v>0</v>
      </c>
      <c r="AN35" s="137">
        <f>SUMIFS(Database!$G:$G,Database!$D:$D,"Import",Database!$E:$E,$B35,Database!$C:$C,AN$1,Database!$F:$F,"Total")</f>
        <v>0</v>
      </c>
      <c r="AO35" s="137">
        <f>SUMIFS(Database!$G:$G,Database!$D:$D,"Import",Database!$E:$E,$B35,Database!$C:$C,AO$1,Database!$F:$F,"Total")</f>
        <v>0</v>
      </c>
      <c r="AP35" s="137">
        <f>SUMIFS(Database!$G:$G,Database!$D:$D,"Import",Database!$E:$E,$B35,Database!$C:$C,AP$1,Database!$F:$F,"Total")</f>
        <v>0</v>
      </c>
      <c r="AQ35" s="137">
        <f>SUMIFS(Database!$G:$G,Database!$D:$D,"Import",Database!$E:$E,$B35,Database!$C:$C,AQ$1,Database!$F:$F,"Total")</f>
        <v>0</v>
      </c>
      <c r="AR35" s="137">
        <f>SUMIFS(Database!$G:$G,Database!$D:$D,"Import",Database!$E:$E,$B35,Database!$C:$C,AR$1,Database!$F:$F,"Total")</f>
        <v>0</v>
      </c>
      <c r="AS35" s="137">
        <f>SUMIFS(Database!$G:$G,Database!$D:$D,"Import",Database!$E:$E,$B35,Database!$C:$C,AS$1,Database!$F:$F,"Total")</f>
        <v>0</v>
      </c>
      <c r="AT35" s="137">
        <f>SUMIFS(Database!$G:$G,Database!$D:$D,"Import",Database!$E:$E,$B35,Database!$C:$C,AT$1,Database!$F:$F,"Total")</f>
        <v>0</v>
      </c>
      <c r="AU35" s="137">
        <f>SUMIFS(Database!$G:$G,Database!$D:$D,"Import",Database!$E:$E,$B35,Database!$C:$C,AU$1,Database!$F:$F,"Total")</f>
        <v>0</v>
      </c>
      <c r="AV35" s="137">
        <f>SUMIFS(Database!$G:$G,Database!$D:$D,"Import",Database!$E:$E,$B35,Database!$C:$C,AV$1,Database!$F:$F,"Total")</f>
        <v>0</v>
      </c>
      <c r="AW35" s="137">
        <f>SUMIFS(Database!$G:$G,Database!$D:$D,"Import",Database!$E:$E,$B35,Database!$C:$C,AW$1,Database!$F:$F,"Total")</f>
        <v>0</v>
      </c>
      <c r="AX35" s="137">
        <f>SUMIFS(Database!$G:$G,Database!$D:$D,"Import",Database!$E:$E,$B35,Database!$C:$C,AX$1,Database!$F:$F,"Total")</f>
        <v>0</v>
      </c>
      <c r="AY35" s="137">
        <f>SUMIFS(Database!$G:$G,Database!$D:$D,"Import",Database!$E:$E,$B35,Database!$C:$C,AY$1,Database!$F:$F,"Total")</f>
        <v>0</v>
      </c>
      <c r="AZ35" s="137">
        <f>SUMIFS(Database!$G:$G,Database!$D:$D,"Import",Database!$E:$E,$B35,Database!$C:$C,AZ$1,Database!$F:$F,"Total")</f>
        <v>0</v>
      </c>
      <c r="BA35" s="137">
        <f>SUMIFS(Database!$G:$G,Database!$D:$D,"Import",Database!$E:$E,$B35,Database!$C:$C,BA$1,Database!$F:$F,"Total")</f>
        <v>0</v>
      </c>
      <c r="BB35" s="137">
        <f>SUMIFS(Database!$G:$G,Database!$D:$D,"Import",Database!$E:$E,$B35,Database!$C:$C,BB$1,Database!$F:$F,"Total")</f>
        <v>0</v>
      </c>
      <c r="BC35" s="137">
        <f>SUMIFS(Database!$G:$G,Database!$D:$D,"Import",Database!$E:$E,$B35,Database!$C:$C,BC$1,Database!$F:$F,"Total")</f>
        <v>0</v>
      </c>
      <c r="BD35" s="137">
        <f>SUMIFS(Database!$G:$G,Database!$D:$D,"Import",Database!$E:$E,$B35,Database!$C:$C,BD$1,Database!$F:$F,"Total")</f>
        <v>0</v>
      </c>
      <c r="BE35" s="137">
        <f>SUMIFS(Database!$G:$G,Database!$D:$D,"Import",Database!$E:$E,$B35,Database!$C:$C,BE$1,Database!$F:$F,"Total")</f>
        <v>0</v>
      </c>
      <c r="BF35" s="137">
        <f>SUMIFS(Database!$G:$G,Database!$D:$D,"Import",Database!$E:$E,$B35,Database!$C:$C,BF$1,Database!$F:$F,"Total")</f>
        <v>0</v>
      </c>
      <c r="BG35" s="137">
        <f>SUMIFS(Database!$G:$G,Database!$D:$D,"Import",Database!$E:$E,$B35,Database!$C:$C,BG$1,Database!$F:$F,"Total")</f>
        <v>0</v>
      </c>
      <c r="BH35" s="137">
        <f>SUMIFS(Database!$G:$G,Database!$D:$D,"Import",Database!$E:$E,$B35,Database!$C:$C,BH$1,Database!$F:$F,"Total")</f>
        <v>0</v>
      </c>
      <c r="BI35" s="137">
        <f>SUMIFS(Database!$G:$G,Database!$D:$D,"Import",Database!$E:$E,$B35,Database!$C:$C,BI$1,Database!$F:$F,"Total")</f>
        <v>0</v>
      </c>
      <c r="BJ35" s="137">
        <f>SUMIFS(Database!$G:$G,Database!$D:$D,"Import",Database!$E:$E,$B35,Database!$C:$C,BJ$1,Database!$F:$F,"Total")</f>
        <v>0</v>
      </c>
      <c r="BK35" s="137">
        <f>SUMIFS(Database!$G:$G,Database!$D:$D,"Import",Database!$E:$E,$B35,Database!$C:$C,BK$1,Database!$F:$F,"Total")</f>
        <v>0</v>
      </c>
      <c r="BL35" s="137">
        <f>SUMIFS(Database!$G:$G,Database!$D:$D,"Import",Database!$E:$E,$B35,Database!$C:$C,BL$1,Database!$F:$F,"Total")</f>
        <v>0</v>
      </c>
      <c r="BM35" s="137">
        <f>SUMIFS(Database!$G:$G,Database!$D:$D,"Import",Database!$E:$E,$B35,Database!$C:$C,BM$1,Database!$F:$F,"Total")</f>
        <v>0</v>
      </c>
      <c r="BN35" s="137">
        <f>SUMIFS(Database!$G:$G,Database!$D:$D,"Import",Database!$E:$E,$B35,Database!$C:$C,BN$1,Database!$F:$F,"Total")</f>
        <v>0</v>
      </c>
      <c r="BO35" s="137">
        <f>SUMIFS(Database!$G:$G,Database!$D:$D,"Import",Database!$E:$E,$B35,Database!$C:$C,BO$1,Database!$F:$F,"Total")</f>
        <v>0</v>
      </c>
      <c r="BP35" s="137">
        <f>SUMIFS(Database!$G:$G,Database!$D:$D,"Import",Database!$E:$E,$B35,Database!$C:$C,BP$1,Database!$F:$F,"Total")</f>
        <v>0</v>
      </c>
      <c r="BQ35" s="137">
        <f>SUMIFS(Database!$G:$G,Database!$D:$D,"Import",Database!$E:$E,$B35,Database!$C:$C,BQ$1,Database!$F:$F,"Total")</f>
        <v>0</v>
      </c>
      <c r="BR35" s="137">
        <f>SUMIFS(Database!$G:$G,Database!$D:$D,"Import",Database!$E:$E,$B35,Database!$C:$C,BR$1,Database!$F:$F,"Total")</f>
        <v>13672</v>
      </c>
      <c r="BS35" s="137">
        <f>SUMIFS(Database!$G:$G,Database!$D:$D,"Import",Database!$E:$E,$B35,Database!$C:$C,BS$1,Database!$F:$F,"Total")</f>
        <v>16912</v>
      </c>
      <c r="BT35" s="137">
        <f>SUMIFS(Database!$G:$G,Database!$D:$D,"Import",Database!$E:$E,$B35,Database!$C:$C,BT$1,Database!$F:$F,"Total")</f>
        <v>0</v>
      </c>
      <c r="BU35" s="137">
        <f>SUMIFS(Database!$G:$G,Database!$D:$D,"Import",Database!$E:$E,$B35,Database!$C:$C,BU$1,Database!$F:$F,"Total")</f>
        <v>0</v>
      </c>
      <c r="BV35" s="137">
        <f>SUMIFS(Database!$G:$G,Database!$D:$D,"Import",Database!$E:$E,$B35,Database!$C:$C,BV$1,Database!$F:$F,"Total")</f>
        <v>0</v>
      </c>
      <c r="BW35" s="137">
        <f>SUMIFS(Database!$G:$G,Database!$D:$D,"Import",Database!$E:$E,$B35,Database!$C:$C,BW$1,Database!$F:$F,"Total")</f>
        <v>0</v>
      </c>
      <c r="BX35" s="137">
        <f>SUMIFS(Database!$G:$G,Database!$D:$D,"Import",Database!$E:$E,$B35,Database!$C:$C,BX$1,Database!$F:$F,"Total")</f>
        <v>0</v>
      </c>
      <c r="BY35" s="137">
        <f>SUMIFS(Database!$G:$G,Database!$D:$D,"Import",Database!$E:$E,$B35,Database!$C:$C,BY$1,Database!$F:$F,"Total")</f>
        <v>0</v>
      </c>
      <c r="BZ35" s="137">
        <f>SUMIFS(Database!$G:$G,Database!$D:$D,"Import",Database!$E:$E,$B35,Database!$C:$C,BZ$1,Database!$F:$F,"Total")</f>
        <v>0</v>
      </c>
      <c r="CA35" s="137">
        <f>SUMIFS(Database!$G:$G,Database!$D:$D,"Import",Database!$E:$E,$B35,Database!$C:$C,CA$1,Database!$F:$F,"Total")</f>
        <v>0</v>
      </c>
      <c r="CB35" s="137">
        <f>SUMIFS(Database!$G:$G,Database!$D:$D,"Import",Database!$E:$E,$B35,Database!$C:$C,CB$1,Database!$F:$F,"Total")</f>
        <v>0</v>
      </c>
      <c r="CC35" s="137">
        <f>SUMIFS(Database!$G:$G,Database!$D:$D,"Import",Database!$E:$E,$B35,Database!$C:$C,CC$1,Database!$F:$F,"Total")</f>
        <v>0</v>
      </c>
      <c r="CD35" s="137">
        <f>SUMIFS(Database!$G:$G,Database!$D:$D,"Import",Database!$E:$E,$B35,Database!$C:$C,CD$1,Database!$F:$F,"Total")</f>
        <v>0</v>
      </c>
      <c r="CE35" s="137">
        <f>SUMIFS(Database!$G:$G,Database!$D:$D,"Import",Database!$E:$E,$B35,Database!$C:$C,CE$1,Database!$F:$F,"Total")</f>
        <v>0</v>
      </c>
      <c r="CF35" s="137">
        <f>SUMIFS(Database!$G:$G,Database!$D:$D,"Import",Database!$E:$E,$B35,Database!$C:$C,CF$1,Database!$F:$F,"Total")</f>
        <v>0</v>
      </c>
      <c r="CG35" s="137">
        <f>SUMIFS(Database!$G:$G,Database!$D:$D,"Import",Database!$E:$E,$B35,Database!$C:$C,CG$1,Database!$F:$F,"Total")</f>
        <v>0</v>
      </c>
      <c r="CH35" s="137">
        <f>SUMIFS(Database!$G:$G,Database!$D:$D,"Import",Database!$E:$E,$B35,Database!$C:$C,CH$1,Database!$F:$F,"Total")</f>
        <v>0</v>
      </c>
      <c r="CI35" s="137">
        <f>SUMIFS(Database!$G:$G,Database!$D:$D,"Import",Database!$E:$E,$B35,Database!$C:$C,CI$1,Database!$F:$F,"Total")</f>
        <v>0</v>
      </c>
      <c r="CJ35" s="137">
        <f>SUMIFS(Database!$G:$G,Database!$D:$D,"Import",Database!$E:$E,$B35,Database!$C:$C,CJ$1,Database!$F:$F,"Total")</f>
        <v>0</v>
      </c>
      <c r="CK35" s="137">
        <f>SUMIFS(Database!$G:$G,Database!$D:$D,"Import",Database!$E:$E,$B35,Database!$C:$C,CK$1,Database!$F:$F,"Total")</f>
        <v>0</v>
      </c>
      <c r="CL35" s="137">
        <f>SUMIFS(Database!$G:$G,Database!$D:$D,"Import",Database!$E:$E,$B35,Database!$C:$C,CL$1,Database!$F:$F,"Total")</f>
        <v>0</v>
      </c>
      <c r="CM35" s="137">
        <f>SUMIFS(Database!$G:$G,Database!$D:$D,"Import",Database!$E:$E,$B35,Database!$C:$C,CM$1,Database!$F:$F,"Total")</f>
        <v>0</v>
      </c>
      <c r="CN35" s="137">
        <f>SUMIFS(Database!$G:$G,Database!$D:$D,"Import",Database!$E:$E,$B35,Database!$C:$C,CN$1,Database!$F:$F,"Total")</f>
        <v>0</v>
      </c>
      <c r="CO35" s="137">
        <f>SUMIFS(Database!$G:$G,Database!$D:$D,"Import",Database!$E:$E,$B35,Database!$C:$C,CO$1,Database!$F:$F,"Total")</f>
        <v>0</v>
      </c>
      <c r="CP35" s="137">
        <f>SUMIFS(Database!$G:$G,Database!$D:$D,"Import",Database!$E:$E,$B35,Database!$C:$C,CP$1,Database!$F:$F,"Total")</f>
        <v>0</v>
      </c>
      <c r="CQ35" s="137">
        <f>SUMIFS(Database!$G:$G,Database!$D:$D,"Import",Database!$E:$E,$B35,Database!$C:$C,CQ$1,Database!$F:$F,"Total")</f>
        <v>0</v>
      </c>
      <c r="CR35" s="137">
        <f>SUMIFS(Database!$G:$G,Database!$D:$D,"Import",Database!$E:$E,$B35,Database!$C:$C,CR$1,Database!$F:$F,"Total")</f>
        <v>0</v>
      </c>
      <c r="CS35" s="137">
        <f>SUMIFS(Database!$G:$G,Database!$D:$D,"Import",Database!$E:$E,$B35,Database!$C:$C,CS$1,Database!$F:$F,"Total")</f>
        <v>0</v>
      </c>
      <c r="CT35" s="137">
        <f>SUMIFS(Database!$G:$G,Database!$D:$D,"Import",Database!$E:$E,$B35,Database!$C:$C,CT$1,Database!$F:$F,"Total")</f>
        <v>0</v>
      </c>
      <c r="CU35" s="137">
        <f>SUMIFS(Database!$G:$G,Database!$D:$D,"Import",Database!$E:$E,$B35,Database!$C:$C,CU$1,Database!$F:$F,"Total")</f>
        <v>0</v>
      </c>
    </row>
    <row r="36" spans="1:99" x14ac:dyDescent="0.25">
      <c r="A36" s="132" t="s">
        <v>484</v>
      </c>
      <c r="B36" s="133" t="s">
        <v>386</v>
      </c>
      <c r="C36" s="137">
        <f>SUMIFS(Database!$G:$G,Database!$D:$D,"Import",Database!$E:$E,$B36,Database!$C:$C,C$1,Database!$F:$F,"Total")</f>
        <v>0</v>
      </c>
      <c r="D36" s="137">
        <f>SUMIFS(Database!$G:$G,Database!$D:$D,"Import",Database!$E:$E,$B36,Database!$C:$C,D$1,Database!$F:$F,"Total")</f>
        <v>0</v>
      </c>
      <c r="E36" s="137">
        <f>SUMIFS(Database!$G:$G,Database!$D:$D,"Import",Database!$E:$E,$B36,Database!$C:$C,E$1,Database!$F:$F,"Total")</f>
        <v>0</v>
      </c>
      <c r="F36" s="137">
        <f>SUMIFS(Database!$G:$G,Database!$D:$D,"Import",Database!$E:$E,$B36,Database!$C:$C,F$1,Database!$F:$F,"Total")</f>
        <v>0</v>
      </c>
      <c r="G36" s="137">
        <f>SUMIFS(Database!$G:$G,Database!$D:$D,"Import",Database!$E:$E,$B36,Database!$C:$C,G$1,Database!$F:$F,"Total")</f>
        <v>0</v>
      </c>
      <c r="H36" s="137">
        <f>SUMIFS(Database!$G:$G,Database!$D:$D,"Import",Database!$E:$E,$B36,Database!$C:$C,H$1,Database!$F:$F,"Total")</f>
        <v>0</v>
      </c>
      <c r="I36" s="137">
        <f>SUMIFS(Database!$G:$G,Database!$D:$D,"Import",Database!$E:$E,$B36,Database!$C:$C,I$1,Database!$F:$F,"Total")</f>
        <v>0</v>
      </c>
      <c r="J36" s="137">
        <f>SUMIFS(Database!$G:$G,Database!$D:$D,"Import",Database!$E:$E,$B36,Database!$C:$C,J$1,Database!$F:$F,"Total")</f>
        <v>0</v>
      </c>
      <c r="K36" s="137">
        <f>SUMIFS(Database!$G:$G,Database!$D:$D,"Import",Database!$E:$E,$B36,Database!$C:$C,K$1,Database!$F:$F,"Total")</f>
        <v>0</v>
      </c>
      <c r="L36" s="137">
        <f>SUMIFS(Database!$G:$G,Database!$D:$D,"Import",Database!$E:$E,$B36,Database!$C:$C,L$1,Database!$F:$F,"Total")</f>
        <v>0</v>
      </c>
      <c r="M36" s="137">
        <f>SUMIFS(Database!$G:$G,Database!$D:$D,"Import",Database!$E:$E,$B36,Database!$C:$C,M$1,Database!$F:$F,"Total")</f>
        <v>0</v>
      </c>
      <c r="N36" s="137">
        <f>SUMIFS(Database!$G:$G,Database!$D:$D,"Import",Database!$E:$E,$B36,Database!$C:$C,N$1,Database!$F:$F,"Total")</f>
        <v>0</v>
      </c>
      <c r="O36" s="137">
        <f>SUMIFS(Database!$G:$G,Database!$D:$D,"Import",Database!$E:$E,$B36,Database!$C:$C,O$1,Database!$F:$F,"Total")</f>
        <v>0</v>
      </c>
      <c r="P36" s="137">
        <f>SUMIFS(Database!$G:$G,Database!$D:$D,"Import",Database!$E:$E,$B36,Database!$C:$C,P$1,Database!$F:$F,"Total")</f>
        <v>0</v>
      </c>
      <c r="Q36" s="137">
        <f>SUMIFS(Database!$G:$G,Database!$D:$D,"Import",Database!$E:$E,$B36,Database!$C:$C,Q$1,Database!$F:$F,"Total")</f>
        <v>0</v>
      </c>
      <c r="R36" s="137">
        <f>SUMIFS(Database!$G:$G,Database!$D:$D,"Import",Database!$E:$E,$B36,Database!$C:$C,R$1,Database!$F:$F,"Total")</f>
        <v>0</v>
      </c>
      <c r="S36" s="137">
        <f>SUMIFS(Database!$G:$G,Database!$D:$D,"Import",Database!$E:$E,$B36,Database!$C:$C,S$1,Database!$F:$F,"Total")</f>
        <v>0</v>
      </c>
      <c r="T36" s="137">
        <f>SUMIFS(Database!$G:$G,Database!$D:$D,"Import",Database!$E:$E,$B36,Database!$C:$C,T$1,Database!$F:$F,"Total")</f>
        <v>0</v>
      </c>
      <c r="U36" s="137">
        <f>SUMIFS(Database!$G:$G,Database!$D:$D,"Import",Database!$E:$E,$B36,Database!$C:$C,U$1,Database!$F:$F,"Total")</f>
        <v>0</v>
      </c>
      <c r="V36" s="137">
        <f>SUMIFS(Database!$G:$G,Database!$D:$D,"Import",Database!$E:$E,$B36,Database!$C:$C,V$1,Database!$F:$F,"Total")</f>
        <v>0</v>
      </c>
      <c r="W36" s="137">
        <f>SUMIFS(Database!$G:$G,Database!$D:$D,"Import",Database!$E:$E,$B36,Database!$C:$C,W$1,Database!$F:$F,"Total")</f>
        <v>0</v>
      </c>
      <c r="X36" s="137">
        <f>SUMIFS(Database!$G:$G,Database!$D:$D,"Import",Database!$E:$E,$B36,Database!$C:$C,X$1,Database!$F:$F,"Total")</f>
        <v>0</v>
      </c>
      <c r="Y36" s="137">
        <f>SUMIFS(Database!$G:$G,Database!$D:$D,"Import",Database!$E:$E,$B36,Database!$C:$C,Y$1,Database!$F:$F,"Total")</f>
        <v>0</v>
      </c>
      <c r="Z36" s="137">
        <f>SUMIFS(Database!$G:$G,Database!$D:$D,"Import",Database!$E:$E,$B36,Database!$C:$C,Z$1,Database!$F:$F,"Total")</f>
        <v>0</v>
      </c>
      <c r="AA36" s="137">
        <f>SUMIFS(Database!$G:$G,Database!$D:$D,"Import",Database!$E:$E,$B36,Database!$C:$C,AA$1,Database!$F:$F,"Total")</f>
        <v>0</v>
      </c>
      <c r="AB36" s="137">
        <f>SUMIFS(Database!$G:$G,Database!$D:$D,"Import",Database!$E:$E,$B36,Database!$C:$C,AB$1,Database!$F:$F,"Total")</f>
        <v>0</v>
      </c>
      <c r="AC36" s="137">
        <f>SUMIFS(Database!$G:$G,Database!$D:$D,"Import",Database!$E:$E,$B36,Database!$C:$C,AC$1,Database!$F:$F,"Total")</f>
        <v>0</v>
      </c>
      <c r="AD36" s="137">
        <f>SUMIFS(Database!$G:$G,Database!$D:$D,"Import",Database!$E:$E,$B36,Database!$C:$C,AD$1,Database!$F:$F,"Total")</f>
        <v>0</v>
      </c>
      <c r="AE36" s="137">
        <f>SUMIFS(Database!$G:$G,Database!$D:$D,"Import",Database!$E:$E,$B36,Database!$C:$C,AE$1,Database!$F:$F,"Total")</f>
        <v>0</v>
      </c>
      <c r="AF36" s="137">
        <f>SUMIFS(Database!$G:$G,Database!$D:$D,"Import",Database!$E:$E,$B36,Database!$C:$C,AF$1,Database!$F:$F,"Total")</f>
        <v>0</v>
      </c>
      <c r="AG36" s="137">
        <f>SUMIFS(Database!$G:$G,Database!$D:$D,"Import",Database!$E:$E,$B36,Database!$C:$C,AG$1,Database!$F:$F,"Total")</f>
        <v>0</v>
      </c>
      <c r="AH36" s="137">
        <f>SUMIFS(Database!$G:$G,Database!$D:$D,"Import",Database!$E:$E,$B36,Database!$C:$C,AH$1,Database!$F:$F,"Total")</f>
        <v>0</v>
      </c>
      <c r="AI36" s="137">
        <f>SUMIFS(Database!$G:$G,Database!$D:$D,"Import",Database!$E:$E,$B36,Database!$C:$C,AI$1,Database!$F:$F,"Total")</f>
        <v>0</v>
      </c>
      <c r="AJ36" s="137">
        <f>SUMIFS(Database!$G:$G,Database!$D:$D,"Import",Database!$E:$E,$B36,Database!$C:$C,AJ$1,Database!$F:$F,"Total")</f>
        <v>0</v>
      </c>
      <c r="AK36" s="137">
        <f>SUMIFS(Database!$G:$G,Database!$D:$D,"Import",Database!$E:$E,$B36,Database!$C:$C,AK$1,Database!$F:$F,"Total")</f>
        <v>0</v>
      </c>
      <c r="AL36" s="137">
        <f>SUMIFS(Database!$G:$G,Database!$D:$D,"Import",Database!$E:$E,$B36,Database!$C:$C,AL$1,Database!$F:$F,"Total")</f>
        <v>0</v>
      </c>
      <c r="AM36" s="137">
        <f>SUMIFS(Database!$G:$G,Database!$D:$D,"Import",Database!$E:$E,$B36,Database!$C:$C,AM$1,Database!$F:$F,"Total")</f>
        <v>0</v>
      </c>
      <c r="AN36" s="137">
        <f>SUMIFS(Database!$G:$G,Database!$D:$D,"Import",Database!$E:$E,$B36,Database!$C:$C,AN$1,Database!$F:$F,"Total")</f>
        <v>0</v>
      </c>
      <c r="AO36" s="137">
        <f>SUMIFS(Database!$G:$G,Database!$D:$D,"Import",Database!$E:$E,$B36,Database!$C:$C,AO$1,Database!$F:$F,"Total")</f>
        <v>0</v>
      </c>
      <c r="AP36" s="137">
        <f>SUMIFS(Database!$G:$G,Database!$D:$D,"Import",Database!$E:$E,$B36,Database!$C:$C,AP$1,Database!$F:$F,"Total")</f>
        <v>0</v>
      </c>
      <c r="AQ36" s="137">
        <f>SUMIFS(Database!$G:$G,Database!$D:$D,"Import",Database!$E:$E,$B36,Database!$C:$C,AQ$1,Database!$F:$F,"Total")</f>
        <v>0</v>
      </c>
      <c r="AR36" s="137">
        <f>SUMIFS(Database!$G:$G,Database!$D:$D,"Import",Database!$E:$E,$B36,Database!$C:$C,AR$1,Database!$F:$F,"Total")</f>
        <v>0</v>
      </c>
      <c r="AS36" s="137">
        <f>SUMIFS(Database!$G:$G,Database!$D:$D,"Import",Database!$E:$E,$B36,Database!$C:$C,AS$1,Database!$F:$F,"Total")</f>
        <v>0</v>
      </c>
      <c r="AT36" s="137">
        <f>SUMIFS(Database!$G:$G,Database!$D:$D,"Import",Database!$E:$E,$B36,Database!$C:$C,AT$1,Database!$F:$F,"Total")</f>
        <v>0</v>
      </c>
      <c r="AU36" s="137">
        <f>SUMIFS(Database!$G:$G,Database!$D:$D,"Import",Database!$E:$E,$B36,Database!$C:$C,AU$1,Database!$F:$F,"Total")</f>
        <v>277</v>
      </c>
      <c r="AV36" s="137">
        <f>SUMIFS(Database!$G:$G,Database!$D:$D,"Import",Database!$E:$E,$B36,Database!$C:$C,AV$1,Database!$F:$F,"Total")</f>
        <v>67037</v>
      </c>
      <c r="AW36" s="137">
        <f>SUMIFS(Database!$G:$G,Database!$D:$D,"Import",Database!$E:$E,$B36,Database!$C:$C,AW$1,Database!$F:$F,"Total")</f>
        <v>40400</v>
      </c>
      <c r="AX36" s="137">
        <f>SUMIFS(Database!$G:$G,Database!$D:$D,"Import",Database!$E:$E,$B36,Database!$C:$C,AX$1,Database!$F:$F,"Total")</f>
        <v>52190</v>
      </c>
      <c r="AY36" s="137">
        <f>SUMIFS(Database!$G:$G,Database!$D:$D,"Import",Database!$E:$E,$B36,Database!$C:$C,AY$1,Database!$F:$F,"Total")</f>
        <v>22347</v>
      </c>
      <c r="AZ36" s="137">
        <f>SUMIFS(Database!$G:$G,Database!$D:$D,"Import",Database!$E:$E,$B36,Database!$C:$C,AZ$1,Database!$F:$F,"Total")</f>
        <v>25832</v>
      </c>
      <c r="BA36" s="137">
        <f>SUMIFS(Database!$G:$G,Database!$D:$D,"Import",Database!$E:$E,$B36,Database!$C:$C,BA$1,Database!$F:$F,"Total")</f>
        <v>18420</v>
      </c>
      <c r="BB36" s="137">
        <f>SUMIFS(Database!$G:$G,Database!$D:$D,"Import",Database!$E:$E,$B36,Database!$C:$C,BB$1,Database!$F:$F,"Total")</f>
        <v>24774</v>
      </c>
      <c r="BC36" s="137">
        <f>SUMIFS(Database!$G:$G,Database!$D:$D,"Import",Database!$E:$E,$B36,Database!$C:$C,BC$1,Database!$F:$F,"Total")</f>
        <v>17482</v>
      </c>
      <c r="BD36" s="137">
        <f>SUMIFS(Database!$G:$G,Database!$D:$D,"Import",Database!$E:$E,$B36,Database!$C:$C,BD$1,Database!$F:$F,"Total")</f>
        <v>25583</v>
      </c>
      <c r="BE36" s="137">
        <f>SUMIFS(Database!$G:$G,Database!$D:$D,"Import",Database!$E:$E,$B36,Database!$C:$C,BE$1,Database!$F:$F,"Total")</f>
        <v>38227</v>
      </c>
      <c r="BF36" s="137">
        <f>SUMIFS(Database!$G:$G,Database!$D:$D,"Import",Database!$E:$E,$B36,Database!$C:$C,BF$1,Database!$F:$F,"Total")</f>
        <v>54248</v>
      </c>
      <c r="BG36" s="137">
        <f>SUMIFS(Database!$G:$G,Database!$D:$D,"Import",Database!$E:$E,$B36,Database!$C:$C,BG$1,Database!$F:$F,"Total")</f>
        <v>69832</v>
      </c>
      <c r="BH36" s="137">
        <f>SUMIFS(Database!$G:$G,Database!$D:$D,"Import",Database!$E:$E,$B36,Database!$C:$C,BH$1,Database!$F:$F,"Total")</f>
        <v>0</v>
      </c>
      <c r="BI36" s="137">
        <f>SUMIFS(Database!$G:$G,Database!$D:$D,"Import",Database!$E:$E,$B36,Database!$C:$C,BI$1,Database!$F:$F,"Total")</f>
        <v>0</v>
      </c>
      <c r="BJ36" s="137">
        <f>SUMIFS(Database!$G:$G,Database!$D:$D,"Import",Database!$E:$E,$B36,Database!$C:$C,BJ$1,Database!$F:$F,"Total")</f>
        <v>0</v>
      </c>
      <c r="BK36" s="137">
        <f>SUMIFS(Database!$G:$G,Database!$D:$D,"Import",Database!$E:$E,$B36,Database!$C:$C,BK$1,Database!$F:$F,"Total")</f>
        <v>0</v>
      </c>
      <c r="BL36" s="137">
        <f>SUMIFS(Database!$G:$G,Database!$D:$D,"Import",Database!$E:$E,$B36,Database!$C:$C,BL$1,Database!$F:$F,"Total")</f>
        <v>0</v>
      </c>
      <c r="BM36" s="137">
        <f>SUMIFS(Database!$G:$G,Database!$D:$D,"Import",Database!$E:$E,$B36,Database!$C:$C,BM$1,Database!$F:$F,"Total")</f>
        <v>0</v>
      </c>
      <c r="BN36" s="137">
        <f>SUMIFS(Database!$G:$G,Database!$D:$D,"Import",Database!$E:$E,$B36,Database!$C:$C,BN$1,Database!$F:$F,"Total")</f>
        <v>0</v>
      </c>
      <c r="BO36" s="137">
        <f>SUMIFS(Database!$G:$G,Database!$D:$D,"Import",Database!$E:$E,$B36,Database!$C:$C,BO$1,Database!$F:$F,"Total")</f>
        <v>0</v>
      </c>
      <c r="BP36" s="137">
        <f>SUMIFS(Database!$G:$G,Database!$D:$D,"Import",Database!$E:$E,$B36,Database!$C:$C,BP$1,Database!$F:$F,"Total")</f>
        <v>0</v>
      </c>
      <c r="BQ36" s="137">
        <f>SUMIFS(Database!$G:$G,Database!$D:$D,"Import",Database!$E:$E,$B36,Database!$C:$C,BQ$1,Database!$F:$F,"Total")</f>
        <v>0</v>
      </c>
      <c r="BR36" s="137">
        <f>SUMIFS(Database!$G:$G,Database!$D:$D,"Import",Database!$E:$E,$B36,Database!$C:$C,BR$1,Database!$F:$F,"Total")</f>
        <v>0</v>
      </c>
      <c r="BS36" s="137">
        <f>SUMIFS(Database!$G:$G,Database!$D:$D,"Import",Database!$E:$E,$B36,Database!$C:$C,BS$1,Database!$F:$F,"Total")</f>
        <v>0</v>
      </c>
      <c r="BT36" s="137">
        <f>SUMIFS(Database!$G:$G,Database!$D:$D,"Import",Database!$E:$E,$B36,Database!$C:$C,BT$1,Database!$F:$F,"Total")</f>
        <v>0</v>
      </c>
      <c r="BU36" s="137">
        <f>SUMIFS(Database!$G:$G,Database!$D:$D,"Import",Database!$E:$E,$B36,Database!$C:$C,BU$1,Database!$F:$F,"Total")</f>
        <v>0</v>
      </c>
      <c r="BV36" s="137">
        <f>SUMIFS(Database!$G:$G,Database!$D:$D,"Import",Database!$E:$E,$B36,Database!$C:$C,BV$1,Database!$F:$F,"Total")</f>
        <v>0</v>
      </c>
      <c r="BW36" s="137">
        <f>SUMIFS(Database!$G:$G,Database!$D:$D,"Import",Database!$E:$E,$B36,Database!$C:$C,BW$1,Database!$F:$F,"Total")</f>
        <v>0</v>
      </c>
      <c r="BX36" s="137">
        <f>SUMIFS(Database!$G:$G,Database!$D:$D,"Import",Database!$E:$E,$B36,Database!$C:$C,BX$1,Database!$F:$F,"Total")</f>
        <v>0</v>
      </c>
      <c r="BY36" s="137">
        <f>SUMIFS(Database!$G:$G,Database!$D:$D,"Import",Database!$E:$E,$B36,Database!$C:$C,BY$1,Database!$F:$F,"Total")</f>
        <v>0</v>
      </c>
      <c r="BZ36" s="137">
        <f>SUMIFS(Database!$G:$G,Database!$D:$D,"Import",Database!$E:$E,$B36,Database!$C:$C,BZ$1,Database!$F:$F,"Total")</f>
        <v>0</v>
      </c>
      <c r="CA36" s="137">
        <f>SUMIFS(Database!$G:$G,Database!$D:$D,"Import",Database!$E:$E,$B36,Database!$C:$C,CA$1,Database!$F:$F,"Total")</f>
        <v>0</v>
      </c>
      <c r="CB36" s="137">
        <f>SUMIFS(Database!$G:$G,Database!$D:$D,"Import",Database!$E:$E,$B36,Database!$C:$C,CB$1,Database!$F:$F,"Total")</f>
        <v>0</v>
      </c>
      <c r="CC36" s="137">
        <f>SUMIFS(Database!$G:$G,Database!$D:$D,"Import",Database!$E:$E,$B36,Database!$C:$C,CC$1,Database!$F:$F,"Total")</f>
        <v>0</v>
      </c>
      <c r="CD36" s="137">
        <f>SUMIFS(Database!$G:$G,Database!$D:$D,"Import",Database!$E:$E,$B36,Database!$C:$C,CD$1,Database!$F:$F,"Total")</f>
        <v>0</v>
      </c>
      <c r="CE36" s="137">
        <f>SUMIFS(Database!$G:$G,Database!$D:$D,"Import",Database!$E:$E,$B36,Database!$C:$C,CE$1,Database!$F:$F,"Total")</f>
        <v>0</v>
      </c>
      <c r="CF36" s="137">
        <f>SUMIFS(Database!$G:$G,Database!$D:$D,"Import",Database!$E:$E,$B36,Database!$C:$C,CF$1,Database!$F:$F,"Total")</f>
        <v>0</v>
      </c>
      <c r="CG36" s="137">
        <f>SUMIFS(Database!$G:$G,Database!$D:$D,"Import",Database!$E:$E,$B36,Database!$C:$C,CG$1,Database!$F:$F,"Total")</f>
        <v>0</v>
      </c>
      <c r="CH36" s="137">
        <f>SUMIFS(Database!$G:$G,Database!$D:$D,"Import",Database!$E:$E,$B36,Database!$C:$C,CH$1,Database!$F:$F,"Total")</f>
        <v>0</v>
      </c>
      <c r="CI36" s="137">
        <f>SUMIFS(Database!$G:$G,Database!$D:$D,"Import",Database!$E:$E,$B36,Database!$C:$C,CI$1,Database!$F:$F,"Total")</f>
        <v>0</v>
      </c>
      <c r="CJ36" s="137">
        <f>SUMIFS(Database!$G:$G,Database!$D:$D,"Import",Database!$E:$E,$B36,Database!$C:$C,CJ$1,Database!$F:$F,"Total")</f>
        <v>0</v>
      </c>
      <c r="CK36" s="137">
        <f>SUMIFS(Database!$G:$G,Database!$D:$D,"Import",Database!$E:$E,$B36,Database!$C:$C,CK$1,Database!$F:$F,"Total")</f>
        <v>0</v>
      </c>
      <c r="CL36" s="137">
        <f>SUMIFS(Database!$G:$G,Database!$D:$D,"Import",Database!$E:$E,$B36,Database!$C:$C,CL$1,Database!$F:$F,"Total")</f>
        <v>0</v>
      </c>
      <c r="CM36" s="137">
        <f>SUMIFS(Database!$G:$G,Database!$D:$D,"Import",Database!$E:$E,$B36,Database!$C:$C,CM$1,Database!$F:$F,"Total")</f>
        <v>0</v>
      </c>
      <c r="CN36" s="137">
        <f>SUMIFS(Database!$G:$G,Database!$D:$D,"Import",Database!$E:$E,$B36,Database!$C:$C,CN$1,Database!$F:$F,"Total")</f>
        <v>0</v>
      </c>
      <c r="CO36" s="137">
        <f>SUMIFS(Database!$G:$G,Database!$D:$D,"Import",Database!$E:$E,$B36,Database!$C:$C,CO$1,Database!$F:$F,"Total")</f>
        <v>0</v>
      </c>
      <c r="CP36" s="137">
        <f>SUMIFS(Database!$G:$G,Database!$D:$D,"Import",Database!$E:$E,$B36,Database!$C:$C,CP$1,Database!$F:$F,"Total")</f>
        <v>0</v>
      </c>
      <c r="CQ36" s="137">
        <f>SUMIFS(Database!$G:$G,Database!$D:$D,"Import",Database!$E:$E,$B36,Database!$C:$C,CQ$1,Database!$F:$F,"Total")</f>
        <v>0</v>
      </c>
      <c r="CR36" s="137">
        <f>SUMIFS(Database!$G:$G,Database!$D:$D,"Import",Database!$E:$E,$B36,Database!$C:$C,CR$1,Database!$F:$F,"Total")</f>
        <v>0</v>
      </c>
      <c r="CS36" s="137">
        <f>SUMIFS(Database!$G:$G,Database!$D:$D,"Import",Database!$E:$E,$B36,Database!$C:$C,CS$1,Database!$F:$F,"Total")</f>
        <v>0</v>
      </c>
      <c r="CT36" s="137">
        <f>SUMIFS(Database!$G:$G,Database!$D:$D,"Import",Database!$E:$E,$B36,Database!$C:$C,CT$1,Database!$F:$F,"Total")</f>
        <v>0</v>
      </c>
      <c r="CU36" s="137">
        <f>SUMIFS(Database!$G:$G,Database!$D:$D,"Import",Database!$E:$E,$B36,Database!$C:$C,CU$1,Database!$F:$F,"Total")</f>
        <v>0</v>
      </c>
    </row>
    <row r="37" spans="1:99" x14ac:dyDescent="0.25">
      <c r="A37" s="132" t="s">
        <v>484</v>
      </c>
      <c r="B37" s="133" t="s">
        <v>387</v>
      </c>
      <c r="C37" s="137">
        <f>SUMIFS(Database!$G:$G,Database!$D:$D,"Import",Database!$E:$E,$B37,Database!$C:$C,C$1,Database!$F:$F,"Total")</f>
        <v>0</v>
      </c>
      <c r="D37" s="137">
        <f>SUMIFS(Database!$G:$G,Database!$D:$D,"Import",Database!$E:$E,$B37,Database!$C:$C,D$1,Database!$F:$F,"Total")</f>
        <v>0</v>
      </c>
      <c r="E37" s="137">
        <f>SUMIFS(Database!$G:$G,Database!$D:$D,"Import",Database!$E:$E,$B37,Database!$C:$C,E$1,Database!$F:$F,"Total")</f>
        <v>0</v>
      </c>
      <c r="F37" s="137">
        <f>SUMIFS(Database!$G:$G,Database!$D:$D,"Import",Database!$E:$E,$B37,Database!$C:$C,F$1,Database!$F:$F,"Total")</f>
        <v>0</v>
      </c>
      <c r="G37" s="137">
        <f>SUMIFS(Database!$G:$G,Database!$D:$D,"Import",Database!$E:$E,$B37,Database!$C:$C,G$1,Database!$F:$F,"Total")</f>
        <v>0</v>
      </c>
      <c r="H37" s="137">
        <f>SUMIFS(Database!$G:$G,Database!$D:$D,"Import",Database!$E:$E,$B37,Database!$C:$C,H$1,Database!$F:$F,"Total")</f>
        <v>0</v>
      </c>
      <c r="I37" s="137">
        <f>SUMIFS(Database!$G:$G,Database!$D:$D,"Import",Database!$E:$E,$B37,Database!$C:$C,I$1,Database!$F:$F,"Total")</f>
        <v>0</v>
      </c>
      <c r="J37" s="137">
        <f>SUMIFS(Database!$G:$G,Database!$D:$D,"Import",Database!$E:$E,$B37,Database!$C:$C,J$1,Database!$F:$F,"Total")</f>
        <v>0</v>
      </c>
      <c r="K37" s="137">
        <f>SUMIFS(Database!$G:$G,Database!$D:$D,"Import",Database!$E:$E,$B37,Database!$C:$C,K$1,Database!$F:$F,"Total")</f>
        <v>0</v>
      </c>
      <c r="L37" s="137">
        <f>SUMIFS(Database!$G:$G,Database!$D:$D,"Import",Database!$E:$E,$B37,Database!$C:$C,L$1,Database!$F:$F,"Total")</f>
        <v>0</v>
      </c>
      <c r="M37" s="137">
        <f>SUMIFS(Database!$G:$G,Database!$D:$D,"Import",Database!$E:$E,$B37,Database!$C:$C,M$1,Database!$F:$F,"Total")</f>
        <v>0</v>
      </c>
      <c r="N37" s="137">
        <f>SUMIFS(Database!$G:$G,Database!$D:$D,"Import",Database!$E:$E,$B37,Database!$C:$C,N$1,Database!$F:$F,"Total")</f>
        <v>0</v>
      </c>
      <c r="O37" s="137">
        <f>SUMIFS(Database!$G:$G,Database!$D:$D,"Import",Database!$E:$E,$B37,Database!$C:$C,O$1,Database!$F:$F,"Total")</f>
        <v>0</v>
      </c>
      <c r="P37" s="137">
        <f>SUMIFS(Database!$G:$G,Database!$D:$D,"Import",Database!$E:$E,$B37,Database!$C:$C,P$1,Database!$F:$F,"Total")</f>
        <v>0</v>
      </c>
      <c r="Q37" s="137">
        <f>SUMIFS(Database!$G:$G,Database!$D:$D,"Import",Database!$E:$E,$B37,Database!$C:$C,Q$1,Database!$F:$F,"Total")</f>
        <v>0</v>
      </c>
      <c r="R37" s="137">
        <f>SUMIFS(Database!$G:$G,Database!$D:$D,"Import",Database!$E:$E,$B37,Database!$C:$C,R$1,Database!$F:$F,"Total")</f>
        <v>0</v>
      </c>
      <c r="S37" s="137">
        <f>SUMIFS(Database!$G:$G,Database!$D:$D,"Import",Database!$E:$E,$B37,Database!$C:$C,S$1,Database!$F:$F,"Total")</f>
        <v>0</v>
      </c>
      <c r="T37" s="137">
        <f>SUMIFS(Database!$G:$G,Database!$D:$D,"Import",Database!$E:$E,$B37,Database!$C:$C,T$1,Database!$F:$F,"Total")</f>
        <v>0</v>
      </c>
      <c r="U37" s="137">
        <f>SUMIFS(Database!$G:$G,Database!$D:$D,"Import",Database!$E:$E,$B37,Database!$C:$C,U$1,Database!$F:$F,"Total")</f>
        <v>0</v>
      </c>
      <c r="V37" s="137">
        <f>SUMIFS(Database!$G:$G,Database!$D:$D,"Import",Database!$E:$E,$B37,Database!$C:$C,V$1,Database!$F:$F,"Total")</f>
        <v>0</v>
      </c>
      <c r="W37" s="137">
        <f>SUMIFS(Database!$G:$G,Database!$D:$D,"Import",Database!$E:$E,$B37,Database!$C:$C,W$1,Database!$F:$F,"Total")</f>
        <v>0</v>
      </c>
      <c r="X37" s="137">
        <f>SUMIFS(Database!$G:$G,Database!$D:$D,"Import",Database!$E:$E,$B37,Database!$C:$C,X$1,Database!$F:$F,"Total")</f>
        <v>0</v>
      </c>
      <c r="Y37" s="137">
        <f>SUMIFS(Database!$G:$G,Database!$D:$D,"Import",Database!$E:$E,$B37,Database!$C:$C,Y$1,Database!$F:$F,"Total")</f>
        <v>0</v>
      </c>
      <c r="Z37" s="137">
        <f>SUMIFS(Database!$G:$G,Database!$D:$D,"Import",Database!$E:$E,$B37,Database!$C:$C,Z$1,Database!$F:$F,"Total")</f>
        <v>0</v>
      </c>
      <c r="AA37" s="137">
        <f>SUMIFS(Database!$G:$G,Database!$D:$D,"Import",Database!$E:$E,$B37,Database!$C:$C,AA$1,Database!$F:$F,"Total")</f>
        <v>0</v>
      </c>
      <c r="AB37" s="137">
        <f>SUMIFS(Database!$G:$G,Database!$D:$D,"Import",Database!$E:$E,$B37,Database!$C:$C,AB$1,Database!$F:$F,"Total")</f>
        <v>0</v>
      </c>
      <c r="AC37" s="137">
        <f>SUMIFS(Database!$G:$G,Database!$D:$D,"Import",Database!$E:$E,$B37,Database!$C:$C,AC$1,Database!$F:$F,"Total")</f>
        <v>0</v>
      </c>
      <c r="AD37" s="137">
        <f>SUMIFS(Database!$G:$G,Database!$D:$D,"Import",Database!$E:$E,$B37,Database!$C:$C,AD$1,Database!$F:$F,"Total")</f>
        <v>0</v>
      </c>
      <c r="AE37" s="137">
        <f>SUMIFS(Database!$G:$G,Database!$D:$D,"Import",Database!$E:$E,$B37,Database!$C:$C,AE$1,Database!$F:$F,"Total")</f>
        <v>0</v>
      </c>
      <c r="AF37" s="137">
        <f>SUMIFS(Database!$G:$G,Database!$D:$D,"Import",Database!$E:$E,$B37,Database!$C:$C,AF$1,Database!$F:$F,"Total")</f>
        <v>0</v>
      </c>
      <c r="AG37" s="137">
        <f>SUMIFS(Database!$G:$G,Database!$D:$D,"Import",Database!$E:$E,$B37,Database!$C:$C,AG$1,Database!$F:$F,"Total")</f>
        <v>0</v>
      </c>
      <c r="AH37" s="137">
        <f>SUMIFS(Database!$G:$G,Database!$D:$D,"Import",Database!$E:$E,$B37,Database!$C:$C,AH$1,Database!$F:$F,"Total")</f>
        <v>0</v>
      </c>
      <c r="AI37" s="137">
        <f>SUMIFS(Database!$G:$G,Database!$D:$D,"Import",Database!$E:$E,$B37,Database!$C:$C,AI$1,Database!$F:$F,"Total")</f>
        <v>0</v>
      </c>
      <c r="AJ37" s="137">
        <f>SUMIFS(Database!$G:$G,Database!$D:$D,"Import",Database!$E:$E,$B37,Database!$C:$C,AJ$1,Database!$F:$F,"Total")</f>
        <v>0</v>
      </c>
      <c r="AK37" s="137">
        <f>SUMIFS(Database!$G:$G,Database!$D:$D,"Import",Database!$E:$E,$B37,Database!$C:$C,AK$1,Database!$F:$F,"Total")</f>
        <v>0</v>
      </c>
      <c r="AL37" s="137">
        <f>SUMIFS(Database!$G:$G,Database!$D:$D,"Import",Database!$E:$E,$B37,Database!$C:$C,AL$1,Database!$F:$F,"Total")</f>
        <v>0</v>
      </c>
      <c r="AM37" s="137">
        <f>SUMIFS(Database!$G:$G,Database!$D:$D,"Import",Database!$E:$E,$B37,Database!$C:$C,AM$1,Database!$F:$F,"Total")</f>
        <v>0</v>
      </c>
      <c r="AN37" s="137">
        <f>SUMIFS(Database!$G:$G,Database!$D:$D,"Import",Database!$E:$E,$B37,Database!$C:$C,AN$1,Database!$F:$F,"Total")</f>
        <v>0</v>
      </c>
      <c r="AO37" s="137">
        <f>SUMIFS(Database!$G:$G,Database!$D:$D,"Import",Database!$E:$E,$B37,Database!$C:$C,AO$1,Database!$F:$F,"Total")</f>
        <v>0</v>
      </c>
      <c r="AP37" s="137">
        <f>SUMIFS(Database!$G:$G,Database!$D:$D,"Import",Database!$E:$E,$B37,Database!$C:$C,AP$1,Database!$F:$F,"Total")</f>
        <v>0</v>
      </c>
      <c r="AQ37" s="137">
        <f>SUMIFS(Database!$G:$G,Database!$D:$D,"Import",Database!$E:$E,$B37,Database!$C:$C,AQ$1,Database!$F:$F,"Total")</f>
        <v>0</v>
      </c>
      <c r="AR37" s="137">
        <f>SUMIFS(Database!$G:$G,Database!$D:$D,"Import",Database!$E:$E,$B37,Database!$C:$C,AR$1,Database!$F:$F,"Total")</f>
        <v>0</v>
      </c>
      <c r="AS37" s="137">
        <f>SUMIFS(Database!$G:$G,Database!$D:$D,"Import",Database!$E:$E,$B37,Database!$C:$C,AS$1,Database!$F:$F,"Total")</f>
        <v>0</v>
      </c>
      <c r="AT37" s="137">
        <f>SUMIFS(Database!$G:$G,Database!$D:$D,"Import",Database!$E:$E,$B37,Database!$C:$C,AT$1,Database!$F:$F,"Total")</f>
        <v>0</v>
      </c>
      <c r="AU37" s="137">
        <f>SUMIFS(Database!$G:$G,Database!$D:$D,"Import",Database!$E:$E,$B37,Database!$C:$C,AU$1,Database!$F:$F,"Total")</f>
        <v>300</v>
      </c>
      <c r="AV37" s="137">
        <f>SUMIFS(Database!$G:$G,Database!$D:$D,"Import",Database!$E:$E,$B37,Database!$C:$C,AV$1,Database!$F:$F,"Total")</f>
        <v>677</v>
      </c>
      <c r="AW37" s="137">
        <f>SUMIFS(Database!$G:$G,Database!$D:$D,"Import",Database!$E:$E,$B37,Database!$C:$C,AW$1,Database!$F:$F,"Total")</f>
        <v>1576</v>
      </c>
      <c r="AX37" s="137">
        <f>SUMIFS(Database!$G:$G,Database!$D:$D,"Import",Database!$E:$E,$B37,Database!$C:$C,AX$1,Database!$F:$F,"Total")</f>
        <v>1578</v>
      </c>
      <c r="AY37" s="137">
        <f>SUMIFS(Database!$G:$G,Database!$D:$D,"Import",Database!$E:$E,$B37,Database!$C:$C,AY$1,Database!$F:$F,"Total")</f>
        <v>1271</v>
      </c>
      <c r="AZ37" s="137">
        <f>SUMIFS(Database!$G:$G,Database!$D:$D,"Import",Database!$E:$E,$B37,Database!$C:$C,AZ$1,Database!$F:$F,"Total")</f>
        <v>2506</v>
      </c>
      <c r="BA37" s="137">
        <f>SUMIFS(Database!$G:$G,Database!$D:$D,"Import",Database!$E:$E,$B37,Database!$C:$C,BA$1,Database!$F:$F,"Total")</f>
        <v>3336</v>
      </c>
      <c r="BB37" s="137">
        <f>SUMIFS(Database!$G:$G,Database!$D:$D,"Import",Database!$E:$E,$B37,Database!$C:$C,BB$1,Database!$F:$F,"Total")</f>
        <v>2617</v>
      </c>
      <c r="BC37" s="137">
        <f>SUMIFS(Database!$G:$G,Database!$D:$D,"Import",Database!$E:$E,$B37,Database!$C:$C,BC$1,Database!$F:$F,"Total")</f>
        <v>5802</v>
      </c>
      <c r="BD37" s="137">
        <f>SUMIFS(Database!$G:$G,Database!$D:$D,"Import",Database!$E:$E,$B37,Database!$C:$C,BD$1,Database!$F:$F,"Total")</f>
        <v>1036</v>
      </c>
      <c r="BE37" s="137">
        <f>SUMIFS(Database!$G:$G,Database!$D:$D,"Import",Database!$E:$E,$B37,Database!$C:$C,BE$1,Database!$F:$F,"Total")</f>
        <v>5342</v>
      </c>
      <c r="BF37" s="137">
        <f>SUMIFS(Database!$G:$G,Database!$D:$D,"Import",Database!$E:$E,$B37,Database!$C:$C,BF$1,Database!$F:$F,"Total")</f>
        <v>0</v>
      </c>
      <c r="BG37" s="137">
        <f>SUMIFS(Database!$G:$G,Database!$D:$D,"Import",Database!$E:$E,$B37,Database!$C:$C,BG$1,Database!$F:$F,"Total")</f>
        <v>1978</v>
      </c>
      <c r="BH37" s="137">
        <f>SUMIFS(Database!$G:$G,Database!$D:$D,"Import",Database!$E:$E,$B37,Database!$C:$C,BH$1,Database!$F:$F,"Total")</f>
        <v>0</v>
      </c>
      <c r="BI37" s="137">
        <f>SUMIFS(Database!$G:$G,Database!$D:$D,"Import",Database!$E:$E,$B37,Database!$C:$C,BI$1,Database!$F:$F,"Total")</f>
        <v>0</v>
      </c>
      <c r="BJ37" s="137">
        <f>SUMIFS(Database!$G:$G,Database!$D:$D,"Import",Database!$E:$E,$B37,Database!$C:$C,BJ$1,Database!$F:$F,"Total")</f>
        <v>0</v>
      </c>
      <c r="BK37" s="137">
        <f>SUMIFS(Database!$G:$G,Database!$D:$D,"Import",Database!$E:$E,$B37,Database!$C:$C,BK$1,Database!$F:$F,"Total")</f>
        <v>0</v>
      </c>
      <c r="BL37" s="137">
        <f>SUMIFS(Database!$G:$G,Database!$D:$D,"Import",Database!$E:$E,$B37,Database!$C:$C,BL$1,Database!$F:$F,"Total")</f>
        <v>0</v>
      </c>
      <c r="BM37" s="137">
        <f>SUMIFS(Database!$G:$G,Database!$D:$D,"Import",Database!$E:$E,$B37,Database!$C:$C,BM$1,Database!$F:$F,"Total")</f>
        <v>0</v>
      </c>
      <c r="BN37" s="137">
        <f>SUMIFS(Database!$G:$G,Database!$D:$D,"Import",Database!$E:$E,$B37,Database!$C:$C,BN$1,Database!$F:$F,"Total")</f>
        <v>0</v>
      </c>
      <c r="BO37" s="137">
        <f>SUMIFS(Database!$G:$G,Database!$D:$D,"Import",Database!$E:$E,$B37,Database!$C:$C,BO$1,Database!$F:$F,"Total")</f>
        <v>0</v>
      </c>
      <c r="BP37" s="137">
        <f>SUMIFS(Database!$G:$G,Database!$D:$D,"Import",Database!$E:$E,$B37,Database!$C:$C,BP$1,Database!$F:$F,"Total")</f>
        <v>0</v>
      </c>
      <c r="BQ37" s="137">
        <f>SUMIFS(Database!$G:$G,Database!$D:$D,"Import",Database!$E:$E,$B37,Database!$C:$C,BQ$1,Database!$F:$F,"Total")</f>
        <v>0</v>
      </c>
      <c r="BR37" s="137">
        <f>SUMIFS(Database!$G:$G,Database!$D:$D,"Import",Database!$E:$E,$B37,Database!$C:$C,BR$1,Database!$F:$F,"Total")</f>
        <v>0</v>
      </c>
      <c r="BS37" s="137">
        <f>SUMIFS(Database!$G:$G,Database!$D:$D,"Import",Database!$E:$E,$B37,Database!$C:$C,BS$1,Database!$F:$F,"Total")</f>
        <v>0</v>
      </c>
      <c r="BT37" s="137">
        <f>SUMIFS(Database!$G:$G,Database!$D:$D,"Import",Database!$E:$E,$B37,Database!$C:$C,BT$1,Database!$F:$F,"Total")</f>
        <v>0</v>
      </c>
      <c r="BU37" s="137">
        <f>SUMIFS(Database!$G:$G,Database!$D:$D,"Import",Database!$E:$E,$B37,Database!$C:$C,BU$1,Database!$F:$F,"Total")</f>
        <v>0</v>
      </c>
      <c r="BV37" s="137">
        <f>SUMIFS(Database!$G:$G,Database!$D:$D,"Import",Database!$E:$E,$B37,Database!$C:$C,BV$1,Database!$F:$F,"Total")</f>
        <v>0</v>
      </c>
      <c r="BW37" s="137">
        <f>SUMIFS(Database!$G:$G,Database!$D:$D,"Import",Database!$E:$E,$B37,Database!$C:$C,BW$1,Database!$F:$F,"Total")</f>
        <v>0</v>
      </c>
      <c r="BX37" s="137">
        <f>SUMIFS(Database!$G:$G,Database!$D:$D,"Import",Database!$E:$E,$B37,Database!$C:$C,BX$1,Database!$F:$F,"Total")</f>
        <v>0</v>
      </c>
      <c r="BY37" s="137">
        <f>SUMIFS(Database!$G:$G,Database!$D:$D,"Import",Database!$E:$E,$B37,Database!$C:$C,BY$1,Database!$F:$F,"Total")</f>
        <v>0</v>
      </c>
      <c r="BZ37" s="137">
        <f>SUMIFS(Database!$G:$G,Database!$D:$D,"Import",Database!$E:$E,$B37,Database!$C:$C,BZ$1,Database!$F:$F,"Total")</f>
        <v>0</v>
      </c>
      <c r="CA37" s="137">
        <f>SUMIFS(Database!$G:$G,Database!$D:$D,"Import",Database!$E:$E,$B37,Database!$C:$C,CA$1,Database!$F:$F,"Total")</f>
        <v>0</v>
      </c>
      <c r="CB37" s="137">
        <f>SUMIFS(Database!$G:$G,Database!$D:$D,"Import",Database!$E:$E,$B37,Database!$C:$C,CB$1,Database!$F:$F,"Total")</f>
        <v>0</v>
      </c>
      <c r="CC37" s="137">
        <f>SUMIFS(Database!$G:$G,Database!$D:$D,"Import",Database!$E:$E,$B37,Database!$C:$C,CC$1,Database!$F:$F,"Total")</f>
        <v>0</v>
      </c>
      <c r="CD37" s="137">
        <f>SUMIFS(Database!$G:$G,Database!$D:$D,"Import",Database!$E:$E,$B37,Database!$C:$C,CD$1,Database!$F:$F,"Total")</f>
        <v>0</v>
      </c>
      <c r="CE37" s="137">
        <f>SUMIFS(Database!$G:$G,Database!$D:$D,"Import",Database!$E:$E,$B37,Database!$C:$C,CE$1,Database!$F:$F,"Total")</f>
        <v>0</v>
      </c>
      <c r="CF37" s="137">
        <f>SUMIFS(Database!$G:$G,Database!$D:$D,"Import",Database!$E:$E,$B37,Database!$C:$C,CF$1,Database!$F:$F,"Total")</f>
        <v>0</v>
      </c>
      <c r="CG37" s="137">
        <f>SUMIFS(Database!$G:$G,Database!$D:$D,"Import",Database!$E:$E,$B37,Database!$C:$C,CG$1,Database!$F:$F,"Total")</f>
        <v>0</v>
      </c>
      <c r="CH37" s="137">
        <f>SUMIFS(Database!$G:$G,Database!$D:$D,"Import",Database!$E:$E,$B37,Database!$C:$C,CH$1,Database!$F:$F,"Total")</f>
        <v>0</v>
      </c>
      <c r="CI37" s="137">
        <f>SUMIFS(Database!$G:$G,Database!$D:$D,"Import",Database!$E:$E,$B37,Database!$C:$C,CI$1,Database!$F:$F,"Total")</f>
        <v>0</v>
      </c>
      <c r="CJ37" s="137">
        <f>SUMIFS(Database!$G:$G,Database!$D:$D,"Import",Database!$E:$E,$B37,Database!$C:$C,CJ$1,Database!$F:$F,"Total")</f>
        <v>0</v>
      </c>
      <c r="CK37" s="137">
        <f>SUMIFS(Database!$G:$G,Database!$D:$D,"Import",Database!$E:$E,$B37,Database!$C:$C,CK$1,Database!$F:$F,"Total")</f>
        <v>0</v>
      </c>
      <c r="CL37" s="137">
        <f>SUMIFS(Database!$G:$G,Database!$D:$D,"Import",Database!$E:$E,$B37,Database!$C:$C,CL$1,Database!$F:$F,"Total")</f>
        <v>0</v>
      </c>
      <c r="CM37" s="137">
        <f>SUMIFS(Database!$G:$G,Database!$D:$D,"Import",Database!$E:$E,$B37,Database!$C:$C,CM$1,Database!$F:$F,"Total")</f>
        <v>0</v>
      </c>
      <c r="CN37" s="137">
        <f>SUMIFS(Database!$G:$G,Database!$D:$D,"Import",Database!$E:$E,$B37,Database!$C:$C,CN$1,Database!$F:$F,"Total")</f>
        <v>0</v>
      </c>
      <c r="CO37" s="137">
        <f>SUMIFS(Database!$G:$G,Database!$D:$D,"Import",Database!$E:$E,$B37,Database!$C:$C,CO$1,Database!$F:$F,"Total")</f>
        <v>0</v>
      </c>
      <c r="CP37" s="137">
        <f>SUMIFS(Database!$G:$G,Database!$D:$D,"Import",Database!$E:$E,$B37,Database!$C:$C,CP$1,Database!$F:$F,"Total")</f>
        <v>0</v>
      </c>
      <c r="CQ37" s="137">
        <f>SUMIFS(Database!$G:$G,Database!$D:$D,"Import",Database!$E:$E,$B37,Database!$C:$C,CQ$1,Database!$F:$F,"Total")</f>
        <v>0</v>
      </c>
      <c r="CR37" s="137">
        <f>SUMIFS(Database!$G:$G,Database!$D:$D,"Import",Database!$E:$E,$B37,Database!$C:$C,CR$1,Database!$F:$F,"Total")</f>
        <v>0</v>
      </c>
      <c r="CS37" s="137">
        <f>SUMIFS(Database!$G:$G,Database!$D:$D,"Import",Database!$E:$E,$B37,Database!$C:$C,CS$1,Database!$F:$F,"Total")</f>
        <v>0</v>
      </c>
      <c r="CT37" s="137">
        <f>SUMIFS(Database!$G:$G,Database!$D:$D,"Import",Database!$E:$E,$B37,Database!$C:$C,CT$1,Database!$F:$F,"Total")</f>
        <v>0</v>
      </c>
      <c r="CU37" s="137">
        <f>SUMIFS(Database!$G:$G,Database!$D:$D,"Import",Database!$E:$E,$B37,Database!$C:$C,CU$1,Database!$F:$F,"Total")</f>
        <v>0</v>
      </c>
    </row>
    <row r="38" spans="1:99" x14ac:dyDescent="0.25">
      <c r="A38" s="132" t="s">
        <v>484</v>
      </c>
      <c r="B38" s="133" t="s">
        <v>388</v>
      </c>
      <c r="C38" s="137">
        <f>SUMIFS(Database!$G:$G,Database!$D:$D,"Import",Database!$E:$E,$B38,Database!$C:$C,C$1,Database!$F:$F,"Total")</f>
        <v>0</v>
      </c>
      <c r="D38" s="137">
        <f>SUMIFS(Database!$G:$G,Database!$D:$D,"Import",Database!$E:$E,$B38,Database!$C:$C,D$1,Database!$F:$F,"Total")</f>
        <v>0</v>
      </c>
      <c r="E38" s="137">
        <f>SUMIFS(Database!$G:$G,Database!$D:$D,"Import",Database!$E:$E,$B38,Database!$C:$C,E$1,Database!$F:$F,"Total")</f>
        <v>0</v>
      </c>
      <c r="F38" s="137">
        <f>SUMIFS(Database!$G:$G,Database!$D:$D,"Import",Database!$E:$E,$B38,Database!$C:$C,F$1,Database!$F:$F,"Total")</f>
        <v>0</v>
      </c>
      <c r="G38" s="137">
        <f>SUMIFS(Database!$G:$G,Database!$D:$D,"Import",Database!$E:$E,$B38,Database!$C:$C,G$1,Database!$F:$F,"Total")</f>
        <v>0</v>
      </c>
      <c r="H38" s="137">
        <f>SUMIFS(Database!$G:$G,Database!$D:$D,"Import",Database!$E:$E,$B38,Database!$C:$C,H$1,Database!$F:$F,"Total")</f>
        <v>0</v>
      </c>
      <c r="I38" s="137">
        <f>SUMIFS(Database!$G:$G,Database!$D:$D,"Import",Database!$E:$E,$B38,Database!$C:$C,I$1,Database!$F:$F,"Total")</f>
        <v>0</v>
      </c>
      <c r="J38" s="137">
        <f>SUMIFS(Database!$G:$G,Database!$D:$D,"Import",Database!$E:$E,$B38,Database!$C:$C,J$1,Database!$F:$F,"Total")</f>
        <v>0</v>
      </c>
      <c r="K38" s="137">
        <f>SUMIFS(Database!$G:$G,Database!$D:$D,"Import",Database!$E:$E,$B38,Database!$C:$C,K$1,Database!$F:$F,"Total")</f>
        <v>0</v>
      </c>
      <c r="L38" s="137">
        <f>SUMIFS(Database!$G:$G,Database!$D:$D,"Import",Database!$E:$E,$B38,Database!$C:$C,L$1,Database!$F:$F,"Total")</f>
        <v>0</v>
      </c>
      <c r="M38" s="137">
        <f>SUMIFS(Database!$G:$G,Database!$D:$D,"Import",Database!$E:$E,$B38,Database!$C:$C,M$1,Database!$F:$F,"Total")</f>
        <v>0</v>
      </c>
      <c r="N38" s="137">
        <f>SUMIFS(Database!$G:$G,Database!$D:$D,"Import",Database!$E:$E,$B38,Database!$C:$C,N$1,Database!$F:$F,"Total")</f>
        <v>0</v>
      </c>
      <c r="O38" s="137">
        <f>SUMIFS(Database!$G:$G,Database!$D:$D,"Import",Database!$E:$E,$B38,Database!$C:$C,O$1,Database!$F:$F,"Total")</f>
        <v>0</v>
      </c>
      <c r="P38" s="137">
        <f>SUMIFS(Database!$G:$G,Database!$D:$D,"Import",Database!$E:$E,$B38,Database!$C:$C,P$1,Database!$F:$F,"Total")</f>
        <v>0</v>
      </c>
      <c r="Q38" s="137">
        <f>SUMIFS(Database!$G:$G,Database!$D:$D,"Import",Database!$E:$E,$B38,Database!$C:$C,Q$1,Database!$F:$F,"Total")</f>
        <v>0</v>
      </c>
      <c r="R38" s="137">
        <f>SUMIFS(Database!$G:$G,Database!$D:$D,"Import",Database!$E:$E,$B38,Database!$C:$C,R$1,Database!$F:$F,"Total")</f>
        <v>0</v>
      </c>
      <c r="S38" s="137">
        <f>SUMIFS(Database!$G:$G,Database!$D:$D,"Import",Database!$E:$E,$B38,Database!$C:$C,S$1,Database!$F:$F,"Total")</f>
        <v>0</v>
      </c>
      <c r="T38" s="137">
        <f>SUMIFS(Database!$G:$G,Database!$D:$D,"Import",Database!$E:$E,$B38,Database!$C:$C,T$1,Database!$F:$F,"Total")</f>
        <v>0</v>
      </c>
      <c r="U38" s="137">
        <f>SUMIFS(Database!$G:$G,Database!$D:$D,"Import",Database!$E:$E,$B38,Database!$C:$C,U$1,Database!$F:$F,"Total")</f>
        <v>0</v>
      </c>
      <c r="V38" s="137">
        <f>SUMIFS(Database!$G:$G,Database!$D:$D,"Import",Database!$E:$E,$B38,Database!$C:$C,V$1,Database!$F:$F,"Total")</f>
        <v>0</v>
      </c>
      <c r="W38" s="137">
        <f>SUMIFS(Database!$G:$G,Database!$D:$D,"Import",Database!$E:$E,$B38,Database!$C:$C,W$1,Database!$F:$F,"Total")</f>
        <v>0</v>
      </c>
      <c r="X38" s="137">
        <f>SUMIFS(Database!$G:$G,Database!$D:$D,"Import",Database!$E:$E,$B38,Database!$C:$C,X$1,Database!$F:$F,"Total")</f>
        <v>0</v>
      </c>
      <c r="Y38" s="137">
        <f>SUMIFS(Database!$G:$G,Database!$D:$D,"Import",Database!$E:$E,$B38,Database!$C:$C,Y$1,Database!$F:$F,"Total")</f>
        <v>0</v>
      </c>
      <c r="Z38" s="137">
        <f>SUMIFS(Database!$G:$G,Database!$D:$D,"Import",Database!$E:$E,$B38,Database!$C:$C,Z$1,Database!$F:$F,"Total")</f>
        <v>0</v>
      </c>
      <c r="AA38" s="137">
        <f>SUMIFS(Database!$G:$G,Database!$D:$D,"Import",Database!$E:$E,$B38,Database!$C:$C,AA$1,Database!$F:$F,"Total")</f>
        <v>0</v>
      </c>
      <c r="AB38" s="137">
        <f>SUMIFS(Database!$G:$G,Database!$D:$D,"Import",Database!$E:$E,$B38,Database!$C:$C,AB$1,Database!$F:$F,"Total")</f>
        <v>0</v>
      </c>
      <c r="AC38" s="137">
        <f>SUMIFS(Database!$G:$G,Database!$D:$D,"Import",Database!$E:$E,$B38,Database!$C:$C,AC$1,Database!$F:$F,"Total")</f>
        <v>0</v>
      </c>
      <c r="AD38" s="137">
        <f>SUMIFS(Database!$G:$G,Database!$D:$D,"Import",Database!$E:$E,$B38,Database!$C:$C,AD$1,Database!$F:$F,"Total")</f>
        <v>0</v>
      </c>
      <c r="AE38" s="137">
        <f>SUMIFS(Database!$G:$G,Database!$D:$D,"Import",Database!$E:$E,$B38,Database!$C:$C,AE$1,Database!$F:$F,"Total")</f>
        <v>0</v>
      </c>
      <c r="AF38" s="137">
        <f>SUMIFS(Database!$G:$G,Database!$D:$D,"Import",Database!$E:$E,$B38,Database!$C:$C,AF$1,Database!$F:$F,"Total")</f>
        <v>0</v>
      </c>
      <c r="AG38" s="137">
        <f>SUMIFS(Database!$G:$G,Database!$D:$D,"Import",Database!$E:$E,$B38,Database!$C:$C,AG$1,Database!$F:$F,"Total")</f>
        <v>0</v>
      </c>
      <c r="AH38" s="137">
        <f>SUMIFS(Database!$G:$G,Database!$D:$D,"Import",Database!$E:$E,$B38,Database!$C:$C,AH$1,Database!$F:$F,"Total")</f>
        <v>0</v>
      </c>
      <c r="AI38" s="137">
        <f>SUMIFS(Database!$G:$G,Database!$D:$D,"Import",Database!$E:$E,$B38,Database!$C:$C,AI$1,Database!$F:$F,"Total")</f>
        <v>0</v>
      </c>
      <c r="AJ38" s="137">
        <f>SUMIFS(Database!$G:$G,Database!$D:$D,"Import",Database!$E:$E,$B38,Database!$C:$C,AJ$1,Database!$F:$F,"Total")</f>
        <v>0</v>
      </c>
      <c r="AK38" s="137">
        <f>SUMIFS(Database!$G:$G,Database!$D:$D,"Import",Database!$E:$E,$B38,Database!$C:$C,AK$1,Database!$F:$F,"Total")</f>
        <v>0</v>
      </c>
      <c r="AL38" s="137">
        <f>SUMIFS(Database!$G:$G,Database!$D:$D,"Import",Database!$E:$E,$B38,Database!$C:$C,AL$1,Database!$F:$F,"Total")</f>
        <v>0</v>
      </c>
      <c r="AM38" s="137">
        <f>SUMIFS(Database!$G:$G,Database!$D:$D,"Import",Database!$E:$E,$B38,Database!$C:$C,AM$1,Database!$F:$F,"Total")</f>
        <v>0</v>
      </c>
      <c r="AN38" s="137">
        <f>SUMIFS(Database!$G:$G,Database!$D:$D,"Import",Database!$E:$E,$B38,Database!$C:$C,AN$1,Database!$F:$F,"Total")</f>
        <v>0</v>
      </c>
      <c r="AO38" s="137">
        <f>SUMIFS(Database!$G:$G,Database!$D:$D,"Import",Database!$E:$E,$B38,Database!$C:$C,AO$1,Database!$F:$F,"Total")</f>
        <v>0</v>
      </c>
      <c r="AP38" s="137">
        <f>SUMIFS(Database!$G:$G,Database!$D:$D,"Import",Database!$E:$E,$B38,Database!$C:$C,AP$1,Database!$F:$F,"Total")</f>
        <v>0</v>
      </c>
      <c r="AQ38" s="137">
        <f>SUMIFS(Database!$G:$G,Database!$D:$D,"Import",Database!$E:$E,$B38,Database!$C:$C,AQ$1,Database!$F:$F,"Total")</f>
        <v>0</v>
      </c>
      <c r="AR38" s="137">
        <f>SUMIFS(Database!$G:$G,Database!$D:$D,"Import",Database!$E:$E,$B38,Database!$C:$C,AR$1,Database!$F:$F,"Total")</f>
        <v>0</v>
      </c>
      <c r="AS38" s="137">
        <f>SUMIFS(Database!$G:$G,Database!$D:$D,"Import",Database!$E:$E,$B38,Database!$C:$C,AS$1,Database!$F:$F,"Total")</f>
        <v>0</v>
      </c>
      <c r="AT38" s="137">
        <f>SUMIFS(Database!$G:$G,Database!$D:$D,"Import",Database!$E:$E,$B38,Database!$C:$C,AT$1,Database!$F:$F,"Total")</f>
        <v>0</v>
      </c>
      <c r="AU38" s="137">
        <f>SUMIFS(Database!$G:$G,Database!$D:$D,"Import",Database!$E:$E,$B38,Database!$C:$C,AU$1,Database!$F:$F,"Total")</f>
        <v>0</v>
      </c>
      <c r="AV38" s="137">
        <f>SUMIFS(Database!$G:$G,Database!$D:$D,"Import",Database!$E:$E,$B38,Database!$C:$C,AV$1,Database!$F:$F,"Total")</f>
        <v>198</v>
      </c>
      <c r="AW38" s="137">
        <f>SUMIFS(Database!$G:$G,Database!$D:$D,"Import",Database!$E:$E,$B38,Database!$C:$C,AW$1,Database!$F:$F,"Total")</f>
        <v>7420</v>
      </c>
      <c r="AX38" s="137">
        <f>SUMIFS(Database!$G:$G,Database!$D:$D,"Import",Database!$E:$E,$B38,Database!$C:$C,AX$1,Database!$F:$F,"Total")</f>
        <v>16043</v>
      </c>
      <c r="AY38" s="137">
        <f>SUMIFS(Database!$G:$G,Database!$D:$D,"Import",Database!$E:$E,$B38,Database!$C:$C,AY$1,Database!$F:$F,"Total")</f>
        <v>8929</v>
      </c>
      <c r="AZ38" s="137">
        <f>SUMIFS(Database!$G:$G,Database!$D:$D,"Import",Database!$E:$E,$B38,Database!$C:$C,AZ$1,Database!$F:$F,"Total")</f>
        <v>10258</v>
      </c>
      <c r="BA38" s="137">
        <f>SUMIFS(Database!$G:$G,Database!$D:$D,"Import",Database!$E:$E,$B38,Database!$C:$C,BA$1,Database!$F:$F,"Total")</f>
        <v>12080</v>
      </c>
      <c r="BB38" s="137">
        <f>SUMIFS(Database!$G:$G,Database!$D:$D,"Import",Database!$E:$E,$B38,Database!$C:$C,BB$1,Database!$F:$F,"Total")</f>
        <v>8747</v>
      </c>
      <c r="BC38" s="137">
        <f>SUMIFS(Database!$G:$G,Database!$D:$D,"Import",Database!$E:$E,$B38,Database!$C:$C,BC$1,Database!$F:$F,"Total")</f>
        <v>9040</v>
      </c>
      <c r="BD38" s="137">
        <f>SUMIFS(Database!$G:$G,Database!$D:$D,"Import",Database!$E:$E,$B38,Database!$C:$C,BD$1,Database!$F:$F,"Total")</f>
        <v>14063</v>
      </c>
      <c r="BE38" s="137">
        <f>SUMIFS(Database!$G:$G,Database!$D:$D,"Import",Database!$E:$E,$B38,Database!$C:$C,BE$1,Database!$F:$F,"Total")</f>
        <v>8710</v>
      </c>
      <c r="BF38" s="137">
        <f>SUMIFS(Database!$G:$G,Database!$D:$D,"Import",Database!$E:$E,$B38,Database!$C:$C,BF$1,Database!$F:$F,"Total")</f>
        <v>16994</v>
      </c>
      <c r="BG38" s="137">
        <f>SUMIFS(Database!$G:$G,Database!$D:$D,"Import",Database!$E:$E,$B38,Database!$C:$C,BG$1,Database!$F:$F,"Total")</f>
        <v>20760</v>
      </c>
      <c r="BH38" s="137">
        <f>SUMIFS(Database!$G:$G,Database!$D:$D,"Import",Database!$E:$E,$B38,Database!$C:$C,BH$1,Database!$F:$F,"Total")</f>
        <v>0</v>
      </c>
      <c r="BI38" s="137">
        <f>SUMIFS(Database!$G:$G,Database!$D:$D,"Import",Database!$E:$E,$B38,Database!$C:$C,BI$1,Database!$F:$F,"Total")</f>
        <v>0</v>
      </c>
      <c r="BJ38" s="137">
        <f>SUMIFS(Database!$G:$G,Database!$D:$D,"Import",Database!$E:$E,$B38,Database!$C:$C,BJ$1,Database!$F:$F,"Total")</f>
        <v>0</v>
      </c>
      <c r="BK38" s="137">
        <f>SUMIFS(Database!$G:$G,Database!$D:$D,"Import",Database!$E:$E,$B38,Database!$C:$C,BK$1,Database!$F:$F,"Total")</f>
        <v>0</v>
      </c>
      <c r="BL38" s="137">
        <f>SUMIFS(Database!$G:$G,Database!$D:$D,"Import",Database!$E:$E,$B38,Database!$C:$C,BL$1,Database!$F:$F,"Total")</f>
        <v>0</v>
      </c>
      <c r="BM38" s="137">
        <f>SUMIFS(Database!$G:$G,Database!$D:$D,"Import",Database!$E:$E,$B38,Database!$C:$C,BM$1,Database!$F:$F,"Total")</f>
        <v>0</v>
      </c>
      <c r="BN38" s="137">
        <f>SUMIFS(Database!$G:$G,Database!$D:$D,"Import",Database!$E:$E,$B38,Database!$C:$C,BN$1,Database!$F:$F,"Total")</f>
        <v>0</v>
      </c>
      <c r="BO38" s="137">
        <f>SUMIFS(Database!$G:$G,Database!$D:$D,"Import",Database!$E:$E,$B38,Database!$C:$C,BO$1,Database!$F:$F,"Total")</f>
        <v>0</v>
      </c>
      <c r="BP38" s="137">
        <f>SUMIFS(Database!$G:$G,Database!$D:$D,"Import",Database!$E:$E,$B38,Database!$C:$C,BP$1,Database!$F:$F,"Total")</f>
        <v>0</v>
      </c>
      <c r="BQ38" s="137">
        <f>SUMIFS(Database!$G:$G,Database!$D:$D,"Import",Database!$E:$E,$B38,Database!$C:$C,BQ$1,Database!$F:$F,"Total")</f>
        <v>0</v>
      </c>
      <c r="BR38" s="137">
        <f>SUMIFS(Database!$G:$G,Database!$D:$D,"Import",Database!$E:$E,$B38,Database!$C:$C,BR$1,Database!$F:$F,"Total")</f>
        <v>0</v>
      </c>
      <c r="BS38" s="137">
        <f>SUMIFS(Database!$G:$G,Database!$D:$D,"Import",Database!$E:$E,$B38,Database!$C:$C,BS$1,Database!$F:$F,"Total")</f>
        <v>0</v>
      </c>
      <c r="BT38" s="137">
        <f>SUMIFS(Database!$G:$G,Database!$D:$D,"Import",Database!$E:$E,$B38,Database!$C:$C,BT$1,Database!$F:$F,"Total")</f>
        <v>0</v>
      </c>
      <c r="BU38" s="137">
        <f>SUMIFS(Database!$G:$G,Database!$D:$D,"Import",Database!$E:$E,$B38,Database!$C:$C,BU$1,Database!$F:$F,"Total")</f>
        <v>0</v>
      </c>
      <c r="BV38" s="137">
        <f>SUMIFS(Database!$G:$G,Database!$D:$D,"Import",Database!$E:$E,$B38,Database!$C:$C,BV$1,Database!$F:$F,"Total")</f>
        <v>0</v>
      </c>
      <c r="BW38" s="137">
        <f>SUMIFS(Database!$G:$G,Database!$D:$D,"Import",Database!$E:$E,$B38,Database!$C:$C,BW$1,Database!$F:$F,"Total")</f>
        <v>0</v>
      </c>
      <c r="BX38" s="137">
        <f>SUMIFS(Database!$G:$G,Database!$D:$D,"Import",Database!$E:$E,$B38,Database!$C:$C,BX$1,Database!$F:$F,"Total")</f>
        <v>0</v>
      </c>
      <c r="BY38" s="137">
        <f>SUMIFS(Database!$G:$G,Database!$D:$D,"Import",Database!$E:$E,$B38,Database!$C:$C,BY$1,Database!$F:$F,"Total")</f>
        <v>0</v>
      </c>
      <c r="BZ38" s="137">
        <f>SUMIFS(Database!$G:$G,Database!$D:$D,"Import",Database!$E:$E,$B38,Database!$C:$C,BZ$1,Database!$F:$F,"Total")</f>
        <v>0</v>
      </c>
      <c r="CA38" s="137">
        <f>SUMIFS(Database!$G:$G,Database!$D:$D,"Import",Database!$E:$E,$B38,Database!$C:$C,CA$1,Database!$F:$F,"Total")</f>
        <v>0</v>
      </c>
      <c r="CB38" s="137">
        <f>SUMIFS(Database!$G:$G,Database!$D:$D,"Import",Database!$E:$E,$B38,Database!$C:$C,CB$1,Database!$F:$F,"Total")</f>
        <v>0</v>
      </c>
      <c r="CC38" s="137">
        <f>SUMIFS(Database!$G:$G,Database!$D:$D,"Import",Database!$E:$E,$B38,Database!$C:$C,CC$1,Database!$F:$F,"Total")</f>
        <v>0</v>
      </c>
      <c r="CD38" s="137">
        <f>SUMIFS(Database!$G:$G,Database!$D:$D,"Import",Database!$E:$E,$B38,Database!$C:$C,CD$1,Database!$F:$F,"Total")</f>
        <v>0</v>
      </c>
      <c r="CE38" s="137">
        <f>SUMIFS(Database!$G:$G,Database!$D:$D,"Import",Database!$E:$E,$B38,Database!$C:$C,CE$1,Database!$F:$F,"Total")</f>
        <v>0</v>
      </c>
      <c r="CF38" s="137">
        <f>SUMIFS(Database!$G:$G,Database!$D:$D,"Import",Database!$E:$E,$B38,Database!$C:$C,CF$1,Database!$F:$F,"Total")</f>
        <v>0</v>
      </c>
      <c r="CG38" s="137">
        <f>SUMIFS(Database!$G:$G,Database!$D:$D,"Import",Database!$E:$E,$B38,Database!$C:$C,CG$1,Database!$F:$F,"Total")</f>
        <v>0</v>
      </c>
      <c r="CH38" s="137">
        <f>SUMIFS(Database!$G:$G,Database!$D:$D,"Import",Database!$E:$E,$B38,Database!$C:$C,CH$1,Database!$F:$F,"Total")</f>
        <v>0</v>
      </c>
      <c r="CI38" s="137">
        <f>SUMIFS(Database!$G:$G,Database!$D:$D,"Import",Database!$E:$E,$B38,Database!$C:$C,CI$1,Database!$F:$F,"Total")</f>
        <v>0</v>
      </c>
      <c r="CJ38" s="137">
        <f>SUMIFS(Database!$G:$G,Database!$D:$D,"Import",Database!$E:$E,$B38,Database!$C:$C,CJ$1,Database!$F:$F,"Total")</f>
        <v>0</v>
      </c>
      <c r="CK38" s="137">
        <f>SUMIFS(Database!$G:$G,Database!$D:$D,"Import",Database!$E:$E,$B38,Database!$C:$C,CK$1,Database!$F:$F,"Total")</f>
        <v>0</v>
      </c>
      <c r="CL38" s="137">
        <f>SUMIFS(Database!$G:$G,Database!$D:$D,"Import",Database!$E:$E,$B38,Database!$C:$C,CL$1,Database!$F:$F,"Total")</f>
        <v>0</v>
      </c>
      <c r="CM38" s="137">
        <f>SUMIFS(Database!$G:$G,Database!$D:$D,"Import",Database!$E:$E,$B38,Database!$C:$C,CM$1,Database!$F:$F,"Total")</f>
        <v>0</v>
      </c>
      <c r="CN38" s="137">
        <f>SUMIFS(Database!$G:$G,Database!$D:$D,"Import",Database!$E:$E,$B38,Database!$C:$C,CN$1,Database!$F:$F,"Total")</f>
        <v>0</v>
      </c>
      <c r="CO38" s="137">
        <f>SUMIFS(Database!$G:$G,Database!$D:$D,"Import",Database!$E:$E,$B38,Database!$C:$C,CO$1,Database!$F:$F,"Total")</f>
        <v>0</v>
      </c>
      <c r="CP38" s="137">
        <f>SUMIFS(Database!$G:$G,Database!$D:$D,"Import",Database!$E:$E,$B38,Database!$C:$C,CP$1,Database!$F:$F,"Total")</f>
        <v>0</v>
      </c>
      <c r="CQ38" s="137">
        <f>SUMIFS(Database!$G:$G,Database!$D:$D,"Import",Database!$E:$E,$B38,Database!$C:$C,CQ$1,Database!$F:$F,"Total")</f>
        <v>0</v>
      </c>
      <c r="CR38" s="137">
        <f>SUMIFS(Database!$G:$G,Database!$D:$D,"Import",Database!$E:$E,$B38,Database!$C:$C,CR$1,Database!$F:$F,"Total")</f>
        <v>0</v>
      </c>
      <c r="CS38" s="137">
        <f>SUMIFS(Database!$G:$G,Database!$D:$D,"Import",Database!$E:$E,$B38,Database!$C:$C,CS$1,Database!$F:$F,"Total")</f>
        <v>0</v>
      </c>
      <c r="CT38" s="137">
        <f>SUMIFS(Database!$G:$G,Database!$D:$D,"Import",Database!$E:$E,$B38,Database!$C:$C,CT$1,Database!$F:$F,"Total")</f>
        <v>0</v>
      </c>
      <c r="CU38" s="137">
        <f>SUMIFS(Database!$G:$G,Database!$D:$D,"Import",Database!$E:$E,$B38,Database!$C:$C,CU$1,Database!$F:$F,"Total")</f>
        <v>0</v>
      </c>
    </row>
    <row r="39" spans="1:99" x14ac:dyDescent="0.25">
      <c r="A39" s="132" t="s">
        <v>484</v>
      </c>
      <c r="B39" s="133" t="s">
        <v>55</v>
      </c>
      <c r="C39" s="137">
        <f>SUMIFS(Database!$G:$G,Database!$D:$D,"Import",Database!$E:$E,$B39,Database!$C:$C,C$1,Database!$F:$F,"Total")</f>
        <v>0</v>
      </c>
      <c r="D39" s="137">
        <f>SUMIFS(Database!$G:$G,Database!$D:$D,"Import",Database!$E:$E,$B39,Database!$C:$C,D$1,Database!$F:$F,"Total")</f>
        <v>0</v>
      </c>
      <c r="E39" s="137">
        <f>SUMIFS(Database!$G:$G,Database!$D:$D,"Import",Database!$E:$E,$B39,Database!$C:$C,E$1,Database!$F:$F,"Total")</f>
        <v>0</v>
      </c>
      <c r="F39" s="137">
        <f>SUMIFS(Database!$G:$G,Database!$D:$D,"Import",Database!$E:$E,$B39,Database!$C:$C,F$1,Database!$F:$F,"Total")</f>
        <v>0</v>
      </c>
      <c r="G39" s="137">
        <f>SUMIFS(Database!$G:$G,Database!$D:$D,"Import",Database!$E:$E,$B39,Database!$C:$C,G$1,Database!$F:$F,"Total")</f>
        <v>0</v>
      </c>
      <c r="H39" s="137">
        <f>SUMIFS(Database!$G:$G,Database!$D:$D,"Import",Database!$E:$E,$B39,Database!$C:$C,H$1,Database!$F:$F,"Total")</f>
        <v>0</v>
      </c>
      <c r="I39" s="137">
        <f>SUMIFS(Database!$G:$G,Database!$D:$D,"Import",Database!$E:$E,$B39,Database!$C:$C,I$1,Database!$F:$F,"Total")</f>
        <v>0</v>
      </c>
      <c r="J39" s="137">
        <f>SUMIFS(Database!$G:$G,Database!$D:$D,"Import",Database!$E:$E,$B39,Database!$C:$C,J$1,Database!$F:$F,"Total")</f>
        <v>0</v>
      </c>
      <c r="K39" s="137">
        <f>SUMIFS(Database!$G:$G,Database!$D:$D,"Import",Database!$E:$E,$B39,Database!$C:$C,K$1,Database!$F:$F,"Total")</f>
        <v>0</v>
      </c>
      <c r="L39" s="137">
        <f>SUMIFS(Database!$G:$G,Database!$D:$D,"Import",Database!$E:$E,$B39,Database!$C:$C,L$1,Database!$F:$F,"Total")</f>
        <v>0</v>
      </c>
      <c r="M39" s="137">
        <f>SUMIFS(Database!$G:$G,Database!$D:$D,"Import",Database!$E:$E,$B39,Database!$C:$C,M$1,Database!$F:$F,"Total")</f>
        <v>0</v>
      </c>
      <c r="N39" s="137">
        <f>SUMIFS(Database!$G:$G,Database!$D:$D,"Import",Database!$E:$E,$B39,Database!$C:$C,N$1,Database!$F:$F,"Total")</f>
        <v>0</v>
      </c>
      <c r="O39" s="137">
        <f>SUMIFS(Database!$G:$G,Database!$D:$D,"Import",Database!$E:$E,$B39,Database!$C:$C,O$1,Database!$F:$F,"Total")</f>
        <v>0</v>
      </c>
      <c r="P39" s="137">
        <f>SUMIFS(Database!$G:$G,Database!$D:$D,"Import",Database!$E:$E,$B39,Database!$C:$C,P$1,Database!$F:$F,"Total")</f>
        <v>0</v>
      </c>
      <c r="Q39" s="137">
        <f>SUMIFS(Database!$G:$G,Database!$D:$D,"Import",Database!$E:$E,$B39,Database!$C:$C,Q$1,Database!$F:$F,"Total")</f>
        <v>0</v>
      </c>
      <c r="R39" s="137">
        <f>SUMIFS(Database!$G:$G,Database!$D:$D,"Import",Database!$E:$E,$B39,Database!$C:$C,R$1,Database!$F:$F,"Total")</f>
        <v>0</v>
      </c>
      <c r="S39" s="137">
        <f>SUMIFS(Database!$G:$G,Database!$D:$D,"Import",Database!$E:$E,$B39,Database!$C:$C,S$1,Database!$F:$F,"Total")</f>
        <v>0</v>
      </c>
      <c r="T39" s="137">
        <f>SUMIFS(Database!$G:$G,Database!$D:$D,"Import",Database!$E:$E,$B39,Database!$C:$C,T$1,Database!$F:$F,"Total")</f>
        <v>0</v>
      </c>
      <c r="U39" s="137">
        <f>SUMIFS(Database!$G:$G,Database!$D:$D,"Import",Database!$E:$E,$B39,Database!$C:$C,U$1,Database!$F:$F,"Total")</f>
        <v>0</v>
      </c>
      <c r="V39" s="137">
        <f>SUMIFS(Database!$G:$G,Database!$D:$D,"Import",Database!$E:$E,$B39,Database!$C:$C,V$1,Database!$F:$F,"Total")</f>
        <v>0</v>
      </c>
      <c r="W39" s="137">
        <f>SUMIFS(Database!$G:$G,Database!$D:$D,"Import",Database!$E:$E,$B39,Database!$C:$C,W$1,Database!$F:$F,"Total")</f>
        <v>0</v>
      </c>
      <c r="X39" s="137">
        <f>SUMIFS(Database!$G:$G,Database!$D:$D,"Import",Database!$E:$E,$B39,Database!$C:$C,X$1,Database!$F:$F,"Total")</f>
        <v>0</v>
      </c>
      <c r="Y39" s="137">
        <f>SUMIFS(Database!$G:$G,Database!$D:$D,"Import",Database!$E:$E,$B39,Database!$C:$C,Y$1,Database!$F:$F,"Total")</f>
        <v>0</v>
      </c>
      <c r="Z39" s="137">
        <f>SUMIFS(Database!$G:$G,Database!$D:$D,"Import",Database!$E:$E,$B39,Database!$C:$C,Z$1,Database!$F:$F,"Total")</f>
        <v>0</v>
      </c>
      <c r="AA39" s="137">
        <f>SUMIFS(Database!$G:$G,Database!$D:$D,"Import",Database!$E:$E,$B39,Database!$C:$C,AA$1,Database!$F:$F,"Total")</f>
        <v>0</v>
      </c>
      <c r="AB39" s="137">
        <f>SUMIFS(Database!$G:$G,Database!$D:$D,"Import",Database!$E:$E,$B39,Database!$C:$C,AB$1,Database!$F:$F,"Total")</f>
        <v>0</v>
      </c>
      <c r="AC39" s="137">
        <f>SUMIFS(Database!$G:$G,Database!$D:$D,"Import",Database!$E:$E,$B39,Database!$C:$C,AC$1,Database!$F:$F,"Total")</f>
        <v>0</v>
      </c>
      <c r="AD39" s="137">
        <f>SUMIFS(Database!$G:$G,Database!$D:$D,"Import",Database!$E:$E,$B39,Database!$C:$C,AD$1,Database!$F:$F,"Total")</f>
        <v>0</v>
      </c>
      <c r="AE39" s="137">
        <f>SUMIFS(Database!$G:$G,Database!$D:$D,"Import",Database!$E:$E,$B39,Database!$C:$C,AE$1,Database!$F:$F,"Total")</f>
        <v>0</v>
      </c>
      <c r="AF39" s="137">
        <f>SUMIFS(Database!$G:$G,Database!$D:$D,"Import",Database!$E:$E,$B39,Database!$C:$C,AF$1,Database!$F:$F,"Total")</f>
        <v>0</v>
      </c>
      <c r="AG39" s="137">
        <f>SUMIFS(Database!$G:$G,Database!$D:$D,"Import",Database!$E:$E,$B39,Database!$C:$C,AG$1,Database!$F:$F,"Total")</f>
        <v>0</v>
      </c>
      <c r="AH39" s="137">
        <f>SUMIFS(Database!$G:$G,Database!$D:$D,"Import",Database!$E:$E,$B39,Database!$C:$C,AH$1,Database!$F:$F,"Total")</f>
        <v>0</v>
      </c>
      <c r="AI39" s="137">
        <f>SUMIFS(Database!$G:$G,Database!$D:$D,"Import",Database!$E:$E,$B39,Database!$C:$C,AI$1,Database!$F:$F,"Total")</f>
        <v>0</v>
      </c>
      <c r="AJ39" s="137">
        <f>SUMIFS(Database!$G:$G,Database!$D:$D,"Import",Database!$E:$E,$B39,Database!$C:$C,AJ$1,Database!$F:$F,"Total")</f>
        <v>0</v>
      </c>
      <c r="AK39" s="137">
        <f>SUMIFS(Database!$G:$G,Database!$D:$D,"Import",Database!$E:$E,$B39,Database!$C:$C,AK$1,Database!$F:$F,"Total")</f>
        <v>0</v>
      </c>
      <c r="AL39" s="137">
        <f>SUMIFS(Database!$G:$G,Database!$D:$D,"Import",Database!$E:$E,$B39,Database!$C:$C,AL$1,Database!$F:$F,"Total")</f>
        <v>0</v>
      </c>
      <c r="AM39" s="137">
        <f>SUMIFS(Database!$G:$G,Database!$D:$D,"Import",Database!$E:$E,$B39,Database!$C:$C,AM$1,Database!$F:$F,"Total")</f>
        <v>0</v>
      </c>
      <c r="AN39" s="137">
        <f>SUMIFS(Database!$G:$G,Database!$D:$D,"Import",Database!$E:$E,$B39,Database!$C:$C,AN$1,Database!$F:$F,"Total")</f>
        <v>0</v>
      </c>
      <c r="AO39" s="137">
        <f>SUMIFS(Database!$G:$G,Database!$D:$D,"Import",Database!$E:$E,$B39,Database!$C:$C,AO$1,Database!$F:$F,"Total")</f>
        <v>0</v>
      </c>
      <c r="AP39" s="137">
        <f>SUMIFS(Database!$G:$G,Database!$D:$D,"Import",Database!$E:$E,$B39,Database!$C:$C,AP$1,Database!$F:$F,"Total")</f>
        <v>0</v>
      </c>
      <c r="AQ39" s="137">
        <f>SUMIFS(Database!$G:$G,Database!$D:$D,"Import",Database!$E:$E,$B39,Database!$C:$C,AQ$1,Database!$F:$F,"Total")</f>
        <v>0</v>
      </c>
      <c r="AR39" s="137">
        <f>SUMIFS(Database!$G:$G,Database!$D:$D,"Import",Database!$E:$E,$B39,Database!$C:$C,AR$1,Database!$F:$F,"Total")</f>
        <v>0</v>
      </c>
      <c r="AS39" s="137">
        <f>SUMIFS(Database!$G:$G,Database!$D:$D,"Import",Database!$E:$E,$B39,Database!$C:$C,AS$1,Database!$F:$F,"Total")</f>
        <v>0</v>
      </c>
      <c r="AT39" s="137">
        <f>SUMIFS(Database!$G:$G,Database!$D:$D,"Import",Database!$E:$E,$B39,Database!$C:$C,AT$1,Database!$F:$F,"Total")</f>
        <v>9255</v>
      </c>
      <c r="AU39" s="137">
        <f>SUMIFS(Database!$G:$G,Database!$D:$D,"Import",Database!$E:$E,$B39,Database!$C:$C,AU$1,Database!$F:$F,"Total")</f>
        <v>365</v>
      </c>
      <c r="AV39" s="137">
        <f>SUMIFS(Database!$G:$G,Database!$D:$D,"Import",Database!$E:$E,$B39,Database!$C:$C,AV$1,Database!$F:$F,"Total")</f>
        <v>400</v>
      </c>
      <c r="AW39" s="137">
        <f>SUMIFS(Database!$G:$G,Database!$D:$D,"Import",Database!$E:$E,$B39,Database!$C:$C,AW$1,Database!$F:$F,"Total")</f>
        <v>0</v>
      </c>
      <c r="AX39" s="137">
        <f>SUMIFS(Database!$G:$G,Database!$D:$D,"Import",Database!$E:$E,$B39,Database!$C:$C,AX$1,Database!$F:$F,"Total")</f>
        <v>0</v>
      </c>
      <c r="AY39" s="137">
        <f>SUMIFS(Database!$G:$G,Database!$D:$D,"Import",Database!$E:$E,$B39,Database!$C:$C,AY$1,Database!$F:$F,"Total")</f>
        <v>0</v>
      </c>
      <c r="AZ39" s="137">
        <f>SUMIFS(Database!$G:$G,Database!$D:$D,"Import",Database!$E:$E,$B39,Database!$C:$C,AZ$1,Database!$F:$F,"Total")</f>
        <v>0</v>
      </c>
      <c r="BA39" s="137">
        <f>SUMIFS(Database!$G:$G,Database!$D:$D,"Import",Database!$E:$E,$B39,Database!$C:$C,BA$1,Database!$F:$F,"Total")</f>
        <v>0</v>
      </c>
      <c r="BB39" s="137">
        <f>SUMIFS(Database!$G:$G,Database!$D:$D,"Import",Database!$E:$E,$B39,Database!$C:$C,BB$1,Database!$F:$F,"Total")</f>
        <v>0</v>
      </c>
      <c r="BC39" s="137">
        <f>SUMIFS(Database!$G:$G,Database!$D:$D,"Import",Database!$E:$E,$B39,Database!$C:$C,BC$1,Database!$F:$F,"Total")</f>
        <v>0</v>
      </c>
      <c r="BD39" s="137">
        <f>SUMIFS(Database!$G:$G,Database!$D:$D,"Import",Database!$E:$E,$B39,Database!$C:$C,BD$1,Database!$F:$F,"Total")</f>
        <v>0</v>
      </c>
      <c r="BE39" s="137">
        <f>SUMIFS(Database!$G:$G,Database!$D:$D,"Import",Database!$E:$E,$B39,Database!$C:$C,BE$1,Database!$F:$F,"Total")</f>
        <v>0</v>
      </c>
      <c r="BF39" s="137">
        <f>SUMIFS(Database!$G:$G,Database!$D:$D,"Import",Database!$E:$E,$B39,Database!$C:$C,BF$1,Database!$F:$F,"Total")</f>
        <v>0</v>
      </c>
      <c r="BG39" s="137">
        <f>SUMIFS(Database!$G:$G,Database!$D:$D,"Import",Database!$E:$E,$B39,Database!$C:$C,BG$1,Database!$F:$F,"Total")</f>
        <v>0</v>
      </c>
      <c r="BH39" s="137">
        <f>SUMIFS(Database!$G:$G,Database!$D:$D,"Import",Database!$E:$E,$B39,Database!$C:$C,BH$1,Database!$F:$F,"Total")</f>
        <v>10041</v>
      </c>
      <c r="BI39" s="137">
        <f>SUMIFS(Database!$G:$G,Database!$D:$D,"Import",Database!$E:$E,$B39,Database!$C:$C,BI$1,Database!$F:$F,"Total")</f>
        <v>8935</v>
      </c>
      <c r="BJ39" s="137">
        <f>SUMIFS(Database!$G:$G,Database!$D:$D,"Import",Database!$E:$E,$B39,Database!$C:$C,BJ$1,Database!$F:$F,"Total")</f>
        <v>14874</v>
      </c>
      <c r="BK39" s="137">
        <f>SUMIFS(Database!$G:$G,Database!$D:$D,"Import",Database!$E:$E,$B39,Database!$C:$C,BK$1,Database!$F:$F,"Total")</f>
        <v>10264</v>
      </c>
      <c r="BL39" s="137">
        <f>SUMIFS(Database!$G:$G,Database!$D:$D,"Import",Database!$E:$E,$B39,Database!$C:$C,BL$1,Database!$F:$F,"Total")</f>
        <v>0</v>
      </c>
      <c r="BM39" s="137">
        <f>SUMIFS(Database!$G:$G,Database!$D:$D,"Import",Database!$E:$E,$B39,Database!$C:$C,BM$1,Database!$F:$F,"Total")</f>
        <v>0</v>
      </c>
      <c r="BN39" s="137">
        <f>SUMIFS(Database!$G:$G,Database!$D:$D,"Import",Database!$E:$E,$B39,Database!$C:$C,BN$1,Database!$F:$F,"Total")</f>
        <v>7932</v>
      </c>
      <c r="BO39" s="137">
        <f>SUMIFS(Database!$G:$G,Database!$D:$D,"Import",Database!$E:$E,$B39,Database!$C:$C,BO$1,Database!$F:$F,"Total")</f>
        <v>0</v>
      </c>
      <c r="BP39" s="137">
        <f>SUMIFS(Database!$G:$G,Database!$D:$D,"Import",Database!$E:$E,$B39,Database!$C:$C,BP$1,Database!$F:$F,"Total")</f>
        <v>13152</v>
      </c>
      <c r="BQ39" s="137">
        <f>SUMIFS(Database!$G:$G,Database!$D:$D,"Import",Database!$E:$E,$B39,Database!$C:$C,BQ$1,Database!$F:$F,"Total")</f>
        <v>7943</v>
      </c>
      <c r="BR39" s="137">
        <f>SUMIFS(Database!$G:$G,Database!$D:$D,"Import",Database!$E:$E,$B39,Database!$C:$C,BR$1,Database!$F:$F,"Total")</f>
        <v>6884</v>
      </c>
      <c r="BS39" s="137">
        <f>SUMIFS(Database!$G:$G,Database!$D:$D,"Import",Database!$E:$E,$B39,Database!$C:$C,BS$1,Database!$F:$F,"Total")</f>
        <v>11015</v>
      </c>
      <c r="BT39" s="137">
        <f>SUMIFS(Database!$G:$G,Database!$D:$D,"Import",Database!$E:$E,$B39,Database!$C:$C,BT$1,Database!$F:$F,"Total")</f>
        <v>11569</v>
      </c>
      <c r="BU39" s="137">
        <f>SUMIFS(Database!$G:$G,Database!$D:$D,"Import",Database!$E:$E,$B39,Database!$C:$C,BU$1,Database!$F:$F,"Total")</f>
        <v>8425</v>
      </c>
      <c r="BV39" s="137">
        <f>SUMIFS(Database!$G:$G,Database!$D:$D,"Import",Database!$E:$E,$B39,Database!$C:$C,BV$1,Database!$F:$F,"Total")</f>
        <v>101747</v>
      </c>
      <c r="BW39" s="137">
        <f>SUMIFS(Database!$G:$G,Database!$D:$D,"Import",Database!$E:$E,$B39,Database!$C:$C,BW$1,Database!$F:$F,"Total")</f>
        <v>25995</v>
      </c>
      <c r="BX39" s="137">
        <f>SUMIFS(Database!$G:$G,Database!$D:$D,"Import",Database!$E:$E,$B39,Database!$C:$C,BX$1,Database!$F:$F,"Total")</f>
        <v>11272</v>
      </c>
      <c r="BY39" s="137">
        <f>SUMIFS(Database!$G:$G,Database!$D:$D,"Import",Database!$E:$E,$B39,Database!$C:$C,BY$1,Database!$F:$F,"Total")</f>
        <v>13268</v>
      </c>
      <c r="BZ39" s="137">
        <f>SUMIFS(Database!$G:$G,Database!$D:$D,"Import",Database!$E:$E,$B39,Database!$C:$C,BZ$1,Database!$F:$F,"Total")</f>
        <v>32337</v>
      </c>
      <c r="CA39" s="137">
        <f>SUMIFS(Database!$G:$G,Database!$D:$D,"Import",Database!$E:$E,$B39,Database!$C:$C,CA$1,Database!$F:$F,"Total")</f>
        <v>19070</v>
      </c>
      <c r="CB39" s="137">
        <f>SUMIFS(Database!$G:$G,Database!$D:$D,"Import",Database!$E:$E,$B39,Database!$C:$C,CB$1,Database!$F:$F,"Total")</f>
        <v>0</v>
      </c>
      <c r="CC39" s="137">
        <f>SUMIFS(Database!$G:$G,Database!$D:$D,"Import",Database!$E:$E,$B39,Database!$C:$C,CC$1,Database!$F:$F,"Total")</f>
        <v>0</v>
      </c>
      <c r="CD39" s="137">
        <f>SUMIFS(Database!$G:$G,Database!$D:$D,"Import",Database!$E:$E,$B39,Database!$C:$C,CD$1,Database!$F:$F,"Total")</f>
        <v>0</v>
      </c>
      <c r="CE39" s="137">
        <f>SUMIFS(Database!$G:$G,Database!$D:$D,"Import",Database!$E:$E,$B39,Database!$C:$C,CE$1,Database!$F:$F,"Total")</f>
        <v>0</v>
      </c>
      <c r="CF39" s="137">
        <f>SUMIFS(Database!$G:$G,Database!$D:$D,"Import",Database!$E:$E,$B39,Database!$C:$C,CF$1,Database!$F:$F,"Total")</f>
        <v>0</v>
      </c>
      <c r="CG39" s="137">
        <f>SUMIFS(Database!$G:$G,Database!$D:$D,"Import",Database!$E:$E,$B39,Database!$C:$C,CG$1,Database!$F:$F,"Total")</f>
        <v>0</v>
      </c>
      <c r="CH39" s="137">
        <f>SUMIFS(Database!$G:$G,Database!$D:$D,"Import",Database!$E:$E,$B39,Database!$C:$C,CH$1,Database!$F:$F,"Total")</f>
        <v>0</v>
      </c>
      <c r="CI39" s="137">
        <f>SUMIFS(Database!$G:$G,Database!$D:$D,"Import",Database!$E:$E,$B39,Database!$C:$C,CI$1,Database!$F:$F,"Total")</f>
        <v>0</v>
      </c>
      <c r="CJ39" s="137">
        <f>SUMIFS(Database!$G:$G,Database!$D:$D,"Import",Database!$E:$E,$B39,Database!$C:$C,CJ$1,Database!$F:$F,"Total")</f>
        <v>0</v>
      </c>
      <c r="CK39" s="137">
        <f>SUMIFS(Database!$G:$G,Database!$D:$D,"Import",Database!$E:$E,$B39,Database!$C:$C,CK$1,Database!$F:$F,"Total")</f>
        <v>0</v>
      </c>
      <c r="CL39" s="137">
        <f>SUMIFS(Database!$G:$G,Database!$D:$D,"Import",Database!$E:$E,$B39,Database!$C:$C,CL$1,Database!$F:$F,"Total")</f>
        <v>0</v>
      </c>
      <c r="CM39" s="137">
        <f>SUMIFS(Database!$G:$G,Database!$D:$D,"Import",Database!$E:$E,$B39,Database!$C:$C,CM$1,Database!$F:$F,"Total")</f>
        <v>0</v>
      </c>
      <c r="CN39" s="137">
        <f>SUMIFS(Database!$G:$G,Database!$D:$D,"Import",Database!$E:$E,$B39,Database!$C:$C,CN$1,Database!$F:$F,"Total")</f>
        <v>0</v>
      </c>
      <c r="CO39" s="137">
        <f>SUMIFS(Database!$G:$G,Database!$D:$D,"Import",Database!$E:$E,$B39,Database!$C:$C,CO$1,Database!$F:$F,"Total")</f>
        <v>0</v>
      </c>
      <c r="CP39" s="137">
        <f>SUMIFS(Database!$G:$G,Database!$D:$D,"Import",Database!$E:$E,$B39,Database!$C:$C,CP$1,Database!$F:$F,"Total")</f>
        <v>0</v>
      </c>
      <c r="CQ39" s="137">
        <f>SUMIFS(Database!$G:$G,Database!$D:$D,"Import",Database!$E:$E,$B39,Database!$C:$C,CQ$1,Database!$F:$F,"Total")</f>
        <v>0</v>
      </c>
      <c r="CR39" s="137">
        <f>SUMIFS(Database!$G:$G,Database!$D:$D,"Import",Database!$E:$E,$B39,Database!$C:$C,CR$1,Database!$F:$F,"Total")</f>
        <v>0</v>
      </c>
      <c r="CS39" s="137">
        <f>SUMIFS(Database!$G:$G,Database!$D:$D,"Import",Database!$E:$E,$B39,Database!$C:$C,CS$1,Database!$F:$F,"Total")</f>
        <v>0</v>
      </c>
      <c r="CT39" s="137">
        <f>SUMIFS(Database!$G:$G,Database!$D:$D,"Import",Database!$E:$E,$B39,Database!$C:$C,CT$1,Database!$F:$F,"Total")</f>
        <v>0</v>
      </c>
      <c r="CU39" s="137">
        <f>SUMIFS(Database!$G:$G,Database!$D:$D,"Import",Database!$E:$E,$B39,Database!$C:$C,CU$1,Database!$F:$F,"Total")</f>
        <v>0</v>
      </c>
    </row>
    <row r="40" spans="1:99" x14ac:dyDescent="0.25">
      <c r="A40" s="132" t="s">
        <v>484</v>
      </c>
      <c r="B40" s="133" t="s">
        <v>57</v>
      </c>
      <c r="C40" s="137">
        <f>SUMIFS(Database!$G:$G,Database!$D:$D,"Import",Database!$E:$E,$B40,Database!$C:$C,C$1,Database!$F:$F,"Total")</f>
        <v>0</v>
      </c>
      <c r="D40" s="137">
        <f>SUMIFS(Database!$G:$G,Database!$D:$D,"Import",Database!$E:$E,$B40,Database!$C:$C,D$1,Database!$F:$F,"Total")</f>
        <v>0</v>
      </c>
      <c r="E40" s="137">
        <f>SUMIFS(Database!$G:$G,Database!$D:$D,"Import",Database!$E:$E,$B40,Database!$C:$C,E$1,Database!$F:$F,"Total")</f>
        <v>0</v>
      </c>
      <c r="F40" s="137">
        <f>SUMIFS(Database!$G:$G,Database!$D:$D,"Import",Database!$E:$E,$B40,Database!$C:$C,F$1,Database!$F:$F,"Total")</f>
        <v>0</v>
      </c>
      <c r="G40" s="137">
        <f>SUMIFS(Database!$G:$G,Database!$D:$D,"Import",Database!$E:$E,$B40,Database!$C:$C,G$1,Database!$F:$F,"Total")</f>
        <v>0</v>
      </c>
      <c r="H40" s="137">
        <f>SUMIFS(Database!$G:$G,Database!$D:$D,"Import",Database!$E:$E,$B40,Database!$C:$C,H$1,Database!$F:$F,"Total")</f>
        <v>0</v>
      </c>
      <c r="I40" s="137">
        <f>SUMIFS(Database!$G:$G,Database!$D:$D,"Import",Database!$E:$E,$B40,Database!$C:$C,I$1,Database!$F:$F,"Total")</f>
        <v>0</v>
      </c>
      <c r="J40" s="137">
        <f>SUMIFS(Database!$G:$G,Database!$D:$D,"Import",Database!$E:$E,$B40,Database!$C:$C,J$1,Database!$F:$F,"Total")</f>
        <v>0</v>
      </c>
      <c r="K40" s="137">
        <f>SUMIFS(Database!$G:$G,Database!$D:$D,"Import",Database!$E:$E,$B40,Database!$C:$C,K$1,Database!$F:$F,"Total")</f>
        <v>0</v>
      </c>
      <c r="L40" s="137">
        <f>SUMIFS(Database!$G:$G,Database!$D:$D,"Import",Database!$E:$E,$B40,Database!$C:$C,L$1,Database!$F:$F,"Total")</f>
        <v>0</v>
      </c>
      <c r="M40" s="137">
        <f>SUMIFS(Database!$G:$G,Database!$D:$D,"Import",Database!$E:$E,$B40,Database!$C:$C,M$1,Database!$F:$F,"Total")</f>
        <v>0</v>
      </c>
      <c r="N40" s="137">
        <f>SUMIFS(Database!$G:$G,Database!$D:$D,"Import",Database!$E:$E,$B40,Database!$C:$C,N$1,Database!$F:$F,"Total")</f>
        <v>0</v>
      </c>
      <c r="O40" s="137">
        <f>SUMIFS(Database!$G:$G,Database!$D:$D,"Import",Database!$E:$E,$B40,Database!$C:$C,O$1,Database!$F:$F,"Total")</f>
        <v>0</v>
      </c>
      <c r="P40" s="137">
        <f>SUMIFS(Database!$G:$G,Database!$D:$D,"Import",Database!$E:$E,$B40,Database!$C:$C,P$1,Database!$F:$F,"Total")</f>
        <v>0</v>
      </c>
      <c r="Q40" s="137">
        <f>SUMIFS(Database!$G:$G,Database!$D:$D,"Import",Database!$E:$E,$B40,Database!$C:$C,Q$1,Database!$F:$F,"Total")</f>
        <v>0</v>
      </c>
      <c r="R40" s="137">
        <f>SUMIFS(Database!$G:$G,Database!$D:$D,"Import",Database!$E:$E,$B40,Database!$C:$C,R$1,Database!$F:$F,"Total")</f>
        <v>0</v>
      </c>
      <c r="S40" s="137">
        <f>SUMIFS(Database!$G:$G,Database!$D:$D,"Import",Database!$E:$E,$B40,Database!$C:$C,S$1,Database!$F:$F,"Total")</f>
        <v>0</v>
      </c>
      <c r="T40" s="137">
        <f>SUMIFS(Database!$G:$G,Database!$D:$D,"Import",Database!$E:$E,$B40,Database!$C:$C,T$1,Database!$F:$F,"Total")</f>
        <v>0</v>
      </c>
      <c r="U40" s="137">
        <f>SUMIFS(Database!$G:$G,Database!$D:$D,"Import",Database!$E:$E,$B40,Database!$C:$C,U$1,Database!$F:$F,"Total")</f>
        <v>0</v>
      </c>
      <c r="V40" s="137">
        <f>SUMIFS(Database!$G:$G,Database!$D:$D,"Import",Database!$E:$E,$B40,Database!$C:$C,V$1,Database!$F:$F,"Total")</f>
        <v>0</v>
      </c>
      <c r="W40" s="137">
        <f>SUMIFS(Database!$G:$G,Database!$D:$D,"Import",Database!$E:$E,$B40,Database!$C:$C,W$1,Database!$F:$F,"Total")</f>
        <v>0</v>
      </c>
      <c r="X40" s="137">
        <f>SUMIFS(Database!$G:$G,Database!$D:$D,"Import",Database!$E:$E,$B40,Database!$C:$C,X$1,Database!$F:$F,"Total")</f>
        <v>0</v>
      </c>
      <c r="Y40" s="137">
        <f>SUMIFS(Database!$G:$G,Database!$D:$D,"Import",Database!$E:$E,$B40,Database!$C:$C,Y$1,Database!$F:$F,"Total")</f>
        <v>0</v>
      </c>
      <c r="Z40" s="137">
        <f>SUMIFS(Database!$G:$G,Database!$D:$D,"Import",Database!$E:$E,$B40,Database!$C:$C,Z$1,Database!$F:$F,"Total")</f>
        <v>0</v>
      </c>
      <c r="AA40" s="137">
        <f>SUMIFS(Database!$G:$G,Database!$D:$D,"Import",Database!$E:$E,$B40,Database!$C:$C,AA$1,Database!$F:$F,"Total")</f>
        <v>0</v>
      </c>
      <c r="AB40" s="137">
        <f>SUMIFS(Database!$G:$G,Database!$D:$D,"Import",Database!$E:$E,$B40,Database!$C:$C,AB$1,Database!$F:$F,"Total")</f>
        <v>0</v>
      </c>
      <c r="AC40" s="137">
        <f>SUMIFS(Database!$G:$G,Database!$D:$D,"Import",Database!$E:$E,$B40,Database!$C:$C,AC$1,Database!$F:$F,"Total")</f>
        <v>0</v>
      </c>
      <c r="AD40" s="137">
        <f>SUMIFS(Database!$G:$G,Database!$D:$D,"Import",Database!$E:$E,$B40,Database!$C:$C,AD$1,Database!$F:$F,"Total")</f>
        <v>0</v>
      </c>
      <c r="AE40" s="137">
        <f>SUMIFS(Database!$G:$G,Database!$D:$D,"Import",Database!$E:$E,$B40,Database!$C:$C,AE$1,Database!$F:$F,"Total")</f>
        <v>0</v>
      </c>
      <c r="AF40" s="137">
        <f>SUMIFS(Database!$G:$G,Database!$D:$D,"Import",Database!$E:$E,$B40,Database!$C:$C,AF$1,Database!$F:$F,"Total")</f>
        <v>0</v>
      </c>
      <c r="AG40" s="137">
        <f>SUMIFS(Database!$G:$G,Database!$D:$D,"Import",Database!$E:$E,$B40,Database!$C:$C,AG$1,Database!$F:$F,"Total")</f>
        <v>0</v>
      </c>
      <c r="AH40" s="137">
        <f>SUMIFS(Database!$G:$G,Database!$D:$D,"Import",Database!$E:$E,$B40,Database!$C:$C,AH$1,Database!$F:$F,"Total")</f>
        <v>0</v>
      </c>
      <c r="AI40" s="137">
        <f>SUMIFS(Database!$G:$G,Database!$D:$D,"Import",Database!$E:$E,$B40,Database!$C:$C,AI$1,Database!$F:$F,"Total")</f>
        <v>0</v>
      </c>
      <c r="AJ40" s="137">
        <f>SUMIFS(Database!$G:$G,Database!$D:$D,"Import",Database!$E:$E,$B40,Database!$C:$C,AJ$1,Database!$F:$F,"Total")</f>
        <v>0</v>
      </c>
      <c r="AK40" s="137">
        <f>SUMIFS(Database!$G:$G,Database!$D:$D,"Import",Database!$E:$E,$B40,Database!$C:$C,AK$1,Database!$F:$F,"Total")</f>
        <v>122489.5</v>
      </c>
      <c r="AL40" s="137">
        <f>SUMIFS(Database!$G:$G,Database!$D:$D,"Import",Database!$E:$E,$B40,Database!$C:$C,AL$1,Database!$F:$F,"Total")</f>
        <v>77299</v>
      </c>
      <c r="AM40" s="137">
        <f>SUMIFS(Database!$G:$G,Database!$D:$D,"Import",Database!$E:$E,$B40,Database!$C:$C,AM$1,Database!$F:$F,"Total")</f>
        <v>55987</v>
      </c>
      <c r="AN40" s="137">
        <f>SUMIFS(Database!$G:$G,Database!$D:$D,"Import",Database!$E:$E,$B40,Database!$C:$C,AN$1,Database!$F:$F,"Total")</f>
        <v>51911</v>
      </c>
      <c r="AO40" s="137">
        <f>SUMIFS(Database!$G:$G,Database!$D:$D,"Import",Database!$E:$E,$B40,Database!$C:$C,AO$1,Database!$F:$F,"Total")</f>
        <v>106573</v>
      </c>
      <c r="AP40" s="137">
        <f>SUMIFS(Database!$G:$G,Database!$D:$D,"Import",Database!$E:$E,$B40,Database!$C:$C,AP$1,Database!$F:$F,"Total")</f>
        <v>42818</v>
      </c>
      <c r="AQ40" s="137">
        <f>SUMIFS(Database!$G:$G,Database!$D:$D,"Import",Database!$E:$E,$B40,Database!$C:$C,AQ$1,Database!$F:$F,"Total")</f>
        <v>40336</v>
      </c>
      <c r="AR40" s="137">
        <f>SUMIFS(Database!$G:$G,Database!$D:$D,"Import",Database!$E:$E,$B40,Database!$C:$C,AR$1,Database!$F:$F,"Total")</f>
        <v>1284</v>
      </c>
      <c r="AS40" s="137">
        <f>SUMIFS(Database!$G:$G,Database!$D:$D,"Import",Database!$E:$E,$B40,Database!$C:$C,AS$1,Database!$F:$F,"Total")</f>
        <v>72686</v>
      </c>
      <c r="AT40" s="137">
        <f>SUMIFS(Database!$G:$G,Database!$D:$D,"Import",Database!$E:$E,$B40,Database!$C:$C,AT$1,Database!$F:$F,"Total")</f>
        <v>0</v>
      </c>
      <c r="AU40" s="137">
        <f>SUMIFS(Database!$G:$G,Database!$D:$D,"Import",Database!$E:$E,$B40,Database!$C:$C,AU$1,Database!$F:$F,"Total")</f>
        <v>0</v>
      </c>
      <c r="AV40" s="137">
        <f>SUMIFS(Database!$G:$G,Database!$D:$D,"Import",Database!$E:$E,$B40,Database!$C:$C,AV$1,Database!$F:$F,"Total")</f>
        <v>0</v>
      </c>
      <c r="AW40" s="137">
        <f>SUMIFS(Database!$G:$G,Database!$D:$D,"Import",Database!$E:$E,$B40,Database!$C:$C,AW$1,Database!$F:$F,"Total")</f>
        <v>0</v>
      </c>
      <c r="AX40" s="137">
        <f>SUMIFS(Database!$G:$G,Database!$D:$D,"Import",Database!$E:$E,$B40,Database!$C:$C,AX$1,Database!$F:$F,"Total")</f>
        <v>0</v>
      </c>
      <c r="AY40" s="137">
        <f>SUMIFS(Database!$G:$G,Database!$D:$D,"Import",Database!$E:$E,$B40,Database!$C:$C,AY$1,Database!$F:$F,"Total")</f>
        <v>0</v>
      </c>
      <c r="AZ40" s="137">
        <f>SUMIFS(Database!$G:$G,Database!$D:$D,"Import",Database!$E:$E,$B40,Database!$C:$C,AZ$1,Database!$F:$F,"Total")</f>
        <v>0</v>
      </c>
      <c r="BA40" s="137">
        <f>SUMIFS(Database!$G:$G,Database!$D:$D,"Import",Database!$E:$E,$B40,Database!$C:$C,BA$1,Database!$F:$F,"Total")</f>
        <v>0</v>
      </c>
      <c r="BB40" s="137">
        <f>SUMIFS(Database!$G:$G,Database!$D:$D,"Import",Database!$E:$E,$B40,Database!$C:$C,BB$1,Database!$F:$F,"Total")</f>
        <v>0</v>
      </c>
      <c r="BC40" s="137">
        <f>SUMIFS(Database!$G:$G,Database!$D:$D,"Import",Database!$E:$E,$B40,Database!$C:$C,BC$1,Database!$F:$F,"Total")</f>
        <v>0</v>
      </c>
      <c r="BD40" s="137">
        <f>SUMIFS(Database!$G:$G,Database!$D:$D,"Import",Database!$E:$E,$B40,Database!$C:$C,BD$1,Database!$F:$F,"Total")</f>
        <v>0</v>
      </c>
      <c r="BE40" s="137">
        <f>SUMIFS(Database!$G:$G,Database!$D:$D,"Import",Database!$E:$E,$B40,Database!$C:$C,BE$1,Database!$F:$F,"Total")</f>
        <v>0</v>
      </c>
      <c r="BF40" s="137">
        <f>SUMIFS(Database!$G:$G,Database!$D:$D,"Import",Database!$E:$E,$B40,Database!$C:$C,BF$1,Database!$F:$F,"Total")</f>
        <v>0</v>
      </c>
      <c r="BG40" s="137">
        <f>SUMIFS(Database!$G:$G,Database!$D:$D,"Import",Database!$E:$E,$B40,Database!$C:$C,BG$1,Database!$F:$F,"Total")</f>
        <v>0</v>
      </c>
      <c r="BH40" s="137">
        <f>SUMIFS(Database!$G:$G,Database!$D:$D,"Import",Database!$E:$E,$B40,Database!$C:$C,BH$1,Database!$F:$F,"Total")</f>
        <v>0</v>
      </c>
      <c r="BI40" s="137">
        <f>SUMIFS(Database!$G:$G,Database!$D:$D,"Import",Database!$E:$E,$B40,Database!$C:$C,BI$1,Database!$F:$F,"Total")</f>
        <v>0</v>
      </c>
      <c r="BJ40" s="137">
        <f>SUMIFS(Database!$G:$G,Database!$D:$D,"Import",Database!$E:$E,$B40,Database!$C:$C,BJ$1,Database!$F:$F,"Total")</f>
        <v>0</v>
      </c>
      <c r="BK40" s="137">
        <f>SUMIFS(Database!$G:$G,Database!$D:$D,"Import",Database!$E:$E,$B40,Database!$C:$C,BK$1,Database!$F:$F,"Total")</f>
        <v>0</v>
      </c>
      <c r="BL40" s="137">
        <f>SUMIFS(Database!$G:$G,Database!$D:$D,"Import",Database!$E:$E,$B40,Database!$C:$C,BL$1,Database!$F:$F,"Total")</f>
        <v>0</v>
      </c>
      <c r="BM40" s="137">
        <f>SUMIFS(Database!$G:$G,Database!$D:$D,"Import",Database!$E:$E,$B40,Database!$C:$C,BM$1,Database!$F:$F,"Total")</f>
        <v>0</v>
      </c>
      <c r="BN40" s="137">
        <f>SUMIFS(Database!$G:$G,Database!$D:$D,"Import",Database!$E:$E,$B40,Database!$C:$C,BN$1,Database!$F:$F,"Total")</f>
        <v>0</v>
      </c>
      <c r="BO40" s="137">
        <f>SUMIFS(Database!$G:$G,Database!$D:$D,"Import",Database!$E:$E,$B40,Database!$C:$C,BO$1,Database!$F:$F,"Total")</f>
        <v>0</v>
      </c>
      <c r="BP40" s="137">
        <f>SUMIFS(Database!$G:$G,Database!$D:$D,"Import",Database!$E:$E,$B40,Database!$C:$C,BP$1,Database!$F:$F,"Total")</f>
        <v>0</v>
      </c>
      <c r="BQ40" s="137">
        <f>SUMIFS(Database!$G:$G,Database!$D:$D,"Import",Database!$E:$E,$B40,Database!$C:$C,BQ$1,Database!$F:$F,"Total")</f>
        <v>0</v>
      </c>
      <c r="BR40" s="137">
        <f>SUMIFS(Database!$G:$G,Database!$D:$D,"Import",Database!$E:$E,$B40,Database!$C:$C,BR$1,Database!$F:$F,"Total")</f>
        <v>0</v>
      </c>
      <c r="BS40" s="137">
        <f>SUMIFS(Database!$G:$G,Database!$D:$D,"Import",Database!$E:$E,$B40,Database!$C:$C,BS$1,Database!$F:$F,"Total")</f>
        <v>0</v>
      </c>
      <c r="BT40" s="137">
        <f>SUMIFS(Database!$G:$G,Database!$D:$D,"Import",Database!$E:$E,$B40,Database!$C:$C,BT$1,Database!$F:$F,"Total")</f>
        <v>0</v>
      </c>
      <c r="BU40" s="137">
        <f>SUMIFS(Database!$G:$G,Database!$D:$D,"Import",Database!$E:$E,$B40,Database!$C:$C,BU$1,Database!$F:$F,"Total")</f>
        <v>0</v>
      </c>
      <c r="BV40" s="137">
        <f>SUMIFS(Database!$G:$G,Database!$D:$D,"Import",Database!$E:$E,$B40,Database!$C:$C,BV$1,Database!$F:$F,"Total")</f>
        <v>0</v>
      </c>
      <c r="BW40" s="137">
        <f>SUMIFS(Database!$G:$G,Database!$D:$D,"Import",Database!$E:$E,$B40,Database!$C:$C,BW$1,Database!$F:$F,"Total")</f>
        <v>0</v>
      </c>
      <c r="BX40" s="137">
        <f>SUMIFS(Database!$G:$G,Database!$D:$D,"Import",Database!$E:$E,$B40,Database!$C:$C,BX$1,Database!$F:$F,"Total")</f>
        <v>0</v>
      </c>
      <c r="BY40" s="137">
        <f>SUMIFS(Database!$G:$G,Database!$D:$D,"Import",Database!$E:$E,$B40,Database!$C:$C,BY$1,Database!$F:$F,"Total")</f>
        <v>0</v>
      </c>
      <c r="BZ40" s="137">
        <f>SUMIFS(Database!$G:$G,Database!$D:$D,"Import",Database!$E:$E,$B40,Database!$C:$C,BZ$1,Database!$F:$F,"Total")</f>
        <v>0</v>
      </c>
      <c r="CA40" s="137">
        <f>SUMIFS(Database!$G:$G,Database!$D:$D,"Import",Database!$E:$E,$B40,Database!$C:$C,CA$1,Database!$F:$F,"Total")</f>
        <v>0</v>
      </c>
      <c r="CB40" s="137">
        <f>SUMIFS(Database!$G:$G,Database!$D:$D,"Import",Database!$E:$E,$B40,Database!$C:$C,CB$1,Database!$F:$F,"Total")</f>
        <v>0</v>
      </c>
      <c r="CC40" s="137">
        <f>SUMIFS(Database!$G:$G,Database!$D:$D,"Import",Database!$E:$E,$B40,Database!$C:$C,CC$1,Database!$F:$F,"Total")</f>
        <v>0</v>
      </c>
      <c r="CD40" s="137">
        <f>SUMIFS(Database!$G:$G,Database!$D:$D,"Import",Database!$E:$E,$B40,Database!$C:$C,CD$1,Database!$F:$F,"Total")</f>
        <v>0</v>
      </c>
      <c r="CE40" s="137">
        <f>SUMIFS(Database!$G:$G,Database!$D:$D,"Import",Database!$E:$E,$B40,Database!$C:$C,CE$1,Database!$F:$F,"Total")</f>
        <v>0</v>
      </c>
      <c r="CF40" s="137">
        <f>SUMIFS(Database!$G:$G,Database!$D:$D,"Import",Database!$E:$E,$B40,Database!$C:$C,CF$1,Database!$F:$F,"Total")</f>
        <v>0</v>
      </c>
      <c r="CG40" s="137">
        <f>SUMIFS(Database!$G:$G,Database!$D:$D,"Import",Database!$E:$E,$B40,Database!$C:$C,CG$1,Database!$F:$F,"Total")</f>
        <v>0</v>
      </c>
      <c r="CH40" s="137">
        <f>SUMIFS(Database!$G:$G,Database!$D:$D,"Import",Database!$E:$E,$B40,Database!$C:$C,CH$1,Database!$F:$F,"Total")</f>
        <v>0</v>
      </c>
      <c r="CI40" s="137">
        <f>SUMIFS(Database!$G:$G,Database!$D:$D,"Import",Database!$E:$E,$B40,Database!$C:$C,CI$1,Database!$F:$F,"Total")</f>
        <v>0</v>
      </c>
      <c r="CJ40" s="137">
        <f>SUMIFS(Database!$G:$G,Database!$D:$D,"Import",Database!$E:$E,$B40,Database!$C:$C,CJ$1,Database!$F:$F,"Total")</f>
        <v>0</v>
      </c>
      <c r="CK40" s="137">
        <f>SUMIFS(Database!$G:$G,Database!$D:$D,"Import",Database!$E:$E,$B40,Database!$C:$C,CK$1,Database!$F:$F,"Total")</f>
        <v>0</v>
      </c>
      <c r="CL40" s="137">
        <f>SUMIFS(Database!$G:$G,Database!$D:$D,"Import",Database!$E:$E,$B40,Database!$C:$C,CL$1,Database!$F:$F,"Total")</f>
        <v>0</v>
      </c>
      <c r="CM40" s="137">
        <f>SUMIFS(Database!$G:$G,Database!$D:$D,"Import",Database!$E:$E,$B40,Database!$C:$C,CM$1,Database!$F:$F,"Total")</f>
        <v>0</v>
      </c>
      <c r="CN40" s="137">
        <f>SUMIFS(Database!$G:$G,Database!$D:$D,"Import",Database!$E:$E,$B40,Database!$C:$C,CN$1,Database!$F:$F,"Total")</f>
        <v>0</v>
      </c>
      <c r="CO40" s="137">
        <f>SUMIFS(Database!$G:$G,Database!$D:$D,"Import",Database!$E:$E,$B40,Database!$C:$C,CO$1,Database!$F:$F,"Total")</f>
        <v>0</v>
      </c>
      <c r="CP40" s="137">
        <f>SUMIFS(Database!$G:$G,Database!$D:$D,"Import",Database!$E:$E,$B40,Database!$C:$C,CP$1,Database!$F:$F,"Total")</f>
        <v>0</v>
      </c>
      <c r="CQ40" s="137">
        <f>SUMIFS(Database!$G:$G,Database!$D:$D,"Import",Database!$E:$E,$B40,Database!$C:$C,CQ$1,Database!$F:$F,"Total")</f>
        <v>0</v>
      </c>
      <c r="CR40" s="137">
        <f>SUMIFS(Database!$G:$G,Database!$D:$D,"Import",Database!$E:$E,$B40,Database!$C:$C,CR$1,Database!$F:$F,"Total")</f>
        <v>0</v>
      </c>
      <c r="CS40" s="137">
        <f>SUMIFS(Database!$G:$G,Database!$D:$D,"Import",Database!$E:$E,$B40,Database!$C:$C,CS$1,Database!$F:$F,"Total")</f>
        <v>0</v>
      </c>
      <c r="CT40" s="137">
        <f>SUMIFS(Database!$G:$G,Database!$D:$D,"Import",Database!$E:$E,$B40,Database!$C:$C,CT$1,Database!$F:$F,"Total")</f>
        <v>0</v>
      </c>
      <c r="CU40" s="137">
        <f>SUMIFS(Database!$G:$G,Database!$D:$D,"Import",Database!$E:$E,$B40,Database!$C:$C,CU$1,Database!$F:$F,"Total")</f>
        <v>0</v>
      </c>
    </row>
    <row r="41" spans="1:99" x14ac:dyDescent="0.25">
      <c r="A41" s="132" t="s">
        <v>484</v>
      </c>
      <c r="B41" s="133" t="s">
        <v>58</v>
      </c>
      <c r="C41" s="137">
        <f>SUMIFS(Database!$G:$G,Database!$D:$D,"Import",Database!$E:$E,$B41,Database!$C:$C,C$1,Database!$F:$F,"Total")</f>
        <v>0</v>
      </c>
      <c r="D41" s="137">
        <f>SUMIFS(Database!$G:$G,Database!$D:$D,"Import",Database!$E:$E,$B41,Database!$C:$C,D$1,Database!$F:$F,"Total")</f>
        <v>0</v>
      </c>
      <c r="E41" s="137">
        <f>SUMIFS(Database!$G:$G,Database!$D:$D,"Import",Database!$E:$E,$B41,Database!$C:$C,E$1,Database!$F:$F,"Total")</f>
        <v>0</v>
      </c>
      <c r="F41" s="137">
        <f>SUMIFS(Database!$G:$G,Database!$D:$D,"Import",Database!$E:$E,$B41,Database!$C:$C,F$1,Database!$F:$F,"Total")</f>
        <v>0</v>
      </c>
      <c r="G41" s="137">
        <f>SUMIFS(Database!$G:$G,Database!$D:$D,"Import",Database!$E:$E,$B41,Database!$C:$C,G$1,Database!$F:$F,"Total")</f>
        <v>0</v>
      </c>
      <c r="H41" s="137">
        <f>SUMIFS(Database!$G:$G,Database!$D:$D,"Import",Database!$E:$E,$B41,Database!$C:$C,H$1,Database!$F:$F,"Total")</f>
        <v>0</v>
      </c>
      <c r="I41" s="137">
        <f>SUMIFS(Database!$G:$G,Database!$D:$D,"Import",Database!$E:$E,$B41,Database!$C:$C,I$1,Database!$F:$F,"Total")</f>
        <v>0</v>
      </c>
      <c r="J41" s="137">
        <f>SUMIFS(Database!$G:$G,Database!$D:$D,"Import",Database!$E:$E,$B41,Database!$C:$C,J$1,Database!$F:$F,"Total")</f>
        <v>0</v>
      </c>
      <c r="K41" s="137">
        <f>SUMIFS(Database!$G:$G,Database!$D:$D,"Import",Database!$E:$E,$B41,Database!$C:$C,K$1,Database!$F:$F,"Total")</f>
        <v>0</v>
      </c>
      <c r="L41" s="137">
        <f>SUMIFS(Database!$G:$G,Database!$D:$D,"Import",Database!$E:$E,$B41,Database!$C:$C,L$1,Database!$F:$F,"Total")</f>
        <v>0</v>
      </c>
      <c r="M41" s="137">
        <f>SUMIFS(Database!$G:$G,Database!$D:$D,"Import",Database!$E:$E,$B41,Database!$C:$C,M$1,Database!$F:$F,"Total")</f>
        <v>0</v>
      </c>
      <c r="N41" s="137">
        <f>SUMIFS(Database!$G:$G,Database!$D:$D,"Import",Database!$E:$E,$B41,Database!$C:$C,N$1,Database!$F:$F,"Total")</f>
        <v>0</v>
      </c>
      <c r="O41" s="137">
        <f>SUMIFS(Database!$G:$G,Database!$D:$D,"Import",Database!$E:$E,$B41,Database!$C:$C,O$1,Database!$F:$F,"Total")</f>
        <v>0</v>
      </c>
      <c r="P41" s="137">
        <f>SUMIFS(Database!$G:$G,Database!$D:$D,"Import",Database!$E:$E,$B41,Database!$C:$C,P$1,Database!$F:$F,"Total")</f>
        <v>0</v>
      </c>
      <c r="Q41" s="137">
        <f>SUMIFS(Database!$G:$G,Database!$D:$D,"Import",Database!$E:$E,$B41,Database!$C:$C,Q$1,Database!$F:$F,"Total")</f>
        <v>0</v>
      </c>
      <c r="R41" s="137">
        <f>SUMIFS(Database!$G:$G,Database!$D:$D,"Import",Database!$E:$E,$B41,Database!$C:$C,R$1,Database!$F:$F,"Total")</f>
        <v>0</v>
      </c>
      <c r="S41" s="137">
        <f>SUMIFS(Database!$G:$G,Database!$D:$D,"Import",Database!$E:$E,$B41,Database!$C:$C,S$1,Database!$F:$F,"Total")</f>
        <v>0</v>
      </c>
      <c r="T41" s="137">
        <f>SUMIFS(Database!$G:$G,Database!$D:$D,"Import",Database!$E:$E,$B41,Database!$C:$C,T$1,Database!$F:$F,"Total")</f>
        <v>0</v>
      </c>
      <c r="U41" s="137">
        <f>SUMIFS(Database!$G:$G,Database!$D:$D,"Import",Database!$E:$E,$B41,Database!$C:$C,U$1,Database!$F:$F,"Total")</f>
        <v>0</v>
      </c>
      <c r="V41" s="137">
        <f>SUMIFS(Database!$G:$G,Database!$D:$D,"Import",Database!$E:$E,$B41,Database!$C:$C,V$1,Database!$F:$F,"Total")</f>
        <v>0</v>
      </c>
      <c r="W41" s="137">
        <f>SUMIFS(Database!$G:$G,Database!$D:$D,"Import",Database!$E:$E,$B41,Database!$C:$C,W$1,Database!$F:$F,"Total")</f>
        <v>0</v>
      </c>
      <c r="X41" s="137">
        <f>SUMIFS(Database!$G:$G,Database!$D:$D,"Import",Database!$E:$E,$B41,Database!$C:$C,X$1,Database!$F:$F,"Total")</f>
        <v>0</v>
      </c>
      <c r="Y41" s="137">
        <f>SUMIFS(Database!$G:$G,Database!$D:$D,"Import",Database!$E:$E,$B41,Database!$C:$C,Y$1,Database!$F:$F,"Total")</f>
        <v>0</v>
      </c>
      <c r="Z41" s="137">
        <f>SUMIFS(Database!$G:$G,Database!$D:$D,"Import",Database!$E:$E,$B41,Database!$C:$C,Z$1,Database!$F:$F,"Total")</f>
        <v>0</v>
      </c>
      <c r="AA41" s="137">
        <f>SUMIFS(Database!$G:$G,Database!$D:$D,"Import",Database!$E:$E,$B41,Database!$C:$C,AA$1,Database!$F:$F,"Total")</f>
        <v>0</v>
      </c>
      <c r="AB41" s="137">
        <f>SUMIFS(Database!$G:$G,Database!$D:$D,"Import",Database!$E:$E,$B41,Database!$C:$C,AB$1,Database!$F:$F,"Total")</f>
        <v>0</v>
      </c>
      <c r="AC41" s="137">
        <f>SUMIFS(Database!$G:$G,Database!$D:$D,"Import",Database!$E:$E,$B41,Database!$C:$C,AC$1,Database!$F:$F,"Total")</f>
        <v>0</v>
      </c>
      <c r="AD41" s="137">
        <f>SUMIFS(Database!$G:$G,Database!$D:$D,"Import",Database!$E:$E,$B41,Database!$C:$C,AD$1,Database!$F:$F,"Total")</f>
        <v>0</v>
      </c>
      <c r="AE41" s="137">
        <f>SUMIFS(Database!$G:$G,Database!$D:$D,"Import",Database!$E:$E,$B41,Database!$C:$C,AE$1,Database!$F:$F,"Total")</f>
        <v>0</v>
      </c>
      <c r="AF41" s="137">
        <f>SUMIFS(Database!$G:$G,Database!$D:$D,"Import",Database!$E:$E,$B41,Database!$C:$C,AF$1,Database!$F:$F,"Total")</f>
        <v>0</v>
      </c>
      <c r="AG41" s="137">
        <f>SUMIFS(Database!$G:$G,Database!$D:$D,"Import",Database!$E:$E,$B41,Database!$C:$C,AG$1,Database!$F:$F,"Total")</f>
        <v>0</v>
      </c>
      <c r="AH41" s="137">
        <f>SUMIFS(Database!$G:$G,Database!$D:$D,"Import",Database!$E:$E,$B41,Database!$C:$C,AH$1,Database!$F:$F,"Total")</f>
        <v>0</v>
      </c>
      <c r="AI41" s="137">
        <f>SUMIFS(Database!$G:$G,Database!$D:$D,"Import",Database!$E:$E,$B41,Database!$C:$C,AI$1,Database!$F:$F,"Total")</f>
        <v>0</v>
      </c>
      <c r="AJ41" s="137">
        <f>SUMIFS(Database!$G:$G,Database!$D:$D,"Import",Database!$E:$E,$B41,Database!$C:$C,AJ$1,Database!$F:$F,"Total")</f>
        <v>0</v>
      </c>
      <c r="AK41" s="137">
        <f>SUMIFS(Database!$G:$G,Database!$D:$D,"Import",Database!$E:$E,$B41,Database!$C:$C,AK$1,Database!$F:$F,"Total")</f>
        <v>102</v>
      </c>
      <c r="AL41" s="137">
        <f>SUMIFS(Database!$G:$G,Database!$D:$D,"Import",Database!$E:$E,$B41,Database!$C:$C,AL$1,Database!$F:$F,"Total")</f>
        <v>0</v>
      </c>
      <c r="AM41" s="137">
        <f>SUMIFS(Database!$G:$G,Database!$D:$D,"Import",Database!$E:$E,$B41,Database!$C:$C,AM$1,Database!$F:$F,"Total")</f>
        <v>0</v>
      </c>
      <c r="AN41" s="137">
        <f>SUMIFS(Database!$G:$G,Database!$D:$D,"Import",Database!$E:$E,$B41,Database!$C:$C,AN$1,Database!$F:$F,"Total")</f>
        <v>120</v>
      </c>
      <c r="AO41" s="137">
        <f>SUMIFS(Database!$G:$G,Database!$D:$D,"Import",Database!$E:$E,$B41,Database!$C:$C,AO$1,Database!$F:$F,"Total")</f>
        <v>0</v>
      </c>
      <c r="AP41" s="137">
        <f>SUMIFS(Database!$G:$G,Database!$D:$D,"Import",Database!$E:$E,$B41,Database!$C:$C,AP$1,Database!$F:$F,"Total")</f>
        <v>21</v>
      </c>
      <c r="AQ41" s="137">
        <f>SUMIFS(Database!$G:$G,Database!$D:$D,"Import",Database!$E:$E,$B41,Database!$C:$C,AQ$1,Database!$F:$F,"Total")</f>
        <v>0</v>
      </c>
      <c r="AR41" s="137">
        <f>SUMIFS(Database!$G:$G,Database!$D:$D,"Import",Database!$E:$E,$B41,Database!$C:$C,AR$1,Database!$F:$F,"Total")</f>
        <v>43073</v>
      </c>
      <c r="AS41" s="137">
        <f>SUMIFS(Database!$G:$G,Database!$D:$D,"Import",Database!$E:$E,$B41,Database!$C:$C,AS$1,Database!$F:$F,"Total")</f>
        <v>0</v>
      </c>
      <c r="AT41" s="137">
        <f>SUMIFS(Database!$G:$G,Database!$D:$D,"Import",Database!$E:$E,$B41,Database!$C:$C,AT$1,Database!$F:$F,"Total")</f>
        <v>0</v>
      </c>
      <c r="AU41" s="137">
        <f>SUMIFS(Database!$G:$G,Database!$D:$D,"Import",Database!$E:$E,$B41,Database!$C:$C,AU$1,Database!$F:$F,"Total")</f>
        <v>0</v>
      </c>
      <c r="AV41" s="137">
        <f>SUMIFS(Database!$G:$G,Database!$D:$D,"Import",Database!$E:$E,$B41,Database!$C:$C,AV$1,Database!$F:$F,"Total")</f>
        <v>0</v>
      </c>
      <c r="AW41" s="137">
        <f>SUMIFS(Database!$G:$G,Database!$D:$D,"Import",Database!$E:$E,$B41,Database!$C:$C,AW$1,Database!$F:$F,"Total")</f>
        <v>0</v>
      </c>
      <c r="AX41" s="137">
        <f>SUMIFS(Database!$G:$G,Database!$D:$D,"Import",Database!$E:$E,$B41,Database!$C:$C,AX$1,Database!$F:$F,"Total")</f>
        <v>0</v>
      </c>
      <c r="AY41" s="137">
        <f>SUMIFS(Database!$G:$G,Database!$D:$D,"Import",Database!$E:$E,$B41,Database!$C:$C,AY$1,Database!$F:$F,"Total")</f>
        <v>0</v>
      </c>
      <c r="AZ41" s="137">
        <f>SUMIFS(Database!$G:$G,Database!$D:$D,"Import",Database!$E:$E,$B41,Database!$C:$C,AZ$1,Database!$F:$F,"Total")</f>
        <v>0</v>
      </c>
      <c r="BA41" s="137">
        <f>SUMIFS(Database!$G:$G,Database!$D:$D,"Import",Database!$E:$E,$B41,Database!$C:$C,BA$1,Database!$F:$F,"Total")</f>
        <v>0</v>
      </c>
      <c r="BB41" s="137">
        <f>SUMIFS(Database!$G:$G,Database!$D:$D,"Import",Database!$E:$E,$B41,Database!$C:$C,BB$1,Database!$F:$F,"Total")</f>
        <v>0</v>
      </c>
      <c r="BC41" s="137">
        <f>SUMIFS(Database!$G:$G,Database!$D:$D,"Import",Database!$E:$E,$B41,Database!$C:$C,BC$1,Database!$F:$F,"Total")</f>
        <v>0</v>
      </c>
      <c r="BD41" s="137">
        <f>SUMIFS(Database!$G:$G,Database!$D:$D,"Import",Database!$E:$E,$B41,Database!$C:$C,BD$1,Database!$F:$F,"Total")</f>
        <v>0</v>
      </c>
      <c r="BE41" s="137">
        <f>SUMIFS(Database!$G:$G,Database!$D:$D,"Import",Database!$E:$E,$B41,Database!$C:$C,BE$1,Database!$F:$F,"Total")</f>
        <v>0</v>
      </c>
      <c r="BF41" s="137">
        <f>SUMIFS(Database!$G:$G,Database!$D:$D,"Import",Database!$E:$E,$B41,Database!$C:$C,BF$1,Database!$F:$F,"Total")</f>
        <v>0</v>
      </c>
      <c r="BG41" s="137">
        <f>SUMIFS(Database!$G:$G,Database!$D:$D,"Import",Database!$E:$E,$B41,Database!$C:$C,BG$1,Database!$F:$F,"Total")</f>
        <v>0</v>
      </c>
      <c r="BH41" s="137">
        <f>SUMIFS(Database!$G:$G,Database!$D:$D,"Import",Database!$E:$E,$B41,Database!$C:$C,BH$1,Database!$F:$F,"Total")</f>
        <v>0</v>
      </c>
      <c r="BI41" s="137">
        <f>SUMIFS(Database!$G:$G,Database!$D:$D,"Import",Database!$E:$E,$B41,Database!$C:$C,BI$1,Database!$F:$F,"Total")</f>
        <v>0</v>
      </c>
      <c r="BJ41" s="137">
        <f>SUMIFS(Database!$G:$G,Database!$D:$D,"Import",Database!$E:$E,$B41,Database!$C:$C,BJ$1,Database!$F:$F,"Total")</f>
        <v>0</v>
      </c>
      <c r="BK41" s="137">
        <f>SUMIFS(Database!$G:$G,Database!$D:$D,"Import",Database!$E:$E,$B41,Database!$C:$C,BK$1,Database!$F:$F,"Total")</f>
        <v>0</v>
      </c>
      <c r="BL41" s="137">
        <f>SUMIFS(Database!$G:$G,Database!$D:$D,"Import",Database!$E:$E,$B41,Database!$C:$C,BL$1,Database!$F:$F,"Total")</f>
        <v>0</v>
      </c>
      <c r="BM41" s="137">
        <f>SUMIFS(Database!$G:$G,Database!$D:$D,"Import",Database!$E:$E,$B41,Database!$C:$C,BM$1,Database!$F:$F,"Total")</f>
        <v>0</v>
      </c>
      <c r="BN41" s="137">
        <f>SUMIFS(Database!$G:$G,Database!$D:$D,"Import",Database!$E:$E,$B41,Database!$C:$C,BN$1,Database!$F:$F,"Total")</f>
        <v>0</v>
      </c>
      <c r="BO41" s="137">
        <f>SUMIFS(Database!$G:$G,Database!$D:$D,"Import",Database!$E:$E,$B41,Database!$C:$C,BO$1,Database!$F:$F,"Total")</f>
        <v>0</v>
      </c>
      <c r="BP41" s="137">
        <f>SUMIFS(Database!$G:$G,Database!$D:$D,"Import",Database!$E:$E,$B41,Database!$C:$C,BP$1,Database!$F:$F,"Total")</f>
        <v>0</v>
      </c>
      <c r="BQ41" s="137">
        <f>SUMIFS(Database!$G:$G,Database!$D:$D,"Import",Database!$E:$E,$B41,Database!$C:$C,BQ$1,Database!$F:$F,"Total")</f>
        <v>0</v>
      </c>
      <c r="BR41" s="137">
        <f>SUMIFS(Database!$G:$G,Database!$D:$D,"Import",Database!$E:$E,$B41,Database!$C:$C,BR$1,Database!$F:$F,"Total")</f>
        <v>0</v>
      </c>
      <c r="BS41" s="137">
        <f>SUMIFS(Database!$G:$G,Database!$D:$D,"Import",Database!$E:$E,$B41,Database!$C:$C,BS$1,Database!$F:$F,"Total")</f>
        <v>0</v>
      </c>
      <c r="BT41" s="137">
        <f>SUMIFS(Database!$G:$G,Database!$D:$D,"Import",Database!$E:$E,$B41,Database!$C:$C,BT$1,Database!$F:$F,"Total")</f>
        <v>0</v>
      </c>
      <c r="BU41" s="137">
        <f>SUMIFS(Database!$G:$G,Database!$D:$D,"Import",Database!$E:$E,$B41,Database!$C:$C,BU$1,Database!$F:$F,"Total")</f>
        <v>0</v>
      </c>
      <c r="BV41" s="137">
        <f>SUMIFS(Database!$G:$G,Database!$D:$D,"Import",Database!$E:$E,$B41,Database!$C:$C,BV$1,Database!$F:$F,"Total")</f>
        <v>0</v>
      </c>
      <c r="BW41" s="137">
        <f>SUMIFS(Database!$G:$G,Database!$D:$D,"Import",Database!$E:$E,$B41,Database!$C:$C,BW$1,Database!$F:$F,"Total")</f>
        <v>0</v>
      </c>
      <c r="BX41" s="137">
        <f>SUMIFS(Database!$G:$G,Database!$D:$D,"Import",Database!$E:$E,$B41,Database!$C:$C,BX$1,Database!$F:$F,"Total")</f>
        <v>0</v>
      </c>
      <c r="BY41" s="137">
        <f>SUMIFS(Database!$G:$G,Database!$D:$D,"Import",Database!$E:$E,$B41,Database!$C:$C,BY$1,Database!$F:$F,"Total")</f>
        <v>0</v>
      </c>
      <c r="BZ41" s="137">
        <f>SUMIFS(Database!$G:$G,Database!$D:$D,"Import",Database!$E:$E,$B41,Database!$C:$C,BZ$1,Database!$F:$F,"Total")</f>
        <v>0</v>
      </c>
      <c r="CA41" s="137">
        <f>SUMIFS(Database!$G:$G,Database!$D:$D,"Import",Database!$E:$E,$B41,Database!$C:$C,CA$1,Database!$F:$F,"Total")</f>
        <v>0</v>
      </c>
      <c r="CB41" s="137">
        <f>SUMIFS(Database!$G:$G,Database!$D:$D,"Import",Database!$E:$E,$B41,Database!$C:$C,CB$1,Database!$F:$F,"Total")</f>
        <v>0</v>
      </c>
      <c r="CC41" s="137">
        <f>SUMIFS(Database!$G:$G,Database!$D:$D,"Import",Database!$E:$E,$B41,Database!$C:$C,CC$1,Database!$F:$F,"Total")</f>
        <v>0</v>
      </c>
      <c r="CD41" s="137">
        <f>SUMIFS(Database!$G:$G,Database!$D:$D,"Import",Database!$E:$E,$B41,Database!$C:$C,CD$1,Database!$F:$F,"Total")</f>
        <v>0</v>
      </c>
      <c r="CE41" s="137">
        <f>SUMIFS(Database!$G:$G,Database!$D:$D,"Import",Database!$E:$E,$B41,Database!$C:$C,CE$1,Database!$F:$F,"Total")</f>
        <v>0</v>
      </c>
      <c r="CF41" s="137">
        <f>SUMIFS(Database!$G:$G,Database!$D:$D,"Import",Database!$E:$E,$B41,Database!$C:$C,CF$1,Database!$F:$F,"Total")</f>
        <v>0</v>
      </c>
      <c r="CG41" s="137">
        <f>SUMIFS(Database!$G:$G,Database!$D:$D,"Import",Database!$E:$E,$B41,Database!$C:$C,CG$1,Database!$F:$F,"Total")</f>
        <v>0</v>
      </c>
      <c r="CH41" s="137">
        <f>SUMIFS(Database!$G:$G,Database!$D:$D,"Import",Database!$E:$E,$B41,Database!$C:$C,CH$1,Database!$F:$F,"Total")</f>
        <v>0</v>
      </c>
      <c r="CI41" s="137">
        <f>SUMIFS(Database!$G:$G,Database!$D:$D,"Import",Database!$E:$E,$B41,Database!$C:$C,CI$1,Database!$F:$F,"Total")</f>
        <v>0</v>
      </c>
      <c r="CJ41" s="137">
        <f>SUMIFS(Database!$G:$G,Database!$D:$D,"Import",Database!$E:$E,$B41,Database!$C:$C,CJ$1,Database!$F:$F,"Total")</f>
        <v>0</v>
      </c>
      <c r="CK41" s="137">
        <f>SUMIFS(Database!$G:$G,Database!$D:$D,"Import",Database!$E:$E,$B41,Database!$C:$C,CK$1,Database!$F:$F,"Total")</f>
        <v>0</v>
      </c>
      <c r="CL41" s="137">
        <f>SUMIFS(Database!$G:$G,Database!$D:$D,"Import",Database!$E:$E,$B41,Database!$C:$C,CL$1,Database!$F:$F,"Total")</f>
        <v>0</v>
      </c>
      <c r="CM41" s="137">
        <f>SUMIFS(Database!$G:$G,Database!$D:$D,"Import",Database!$E:$E,$B41,Database!$C:$C,CM$1,Database!$F:$F,"Total")</f>
        <v>0</v>
      </c>
      <c r="CN41" s="137">
        <f>SUMIFS(Database!$G:$G,Database!$D:$D,"Import",Database!$E:$E,$B41,Database!$C:$C,CN$1,Database!$F:$F,"Total")</f>
        <v>0</v>
      </c>
      <c r="CO41" s="137">
        <f>SUMIFS(Database!$G:$G,Database!$D:$D,"Import",Database!$E:$E,$B41,Database!$C:$C,CO$1,Database!$F:$F,"Total")</f>
        <v>0</v>
      </c>
      <c r="CP41" s="137">
        <f>SUMIFS(Database!$G:$G,Database!$D:$D,"Import",Database!$E:$E,$B41,Database!$C:$C,CP$1,Database!$F:$F,"Total")</f>
        <v>0</v>
      </c>
      <c r="CQ41" s="137">
        <f>SUMIFS(Database!$G:$G,Database!$D:$D,"Import",Database!$E:$E,$B41,Database!$C:$C,CQ$1,Database!$F:$F,"Total")</f>
        <v>0</v>
      </c>
      <c r="CR41" s="137">
        <f>SUMIFS(Database!$G:$G,Database!$D:$D,"Import",Database!$E:$E,$B41,Database!$C:$C,CR$1,Database!$F:$F,"Total")</f>
        <v>0</v>
      </c>
      <c r="CS41" s="137">
        <f>SUMIFS(Database!$G:$G,Database!$D:$D,"Import",Database!$E:$E,$B41,Database!$C:$C,CS$1,Database!$F:$F,"Total")</f>
        <v>0</v>
      </c>
      <c r="CT41" s="137">
        <f>SUMIFS(Database!$G:$G,Database!$D:$D,"Import",Database!$E:$E,$B41,Database!$C:$C,CT$1,Database!$F:$F,"Total")</f>
        <v>0</v>
      </c>
      <c r="CU41" s="137">
        <f>SUMIFS(Database!$G:$G,Database!$D:$D,"Import",Database!$E:$E,$B41,Database!$C:$C,CU$1,Database!$F:$F,"Total")</f>
        <v>0</v>
      </c>
    </row>
    <row r="42" spans="1:99" x14ac:dyDescent="0.25">
      <c r="A42" s="132" t="s">
        <v>484</v>
      </c>
      <c r="B42" s="133" t="s">
        <v>566</v>
      </c>
      <c r="C42" s="137">
        <f>SUMIFS(Database!$G:$G,Database!$D:$D,"Import",Database!$E:$E,$B42,Database!$C:$C,C$1,Database!$F:$F,"Total")</f>
        <v>0</v>
      </c>
      <c r="D42" s="137">
        <f>SUMIFS(Database!$G:$G,Database!$D:$D,"Import",Database!$E:$E,$B42,Database!$C:$C,D$1,Database!$F:$F,"Total")</f>
        <v>0</v>
      </c>
      <c r="E42" s="137">
        <f>SUMIFS(Database!$G:$G,Database!$D:$D,"Import",Database!$E:$E,$B42,Database!$C:$C,E$1,Database!$F:$F,"Total")</f>
        <v>0</v>
      </c>
      <c r="F42" s="137">
        <f>SUMIFS(Database!$G:$G,Database!$D:$D,"Import",Database!$E:$E,$B42,Database!$C:$C,F$1,Database!$F:$F,"Total")</f>
        <v>0</v>
      </c>
      <c r="G42" s="137">
        <f>SUMIFS(Database!$G:$G,Database!$D:$D,"Import",Database!$E:$E,$B42,Database!$C:$C,G$1,Database!$F:$F,"Total")</f>
        <v>0</v>
      </c>
      <c r="H42" s="137">
        <f>SUMIFS(Database!$G:$G,Database!$D:$D,"Import",Database!$E:$E,$B42,Database!$C:$C,H$1,Database!$F:$F,"Total")</f>
        <v>0</v>
      </c>
      <c r="I42" s="137">
        <f>SUMIFS(Database!$G:$G,Database!$D:$D,"Import",Database!$E:$E,$B42,Database!$C:$C,I$1,Database!$F:$F,"Total")</f>
        <v>0</v>
      </c>
      <c r="J42" s="137">
        <f>SUMIFS(Database!$G:$G,Database!$D:$D,"Import",Database!$E:$E,$B42,Database!$C:$C,J$1,Database!$F:$F,"Total")</f>
        <v>0</v>
      </c>
      <c r="K42" s="137">
        <f>SUMIFS(Database!$G:$G,Database!$D:$D,"Import",Database!$E:$E,$B42,Database!$C:$C,K$1,Database!$F:$F,"Total")</f>
        <v>0</v>
      </c>
      <c r="L42" s="137">
        <f>SUMIFS(Database!$G:$G,Database!$D:$D,"Import",Database!$E:$E,$B42,Database!$C:$C,L$1,Database!$F:$F,"Total")</f>
        <v>0</v>
      </c>
      <c r="M42" s="137">
        <f>SUMIFS(Database!$G:$G,Database!$D:$D,"Import",Database!$E:$E,$B42,Database!$C:$C,M$1,Database!$F:$F,"Total")</f>
        <v>0</v>
      </c>
      <c r="N42" s="137">
        <f>SUMIFS(Database!$G:$G,Database!$D:$D,"Import",Database!$E:$E,$B42,Database!$C:$C,N$1,Database!$F:$F,"Total")</f>
        <v>0</v>
      </c>
      <c r="O42" s="137">
        <f>SUMIFS(Database!$G:$G,Database!$D:$D,"Import",Database!$E:$E,$B42,Database!$C:$C,O$1,Database!$F:$F,"Total")</f>
        <v>0</v>
      </c>
      <c r="P42" s="137">
        <f>SUMIFS(Database!$G:$G,Database!$D:$D,"Import",Database!$E:$E,$B42,Database!$C:$C,P$1,Database!$F:$F,"Total")</f>
        <v>0</v>
      </c>
      <c r="Q42" s="137">
        <f>SUMIFS(Database!$G:$G,Database!$D:$D,"Import",Database!$E:$E,$B42,Database!$C:$C,Q$1,Database!$F:$F,"Total")</f>
        <v>0</v>
      </c>
      <c r="R42" s="137">
        <f>SUMIFS(Database!$G:$G,Database!$D:$D,"Import",Database!$E:$E,$B42,Database!$C:$C,R$1,Database!$F:$F,"Total")</f>
        <v>0</v>
      </c>
      <c r="S42" s="137">
        <f>SUMIFS(Database!$G:$G,Database!$D:$D,"Import",Database!$E:$E,$B42,Database!$C:$C,S$1,Database!$F:$F,"Total")</f>
        <v>0</v>
      </c>
      <c r="T42" s="137">
        <f>SUMIFS(Database!$G:$G,Database!$D:$D,"Import",Database!$E:$E,$B42,Database!$C:$C,T$1,Database!$F:$F,"Total")</f>
        <v>0</v>
      </c>
      <c r="U42" s="137">
        <f>SUMIFS(Database!$G:$G,Database!$D:$D,"Import",Database!$E:$E,$B42,Database!$C:$C,U$1,Database!$F:$F,"Total")</f>
        <v>0</v>
      </c>
      <c r="V42" s="137">
        <f>SUMIFS(Database!$G:$G,Database!$D:$D,"Import",Database!$E:$E,$B42,Database!$C:$C,V$1,Database!$F:$F,"Total")</f>
        <v>0</v>
      </c>
      <c r="W42" s="137">
        <f>SUMIFS(Database!$G:$G,Database!$D:$D,"Import",Database!$E:$E,$B42,Database!$C:$C,W$1,Database!$F:$F,"Total")</f>
        <v>0</v>
      </c>
      <c r="X42" s="137">
        <f>SUMIFS(Database!$G:$G,Database!$D:$D,"Import",Database!$E:$E,$B42,Database!$C:$C,X$1,Database!$F:$F,"Total")</f>
        <v>0</v>
      </c>
      <c r="Y42" s="137">
        <f>SUMIFS(Database!$G:$G,Database!$D:$D,"Import",Database!$E:$E,$B42,Database!$C:$C,Y$1,Database!$F:$F,"Total")</f>
        <v>0</v>
      </c>
      <c r="Z42" s="137">
        <f>SUMIFS(Database!$G:$G,Database!$D:$D,"Import",Database!$E:$E,$B42,Database!$C:$C,Z$1,Database!$F:$F,"Total")</f>
        <v>0</v>
      </c>
      <c r="AA42" s="137">
        <f>SUMIFS(Database!$G:$G,Database!$D:$D,"Import",Database!$E:$E,$B42,Database!$C:$C,AA$1,Database!$F:$F,"Total")</f>
        <v>0</v>
      </c>
      <c r="AB42" s="137">
        <f>SUMIFS(Database!$G:$G,Database!$D:$D,"Import",Database!$E:$E,$B42,Database!$C:$C,AB$1,Database!$F:$F,"Total")</f>
        <v>0</v>
      </c>
      <c r="AC42" s="137">
        <f>SUMIFS(Database!$G:$G,Database!$D:$D,"Import",Database!$E:$E,$B42,Database!$C:$C,AC$1,Database!$F:$F,"Total")</f>
        <v>0</v>
      </c>
      <c r="AD42" s="137">
        <f>SUMIFS(Database!$G:$G,Database!$D:$D,"Import",Database!$E:$E,$B42,Database!$C:$C,AD$1,Database!$F:$F,"Total")</f>
        <v>0</v>
      </c>
      <c r="AE42" s="137">
        <f>SUMIFS(Database!$G:$G,Database!$D:$D,"Import",Database!$E:$E,$B42,Database!$C:$C,AE$1,Database!$F:$F,"Total")</f>
        <v>0</v>
      </c>
      <c r="AF42" s="137">
        <f>SUMIFS(Database!$G:$G,Database!$D:$D,"Import",Database!$E:$E,$B42,Database!$C:$C,AF$1,Database!$F:$F,"Total")</f>
        <v>0</v>
      </c>
      <c r="AG42" s="137">
        <f>SUMIFS(Database!$G:$G,Database!$D:$D,"Import",Database!$E:$E,$B42,Database!$C:$C,AG$1,Database!$F:$F,"Total")</f>
        <v>0</v>
      </c>
      <c r="AH42" s="137">
        <f>SUMIFS(Database!$G:$G,Database!$D:$D,"Import",Database!$E:$E,$B42,Database!$C:$C,AH$1,Database!$F:$F,"Total")</f>
        <v>0</v>
      </c>
      <c r="AI42" s="137">
        <f>SUMIFS(Database!$G:$G,Database!$D:$D,"Import",Database!$E:$E,$B42,Database!$C:$C,AI$1,Database!$F:$F,"Total")</f>
        <v>0</v>
      </c>
      <c r="AJ42" s="137">
        <f>SUMIFS(Database!$G:$G,Database!$D:$D,"Import",Database!$E:$E,$B42,Database!$C:$C,AJ$1,Database!$F:$F,"Total")</f>
        <v>0</v>
      </c>
      <c r="AK42" s="137">
        <f>SUMIFS(Database!$G:$G,Database!$D:$D,"Import",Database!$E:$E,$B42,Database!$C:$C,AK$1,Database!$F:$F,"Total")</f>
        <v>0</v>
      </c>
      <c r="AL42" s="137">
        <f>SUMIFS(Database!$G:$G,Database!$D:$D,"Import",Database!$E:$E,$B42,Database!$C:$C,AL$1,Database!$F:$F,"Total")</f>
        <v>0</v>
      </c>
      <c r="AM42" s="137">
        <f>SUMIFS(Database!$G:$G,Database!$D:$D,"Import",Database!$E:$E,$B42,Database!$C:$C,AM$1,Database!$F:$F,"Total")</f>
        <v>0</v>
      </c>
      <c r="AN42" s="137">
        <f>SUMIFS(Database!$G:$G,Database!$D:$D,"Import",Database!$E:$E,$B42,Database!$C:$C,AN$1,Database!$F:$F,"Total")</f>
        <v>0</v>
      </c>
      <c r="AO42" s="137">
        <f>SUMIFS(Database!$G:$G,Database!$D:$D,"Import",Database!$E:$E,$B42,Database!$C:$C,AO$1,Database!$F:$F,"Total")</f>
        <v>0</v>
      </c>
      <c r="AP42" s="137">
        <f>SUMIFS(Database!$G:$G,Database!$D:$D,"Import",Database!$E:$E,$B42,Database!$C:$C,AP$1,Database!$F:$F,"Total")</f>
        <v>0</v>
      </c>
      <c r="AQ42" s="137">
        <f>SUMIFS(Database!$G:$G,Database!$D:$D,"Import",Database!$E:$E,$B42,Database!$C:$C,AQ$1,Database!$F:$F,"Total")</f>
        <v>0</v>
      </c>
      <c r="AR42" s="137">
        <f>SUMIFS(Database!$G:$G,Database!$D:$D,"Import",Database!$E:$E,$B42,Database!$C:$C,AR$1,Database!$F:$F,"Total")</f>
        <v>0</v>
      </c>
      <c r="AS42" s="137">
        <f>SUMIFS(Database!$G:$G,Database!$D:$D,"Import",Database!$E:$E,$B42,Database!$C:$C,AS$1,Database!$F:$F,"Total")</f>
        <v>0</v>
      </c>
      <c r="AT42" s="137">
        <f>SUMIFS(Database!$G:$G,Database!$D:$D,"Import",Database!$E:$E,$B42,Database!$C:$C,AT$1,Database!$F:$F,"Total")</f>
        <v>0</v>
      </c>
      <c r="AU42" s="137">
        <f>SUMIFS(Database!$G:$G,Database!$D:$D,"Import",Database!$E:$E,$B42,Database!$C:$C,AU$1,Database!$F:$F,"Total")</f>
        <v>377</v>
      </c>
      <c r="AV42" s="137">
        <f>SUMIFS(Database!$G:$G,Database!$D:$D,"Import",Database!$E:$E,$B42,Database!$C:$C,AV$1,Database!$F:$F,"Total")</f>
        <v>744</v>
      </c>
      <c r="AW42" s="137">
        <f>SUMIFS(Database!$G:$G,Database!$D:$D,"Import",Database!$E:$E,$B42,Database!$C:$C,AW$1,Database!$F:$F,"Total")</f>
        <v>271</v>
      </c>
      <c r="AX42" s="137">
        <f>SUMIFS(Database!$G:$G,Database!$D:$D,"Import",Database!$E:$E,$B42,Database!$C:$C,AX$1,Database!$F:$F,"Total")</f>
        <v>534</v>
      </c>
      <c r="AY42" s="137">
        <f>SUMIFS(Database!$G:$G,Database!$D:$D,"Import",Database!$E:$E,$B42,Database!$C:$C,AY$1,Database!$F:$F,"Total")</f>
        <v>329</v>
      </c>
      <c r="AZ42" s="137">
        <f>SUMIFS(Database!$G:$G,Database!$D:$D,"Import",Database!$E:$E,$B42,Database!$C:$C,AZ$1,Database!$F:$F,"Total")</f>
        <v>368</v>
      </c>
      <c r="BA42" s="137">
        <f>SUMIFS(Database!$G:$G,Database!$D:$D,"Import",Database!$E:$E,$B42,Database!$C:$C,BA$1,Database!$F:$F,"Total")</f>
        <v>514</v>
      </c>
      <c r="BB42" s="137">
        <f>SUMIFS(Database!$G:$G,Database!$D:$D,"Import",Database!$E:$E,$B42,Database!$C:$C,BB$1,Database!$F:$F,"Total")</f>
        <v>389</v>
      </c>
      <c r="BC42" s="137">
        <f>SUMIFS(Database!$G:$G,Database!$D:$D,"Import",Database!$E:$E,$B42,Database!$C:$C,BC$1,Database!$F:$F,"Total")</f>
        <v>515</v>
      </c>
      <c r="BD42" s="137">
        <f>SUMIFS(Database!$G:$G,Database!$D:$D,"Import",Database!$E:$E,$B42,Database!$C:$C,BD$1,Database!$F:$F,"Total")</f>
        <v>731</v>
      </c>
      <c r="BE42" s="137">
        <f>SUMIFS(Database!$G:$G,Database!$D:$D,"Import",Database!$E:$E,$B42,Database!$C:$C,BE$1,Database!$F:$F,"Total")</f>
        <v>250</v>
      </c>
      <c r="BF42" s="137">
        <f>SUMIFS(Database!$G:$G,Database!$D:$D,"Import",Database!$E:$E,$B42,Database!$C:$C,BF$1,Database!$F:$F,"Total")</f>
        <v>524</v>
      </c>
      <c r="BG42" s="137">
        <f>SUMIFS(Database!$G:$G,Database!$D:$D,"Import",Database!$E:$E,$B42,Database!$C:$C,BG$1,Database!$F:$F,"Total")</f>
        <v>232</v>
      </c>
      <c r="BH42" s="137">
        <f>SUMIFS(Database!$G:$G,Database!$D:$D,"Import",Database!$E:$E,$B42,Database!$C:$C,BH$1,Database!$F:$F,"Total")</f>
        <v>173</v>
      </c>
      <c r="BI42" s="137">
        <f>SUMIFS(Database!$G:$G,Database!$D:$D,"Import",Database!$E:$E,$B42,Database!$C:$C,BI$1,Database!$F:$F,"Total")</f>
        <v>0</v>
      </c>
      <c r="BJ42" s="137">
        <f>SUMIFS(Database!$G:$G,Database!$D:$D,"Import",Database!$E:$E,$B42,Database!$C:$C,BJ$1,Database!$F:$F,"Total")</f>
        <v>219</v>
      </c>
      <c r="BK42" s="137">
        <f>SUMIFS(Database!$G:$G,Database!$D:$D,"Import",Database!$E:$E,$B42,Database!$C:$C,BK$1,Database!$F:$F,"Total")</f>
        <v>136</v>
      </c>
      <c r="BL42" s="137">
        <f>SUMIFS(Database!$G:$G,Database!$D:$D,"Import",Database!$E:$E,$B42,Database!$C:$C,BL$1,Database!$F:$F,"Total")</f>
        <v>0</v>
      </c>
      <c r="BM42" s="137">
        <f>SUMIFS(Database!$G:$G,Database!$D:$D,"Import",Database!$E:$E,$B42,Database!$C:$C,BM$1,Database!$F:$F,"Total")</f>
        <v>0</v>
      </c>
      <c r="BN42" s="137">
        <f>SUMIFS(Database!$G:$G,Database!$D:$D,"Import",Database!$E:$E,$B42,Database!$C:$C,BN$1,Database!$F:$F,"Total")</f>
        <v>3506</v>
      </c>
      <c r="BO42" s="137">
        <f>SUMIFS(Database!$G:$G,Database!$D:$D,"Import",Database!$E:$E,$B42,Database!$C:$C,BO$1,Database!$F:$F,"Total")</f>
        <v>0</v>
      </c>
      <c r="BP42" s="137">
        <f>SUMIFS(Database!$G:$G,Database!$D:$D,"Import",Database!$E:$E,$B42,Database!$C:$C,BP$1,Database!$F:$F,"Total")</f>
        <v>194</v>
      </c>
      <c r="BQ42" s="137">
        <f>SUMIFS(Database!$G:$G,Database!$D:$D,"Import",Database!$E:$E,$B42,Database!$C:$C,BQ$1,Database!$F:$F,"Total")</f>
        <v>4233</v>
      </c>
      <c r="BR42" s="137">
        <f>SUMIFS(Database!$G:$G,Database!$D:$D,"Import",Database!$E:$E,$B42,Database!$C:$C,BR$1,Database!$F:$F,"Total")</f>
        <v>307</v>
      </c>
      <c r="BS42" s="137">
        <f>SUMIFS(Database!$G:$G,Database!$D:$D,"Import",Database!$E:$E,$B42,Database!$C:$C,BS$1,Database!$F:$F,"Total")</f>
        <v>310</v>
      </c>
      <c r="BT42" s="137">
        <f>SUMIFS(Database!$G:$G,Database!$D:$D,"Import",Database!$E:$E,$B42,Database!$C:$C,BT$1,Database!$F:$F,"Total")</f>
        <v>846</v>
      </c>
      <c r="BU42" s="137">
        <f>SUMIFS(Database!$G:$G,Database!$D:$D,"Import",Database!$E:$E,$B42,Database!$C:$C,BU$1,Database!$F:$F,"Total")</f>
        <v>2919</v>
      </c>
      <c r="BV42" s="137">
        <f>SUMIFS(Database!$G:$G,Database!$D:$D,"Import",Database!$E:$E,$B42,Database!$C:$C,BV$1,Database!$F:$F,"Total")</f>
        <v>0</v>
      </c>
      <c r="BW42" s="137">
        <f>SUMIFS(Database!$G:$G,Database!$D:$D,"Import",Database!$E:$E,$B42,Database!$C:$C,BW$1,Database!$F:$F,"Total")</f>
        <v>0</v>
      </c>
      <c r="BX42" s="137">
        <f>SUMIFS(Database!$G:$G,Database!$D:$D,"Import",Database!$E:$E,$B42,Database!$C:$C,BX$1,Database!$F:$F,"Total")</f>
        <v>0</v>
      </c>
      <c r="BY42" s="137">
        <f>SUMIFS(Database!$G:$G,Database!$D:$D,"Import",Database!$E:$E,$B42,Database!$C:$C,BY$1,Database!$F:$F,"Total")</f>
        <v>0</v>
      </c>
      <c r="BZ42" s="137">
        <f>SUMIFS(Database!$G:$G,Database!$D:$D,"Import",Database!$E:$E,$B42,Database!$C:$C,BZ$1,Database!$F:$F,"Total")</f>
        <v>0</v>
      </c>
      <c r="CA42" s="137">
        <f>SUMIFS(Database!$G:$G,Database!$D:$D,"Import",Database!$E:$E,$B42,Database!$C:$C,CA$1,Database!$F:$F,"Total")</f>
        <v>0</v>
      </c>
      <c r="CB42" s="137">
        <f>SUMIFS(Database!$G:$G,Database!$D:$D,"Import",Database!$E:$E,$B42,Database!$C:$C,CB$1,Database!$F:$F,"Total")</f>
        <v>0</v>
      </c>
      <c r="CC42" s="137">
        <f>SUMIFS(Database!$G:$G,Database!$D:$D,"Import",Database!$E:$E,$B42,Database!$C:$C,CC$1,Database!$F:$F,"Total")</f>
        <v>0</v>
      </c>
      <c r="CD42" s="137">
        <f>SUMIFS(Database!$G:$G,Database!$D:$D,"Import",Database!$E:$E,$B42,Database!$C:$C,CD$1,Database!$F:$F,"Total")</f>
        <v>0</v>
      </c>
      <c r="CE42" s="137">
        <f>SUMIFS(Database!$G:$G,Database!$D:$D,"Import",Database!$E:$E,$B42,Database!$C:$C,CE$1,Database!$F:$F,"Total")</f>
        <v>0</v>
      </c>
      <c r="CF42" s="137">
        <f>SUMIFS(Database!$G:$G,Database!$D:$D,"Import",Database!$E:$E,$B42,Database!$C:$C,CF$1,Database!$F:$F,"Total")</f>
        <v>0</v>
      </c>
      <c r="CG42" s="137">
        <f>SUMIFS(Database!$G:$G,Database!$D:$D,"Import",Database!$E:$E,$B42,Database!$C:$C,CG$1,Database!$F:$F,"Total")</f>
        <v>0</v>
      </c>
      <c r="CH42" s="137">
        <f>SUMIFS(Database!$G:$G,Database!$D:$D,"Import",Database!$E:$E,$B42,Database!$C:$C,CH$1,Database!$F:$F,"Total")</f>
        <v>0</v>
      </c>
      <c r="CI42" s="137">
        <f>SUMIFS(Database!$G:$G,Database!$D:$D,"Import",Database!$E:$E,$B42,Database!$C:$C,CI$1,Database!$F:$F,"Total")</f>
        <v>0</v>
      </c>
      <c r="CJ42" s="137">
        <f>SUMIFS(Database!$G:$G,Database!$D:$D,"Import",Database!$E:$E,$B42,Database!$C:$C,CJ$1,Database!$F:$F,"Total")</f>
        <v>0</v>
      </c>
      <c r="CK42" s="137">
        <f>SUMIFS(Database!$G:$G,Database!$D:$D,"Import",Database!$E:$E,$B42,Database!$C:$C,CK$1,Database!$F:$F,"Total")</f>
        <v>0</v>
      </c>
      <c r="CL42" s="137">
        <f>SUMIFS(Database!$G:$G,Database!$D:$D,"Import",Database!$E:$E,$B42,Database!$C:$C,CL$1,Database!$F:$F,"Total")</f>
        <v>0</v>
      </c>
      <c r="CM42" s="137">
        <f>SUMIFS(Database!$G:$G,Database!$D:$D,"Import",Database!$E:$E,$B42,Database!$C:$C,CM$1,Database!$F:$F,"Total")</f>
        <v>0</v>
      </c>
      <c r="CN42" s="137">
        <f>SUMIFS(Database!$G:$G,Database!$D:$D,"Import",Database!$E:$E,$B42,Database!$C:$C,CN$1,Database!$F:$F,"Total")</f>
        <v>0</v>
      </c>
      <c r="CO42" s="137">
        <f>SUMIFS(Database!$G:$G,Database!$D:$D,"Import",Database!$E:$E,$B42,Database!$C:$C,CO$1,Database!$F:$F,"Total")</f>
        <v>0</v>
      </c>
      <c r="CP42" s="137">
        <f>SUMIFS(Database!$G:$G,Database!$D:$D,"Import",Database!$E:$E,$B42,Database!$C:$C,CP$1,Database!$F:$F,"Total")</f>
        <v>0</v>
      </c>
      <c r="CQ42" s="137">
        <f>SUMIFS(Database!$G:$G,Database!$D:$D,"Import",Database!$E:$E,$B42,Database!$C:$C,CQ$1,Database!$F:$F,"Total")</f>
        <v>0</v>
      </c>
      <c r="CR42" s="137">
        <f>SUMIFS(Database!$G:$G,Database!$D:$D,"Import",Database!$E:$E,$B42,Database!$C:$C,CR$1,Database!$F:$F,"Total")</f>
        <v>0</v>
      </c>
      <c r="CS42" s="137">
        <f>SUMIFS(Database!$G:$G,Database!$D:$D,"Import",Database!$E:$E,$B42,Database!$C:$C,CS$1,Database!$F:$F,"Total")</f>
        <v>0</v>
      </c>
      <c r="CT42" s="137">
        <f>SUMIFS(Database!$G:$G,Database!$D:$D,"Import",Database!$E:$E,$B42,Database!$C:$C,CT$1,Database!$F:$F,"Total")</f>
        <v>0</v>
      </c>
      <c r="CU42" s="137">
        <f>SUMIFS(Database!$G:$G,Database!$D:$D,"Import",Database!$E:$E,$B42,Database!$C:$C,CU$1,Database!$F:$F,"Total")</f>
        <v>0</v>
      </c>
    </row>
    <row r="43" spans="1:99" x14ac:dyDescent="0.25">
      <c r="A43" s="132" t="s">
        <v>484</v>
      </c>
      <c r="B43" s="133" t="s">
        <v>567</v>
      </c>
      <c r="C43" s="137">
        <f>SUMIFS(Database!$G:$G,Database!$D:$D,"Import",Database!$E:$E,$B43,Database!$C:$C,C$1,Database!$F:$F,"Total")</f>
        <v>0</v>
      </c>
      <c r="D43" s="137">
        <f>SUMIFS(Database!$G:$G,Database!$D:$D,"Import",Database!$E:$E,$B43,Database!$C:$C,D$1,Database!$F:$F,"Total")</f>
        <v>0</v>
      </c>
      <c r="E43" s="137">
        <f>SUMIFS(Database!$G:$G,Database!$D:$D,"Import",Database!$E:$E,$B43,Database!$C:$C,E$1,Database!$F:$F,"Total")</f>
        <v>0</v>
      </c>
      <c r="F43" s="137">
        <f>SUMIFS(Database!$G:$G,Database!$D:$D,"Import",Database!$E:$E,$B43,Database!$C:$C,F$1,Database!$F:$F,"Total")</f>
        <v>0</v>
      </c>
      <c r="G43" s="137">
        <f>SUMIFS(Database!$G:$G,Database!$D:$D,"Import",Database!$E:$E,$B43,Database!$C:$C,G$1,Database!$F:$F,"Total")</f>
        <v>0</v>
      </c>
      <c r="H43" s="137">
        <f>SUMIFS(Database!$G:$G,Database!$D:$D,"Import",Database!$E:$E,$B43,Database!$C:$C,H$1,Database!$F:$F,"Total")</f>
        <v>0</v>
      </c>
      <c r="I43" s="137">
        <f>SUMIFS(Database!$G:$G,Database!$D:$D,"Import",Database!$E:$E,$B43,Database!$C:$C,I$1,Database!$F:$F,"Total")</f>
        <v>0</v>
      </c>
      <c r="J43" s="137">
        <f>SUMIFS(Database!$G:$G,Database!$D:$D,"Import",Database!$E:$E,$B43,Database!$C:$C,J$1,Database!$F:$F,"Total")</f>
        <v>0</v>
      </c>
      <c r="K43" s="137">
        <f>SUMIFS(Database!$G:$G,Database!$D:$D,"Import",Database!$E:$E,$B43,Database!$C:$C,K$1,Database!$F:$F,"Total")</f>
        <v>0</v>
      </c>
      <c r="L43" s="137">
        <f>SUMIFS(Database!$G:$G,Database!$D:$D,"Import",Database!$E:$E,$B43,Database!$C:$C,L$1,Database!$F:$F,"Total")</f>
        <v>0</v>
      </c>
      <c r="M43" s="137">
        <f>SUMIFS(Database!$G:$G,Database!$D:$D,"Import",Database!$E:$E,$B43,Database!$C:$C,M$1,Database!$F:$F,"Total")</f>
        <v>0</v>
      </c>
      <c r="N43" s="137">
        <f>SUMIFS(Database!$G:$G,Database!$D:$D,"Import",Database!$E:$E,$B43,Database!$C:$C,N$1,Database!$F:$F,"Total")</f>
        <v>0</v>
      </c>
      <c r="O43" s="137">
        <f>SUMIFS(Database!$G:$G,Database!$D:$D,"Import",Database!$E:$E,$B43,Database!$C:$C,O$1,Database!$F:$F,"Total")</f>
        <v>0</v>
      </c>
      <c r="P43" s="137">
        <f>SUMIFS(Database!$G:$G,Database!$D:$D,"Import",Database!$E:$E,$B43,Database!$C:$C,P$1,Database!$F:$F,"Total")</f>
        <v>0</v>
      </c>
      <c r="Q43" s="137">
        <f>SUMIFS(Database!$G:$G,Database!$D:$D,"Import",Database!$E:$E,$B43,Database!$C:$C,Q$1,Database!$F:$F,"Total")</f>
        <v>0</v>
      </c>
      <c r="R43" s="137">
        <f>SUMIFS(Database!$G:$G,Database!$D:$D,"Import",Database!$E:$E,$B43,Database!$C:$C,R$1,Database!$F:$F,"Total")</f>
        <v>0</v>
      </c>
      <c r="S43" s="137">
        <f>SUMIFS(Database!$G:$G,Database!$D:$D,"Import",Database!$E:$E,$B43,Database!$C:$C,S$1,Database!$F:$F,"Total")</f>
        <v>0</v>
      </c>
      <c r="T43" s="137">
        <f>SUMIFS(Database!$G:$G,Database!$D:$D,"Import",Database!$E:$E,$B43,Database!$C:$C,T$1,Database!$F:$F,"Total")</f>
        <v>0</v>
      </c>
      <c r="U43" s="137">
        <f>SUMIFS(Database!$G:$G,Database!$D:$D,"Import",Database!$E:$E,$B43,Database!$C:$C,U$1,Database!$F:$F,"Total")</f>
        <v>0</v>
      </c>
      <c r="V43" s="137">
        <f>SUMIFS(Database!$G:$G,Database!$D:$D,"Import",Database!$E:$E,$B43,Database!$C:$C,V$1,Database!$F:$F,"Total")</f>
        <v>0</v>
      </c>
      <c r="W43" s="137">
        <f>SUMIFS(Database!$G:$G,Database!$D:$D,"Import",Database!$E:$E,$B43,Database!$C:$C,W$1,Database!$F:$F,"Total")</f>
        <v>0</v>
      </c>
      <c r="X43" s="137">
        <f>SUMIFS(Database!$G:$G,Database!$D:$D,"Import",Database!$E:$E,$B43,Database!$C:$C,X$1,Database!$F:$F,"Total")</f>
        <v>0</v>
      </c>
      <c r="Y43" s="137">
        <f>SUMIFS(Database!$G:$G,Database!$D:$D,"Import",Database!$E:$E,$B43,Database!$C:$C,Y$1,Database!$F:$F,"Total")</f>
        <v>0</v>
      </c>
      <c r="Z43" s="137">
        <f>SUMIFS(Database!$G:$G,Database!$D:$D,"Import",Database!$E:$E,$B43,Database!$C:$C,Z$1,Database!$F:$F,"Total")</f>
        <v>0</v>
      </c>
      <c r="AA43" s="137">
        <f>SUMIFS(Database!$G:$G,Database!$D:$D,"Import",Database!$E:$E,$B43,Database!$C:$C,AA$1,Database!$F:$F,"Total")</f>
        <v>0</v>
      </c>
      <c r="AB43" s="137">
        <f>SUMIFS(Database!$G:$G,Database!$D:$D,"Import",Database!$E:$E,$B43,Database!$C:$C,AB$1,Database!$F:$F,"Total")</f>
        <v>0</v>
      </c>
      <c r="AC43" s="137">
        <f>SUMIFS(Database!$G:$G,Database!$D:$D,"Import",Database!$E:$E,$B43,Database!$C:$C,AC$1,Database!$F:$F,"Total")</f>
        <v>0</v>
      </c>
      <c r="AD43" s="137">
        <f>SUMIFS(Database!$G:$G,Database!$D:$D,"Import",Database!$E:$E,$B43,Database!$C:$C,AD$1,Database!$F:$F,"Total")</f>
        <v>0</v>
      </c>
      <c r="AE43" s="137">
        <f>SUMIFS(Database!$G:$G,Database!$D:$D,"Import",Database!$E:$E,$B43,Database!$C:$C,AE$1,Database!$F:$F,"Total")</f>
        <v>0</v>
      </c>
      <c r="AF43" s="137">
        <f>SUMIFS(Database!$G:$G,Database!$D:$D,"Import",Database!$E:$E,$B43,Database!$C:$C,AF$1,Database!$F:$F,"Total")</f>
        <v>0</v>
      </c>
      <c r="AG43" s="137">
        <f>SUMIFS(Database!$G:$G,Database!$D:$D,"Import",Database!$E:$E,$B43,Database!$C:$C,AG$1,Database!$F:$F,"Total")</f>
        <v>0</v>
      </c>
      <c r="AH43" s="137">
        <f>SUMIFS(Database!$G:$G,Database!$D:$D,"Import",Database!$E:$E,$B43,Database!$C:$C,AH$1,Database!$F:$F,"Total")</f>
        <v>0</v>
      </c>
      <c r="AI43" s="137">
        <f>SUMIFS(Database!$G:$G,Database!$D:$D,"Import",Database!$E:$E,$B43,Database!$C:$C,AI$1,Database!$F:$F,"Total")</f>
        <v>0</v>
      </c>
      <c r="AJ43" s="137">
        <f>SUMIFS(Database!$G:$G,Database!$D:$D,"Import",Database!$E:$E,$B43,Database!$C:$C,AJ$1,Database!$F:$F,"Total")</f>
        <v>20919</v>
      </c>
      <c r="AK43" s="137">
        <f>SUMIFS(Database!$G:$G,Database!$D:$D,"Import",Database!$E:$E,$B43,Database!$C:$C,AK$1,Database!$F:$F,"Total")</f>
        <v>29309</v>
      </c>
      <c r="AL43" s="137">
        <f>SUMIFS(Database!$G:$G,Database!$D:$D,"Import",Database!$E:$E,$B43,Database!$C:$C,AL$1,Database!$F:$F,"Total")</f>
        <v>30392</v>
      </c>
      <c r="AM43" s="137">
        <f>SUMIFS(Database!$G:$G,Database!$D:$D,"Import",Database!$E:$E,$B43,Database!$C:$C,AM$1,Database!$F:$F,"Total")</f>
        <v>26611</v>
      </c>
      <c r="AN43" s="137">
        <f>SUMIFS(Database!$G:$G,Database!$D:$D,"Import",Database!$E:$E,$B43,Database!$C:$C,AN$1,Database!$F:$F,"Total")</f>
        <v>22362</v>
      </c>
      <c r="AO43" s="137">
        <f>SUMIFS(Database!$G:$G,Database!$D:$D,"Import",Database!$E:$E,$B43,Database!$C:$C,AO$1,Database!$F:$F,"Total")</f>
        <v>35494</v>
      </c>
      <c r="AP43" s="137">
        <f>SUMIFS(Database!$G:$G,Database!$D:$D,"Import",Database!$E:$E,$B43,Database!$C:$C,AP$1,Database!$F:$F,"Total")</f>
        <v>28187</v>
      </c>
      <c r="AQ43" s="137">
        <f>SUMIFS(Database!$G:$G,Database!$D:$D,"Import",Database!$E:$E,$B43,Database!$C:$C,AQ$1,Database!$F:$F,"Total")</f>
        <v>33881</v>
      </c>
      <c r="AR43" s="137">
        <f>SUMIFS(Database!$G:$G,Database!$D:$D,"Import",Database!$E:$E,$B43,Database!$C:$C,AR$1,Database!$F:$F,"Total")</f>
        <v>33646</v>
      </c>
      <c r="AS43" s="137">
        <f>SUMIFS(Database!$G:$G,Database!$D:$D,"Import",Database!$E:$E,$B43,Database!$C:$C,AS$1,Database!$F:$F,"Total")</f>
        <v>26543</v>
      </c>
      <c r="AT43" s="137">
        <f>SUMIFS(Database!$G:$G,Database!$D:$D,"Import",Database!$E:$E,$B43,Database!$C:$C,AT$1,Database!$F:$F,"Total")</f>
        <v>23555</v>
      </c>
      <c r="AU43" s="137">
        <f>SUMIFS(Database!$G:$G,Database!$D:$D,"Import",Database!$E:$E,$B43,Database!$C:$C,AU$1,Database!$F:$F,"Total")</f>
        <v>17610</v>
      </c>
      <c r="AV43" s="137">
        <f>SUMIFS(Database!$G:$G,Database!$D:$D,"Import",Database!$E:$E,$B43,Database!$C:$C,AV$1,Database!$F:$F,"Total")</f>
        <v>23152</v>
      </c>
      <c r="AW43" s="137">
        <f>SUMIFS(Database!$G:$G,Database!$D:$D,"Import",Database!$E:$E,$B43,Database!$C:$C,AW$1,Database!$F:$F,"Total")</f>
        <v>21124</v>
      </c>
      <c r="AX43" s="137">
        <f>SUMIFS(Database!$G:$G,Database!$D:$D,"Import",Database!$E:$E,$B43,Database!$C:$C,AX$1,Database!$F:$F,"Total")</f>
        <v>19170</v>
      </c>
      <c r="AY43" s="137">
        <f>SUMIFS(Database!$G:$G,Database!$D:$D,"Import",Database!$E:$E,$B43,Database!$C:$C,AY$1,Database!$F:$F,"Total")</f>
        <v>66070</v>
      </c>
      <c r="AZ43" s="137">
        <f>SUMIFS(Database!$G:$G,Database!$D:$D,"Import",Database!$E:$E,$B43,Database!$C:$C,AZ$1,Database!$F:$F,"Total")</f>
        <v>72358</v>
      </c>
      <c r="BA43" s="137">
        <f>SUMIFS(Database!$G:$G,Database!$D:$D,"Import",Database!$E:$E,$B43,Database!$C:$C,BA$1,Database!$F:$F,"Total")</f>
        <v>83414</v>
      </c>
      <c r="BB43" s="137">
        <f>SUMIFS(Database!$G:$G,Database!$D:$D,"Import",Database!$E:$E,$B43,Database!$C:$C,BB$1,Database!$F:$F,"Total")</f>
        <v>83413</v>
      </c>
      <c r="BC43" s="137">
        <f>SUMIFS(Database!$G:$G,Database!$D:$D,"Import",Database!$E:$E,$B43,Database!$C:$C,BC$1,Database!$F:$F,"Total")</f>
        <v>74517</v>
      </c>
      <c r="BD43" s="137">
        <f>SUMIFS(Database!$G:$G,Database!$D:$D,"Import",Database!$E:$E,$B43,Database!$C:$C,BD$1,Database!$F:$F,"Total")</f>
        <v>89115</v>
      </c>
      <c r="BE43" s="137">
        <f>SUMIFS(Database!$G:$G,Database!$D:$D,"Import",Database!$E:$E,$B43,Database!$C:$C,BE$1,Database!$F:$F,"Total")</f>
        <v>78675</v>
      </c>
      <c r="BF43" s="137">
        <f>SUMIFS(Database!$G:$G,Database!$D:$D,"Import",Database!$E:$E,$B43,Database!$C:$C,BF$1,Database!$F:$F,"Total")</f>
        <v>81248</v>
      </c>
      <c r="BG43" s="137">
        <f>SUMIFS(Database!$G:$G,Database!$D:$D,"Import",Database!$E:$E,$B43,Database!$C:$C,BG$1,Database!$F:$F,"Total")</f>
        <v>76838</v>
      </c>
      <c r="BH43" s="137">
        <f>SUMIFS(Database!$G:$G,Database!$D:$D,"Import",Database!$E:$E,$B43,Database!$C:$C,BH$1,Database!$F:$F,"Total")</f>
        <v>82541</v>
      </c>
      <c r="BI43" s="137">
        <f>SUMIFS(Database!$G:$G,Database!$D:$D,"Import",Database!$E:$E,$B43,Database!$C:$C,BI$1,Database!$F:$F,"Total")</f>
        <v>0</v>
      </c>
      <c r="BJ43" s="137">
        <f>SUMIFS(Database!$G:$G,Database!$D:$D,"Import",Database!$E:$E,$B43,Database!$C:$C,BJ$1,Database!$F:$F,"Total")</f>
        <v>93344</v>
      </c>
      <c r="BK43" s="137">
        <f>SUMIFS(Database!$G:$G,Database!$D:$D,"Import",Database!$E:$E,$B43,Database!$C:$C,BK$1,Database!$F:$F,"Total")</f>
        <v>73141</v>
      </c>
      <c r="BL43" s="137">
        <f>SUMIFS(Database!$G:$G,Database!$D:$D,"Import",Database!$E:$E,$B43,Database!$C:$C,BL$1,Database!$F:$F,"Total")</f>
        <v>0</v>
      </c>
      <c r="BM43" s="137">
        <f>SUMIFS(Database!$G:$G,Database!$D:$D,"Import",Database!$E:$E,$B43,Database!$C:$C,BM$1,Database!$F:$F,"Total")</f>
        <v>0</v>
      </c>
      <c r="BN43" s="137">
        <f>SUMIFS(Database!$G:$G,Database!$D:$D,"Import",Database!$E:$E,$B43,Database!$C:$C,BN$1,Database!$F:$F,"Total")</f>
        <v>73251</v>
      </c>
      <c r="BO43" s="137">
        <f>SUMIFS(Database!$G:$G,Database!$D:$D,"Import",Database!$E:$E,$B43,Database!$C:$C,BO$1,Database!$F:$F,"Total")</f>
        <v>0</v>
      </c>
      <c r="BP43" s="137">
        <f>SUMIFS(Database!$G:$G,Database!$D:$D,"Import",Database!$E:$E,$B43,Database!$C:$C,BP$1,Database!$F:$F,"Total")</f>
        <v>69122</v>
      </c>
      <c r="BQ43" s="137">
        <f>SUMIFS(Database!$G:$G,Database!$D:$D,"Import",Database!$E:$E,$B43,Database!$C:$C,BQ$1,Database!$F:$F,"Total")</f>
        <v>63774.5</v>
      </c>
      <c r="BR43" s="137">
        <f>SUMIFS(Database!$G:$G,Database!$D:$D,"Import",Database!$E:$E,$B43,Database!$C:$C,BR$1,Database!$F:$F,"Total")</f>
        <v>45479</v>
      </c>
      <c r="BS43" s="137">
        <f>SUMIFS(Database!$G:$G,Database!$D:$D,"Import",Database!$E:$E,$B43,Database!$C:$C,BS$1,Database!$F:$F,"Total")</f>
        <v>42276</v>
      </c>
      <c r="BT43" s="137">
        <f>SUMIFS(Database!$G:$G,Database!$D:$D,"Import",Database!$E:$E,$B43,Database!$C:$C,BT$1,Database!$F:$F,"Total")</f>
        <v>41557</v>
      </c>
      <c r="BU43" s="137">
        <f>SUMIFS(Database!$G:$G,Database!$D:$D,"Import",Database!$E:$E,$B43,Database!$C:$C,BU$1,Database!$F:$F,"Total")</f>
        <v>22610</v>
      </c>
      <c r="BV43" s="137">
        <f>SUMIFS(Database!$G:$G,Database!$D:$D,"Import",Database!$E:$E,$B43,Database!$C:$C,BV$1,Database!$F:$F,"Total")</f>
        <v>0</v>
      </c>
      <c r="BW43" s="137">
        <f>SUMIFS(Database!$G:$G,Database!$D:$D,"Import",Database!$E:$E,$B43,Database!$C:$C,BW$1,Database!$F:$F,"Total")</f>
        <v>0</v>
      </c>
      <c r="BX43" s="137">
        <f>SUMIFS(Database!$G:$G,Database!$D:$D,"Import",Database!$E:$E,$B43,Database!$C:$C,BX$1,Database!$F:$F,"Total")</f>
        <v>0</v>
      </c>
      <c r="BY43" s="137">
        <f>SUMIFS(Database!$G:$G,Database!$D:$D,"Import",Database!$E:$E,$B43,Database!$C:$C,BY$1,Database!$F:$F,"Total")</f>
        <v>0</v>
      </c>
      <c r="BZ43" s="137">
        <f>SUMIFS(Database!$G:$G,Database!$D:$D,"Import",Database!$E:$E,$B43,Database!$C:$C,BZ$1,Database!$F:$F,"Total")</f>
        <v>0</v>
      </c>
      <c r="CA43" s="137">
        <f>SUMIFS(Database!$G:$G,Database!$D:$D,"Import",Database!$E:$E,$B43,Database!$C:$C,CA$1,Database!$F:$F,"Total")</f>
        <v>0</v>
      </c>
      <c r="CB43" s="137">
        <f>SUMIFS(Database!$G:$G,Database!$D:$D,"Import",Database!$E:$E,$B43,Database!$C:$C,CB$1,Database!$F:$F,"Total")</f>
        <v>0</v>
      </c>
      <c r="CC43" s="137">
        <f>SUMIFS(Database!$G:$G,Database!$D:$D,"Import",Database!$E:$E,$B43,Database!$C:$C,CC$1,Database!$F:$F,"Total")</f>
        <v>0</v>
      </c>
      <c r="CD43" s="137">
        <f>SUMIFS(Database!$G:$G,Database!$D:$D,"Import",Database!$E:$E,$B43,Database!$C:$C,CD$1,Database!$F:$F,"Total")</f>
        <v>0</v>
      </c>
      <c r="CE43" s="137">
        <f>SUMIFS(Database!$G:$G,Database!$D:$D,"Import",Database!$E:$E,$B43,Database!$C:$C,CE$1,Database!$F:$F,"Total")</f>
        <v>0</v>
      </c>
      <c r="CF43" s="137">
        <f>SUMIFS(Database!$G:$G,Database!$D:$D,"Import",Database!$E:$E,$B43,Database!$C:$C,CF$1,Database!$F:$F,"Total")</f>
        <v>0</v>
      </c>
      <c r="CG43" s="137">
        <f>SUMIFS(Database!$G:$G,Database!$D:$D,"Import",Database!$E:$E,$B43,Database!$C:$C,CG$1,Database!$F:$F,"Total")</f>
        <v>0</v>
      </c>
      <c r="CH43" s="137">
        <f>SUMIFS(Database!$G:$G,Database!$D:$D,"Import",Database!$E:$E,$B43,Database!$C:$C,CH$1,Database!$F:$F,"Total")</f>
        <v>0</v>
      </c>
      <c r="CI43" s="137">
        <f>SUMIFS(Database!$G:$G,Database!$D:$D,"Import",Database!$E:$E,$B43,Database!$C:$C,CI$1,Database!$F:$F,"Total")</f>
        <v>0</v>
      </c>
      <c r="CJ43" s="137">
        <f>SUMIFS(Database!$G:$G,Database!$D:$D,"Import",Database!$E:$E,$B43,Database!$C:$C,CJ$1,Database!$F:$F,"Total")</f>
        <v>0</v>
      </c>
      <c r="CK43" s="137">
        <f>SUMIFS(Database!$G:$G,Database!$D:$D,"Import",Database!$E:$E,$B43,Database!$C:$C,CK$1,Database!$F:$F,"Total")</f>
        <v>0</v>
      </c>
      <c r="CL43" s="137">
        <f>SUMIFS(Database!$G:$G,Database!$D:$D,"Import",Database!$E:$E,$B43,Database!$C:$C,CL$1,Database!$F:$F,"Total")</f>
        <v>0</v>
      </c>
      <c r="CM43" s="137">
        <f>SUMIFS(Database!$G:$G,Database!$D:$D,"Import",Database!$E:$E,$B43,Database!$C:$C,CM$1,Database!$F:$F,"Total")</f>
        <v>0</v>
      </c>
      <c r="CN43" s="137">
        <f>SUMIFS(Database!$G:$G,Database!$D:$D,"Import",Database!$E:$E,$B43,Database!$C:$C,CN$1,Database!$F:$F,"Total")</f>
        <v>0</v>
      </c>
      <c r="CO43" s="137">
        <f>SUMIFS(Database!$G:$G,Database!$D:$D,"Import",Database!$E:$E,$B43,Database!$C:$C,CO$1,Database!$F:$F,"Total")</f>
        <v>0</v>
      </c>
      <c r="CP43" s="137">
        <f>SUMIFS(Database!$G:$G,Database!$D:$D,"Import",Database!$E:$E,$B43,Database!$C:$C,CP$1,Database!$F:$F,"Total")</f>
        <v>0</v>
      </c>
      <c r="CQ43" s="137">
        <f>SUMIFS(Database!$G:$G,Database!$D:$D,"Import",Database!$E:$E,$B43,Database!$C:$C,CQ$1,Database!$F:$F,"Total")</f>
        <v>0</v>
      </c>
      <c r="CR43" s="137">
        <f>SUMIFS(Database!$G:$G,Database!$D:$D,"Import",Database!$E:$E,$B43,Database!$C:$C,CR$1,Database!$F:$F,"Total")</f>
        <v>0</v>
      </c>
      <c r="CS43" s="137">
        <f>SUMIFS(Database!$G:$G,Database!$D:$D,"Import",Database!$E:$E,$B43,Database!$C:$C,CS$1,Database!$F:$F,"Total")</f>
        <v>0</v>
      </c>
      <c r="CT43" s="137">
        <f>SUMIFS(Database!$G:$G,Database!$D:$D,"Import",Database!$E:$E,$B43,Database!$C:$C,CT$1,Database!$F:$F,"Total")</f>
        <v>0</v>
      </c>
      <c r="CU43" s="137">
        <f>SUMIFS(Database!$G:$G,Database!$D:$D,"Import",Database!$E:$E,$B43,Database!$C:$C,CU$1,Database!$F:$F,"Total")</f>
        <v>0</v>
      </c>
    </row>
    <row r="44" spans="1:99" x14ac:dyDescent="0.25">
      <c r="A44" s="132" t="s">
        <v>484</v>
      </c>
      <c r="B44" s="133" t="s">
        <v>569</v>
      </c>
      <c r="C44" s="137">
        <f>SUMIFS(Database!$G:$G,Database!$D:$D,"Import",Database!$E:$E,$B44,Database!$C:$C,C$1,Database!$F:$F,"Total")</f>
        <v>0</v>
      </c>
      <c r="D44" s="137">
        <f>SUMIFS(Database!$G:$G,Database!$D:$D,"Import",Database!$E:$E,$B44,Database!$C:$C,D$1,Database!$F:$F,"Total")</f>
        <v>0</v>
      </c>
      <c r="E44" s="137">
        <f>SUMIFS(Database!$G:$G,Database!$D:$D,"Import",Database!$E:$E,$B44,Database!$C:$C,E$1,Database!$F:$F,"Total")</f>
        <v>0</v>
      </c>
      <c r="F44" s="137">
        <f>SUMIFS(Database!$G:$G,Database!$D:$D,"Import",Database!$E:$E,$B44,Database!$C:$C,F$1,Database!$F:$F,"Total")</f>
        <v>0</v>
      </c>
      <c r="G44" s="137">
        <f>SUMIFS(Database!$G:$G,Database!$D:$D,"Import",Database!$E:$E,$B44,Database!$C:$C,G$1,Database!$F:$F,"Total")</f>
        <v>0</v>
      </c>
      <c r="H44" s="137">
        <f>SUMIFS(Database!$G:$G,Database!$D:$D,"Import",Database!$E:$E,$B44,Database!$C:$C,H$1,Database!$F:$F,"Total")</f>
        <v>0</v>
      </c>
      <c r="I44" s="137">
        <f>SUMIFS(Database!$G:$G,Database!$D:$D,"Import",Database!$E:$E,$B44,Database!$C:$C,I$1,Database!$F:$F,"Total")</f>
        <v>0</v>
      </c>
      <c r="J44" s="137">
        <f>SUMIFS(Database!$G:$G,Database!$D:$D,"Import",Database!$E:$E,$B44,Database!$C:$C,J$1,Database!$F:$F,"Total")</f>
        <v>0</v>
      </c>
      <c r="K44" s="137">
        <f>SUMIFS(Database!$G:$G,Database!$D:$D,"Import",Database!$E:$E,$B44,Database!$C:$C,K$1,Database!$F:$F,"Total")</f>
        <v>0</v>
      </c>
      <c r="L44" s="137">
        <f>SUMIFS(Database!$G:$G,Database!$D:$D,"Import",Database!$E:$E,$B44,Database!$C:$C,L$1,Database!$F:$F,"Total")</f>
        <v>0</v>
      </c>
      <c r="M44" s="137">
        <f>SUMIFS(Database!$G:$G,Database!$D:$D,"Import",Database!$E:$E,$B44,Database!$C:$C,M$1,Database!$F:$F,"Total")</f>
        <v>0</v>
      </c>
      <c r="N44" s="137">
        <f>SUMIFS(Database!$G:$G,Database!$D:$D,"Import",Database!$E:$E,$B44,Database!$C:$C,N$1,Database!$F:$F,"Total")</f>
        <v>0</v>
      </c>
      <c r="O44" s="137">
        <f>SUMIFS(Database!$G:$G,Database!$D:$D,"Import",Database!$E:$E,$B44,Database!$C:$C,O$1,Database!$F:$F,"Total")</f>
        <v>0</v>
      </c>
      <c r="P44" s="137">
        <f>SUMIFS(Database!$G:$G,Database!$D:$D,"Import",Database!$E:$E,$B44,Database!$C:$C,P$1,Database!$F:$F,"Total")</f>
        <v>0</v>
      </c>
      <c r="Q44" s="137">
        <f>SUMIFS(Database!$G:$G,Database!$D:$D,"Import",Database!$E:$E,$B44,Database!$C:$C,Q$1,Database!$F:$F,"Total")</f>
        <v>0</v>
      </c>
      <c r="R44" s="137">
        <f>SUMIFS(Database!$G:$G,Database!$D:$D,"Import",Database!$E:$E,$B44,Database!$C:$C,R$1,Database!$F:$F,"Total")</f>
        <v>0</v>
      </c>
      <c r="S44" s="137">
        <f>SUMIFS(Database!$G:$G,Database!$D:$D,"Import",Database!$E:$E,$B44,Database!$C:$C,S$1,Database!$F:$F,"Total")</f>
        <v>0</v>
      </c>
      <c r="T44" s="137">
        <f>SUMIFS(Database!$G:$G,Database!$D:$D,"Import",Database!$E:$E,$B44,Database!$C:$C,T$1,Database!$F:$F,"Total")</f>
        <v>0</v>
      </c>
      <c r="U44" s="137">
        <f>SUMIFS(Database!$G:$G,Database!$D:$D,"Import",Database!$E:$E,$B44,Database!$C:$C,U$1,Database!$F:$F,"Total")</f>
        <v>0</v>
      </c>
      <c r="V44" s="137">
        <f>SUMIFS(Database!$G:$G,Database!$D:$D,"Import",Database!$E:$E,$B44,Database!$C:$C,V$1,Database!$F:$F,"Total")</f>
        <v>0</v>
      </c>
      <c r="W44" s="137">
        <f>SUMIFS(Database!$G:$G,Database!$D:$D,"Import",Database!$E:$E,$B44,Database!$C:$C,W$1,Database!$F:$F,"Total")</f>
        <v>0</v>
      </c>
      <c r="X44" s="137">
        <f>SUMIFS(Database!$G:$G,Database!$D:$D,"Import",Database!$E:$E,$B44,Database!$C:$C,X$1,Database!$F:$F,"Total")</f>
        <v>0</v>
      </c>
      <c r="Y44" s="137">
        <f>SUMIFS(Database!$G:$G,Database!$D:$D,"Import",Database!$E:$E,$B44,Database!$C:$C,Y$1,Database!$F:$F,"Total")</f>
        <v>0</v>
      </c>
      <c r="Z44" s="137">
        <f>SUMIFS(Database!$G:$G,Database!$D:$D,"Import",Database!$E:$E,$B44,Database!$C:$C,Z$1,Database!$F:$F,"Total")</f>
        <v>0</v>
      </c>
      <c r="AA44" s="137">
        <f>SUMIFS(Database!$G:$G,Database!$D:$D,"Import",Database!$E:$E,$B44,Database!$C:$C,AA$1,Database!$F:$F,"Total")</f>
        <v>0</v>
      </c>
      <c r="AB44" s="137">
        <f>SUMIFS(Database!$G:$G,Database!$D:$D,"Import",Database!$E:$E,$B44,Database!$C:$C,AB$1,Database!$F:$F,"Total")</f>
        <v>0</v>
      </c>
      <c r="AC44" s="137">
        <f>SUMIFS(Database!$G:$G,Database!$D:$D,"Import",Database!$E:$E,$B44,Database!$C:$C,AC$1,Database!$F:$F,"Total")</f>
        <v>0</v>
      </c>
      <c r="AD44" s="137">
        <f>SUMIFS(Database!$G:$G,Database!$D:$D,"Import",Database!$E:$E,$B44,Database!$C:$C,AD$1,Database!$F:$F,"Total")</f>
        <v>0</v>
      </c>
      <c r="AE44" s="137">
        <f>SUMIFS(Database!$G:$G,Database!$D:$D,"Import",Database!$E:$E,$B44,Database!$C:$C,AE$1,Database!$F:$F,"Total")</f>
        <v>0</v>
      </c>
      <c r="AF44" s="137">
        <f>SUMIFS(Database!$G:$G,Database!$D:$D,"Import",Database!$E:$E,$B44,Database!$C:$C,AF$1,Database!$F:$F,"Total")</f>
        <v>0</v>
      </c>
      <c r="AG44" s="137">
        <f>SUMIFS(Database!$G:$G,Database!$D:$D,"Import",Database!$E:$E,$B44,Database!$C:$C,AG$1,Database!$F:$F,"Total")</f>
        <v>0</v>
      </c>
      <c r="AH44" s="137">
        <f>SUMIFS(Database!$G:$G,Database!$D:$D,"Import",Database!$E:$E,$B44,Database!$C:$C,AH$1,Database!$F:$F,"Total")</f>
        <v>0</v>
      </c>
      <c r="AI44" s="137">
        <f>SUMIFS(Database!$G:$G,Database!$D:$D,"Import",Database!$E:$E,$B44,Database!$C:$C,AI$1,Database!$F:$F,"Total")</f>
        <v>0</v>
      </c>
      <c r="AJ44" s="137">
        <f>SUMIFS(Database!$G:$G,Database!$D:$D,"Import",Database!$E:$E,$B44,Database!$C:$C,AJ$1,Database!$F:$F,"Total")</f>
        <v>1452</v>
      </c>
      <c r="AK44" s="137">
        <f>SUMIFS(Database!$G:$G,Database!$D:$D,"Import",Database!$E:$E,$B44,Database!$C:$C,AK$1,Database!$F:$F,"Total")</f>
        <v>3895</v>
      </c>
      <c r="AL44" s="137">
        <f>SUMIFS(Database!$G:$G,Database!$D:$D,"Import",Database!$E:$E,$B44,Database!$C:$C,AL$1,Database!$F:$F,"Total")</f>
        <v>865</v>
      </c>
      <c r="AM44" s="137">
        <f>SUMIFS(Database!$G:$G,Database!$D:$D,"Import",Database!$E:$E,$B44,Database!$C:$C,AM$1,Database!$F:$F,"Total")</f>
        <v>979</v>
      </c>
      <c r="AN44" s="137">
        <f>SUMIFS(Database!$G:$G,Database!$D:$D,"Import",Database!$E:$E,$B44,Database!$C:$C,AN$1,Database!$F:$F,"Total")</f>
        <v>1453</v>
      </c>
      <c r="AO44" s="137">
        <f>SUMIFS(Database!$G:$G,Database!$D:$D,"Import",Database!$E:$E,$B44,Database!$C:$C,AO$1,Database!$F:$F,"Total")</f>
        <v>1625</v>
      </c>
      <c r="AP44" s="137">
        <f>SUMIFS(Database!$G:$G,Database!$D:$D,"Import",Database!$E:$E,$B44,Database!$C:$C,AP$1,Database!$F:$F,"Total")</f>
        <v>1774</v>
      </c>
      <c r="AQ44" s="137">
        <f>SUMIFS(Database!$G:$G,Database!$D:$D,"Import",Database!$E:$E,$B44,Database!$C:$C,AQ$1,Database!$F:$F,"Total")</f>
        <v>2780</v>
      </c>
      <c r="AR44" s="137">
        <f>SUMIFS(Database!$G:$G,Database!$D:$D,"Import",Database!$E:$E,$B44,Database!$C:$C,AR$1,Database!$F:$F,"Total")</f>
        <v>2276</v>
      </c>
      <c r="AS44" s="137">
        <f>SUMIFS(Database!$G:$G,Database!$D:$D,"Import",Database!$E:$E,$B44,Database!$C:$C,AS$1,Database!$F:$F,"Total")</f>
        <v>402</v>
      </c>
      <c r="AT44" s="137">
        <f>SUMIFS(Database!$G:$G,Database!$D:$D,"Import",Database!$E:$E,$B44,Database!$C:$C,AT$1,Database!$F:$F,"Total")</f>
        <v>386</v>
      </c>
      <c r="AU44" s="137">
        <f>SUMIFS(Database!$G:$G,Database!$D:$D,"Import",Database!$E:$E,$B44,Database!$C:$C,AU$1,Database!$F:$F,"Total")</f>
        <v>310</v>
      </c>
      <c r="AV44" s="137">
        <f>SUMIFS(Database!$G:$G,Database!$D:$D,"Import",Database!$E:$E,$B44,Database!$C:$C,AV$1,Database!$F:$F,"Total")</f>
        <v>725</v>
      </c>
      <c r="AW44" s="137">
        <f>SUMIFS(Database!$G:$G,Database!$D:$D,"Import",Database!$E:$E,$B44,Database!$C:$C,AW$1,Database!$F:$F,"Total")</f>
        <v>560</v>
      </c>
      <c r="AX44" s="137">
        <f>SUMIFS(Database!$G:$G,Database!$D:$D,"Import",Database!$E:$E,$B44,Database!$C:$C,AX$1,Database!$F:$F,"Total")</f>
        <v>991</v>
      </c>
      <c r="AY44" s="137">
        <f>SUMIFS(Database!$G:$G,Database!$D:$D,"Import",Database!$E:$E,$B44,Database!$C:$C,AY$1,Database!$F:$F,"Total")</f>
        <v>1181</v>
      </c>
      <c r="AZ44" s="137">
        <f>SUMIFS(Database!$G:$G,Database!$D:$D,"Import",Database!$E:$E,$B44,Database!$C:$C,AZ$1,Database!$F:$F,"Total")</f>
        <v>1047</v>
      </c>
      <c r="BA44" s="137">
        <f>SUMIFS(Database!$G:$G,Database!$D:$D,"Import",Database!$E:$E,$B44,Database!$C:$C,BA$1,Database!$F:$F,"Total")</f>
        <v>0</v>
      </c>
      <c r="BB44" s="137">
        <f>SUMIFS(Database!$G:$G,Database!$D:$D,"Import",Database!$E:$E,$B44,Database!$C:$C,BB$1,Database!$F:$F,"Total")</f>
        <v>0</v>
      </c>
      <c r="BC44" s="137">
        <f>SUMIFS(Database!$G:$G,Database!$D:$D,"Import",Database!$E:$E,$B44,Database!$C:$C,BC$1,Database!$F:$F,"Total")</f>
        <v>0</v>
      </c>
      <c r="BD44" s="137">
        <f>SUMIFS(Database!$G:$G,Database!$D:$D,"Import",Database!$E:$E,$B44,Database!$C:$C,BD$1,Database!$F:$F,"Total")</f>
        <v>0</v>
      </c>
      <c r="BE44" s="137">
        <f>SUMIFS(Database!$G:$G,Database!$D:$D,"Import",Database!$E:$E,$B44,Database!$C:$C,BE$1,Database!$F:$F,"Total")</f>
        <v>0</v>
      </c>
      <c r="BF44" s="137">
        <f>SUMIFS(Database!$G:$G,Database!$D:$D,"Import",Database!$E:$E,$B44,Database!$C:$C,BF$1,Database!$F:$F,"Total")</f>
        <v>0</v>
      </c>
      <c r="BG44" s="137">
        <f>SUMIFS(Database!$G:$G,Database!$D:$D,"Import",Database!$E:$E,$B44,Database!$C:$C,BG$1,Database!$F:$F,"Total")</f>
        <v>0</v>
      </c>
      <c r="BH44" s="137">
        <f>SUMIFS(Database!$G:$G,Database!$D:$D,"Import",Database!$E:$E,$B44,Database!$C:$C,BH$1,Database!$F:$F,"Total")</f>
        <v>0</v>
      </c>
      <c r="BI44" s="137">
        <f>SUMIFS(Database!$G:$G,Database!$D:$D,"Import",Database!$E:$E,$B44,Database!$C:$C,BI$1,Database!$F:$F,"Total")</f>
        <v>0</v>
      </c>
      <c r="BJ44" s="137">
        <f>SUMIFS(Database!$G:$G,Database!$D:$D,"Import",Database!$E:$E,$B44,Database!$C:$C,BJ$1,Database!$F:$F,"Total")</f>
        <v>0</v>
      </c>
      <c r="BK44" s="137">
        <f>SUMIFS(Database!$G:$G,Database!$D:$D,"Import",Database!$E:$E,$B44,Database!$C:$C,BK$1,Database!$F:$F,"Total")</f>
        <v>0</v>
      </c>
      <c r="BL44" s="137">
        <f>SUMIFS(Database!$G:$G,Database!$D:$D,"Import",Database!$E:$E,$B44,Database!$C:$C,BL$1,Database!$F:$F,"Total")</f>
        <v>0</v>
      </c>
      <c r="BM44" s="137">
        <f>SUMIFS(Database!$G:$G,Database!$D:$D,"Import",Database!$E:$E,$B44,Database!$C:$C,BM$1,Database!$F:$F,"Total")</f>
        <v>0</v>
      </c>
      <c r="BN44" s="137">
        <f>SUMIFS(Database!$G:$G,Database!$D:$D,"Import",Database!$E:$E,$B44,Database!$C:$C,BN$1,Database!$F:$F,"Total")</f>
        <v>0</v>
      </c>
      <c r="BO44" s="137">
        <f>SUMIFS(Database!$G:$G,Database!$D:$D,"Import",Database!$E:$E,$B44,Database!$C:$C,BO$1,Database!$F:$F,"Total")</f>
        <v>0</v>
      </c>
      <c r="BP44" s="137">
        <f>SUMIFS(Database!$G:$G,Database!$D:$D,"Import",Database!$E:$E,$B44,Database!$C:$C,BP$1,Database!$F:$F,"Total")</f>
        <v>0</v>
      </c>
      <c r="BQ44" s="137">
        <f>SUMIFS(Database!$G:$G,Database!$D:$D,"Import",Database!$E:$E,$B44,Database!$C:$C,BQ$1,Database!$F:$F,"Total")</f>
        <v>0</v>
      </c>
      <c r="BR44" s="137">
        <f>SUMIFS(Database!$G:$G,Database!$D:$D,"Import",Database!$E:$E,$B44,Database!$C:$C,BR$1,Database!$F:$F,"Total")</f>
        <v>0</v>
      </c>
      <c r="BS44" s="137">
        <f>SUMIFS(Database!$G:$G,Database!$D:$D,"Import",Database!$E:$E,$B44,Database!$C:$C,BS$1,Database!$F:$F,"Total")</f>
        <v>0</v>
      </c>
      <c r="BT44" s="137">
        <f>SUMIFS(Database!$G:$G,Database!$D:$D,"Import",Database!$E:$E,$B44,Database!$C:$C,BT$1,Database!$F:$F,"Total")</f>
        <v>0</v>
      </c>
      <c r="BU44" s="137">
        <f>SUMIFS(Database!$G:$G,Database!$D:$D,"Import",Database!$E:$E,$B44,Database!$C:$C,BU$1,Database!$F:$F,"Total")</f>
        <v>0</v>
      </c>
      <c r="BV44" s="137">
        <f>SUMIFS(Database!$G:$G,Database!$D:$D,"Import",Database!$E:$E,$B44,Database!$C:$C,BV$1,Database!$F:$F,"Total")</f>
        <v>0</v>
      </c>
      <c r="BW44" s="137">
        <f>SUMIFS(Database!$G:$G,Database!$D:$D,"Import",Database!$E:$E,$B44,Database!$C:$C,BW$1,Database!$F:$F,"Total")</f>
        <v>0</v>
      </c>
      <c r="BX44" s="137">
        <f>SUMIFS(Database!$G:$G,Database!$D:$D,"Import",Database!$E:$E,$B44,Database!$C:$C,BX$1,Database!$F:$F,"Total")</f>
        <v>0</v>
      </c>
      <c r="BY44" s="137">
        <f>SUMIFS(Database!$G:$G,Database!$D:$D,"Import",Database!$E:$E,$B44,Database!$C:$C,BY$1,Database!$F:$F,"Total")</f>
        <v>0</v>
      </c>
      <c r="BZ44" s="137">
        <f>SUMIFS(Database!$G:$G,Database!$D:$D,"Import",Database!$E:$E,$B44,Database!$C:$C,BZ$1,Database!$F:$F,"Total")</f>
        <v>0</v>
      </c>
      <c r="CA44" s="137">
        <f>SUMIFS(Database!$G:$G,Database!$D:$D,"Import",Database!$E:$E,$B44,Database!$C:$C,CA$1,Database!$F:$F,"Total")</f>
        <v>0</v>
      </c>
      <c r="CB44" s="137">
        <f>SUMIFS(Database!$G:$G,Database!$D:$D,"Import",Database!$E:$E,$B44,Database!$C:$C,CB$1,Database!$F:$F,"Total")</f>
        <v>0</v>
      </c>
      <c r="CC44" s="137">
        <f>SUMIFS(Database!$G:$G,Database!$D:$D,"Import",Database!$E:$E,$B44,Database!$C:$C,CC$1,Database!$F:$F,"Total")</f>
        <v>0</v>
      </c>
      <c r="CD44" s="137">
        <f>SUMIFS(Database!$G:$G,Database!$D:$D,"Import",Database!$E:$E,$B44,Database!$C:$C,CD$1,Database!$F:$F,"Total")</f>
        <v>0</v>
      </c>
      <c r="CE44" s="137">
        <f>SUMIFS(Database!$G:$G,Database!$D:$D,"Import",Database!$E:$E,$B44,Database!$C:$C,CE$1,Database!$F:$F,"Total")</f>
        <v>0</v>
      </c>
      <c r="CF44" s="137">
        <f>SUMIFS(Database!$G:$G,Database!$D:$D,"Import",Database!$E:$E,$B44,Database!$C:$C,CF$1,Database!$F:$F,"Total")</f>
        <v>0</v>
      </c>
      <c r="CG44" s="137">
        <f>SUMIFS(Database!$G:$G,Database!$D:$D,"Import",Database!$E:$E,$B44,Database!$C:$C,CG$1,Database!$F:$F,"Total")</f>
        <v>0</v>
      </c>
      <c r="CH44" s="137">
        <f>SUMIFS(Database!$G:$G,Database!$D:$D,"Import",Database!$E:$E,$B44,Database!$C:$C,CH$1,Database!$F:$F,"Total")</f>
        <v>0</v>
      </c>
      <c r="CI44" s="137">
        <f>SUMIFS(Database!$G:$G,Database!$D:$D,"Import",Database!$E:$E,$B44,Database!$C:$C,CI$1,Database!$F:$F,"Total")</f>
        <v>0</v>
      </c>
      <c r="CJ44" s="137">
        <f>SUMIFS(Database!$G:$G,Database!$D:$D,"Import",Database!$E:$E,$B44,Database!$C:$C,CJ$1,Database!$F:$F,"Total")</f>
        <v>0</v>
      </c>
      <c r="CK44" s="137">
        <f>SUMIFS(Database!$G:$G,Database!$D:$D,"Import",Database!$E:$E,$B44,Database!$C:$C,CK$1,Database!$F:$F,"Total")</f>
        <v>0</v>
      </c>
      <c r="CL44" s="137">
        <f>SUMIFS(Database!$G:$G,Database!$D:$D,"Import",Database!$E:$E,$B44,Database!$C:$C,CL$1,Database!$F:$F,"Total")</f>
        <v>0</v>
      </c>
      <c r="CM44" s="137">
        <f>SUMIFS(Database!$G:$G,Database!$D:$D,"Import",Database!$E:$E,$B44,Database!$C:$C,CM$1,Database!$F:$F,"Total")</f>
        <v>0</v>
      </c>
      <c r="CN44" s="137">
        <f>SUMIFS(Database!$G:$G,Database!$D:$D,"Import",Database!$E:$E,$B44,Database!$C:$C,CN$1,Database!$F:$F,"Total")</f>
        <v>0</v>
      </c>
      <c r="CO44" s="137">
        <f>SUMIFS(Database!$G:$G,Database!$D:$D,"Import",Database!$E:$E,$B44,Database!$C:$C,CO$1,Database!$F:$F,"Total")</f>
        <v>0</v>
      </c>
      <c r="CP44" s="137">
        <f>SUMIFS(Database!$G:$G,Database!$D:$D,"Import",Database!$E:$E,$B44,Database!$C:$C,CP$1,Database!$F:$F,"Total")</f>
        <v>0</v>
      </c>
      <c r="CQ44" s="137">
        <f>SUMIFS(Database!$G:$G,Database!$D:$D,"Import",Database!$E:$E,$B44,Database!$C:$C,CQ$1,Database!$F:$F,"Total")</f>
        <v>0</v>
      </c>
      <c r="CR44" s="137">
        <f>SUMIFS(Database!$G:$G,Database!$D:$D,"Import",Database!$E:$E,$B44,Database!$C:$C,CR$1,Database!$F:$F,"Total")</f>
        <v>0</v>
      </c>
      <c r="CS44" s="137">
        <f>SUMIFS(Database!$G:$G,Database!$D:$D,"Import",Database!$E:$E,$B44,Database!$C:$C,CS$1,Database!$F:$F,"Total")</f>
        <v>0</v>
      </c>
      <c r="CT44" s="137">
        <f>SUMIFS(Database!$G:$G,Database!$D:$D,"Import",Database!$E:$E,$B44,Database!$C:$C,CT$1,Database!$F:$F,"Total")</f>
        <v>0</v>
      </c>
      <c r="CU44" s="137">
        <f>SUMIFS(Database!$G:$G,Database!$D:$D,"Import",Database!$E:$E,$B44,Database!$C:$C,CU$1,Database!$F:$F,"Total")</f>
        <v>0</v>
      </c>
    </row>
    <row r="45" spans="1:99" x14ac:dyDescent="0.25">
      <c r="A45" s="132" t="s">
        <v>484</v>
      </c>
      <c r="B45" s="133" t="s">
        <v>568</v>
      </c>
      <c r="C45" s="137">
        <f>SUMIFS(Database!$G:$G,Database!$D:$D,"Import",Database!$E:$E,$B45,Database!$C:$C,C$1,Database!$F:$F,"Total")</f>
        <v>0</v>
      </c>
      <c r="D45" s="137">
        <f>SUMIFS(Database!$G:$G,Database!$D:$D,"Import",Database!$E:$E,$B45,Database!$C:$C,D$1,Database!$F:$F,"Total")</f>
        <v>0</v>
      </c>
      <c r="E45" s="137">
        <f>SUMIFS(Database!$G:$G,Database!$D:$D,"Import",Database!$E:$E,$B45,Database!$C:$C,E$1,Database!$F:$F,"Total")</f>
        <v>0</v>
      </c>
      <c r="F45" s="137">
        <f>SUMIFS(Database!$G:$G,Database!$D:$D,"Import",Database!$E:$E,$B45,Database!$C:$C,F$1,Database!$F:$F,"Total")</f>
        <v>0</v>
      </c>
      <c r="G45" s="137">
        <f>SUMIFS(Database!$G:$G,Database!$D:$D,"Import",Database!$E:$E,$B45,Database!$C:$C,G$1,Database!$F:$F,"Total")</f>
        <v>0</v>
      </c>
      <c r="H45" s="137">
        <f>SUMIFS(Database!$G:$G,Database!$D:$D,"Import",Database!$E:$E,$B45,Database!$C:$C,H$1,Database!$F:$F,"Total")</f>
        <v>0</v>
      </c>
      <c r="I45" s="137">
        <f>SUMIFS(Database!$G:$G,Database!$D:$D,"Import",Database!$E:$E,$B45,Database!$C:$C,I$1,Database!$F:$F,"Total")</f>
        <v>0</v>
      </c>
      <c r="J45" s="137">
        <f>SUMIFS(Database!$G:$G,Database!$D:$D,"Import",Database!$E:$E,$B45,Database!$C:$C,J$1,Database!$F:$F,"Total")</f>
        <v>0</v>
      </c>
      <c r="K45" s="137">
        <f>SUMIFS(Database!$G:$G,Database!$D:$D,"Import",Database!$E:$E,$B45,Database!$C:$C,K$1,Database!$F:$F,"Total")</f>
        <v>0</v>
      </c>
      <c r="L45" s="137">
        <f>SUMIFS(Database!$G:$G,Database!$D:$D,"Import",Database!$E:$E,$B45,Database!$C:$C,L$1,Database!$F:$F,"Total")</f>
        <v>0</v>
      </c>
      <c r="M45" s="137">
        <f>SUMIFS(Database!$G:$G,Database!$D:$D,"Import",Database!$E:$E,$B45,Database!$C:$C,M$1,Database!$F:$F,"Total")</f>
        <v>0</v>
      </c>
      <c r="N45" s="137">
        <f>SUMIFS(Database!$G:$G,Database!$D:$D,"Import",Database!$E:$E,$B45,Database!$C:$C,N$1,Database!$F:$F,"Total")</f>
        <v>0</v>
      </c>
      <c r="O45" s="137">
        <f>SUMIFS(Database!$G:$G,Database!$D:$D,"Import",Database!$E:$E,$B45,Database!$C:$C,O$1,Database!$F:$F,"Total")</f>
        <v>0</v>
      </c>
      <c r="P45" s="137">
        <f>SUMIFS(Database!$G:$G,Database!$D:$D,"Import",Database!$E:$E,$B45,Database!$C:$C,P$1,Database!$F:$F,"Total")</f>
        <v>0</v>
      </c>
      <c r="Q45" s="137">
        <f>SUMIFS(Database!$G:$G,Database!$D:$D,"Import",Database!$E:$E,$B45,Database!$C:$C,Q$1,Database!$F:$F,"Total")</f>
        <v>0</v>
      </c>
      <c r="R45" s="137">
        <f>SUMIFS(Database!$G:$G,Database!$D:$D,"Import",Database!$E:$E,$B45,Database!$C:$C,R$1,Database!$F:$F,"Total")</f>
        <v>0</v>
      </c>
      <c r="S45" s="137">
        <f>SUMIFS(Database!$G:$G,Database!$D:$D,"Import",Database!$E:$E,$B45,Database!$C:$C,S$1,Database!$F:$F,"Total")</f>
        <v>0</v>
      </c>
      <c r="T45" s="137">
        <f>SUMIFS(Database!$G:$G,Database!$D:$D,"Import",Database!$E:$E,$B45,Database!$C:$C,T$1,Database!$F:$F,"Total")</f>
        <v>0</v>
      </c>
      <c r="U45" s="137">
        <f>SUMIFS(Database!$G:$G,Database!$D:$D,"Import",Database!$E:$E,$B45,Database!$C:$C,U$1,Database!$F:$F,"Total")</f>
        <v>0</v>
      </c>
      <c r="V45" s="137">
        <f>SUMIFS(Database!$G:$G,Database!$D:$D,"Import",Database!$E:$E,$B45,Database!$C:$C,V$1,Database!$F:$F,"Total")</f>
        <v>0</v>
      </c>
      <c r="W45" s="137">
        <f>SUMIFS(Database!$G:$G,Database!$D:$D,"Import",Database!$E:$E,$B45,Database!$C:$C,W$1,Database!$F:$F,"Total")</f>
        <v>0</v>
      </c>
      <c r="X45" s="137">
        <f>SUMIFS(Database!$G:$G,Database!$D:$D,"Import",Database!$E:$E,$B45,Database!$C:$C,X$1,Database!$F:$F,"Total")</f>
        <v>0</v>
      </c>
      <c r="Y45" s="137">
        <f>SUMIFS(Database!$G:$G,Database!$D:$D,"Import",Database!$E:$E,$B45,Database!$C:$C,Y$1,Database!$F:$F,"Total")</f>
        <v>0</v>
      </c>
      <c r="Z45" s="137">
        <f>SUMIFS(Database!$G:$G,Database!$D:$D,"Import",Database!$E:$E,$B45,Database!$C:$C,Z$1,Database!$F:$F,"Total")</f>
        <v>0</v>
      </c>
      <c r="AA45" s="137">
        <f>SUMIFS(Database!$G:$G,Database!$D:$D,"Import",Database!$E:$E,$B45,Database!$C:$C,AA$1,Database!$F:$F,"Total")</f>
        <v>0</v>
      </c>
      <c r="AB45" s="137">
        <f>SUMIFS(Database!$G:$G,Database!$D:$D,"Import",Database!$E:$E,$B45,Database!$C:$C,AB$1,Database!$F:$F,"Total")</f>
        <v>0</v>
      </c>
      <c r="AC45" s="137">
        <f>SUMIFS(Database!$G:$G,Database!$D:$D,"Import",Database!$E:$E,$B45,Database!$C:$C,AC$1,Database!$F:$F,"Total")</f>
        <v>0</v>
      </c>
      <c r="AD45" s="137">
        <f>SUMIFS(Database!$G:$G,Database!$D:$D,"Import",Database!$E:$E,$B45,Database!$C:$C,AD$1,Database!$F:$F,"Total")</f>
        <v>0</v>
      </c>
      <c r="AE45" s="137">
        <f>SUMIFS(Database!$G:$G,Database!$D:$D,"Import",Database!$E:$E,$B45,Database!$C:$C,AE$1,Database!$F:$F,"Total")</f>
        <v>0</v>
      </c>
      <c r="AF45" s="137">
        <f>SUMIFS(Database!$G:$G,Database!$D:$D,"Import",Database!$E:$E,$B45,Database!$C:$C,AF$1,Database!$F:$F,"Total")</f>
        <v>0</v>
      </c>
      <c r="AG45" s="137">
        <f>SUMIFS(Database!$G:$G,Database!$D:$D,"Import",Database!$E:$E,$B45,Database!$C:$C,AG$1,Database!$F:$F,"Total")</f>
        <v>0</v>
      </c>
      <c r="AH45" s="137">
        <f>SUMIFS(Database!$G:$G,Database!$D:$D,"Import",Database!$E:$E,$B45,Database!$C:$C,AH$1,Database!$F:$F,"Total")</f>
        <v>0</v>
      </c>
      <c r="AI45" s="137">
        <f>SUMIFS(Database!$G:$G,Database!$D:$D,"Import",Database!$E:$E,$B45,Database!$C:$C,AI$1,Database!$F:$F,"Total")</f>
        <v>0</v>
      </c>
      <c r="AJ45" s="137">
        <f>SUMIFS(Database!$G:$G,Database!$D:$D,"Import",Database!$E:$E,$B45,Database!$C:$C,AJ$1,Database!$F:$F,"Total")</f>
        <v>0</v>
      </c>
      <c r="AK45" s="137">
        <f>SUMIFS(Database!$G:$G,Database!$D:$D,"Import",Database!$E:$E,$B45,Database!$C:$C,AK$1,Database!$F:$F,"Total")</f>
        <v>0</v>
      </c>
      <c r="AL45" s="137">
        <f>SUMIFS(Database!$G:$G,Database!$D:$D,"Import",Database!$E:$E,$B45,Database!$C:$C,AL$1,Database!$F:$F,"Total")</f>
        <v>0</v>
      </c>
      <c r="AM45" s="137">
        <f>SUMIFS(Database!$G:$G,Database!$D:$D,"Import",Database!$E:$E,$B45,Database!$C:$C,AM$1,Database!$F:$F,"Total")</f>
        <v>0</v>
      </c>
      <c r="AN45" s="137">
        <f>SUMIFS(Database!$G:$G,Database!$D:$D,"Import",Database!$E:$E,$B45,Database!$C:$C,AN$1,Database!$F:$F,"Total")</f>
        <v>0</v>
      </c>
      <c r="AO45" s="137">
        <f>SUMIFS(Database!$G:$G,Database!$D:$D,"Import",Database!$E:$E,$B45,Database!$C:$C,AO$1,Database!$F:$F,"Total")</f>
        <v>0</v>
      </c>
      <c r="AP45" s="137">
        <f>SUMIFS(Database!$G:$G,Database!$D:$D,"Import",Database!$E:$E,$B45,Database!$C:$C,AP$1,Database!$F:$F,"Total")</f>
        <v>0</v>
      </c>
      <c r="AQ45" s="137">
        <f>SUMIFS(Database!$G:$G,Database!$D:$D,"Import",Database!$E:$E,$B45,Database!$C:$C,AQ$1,Database!$F:$F,"Total")</f>
        <v>0</v>
      </c>
      <c r="AR45" s="137">
        <f>SUMIFS(Database!$G:$G,Database!$D:$D,"Import",Database!$E:$E,$B45,Database!$C:$C,AR$1,Database!$F:$F,"Total")</f>
        <v>0</v>
      </c>
      <c r="AS45" s="137">
        <f>SUMIFS(Database!$G:$G,Database!$D:$D,"Import",Database!$E:$E,$B45,Database!$C:$C,AS$1,Database!$F:$F,"Total")</f>
        <v>0</v>
      </c>
      <c r="AT45" s="137">
        <f>SUMIFS(Database!$G:$G,Database!$D:$D,"Import",Database!$E:$E,$B45,Database!$C:$C,AT$1,Database!$F:$F,"Total")</f>
        <v>0</v>
      </c>
      <c r="AU45" s="137">
        <f>SUMIFS(Database!$G:$G,Database!$D:$D,"Import",Database!$E:$E,$B45,Database!$C:$C,AU$1,Database!$F:$F,"Total")</f>
        <v>0</v>
      </c>
      <c r="AV45" s="137">
        <f>SUMIFS(Database!$G:$G,Database!$D:$D,"Import",Database!$E:$E,$B45,Database!$C:$C,AV$1,Database!$F:$F,"Total")</f>
        <v>0</v>
      </c>
      <c r="AW45" s="137">
        <f>SUMIFS(Database!$G:$G,Database!$D:$D,"Import",Database!$E:$E,$B45,Database!$C:$C,AW$1,Database!$F:$F,"Total")</f>
        <v>0</v>
      </c>
      <c r="AX45" s="137">
        <f>SUMIFS(Database!$G:$G,Database!$D:$D,"Import",Database!$E:$E,$B45,Database!$C:$C,AX$1,Database!$F:$F,"Total")</f>
        <v>0</v>
      </c>
      <c r="AY45" s="137">
        <f>SUMIFS(Database!$G:$G,Database!$D:$D,"Import",Database!$E:$E,$B45,Database!$C:$C,AY$1,Database!$F:$F,"Total")</f>
        <v>0</v>
      </c>
      <c r="AZ45" s="137">
        <f>SUMIFS(Database!$G:$G,Database!$D:$D,"Import",Database!$E:$E,$B45,Database!$C:$C,AZ$1,Database!$F:$F,"Total")</f>
        <v>0</v>
      </c>
      <c r="BA45" s="137">
        <f>SUMIFS(Database!$G:$G,Database!$D:$D,"Import",Database!$E:$E,$B45,Database!$C:$C,BA$1,Database!$F:$F,"Total")</f>
        <v>650</v>
      </c>
      <c r="BB45" s="137">
        <f>SUMIFS(Database!$G:$G,Database!$D:$D,"Import",Database!$E:$E,$B45,Database!$C:$C,BB$1,Database!$F:$F,"Total")</f>
        <v>761</v>
      </c>
      <c r="BC45" s="137">
        <f>SUMIFS(Database!$G:$G,Database!$D:$D,"Import",Database!$E:$E,$B45,Database!$C:$C,BC$1,Database!$F:$F,"Total")</f>
        <v>380</v>
      </c>
      <c r="BD45" s="137">
        <f>SUMIFS(Database!$G:$G,Database!$D:$D,"Import",Database!$E:$E,$B45,Database!$C:$C,BD$1,Database!$F:$F,"Total")</f>
        <v>363</v>
      </c>
      <c r="BE45" s="137">
        <f>SUMIFS(Database!$G:$G,Database!$D:$D,"Import",Database!$E:$E,$B45,Database!$C:$C,BE$1,Database!$F:$F,"Total")</f>
        <v>449</v>
      </c>
      <c r="BF45" s="137">
        <f>SUMIFS(Database!$G:$G,Database!$D:$D,"Import",Database!$E:$E,$B45,Database!$C:$C,BF$1,Database!$F:$F,"Total")</f>
        <v>490</v>
      </c>
      <c r="BG45" s="137">
        <f>SUMIFS(Database!$G:$G,Database!$D:$D,"Import",Database!$E:$E,$B45,Database!$C:$C,BG$1,Database!$F:$F,"Total")</f>
        <v>1133</v>
      </c>
      <c r="BH45" s="137">
        <f>SUMIFS(Database!$G:$G,Database!$D:$D,"Import",Database!$E:$E,$B45,Database!$C:$C,BH$1,Database!$F:$F,"Total")</f>
        <v>930</v>
      </c>
      <c r="BI45" s="137">
        <f>SUMIFS(Database!$G:$G,Database!$D:$D,"Import",Database!$E:$E,$B45,Database!$C:$C,BI$1,Database!$F:$F,"Total")</f>
        <v>0</v>
      </c>
      <c r="BJ45" s="137">
        <f>SUMIFS(Database!$G:$G,Database!$D:$D,"Import",Database!$E:$E,$B45,Database!$C:$C,BJ$1,Database!$F:$F,"Total")</f>
        <v>1602</v>
      </c>
      <c r="BK45" s="137">
        <f>SUMIFS(Database!$G:$G,Database!$D:$D,"Import",Database!$E:$E,$B45,Database!$C:$C,BK$1,Database!$F:$F,"Total")</f>
        <v>2572</v>
      </c>
      <c r="BL45" s="137">
        <f>SUMIFS(Database!$G:$G,Database!$D:$D,"Import",Database!$E:$E,$B45,Database!$C:$C,BL$1,Database!$F:$F,"Total")</f>
        <v>0</v>
      </c>
      <c r="BM45" s="137">
        <f>SUMIFS(Database!$G:$G,Database!$D:$D,"Import",Database!$E:$E,$B45,Database!$C:$C,BM$1,Database!$F:$F,"Total")</f>
        <v>0</v>
      </c>
      <c r="BN45" s="137">
        <f>SUMIFS(Database!$G:$G,Database!$D:$D,"Import",Database!$E:$E,$B45,Database!$C:$C,BN$1,Database!$F:$F,"Total")</f>
        <v>911</v>
      </c>
      <c r="BO45" s="137">
        <f>SUMIFS(Database!$G:$G,Database!$D:$D,"Import",Database!$E:$E,$B45,Database!$C:$C,BO$1,Database!$F:$F,"Total")</f>
        <v>0</v>
      </c>
      <c r="BP45" s="137">
        <f>SUMIFS(Database!$G:$G,Database!$D:$D,"Import",Database!$E:$E,$B45,Database!$C:$C,BP$1,Database!$F:$F,"Total")</f>
        <v>642</v>
      </c>
      <c r="BQ45" s="137">
        <f>SUMIFS(Database!$G:$G,Database!$D:$D,"Import",Database!$E:$E,$B45,Database!$C:$C,BQ$1,Database!$F:$F,"Total")</f>
        <v>638</v>
      </c>
      <c r="BR45" s="137">
        <f>SUMIFS(Database!$G:$G,Database!$D:$D,"Import",Database!$E:$E,$B45,Database!$C:$C,BR$1,Database!$F:$F,"Total")</f>
        <v>895</v>
      </c>
      <c r="BS45" s="137">
        <f>SUMIFS(Database!$G:$G,Database!$D:$D,"Import",Database!$E:$E,$B45,Database!$C:$C,BS$1,Database!$F:$F,"Total")</f>
        <v>1123</v>
      </c>
      <c r="BT45" s="137">
        <f>SUMIFS(Database!$G:$G,Database!$D:$D,"Import",Database!$E:$E,$B45,Database!$C:$C,BT$1,Database!$F:$F,"Total")</f>
        <v>1304</v>
      </c>
      <c r="BU45" s="137">
        <f>SUMIFS(Database!$G:$G,Database!$D:$D,"Import",Database!$E:$E,$B45,Database!$C:$C,BU$1,Database!$F:$F,"Total")</f>
        <v>3814</v>
      </c>
      <c r="BV45" s="137">
        <f>SUMIFS(Database!$G:$G,Database!$D:$D,"Import",Database!$E:$E,$B45,Database!$C:$C,BV$1,Database!$F:$F,"Total")</f>
        <v>0</v>
      </c>
      <c r="BW45" s="137">
        <f>SUMIFS(Database!$G:$G,Database!$D:$D,"Import",Database!$E:$E,$B45,Database!$C:$C,BW$1,Database!$F:$F,"Total")</f>
        <v>0</v>
      </c>
      <c r="BX45" s="137">
        <f>SUMIFS(Database!$G:$G,Database!$D:$D,"Import",Database!$E:$E,$B45,Database!$C:$C,BX$1,Database!$F:$F,"Total")</f>
        <v>0</v>
      </c>
      <c r="BY45" s="137">
        <f>SUMIFS(Database!$G:$G,Database!$D:$D,"Import",Database!$E:$E,$B45,Database!$C:$C,BY$1,Database!$F:$F,"Total")</f>
        <v>0</v>
      </c>
      <c r="BZ45" s="137">
        <f>SUMIFS(Database!$G:$G,Database!$D:$D,"Import",Database!$E:$E,$B45,Database!$C:$C,BZ$1,Database!$F:$F,"Total")</f>
        <v>0</v>
      </c>
      <c r="CA45" s="137">
        <f>SUMIFS(Database!$G:$G,Database!$D:$D,"Import",Database!$E:$E,$B45,Database!$C:$C,CA$1,Database!$F:$F,"Total")</f>
        <v>0</v>
      </c>
      <c r="CB45" s="137">
        <f>SUMIFS(Database!$G:$G,Database!$D:$D,"Import",Database!$E:$E,$B45,Database!$C:$C,CB$1,Database!$F:$F,"Total")</f>
        <v>0</v>
      </c>
      <c r="CC45" s="137">
        <f>SUMIFS(Database!$G:$G,Database!$D:$D,"Import",Database!$E:$E,$B45,Database!$C:$C,CC$1,Database!$F:$F,"Total")</f>
        <v>0</v>
      </c>
      <c r="CD45" s="137">
        <f>SUMIFS(Database!$G:$G,Database!$D:$D,"Import",Database!$E:$E,$B45,Database!$C:$C,CD$1,Database!$F:$F,"Total")</f>
        <v>0</v>
      </c>
      <c r="CE45" s="137">
        <f>SUMIFS(Database!$G:$G,Database!$D:$D,"Import",Database!$E:$E,$B45,Database!$C:$C,CE$1,Database!$F:$F,"Total")</f>
        <v>0</v>
      </c>
      <c r="CF45" s="137">
        <f>SUMIFS(Database!$G:$G,Database!$D:$D,"Import",Database!$E:$E,$B45,Database!$C:$C,CF$1,Database!$F:$F,"Total")</f>
        <v>0</v>
      </c>
      <c r="CG45" s="137">
        <f>SUMIFS(Database!$G:$G,Database!$D:$D,"Import",Database!$E:$E,$B45,Database!$C:$C,CG$1,Database!$F:$F,"Total")</f>
        <v>0</v>
      </c>
      <c r="CH45" s="137">
        <f>SUMIFS(Database!$G:$G,Database!$D:$D,"Import",Database!$E:$E,$B45,Database!$C:$C,CH$1,Database!$F:$F,"Total")</f>
        <v>0</v>
      </c>
      <c r="CI45" s="137">
        <f>SUMIFS(Database!$G:$G,Database!$D:$D,"Import",Database!$E:$E,$B45,Database!$C:$C,CI$1,Database!$F:$F,"Total")</f>
        <v>0</v>
      </c>
      <c r="CJ45" s="137">
        <f>SUMIFS(Database!$G:$G,Database!$D:$D,"Import",Database!$E:$E,$B45,Database!$C:$C,CJ$1,Database!$F:$F,"Total")</f>
        <v>0</v>
      </c>
      <c r="CK45" s="137">
        <f>SUMIFS(Database!$G:$G,Database!$D:$D,"Import",Database!$E:$E,$B45,Database!$C:$C,CK$1,Database!$F:$F,"Total")</f>
        <v>0</v>
      </c>
      <c r="CL45" s="137">
        <f>SUMIFS(Database!$G:$G,Database!$D:$D,"Import",Database!$E:$E,$B45,Database!$C:$C,CL$1,Database!$F:$F,"Total")</f>
        <v>0</v>
      </c>
      <c r="CM45" s="137">
        <f>SUMIFS(Database!$G:$G,Database!$D:$D,"Import",Database!$E:$E,$B45,Database!$C:$C,CM$1,Database!$F:$F,"Total")</f>
        <v>0</v>
      </c>
      <c r="CN45" s="137">
        <f>SUMIFS(Database!$G:$G,Database!$D:$D,"Import",Database!$E:$E,$B45,Database!$C:$C,CN$1,Database!$F:$F,"Total")</f>
        <v>0</v>
      </c>
      <c r="CO45" s="137">
        <f>SUMIFS(Database!$G:$G,Database!$D:$D,"Import",Database!$E:$E,$B45,Database!$C:$C,CO$1,Database!$F:$F,"Total")</f>
        <v>0</v>
      </c>
      <c r="CP45" s="137">
        <f>SUMIFS(Database!$G:$G,Database!$D:$D,"Import",Database!$E:$E,$B45,Database!$C:$C,CP$1,Database!$F:$F,"Total")</f>
        <v>0</v>
      </c>
      <c r="CQ45" s="137">
        <f>SUMIFS(Database!$G:$G,Database!$D:$D,"Import",Database!$E:$E,$B45,Database!$C:$C,CQ$1,Database!$F:$F,"Total")</f>
        <v>0</v>
      </c>
      <c r="CR45" s="137">
        <f>SUMIFS(Database!$G:$G,Database!$D:$D,"Import",Database!$E:$E,$B45,Database!$C:$C,CR$1,Database!$F:$F,"Total")</f>
        <v>0</v>
      </c>
      <c r="CS45" s="137">
        <f>SUMIFS(Database!$G:$G,Database!$D:$D,"Import",Database!$E:$E,$B45,Database!$C:$C,CS$1,Database!$F:$F,"Total")</f>
        <v>0</v>
      </c>
      <c r="CT45" s="137">
        <f>SUMIFS(Database!$G:$G,Database!$D:$D,"Import",Database!$E:$E,$B45,Database!$C:$C,CT$1,Database!$F:$F,"Total")</f>
        <v>0</v>
      </c>
      <c r="CU45" s="137">
        <f>SUMIFS(Database!$G:$G,Database!$D:$D,"Import",Database!$E:$E,$B45,Database!$C:$C,CU$1,Database!$F:$F,"Total")</f>
        <v>0</v>
      </c>
    </row>
    <row r="46" spans="1:99" x14ac:dyDescent="0.25">
      <c r="A46" s="132" t="s">
        <v>484</v>
      </c>
      <c r="B46" s="133" t="s">
        <v>570</v>
      </c>
      <c r="C46" s="137">
        <f>SUMIFS(Database!$G:$G,Database!$D:$D,"Import",Database!$E:$E,$B46,Database!$C:$C,C$1,Database!$F:$F,"Total")</f>
        <v>0</v>
      </c>
      <c r="D46" s="137">
        <f>SUMIFS(Database!$G:$G,Database!$D:$D,"Import",Database!$E:$E,$B46,Database!$C:$C,D$1,Database!$F:$F,"Total")</f>
        <v>0</v>
      </c>
      <c r="E46" s="137">
        <f>SUMIFS(Database!$G:$G,Database!$D:$D,"Import",Database!$E:$E,$B46,Database!$C:$C,E$1,Database!$F:$F,"Total")</f>
        <v>0</v>
      </c>
      <c r="F46" s="137">
        <f>SUMIFS(Database!$G:$G,Database!$D:$D,"Import",Database!$E:$E,$B46,Database!$C:$C,F$1,Database!$F:$F,"Total")</f>
        <v>0</v>
      </c>
      <c r="G46" s="137">
        <f>SUMIFS(Database!$G:$G,Database!$D:$D,"Import",Database!$E:$E,$B46,Database!$C:$C,G$1,Database!$F:$F,"Total")</f>
        <v>0</v>
      </c>
      <c r="H46" s="137">
        <f>SUMIFS(Database!$G:$G,Database!$D:$D,"Import",Database!$E:$E,$B46,Database!$C:$C,H$1,Database!$F:$F,"Total")</f>
        <v>0</v>
      </c>
      <c r="I46" s="137">
        <f>SUMIFS(Database!$G:$G,Database!$D:$D,"Import",Database!$E:$E,$B46,Database!$C:$C,I$1,Database!$F:$F,"Total")</f>
        <v>0</v>
      </c>
      <c r="J46" s="137">
        <f>SUMIFS(Database!$G:$G,Database!$D:$D,"Import",Database!$E:$E,$B46,Database!$C:$C,J$1,Database!$F:$F,"Total")</f>
        <v>0</v>
      </c>
      <c r="K46" s="137">
        <f>SUMIFS(Database!$G:$G,Database!$D:$D,"Import",Database!$E:$E,$B46,Database!$C:$C,K$1,Database!$F:$F,"Total")</f>
        <v>0</v>
      </c>
      <c r="L46" s="137">
        <f>SUMIFS(Database!$G:$G,Database!$D:$D,"Import",Database!$E:$E,$B46,Database!$C:$C,L$1,Database!$F:$F,"Total")</f>
        <v>0</v>
      </c>
      <c r="M46" s="137">
        <f>SUMIFS(Database!$G:$G,Database!$D:$D,"Import",Database!$E:$E,$B46,Database!$C:$C,M$1,Database!$F:$F,"Total")</f>
        <v>0</v>
      </c>
      <c r="N46" s="137">
        <f>SUMIFS(Database!$G:$G,Database!$D:$D,"Import",Database!$E:$E,$B46,Database!$C:$C,N$1,Database!$F:$F,"Total")</f>
        <v>0</v>
      </c>
      <c r="O46" s="137">
        <f>SUMIFS(Database!$G:$G,Database!$D:$D,"Import",Database!$E:$E,$B46,Database!$C:$C,O$1,Database!$F:$F,"Total")</f>
        <v>0</v>
      </c>
      <c r="P46" s="137">
        <f>SUMIFS(Database!$G:$G,Database!$D:$D,"Import",Database!$E:$E,$B46,Database!$C:$C,P$1,Database!$F:$F,"Total")</f>
        <v>0</v>
      </c>
      <c r="Q46" s="137">
        <f>SUMIFS(Database!$G:$G,Database!$D:$D,"Import",Database!$E:$E,$B46,Database!$C:$C,Q$1,Database!$F:$F,"Total")</f>
        <v>0</v>
      </c>
      <c r="R46" s="137">
        <f>SUMIFS(Database!$G:$G,Database!$D:$D,"Import",Database!$E:$E,$B46,Database!$C:$C,R$1,Database!$F:$F,"Total")</f>
        <v>0</v>
      </c>
      <c r="S46" s="137">
        <f>SUMIFS(Database!$G:$G,Database!$D:$D,"Import",Database!$E:$E,$B46,Database!$C:$C,S$1,Database!$F:$F,"Total")</f>
        <v>0</v>
      </c>
      <c r="T46" s="137">
        <f>SUMIFS(Database!$G:$G,Database!$D:$D,"Import",Database!$E:$E,$B46,Database!$C:$C,T$1,Database!$F:$F,"Total")</f>
        <v>0</v>
      </c>
      <c r="U46" s="137">
        <f>SUMIFS(Database!$G:$G,Database!$D:$D,"Import",Database!$E:$E,$B46,Database!$C:$C,U$1,Database!$F:$F,"Total")</f>
        <v>0</v>
      </c>
      <c r="V46" s="137">
        <f>SUMIFS(Database!$G:$G,Database!$D:$D,"Import",Database!$E:$E,$B46,Database!$C:$C,V$1,Database!$F:$F,"Total")</f>
        <v>0</v>
      </c>
      <c r="W46" s="137">
        <f>SUMIFS(Database!$G:$G,Database!$D:$D,"Import",Database!$E:$E,$B46,Database!$C:$C,W$1,Database!$F:$F,"Total")</f>
        <v>0</v>
      </c>
      <c r="X46" s="137">
        <f>SUMIFS(Database!$G:$G,Database!$D:$D,"Import",Database!$E:$E,$B46,Database!$C:$C,X$1,Database!$F:$F,"Total")</f>
        <v>0</v>
      </c>
      <c r="Y46" s="137">
        <f>SUMIFS(Database!$G:$G,Database!$D:$D,"Import",Database!$E:$E,$B46,Database!$C:$C,Y$1,Database!$F:$F,"Total")</f>
        <v>0</v>
      </c>
      <c r="Z46" s="137">
        <f>SUMIFS(Database!$G:$G,Database!$D:$D,"Import",Database!$E:$E,$B46,Database!$C:$C,Z$1,Database!$F:$F,"Total")</f>
        <v>0</v>
      </c>
      <c r="AA46" s="137">
        <f>SUMIFS(Database!$G:$G,Database!$D:$D,"Import",Database!$E:$E,$B46,Database!$C:$C,AA$1,Database!$F:$F,"Total")</f>
        <v>0</v>
      </c>
      <c r="AB46" s="137">
        <f>SUMIFS(Database!$G:$G,Database!$D:$D,"Import",Database!$E:$E,$B46,Database!$C:$C,AB$1,Database!$F:$F,"Total")</f>
        <v>0</v>
      </c>
      <c r="AC46" s="137">
        <f>SUMIFS(Database!$G:$G,Database!$D:$D,"Import",Database!$E:$E,$B46,Database!$C:$C,AC$1,Database!$F:$F,"Total")</f>
        <v>0</v>
      </c>
      <c r="AD46" s="137">
        <f>SUMIFS(Database!$G:$G,Database!$D:$D,"Import",Database!$E:$E,$B46,Database!$C:$C,AD$1,Database!$F:$F,"Total")</f>
        <v>0</v>
      </c>
      <c r="AE46" s="137">
        <f>SUMIFS(Database!$G:$G,Database!$D:$D,"Import",Database!$E:$E,$B46,Database!$C:$C,AE$1,Database!$F:$F,"Total")</f>
        <v>0</v>
      </c>
      <c r="AF46" s="137">
        <f>SUMIFS(Database!$G:$G,Database!$D:$D,"Import",Database!$E:$E,$B46,Database!$C:$C,AF$1,Database!$F:$F,"Total")</f>
        <v>0</v>
      </c>
      <c r="AG46" s="137">
        <f>SUMIFS(Database!$G:$G,Database!$D:$D,"Import",Database!$E:$E,$B46,Database!$C:$C,AG$1,Database!$F:$F,"Total")</f>
        <v>0</v>
      </c>
      <c r="AH46" s="137">
        <f>SUMIFS(Database!$G:$G,Database!$D:$D,"Import",Database!$E:$E,$B46,Database!$C:$C,AH$1,Database!$F:$F,"Total")</f>
        <v>0</v>
      </c>
      <c r="AI46" s="137">
        <f>SUMIFS(Database!$G:$G,Database!$D:$D,"Import",Database!$E:$E,$B46,Database!$C:$C,AI$1,Database!$F:$F,"Total")</f>
        <v>0</v>
      </c>
      <c r="AJ46" s="137">
        <f>SUMIFS(Database!$G:$G,Database!$D:$D,"Import",Database!$E:$E,$B46,Database!$C:$C,AJ$1,Database!$F:$F,"Total")</f>
        <v>0</v>
      </c>
      <c r="AK46" s="137">
        <f>SUMIFS(Database!$G:$G,Database!$D:$D,"Import",Database!$E:$E,$B46,Database!$C:$C,AK$1,Database!$F:$F,"Total")</f>
        <v>5020</v>
      </c>
      <c r="AL46" s="137">
        <f>SUMIFS(Database!$G:$G,Database!$D:$D,"Import",Database!$E:$E,$B46,Database!$C:$C,AL$1,Database!$F:$F,"Total")</f>
        <v>4496</v>
      </c>
      <c r="AM46" s="137">
        <f>SUMIFS(Database!$G:$G,Database!$D:$D,"Import",Database!$E:$E,$B46,Database!$C:$C,AM$1,Database!$F:$F,"Total")</f>
        <v>4096</v>
      </c>
      <c r="AN46" s="137">
        <f>SUMIFS(Database!$G:$G,Database!$D:$D,"Import",Database!$E:$E,$B46,Database!$C:$C,AN$1,Database!$F:$F,"Total")</f>
        <v>8006</v>
      </c>
      <c r="AO46" s="137">
        <f>SUMIFS(Database!$G:$G,Database!$D:$D,"Import",Database!$E:$E,$B46,Database!$C:$C,AO$1,Database!$F:$F,"Total")</f>
        <v>2661</v>
      </c>
      <c r="AP46" s="137">
        <f>SUMIFS(Database!$G:$G,Database!$D:$D,"Import",Database!$E:$E,$B46,Database!$C:$C,AP$1,Database!$F:$F,"Total")</f>
        <v>6027</v>
      </c>
      <c r="AQ46" s="137">
        <f>SUMIFS(Database!$G:$G,Database!$D:$D,"Import",Database!$E:$E,$B46,Database!$C:$C,AQ$1,Database!$F:$F,"Total")</f>
        <v>7425</v>
      </c>
      <c r="AR46" s="137">
        <f>SUMIFS(Database!$G:$G,Database!$D:$D,"Import",Database!$E:$E,$B46,Database!$C:$C,AR$1,Database!$F:$F,"Total")</f>
        <v>3843</v>
      </c>
      <c r="AS46" s="137">
        <f>SUMIFS(Database!$G:$G,Database!$D:$D,"Import",Database!$E:$E,$B46,Database!$C:$C,AS$1,Database!$F:$F,"Total")</f>
        <v>6127</v>
      </c>
      <c r="AT46" s="137">
        <f>SUMIFS(Database!$G:$G,Database!$D:$D,"Import",Database!$E:$E,$B46,Database!$C:$C,AT$1,Database!$F:$F,"Total")</f>
        <v>6761</v>
      </c>
      <c r="AU46" s="137">
        <f>SUMIFS(Database!$G:$G,Database!$D:$D,"Import",Database!$E:$E,$B46,Database!$C:$C,AU$1,Database!$F:$F,"Total")</f>
        <v>1499</v>
      </c>
      <c r="AV46" s="137">
        <f>SUMIFS(Database!$G:$G,Database!$D:$D,"Import",Database!$E:$E,$B46,Database!$C:$C,AV$1,Database!$F:$F,"Total")</f>
        <v>1140</v>
      </c>
      <c r="AW46" s="137">
        <f>SUMIFS(Database!$G:$G,Database!$D:$D,"Import",Database!$E:$E,$B46,Database!$C:$C,AW$1,Database!$F:$F,"Total")</f>
        <v>2089</v>
      </c>
      <c r="AX46" s="137">
        <f>SUMIFS(Database!$G:$G,Database!$D:$D,"Import",Database!$E:$E,$B46,Database!$C:$C,AX$1,Database!$F:$F,"Total")</f>
        <v>1972</v>
      </c>
      <c r="AY46" s="137">
        <f>SUMIFS(Database!$G:$G,Database!$D:$D,"Import",Database!$E:$E,$B46,Database!$C:$C,AY$1,Database!$F:$F,"Total")</f>
        <v>3217</v>
      </c>
      <c r="AZ46" s="137">
        <f>SUMIFS(Database!$G:$G,Database!$D:$D,"Import",Database!$E:$E,$B46,Database!$C:$C,AZ$1,Database!$F:$F,"Total")</f>
        <v>4121</v>
      </c>
      <c r="BA46" s="137">
        <f>SUMIFS(Database!$G:$G,Database!$D:$D,"Import",Database!$E:$E,$B46,Database!$C:$C,BA$1,Database!$F:$F,"Total")</f>
        <v>4658</v>
      </c>
      <c r="BB46" s="137">
        <f>SUMIFS(Database!$G:$G,Database!$D:$D,"Import",Database!$E:$E,$B46,Database!$C:$C,BB$1,Database!$F:$F,"Total")</f>
        <v>3865</v>
      </c>
      <c r="BC46" s="137">
        <f>SUMIFS(Database!$G:$G,Database!$D:$D,"Import",Database!$E:$E,$B46,Database!$C:$C,BC$1,Database!$F:$F,"Total")</f>
        <v>2818</v>
      </c>
      <c r="BD46" s="137">
        <f>SUMIFS(Database!$G:$G,Database!$D:$D,"Import",Database!$E:$E,$B46,Database!$C:$C,BD$1,Database!$F:$F,"Total")</f>
        <v>3153</v>
      </c>
      <c r="BE46" s="137">
        <f>SUMIFS(Database!$G:$G,Database!$D:$D,"Import",Database!$E:$E,$B46,Database!$C:$C,BE$1,Database!$F:$F,"Total")</f>
        <v>4624</v>
      </c>
      <c r="BF46" s="137">
        <f>SUMIFS(Database!$G:$G,Database!$D:$D,"Import",Database!$E:$E,$B46,Database!$C:$C,BF$1,Database!$F:$F,"Total")</f>
        <v>7925</v>
      </c>
      <c r="BG46" s="137">
        <f>SUMIFS(Database!$G:$G,Database!$D:$D,"Import",Database!$E:$E,$B46,Database!$C:$C,BG$1,Database!$F:$F,"Total")</f>
        <v>5159</v>
      </c>
      <c r="BH46" s="137">
        <f>SUMIFS(Database!$G:$G,Database!$D:$D,"Import",Database!$E:$E,$B46,Database!$C:$C,BH$1,Database!$F:$F,"Total")</f>
        <v>6018</v>
      </c>
      <c r="BI46" s="137">
        <f>SUMIFS(Database!$G:$G,Database!$D:$D,"Import",Database!$E:$E,$B46,Database!$C:$C,BI$1,Database!$F:$F,"Total")</f>
        <v>0</v>
      </c>
      <c r="BJ46" s="137">
        <f>SUMIFS(Database!$G:$G,Database!$D:$D,"Import",Database!$E:$E,$B46,Database!$C:$C,BJ$1,Database!$F:$F,"Total")</f>
        <v>0</v>
      </c>
      <c r="BK46" s="137">
        <f>SUMIFS(Database!$G:$G,Database!$D:$D,"Import",Database!$E:$E,$B46,Database!$C:$C,BK$1,Database!$F:$F,"Total")</f>
        <v>0</v>
      </c>
      <c r="BL46" s="137">
        <f>SUMIFS(Database!$G:$G,Database!$D:$D,"Import",Database!$E:$E,$B46,Database!$C:$C,BL$1,Database!$F:$F,"Total")</f>
        <v>0</v>
      </c>
      <c r="BM46" s="137">
        <f>SUMIFS(Database!$G:$G,Database!$D:$D,"Import",Database!$E:$E,$B46,Database!$C:$C,BM$1,Database!$F:$F,"Total")</f>
        <v>0</v>
      </c>
      <c r="BN46" s="137">
        <f>SUMIFS(Database!$G:$G,Database!$D:$D,"Import",Database!$E:$E,$B46,Database!$C:$C,BN$1,Database!$F:$F,"Total")</f>
        <v>0</v>
      </c>
      <c r="BO46" s="137">
        <f>SUMIFS(Database!$G:$G,Database!$D:$D,"Import",Database!$E:$E,$B46,Database!$C:$C,BO$1,Database!$F:$F,"Total")</f>
        <v>0</v>
      </c>
      <c r="BP46" s="137">
        <f>SUMIFS(Database!$G:$G,Database!$D:$D,"Import",Database!$E:$E,$B46,Database!$C:$C,BP$1,Database!$F:$F,"Total")</f>
        <v>0</v>
      </c>
      <c r="BQ46" s="137">
        <f>SUMIFS(Database!$G:$G,Database!$D:$D,"Import",Database!$E:$E,$B46,Database!$C:$C,BQ$1,Database!$F:$F,"Total")</f>
        <v>0</v>
      </c>
      <c r="BR46" s="137">
        <f>SUMIFS(Database!$G:$G,Database!$D:$D,"Import",Database!$E:$E,$B46,Database!$C:$C,BR$1,Database!$F:$F,"Total")</f>
        <v>0</v>
      </c>
      <c r="BS46" s="137">
        <f>SUMIFS(Database!$G:$G,Database!$D:$D,"Import",Database!$E:$E,$B46,Database!$C:$C,BS$1,Database!$F:$F,"Total")</f>
        <v>0</v>
      </c>
      <c r="BT46" s="137">
        <f>SUMIFS(Database!$G:$G,Database!$D:$D,"Import",Database!$E:$E,$B46,Database!$C:$C,BT$1,Database!$F:$F,"Total")</f>
        <v>0</v>
      </c>
      <c r="BU46" s="137">
        <f>SUMIFS(Database!$G:$G,Database!$D:$D,"Import",Database!$E:$E,$B46,Database!$C:$C,BU$1,Database!$F:$F,"Total")</f>
        <v>0</v>
      </c>
      <c r="BV46" s="137">
        <f>SUMIFS(Database!$G:$G,Database!$D:$D,"Import",Database!$E:$E,$B46,Database!$C:$C,BV$1,Database!$F:$F,"Total")</f>
        <v>0</v>
      </c>
      <c r="BW46" s="137">
        <f>SUMIFS(Database!$G:$G,Database!$D:$D,"Import",Database!$E:$E,$B46,Database!$C:$C,BW$1,Database!$F:$F,"Total")</f>
        <v>0</v>
      </c>
      <c r="BX46" s="137">
        <f>SUMIFS(Database!$G:$G,Database!$D:$D,"Import",Database!$E:$E,$B46,Database!$C:$C,BX$1,Database!$F:$F,"Total")</f>
        <v>0</v>
      </c>
      <c r="BY46" s="137">
        <f>SUMIFS(Database!$G:$G,Database!$D:$D,"Import",Database!$E:$E,$B46,Database!$C:$C,BY$1,Database!$F:$F,"Total")</f>
        <v>0</v>
      </c>
      <c r="BZ46" s="137">
        <f>SUMIFS(Database!$G:$G,Database!$D:$D,"Import",Database!$E:$E,$B46,Database!$C:$C,BZ$1,Database!$F:$F,"Total")</f>
        <v>0</v>
      </c>
      <c r="CA46" s="137">
        <f>SUMIFS(Database!$G:$G,Database!$D:$D,"Import",Database!$E:$E,$B46,Database!$C:$C,CA$1,Database!$F:$F,"Total")</f>
        <v>0</v>
      </c>
      <c r="CB46" s="137">
        <f>SUMIFS(Database!$G:$G,Database!$D:$D,"Import",Database!$E:$E,$B46,Database!$C:$C,CB$1,Database!$F:$F,"Total")</f>
        <v>0</v>
      </c>
      <c r="CC46" s="137">
        <f>SUMIFS(Database!$G:$G,Database!$D:$D,"Import",Database!$E:$E,$B46,Database!$C:$C,CC$1,Database!$F:$F,"Total")</f>
        <v>0</v>
      </c>
      <c r="CD46" s="137">
        <f>SUMIFS(Database!$G:$G,Database!$D:$D,"Import",Database!$E:$E,$B46,Database!$C:$C,CD$1,Database!$F:$F,"Total")</f>
        <v>0</v>
      </c>
      <c r="CE46" s="137">
        <f>SUMIFS(Database!$G:$G,Database!$D:$D,"Import",Database!$E:$E,$B46,Database!$C:$C,CE$1,Database!$F:$F,"Total")</f>
        <v>0</v>
      </c>
      <c r="CF46" s="137">
        <f>SUMIFS(Database!$G:$G,Database!$D:$D,"Import",Database!$E:$E,$B46,Database!$C:$C,CF$1,Database!$F:$F,"Total")</f>
        <v>0</v>
      </c>
      <c r="CG46" s="137">
        <f>SUMIFS(Database!$G:$G,Database!$D:$D,"Import",Database!$E:$E,$B46,Database!$C:$C,CG$1,Database!$F:$F,"Total")</f>
        <v>0</v>
      </c>
      <c r="CH46" s="137">
        <f>SUMIFS(Database!$G:$G,Database!$D:$D,"Import",Database!$E:$E,$B46,Database!$C:$C,CH$1,Database!$F:$F,"Total")</f>
        <v>0</v>
      </c>
      <c r="CI46" s="137">
        <f>SUMIFS(Database!$G:$G,Database!$D:$D,"Import",Database!$E:$E,$B46,Database!$C:$C,CI$1,Database!$F:$F,"Total")</f>
        <v>0</v>
      </c>
      <c r="CJ46" s="137">
        <f>SUMIFS(Database!$G:$G,Database!$D:$D,"Import",Database!$E:$E,$B46,Database!$C:$C,CJ$1,Database!$F:$F,"Total")</f>
        <v>0</v>
      </c>
      <c r="CK46" s="137">
        <f>SUMIFS(Database!$G:$G,Database!$D:$D,"Import",Database!$E:$E,$B46,Database!$C:$C,CK$1,Database!$F:$F,"Total")</f>
        <v>0</v>
      </c>
      <c r="CL46" s="137">
        <f>SUMIFS(Database!$G:$G,Database!$D:$D,"Import",Database!$E:$E,$B46,Database!$C:$C,CL$1,Database!$F:$F,"Total")</f>
        <v>0</v>
      </c>
      <c r="CM46" s="137">
        <f>SUMIFS(Database!$G:$G,Database!$D:$D,"Import",Database!$E:$E,$B46,Database!$C:$C,CM$1,Database!$F:$F,"Total")</f>
        <v>0</v>
      </c>
      <c r="CN46" s="137">
        <f>SUMIFS(Database!$G:$G,Database!$D:$D,"Import",Database!$E:$E,$B46,Database!$C:$C,CN$1,Database!$F:$F,"Total")</f>
        <v>0</v>
      </c>
      <c r="CO46" s="137">
        <f>SUMIFS(Database!$G:$G,Database!$D:$D,"Import",Database!$E:$E,$B46,Database!$C:$C,CO$1,Database!$F:$F,"Total")</f>
        <v>0</v>
      </c>
      <c r="CP46" s="137">
        <f>SUMIFS(Database!$G:$G,Database!$D:$D,"Import",Database!$E:$E,$B46,Database!$C:$C,CP$1,Database!$F:$F,"Total")</f>
        <v>0</v>
      </c>
      <c r="CQ46" s="137">
        <f>SUMIFS(Database!$G:$G,Database!$D:$D,"Import",Database!$E:$E,$B46,Database!$C:$C,CQ$1,Database!$F:$F,"Total")</f>
        <v>0</v>
      </c>
      <c r="CR46" s="137">
        <f>SUMIFS(Database!$G:$G,Database!$D:$D,"Import",Database!$E:$E,$B46,Database!$C:$C,CR$1,Database!$F:$F,"Total")</f>
        <v>0</v>
      </c>
      <c r="CS46" s="137">
        <f>SUMIFS(Database!$G:$G,Database!$D:$D,"Import",Database!$E:$E,$B46,Database!$C:$C,CS$1,Database!$F:$F,"Total")</f>
        <v>0</v>
      </c>
      <c r="CT46" s="137">
        <f>SUMIFS(Database!$G:$G,Database!$D:$D,"Import",Database!$E:$E,$B46,Database!$C:$C,CT$1,Database!$F:$F,"Total")</f>
        <v>0</v>
      </c>
      <c r="CU46" s="137">
        <f>SUMIFS(Database!$G:$G,Database!$D:$D,"Import",Database!$E:$E,$B46,Database!$C:$C,CU$1,Database!$F:$F,"Total")</f>
        <v>0</v>
      </c>
    </row>
    <row r="47" spans="1:99" x14ac:dyDescent="0.25">
      <c r="A47" s="132" t="s">
        <v>484</v>
      </c>
      <c r="B47" s="133" t="s">
        <v>571</v>
      </c>
      <c r="C47" s="137">
        <f>SUMIFS(Database!$G:$G,Database!$D:$D,"Import",Database!$E:$E,$B47,Database!$C:$C,C$1,Database!$F:$F,"Total")</f>
        <v>0</v>
      </c>
      <c r="D47" s="137">
        <f>SUMIFS(Database!$G:$G,Database!$D:$D,"Import",Database!$E:$E,$B47,Database!$C:$C,D$1,Database!$F:$F,"Total")</f>
        <v>0</v>
      </c>
      <c r="E47" s="137">
        <f>SUMIFS(Database!$G:$G,Database!$D:$D,"Import",Database!$E:$E,$B47,Database!$C:$C,E$1,Database!$F:$F,"Total")</f>
        <v>0</v>
      </c>
      <c r="F47" s="137">
        <f>SUMIFS(Database!$G:$G,Database!$D:$D,"Import",Database!$E:$E,$B47,Database!$C:$C,F$1,Database!$F:$F,"Total")</f>
        <v>0</v>
      </c>
      <c r="G47" s="137">
        <f>SUMIFS(Database!$G:$G,Database!$D:$D,"Import",Database!$E:$E,$B47,Database!$C:$C,G$1,Database!$F:$F,"Total")</f>
        <v>0</v>
      </c>
      <c r="H47" s="137">
        <f>SUMIFS(Database!$G:$G,Database!$D:$D,"Import",Database!$E:$E,$B47,Database!$C:$C,H$1,Database!$F:$F,"Total")</f>
        <v>0</v>
      </c>
      <c r="I47" s="137">
        <f>SUMIFS(Database!$G:$G,Database!$D:$D,"Import",Database!$E:$E,$B47,Database!$C:$C,I$1,Database!$F:$F,"Total")</f>
        <v>0</v>
      </c>
      <c r="J47" s="137">
        <f>SUMIFS(Database!$G:$G,Database!$D:$D,"Import",Database!$E:$E,$B47,Database!$C:$C,J$1,Database!$F:$F,"Total")</f>
        <v>0</v>
      </c>
      <c r="K47" s="137">
        <f>SUMIFS(Database!$G:$G,Database!$D:$D,"Import",Database!$E:$E,$B47,Database!$C:$C,K$1,Database!$F:$F,"Total")</f>
        <v>0</v>
      </c>
      <c r="L47" s="137">
        <f>SUMIFS(Database!$G:$G,Database!$D:$D,"Import",Database!$E:$E,$B47,Database!$C:$C,L$1,Database!$F:$F,"Total")</f>
        <v>0</v>
      </c>
      <c r="M47" s="137">
        <f>SUMIFS(Database!$G:$G,Database!$D:$D,"Import",Database!$E:$E,$B47,Database!$C:$C,M$1,Database!$F:$F,"Total")</f>
        <v>0</v>
      </c>
      <c r="N47" s="137">
        <f>SUMIFS(Database!$G:$G,Database!$D:$D,"Import",Database!$E:$E,$B47,Database!$C:$C,N$1,Database!$F:$F,"Total")</f>
        <v>0</v>
      </c>
      <c r="O47" s="137">
        <f>SUMIFS(Database!$G:$G,Database!$D:$D,"Import",Database!$E:$E,$B47,Database!$C:$C,O$1,Database!$F:$F,"Total")</f>
        <v>0</v>
      </c>
      <c r="P47" s="137">
        <f>SUMIFS(Database!$G:$G,Database!$D:$D,"Import",Database!$E:$E,$B47,Database!$C:$C,P$1,Database!$F:$F,"Total")</f>
        <v>0</v>
      </c>
      <c r="Q47" s="137">
        <f>SUMIFS(Database!$G:$G,Database!$D:$D,"Import",Database!$E:$E,$B47,Database!$C:$C,Q$1,Database!$F:$F,"Total")</f>
        <v>0</v>
      </c>
      <c r="R47" s="137">
        <f>SUMIFS(Database!$G:$G,Database!$D:$D,"Import",Database!$E:$E,$B47,Database!$C:$C,R$1,Database!$F:$F,"Total")</f>
        <v>0</v>
      </c>
      <c r="S47" s="137">
        <f>SUMIFS(Database!$G:$G,Database!$D:$D,"Import",Database!$E:$E,$B47,Database!$C:$C,S$1,Database!$F:$F,"Total")</f>
        <v>0</v>
      </c>
      <c r="T47" s="137">
        <f>SUMIFS(Database!$G:$G,Database!$D:$D,"Import",Database!$E:$E,$B47,Database!$C:$C,T$1,Database!$F:$F,"Total")</f>
        <v>0</v>
      </c>
      <c r="U47" s="137">
        <f>SUMIFS(Database!$G:$G,Database!$D:$D,"Import",Database!$E:$E,$B47,Database!$C:$C,U$1,Database!$F:$F,"Total")</f>
        <v>0</v>
      </c>
      <c r="V47" s="137">
        <f>SUMIFS(Database!$G:$G,Database!$D:$D,"Import",Database!$E:$E,$B47,Database!$C:$C,V$1,Database!$F:$F,"Total")</f>
        <v>0</v>
      </c>
      <c r="W47" s="137">
        <f>SUMIFS(Database!$G:$G,Database!$D:$D,"Import",Database!$E:$E,$B47,Database!$C:$C,W$1,Database!$F:$F,"Total")</f>
        <v>0</v>
      </c>
      <c r="X47" s="137">
        <f>SUMIFS(Database!$G:$G,Database!$D:$D,"Import",Database!$E:$E,$B47,Database!$C:$C,X$1,Database!$F:$F,"Total")</f>
        <v>0</v>
      </c>
      <c r="Y47" s="137">
        <f>SUMIFS(Database!$G:$G,Database!$D:$D,"Import",Database!$E:$E,$B47,Database!$C:$C,Y$1,Database!$F:$F,"Total")</f>
        <v>0</v>
      </c>
      <c r="Z47" s="137">
        <f>SUMIFS(Database!$G:$G,Database!$D:$D,"Import",Database!$E:$E,$B47,Database!$C:$C,Z$1,Database!$F:$F,"Total")</f>
        <v>0</v>
      </c>
      <c r="AA47" s="137">
        <f>SUMIFS(Database!$G:$G,Database!$D:$D,"Import",Database!$E:$E,$B47,Database!$C:$C,AA$1,Database!$F:$F,"Total")</f>
        <v>0</v>
      </c>
      <c r="AB47" s="137">
        <f>SUMIFS(Database!$G:$G,Database!$D:$D,"Import",Database!$E:$E,$B47,Database!$C:$C,AB$1,Database!$F:$F,"Total")</f>
        <v>0</v>
      </c>
      <c r="AC47" s="137">
        <f>SUMIFS(Database!$G:$G,Database!$D:$D,"Import",Database!$E:$E,$B47,Database!$C:$C,AC$1,Database!$F:$F,"Total")</f>
        <v>0</v>
      </c>
      <c r="AD47" s="137">
        <f>SUMIFS(Database!$G:$G,Database!$D:$D,"Import",Database!$E:$E,$B47,Database!$C:$C,AD$1,Database!$F:$F,"Total")</f>
        <v>0</v>
      </c>
      <c r="AE47" s="137">
        <f>SUMIFS(Database!$G:$G,Database!$D:$D,"Import",Database!$E:$E,$B47,Database!$C:$C,AE$1,Database!$F:$F,"Total")</f>
        <v>0</v>
      </c>
      <c r="AF47" s="137">
        <f>SUMIFS(Database!$G:$G,Database!$D:$D,"Import",Database!$E:$E,$B47,Database!$C:$C,AF$1,Database!$F:$F,"Total")</f>
        <v>0</v>
      </c>
      <c r="AG47" s="137">
        <f>SUMIFS(Database!$G:$G,Database!$D:$D,"Import",Database!$E:$E,$B47,Database!$C:$C,AG$1,Database!$F:$F,"Total")</f>
        <v>0</v>
      </c>
      <c r="AH47" s="137">
        <f>SUMIFS(Database!$G:$G,Database!$D:$D,"Import",Database!$E:$E,$B47,Database!$C:$C,AH$1,Database!$F:$F,"Total")</f>
        <v>0</v>
      </c>
      <c r="AI47" s="137">
        <f>SUMIFS(Database!$G:$G,Database!$D:$D,"Import",Database!$E:$E,$B47,Database!$C:$C,AI$1,Database!$F:$F,"Total")</f>
        <v>0</v>
      </c>
      <c r="AJ47" s="137">
        <f>SUMIFS(Database!$G:$G,Database!$D:$D,"Import",Database!$E:$E,$B47,Database!$C:$C,AJ$1,Database!$F:$F,"Total")</f>
        <v>3606</v>
      </c>
      <c r="AK47" s="137">
        <f>SUMIFS(Database!$G:$G,Database!$D:$D,"Import",Database!$E:$E,$B47,Database!$C:$C,AK$1,Database!$F:$F,"Total")</f>
        <v>0</v>
      </c>
      <c r="AL47" s="137">
        <f>SUMIFS(Database!$G:$G,Database!$D:$D,"Import",Database!$E:$E,$B47,Database!$C:$C,AL$1,Database!$F:$F,"Total")</f>
        <v>0</v>
      </c>
      <c r="AM47" s="137">
        <f>SUMIFS(Database!$G:$G,Database!$D:$D,"Import",Database!$E:$E,$B47,Database!$C:$C,AM$1,Database!$F:$F,"Total")</f>
        <v>0</v>
      </c>
      <c r="AN47" s="137">
        <f>SUMIFS(Database!$G:$G,Database!$D:$D,"Import",Database!$E:$E,$B47,Database!$C:$C,AN$1,Database!$F:$F,"Total")</f>
        <v>25515</v>
      </c>
      <c r="AO47" s="137">
        <f>SUMIFS(Database!$G:$G,Database!$D:$D,"Import",Database!$E:$E,$B47,Database!$C:$C,AO$1,Database!$F:$F,"Total")</f>
        <v>0</v>
      </c>
      <c r="AP47" s="137">
        <f>SUMIFS(Database!$G:$G,Database!$D:$D,"Import",Database!$E:$E,$B47,Database!$C:$C,AP$1,Database!$F:$F,"Total")</f>
        <v>0</v>
      </c>
      <c r="AQ47" s="137">
        <f>SUMIFS(Database!$G:$G,Database!$D:$D,"Import",Database!$E:$E,$B47,Database!$C:$C,AQ$1,Database!$F:$F,"Total")</f>
        <v>0</v>
      </c>
      <c r="AR47" s="137">
        <f>SUMIFS(Database!$G:$G,Database!$D:$D,"Import",Database!$E:$E,$B47,Database!$C:$C,AR$1,Database!$F:$F,"Total")</f>
        <v>0</v>
      </c>
      <c r="AS47" s="137">
        <f>SUMIFS(Database!$G:$G,Database!$D:$D,"Import",Database!$E:$E,$B47,Database!$C:$C,AS$1,Database!$F:$F,"Total")</f>
        <v>0</v>
      </c>
      <c r="AT47" s="137">
        <f>SUMIFS(Database!$G:$G,Database!$D:$D,"Import",Database!$E:$E,$B47,Database!$C:$C,AT$1,Database!$F:$F,"Total")</f>
        <v>0</v>
      </c>
      <c r="AU47" s="137">
        <f>SUMIFS(Database!$G:$G,Database!$D:$D,"Import",Database!$E:$E,$B47,Database!$C:$C,AU$1,Database!$F:$F,"Total")</f>
        <v>1233</v>
      </c>
      <c r="AV47" s="137">
        <f>SUMIFS(Database!$G:$G,Database!$D:$D,"Import",Database!$E:$E,$B47,Database!$C:$C,AV$1,Database!$F:$F,"Total")</f>
        <v>3811</v>
      </c>
      <c r="AW47" s="137">
        <f>SUMIFS(Database!$G:$G,Database!$D:$D,"Import",Database!$E:$E,$B47,Database!$C:$C,AW$1,Database!$F:$F,"Total")</f>
        <v>4323</v>
      </c>
      <c r="AX47" s="137">
        <f>SUMIFS(Database!$G:$G,Database!$D:$D,"Import",Database!$E:$E,$B47,Database!$C:$C,AX$1,Database!$F:$F,"Total")</f>
        <v>7109</v>
      </c>
      <c r="AY47" s="137">
        <f>SUMIFS(Database!$G:$G,Database!$D:$D,"Import",Database!$E:$E,$B47,Database!$C:$C,AY$1,Database!$F:$F,"Total")</f>
        <v>5327</v>
      </c>
      <c r="AZ47" s="137">
        <f>SUMIFS(Database!$G:$G,Database!$D:$D,"Import",Database!$E:$E,$B47,Database!$C:$C,AZ$1,Database!$F:$F,"Total")</f>
        <v>5029</v>
      </c>
      <c r="BA47" s="137">
        <f>SUMIFS(Database!$G:$G,Database!$D:$D,"Import",Database!$E:$E,$B47,Database!$C:$C,BA$1,Database!$F:$F,"Total")</f>
        <v>5421</v>
      </c>
      <c r="BB47" s="137">
        <f>SUMIFS(Database!$G:$G,Database!$D:$D,"Import",Database!$E:$E,$B47,Database!$C:$C,BB$1,Database!$F:$F,"Total")</f>
        <v>6271</v>
      </c>
      <c r="BC47" s="137">
        <f>SUMIFS(Database!$G:$G,Database!$D:$D,"Import",Database!$E:$E,$B47,Database!$C:$C,BC$1,Database!$F:$F,"Total")</f>
        <v>7886</v>
      </c>
      <c r="BD47" s="137">
        <f>SUMIFS(Database!$G:$G,Database!$D:$D,"Import",Database!$E:$E,$B47,Database!$C:$C,BD$1,Database!$F:$F,"Total")</f>
        <v>5267</v>
      </c>
      <c r="BE47" s="137">
        <f>SUMIFS(Database!$G:$G,Database!$D:$D,"Import",Database!$E:$E,$B47,Database!$C:$C,BE$1,Database!$F:$F,"Total")</f>
        <v>3535</v>
      </c>
      <c r="BF47" s="137">
        <f>SUMIFS(Database!$G:$G,Database!$D:$D,"Import",Database!$E:$E,$B47,Database!$C:$C,BF$1,Database!$F:$F,"Total")</f>
        <v>2257</v>
      </c>
      <c r="BG47" s="137">
        <f>SUMIFS(Database!$G:$G,Database!$D:$D,"Import",Database!$E:$E,$B47,Database!$C:$C,BG$1,Database!$F:$F,"Total")</f>
        <v>4506</v>
      </c>
      <c r="BH47" s="137">
        <f>SUMIFS(Database!$G:$G,Database!$D:$D,"Import",Database!$E:$E,$B47,Database!$C:$C,BH$1,Database!$F:$F,"Total")</f>
        <v>3384</v>
      </c>
      <c r="BI47" s="137">
        <f>SUMIFS(Database!$G:$G,Database!$D:$D,"Import",Database!$E:$E,$B47,Database!$C:$C,BI$1,Database!$F:$F,"Total")</f>
        <v>0</v>
      </c>
      <c r="BJ47" s="137">
        <f>SUMIFS(Database!$G:$G,Database!$D:$D,"Import",Database!$E:$E,$B47,Database!$C:$C,BJ$1,Database!$F:$F,"Total")</f>
        <v>0</v>
      </c>
      <c r="BK47" s="137">
        <f>SUMIFS(Database!$G:$G,Database!$D:$D,"Import",Database!$E:$E,$B47,Database!$C:$C,BK$1,Database!$F:$F,"Total")</f>
        <v>0</v>
      </c>
      <c r="BL47" s="137">
        <f>SUMIFS(Database!$G:$G,Database!$D:$D,"Import",Database!$E:$E,$B47,Database!$C:$C,BL$1,Database!$F:$F,"Total")</f>
        <v>0</v>
      </c>
      <c r="BM47" s="137">
        <f>SUMIFS(Database!$G:$G,Database!$D:$D,"Import",Database!$E:$E,$B47,Database!$C:$C,BM$1,Database!$F:$F,"Total")</f>
        <v>0</v>
      </c>
      <c r="BN47" s="137">
        <f>SUMIFS(Database!$G:$G,Database!$D:$D,"Import",Database!$E:$E,$B47,Database!$C:$C,BN$1,Database!$F:$F,"Total")</f>
        <v>5646</v>
      </c>
      <c r="BO47" s="137">
        <f>SUMIFS(Database!$G:$G,Database!$D:$D,"Import",Database!$E:$E,$B47,Database!$C:$C,BO$1,Database!$F:$F,"Total")</f>
        <v>0</v>
      </c>
      <c r="BP47" s="137">
        <f>SUMIFS(Database!$G:$G,Database!$D:$D,"Import",Database!$E:$E,$B47,Database!$C:$C,BP$1,Database!$F:$F,"Total")</f>
        <v>7563</v>
      </c>
      <c r="BQ47" s="137">
        <f>SUMIFS(Database!$G:$G,Database!$D:$D,"Import",Database!$E:$E,$B47,Database!$C:$C,BQ$1,Database!$F:$F,"Total")</f>
        <v>7329</v>
      </c>
      <c r="BR47" s="137">
        <f>SUMIFS(Database!$G:$G,Database!$D:$D,"Import",Database!$E:$E,$B47,Database!$C:$C,BR$1,Database!$F:$F,"Total")</f>
        <v>6460</v>
      </c>
      <c r="BS47" s="137">
        <f>SUMIFS(Database!$G:$G,Database!$D:$D,"Import",Database!$E:$E,$B47,Database!$C:$C,BS$1,Database!$F:$F,"Total")</f>
        <v>9766</v>
      </c>
      <c r="BT47" s="137">
        <f>SUMIFS(Database!$G:$G,Database!$D:$D,"Import",Database!$E:$E,$B47,Database!$C:$C,BT$1,Database!$F:$F,"Total")</f>
        <v>9633</v>
      </c>
      <c r="BU47" s="137">
        <f>SUMIFS(Database!$G:$G,Database!$D:$D,"Import",Database!$E:$E,$B47,Database!$C:$C,BU$1,Database!$F:$F,"Total")</f>
        <v>20297</v>
      </c>
      <c r="BV47" s="137">
        <f>SUMIFS(Database!$G:$G,Database!$D:$D,"Import",Database!$E:$E,$B47,Database!$C:$C,BV$1,Database!$F:$F,"Total")</f>
        <v>0</v>
      </c>
      <c r="BW47" s="137">
        <f>SUMIFS(Database!$G:$G,Database!$D:$D,"Import",Database!$E:$E,$B47,Database!$C:$C,BW$1,Database!$F:$F,"Total")</f>
        <v>0</v>
      </c>
      <c r="BX47" s="137">
        <f>SUMIFS(Database!$G:$G,Database!$D:$D,"Import",Database!$E:$E,$B47,Database!$C:$C,BX$1,Database!$F:$F,"Total")</f>
        <v>0</v>
      </c>
      <c r="BY47" s="137">
        <f>SUMIFS(Database!$G:$G,Database!$D:$D,"Import",Database!$E:$E,$B47,Database!$C:$C,BY$1,Database!$F:$F,"Total")</f>
        <v>0</v>
      </c>
      <c r="BZ47" s="137">
        <f>SUMIFS(Database!$G:$G,Database!$D:$D,"Import",Database!$E:$E,$B47,Database!$C:$C,BZ$1,Database!$F:$F,"Total")</f>
        <v>0</v>
      </c>
      <c r="CA47" s="137">
        <f>SUMIFS(Database!$G:$G,Database!$D:$D,"Import",Database!$E:$E,$B47,Database!$C:$C,CA$1,Database!$F:$F,"Total")</f>
        <v>0</v>
      </c>
      <c r="CB47" s="137">
        <f>SUMIFS(Database!$G:$G,Database!$D:$D,"Import",Database!$E:$E,$B47,Database!$C:$C,CB$1,Database!$F:$F,"Total")</f>
        <v>0</v>
      </c>
      <c r="CC47" s="137">
        <f>SUMIFS(Database!$G:$G,Database!$D:$D,"Import",Database!$E:$E,$B47,Database!$C:$C,CC$1,Database!$F:$F,"Total")</f>
        <v>0</v>
      </c>
      <c r="CD47" s="137">
        <f>SUMIFS(Database!$G:$G,Database!$D:$D,"Import",Database!$E:$E,$B47,Database!$C:$C,CD$1,Database!$F:$F,"Total")</f>
        <v>0</v>
      </c>
      <c r="CE47" s="137">
        <f>SUMIFS(Database!$G:$G,Database!$D:$D,"Import",Database!$E:$E,$B47,Database!$C:$C,CE$1,Database!$F:$F,"Total")</f>
        <v>0</v>
      </c>
      <c r="CF47" s="137">
        <f>SUMIFS(Database!$G:$G,Database!$D:$D,"Import",Database!$E:$E,$B47,Database!$C:$C,CF$1,Database!$F:$F,"Total")</f>
        <v>0</v>
      </c>
      <c r="CG47" s="137">
        <f>SUMIFS(Database!$G:$G,Database!$D:$D,"Import",Database!$E:$E,$B47,Database!$C:$C,CG$1,Database!$F:$F,"Total")</f>
        <v>0</v>
      </c>
      <c r="CH47" s="137">
        <f>SUMIFS(Database!$G:$G,Database!$D:$D,"Import",Database!$E:$E,$B47,Database!$C:$C,CH$1,Database!$F:$F,"Total")</f>
        <v>0</v>
      </c>
      <c r="CI47" s="137">
        <f>SUMIFS(Database!$G:$G,Database!$D:$D,"Import",Database!$E:$E,$B47,Database!$C:$C,CI$1,Database!$F:$F,"Total")</f>
        <v>0</v>
      </c>
      <c r="CJ47" s="137">
        <f>SUMIFS(Database!$G:$G,Database!$D:$D,"Import",Database!$E:$E,$B47,Database!$C:$C,CJ$1,Database!$F:$F,"Total")</f>
        <v>0</v>
      </c>
      <c r="CK47" s="137">
        <f>SUMIFS(Database!$G:$G,Database!$D:$D,"Import",Database!$E:$E,$B47,Database!$C:$C,CK$1,Database!$F:$F,"Total")</f>
        <v>0</v>
      </c>
      <c r="CL47" s="137">
        <f>SUMIFS(Database!$G:$G,Database!$D:$D,"Import",Database!$E:$E,$B47,Database!$C:$C,CL$1,Database!$F:$F,"Total")</f>
        <v>0</v>
      </c>
      <c r="CM47" s="137">
        <f>SUMIFS(Database!$G:$G,Database!$D:$D,"Import",Database!$E:$E,$B47,Database!$C:$C,CM$1,Database!$F:$F,"Total")</f>
        <v>0</v>
      </c>
      <c r="CN47" s="137">
        <f>SUMIFS(Database!$G:$G,Database!$D:$D,"Import",Database!$E:$E,$B47,Database!$C:$C,CN$1,Database!$F:$F,"Total")</f>
        <v>0</v>
      </c>
      <c r="CO47" s="137">
        <f>SUMIFS(Database!$G:$G,Database!$D:$D,"Import",Database!$E:$E,$B47,Database!$C:$C,CO$1,Database!$F:$F,"Total")</f>
        <v>0</v>
      </c>
      <c r="CP47" s="137">
        <f>SUMIFS(Database!$G:$G,Database!$D:$D,"Import",Database!$E:$E,$B47,Database!$C:$C,CP$1,Database!$F:$F,"Total")</f>
        <v>0</v>
      </c>
      <c r="CQ47" s="137">
        <f>SUMIFS(Database!$G:$G,Database!$D:$D,"Import",Database!$E:$E,$B47,Database!$C:$C,CQ$1,Database!$F:$F,"Total")</f>
        <v>0</v>
      </c>
      <c r="CR47" s="137">
        <f>SUMIFS(Database!$G:$G,Database!$D:$D,"Import",Database!$E:$E,$B47,Database!$C:$C,CR$1,Database!$F:$F,"Total")</f>
        <v>0</v>
      </c>
      <c r="CS47" s="137">
        <f>SUMIFS(Database!$G:$G,Database!$D:$D,"Import",Database!$E:$E,$B47,Database!$C:$C,CS$1,Database!$F:$F,"Total")</f>
        <v>0</v>
      </c>
      <c r="CT47" s="137">
        <f>SUMIFS(Database!$G:$G,Database!$D:$D,"Import",Database!$E:$E,$B47,Database!$C:$C,CT$1,Database!$F:$F,"Total")</f>
        <v>0</v>
      </c>
      <c r="CU47" s="137">
        <f>SUMIFS(Database!$G:$G,Database!$D:$D,"Import",Database!$E:$E,$B47,Database!$C:$C,CU$1,Database!$F:$F,"Total")</f>
        <v>0</v>
      </c>
    </row>
    <row r="48" spans="1:99" x14ac:dyDescent="0.25">
      <c r="A48" s="132" t="s">
        <v>484</v>
      </c>
      <c r="B48" s="133" t="s">
        <v>572</v>
      </c>
      <c r="C48" s="137">
        <f>SUMIFS(Database!$G:$G,Database!$D:$D,"Import",Database!$E:$E,$B48,Database!$C:$C,C$1,Database!$F:$F,"Total")</f>
        <v>0</v>
      </c>
      <c r="D48" s="137">
        <f>SUMIFS(Database!$G:$G,Database!$D:$D,"Import",Database!$E:$E,$B48,Database!$C:$C,D$1,Database!$F:$F,"Total")</f>
        <v>0</v>
      </c>
      <c r="E48" s="137">
        <f>SUMIFS(Database!$G:$G,Database!$D:$D,"Import",Database!$E:$E,$B48,Database!$C:$C,E$1,Database!$F:$F,"Total")</f>
        <v>0</v>
      </c>
      <c r="F48" s="137">
        <f>SUMIFS(Database!$G:$G,Database!$D:$D,"Import",Database!$E:$E,$B48,Database!$C:$C,F$1,Database!$F:$F,"Total")</f>
        <v>0</v>
      </c>
      <c r="G48" s="137">
        <f>SUMIFS(Database!$G:$G,Database!$D:$D,"Import",Database!$E:$E,$B48,Database!$C:$C,G$1,Database!$F:$F,"Total")</f>
        <v>0</v>
      </c>
      <c r="H48" s="137">
        <f>SUMIFS(Database!$G:$G,Database!$D:$D,"Import",Database!$E:$E,$B48,Database!$C:$C,H$1,Database!$F:$F,"Total")</f>
        <v>0</v>
      </c>
      <c r="I48" s="137">
        <f>SUMIFS(Database!$G:$G,Database!$D:$D,"Import",Database!$E:$E,$B48,Database!$C:$C,I$1,Database!$F:$F,"Total")</f>
        <v>0</v>
      </c>
      <c r="J48" s="137">
        <f>SUMIFS(Database!$G:$G,Database!$D:$D,"Import",Database!$E:$E,$B48,Database!$C:$C,J$1,Database!$F:$F,"Total")</f>
        <v>0</v>
      </c>
      <c r="K48" s="137">
        <f>SUMIFS(Database!$G:$G,Database!$D:$D,"Import",Database!$E:$E,$B48,Database!$C:$C,K$1,Database!$F:$F,"Total")</f>
        <v>0</v>
      </c>
      <c r="L48" s="137">
        <f>SUMIFS(Database!$G:$G,Database!$D:$D,"Import",Database!$E:$E,$B48,Database!$C:$C,L$1,Database!$F:$F,"Total")</f>
        <v>0</v>
      </c>
      <c r="M48" s="137">
        <f>SUMIFS(Database!$G:$G,Database!$D:$D,"Import",Database!$E:$E,$B48,Database!$C:$C,M$1,Database!$F:$F,"Total")</f>
        <v>0</v>
      </c>
      <c r="N48" s="137">
        <f>SUMIFS(Database!$G:$G,Database!$D:$D,"Import",Database!$E:$E,$B48,Database!$C:$C,N$1,Database!$F:$F,"Total")</f>
        <v>0</v>
      </c>
      <c r="O48" s="137">
        <f>SUMIFS(Database!$G:$G,Database!$D:$D,"Import",Database!$E:$E,$B48,Database!$C:$C,O$1,Database!$F:$F,"Total")</f>
        <v>0</v>
      </c>
      <c r="P48" s="137">
        <f>SUMIFS(Database!$G:$G,Database!$D:$D,"Import",Database!$E:$E,$B48,Database!$C:$C,P$1,Database!$F:$F,"Total")</f>
        <v>0</v>
      </c>
      <c r="Q48" s="137">
        <f>SUMIFS(Database!$G:$G,Database!$D:$D,"Import",Database!$E:$E,$B48,Database!$C:$C,Q$1,Database!$F:$F,"Total")</f>
        <v>0</v>
      </c>
      <c r="R48" s="137">
        <f>SUMIFS(Database!$G:$G,Database!$D:$D,"Import",Database!$E:$E,$B48,Database!$C:$C,R$1,Database!$F:$F,"Total")</f>
        <v>0</v>
      </c>
      <c r="S48" s="137">
        <f>SUMIFS(Database!$G:$G,Database!$D:$D,"Import",Database!$E:$E,$B48,Database!$C:$C,S$1,Database!$F:$F,"Total")</f>
        <v>0</v>
      </c>
      <c r="T48" s="137">
        <f>SUMIFS(Database!$G:$G,Database!$D:$D,"Import",Database!$E:$E,$B48,Database!$C:$C,T$1,Database!$F:$F,"Total")</f>
        <v>0</v>
      </c>
      <c r="U48" s="137">
        <f>SUMIFS(Database!$G:$G,Database!$D:$D,"Import",Database!$E:$E,$B48,Database!$C:$C,U$1,Database!$F:$F,"Total")</f>
        <v>0</v>
      </c>
      <c r="V48" s="137">
        <f>SUMIFS(Database!$G:$G,Database!$D:$D,"Import",Database!$E:$E,$B48,Database!$C:$C,V$1,Database!$F:$F,"Total")</f>
        <v>0</v>
      </c>
      <c r="W48" s="137">
        <f>SUMIFS(Database!$G:$G,Database!$D:$D,"Import",Database!$E:$E,$B48,Database!$C:$C,W$1,Database!$F:$F,"Total")</f>
        <v>0</v>
      </c>
      <c r="X48" s="137">
        <f>SUMIFS(Database!$G:$G,Database!$D:$D,"Import",Database!$E:$E,$B48,Database!$C:$C,X$1,Database!$F:$F,"Total")</f>
        <v>0</v>
      </c>
      <c r="Y48" s="137">
        <f>SUMIFS(Database!$G:$G,Database!$D:$D,"Import",Database!$E:$E,$B48,Database!$C:$C,Y$1,Database!$F:$F,"Total")</f>
        <v>0</v>
      </c>
      <c r="Z48" s="137">
        <f>SUMIFS(Database!$G:$G,Database!$D:$D,"Import",Database!$E:$E,$B48,Database!$C:$C,Z$1,Database!$F:$F,"Total")</f>
        <v>0</v>
      </c>
      <c r="AA48" s="137">
        <f>SUMIFS(Database!$G:$G,Database!$D:$D,"Import",Database!$E:$E,$B48,Database!$C:$C,AA$1,Database!$F:$F,"Total")</f>
        <v>0</v>
      </c>
      <c r="AB48" s="137">
        <f>SUMIFS(Database!$G:$G,Database!$D:$D,"Import",Database!$E:$E,$B48,Database!$C:$C,AB$1,Database!$F:$F,"Total")</f>
        <v>0</v>
      </c>
      <c r="AC48" s="137">
        <f>SUMIFS(Database!$G:$G,Database!$D:$D,"Import",Database!$E:$E,$B48,Database!$C:$C,AC$1,Database!$F:$F,"Total")</f>
        <v>0</v>
      </c>
      <c r="AD48" s="137">
        <f>SUMIFS(Database!$G:$G,Database!$D:$D,"Import",Database!$E:$E,$B48,Database!$C:$C,AD$1,Database!$F:$F,"Total")</f>
        <v>0</v>
      </c>
      <c r="AE48" s="137">
        <f>SUMIFS(Database!$G:$G,Database!$D:$D,"Import",Database!$E:$E,$B48,Database!$C:$C,AE$1,Database!$F:$F,"Total")</f>
        <v>0</v>
      </c>
      <c r="AF48" s="137">
        <f>SUMIFS(Database!$G:$G,Database!$D:$D,"Import",Database!$E:$E,$B48,Database!$C:$C,AF$1,Database!$F:$F,"Total")</f>
        <v>0</v>
      </c>
      <c r="AG48" s="137">
        <f>SUMIFS(Database!$G:$G,Database!$D:$D,"Import",Database!$E:$E,$B48,Database!$C:$C,AG$1,Database!$F:$F,"Total")</f>
        <v>0</v>
      </c>
      <c r="AH48" s="137">
        <f>SUMIFS(Database!$G:$G,Database!$D:$D,"Import",Database!$E:$E,$B48,Database!$C:$C,AH$1,Database!$F:$F,"Total")</f>
        <v>0</v>
      </c>
      <c r="AI48" s="137">
        <f>SUMIFS(Database!$G:$G,Database!$D:$D,"Import",Database!$E:$E,$B48,Database!$C:$C,AI$1,Database!$F:$F,"Total")</f>
        <v>0</v>
      </c>
      <c r="AJ48" s="137">
        <f>SUMIFS(Database!$G:$G,Database!$D:$D,"Import",Database!$E:$E,$B48,Database!$C:$C,AJ$1,Database!$F:$F,"Total")</f>
        <v>1521</v>
      </c>
      <c r="AK48" s="137">
        <f>SUMIFS(Database!$G:$G,Database!$D:$D,"Import",Database!$E:$E,$B48,Database!$C:$C,AK$1,Database!$F:$F,"Total")</f>
        <v>2816</v>
      </c>
      <c r="AL48" s="137">
        <f>SUMIFS(Database!$G:$G,Database!$D:$D,"Import",Database!$E:$E,$B48,Database!$C:$C,AL$1,Database!$F:$F,"Total")</f>
        <v>3676</v>
      </c>
      <c r="AM48" s="137">
        <f>SUMIFS(Database!$G:$G,Database!$D:$D,"Import",Database!$E:$E,$B48,Database!$C:$C,AM$1,Database!$F:$F,"Total")</f>
        <v>3181</v>
      </c>
      <c r="AN48" s="137">
        <f>SUMIFS(Database!$G:$G,Database!$D:$D,"Import",Database!$E:$E,$B48,Database!$C:$C,AN$1,Database!$F:$F,"Total")</f>
        <v>7590</v>
      </c>
      <c r="AO48" s="137">
        <f>SUMIFS(Database!$G:$G,Database!$D:$D,"Import",Database!$E:$E,$B48,Database!$C:$C,AO$1,Database!$F:$F,"Total")</f>
        <v>9898</v>
      </c>
      <c r="AP48" s="137">
        <f>SUMIFS(Database!$G:$G,Database!$D:$D,"Import",Database!$E:$E,$B48,Database!$C:$C,AP$1,Database!$F:$F,"Total")</f>
        <v>7408</v>
      </c>
      <c r="AQ48" s="137">
        <f>SUMIFS(Database!$G:$G,Database!$D:$D,"Import",Database!$E:$E,$B48,Database!$C:$C,AQ$1,Database!$F:$F,"Total")</f>
        <v>6018</v>
      </c>
      <c r="AR48" s="137">
        <f>SUMIFS(Database!$G:$G,Database!$D:$D,"Import",Database!$E:$E,$B48,Database!$C:$C,AR$1,Database!$F:$F,"Total")</f>
        <v>4908</v>
      </c>
      <c r="AS48" s="137">
        <f>SUMIFS(Database!$G:$G,Database!$D:$D,"Import",Database!$E:$E,$B48,Database!$C:$C,AS$1,Database!$F:$F,"Total")</f>
        <v>5140</v>
      </c>
      <c r="AT48" s="137">
        <f>SUMIFS(Database!$G:$G,Database!$D:$D,"Import",Database!$E:$E,$B48,Database!$C:$C,AT$1,Database!$F:$F,"Total")</f>
        <v>5269</v>
      </c>
      <c r="AU48" s="137">
        <f>SUMIFS(Database!$G:$G,Database!$D:$D,"Import",Database!$E:$E,$B48,Database!$C:$C,AU$1,Database!$F:$F,"Total")</f>
        <v>4788</v>
      </c>
      <c r="AV48" s="137">
        <f>SUMIFS(Database!$G:$G,Database!$D:$D,"Import",Database!$E:$E,$B48,Database!$C:$C,AV$1,Database!$F:$F,"Total")</f>
        <v>5389</v>
      </c>
      <c r="AW48" s="137">
        <f>SUMIFS(Database!$G:$G,Database!$D:$D,"Import",Database!$E:$E,$B48,Database!$C:$C,AW$1,Database!$F:$F,"Total")</f>
        <v>4619</v>
      </c>
      <c r="AX48" s="137">
        <f>SUMIFS(Database!$G:$G,Database!$D:$D,"Import",Database!$E:$E,$B48,Database!$C:$C,AX$1,Database!$F:$F,"Total")</f>
        <v>3358</v>
      </c>
      <c r="AY48" s="137">
        <f>SUMIFS(Database!$G:$G,Database!$D:$D,"Import",Database!$E:$E,$B48,Database!$C:$C,AY$1,Database!$F:$F,"Total")</f>
        <v>4057</v>
      </c>
      <c r="AZ48" s="137">
        <f>SUMIFS(Database!$G:$G,Database!$D:$D,"Import",Database!$E:$E,$B48,Database!$C:$C,AZ$1,Database!$F:$F,"Total")</f>
        <v>7453</v>
      </c>
      <c r="BA48" s="137">
        <f>SUMIFS(Database!$G:$G,Database!$D:$D,"Import",Database!$E:$E,$B48,Database!$C:$C,BA$1,Database!$F:$F,"Total")</f>
        <v>4638</v>
      </c>
      <c r="BB48" s="137">
        <f>SUMIFS(Database!$G:$G,Database!$D:$D,"Import",Database!$E:$E,$B48,Database!$C:$C,BB$1,Database!$F:$F,"Total")</f>
        <v>2983</v>
      </c>
      <c r="BC48" s="137">
        <f>SUMIFS(Database!$G:$G,Database!$D:$D,"Import",Database!$E:$E,$B48,Database!$C:$C,BC$1,Database!$F:$F,"Total")</f>
        <v>4348</v>
      </c>
      <c r="BD48" s="137">
        <f>SUMIFS(Database!$G:$G,Database!$D:$D,"Import",Database!$E:$E,$B48,Database!$C:$C,BD$1,Database!$F:$F,"Total")</f>
        <v>5116</v>
      </c>
      <c r="BE48" s="137">
        <f>SUMIFS(Database!$G:$G,Database!$D:$D,"Import",Database!$E:$E,$B48,Database!$C:$C,BE$1,Database!$F:$F,"Total")</f>
        <v>4747</v>
      </c>
      <c r="BF48" s="137">
        <f>SUMIFS(Database!$G:$G,Database!$D:$D,"Import",Database!$E:$E,$B48,Database!$C:$C,BF$1,Database!$F:$F,"Total")</f>
        <v>4269</v>
      </c>
      <c r="BG48" s="137">
        <f>SUMIFS(Database!$G:$G,Database!$D:$D,"Import",Database!$E:$E,$B48,Database!$C:$C,BG$1,Database!$F:$F,"Total")</f>
        <v>15239</v>
      </c>
      <c r="BH48" s="137">
        <f>SUMIFS(Database!$G:$G,Database!$D:$D,"Import",Database!$E:$E,$B48,Database!$C:$C,BH$1,Database!$F:$F,"Total")</f>
        <v>3703</v>
      </c>
      <c r="BI48" s="137">
        <f>SUMIFS(Database!$G:$G,Database!$D:$D,"Import",Database!$E:$E,$B48,Database!$C:$C,BI$1,Database!$F:$F,"Total")</f>
        <v>0</v>
      </c>
      <c r="BJ48" s="137">
        <f>SUMIFS(Database!$G:$G,Database!$D:$D,"Import",Database!$E:$E,$B48,Database!$C:$C,BJ$1,Database!$F:$F,"Total")</f>
        <v>0</v>
      </c>
      <c r="BK48" s="137">
        <f>SUMIFS(Database!$G:$G,Database!$D:$D,"Import",Database!$E:$E,$B48,Database!$C:$C,BK$1,Database!$F:$F,"Total")</f>
        <v>0</v>
      </c>
      <c r="BL48" s="137">
        <f>SUMIFS(Database!$G:$G,Database!$D:$D,"Import",Database!$E:$E,$B48,Database!$C:$C,BL$1,Database!$F:$F,"Total")</f>
        <v>0</v>
      </c>
      <c r="BM48" s="137">
        <f>SUMIFS(Database!$G:$G,Database!$D:$D,"Import",Database!$E:$E,$B48,Database!$C:$C,BM$1,Database!$F:$F,"Total")</f>
        <v>0</v>
      </c>
      <c r="BN48" s="137">
        <f>SUMIFS(Database!$G:$G,Database!$D:$D,"Import",Database!$E:$E,$B48,Database!$C:$C,BN$1,Database!$F:$F,"Total")</f>
        <v>5687</v>
      </c>
      <c r="BO48" s="137">
        <f>SUMIFS(Database!$G:$G,Database!$D:$D,"Import",Database!$E:$E,$B48,Database!$C:$C,BO$1,Database!$F:$F,"Total")</f>
        <v>0</v>
      </c>
      <c r="BP48" s="137">
        <f>SUMIFS(Database!$G:$G,Database!$D:$D,"Import",Database!$E:$E,$B48,Database!$C:$C,BP$1,Database!$F:$F,"Total")</f>
        <v>7838</v>
      </c>
      <c r="BQ48" s="137">
        <f>SUMIFS(Database!$G:$G,Database!$D:$D,"Import",Database!$E:$E,$B48,Database!$C:$C,BQ$1,Database!$F:$F,"Total")</f>
        <v>7066</v>
      </c>
      <c r="BR48" s="137">
        <f>SUMIFS(Database!$G:$G,Database!$D:$D,"Import",Database!$E:$E,$B48,Database!$C:$C,BR$1,Database!$F:$F,"Total")</f>
        <v>7685</v>
      </c>
      <c r="BS48" s="137">
        <f>SUMIFS(Database!$G:$G,Database!$D:$D,"Import",Database!$E:$E,$B48,Database!$C:$C,BS$1,Database!$F:$F,"Total")</f>
        <v>8691</v>
      </c>
      <c r="BT48" s="137">
        <f>SUMIFS(Database!$G:$G,Database!$D:$D,"Import",Database!$E:$E,$B48,Database!$C:$C,BT$1,Database!$F:$F,"Total")</f>
        <v>9387</v>
      </c>
      <c r="BU48" s="137">
        <f>SUMIFS(Database!$G:$G,Database!$D:$D,"Import",Database!$E:$E,$B48,Database!$C:$C,BU$1,Database!$F:$F,"Total")</f>
        <v>18933</v>
      </c>
      <c r="BV48" s="137">
        <f>SUMIFS(Database!$G:$G,Database!$D:$D,"Import",Database!$E:$E,$B48,Database!$C:$C,BV$1,Database!$F:$F,"Total")</f>
        <v>0</v>
      </c>
      <c r="BW48" s="137">
        <f>SUMIFS(Database!$G:$G,Database!$D:$D,"Import",Database!$E:$E,$B48,Database!$C:$C,BW$1,Database!$F:$F,"Total")</f>
        <v>0</v>
      </c>
      <c r="BX48" s="137">
        <f>SUMIFS(Database!$G:$G,Database!$D:$D,"Import",Database!$E:$E,$B48,Database!$C:$C,BX$1,Database!$F:$F,"Total")</f>
        <v>0</v>
      </c>
      <c r="BY48" s="137">
        <f>SUMIFS(Database!$G:$G,Database!$D:$D,"Import",Database!$E:$E,$B48,Database!$C:$C,BY$1,Database!$F:$F,"Total")</f>
        <v>0</v>
      </c>
      <c r="BZ48" s="137">
        <f>SUMIFS(Database!$G:$G,Database!$D:$D,"Import",Database!$E:$E,$B48,Database!$C:$C,BZ$1,Database!$F:$F,"Total")</f>
        <v>0</v>
      </c>
      <c r="CA48" s="137">
        <f>SUMIFS(Database!$G:$G,Database!$D:$D,"Import",Database!$E:$E,$B48,Database!$C:$C,CA$1,Database!$F:$F,"Total")</f>
        <v>0</v>
      </c>
      <c r="CB48" s="137">
        <f>SUMIFS(Database!$G:$G,Database!$D:$D,"Import",Database!$E:$E,$B48,Database!$C:$C,CB$1,Database!$F:$F,"Total")</f>
        <v>0</v>
      </c>
      <c r="CC48" s="137">
        <f>SUMIFS(Database!$G:$G,Database!$D:$D,"Import",Database!$E:$E,$B48,Database!$C:$C,CC$1,Database!$F:$F,"Total")</f>
        <v>0</v>
      </c>
      <c r="CD48" s="137">
        <f>SUMIFS(Database!$G:$G,Database!$D:$D,"Import",Database!$E:$E,$B48,Database!$C:$C,CD$1,Database!$F:$F,"Total")</f>
        <v>0</v>
      </c>
      <c r="CE48" s="137">
        <f>SUMIFS(Database!$G:$G,Database!$D:$D,"Import",Database!$E:$E,$B48,Database!$C:$C,CE$1,Database!$F:$F,"Total")</f>
        <v>0</v>
      </c>
      <c r="CF48" s="137">
        <f>SUMIFS(Database!$G:$G,Database!$D:$D,"Import",Database!$E:$E,$B48,Database!$C:$C,CF$1,Database!$F:$F,"Total")</f>
        <v>0</v>
      </c>
      <c r="CG48" s="137">
        <f>SUMIFS(Database!$G:$G,Database!$D:$D,"Import",Database!$E:$E,$B48,Database!$C:$C,CG$1,Database!$F:$F,"Total")</f>
        <v>0</v>
      </c>
      <c r="CH48" s="137">
        <f>SUMIFS(Database!$G:$G,Database!$D:$D,"Import",Database!$E:$E,$B48,Database!$C:$C,CH$1,Database!$F:$F,"Total")</f>
        <v>0</v>
      </c>
      <c r="CI48" s="137">
        <f>SUMIFS(Database!$G:$G,Database!$D:$D,"Import",Database!$E:$E,$B48,Database!$C:$C,CI$1,Database!$F:$F,"Total")</f>
        <v>0</v>
      </c>
      <c r="CJ48" s="137">
        <f>SUMIFS(Database!$G:$G,Database!$D:$D,"Import",Database!$E:$E,$B48,Database!$C:$C,CJ$1,Database!$F:$F,"Total")</f>
        <v>0</v>
      </c>
      <c r="CK48" s="137">
        <f>SUMIFS(Database!$G:$G,Database!$D:$D,"Import",Database!$E:$E,$B48,Database!$C:$C,CK$1,Database!$F:$F,"Total")</f>
        <v>0</v>
      </c>
      <c r="CL48" s="137">
        <f>SUMIFS(Database!$G:$G,Database!$D:$D,"Import",Database!$E:$E,$B48,Database!$C:$C,CL$1,Database!$F:$F,"Total")</f>
        <v>0</v>
      </c>
      <c r="CM48" s="137">
        <f>SUMIFS(Database!$G:$G,Database!$D:$D,"Import",Database!$E:$E,$B48,Database!$C:$C,CM$1,Database!$F:$F,"Total")</f>
        <v>0</v>
      </c>
      <c r="CN48" s="137">
        <f>SUMIFS(Database!$G:$G,Database!$D:$D,"Import",Database!$E:$E,$B48,Database!$C:$C,CN$1,Database!$F:$F,"Total")</f>
        <v>0</v>
      </c>
      <c r="CO48" s="137">
        <f>SUMIFS(Database!$G:$G,Database!$D:$D,"Import",Database!$E:$E,$B48,Database!$C:$C,CO$1,Database!$F:$F,"Total")</f>
        <v>0</v>
      </c>
      <c r="CP48" s="137">
        <f>SUMIFS(Database!$G:$G,Database!$D:$D,"Import",Database!$E:$E,$B48,Database!$C:$C,CP$1,Database!$F:$F,"Total")</f>
        <v>0</v>
      </c>
      <c r="CQ48" s="137">
        <f>SUMIFS(Database!$G:$G,Database!$D:$D,"Import",Database!$E:$E,$B48,Database!$C:$C,CQ$1,Database!$F:$F,"Total")</f>
        <v>0</v>
      </c>
      <c r="CR48" s="137">
        <f>SUMIFS(Database!$G:$G,Database!$D:$D,"Import",Database!$E:$E,$B48,Database!$C:$C,CR$1,Database!$F:$F,"Total")</f>
        <v>0</v>
      </c>
      <c r="CS48" s="137">
        <f>SUMIFS(Database!$G:$G,Database!$D:$D,"Import",Database!$E:$E,$B48,Database!$C:$C,CS$1,Database!$F:$F,"Total")</f>
        <v>0</v>
      </c>
      <c r="CT48" s="137">
        <f>SUMIFS(Database!$G:$G,Database!$D:$D,"Import",Database!$E:$E,$B48,Database!$C:$C,CT$1,Database!$F:$F,"Total")</f>
        <v>0</v>
      </c>
      <c r="CU48" s="137">
        <f>SUMIFS(Database!$G:$G,Database!$D:$D,"Import",Database!$E:$E,$B48,Database!$C:$C,CU$1,Database!$F:$F,"Total")</f>
        <v>0</v>
      </c>
    </row>
    <row r="49" spans="1:99" x14ac:dyDescent="0.25">
      <c r="A49" s="132" t="s">
        <v>484</v>
      </c>
      <c r="B49" s="133" t="s">
        <v>573</v>
      </c>
      <c r="C49" s="137">
        <f>SUMIFS(Database!$G:$G,Database!$D:$D,"Import",Database!$E:$E,$B49,Database!$C:$C,C$1,Database!$F:$F,"Total")</f>
        <v>0</v>
      </c>
      <c r="D49" s="137">
        <f>SUMIFS(Database!$G:$G,Database!$D:$D,"Import",Database!$E:$E,$B49,Database!$C:$C,D$1,Database!$F:$F,"Total")</f>
        <v>0</v>
      </c>
      <c r="E49" s="137">
        <f>SUMIFS(Database!$G:$G,Database!$D:$D,"Import",Database!$E:$E,$B49,Database!$C:$C,E$1,Database!$F:$F,"Total")</f>
        <v>0</v>
      </c>
      <c r="F49" s="137">
        <f>SUMIFS(Database!$G:$G,Database!$D:$D,"Import",Database!$E:$E,$B49,Database!$C:$C,F$1,Database!$F:$F,"Total")</f>
        <v>0</v>
      </c>
      <c r="G49" s="137">
        <f>SUMIFS(Database!$G:$G,Database!$D:$D,"Import",Database!$E:$E,$B49,Database!$C:$C,G$1,Database!$F:$F,"Total")</f>
        <v>0</v>
      </c>
      <c r="H49" s="137">
        <f>SUMIFS(Database!$G:$G,Database!$D:$D,"Import",Database!$E:$E,$B49,Database!$C:$C,H$1,Database!$F:$F,"Total")</f>
        <v>0</v>
      </c>
      <c r="I49" s="137">
        <f>SUMIFS(Database!$G:$G,Database!$D:$D,"Import",Database!$E:$E,$B49,Database!$C:$C,I$1,Database!$F:$F,"Total")</f>
        <v>0</v>
      </c>
      <c r="J49" s="137">
        <f>SUMIFS(Database!$G:$G,Database!$D:$D,"Import",Database!$E:$E,$B49,Database!$C:$C,J$1,Database!$F:$F,"Total")</f>
        <v>0</v>
      </c>
      <c r="K49" s="137">
        <f>SUMIFS(Database!$G:$G,Database!$D:$D,"Import",Database!$E:$E,$B49,Database!$C:$C,K$1,Database!$F:$F,"Total")</f>
        <v>0</v>
      </c>
      <c r="L49" s="137">
        <f>SUMIFS(Database!$G:$G,Database!$D:$D,"Import",Database!$E:$E,$B49,Database!$C:$C,L$1,Database!$F:$F,"Total")</f>
        <v>0</v>
      </c>
      <c r="M49" s="137">
        <f>SUMIFS(Database!$G:$G,Database!$D:$D,"Import",Database!$E:$E,$B49,Database!$C:$C,M$1,Database!$F:$F,"Total")</f>
        <v>0</v>
      </c>
      <c r="N49" s="137">
        <f>SUMIFS(Database!$G:$G,Database!$D:$D,"Import",Database!$E:$E,$B49,Database!$C:$C,N$1,Database!$F:$F,"Total")</f>
        <v>0</v>
      </c>
      <c r="O49" s="137">
        <f>SUMIFS(Database!$G:$G,Database!$D:$D,"Import",Database!$E:$E,$B49,Database!$C:$C,O$1,Database!$F:$F,"Total")</f>
        <v>0</v>
      </c>
      <c r="P49" s="137">
        <f>SUMIFS(Database!$G:$G,Database!$D:$D,"Import",Database!$E:$E,$B49,Database!$C:$C,P$1,Database!$F:$F,"Total")</f>
        <v>0</v>
      </c>
      <c r="Q49" s="137">
        <f>SUMIFS(Database!$G:$G,Database!$D:$D,"Import",Database!$E:$E,$B49,Database!$C:$C,Q$1,Database!$F:$F,"Total")</f>
        <v>0</v>
      </c>
      <c r="R49" s="137">
        <f>SUMIFS(Database!$G:$G,Database!$D:$D,"Import",Database!$E:$E,$B49,Database!$C:$C,R$1,Database!$F:$F,"Total")</f>
        <v>0</v>
      </c>
      <c r="S49" s="137">
        <f>SUMIFS(Database!$G:$G,Database!$D:$D,"Import",Database!$E:$E,$B49,Database!$C:$C,S$1,Database!$F:$F,"Total")</f>
        <v>0</v>
      </c>
      <c r="T49" s="137">
        <f>SUMIFS(Database!$G:$G,Database!$D:$D,"Import",Database!$E:$E,$B49,Database!$C:$C,T$1,Database!$F:$F,"Total")</f>
        <v>0</v>
      </c>
      <c r="U49" s="137">
        <f>SUMIFS(Database!$G:$G,Database!$D:$D,"Import",Database!$E:$E,$B49,Database!$C:$C,U$1,Database!$F:$F,"Total")</f>
        <v>0</v>
      </c>
      <c r="V49" s="137">
        <f>SUMIFS(Database!$G:$G,Database!$D:$D,"Import",Database!$E:$E,$B49,Database!$C:$C,V$1,Database!$F:$F,"Total")</f>
        <v>0</v>
      </c>
      <c r="W49" s="137">
        <f>SUMIFS(Database!$G:$G,Database!$D:$D,"Import",Database!$E:$E,$B49,Database!$C:$C,W$1,Database!$F:$F,"Total")</f>
        <v>0</v>
      </c>
      <c r="X49" s="137">
        <f>SUMIFS(Database!$G:$G,Database!$D:$D,"Import",Database!$E:$E,$B49,Database!$C:$C,X$1,Database!$F:$F,"Total")</f>
        <v>0</v>
      </c>
      <c r="Y49" s="137">
        <f>SUMIFS(Database!$G:$G,Database!$D:$D,"Import",Database!$E:$E,$B49,Database!$C:$C,Y$1,Database!$F:$F,"Total")</f>
        <v>0</v>
      </c>
      <c r="Z49" s="137">
        <f>SUMIFS(Database!$G:$G,Database!$D:$D,"Import",Database!$E:$E,$B49,Database!$C:$C,Z$1,Database!$F:$F,"Total")</f>
        <v>0</v>
      </c>
      <c r="AA49" s="137">
        <f>SUMIFS(Database!$G:$G,Database!$D:$D,"Import",Database!$E:$E,$B49,Database!$C:$C,AA$1,Database!$F:$F,"Total")</f>
        <v>0</v>
      </c>
      <c r="AB49" s="137">
        <f>SUMIFS(Database!$G:$G,Database!$D:$D,"Import",Database!$E:$E,$B49,Database!$C:$C,AB$1,Database!$F:$F,"Total")</f>
        <v>0</v>
      </c>
      <c r="AC49" s="137">
        <f>SUMIFS(Database!$G:$G,Database!$D:$D,"Import",Database!$E:$E,$B49,Database!$C:$C,AC$1,Database!$F:$F,"Total")</f>
        <v>0</v>
      </c>
      <c r="AD49" s="137">
        <f>SUMIFS(Database!$G:$G,Database!$D:$D,"Import",Database!$E:$E,$B49,Database!$C:$C,AD$1,Database!$F:$F,"Total")</f>
        <v>0</v>
      </c>
      <c r="AE49" s="137">
        <f>SUMIFS(Database!$G:$G,Database!$D:$D,"Import",Database!$E:$E,$B49,Database!$C:$C,AE$1,Database!$F:$F,"Total")</f>
        <v>0</v>
      </c>
      <c r="AF49" s="137">
        <f>SUMIFS(Database!$G:$G,Database!$D:$D,"Import",Database!$E:$E,$B49,Database!$C:$C,AF$1,Database!$F:$F,"Total")</f>
        <v>0</v>
      </c>
      <c r="AG49" s="137">
        <f>SUMIFS(Database!$G:$G,Database!$D:$D,"Import",Database!$E:$E,$B49,Database!$C:$C,AG$1,Database!$F:$F,"Total")</f>
        <v>0</v>
      </c>
      <c r="AH49" s="137">
        <f>SUMIFS(Database!$G:$G,Database!$D:$D,"Import",Database!$E:$E,$B49,Database!$C:$C,AH$1,Database!$F:$F,"Total")</f>
        <v>0</v>
      </c>
      <c r="AI49" s="137">
        <f>SUMIFS(Database!$G:$G,Database!$D:$D,"Import",Database!$E:$E,$B49,Database!$C:$C,AI$1,Database!$F:$F,"Total")</f>
        <v>0</v>
      </c>
      <c r="AJ49" s="137">
        <f>SUMIFS(Database!$G:$G,Database!$D:$D,"Import",Database!$E:$E,$B49,Database!$C:$C,AJ$1,Database!$F:$F,"Total")</f>
        <v>268</v>
      </c>
      <c r="AK49" s="137">
        <f>SUMIFS(Database!$G:$G,Database!$D:$D,"Import",Database!$E:$E,$B49,Database!$C:$C,AK$1,Database!$F:$F,"Total")</f>
        <v>59</v>
      </c>
      <c r="AL49" s="137">
        <f>SUMIFS(Database!$G:$G,Database!$D:$D,"Import",Database!$E:$E,$B49,Database!$C:$C,AL$1,Database!$F:$F,"Total")</f>
        <v>267</v>
      </c>
      <c r="AM49" s="137">
        <f>SUMIFS(Database!$G:$G,Database!$D:$D,"Import",Database!$E:$E,$B49,Database!$C:$C,AM$1,Database!$F:$F,"Total")</f>
        <v>183</v>
      </c>
      <c r="AN49" s="137">
        <f>SUMIFS(Database!$G:$G,Database!$D:$D,"Import",Database!$E:$E,$B49,Database!$C:$C,AN$1,Database!$F:$F,"Total")</f>
        <v>769</v>
      </c>
      <c r="AO49" s="137">
        <f>SUMIFS(Database!$G:$G,Database!$D:$D,"Import",Database!$E:$E,$B49,Database!$C:$C,AO$1,Database!$F:$F,"Total")</f>
        <v>8724</v>
      </c>
      <c r="AP49" s="137">
        <f>SUMIFS(Database!$G:$G,Database!$D:$D,"Import",Database!$E:$E,$B49,Database!$C:$C,AP$1,Database!$F:$F,"Total")</f>
        <v>1218</v>
      </c>
      <c r="AQ49" s="137">
        <f>SUMIFS(Database!$G:$G,Database!$D:$D,"Import",Database!$E:$E,$B49,Database!$C:$C,AQ$1,Database!$F:$F,"Total")</f>
        <v>2890</v>
      </c>
      <c r="AR49" s="137">
        <f>SUMIFS(Database!$G:$G,Database!$D:$D,"Import",Database!$E:$E,$B49,Database!$C:$C,AR$1,Database!$F:$F,"Total")</f>
        <v>20147</v>
      </c>
      <c r="AS49" s="137">
        <f>SUMIFS(Database!$G:$G,Database!$D:$D,"Import",Database!$E:$E,$B49,Database!$C:$C,AS$1,Database!$F:$F,"Total")</f>
        <v>1376</v>
      </c>
      <c r="AT49" s="137">
        <f>SUMIFS(Database!$G:$G,Database!$D:$D,"Import",Database!$E:$E,$B49,Database!$C:$C,AT$1,Database!$F:$F,"Total")</f>
        <v>440</v>
      </c>
      <c r="AU49" s="137">
        <f>SUMIFS(Database!$G:$G,Database!$D:$D,"Import",Database!$E:$E,$B49,Database!$C:$C,AU$1,Database!$F:$F,"Total")</f>
        <v>93</v>
      </c>
      <c r="AV49" s="137">
        <f>SUMIFS(Database!$G:$G,Database!$D:$D,"Import",Database!$E:$E,$B49,Database!$C:$C,AV$1,Database!$F:$F,"Total")</f>
        <v>4</v>
      </c>
      <c r="AW49" s="137">
        <f>SUMIFS(Database!$G:$G,Database!$D:$D,"Import",Database!$E:$E,$B49,Database!$C:$C,AW$1,Database!$F:$F,"Total")</f>
        <v>0</v>
      </c>
      <c r="AX49" s="137">
        <f>SUMIFS(Database!$G:$G,Database!$D:$D,"Import",Database!$E:$E,$B49,Database!$C:$C,AX$1,Database!$F:$F,"Total")</f>
        <v>778</v>
      </c>
      <c r="AY49" s="137">
        <f>SUMIFS(Database!$G:$G,Database!$D:$D,"Import",Database!$E:$E,$B49,Database!$C:$C,AY$1,Database!$F:$F,"Total")</f>
        <v>567</v>
      </c>
      <c r="AZ49" s="137">
        <f>SUMIFS(Database!$G:$G,Database!$D:$D,"Import",Database!$E:$E,$B49,Database!$C:$C,AZ$1,Database!$F:$F,"Total")</f>
        <v>344</v>
      </c>
      <c r="BA49" s="137">
        <f>SUMIFS(Database!$G:$G,Database!$D:$D,"Import",Database!$E:$E,$B49,Database!$C:$C,BA$1,Database!$F:$F,"Total")</f>
        <v>0</v>
      </c>
      <c r="BB49" s="137">
        <f>SUMIFS(Database!$G:$G,Database!$D:$D,"Import",Database!$E:$E,$B49,Database!$C:$C,BB$1,Database!$F:$F,"Total")</f>
        <v>0</v>
      </c>
      <c r="BC49" s="137">
        <f>SUMIFS(Database!$G:$G,Database!$D:$D,"Import",Database!$E:$E,$B49,Database!$C:$C,BC$1,Database!$F:$F,"Total")</f>
        <v>0</v>
      </c>
      <c r="BD49" s="137">
        <f>SUMIFS(Database!$G:$G,Database!$D:$D,"Import",Database!$E:$E,$B49,Database!$C:$C,BD$1,Database!$F:$F,"Total")</f>
        <v>0</v>
      </c>
      <c r="BE49" s="137">
        <f>SUMIFS(Database!$G:$G,Database!$D:$D,"Import",Database!$E:$E,$B49,Database!$C:$C,BE$1,Database!$F:$F,"Total")</f>
        <v>0</v>
      </c>
      <c r="BF49" s="137">
        <f>SUMIFS(Database!$G:$G,Database!$D:$D,"Import",Database!$E:$E,$B49,Database!$C:$C,BF$1,Database!$F:$F,"Total")</f>
        <v>0</v>
      </c>
      <c r="BG49" s="137">
        <f>SUMIFS(Database!$G:$G,Database!$D:$D,"Import",Database!$E:$E,$B49,Database!$C:$C,BG$1,Database!$F:$F,"Total")</f>
        <v>0</v>
      </c>
      <c r="BH49" s="137">
        <f>SUMIFS(Database!$G:$G,Database!$D:$D,"Import",Database!$E:$E,$B49,Database!$C:$C,BH$1,Database!$F:$F,"Total")</f>
        <v>0</v>
      </c>
      <c r="BI49" s="137">
        <f>SUMIFS(Database!$G:$G,Database!$D:$D,"Import",Database!$E:$E,$B49,Database!$C:$C,BI$1,Database!$F:$F,"Total")</f>
        <v>0</v>
      </c>
      <c r="BJ49" s="137">
        <f>SUMIFS(Database!$G:$G,Database!$D:$D,"Import",Database!$E:$E,$B49,Database!$C:$C,BJ$1,Database!$F:$F,"Total")</f>
        <v>384874</v>
      </c>
      <c r="BK49" s="137">
        <f>SUMIFS(Database!$G:$G,Database!$D:$D,"Import",Database!$E:$E,$B49,Database!$C:$C,BK$1,Database!$F:$F,"Total")</f>
        <v>1455329</v>
      </c>
      <c r="BL49" s="137">
        <f>SUMIFS(Database!$G:$G,Database!$D:$D,"Import",Database!$E:$E,$B49,Database!$C:$C,BL$1,Database!$F:$F,"Total")</f>
        <v>0</v>
      </c>
      <c r="BM49" s="137">
        <f>SUMIFS(Database!$G:$G,Database!$D:$D,"Import",Database!$E:$E,$B49,Database!$C:$C,BM$1,Database!$F:$F,"Total")</f>
        <v>0</v>
      </c>
      <c r="BN49" s="137">
        <f>SUMIFS(Database!$G:$G,Database!$D:$D,"Import",Database!$E:$E,$B49,Database!$C:$C,BN$1,Database!$F:$F,"Total")</f>
        <v>0</v>
      </c>
      <c r="BO49" s="137">
        <f>SUMIFS(Database!$G:$G,Database!$D:$D,"Import",Database!$E:$E,$B49,Database!$C:$C,BO$1,Database!$F:$F,"Total")</f>
        <v>0</v>
      </c>
      <c r="BP49" s="137">
        <f>SUMIFS(Database!$G:$G,Database!$D:$D,"Import",Database!$E:$E,$B49,Database!$C:$C,BP$1,Database!$F:$F,"Total")</f>
        <v>0</v>
      </c>
      <c r="BQ49" s="137">
        <f>SUMIFS(Database!$G:$G,Database!$D:$D,"Import",Database!$E:$E,$B49,Database!$C:$C,BQ$1,Database!$F:$F,"Total")</f>
        <v>0</v>
      </c>
      <c r="BR49" s="137">
        <f>SUMIFS(Database!$G:$G,Database!$D:$D,"Import",Database!$E:$E,$B49,Database!$C:$C,BR$1,Database!$F:$F,"Total")</f>
        <v>0</v>
      </c>
      <c r="BS49" s="137">
        <f>SUMIFS(Database!$G:$G,Database!$D:$D,"Import",Database!$E:$E,$B49,Database!$C:$C,BS$1,Database!$F:$F,"Total")</f>
        <v>0</v>
      </c>
      <c r="BT49" s="137">
        <f>SUMIFS(Database!$G:$G,Database!$D:$D,"Import",Database!$E:$E,$B49,Database!$C:$C,BT$1,Database!$F:$F,"Total")</f>
        <v>0</v>
      </c>
      <c r="BU49" s="137">
        <f>SUMIFS(Database!$G:$G,Database!$D:$D,"Import",Database!$E:$E,$B49,Database!$C:$C,BU$1,Database!$F:$F,"Total")</f>
        <v>0</v>
      </c>
      <c r="BV49" s="137">
        <f>SUMIFS(Database!$G:$G,Database!$D:$D,"Import",Database!$E:$E,$B49,Database!$C:$C,BV$1,Database!$F:$F,"Total")</f>
        <v>0</v>
      </c>
      <c r="BW49" s="137">
        <f>SUMIFS(Database!$G:$G,Database!$D:$D,"Import",Database!$E:$E,$B49,Database!$C:$C,BW$1,Database!$F:$F,"Total")</f>
        <v>0</v>
      </c>
      <c r="BX49" s="137">
        <f>SUMIFS(Database!$G:$G,Database!$D:$D,"Import",Database!$E:$E,$B49,Database!$C:$C,BX$1,Database!$F:$F,"Total")</f>
        <v>0</v>
      </c>
      <c r="BY49" s="137">
        <f>SUMIFS(Database!$G:$G,Database!$D:$D,"Import",Database!$E:$E,$B49,Database!$C:$C,BY$1,Database!$F:$F,"Total")</f>
        <v>0</v>
      </c>
      <c r="BZ49" s="137">
        <f>SUMIFS(Database!$G:$G,Database!$D:$D,"Import",Database!$E:$E,$B49,Database!$C:$C,BZ$1,Database!$F:$F,"Total")</f>
        <v>0</v>
      </c>
      <c r="CA49" s="137">
        <f>SUMIFS(Database!$G:$G,Database!$D:$D,"Import",Database!$E:$E,$B49,Database!$C:$C,CA$1,Database!$F:$F,"Total")</f>
        <v>0</v>
      </c>
      <c r="CB49" s="137">
        <f>SUMIFS(Database!$G:$G,Database!$D:$D,"Import",Database!$E:$E,$B49,Database!$C:$C,CB$1,Database!$F:$F,"Total")</f>
        <v>0</v>
      </c>
      <c r="CC49" s="137">
        <f>SUMIFS(Database!$G:$G,Database!$D:$D,"Import",Database!$E:$E,$B49,Database!$C:$C,CC$1,Database!$F:$F,"Total")</f>
        <v>0</v>
      </c>
      <c r="CD49" s="137">
        <f>SUMIFS(Database!$G:$G,Database!$D:$D,"Import",Database!$E:$E,$B49,Database!$C:$C,CD$1,Database!$F:$F,"Total")</f>
        <v>0</v>
      </c>
      <c r="CE49" s="137">
        <f>SUMIFS(Database!$G:$G,Database!$D:$D,"Import",Database!$E:$E,$B49,Database!$C:$C,CE$1,Database!$F:$F,"Total")</f>
        <v>0</v>
      </c>
      <c r="CF49" s="137">
        <f>SUMIFS(Database!$G:$G,Database!$D:$D,"Import",Database!$E:$E,$B49,Database!$C:$C,CF$1,Database!$F:$F,"Total")</f>
        <v>0</v>
      </c>
      <c r="CG49" s="137">
        <f>SUMIFS(Database!$G:$G,Database!$D:$D,"Import",Database!$E:$E,$B49,Database!$C:$C,CG$1,Database!$F:$F,"Total")</f>
        <v>0</v>
      </c>
      <c r="CH49" s="137">
        <f>SUMIFS(Database!$G:$G,Database!$D:$D,"Import",Database!$E:$E,$B49,Database!$C:$C,CH$1,Database!$F:$F,"Total")</f>
        <v>0</v>
      </c>
      <c r="CI49" s="137">
        <f>SUMIFS(Database!$G:$G,Database!$D:$D,"Import",Database!$E:$E,$B49,Database!$C:$C,CI$1,Database!$F:$F,"Total")</f>
        <v>0</v>
      </c>
      <c r="CJ49" s="137">
        <f>SUMIFS(Database!$G:$G,Database!$D:$D,"Import",Database!$E:$E,$B49,Database!$C:$C,CJ$1,Database!$F:$F,"Total")</f>
        <v>0</v>
      </c>
      <c r="CK49" s="137">
        <f>SUMIFS(Database!$G:$G,Database!$D:$D,"Import",Database!$E:$E,$B49,Database!$C:$C,CK$1,Database!$F:$F,"Total")</f>
        <v>0</v>
      </c>
      <c r="CL49" s="137">
        <f>SUMIFS(Database!$G:$G,Database!$D:$D,"Import",Database!$E:$E,$B49,Database!$C:$C,CL$1,Database!$F:$F,"Total")</f>
        <v>0</v>
      </c>
      <c r="CM49" s="137">
        <f>SUMIFS(Database!$G:$G,Database!$D:$D,"Import",Database!$E:$E,$B49,Database!$C:$C,CM$1,Database!$F:$F,"Total")</f>
        <v>0</v>
      </c>
      <c r="CN49" s="137">
        <f>SUMIFS(Database!$G:$G,Database!$D:$D,"Import",Database!$E:$E,$B49,Database!$C:$C,CN$1,Database!$F:$F,"Total")</f>
        <v>0</v>
      </c>
      <c r="CO49" s="137">
        <f>SUMIFS(Database!$G:$G,Database!$D:$D,"Import",Database!$E:$E,$B49,Database!$C:$C,CO$1,Database!$F:$F,"Total")</f>
        <v>0</v>
      </c>
      <c r="CP49" s="137">
        <f>SUMIFS(Database!$G:$G,Database!$D:$D,"Import",Database!$E:$E,$B49,Database!$C:$C,CP$1,Database!$F:$F,"Total")</f>
        <v>0</v>
      </c>
      <c r="CQ49" s="137">
        <f>SUMIFS(Database!$G:$G,Database!$D:$D,"Import",Database!$E:$E,$B49,Database!$C:$C,CQ$1,Database!$F:$F,"Total")</f>
        <v>0</v>
      </c>
      <c r="CR49" s="137">
        <f>SUMIFS(Database!$G:$G,Database!$D:$D,"Import",Database!$E:$E,$B49,Database!$C:$C,CR$1,Database!$F:$F,"Total")</f>
        <v>0</v>
      </c>
      <c r="CS49" s="137">
        <f>SUMIFS(Database!$G:$G,Database!$D:$D,"Import",Database!$E:$E,$B49,Database!$C:$C,CS$1,Database!$F:$F,"Total")</f>
        <v>0</v>
      </c>
      <c r="CT49" s="137">
        <f>SUMIFS(Database!$G:$G,Database!$D:$D,"Import",Database!$E:$E,$B49,Database!$C:$C,CT$1,Database!$F:$F,"Total")</f>
        <v>0</v>
      </c>
      <c r="CU49" s="137">
        <f>SUMIFS(Database!$G:$G,Database!$D:$D,"Import",Database!$E:$E,$B49,Database!$C:$C,CU$1,Database!$F:$F,"Total")</f>
        <v>0</v>
      </c>
    </row>
    <row r="50" spans="1:99" x14ac:dyDescent="0.25">
      <c r="A50" s="132" t="s">
        <v>484</v>
      </c>
      <c r="B50" s="133" t="s">
        <v>62</v>
      </c>
      <c r="C50" s="137">
        <f>SUMIFS(Database!$G:$G,Database!$D:$D,"Import",Database!$E:$E,$B50,Database!$C:$C,C$1,Database!$F:$F,"Total")</f>
        <v>0</v>
      </c>
      <c r="D50" s="137">
        <f>SUMIFS(Database!$G:$G,Database!$D:$D,"Import",Database!$E:$E,$B50,Database!$C:$C,D$1,Database!$F:$F,"Total")</f>
        <v>0</v>
      </c>
      <c r="E50" s="137">
        <f>SUMIFS(Database!$G:$G,Database!$D:$D,"Import",Database!$E:$E,$B50,Database!$C:$C,E$1,Database!$F:$F,"Total")</f>
        <v>0</v>
      </c>
      <c r="F50" s="137">
        <f>SUMIFS(Database!$G:$G,Database!$D:$D,"Import",Database!$E:$E,$B50,Database!$C:$C,F$1,Database!$F:$F,"Total")</f>
        <v>0</v>
      </c>
      <c r="G50" s="137">
        <f>SUMIFS(Database!$G:$G,Database!$D:$D,"Import",Database!$E:$E,$B50,Database!$C:$C,G$1,Database!$F:$F,"Total")</f>
        <v>0</v>
      </c>
      <c r="H50" s="137">
        <f>SUMIFS(Database!$G:$G,Database!$D:$D,"Import",Database!$E:$E,$B50,Database!$C:$C,H$1,Database!$F:$F,"Total")</f>
        <v>0</v>
      </c>
      <c r="I50" s="137">
        <f>SUMIFS(Database!$G:$G,Database!$D:$D,"Import",Database!$E:$E,$B50,Database!$C:$C,I$1,Database!$F:$F,"Total")</f>
        <v>0</v>
      </c>
      <c r="J50" s="137">
        <f>SUMIFS(Database!$G:$G,Database!$D:$D,"Import",Database!$E:$E,$B50,Database!$C:$C,J$1,Database!$F:$F,"Total")</f>
        <v>0</v>
      </c>
      <c r="K50" s="137">
        <f>SUMIFS(Database!$G:$G,Database!$D:$D,"Import",Database!$E:$E,$B50,Database!$C:$C,K$1,Database!$F:$F,"Total")</f>
        <v>0</v>
      </c>
      <c r="L50" s="137">
        <f>SUMIFS(Database!$G:$G,Database!$D:$D,"Import",Database!$E:$E,$B50,Database!$C:$C,L$1,Database!$F:$F,"Total")</f>
        <v>0</v>
      </c>
      <c r="M50" s="137">
        <f>SUMIFS(Database!$G:$G,Database!$D:$D,"Import",Database!$E:$E,$B50,Database!$C:$C,M$1,Database!$F:$F,"Total")</f>
        <v>0</v>
      </c>
      <c r="N50" s="137">
        <f>SUMIFS(Database!$G:$G,Database!$D:$D,"Import",Database!$E:$E,$B50,Database!$C:$C,N$1,Database!$F:$F,"Total")</f>
        <v>0</v>
      </c>
      <c r="O50" s="137">
        <f>SUMIFS(Database!$G:$G,Database!$D:$D,"Import",Database!$E:$E,$B50,Database!$C:$C,O$1,Database!$F:$F,"Total")</f>
        <v>0</v>
      </c>
      <c r="P50" s="137">
        <f>SUMIFS(Database!$G:$G,Database!$D:$D,"Import",Database!$E:$E,$B50,Database!$C:$C,P$1,Database!$F:$F,"Total")</f>
        <v>0</v>
      </c>
      <c r="Q50" s="137">
        <f>SUMIFS(Database!$G:$G,Database!$D:$D,"Import",Database!$E:$E,$B50,Database!$C:$C,Q$1,Database!$F:$F,"Total")</f>
        <v>0</v>
      </c>
      <c r="R50" s="137">
        <f>SUMIFS(Database!$G:$G,Database!$D:$D,"Import",Database!$E:$E,$B50,Database!$C:$C,R$1,Database!$F:$F,"Total")</f>
        <v>0</v>
      </c>
      <c r="S50" s="137">
        <f>SUMIFS(Database!$G:$G,Database!$D:$D,"Import",Database!$E:$E,$B50,Database!$C:$C,S$1,Database!$F:$F,"Total")</f>
        <v>0</v>
      </c>
      <c r="T50" s="137">
        <f>SUMIFS(Database!$G:$G,Database!$D:$D,"Import",Database!$E:$E,$B50,Database!$C:$C,T$1,Database!$F:$F,"Total")</f>
        <v>0</v>
      </c>
      <c r="U50" s="137">
        <f>SUMIFS(Database!$G:$G,Database!$D:$D,"Import",Database!$E:$E,$B50,Database!$C:$C,U$1,Database!$F:$F,"Total")</f>
        <v>0</v>
      </c>
      <c r="V50" s="137">
        <f>SUMIFS(Database!$G:$G,Database!$D:$D,"Import",Database!$E:$E,$B50,Database!$C:$C,V$1,Database!$F:$F,"Total")</f>
        <v>0</v>
      </c>
      <c r="W50" s="137">
        <f>SUMIFS(Database!$G:$G,Database!$D:$D,"Import",Database!$E:$E,$B50,Database!$C:$C,W$1,Database!$F:$F,"Total")</f>
        <v>0</v>
      </c>
      <c r="X50" s="137">
        <f>SUMIFS(Database!$G:$G,Database!$D:$D,"Import",Database!$E:$E,$B50,Database!$C:$C,X$1,Database!$F:$F,"Total")</f>
        <v>0</v>
      </c>
      <c r="Y50" s="137">
        <f>SUMIFS(Database!$G:$G,Database!$D:$D,"Import",Database!$E:$E,$B50,Database!$C:$C,Y$1,Database!$F:$F,"Total")</f>
        <v>0</v>
      </c>
      <c r="Z50" s="137">
        <f>SUMIFS(Database!$G:$G,Database!$D:$D,"Import",Database!$E:$E,$B50,Database!$C:$C,Z$1,Database!$F:$F,"Total")</f>
        <v>0</v>
      </c>
      <c r="AA50" s="137">
        <f>SUMIFS(Database!$G:$G,Database!$D:$D,"Import",Database!$E:$E,$B50,Database!$C:$C,AA$1,Database!$F:$F,"Total")</f>
        <v>0</v>
      </c>
      <c r="AB50" s="137">
        <f>SUMIFS(Database!$G:$G,Database!$D:$D,"Import",Database!$E:$E,$B50,Database!$C:$C,AB$1,Database!$F:$F,"Total")</f>
        <v>0</v>
      </c>
      <c r="AC50" s="137">
        <f>SUMIFS(Database!$G:$G,Database!$D:$D,"Import",Database!$E:$E,$B50,Database!$C:$C,AC$1,Database!$F:$F,"Total")</f>
        <v>0</v>
      </c>
      <c r="AD50" s="137">
        <f>SUMIFS(Database!$G:$G,Database!$D:$D,"Import",Database!$E:$E,$B50,Database!$C:$C,AD$1,Database!$F:$F,"Total")</f>
        <v>0</v>
      </c>
      <c r="AE50" s="137">
        <f>SUMIFS(Database!$G:$G,Database!$D:$D,"Import",Database!$E:$E,$B50,Database!$C:$C,AE$1,Database!$F:$F,"Total")</f>
        <v>0</v>
      </c>
      <c r="AF50" s="137">
        <f>SUMIFS(Database!$G:$G,Database!$D:$D,"Import",Database!$E:$E,$B50,Database!$C:$C,AF$1,Database!$F:$F,"Total")</f>
        <v>0</v>
      </c>
      <c r="AG50" s="137">
        <f>SUMIFS(Database!$G:$G,Database!$D:$D,"Import",Database!$E:$E,$B50,Database!$C:$C,AG$1,Database!$F:$F,"Total")</f>
        <v>0</v>
      </c>
      <c r="AH50" s="137">
        <f>SUMIFS(Database!$G:$G,Database!$D:$D,"Import",Database!$E:$E,$B50,Database!$C:$C,AH$1,Database!$F:$F,"Total")</f>
        <v>0</v>
      </c>
      <c r="AI50" s="137">
        <f>SUMIFS(Database!$G:$G,Database!$D:$D,"Import",Database!$E:$E,$B50,Database!$C:$C,AI$1,Database!$F:$F,"Total")</f>
        <v>0</v>
      </c>
      <c r="AJ50" s="137">
        <f>SUMIFS(Database!$G:$G,Database!$D:$D,"Import",Database!$E:$E,$B50,Database!$C:$C,AJ$1,Database!$F:$F,"Total")</f>
        <v>104610</v>
      </c>
      <c r="AK50" s="137">
        <f>SUMIFS(Database!$G:$G,Database!$D:$D,"Import",Database!$E:$E,$B50,Database!$C:$C,AK$1,Database!$F:$F,"Total")</f>
        <v>974</v>
      </c>
      <c r="AL50" s="137">
        <f>SUMIFS(Database!$G:$G,Database!$D:$D,"Import",Database!$E:$E,$B50,Database!$C:$C,AL$1,Database!$F:$F,"Total")</f>
        <v>816</v>
      </c>
      <c r="AM50" s="137">
        <f>SUMIFS(Database!$G:$G,Database!$D:$D,"Import",Database!$E:$E,$B50,Database!$C:$C,AM$1,Database!$F:$F,"Total")</f>
        <v>58</v>
      </c>
      <c r="AN50" s="137">
        <f>SUMIFS(Database!$G:$G,Database!$D:$D,"Import",Database!$E:$E,$B50,Database!$C:$C,AN$1,Database!$F:$F,"Total")</f>
        <v>148</v>
      </c>
      <c r="AO50" s="137">
        <f>SUMIFS(Database!$G:$G,Database!$D:$D,"Import",Database!$E:$E,$B50,Database!$C:$C,AO$1,Database!$F:$F,"Total")</f>
        <v>184</v>
      </c>
      <c r="AP50" s="137">
        <f>SUMIFS(Database!$G:$G,Database!$D:$D,"Import",Database!$E:$E,$B50,Database!$C:$C,AP$1,Database!$F:$F,"Total")</f>
        <v>7025</v>
      </c>
      <c r="AQ50" s="137">
        <f>SUMIFS(Database!$G:$G,Database!$D:$D,"Import",Database!$E:$E,$B50,Database!$C:$C,AQ$1,Database!$F:$F,"Total")</f>
        <v>4876</v>
      </c>
      <c r="AR50" s="137">
        <f>SUMIFS(Database!$G:$G,Database!$D:$D,"Import",Database!$E:$E,$B50,Database!$C:$C,AR$1,Database!$F:$F,"Total")</f>
        <v>0</v>
      </c>
      <c r="AS50" s="137">
        <f>SUMIFS(Database!$G:$G,Database!$D:$D,"Import",Database!$E:$E,$B50,Database!$C:$C,AS$1,Database!$F:$F,"Total")</f>
        <v>0</v>
      </c>
      <c r="AT50" s="137">
        <f>SUMIFS(Database!$G:$G,Database!$D:$D,"Import",Database!$E:$E,$B50,Database!$C:$C,AT$1,Database!$F:$F,"Total")</f>
        <v>37386</v>
      </c>
      <c r="AU50" s="137">
        <f>SUMIFS(Database!$G:$G,Database!$D:$D,"Import",Database!$E:$E,$B50,Database!$C:$C,AU$1,Database!$F:$F,"Total")</f>
        <v>20056</v>
      </c>
      <c r="AV50" s="137">
        <f>SUMIFS(Database!$G:$G,Database!$D:$D,"Import",Database!$E:$E,$B50,Database!$C:$C,AV$1,Database!$F:$F,"Total")</f>
        <v>56450</v>
      </c>
      <c r="AW50" s="137">
        <f>SUMIFS(Database!$G:$G,Database!$D:$D,"Import",Database!$E:$E,$B50,Database!$C:$C,AW$1,Database!$F:$F,"Total")</f>
        <v>72400</v>
      </c>
      <c r="AX50" s="137">
        <f>SUMIFS(Database!$G:$G,Database!$D:$D,"Import",Database!$E:$E,$B50,Database!$C:$C,AX$1,Database!$F:$F,"Total")</f>
        <v>60947</v>
      </c>
      <c r="AY50" s="137">
        <f>SUMIFS(Database!$G:$G,Database!$D:$D,"Import",Database!$E:$E,$B50,Database!$C:$C,AY$1,Database!$F:$F,"Total")</f>
        <v>61802</v>
      </c>
      <c r="AZ50" s="137">
        <f>SUMIFS(Database!$G:$G,Database!$D:$D,"Import",Database!$E:$E,$B50,Database!$C:$C,AZ$1,Database!$F:$F,"Total")</f>
        <v>50856</v>
      </c>
      <c r="BA50" s="137">
        <f>SUMIFS(Database!$G:$G,Database!$D:$D,"Import",Database!$E:$E,$B50,Database!$C:$C,BA$1,Database!$F:$F,"Total")</f>
        <v>62932</v>
      </c>
      <c r="BB50" s="137">
        <f>SUMIFS(Database!$G:$G,Database!$D:$D,"Import",Database!$E:$E,$B50,Database!$C:$C,BB$1,Database!$F:$F,"Total")</f>
        <v>69420</v>
      </c>
      <c r="BC50" s="137">
        <f>SUMIFS(Database!$G:$G,Database!$D:$D,"Import",Database!$E:$E,$B50,Database!$C:$C,BC$1,Database!$F:$F,"Total")</f>
        <v>74378</v>
      </c>
      <c r="BD50" s="137">
        <f>SUMIFS(Database!$G:$G,Database!$D:$D,"Import",Database!$E:$E,$B50,Database!$C:$C,BD$1,Database!$F:$F,"Total")</f>
        <v>70035</v>
      </c>
      <c r="BE50" s="137">
        <f>SUMIFS(Database!$G:$G,Database!$D:$D,"Import",Database!$E:$E,$B50,Database!$C:$C,BE$1,Database!$F:$F,"Total")</f>
        <v>55182</v>
      </c>
      <c r="BF50" s="137">
        <f>SUMIFS(Database!$G:$G,Database!$D:$D,"Import",Database!$E:$E,$B50,Database!$C:$C,BF$1,Database!$F:$F,"Total")</f>
        <v>70063</v>
      </c>
      <c r="BG50" s="137">
        <f>SUMIFS(Database!$G:$G,Database!$D:$D,"Import",Database!$E:$E,$B50,Database!$C:$C,BG$1,Database!$F:$F,"Total")</f>
        <v>65940</v>
      </c>
      <c r="BH50" s="137">
        <f>SUMIFS(Database!$G:$G,Database!$D:$D,"Import",Database!$E:$E,$B50,Database!$C:$C,BH$1,Database!$F:$F,"Total")</f>
        <v>60405</v>
      </c>
      <c r="BI50" s="137">
        <f>SUMIFS(Database!$G:$G,Database!$D:$D,"Import",Database!$E:$E,$B50,Database!$C:$C,BI$1,Database!$F:$F,"Total")</f>
        <v>63229</v>
      </c>
      <c r="BJ50" s="137">
        <f>SUMIFS(Database!$G:$G,Database!$D:$D,"Import",Database!$E:$E,$B50,Database!$C:$C,BJ$1,Database!$F:$F,"Total")</f>
        <v>58166.5</v>
      </c>
      <c r="BK50" s="137">
        <f>SUMIFS(Database!$G:$G,Database!$D:$D,"Import",Database!$E:$E,$B50,Database!$C:$C,BK$1,Database!$F:$F,"Total")</f>
        <v>37691.5</v>
      </c>
      <c r="BL50" s="137">
        <f>SUMIFS(Database!$G:$G,Database!$D:$D,"Import",Database!$E:$E,$B50,Database!$C:$C,BL$1,Database!$F:$F,"Total")</f>
        <v>0</v>
      </c>
      <c r="BM50" s="137">
        <f>SUMIFS(Database!$G:$G,Database!$D:$D,"Import",Database!$E:$E,$B50,Database!$C:$C,BM$1,Database!$F:$F,"Total")</f>
        <v>0</v>
      </c>
      <c r="BN50" s="137">
        <f>SUMIFS(Database!$G:$G,Database!$D:$D,"Import",Database!$E:$E,$B50,Database!$C:$C,BN$1,Database!$F:$F,"Total")</f>
        <v>49354</v>
      </c>
      <c r="BO50" s="137">
        <f>SUMIFS(Database!$G:$G,Database!$D:$D,"Import",Database!$E:$E,$B50,Database!$C:$C,BO$1,Database!$F:$F,"Total")</f>
        <v>0</v>
      </c>
      <c r="BP50" s="137">
        <f>SUMIFS(Database!$G:$G,Database!$D:$D,"Import",Database!$E:$E,$B50,Database!$C:$C,BP$1,Database!$F:$F,"Total")</f>
        <v>53998.5</v>
      </c>
      <c r="BQ50" s="137">
        <f>SUMIFS(Database!$G:$G,Database!$D:$D,"Import",Database!$E:$E,$B50,Database!$C:$C,BQ$1,Database!$F:$F,"Total")</f>
        <v>80545.5</v>
      </c>
      <c r="BR50" s="137">
        <f>SUMIFS(Database!$G:$G,Database!$D:$D,"Import",Database!$E:$E,$B50,Database!$C:$C,BR$1,Database!$F:$F,"Total")</f>
        <v>56351</v>
      </c>
      <c r="BS50" s="137">
        <f>SUMIFS(Database!$G:$G,Database!$D:$D,"Import",Database!$E:$E,$B50,Database!$C:$C,BS$1,Database!$F:$F,"Total")</f>
        <v>76573</v>
      </c>
      <c r="BT50" s="137">
        <f>SUMIFS(Database!$G:$G,Database!$D:$D,"Import",Database!$E:$E,$B50,Database!$C:$C,BT$1,Database!$F:$F,"Total")</f>
        <v>69111</v>
      </c>
      <c r="BU50" s="137">
        <f>SUMIFS(Database!$G:$G,Database!$D:$D,"Import",Database!$E:$E,$B50,Database!$C:$C,BU$1,Database!$F:$F,"Total")</f>
        <v>64525</v>
      </c>
      <c r="BV50" s="137">
        <f>SUMIFS(Database!$G:$G,Database!$D:$D,"Import",Database!$E:$E,$B50,Database!$C:$C,BV$1,Database!$F:$F,"Total")</f>
        <v>131581</v>
      </c>
      <c r="BW50" s="137">
        <f>SUMIFS(Database!$G:$G,Database!$D:$D,"Import",Database!$E:$E,$B50,Database!$C:$C,BW$1,Database!$F:$F,"Total")</f>
        <v>127820</v>
      </c>
      <c r="BX50" s="137">
        <f>SUMIFS(Database!$G:$G,Database!$D:$D,"Import",Database!$E:$E,$B50,Database!$C:$C,BX$1,Database!$F:$F,"Total")</f>
        <v>97486</v>
      </c>
      <c r="BY50" s="137">
        <f>SUMIFS(Database!$G:$G,Database!$D:$D,"Import",Database!$E:$E,$B50,Database!$C:$C,BY$1,Database!$F:$F,"Total")</f>
        <v>106369</v>
      </c>
      <c r="BZ50" s="137">
        <f>SUMIFS(Database!$G:$G,Database!$D:$D,"Import",Database!$E:$E,$B50,Database!$C:$C,BZ$1,Database!$F:$F,"Total")</f>
        <v>139610</v>
      </c>
      <c r="CA50" s="137">
        <f>SUMIFS(Database!$G:$G,Database!$D:$D,"Import",Database!$E:$E,$B50,Database!$C:$C,CA$1,Database!$F:$F,"Total")</f>
        <v>117027</v>
      </c>
      <c r="CB50" s="137">
        <f>SUMIFS(Database!$G:$G,Database!$D:$D,"Import",Database!$E:$E,$B50,Database!$C:$C,CB$1,Database!$F:$F,"Total")</f>
        <v>0</v>
      </c>
      <c r="CC50" s="137">
        <f>SUMIFS(Database!$G:$G,Database!$D:$D,"Import",Database!$E:$E,$B50,Database!$C:$C,CC$1,Database!$F:$F,"Total")</f>
        <v>0</v>
      </c>
      <c r="CD50" s="137">
        <f>SUMIFS(Database!$G:$G,Database!$D:$D,"Import",Database!$E:$E,$B50,Database!$C:$C,CD$1,Database!$F:$F,"Total")</f>
        <v>0</v>
      </c>
      <c r="CE50" s="137">
        <f>SUMIFS(Database!$G:$G,Database!$D:$D,"Import",Database!$E:$E,$B50,Database!$C:$C,CE$1,Database!$F:$F,"Total")</f>
        <v>0</v>
      </c>
      <c r="CF50" s="137">
        <f>SUMIFS(Database!$G:$G,Database!$D:$D,"Import",Database!$E:$E,$B50,Database!$C:$C,CF$1,Database!$F:$F,"Total")</f>
        <v>0</v>
      </c>
      <c r="CG50" s="137">
        <f>SUMIFS(Database!$G:$G,Database!$D:$D,"Import",Database!$E:$E,$B50,Database!$C:$C,CG$1,Database!$F:$F,"Total")</f>
        <v>0</v>
      </c>
      <c r="CH50" s="137">
        <f>SUMIFS(Database!$G:$G,Database!$D:$D,"Import",Database!$E:$E,$B50,Database!$C:$C,CH$1,Database!$F:$F,"Total")</f>
        <v>0</v>
      </c>
      <c r="CI50" s="137">
        <f>SUMIFS(Database!$G:$G,Database!$D:$D,"Import",Database!$E:$E,$B50,Database!$C:$C,CI$1,Database!$F:$F,"Total")</f>
        <v>0</v>
      </c>
      <c r="CJ50" s="137">
        <f>SUMIFS(Database!$G:$G,Database!$D:$D,"Import",Database!$E:$E,$B50,Database!$C:$C,CJ$1,Database!$F:$F,"Total")</f>
        <v>0</v>
      </c>
      <c r="CK50" s="137">
        <f>SUMIFS(Database!$G:$G,Database!$D:$D,"Import",Database!$E:$E,$B50,Database!$C:$C,CK$1,Database!$F:$F,"Total")</f>
        <v>0</v>
      </c>
      <c r="CL50" s="137">
        <f>SUMIFS(Database!$G:$G,Database!$D:$D,"Import",Database!$E:$E,$B50,Database!$C:$C,CL$1,Database!$F:$F,"Total")</f>
        <v>0</v>
      </c>
      <c r="CM50" s="137">
        <f>SUMIFS(Database!$G:$G,Database!$D:$D,"Import",Database!$E:$E,$B50,Database!$C:$C,CM$1,Database!$F:$F,"Total")</f>
        <v>0</v>
      </c>
      <c r="CN50" s="137">
        <f>SUMIFS(Database!$G:$G,Database!$D:$D,"Import",Database!$E:$E,$B50,Database!$C:$C,CN$1,Database!$F:$F,"Total")</f>
        <v>0</v>
      </c>
      <c r="CO50" s="137">
        <f>SUMIFS(Database!$G:$G,Database!$D:$D,"Import",Database!$E:$E,$B50,Database!$C:$C,CO$1,Database!$F:$F,"Total")</f>
        <v>0</v>
      </c>
      <c r="CP50" s="137">
        <f>SUMIFS(Database!$G:$G,Database!$D:$D,"Import",Database!$E:$E,$B50,Database!$C:$C,CP$1,Database!$F:$F,"Total")</f>
        <v>0</v>
      </c>
      <c r="CQ50" s="137">
        <f>SUMIFS(Database!$G:$G,Database!$D:$D,"Import",Database!$E:$E,$B50,Database!$C:$C,CQ$1,Database!$F:$F,"Total")</f>
        <v>0</v>
      </c>
      <c r="CR50" s="137">
        <f>SUMIFS(Database!$G:$G,Database!$D:$D,"Import",Database!$E:$E,$B50,Database!$C:$C,CR$1,Database!$F:$F,"Total")</f>
        <v>0</v>
      </c>
      <c r="CS50" s="137">
        <f>SUMIFS(Database!$G:$G,Database!$D:$D,"Import",Database!$E:$E,$B50,Database!$C:$C,CS$1,Database!$F:$F,"Total")</f>
        <v>0</v>
      </c>
      <c r="CT50" s="137">
        <f>SUMIFS(Database!$G:$G,Database!$D:$D,"Import",Database!$E:$E,$B50,Database!$C:$C,CT$1,Database!$F:$F,"Total")</f>
        <v>0</v>
      </c>
      <c r="CU50" s="137">
        <f>SUMIFS(Database!$G:$G,Database!$D:$D,"Import",Database!$E:$E,$B50,Database!$C:$C,CU$1,Database!$F:$F,"Total")</f>
        <v>0</v>
      </c>
    </row>
    <row r="51" spans="1:99" x14ac:dyDescent="0.25">
      <c r="A51" s="132" t="s">
        <v>484</v>
      </c>
      <c r="B51" s="133" t="s">
        <v>63</v>
      </c>
      <c r="C51" s="137">
        <f>SUMIFS(Database!$G:$G,Database!$D:$D,"Import",Database!$E:$E,$B51,Database!$C:$C,C$1,Database!$F:$F,"Total")</f>
        <v>0</v>
      </c>
      <c r="D51" s="137">
        <f>SUMIFS(Database!$G:$G,Database!$D:$D,"Import",Database!$E:$E,$B51,Database!$C:$C,D$1,Database!$F:$F,"Total")</f>
        <v>0</v>
      </c>
      <c r="E51" s="137">
        <f>SUMIFS(Database!$G:$G,Database!$D:$D,"Import",Database!$E:$E,$B51,Database!$C:$C,E$1,Database!$F:$F,"Total")</f>
        <v>0</v>
      </c>
      <c r="F51" s="137">
        <f>SUMIFS(Database!$G:$G,Database!$D:$D,"Import",Database!$E:$E,$B51,Database!$C:$C,F$1,Database!$F:$F,"Total")</f>
        <v>0</v>
      </c>
      <c r="G51" s="137">
        <f>SUMIFS(Database!$G:$G,Database!$D:$D,"Import",Database!$E:$E,$B51,Database!$C:$C,G$1,Database!$F:$F,"Total")</f>
        <v>0</v>
      </c>
      <c r="H51" s="137">
        <f>SUMIFS(Database!$G:$G,Database!$D:$D,"Import",Database!$E:$E,$B51,Database!$C:$C,H$1,Database!$F:$F,"Total")</f>
        <v>0</v>
      </c>
      <c r="I51" s="137">
        <f>SUMIFS(Database!$G:$G,Database!$D:$D,"Import",Database!$E:$E,$B51,Database!$C:$C,I$1,Database!$F:$F,"Total")</f>
        <v>0</v>
      </c>
      <c r="J51" s="137">
        <f>SUMIFS(Database!$G:$G,Database!$D:$D,"Import",Database!$E:$E,$B51,Database!$C:$C,J$1,Database!$F:$F,"Total")</f>
        <v>0</v>
      </c>
      <c r="K51" s="137">
        <f>SUMIFS(Database!$G:$G,Database!$D:$D,"Import",Database!$E:$E,$B51,Database!$C:$C,K$1,Database!$F:$F,"Total")</f>
        <v>0</v>
      </c>
      <c r="L51" s="137">
        <f>SUMIFS(Database!$G:$G,Database!$D:$D,"Import",Database!$E:$E,$B51,Database!$C:$C,L$1,Database!$F:$F,"Total")</f>
        <v>0</v>
      </c>
      <c r="M51" s="137">
        <f>SUMIFS(Database!$G:$G,Database!$D:$D,"Import",Database!$E:$E,$B51,Database!$C:$C,M$1,Database!$F:$F,"Total")</f>
        <v>0</v>
      </c>
      <c r="N51" s="137">
        <f>SUMIFS(Database!$G:$G,Database!$D:$D,"Import",Database!$E:$E,$B51,Database!$C:$C,N$1,Database!$F:$F,"Total")</f>
        <v>0</v>
      </c>
      <c r="O51" s="137">
        <f>SUMIFS(Database!$G:$G,Database!$D:$D,"Import",Database!$E:$E,$B51,Database!$C:$C,O$1,Database!$F:$F,"Total")</f>
        <v>0</v>
      </c>
      <c r="P51" s="137">
        <f>SUMIFS(Database!$G:$G,Database!$D:$D,"Import",Database!$E:$E,$B51,Database!$C:$C,P$1,Database!$F:$F,"Total")</f>
        <v>0</v>
      </c>
      <c r="Q51" s="137">
        <f>SUMIFS(Database!$G:$G,Database!$D:$D,"Import",Database!$E:$E,$B51,Database!$C:$C,Q$1,Database!$F:$F,"Total")</f>
        <v>0</v>
      </c>
      <c r="R51" s="137">
        <f>SUMIFS(Database!$G:$G,Database!$D:$D,"Import",Database!$E:$E,$B51,Database!$C:$C,R$1,Database!$F:$F,"Total")</f>
        <v>0</v>
      </c>
      <c r="S51" s="137">
        <f>SUMIFS(Database!$G:$G,Database!$D:$D,"Import",Database!$E:$E,$B51,Database!$C:$C,S$1,Database!$F:$F,"Total")</f>
        <v>0</v>
      </c>
      <c r="T51" s="137">
        <f>SUMIFS(Database!$G:$G,Database!$D:$D,"Import",Database!$E:$E,$B51,Database!$C:$C,T$1,Database!$F:$F,"Total")</f>
        <v>0</v>
      </c>
      <c r="U51" s="137">
        <f>SUMIFS(Database!$G:$G,Database!$D:$D,"Import",Database!$E:$E,$B51,Database!$C:$C,U$1,Database!$F:$F,"Total")</f>
        <v>0</v>
      </c>
      <c r="V51" s="137">
        <f>SUMIFS(Database!$G:$G,Database!$D:$D,"Import",Database!$E:$E,$B51,Database!$C:$C,V$1,Database!$F:$F,"Total")</f>
        <v>0</v>
      </c>
      <c r="W51" s="137">
        <f>SUMIFS(Database!$G:$G,Database!$D:$D,"Import",Database!$E:$E,$B51,Database!$C:$C,W$1,Database!$F:$F,"Total")</f>
        <v>0</v>
      </c>
      <c r="X51" s="137">
        <f>SUMIFS(Database!$G:$G,Database!$D:$D,"Import",Database!$E:$E,$B51,Database!$C:$C,X$1,Database!$F:$F,"Total")</f>
        <v>0</v>
      </c>
      <c r="Y51" s="137">
        <f>SUMIFS(Database!$G:$G,Database!$D:$D,"Import",Database!$E:$E,$B51,Database!$C:$C,Y$1,Database!$F:$F,"Total")</f>
        <v>0</v>
      </c>
      <c r="Z51" s="137">
        <f>SUMIFS(Database!$G:$G,Database!$D:$D,"Import",Database!$E:$E,$B51,Database!$C:$C,Z$1,Database!$F:$F,"Total")</f>
        <v>0</v>
      </c>
      <c r="AA51" s="137">
        <f>SUMIFS(Database!$G:$G,Database!$D:$D,"Import",Database!$E:$E,$B51,Database!$C:$C,AA$1,Database!$F:$F,"Total")</f>
        <v>0</v>
      </c>
      <c r="AB51" s="137">
        <f>SUMIFS(Database!$G:$G,Database!$D:$D,"Import",Database!$E:$E,$B51,Database!$C:$C,AB$1,Database!$F:$F,"Total")</f>
        <v>0</v>
      </c>
      <c r="AC51" s="137">
        <f>SUMIFS(Database!$G:$G,Database!$D:$D,"Import",Database!$E:$E,$B51,Database!$C:$C,AC$1,Database!$F:$F,"Total")</f>
        <v>0</v>
      </c>
      <c r="AD51" s="137">
        <f>SUMIFS(Database!$G:$G,Database!$D:$D,"Import",Database!$E:$E,$B51,Database!$C:$C,AD$1,Database!$F:$F,"Total")</f>
        <v>0</v>
      </c>
      <c r="AE51" s="137">
        <f>SUMIFS(Database!$G:$G,Database!$D:$D,"Import",Database!$E:$E,$B51,Database!$C:$C,AE$1,Database!$F:$F,"Total")</f>
        <v>0</v>
      </c>
      <c r="AF51" s="137">
        <f>SUMIFS(Database!$G:$G,Database!$D:$D,"Import",Database!$E:$E,$B51,Database!$C:$C,AF$1,Database!$F:$F,"Total")</f>
        <v>0</v>
      </c>
      <c r="AG51" s="137">
        <f>SUMIFS(Database!$G:$G,Database!$D:$D,"Import",Database!$E:$E,$B51,Database!$C:$C,AG$1,Database!$F:$F,"Total")</f>
        <v>0</v>
      </c>
      <c r="AH51" s="137">
        <f>SUMIFS(Database!$G:$G,Database!$D:$D,"Import",Database!$E:$E,$B51,Database!$C:$C,AH$1,Database!$F:$F,"Total")</f>
        <v>0</v>
      </c>
      <c r="AI51" s="137">
        <f>SUMIFS(Database!$G:$G,Database!$D:$D,"Import",Database!$E:$E,$B51,Database!$C:$C,AI$1,Database!$F:$F,"Total")</f>
        <v>0</v>
      </c>
      <c r="AJ51" s="137">
        <f>SUMIFS(Database!$G:$G,Database!$D:$D,"Import",Database!$E:$E,$B51,Database!$C:$C,AJ$1,Database!$F:$F,"Total")</f>
        <v>0</v>
      </c>
      <c r="AK51" s="137">
        <f>SUMIFS(Database!$G:$G,Database!$D:$D,"Import",Database!$E:$E,$B51,Database!$C:$C,AK$1,Database!$F:$F,"Total")</f>
        <v>0</v>
      </c>
      <c r="AL51" s="137">
        <f>SUMIFS(Database!$G:$G,Database!$D:$D,"Import",Database!$E:$E,$B51,Database!$C:$C,AL$1,Database!$F:$F,"Total")</f>
        <v>0</v>
      </c>
      <c r="AM51" s="137">
        <f>SUMIFS(Database!$G:$G,Database!$D:$D,"Import",Database!$E:$E,$B51,Database!$C:$C,AM$1,Database!$F:$F,"Total")</f>
        <v>0</v>
      </c>
      <c r="AN51" s="137">
        <f>SUMIFS(Database!$G:$G,Database!$D:$D,"Import",Database!$E:$E,$B51,Database!$C:$C,AN$1,Database!$F:$F,"Total")</f>
        <v>0</v>
      </c>
      <c r="AO51" s="137">
        <f>SUMIFS(Database!$G:$G,Database!$D:$D,"Import",Database!$E:$E,$B51,Database!$C:$C,AO$1,Database!$F:$F,"Total")</f>
        <v>0</v>
      </c>
      <c r="AP51" s="137">
        <f>SUMIFS(Database!$G:$G,Database!$D:$D,"Import",Database!$E:$E,$B51,Database!$C:$C,AP$1,Database!$F:$F,"Total")</f>
        <v>0</v>
      </c>
      <c r="AQ51" s="137">
        <f>SUMIFS(Database!$G:$G,Database!$D:$D,"Import",Database!$E:$E,$B51,Database!$C:$C,AQ$1,Database!$F:$F,"Total")</f>
        <v>0</v>
      </c>
      <c r="AR51" s="137">
        <f>SUMIFS(Database!$G:$G,Database!$D:$D,"Import",Database!$E:$E,$B51,Database!$C:$C,AR$1,Database!$F:$F,"Total")</f>
        <v>0</v>
      </c>
      <c r="AS51" s="137">
        <f>SUMIFS(Database!$G:$G,Database!$D:$D,"Import",Database!$E:$E,$B51,Database!$C:$C,AS$1,Database!$F:$F,"Total")</f>
        <v>0</v>
      </c>
      <c r="AT51" s="137">
        <f>SUMIFS(Database!$G:$G,Database!$D:$D,"Import",Database!$E:$E,$B51,Database!$C:$C,AT$1,Database!$F:$F,"Total")</f>
        <v>0</v>
      </c>
      <c r="AU51" s="137">
        <f>SUMIFS(Database!$G:$G,Database!$D:$D,"Import",Database!$E:$E,$B51,Database!$C:$C,AU$1,Database!$F:$F,"Total")</f>
        <v>0</v>
      </c>
      <c r="AV51" s="137">
        <f>SUMIFS(Database!$G:$G,Database!$D:$D,"Import",Database!$E:$E,$B51,Database!$C:$C,AV$1,Database!$F:$F,"Total")</f>
        <v>0</v>
      </c>
      <c r="AW51" s="137">
        <f>SUMIFS(Database!$G:$G,Database!$D:$D,"Import",Database!$E:$E,$B51,Database!$C:$C,AW$1,Database!$F:$F,"Total")</f>
        <v>0</v>
      </c>
      <c r="AX51" s="137">
        <f>SUMIFS(Database!$G:$G,Database!$D:$D,"Import",Database!$E:$E,$B51,Database!$C:$C,AX$1,Database!$F:$F,"Total")</f>
        <v>0</v>
      </c>
      <c r="AY51" s="137">
        <f>SUMIFS(Database!$G:$G,Database!$D:$D,"Import",Database!$E:$E,$B51,Database!$C:$C,AY$1,Database!$F:$F,"Total")</f>
        <v>0</v>
      </c>
      <c r="AZ51" s="137">
        <f>SUMIFS(Database!$G:$G,Database!$D:$D,"Import",Database!$E:$E,$B51,Database!$C:$C,AZ$1,Database!$F:$F,"Total")</f>
        <v>0</v>
      </c>
      <c r="BA51" s="137">
        <f>SUMIFS(Database!$G:$G,Database!$D:$D,"Import",Database!$E:$E,$B51,Database!$C:$C,BA$1,Database!$F:$F,"Total")</f>
        <v>0</v>
      </c>
      <c r="BB51" s="137">
        <f>SUMIFS(Database!$G:$G,Database!$D:$D,"Import",Database!$E:$E,$B51,Database!$C:$C,BB$1,Database!$F:$F,"Total")</f>
        <v>0</v>
      </c>
      <c r="BC51" s="137">
        <f>SUMIFS(Database!$G:$G,Database!$D:$D,"Import",Database!$E:$E,$B51,Database!$C:$C,BC$1,Database!$F:$F,"Total")</f>
        <v>0</v>
      </c>
      <c r="BD51" s="137">
        <f>SUMIFS(Database!$G:$G,Database!$D:$D,"Import",Database!$E:$E,$B51,Database!$C:$C,BD$1,Database!$F:$F,"Total")</f>
        <v>0</v>
      </c>
      <c r="BE51" s="137">
        <f>SUMIFS(Database!$G:$G,Database!$D:$D,"Import",Database!$E:$E,$B51,Database!$C:$C,BE$1,Database!$F:$F,"Total")</f>
        <v>0</v>
      </c>
      <c r="BF51" s="137">
        <f>SUMIFS(Database!$G:$G,Database!$D:$D,"Import",Database!$E:$E,$B51,Database!$C:$C,BF$1,Database!$F:$F,"Total")</f>
        <v>0</v>
      </c>
      <c r="BG51" s="137">
        <f>SUMIFS(Database!$G:$G,Database!$D:$D,"Import",Database!$E:$E,$B51,Database!$C:$C,BG$1,Database!$F:$F,"Total")</f>
        <v>0</v>
      </c>
      <c r="BH51" s="137">
        <f>SUMIFS(Database!$G:$G,Database!$D:$D,"Import",Database!$E:$E,$B51,Database!$C:$C,BH$1,Database!$F:$F,"Total")</f>
        <v>0</v>
      </c>
      <c r="BI51" s="137">
        <f>SUMIFS(Database!$G:$G,Database!$D:$D,"Import",Database!$E:$E,$B51,Database!$C:$C,BI$1,Database!$F:$F,"Total")</f>
        <v>0</v>
      </c>
      <c r="BJ51" s="137">
        <f>SUMIFS(Database!$G:$G,Database!$D:$D,"Import",Database!$E:$E,$B51,Database!$C:$C,BJ$1,Database!$F:$F,"Total")</f>
        <v>0</v>
      </c>
      <c r="BK51" s="137">
        <f>SUMIFS(Database!$G:$G,Database!$D:$D,"Import",Database!$E:$E,$B51,Database!$C:$C,BK$1,Database!$F:$F,"Total")</f>
        <v>0</v>
      </c>
      <c r="BL51" s="137">
        <f>SUMIFS(Database!$G:$G,Database!$D:$D,"Import",Database!$E:$E,$B51,Database!$C:$C,BL$1,Database!$F:$F,"Total")</f>
        <v>0</v>
      </c>
      <c r="BM51" s="137">
        <f>SUMIFS(Database!$G:$G,Database!$D:$D,"Import",Database!$E:$E,$B51,Database!$C:$C,BM$1,Database!$F:$F,"Total")</f>
        <v>0</v>
      </c>
      <c r="BN51" s="137">
        <f>SUMIFS(Database!$G:$G,Database!$D:$D,"Import",Database!$E:$E,$B51,Database!$C:$C,BN$1,Database!$F:$F,"Total")</f>
        <v>5198</v>
      </c>
      <c r="BO51" s="137">
        <f>SUMIFS(Database!$G:$G,Database!$D:$D,"Import",Database!$E:$E,$B51,Database!$C:$C,BO$1,Database!$F:$F,"Total")</f>
        <v>0</v>
      </c>
      <c r="BP51" s="137">
        <f>SUMIFS(Database!$G:$G,Database!$D:$D,"Import",Database!$E:$E,$B51,Database!$C:$C,BP$1,Database!$F:$F,"Total")</f>
        <v>2094</v>
      </c>
      <c r="BQ51" s="137">
        <f>SUMIFS(Database!$G:$G,Database!$D:$D,"Import",Database!$E:$E,$B51,Database!$C:$C,BQ$1,Database!$F:$F,"Total")</f>
        <v>950.5</v>
      </c>
      <c r="BR51" s="137">
        <f>SUMIFS(Database!$G:$G,Database!$D:$D,"Import",Database!$E:$E,$B51,Database!$C:$C,BR$1,Database!$F:$F,"Total")</f>
        <v>20945</v>
      </c>
      <c r="BS51" s="137">
        <f>SUMIFS(Database!$G:$G,Database!$D:$D,"Import",Database!$E:$E,$B51,Database!$C:$C,BS$1,Database!$F:$F,"Total")</f>
        <v>46241</v>
      </c>
      <c r="BT51" s="137">
        <f>SUMIFS(Database!$G:$G,Database!$D:$D,"Import",Database!$E:$E,$B51,Database!$C:$C,BT$1,Database!$F:$F,"Total")</f>
        <v>7133</v>
      </c>
      <c r="BU51" s="137">
        <f>SUMIFS(Database!$G:$G,Database!$D:$D,"Import",Database!$E:$E,$B51,Database!$C:$C,BU$1,Database!$F:$F,"Total")</f>
        <v>8740</v>
      </c>
      <c r="BV51" s="137">
        <f>SUMIFS(Database!$G:$G,Database!$D:$D,"Import",Database!$E:$E,$B51,Database!$C:$C,BV$1,Database!$F:$F,"Total")</f>
        <v>5981</v>
      </c>
      <c r="BW51" s="137">
        <f>SUMIFS(Database!$G:$G,Database!$D:$D,"Import",Database!$E:$E,$B51,Database!$C:$C,BW$1,Database!$F:$F,"Total")</f>
        <v>19963</v>
      </c>
      <c r="BX51" s="137">
        <f>SUMIFS(Database!$G:$G,Database!$D:$D,"Import",Database!$E:$E,$B51,Database!$C:$C,BX$1,Database!$F:$F,"Total")</f>
        <v>22312</v>
      </c>
      <c r="BY51" s="137">
        <f>SUMIFS(Database!$G:$G,Database!$D:$D,"Import",Database!$E:$E,$B51,Database!$C:$C,BY$1,Database!$F:$F,"Total")</f>
        <v>14381</v>
      </c>
      <c r="BZ51" s="137">
        <f>SUMIFS(Database!$G:$G,Database!$D:$D,"Import",Database!$E:$E,$B51,Database!$C:$C,BZ$1,Database!$F:$F,"Total")</f>
        <v>5216</v>
      </c>
      <c r="CA51" s="137">
        <f>SUMIFS(Database!$G:$G,Database!$D:$D,"Import",Database!$E:$E,$B51,Database!$C:$C,CA$1,Database!$F:$F,"Total")</f>
        <v>4526</v>
      </c>
      <c r="CB51" s="137">
        <f>SUMIFS(Database!$G:$G,Database!$D:$D,"Import",Database!$E:$E,$B51,Database!$C:$C,CB$1,Database!$F:$F,"Total")</f>
        <v>0</v>
      </c>
      <c r="CC51" s="137">
        <f>SUMIFS(Database!$G:$G,Database!$D:$D,"Import",Database!$E:$E,$B51,Database!$C:$C,CC$1,Database!$F:$F,"Total")</f>
        <v>0</v>
      </c>
      <c r="CD51" s="137">
        <f>SUMIFS(Database!$G:$G,Database!$D:$D,"Import",Database!$E:$E,$B51,Database!$C:$C,CD$1,Database!$F:$F,"Total")</f>
        <v>0</v>
      </c>
      <c r="CE51" s="137">
        <f>SUMIFS(Database!$G:$G,Database!$D:$D,"Import",Database!$E:$E,$B51,Database!$C:$C,CE$1,Database!$F:$F,"Total")</f>
        <v>0</v>
      </c>
      <c r="CF51" s="137">
        <f>SUMIFS(Database!$G:$G,Database!$D:$D,"Import",Database!$E:$E,$B51,Database!$C:$C,CF$1,Database!$F:$F,"Total")</f>
        <v>0</v>
      </c>
      <c r="CG51" s="137">
        <f>SUMIFS(Database!$G:$G,Database!$D:$D,"Import",Database!$E:$E,$B51,Database!$C:$C,CG$1,Database!$F:$F,"Total")</f>
        <v>0</v>
      </c>
      <c r="CH51" s="137">
        <f>SUMIFS(Database!$G:$G,Database!$D:$D,"Import",Database!$E:$E,$B51,Database!$C:$C,CH$1,Database!$F:$F,"Total")</f>
        <v>0</v>
      </c>
      <c r="CI51" s="137">
        <f>SUMIFS(Database!$G:$G,Database!$D:$D,"Import",Database!$E:$E,$B51,Database!$C:$C,CI$1,Database!$F:$F,"Total")</f>
        <v>0</v>
      </c>
      <c r="CJ51" s="137">
        <f>SUMIFS(Database!$G:$G,Database!$D:$D,"Import",Database!$E:$E,$B51,Database!$C:$C,CJ$1,Database!$F:$F,"Total")</f>
        <v>0</v>
      </c>
      <c r="CK51" s="137">
        <f>SUMIFS(Database!$G:$G,Database!$D:$D,"Import",Database!$E:$E,$B51,Database!$C:$C,CK$1,Database!$F:$F,"Total")</f>
        <v>0</v>
      </c>
      <c r="CL51" s="137">
        <f>SUMIFS(Database!$G:$G,Database!$D:$D,"Import",Database!$E:$E,$B51,Database!$C:$C,CL$1,Database!$F:$F,"Total")</f>
        <v>0</v>
      </c>
      <c r="CM51" s="137">
        <f>SUMIFS(Database!$G:$G,Database!$D:$D,"Import",Database!$E:$E,$B51,Database!$C:$C,CM$1,Database!$F:$F,"Total")</f>
        <v>0</v>
      </c>
      <c r="CN51" s="137">
        <f>SUMIFS(Database!$G:$G,Database!$D:$D,"Import",Database!$E:$E,$B51,Database!$C:$C,CN$1,Database!$F:$F,"Total")</f>
        <v>0</v>
      </c>
      <c r="CO51" s="137">
        <f>SUMIFS(Database!$G:$G,Database!$D:$D,"Import",Database!$E:$E,$B51,Database!$C:$C,CO$1,Database!$F:$F,"Total")</f>
        <v>0</v>
      </c>
      <c r="CP51" s="137">
        <f>SUMIFS(Database!$G:$G,Database!$D:$D,"Import",Database!$E:$E,$B51,Database!$C:$C,CP$1,Database!$F:$F,"Total")</f>
        <v>0</v>
      </c>
      <c r="CQ51" s="137">
        <f>SUMIFS(Database!$G:$G,Database!$D:$D,"Import",Database!$E:$E,$B51,Database!$C:$C,CQ$1,Database!$F:$F,"Total")</f>
        <v>0</v>
      </c>
      <c r="CR51" s="137">
        <f>SUMIFS(Database!$G:$G,Database!$D:$D,"Import",Database!$E:$E,$B51,Database!$C:$C,CR$1,Database!$F:$F,"Total")</f>
        <v>0</v>
      </c>
      <c r="CS51" s="137">
        <f>SUMIFS(Database!$G:$G,Database!$D:$D,"Import",Database!$E:$E,$B51,Database!$C:$C,CS$1,Database!$F:$F,"Total")</f>
        <v>0</v>
      </c>
      <c r="CT51" s="137">
        <f>SUMIFS(Database!$G:$G,Database!$D:$D,"Import",Database!$E:$E,$B51,Database!$C:$C,CT$1,Database!$F:$F,"Total")</f>
        <v>0</v>
      </c>
      <c r="CU51" s="137">
        <f>SUMIFS(Database!$G:$G,Database!$D:$D,"Import",Database!$E:$E,$B51,Database!$C:$C,CU$1,Database!$F:$F,"Total")</f>
        <v>0</v>
      </c>
    </row>
    <row r="52" spans="1:99" x14ac:dyDescent="0.25">
      <c r="A52" s="132" t="s">
        <v>484</v>
      </c>
      <c r="B52" s="133" t="s">
        <v>498</v>
      </c>
      <c r="C52" s="137">
        <f>SUMIFS(Database!$G:$G,Database!$D:$D,"Import",Database!$E:$E,$B52,Database!$C:$C,C$1,Database!$F:$F,"Total")</f>
        <v>0</v>
      </c>
      <c r="D52" s="137">
        <f>SUMIFS(Database!$G:$G,Database!$D:$D,"Import",Database!$E:$E,$B52,Database!$C:$C,D$1,Database!$F:$F,"Total")</f>
        <v>0</v>
      </c>
      <c r="E52" s="137">
        <f>SUMIFS(Database!$G:$G,Database!$D:$D,"Import",Database!$E:$E,$B52,Database!$C:$C,E$1,Database!$F:$F,"Total")</f>
        <v>0</v>
      </c>
      <c r="F52" s="137">
        <f>SUMIFS(Database!$G:$G,Database!$D:$D,"Import",Database!$E:$E,$B52,Database!$C:$C,F$1,Database!$F:$F,"Total")</f>
        <v>0</v>
      </c>
      <c r="G52" s="137">
        <f>SUMIFS(Database!$G:$G,Database!$D:$D,"Import",Database!$E:$E,$B52,Database!$C:$C,G$1,Database!$F:$F,"Total")</f>
        <v>0</v>
      </c>
      <c r="H52" s="137">
        <f>SUMIFS(Database!$G:$G,Database!$D:$D,"Import",Database!$E:$E,$B52,Database!$C:$C,H$1,Database!$F:$F,"Total")</f>
        <v>0</v>
      </c>
      <c r="I52" s="137">
        <f>SUMIFS(Database!$G:$G,Database!$D:$D,"Import",Database!$E:$E,$B52,Database!$C:$C,I$1,Database!$F:$F,"Total")</f>
        <v>0</v>
      </c>
      <c r="J52" s="137">
        <f>SUMIFS(Database!$G:$G,Database!$D:$D,"Import",Database!$E:$E,$B52,Database!$C:$C,J$1,Database!$F:$F,"Total")</f>
        <v>0</v>
      </c>
      <c r="K52" s="137">
        <f>SUMIFS(Database!$G:$G,Database!$D:$D,"Import",Database!$E:$E,$B52,Database!$C:$C,K$1,Database!$F:$F,"Total")</f>
        <v>0</v>
      </c>
      <c r="L52" s="137">
        <f>SUMIFS(Database!$G:$G,Database!$D:$D,"Import",Database!$E:$E,$B52,Database!$C:$C,L$1,Database!$F:$F,"Total")</f>
        <v>0</v>
      </c>
      <c r="M52" s="137">
        <f>SUMIFS(Database!$G:$G,Database!$D:$D,"Import",Database!$E:$E,$B52,Database!$C:$C,M$1,Database!$F:$F,"Total")</f>
        <v>0</v>
      </c>
      <c r="N52" s="137">
        <f>SUMIFS(Database!$G:$G,Database!$D:$D,"Import",Database!$E:$E,$B52,Database!$C:$C,N$1,Database!$F:$F,"Total")</f>
        <v>0</v>
      </c>
      <c r="O52" s="137">
        <f>SUMIFS(Database!$G:$G,Database!$D:$D,"Import",Database!$E:$E,$B52,Database!$C:$C,O$1,Database!$F:$F,"Total")</f>
        <v>0</v>
      </c>
      <c r="P52" s="137">
        <f>SUMIFS(Database!$G:$G,Database!$D:$D,"Import",Database!$E:$E,$B52,Database!$C:$C,P$1,Database!$F:$F,"Total")</f>
        <v>0</v>
      </c>
      <c r="Q52" s="137">
        <f>SUMIFS(Database!$G:$G,Database!$D:$D,"Import",Database!$E:$E,$B52,Database!$C:$C,Q$1,Database!$F:$F,"Total")</f>
        <v>0</v>
      </c>
      <c r="R52" s="137">
        <f>SUMIFS(Database!$G:$G,Database!$D:$D,"Import",Database!$E:$E,$B52,Database!$C:$C,R$1,Database!$F:$F,"Total")</f>
        <v>0</v>
      </c>
      <c r="S52" s="137">
        <f>SUMIFS(Database!$G:$G,Database!$D:$D,"Import",Database!$E:$E,$B52,Database!$C:$C,S$1,Database!$F:$F,"Total")</f>
        <v>0</v>
      </c>
      <c r="T52" s="137">
        <f>SUMIFS(Database!$G:$G,Database!$D:$D,"Import",Database!$E:$E,$B52,Database!$C:$C,T$1,Database!$F:$F,"Total")</f>
        <v>0</v>
      </c>
      <c r="U52" s="137">
        <f>SUMIFS(Database!$G:$G,Database!$D:$D,"Import",Database!$E:$E,$B52,Database!$C:$C,U$1,Database!$F:$F,"Total")</f>
        <v>0</v>
      </c>
      <c r="V52" s="137">
        <f>SUMIFS(Database!$G:$G,Database!$D:$D,"Import",Database!$E:$E,$B52,Database!$C:$C,V$1,Database!$F:$F,"Total")</f>
        <v>0</v>
      </c>
      <c r="W52" s="137">
        <f>SUMIFS(Database!$G:$G,Database!$D:$D,"Import",Database!$E:$E,$B52,Database!$C:$C,W$1,Database!$F:$F,"Total")</f>
        <v>0</v>
      </c>
      <c r="X52" s="137">
        <f>SUMIFS(Database!$G:$G,Database!$D:$D,"Import",Database!$E:$E,$B52,Database!$C:$C,X$1,Database!$F:$F,"Total")</f>
        <v>0</v>
      </c>
      <c r="Y52" s="137">
        <f>SUMIFS(Database!$G:$G,Database!$D:$D,"Import",Database!$E:$E,$B52,Database!$C:$C,Y$1,Database!$F:$F,"Total")</f>
        <v>0</v>
      </c>
      <c r="Z52" s="137">
        <f>SUMIFS(Database!$G:$G,Database!$D:$D,"Import",Database!$E:$E,$B52,Database!$C:$C,Z$1,Database!$F:$F,"Total")</f>
        <v>0</v>
      </c>
      <c r="AA52" s="137">
        <f>SUMIFS(Database!$G:$G,Database!$D:$D,"Import",Database!$E:$E,$B52,Database!$C:$C,AA$1,Database!$F:$F,"Total")</f>
        <v>0</v>
      </c>
      <c r="AB52" s="137">
        <f>SUMIFS(Database!$G:$G,Database!$D:$D,"Import",Database!$E:$E,$B52,Database!$C:$C,AB$1,Database!$F:$F,"Total")</f>
        <v>0</v>
      </c>
      <c r="AC52" s="137">
        <f>SUMIFS(Database!$G:$G,Database!$D:$D,"Import",Database!$E:$E,$B52,Database!$C:$C,AC$1,Database!$F:$F,"Total")</f>
        <v>0</v>
      </c>
      <c r="AD52" s="137">
        <f>SUMIFS(Database!$G:$G,Database!$D:$D,"Import",Database!$E:$E,$B52,Database!$C:$C,AD$1,Database!$F:$F,"Total")</f>
        <v>0</v>
      </c>
      <c r="AE52" s="137">
        <f>SUMIFS(Database!$G:$G,Database!$D:$D,"Import",Database!$E:$E,$B52,Database!$C:$C,AE$1,Database!$F:$F,"Total")</f>
        <v>0</v>
      </c>
      <c r="AF52" s="137">
        <f>SUMIFS(Database!$G:$G,Database!$D:$D,"Import",Database!$E:$E,$B52,Database!$C:$C,AF$1,Database!$F:$F,"Total")</f>
        <v>0</v>
      </c>
      <c r="AG52" s="137">
        <f>SUMIFS(Database!$G:$G,Database!$D:$D,"Import",Database!$E:$E,$B52,Database!$C:$C,AG$1,Database!$F:$F,"Total")</f>
        <v>0</v>
      </c>
      <c r="AH52" s="137">
        <f>SUMIFS(Database!$G:$G,Database!$D:$D,"Import",Database!$E:$E,$B52,Database!$C:$C,AH$1,Database!$F:$F,"Total")</f>
        <v>0</v>
      </c>
      <c r="AI52" s="137">
        <f>SUMIFS(Database!$G:$G,Database!$D:$D,"Import",Database!$E:$E,$B52,Database!$C:$C,AI$1,Database!$F:$F,"Total")</f>
        <v>0</v>
      </c>
      <c r="AJ52" s="137">
        <f>SUMIFS(Database!$G:$G,Database!$D:$D,"Import",Database!$E:$E,$B52,Database!$C:$C,AJ$1,Database!$F:$F,"Total")</f>
        <v>0</v>
      </c>
      <c r="AK52" s="137">
        <f>SUMIFS(Database!$G:$G,Database!$D:$D,"Import",Database!$E:$E,$B52,Database!$C:$C,AK$1,Database!$F:$F,"Total")</f>
        <v>0</v>
      </c>
      <c r="AL52" s="137">
        <f>SUMIFS(Database!$G:$G,Database!$D:$D,"Import",Database!$E:$E,$B52,Database!$C:$C,AL$1,Database!$F:$F,"Total")</f>
        <v>0</v>
      </c>
      <c r="AM52" s="137">
        <f>SUMIFS(Database!$G:$G,Database!$D:$D,"Import",Database!$E:$E,$B52,Database!$C:$C,AM$1,Database!$F:$F,"Total")</f>
        <v>0</v>
      </c>
      <c r="AN52" s="137">
        <f>SUMIFS(Database!$G:$G,Database!$D:$D,"Import",Database!$E:$E,$B52,Database!$C:$C,AN$1,Database!$F:$F,"Total")</f>
        <v>0</v>
      </c>
      <c r="AO52" s="137">
        <f>SUMIFS(Database!$G:$G,Database!$D:$D,"Import",Database!$E:$E,$B52,Database!$C:$C,AO$1,Database!$F:$F,"Total")</f>
        <v>0</v>
      </c>
      <c r="AP52" s="137">
        <f>SUMIFS(Database!$G:$G,Database!$D:$D,"Import",Database!$E:$E,$B52,Database!$C:$C,AP$1,Database!$F:$F,"Total")</f>
        <v>0</v>
      </c>
      <c r="AQ52" s="137">
        <f>SUMIFS(Database!$G:$G,Database!$D:$D,"Import",Database!$E:$E,$B52,Database!$C:$C,AQ$1,Database!$F:$F,"Total")</f>
        <v>0</v>
      </c>
      <c r="AR52" s="137">
        <f>SUMIFS(Database!$G:$G,Database!$D:$D,"Import",Database!$E:$E,$B52,Database!$C:$C,AR$1,Database!$F:$F,"Total")</f>
        <v>0</v>
      </c>
      <c r="AS52" s="137">
        <f>SUMIFS(Database!$G:$G,Database!$D:$D,"Import",Database!$E:$E,$B52,Database!$C:$C,AS$1,Database!$F:$F,"Total")</f>
        <v>0</v>
      </c>
      <c r="AT52" s="137">
        <f>SUMIFS(Database!$G:$G,Database!$D:$D,"Import",Database!$E:$E,$B52,Database!$C:$C,AT$1,Database!$F:$F,"Total")</f>
        <v>0</v>
      </c>
      <c r="AU52" s="137">
        <f>SUMIFS(Database!$G:$G,Database!$D:$D,"Import",Database!$E:$E,$B52,Database!$C:$C,AU$1,Database!$F:$F,"Total")</f>
        <v>0</v>
      </c>
      <c r="AV52" s="137">
        <f>SUMIFS(Database!$G:$G,Database!$D:$D,"Import",Database!$E:$E,$B52,Database!$C:$C,AV$1,Database!$F:$F,"Total")</f>
        <v>0</v>
      </c>
      <c r="AW52" s="137">
        <f>SUMIFS(Database!$G:$G,Database!$D:$D,"Import",Database!$E:$E,$B52,Database!$C:$C,AW$1,Database!$F:$F,"Total")</f>
        <v>0</v>
      </c>
      <c r="AX52" s="137">
        <f>SUMIFS(Database!$G:$G,Database!$D:$D,"Import",Database!$E:$E,$B52,Database!$C:$C,AX$1,Database!$F:$F,"Total")</f>
        <v>0</v>
      </c>
      <c r="AY52" s="137">
        <f>SUMIFS(Database!$G:$G,Database!$D:$D,"Import",Database!$E:$E,$B52,Database!$C:$C,AY$1,Database!$F:$F,"Total")</f>
        <v>0</v>
      </c>
      <c r="AZ52" s="137">
        <f>SUMIFS(Database!$G:$G,Database!$D:$D,"Import",Database!$E:$E,$B52,Database!$C:$C,AZ$1,Database!$F:$F,"Total")</f>
        <v>0</v>
      </c>
      <c r="BA52" s="137">
        <f>SUMIFS(Database!$G:$G,Database!$D:$D,"Import",Database!$E:$E,$B52,Database!$C:$C,BA$1,Database!$F:$F,"Total")</f>
        <v>0</v>
      </c>
      <c r="BB52" s="137">
        <f>SUMIFS(Database!$G:$G,Database!$D:$D,"Import",Database!$E:$E,$B52,Database!$C:$C,BB$1,Database!$F:$F,"Total")</f>
        <v>0</v>
      </c>
      <c r="BC52" s="137">
        <f>SUMIFS(Database!$G:$G,Database!$D:$D,"Import",Database!$E:$E,$B52,Database!$C:$C,BC$1,Database!$F:$F,"Total")</f>
        <v>0</v>
      </c>
      <c r="BD52" s="137">
        <f>SUMIFS(Database!$G:$G,Database!$D:$D,"Import",Database!$E:$E,$B52,Database!$C:$C,BD$1,Database!$F:$F,"Total")</f>
        <v>0</v>
      </c>
      <c r="BE52" s="137">
        <f>SUMIFS(Database!$G:$G,Database!$D:$D,"Import",Database!$E:$E,$B52,Database!$C:$C,BE$1,Database!$F:$F,"Total")</f>
        <v>0</v>
      </c>
      <c r="BF52" s="137">
        <f>SUMIFS(Database!$G:$G,Database!$D:$D,"Import",Database!$E:$E,$B52,Database!$C:$C,BF$1,Database!$F:$F,"Total")</f>
        <v>0</v>
      </c>
      <c r="BG52" s="137">
        <f>SUMIFS(Database!$G:$G,Database!$D:$D,"Import",Database!$E:$E,$B52,Database!$C:$C,BG$1,Database!$F:$F,"Total")</f>
        <v>0</v>
      </c>
      <c r="BH52" s="137">
        <f>SUMIFS(Database!$G:$G,Database!$D:$D,"Import",Database!$E:$E,$B52,Database!$C:$C,BH$1,Database!$F:$F,"Total")</f>
        <v>48566</v>
      </c>
      <c r="BI52" s="137">
        <f>SUMIFS(Database!$G:$G,Database!$D:$D,"Import",Database!$E:$E,$B52,Database!$C:$C,BI$1,Database!$F:$F,"Total")</f>
        <v>0</v>
      </c>
      <c r="BJ52" s="137">
        <f>SUMIFS(Database!$G:$G,Database!$D:$D,"Import",Database!$E:$E,$B52,Database!$C:$C,BJ$1,Database!$F:$F,"Total")</f>
        <v>0</v>
      </c>
      <c r="BK52" s="137">
        <f>SUMIFS(Database!$G:$G,Database!$D:$D,"Import",Database!$E:$E,$B52,Database!$C:$C,BK$1,Database!$F:$F,"Total")</f>
        <v>0</v>
      </c>
      <c r="BL52" s="137">
        <f>SUMIFS(Database!$G:$G,Database!$D:$D,"Import",Database!$E:$E,$B52,Database!$C:$C,BL$1,Database!$F:$F,"Total")</f>
        <v>0</v>
      </c>
      <c r="BM52" s="137">
        <f>SUMIFS(Database!$G:$G,Database!$D:$D,"Import",Database!$E:$E,$B52,Database!$C:$C,BM$1,Database!$F:$F,"Total")</f>
        <v>0</v>
      </c>
      <c r="BN52" s="137">
        <f>SUMIFS(Database!$G:$G,Database!$D:$D,"Import",Database!$E:$E,$B52,Database!$C:$C,BN$1,Database!$F:$F,"Total")</f>
        <v>0</v>
      </c>
      <c r="BO52" s="137">
        <f>SUMIFS(Database!$G:$G,Database!$D:$D,"Import",Database!$E:$E,$B52,Database!$C:$C,BO$1,Database!$F:$F,"Total")</f>
        <v>0</v>
      </c>
      <c r="BP52" s="137">
        <f>SUMIFS(Database!$G:$G,Database!$D:$D,"Import",Database!$E:$E,$B52,Database!$C:$C,BP$1,Database!$F:$F,"Total")</f>
        <v>0</v>
      </c>
      <c r="BQ52" s="137">
        <f>SUMIFS(Database!$G:$G,Database!$D:$D,"Import",Database!$E:$E,$B52,Database!$C:$C,BQ$1,Database!$F:$F,"Total")</f>
        <v>0</v>
      </c>
      <c r="BR52" s="137">
        <f>SUMIFS(Database!$G:$G,Database!$D:$D,"Import",Database!$E:$E,$B52,Database!$C:$C,BR$1,Database!$F:$F,"Total")</f>
        <v>0</v>
      </c>
      <c r="BS52" s="137">
        <f>SUMIFS(Database!$G:$G,Database!$D:$D,"Import",Database!$E:$E,$B52,Database!$C:$C,BS$1,Database!$F:$F,"Total")</f>
        <v>0</v>
      </c>
      <c r="BT52" s="137">
        <f>SUMIFS(Database!$G:$G,Database!$D:$D,"Import",Database!$E:$E,$B52,Database!$C:$C,BT$1,Database!$F:$F,"Total")</f>
        <v>0</v>
      </c>
      <c r="BU52" s="137">
        <f>SUMIFS(Database!$G:$G,Database!$D:$D,"Import",Database!$E:$E,$B52,Database!$C:$C,BU$1,Database!$F:$F,"Total")</f>
        <v>0</v>
      </c>
      <c r="BV52" s="137">
        <f>SUMIFS(Database!$G:$G,Database!$D:$D,"Import",Database!$E:$E,$B52,Database!$C:$C,BV$1,Database!$F:$F,"Total")</f>
        <v>0</v>
      </c>
      <c r="BW52" s="137">
        <f>SUMIFS(Database!$G:$G,Database!$D:$D,"Import",Database!$E:$E,$B52,Database!$C:$C,BW$1,Database!$F:$F,"Total")</f>
        <v>0</v>
      </c>
      <c r="BX52" s="137">
        <f>SUMIFS(Database!$G:$G,Database!$D:$D,"Import",Database!$E:$E,$B52,Database!$C:$C,BX$1,Database!$F:$F,"Total")</f>
        <v>0</v>
      </c>
      <c r="BY52" s="137">
        <f>SUMIFS(Database!$G:$G,Database!$D:$D,"Import",Database!$E:$E,$B52,Database!$C:$C,BY$1,Database!$F:$F,"Total")</f>
        <v>0</v>
      </c>
      <c r="BZ52" s="137">
        <f>SUMIFS(Database!$G:$G,Database!$D:$D,"Import",Database!$E:$E,$B52,Database!$C:$C,BZ$1,Database!$F:$F,"Total")</f>
        <v>0</v>
      </c>
      <c r="CA52" s="137">
        <f>SUMIFS(Database!$G:$G,Database!$D:$D,"Import",Database!$E:$E,$B52,Database!$C:$C,CA$1,Database!$F:$F,"Total")</f>
        <v>0</v>
      </c>
      <c r="CB52" s="137">
        <f>SUMIFS(Database!$G:$G,Database!$D:$D,"Import",Database!$E:$E,$B52,Database!$C:$C,CB$1,Database!$F:$F,"Total")</f>
        <v>0</v>
      </c>
      <c r="CC52" s="137">
        <f>SUMIFS(Database!$G:$G,Database!$D:$D,"Import",Database!$E:$E,$B52,Database!$C:$C,CC$1,Database!$F:$F,"Total")</f>
        <v>0</v>
      </c>
      <c r="CD52" s="137">
        <f>SUMIFS(Database!$G:$G,Database!$D:$D,"Import",Database!$E:$E,$B52,Database!$C:$C,CD$1,Database!$F:$F,"Total")</f>
        <v>0</v>
      </c>
      <c r="CE52" s="137">
        <f>SUMIFS(Database!$G:$G,Database!$D:$D,"Import",Database!$E:$E,$B52,Database!$C:$C,CE$1,Database!$F:$F,"Total")</f>
        <v>0</v>
      </c>
      <c r="CF52" s="137">
        <f>SUMIFS(Database!$G:$G,Database!$D:$D,"Import",Database!$E:$E,$B52,Database!$C:$C,CF$1,Database!$F:$F,"Total")</f>
        <v>0</v>
      </c>
      <c r="CG52" s="137">
        <f>SUMIFS(Database!$G:$G,Database!$D:$D,"Import",Database!$E:$E,$B52,Database!$C:$C,CG$1,Database!$F:$F,"Total")</f>
        <v>0</v>
      </c>
      <c r="CH52" s="137">
        <f>SUMIFS(Database!$G:$G,Database!$D:$D,"Import",Database!$E:$E,$B52,Database!$C:$C,CH$1,Database!$F:$F,"Total")</f>
        <v>0</v>
      </c>
      <c r="CI52" s="137">
        <f>SUMIFS(Database!$G:$G,Database!$D:$D,"Import",Database!$E:$E,$B52,Database!$C:$C,CI$1,Database!$F:$F,"Total")</f>
        <v>0</v>
      </c>
      <c r="CJ52" s="137">
        <f>SUMIFS(Database!$G:$G,Database!$D:$D,"Import",Database!$E:$E,$B52,Database!$C:$C,CJ$1,Database!$F:$F,"Total")</f>
        <v>0</v>
      </c>
      <c r="CK52" s="137">
        <f>SUMIFS(Database!$G:$G,Database!$D:$D,"Import",Database!$E:$E,$B52,Database!$C:$C,CK$1,Database!$F:$F,"Total")</f>
        <v>0</v>
      </c>
      <c r="CL52" s="137">
        <f>SUMIFS(Database!$G:$G,Database!$D:$D,"Import",Database!$E:$E,$B52,Database!$C:$C,CL$1,Database!$F:$F,"Total")</f>
        <v>0</v>
      </c>
      <c r="CM52" s="137">
        <f>SUMIFS(Database!$G:$G,Database!$D:$D,"Import",Database!$E:$E,$B52,Database!$C:$C,CM$1,Database!$F:$F,"Total")</f>
        <v>0</v>
      </c>
      <c r="CN52" s="137">
        <f>SUMIFS(Database!$G:$G,Database!$D:$D,"Import",Database!$E:$E,$B52,Database!$C:$C,CN$1,Database!$F:$F,"Total")</f>
        <v>0</v>
      </c>
      <c r="CO52" s="137">
        <f>SUMIFS(Database!$G:$G,Database!$D:$D,"Import",Database!$E:$E,$B52,Database!$C:$C,CO$1,Database!$F:$F,"Total")</f>
        <v>0</v>
      </c>
      <c r="CP52" s="137">
        <f>SUMIFS(Database!$G:$G,Database!$D:$D,"Import",Database!$E:$E,$B52,Database!$C:$C,CP$1,Database!$F:$F,"Total")</f>
        <v>0</v>
      </c>
      <c r="CQ52" s="137">
        <f>SUMIFS(Database!$G:$G,Database!$D:$D,"Import",Database!$E:$E,$B52,Database!$C:$C,CQ$1,Database!$F:$F,"Total")</f>
        <v>0</v>
      </c>
      <c r="CR52" s="137">
        <f>SUMIFS(Database!$G:$G,Database!$D:$D,"Import",Database!$E:$E,$B52,Database!$C:$C,CR$1,Database!$F:$F,"Total")</f>
        <v>0</v>
      </c>
      <c r="CS52" s="137">
        <f>SUMIFS(Database!$G:$G,Database!$D:$D,"Import",Database!$E:$E,$B52,Database!$C:$C,CS$1,Database!$F:$F,"Total")</f>
        <v>0</v>
      </c>
      <c r="CT52" s="137">
        <f>SUMIFS(Database!$G:$G,Database!$D:$D,"Import",Database!$E:$E,$B52,Database!$C:$C,CT$1,Database!$F:$F,"Total")</f>
        <v>0</v>
      </c>
      <c r="CU52" s="137">
        <f>SUMIFS(Database!$G:$G,Database!$D:$D,"Import",Database!$E:$E,$B52,Database!$C:$C,CU$1,Database!$F:$F,"Total")</f>
        <v>0</v>
      </c>
    </row>
    <row r="53" spans="1:99" x14ac:dyDescent="0.25">
      <c r="A53" s="132" t="s">
        <v>484</v>
      </c>
      <c r="B53" s="133" t="s">
        <v>64</v>
      </c>
      <c r="C53" s="137">
        <f>SUMIFS(Database!$G:$G,Database!$D:$D,"Import",Database!$E:$E,$B53,Database!$C:$C,C$1,Database!$F:$F,"Total")</f>
        <v>0</v>
      </c>
      <c r="D53" s="137">
        <f>SUMIFS(Database!$G:$G,Database!$D:$D,"Import",Database!$E:$E,$B53,Database!$C:$C,D$1,Database!$F:$F,"Total")</f>
        <v>0</v>
      </c>
      <c r="E53" s="137">
        <f>SUMIFS(Database!$G:$G,Database!$D:$D,"Import",Database!$E:$E,$B53,Database!$C:$C,E$1,Database!$F:$F,"Total")</f>
        <v>0</v>
      </c>
      <c r="F53" s="137">
        <f>SUMIFS(Database!$G:$G,Database!$D:$D,"Import",Database!$E:$E,$B53,Database!$C:$C,F$1,Database!$F:$F,"Total")</f>
        <v>0</v>
      </c>
      <c r="G53" s="137">
        <f>SUMIFS(Database!$G:$G,Database!$D:$D,"Import",Database!$E:$E,$B53,Database!$C:$C,G$1,Database!$F:$F,"Total")</f>
        <v>0</v>
      </c>
      <c r="H53" s="137">
        <f>SUMIFS(Database!$G:$G,Database!$D:$D,"Import",Database!$E:$E,$B53,Database!$C:$C,H$1,Database!$F:$F,"Total")</f>
        <v>0</v>
      </c>
      <c r="I53" s="137">
        <f>SUMIFS(Database!$G:$G,Database!$D:$D,"Import",Database!$E:$E,$B53,Database!$C:$C,I$1,Database!$F:$F,"Total")</f>
        <v>0</v>
      </c>
      <c r="J53" s="137">
        <f>SUMIFS(Database!$G:$G,Database!$D:$D,"Import",Database!$E:$E,$B53,Database!$C:$C,J$1,Database!$F:$F,"Total")</f>
        <v>0</v>
      </c>
      <c r="K53" s="137">
        <f>SUMIFS(Database!$G:$G,Database!$D:$D,"Import",Database!$E:$E,$B53,Database!$C:$C,K$1,Database!$F:$F,"Total")</f>
        <v>0</v>
      </c>
      <c r="L53" s="137">
        <f>SUMIFS(Database!$G:$G,Database!$D:$D,"Import",Database!$E:$E,$B53,Database!$C:$C,L$1,Database!$F:$F,"Total")</f>
        <v>0</v>
      </c>
      <c r="M53" s="137">
        <f>SUMIFS(Database!$G:$G,Database!$D:$D,"Import",Database!$E:$E,$B53,Database!$C:$C,M$1,Database!$F:$F,"Total")</f>
        <v>0</v>
      </c>
      <c r="N53" s="137">
        <f>SUMIFS(Database!$G:$G,Database!$D:$D,"Import",Database!$E:$E,$B53,Database!$C:$C,N$1,Database!$F:$F,"Total")</f>
        <v>0</v>
      </c>
      <c r="O53" s="137">
        <f>SUMIFS(Database!$G:$G,Database!$D:$D,"Import",Database!$E:$E,$B53,Database!$C:$C,O$1,Database!$F:$F,"Total")</f>
        <v>0</v>
      </c>
      <c r="P53" s="137">
        <f>SUMIFS(Database!$G:$G,Database!$D:$D,"Import",Database!$E:$E,$B53,Database!$C:$C,P$1,Database!$F:$F,"Total")</f>
        <v>0</v>
      </c>
      <c r="Q53" s="137">
        <f>SUMIFS(Database!$G:$G,Database!$D:$D,"Import",Database!$E:$E,$B53,Database!$C:$C,Q$1,Database!$F:$F,"Total")</f>
        <v>0</v>
      </c>
      <c r="R53" s="137">
        <f>SUMIFS(Database!$G:$G,Database!$D:$D,"Import",Database!$E:$E,$B53,Database!$C:$C,R$1,Database!$F:$F,"Total")</f>
        <v>0</v>
      </c>
      <c r="S53" s="137">
        <f>SUMIFS(Database!$G:$G,Database!$D:$D,"Import",Database!$E:$E,$B53,Database!$C:$C,S$1,Database!$F:$F,"Total")</f>
        <v>0</v>
      </c>
      <c r="T53" s="137">
        <f>SUMIFS(Database!$G:$G,Database!$D:$D,"Import",Database!$E:$E,$B53,Database!$C:$C,T$1,Database!$F:$F,"Total")</f>
        <v>0</v>
      </c>
      <c r="U53" s="137">
        <f>SUMIFS(Database!$G:$G,Database!$D:$D,"Import",Database!$E:$E,$B53,Database!$C:$C,U$1,Database!$F:$F,"Total")</f>
        <v>0</v>
      </c>
      <c r="V53" s="137">
        <f>SUMIFS(Database!$G:$G,Database!$D:$D,"Import",Database!$E:$E,$B53,Database!$C:$C,V$1,Database!$F:$F,"Total")</f>
        <v>0</v>
      </c>
      <c r="W53" s="137">
        <f>SUMIFS(Database!$G:$G,Database!$D:$D,"Import",Database!$E:$E,$B53,Database!$C:$C,W$1,Database!$F:$F,"Total")</f>
        <v>0</v>
      </c>
      <c r="X53" s="137">
        <f>SUMIFS(Database!$G:$G,Database!$D:$D,"Import",Database!$E:$E,$B53,Database!$C:$C,X$1,Database!$F:$F,"Total")</f>
        <v>0</v>
      </c>
      <c r="Y53" s="137">
        <f>SUMIFS(Database!$G:$G,Database!$D:$D,"Import",Database!$E:$E,$B53,Database!$C:$C,Y$1,Database!$F:$F,"Total")</f>
        <v>0</v>
      </c>
      <c r="Z53" s="137">
        <f>SUMIFS(Database!$G:$G,Database!$D:$D,"Import",Database!$E:$E,$B53,Database!$C:$C,Z$1,Database!$F:$F,"Total")</f>
        <v>0</v>
      </c>
      <c r="AA53" s="137">
        <f>SUMIFS(Database!$G:$G,Database!$D:$D,"Import",Database!$E:$E,$B53,Database!$C:$C,AA$1,Database!$F:$F,"Total")</f>
        <v>0</v>
      </c>
      <c r="AB53" s="137">
        <f>SUMIFS(Database!$G:$G,Database!$D:$D,"Import",Database!$E:$E,$B53,Database!$C:$C,AB$1,Database!$F:$F,"Total")</f>
        <v>0</v>
      </c>
      <c r="AC53" s="137">
        <f>SUMIFS(Database!$G:$G,Database!$D:$D,"Import",Database!$E:$E,$B53,Database!$C:$C,AC$1,Database!$F:$F,"Total")</f>
        <v>0</v>
      </c>
      <c r="AD53" s="137">
        <f>SUMIFS(Database!$G:$G,Database!$D:$D,"Import",Database!$E:$E,$B53,Database!$C:$C,AD$1,Database!$F:$F,"Total")</f>
        <v>0</v>
      </c>
      <c r="AE53" s="137">
        <f>SUMIFS(Database!$G:$G,Database!$D:$D,"Import",Database!$E:$E,$B53,Database!$C:$C,AE$1,Database!$F:$F,"Total")</f>
        <v>0</v>
      </c>
      <c r="AF53" s="137">
        <f>SUMIFS(Database!$G:$G,Database!$D:$D,"Import",Database!$E:$E,$B53,Database!$C:$C,AF$1,Database!$F:$F,"Total")</f>
        <v>0</v>
      </c>
      <c r="AG53" s="137">
        <f>SUMIFS(Database!$G:$G,Database!$D:$D,"Import",Database!$E:$E,$B53,Database!$C:$C,AG$1,Database!$F:$F,"Total")</f>
        <v>0</v>
      </c>
      <c r="AH53" s="137">
        <f>SUMIFS(Database!$G:$G,Database!$D:$D,"Import",Database!$E:$E,$B53,Database!$C:$C,AH$1,Database!$F:$F,"Total")</f>
        <v>0</v>
      </c>
      <c r="AI53" s="137">
        <f>SUMIFS(Database!$G:$G,Database!$D:$D,"Import",Database!$E:$E,$B53,Database!$C:$C,AI$1,Database!$F:$F,"Total")</f>
        <v>0</v>
      </c>
      <c r="AJ53" s="137">
        <f>SUMIFS(Database!$G:$G,Database!$D:$D,"Import",Database!$E:$E,$B53,Database!$C:$C,AJ$1,Database!$F:$F,"Total")</f>
        <v>300</v>
      </c>
      <c r="AK53" s="137">
        <f>SUMIFS(Database!$G:$G,Database!$D:$D,"Import",Database!$E:$E,$B53,Database!$C:$C,AK$1,Database!$F:$F,"Total")</f>
        <v>0</v>
      </c>
      <c r="AL53" s="137">
        <f>SUMIFS(Database!$G:$G,Database!$D:$D,"Import",Database!$E:$E,$B53,Database!$C:$C,AL$1,Database!$F:$F,"Total")</f>
        <v>0</v>
      </c>
      <c r="AM53" s="137">
        <f>SUMIFS(Database!$G:$G,Database!$D:$D,"Import",Database!$E:$E,$B53,Database!$C:$C,AM$1,Database!$F:$F,"Total")</f>
        <v>0</v>
      </c>
      <c r="AN53" s="137">
        <f>SUMIFS(Database!$G:$G,Database!$D:$D,"Import",Database!$E:$E,$B53,Database!$C:$C,AN$1,Database!$F:$F,"Total")</f>
        <v>0</v>
      </c>
      <c r="AO53" s="137">
        <f>SUMIFS(Database!$G:$G,Database!$D:$D,"Import",Database!$E:$E,$B53,Database!$C:$C,AO$1,Database!$F:$F,"Total")</f>
        <v>0</v>
      </c>
      <c r="AP53" s="137">
        <f>SUMIFS(Database!$G:$G,Database!$D:$D,"Import",Database!$E:$E,$B53,Database!$C:$C,AP$1,Database!$F:$F,"Total")</f>
        <v>0</v>
      </c>
      <c r="AQ53" s="137">
        <f>SUMIFS(Database!$G:$G,Database!$D:$D,"Import",Database!$E:$E,$B53,Database!$C:$C,AQ$1,Database!$F:$F,"Total")</f>
        <v>0</v>
      </c>
      <c r="AR53" s="137">
        <f>SUMIFS(Database!$G:$G,Database!$D:$D,"Import",Database!$E:$E,$B53,Database!$C:$C,AR$1,Database!$F:$F,"Total")</f>
        <v>0</v>
      </c>
      <c r="AS53" s="137">
        <f>SUMIFS(Database!$G:$G,Database!$D:$D,"Import",Database!$E:$E,$B53,Database!$C:$C,AS$1,Database!$F:$F,"Total")</f>
        <v>0</v>
      </c>
      <c r="AT53" s="137">
        <f>SUMIFS(Database!$G:$G,Database!$D:$D,"Import",Database!$E:$E,$B53,Database!$C:$C,AT$1,Database!$F:$F,"Total")</f>
        <v>0</v>
      </c>
      <c r="AU53" s="137">
        <f>SUMIFS(Database!$G:$G,Database!$D:$D,"Import",Database!$E:$E,$B53,Database!$C:$C,AU$1,Database!$F:$F,"Total")</f>
        <v>0</v>
      </c>
      <c r="AV53" s="137">
        <f>SUMIFS(Database!$G:$G,Database!$D:$D,"Import",Database!$E:$E,$B53,Database!$C:$C,AV$1,Database!$F:$F,"Total")</f>
        <v>0</v>
      </c>
      <c r="AW53" s="137">
        <f>SUMIFS(Database!$G:$G,Database!$D:$D,"Import",Database!$E:$E,$B53,Database!$C:$C,AW$1,Database!$F:$F,"Total")</f>
        <v>0</v>
      </c>
      <c r="AX53" s="137">
        <f>SUMIFS(Database!$G:$G,Database!$D:$D,"Import",Database!$E:$E,$B53,Database!$C:$C,AX$1,Database!$F:$F,"Total")</f>
        <v>0</v>
      </c>
      <c r="AY53" s="137">
        <f>SUMIFS(Database!$G:$G,Database!$D:$D,"Import",Database!$E:$E,$B53,Database!$C:$C,AY$1,Database!$F:$F,"Total")</f>
        <v>0</v>
      </c>
      <c r="AZ53" s="137">
        <f>SUMIFS(Database!$G:$G,Database!$D:$D,"Import",Database!$E:$E,$B53,Database!$C:$C,AZ$1,Database!$F:$F,"Total")</f>
        <v>0</v>
      </c>
      <c r="BA53" s="137">
        <f>SUMIFS(Database!$G:$G,Database!$D:$D,"Import",Database!$E:$E,$B53,Database!$C:$C,BA$1,Database!$F:$F,"Total")</f>
        <v>0</v>
      </c>
      <c r="BB53" s="137">
        <f>SUMIFS(Database!$G:$G,Database!$D:$D,"Import",Database!$E:$E,$B53,Database!$C:$C,BB$1,Database!$F:$F,"Total")</f>
        <v>0</v>
      </c>
      <c r="BC53" s="137">
        <f>SUMIFS(Database!$G:$G,Database!$D:$D,"Import",Database!$E:$E,$B53,Database!$C:$C,BC$1,Database!$F:$F,"Total")</f>
        <v>0</v>
      </c>
      <c r="BD53" s="137">
        <f>SUMIFS(Database!$G:$G,Database!$D:$D,"Import",Database!$E:$E,$B53,Database!$C:$C,BD$1,Database!$F:$F,"Total")</f>
        <v>0</v>
      </c>
      <c r="BE53" s="137">
        <f>SUMIFS(Database!$G:$G,Database!$D:$D,"Import",Database!$E:$E,$B53,Database!$C:$C,BE$1,Database!$F:$F,"Total")</f>
        <v>0</v>
      </c>
      <c r="BF53" s="137">
        <f>SUMIFS(Database!$G:$G,Database!$D:$D,"Import",Database!$E:$E,$B53,Database!$C:$C,BF$1,Database!$F:$F,"Total")</f>
        <v>0</v>
      </c>
      <c r="BG53" s="137">
        <f>SUMIFS(Database!$G:$G,Database!$D:$D,"Import",Database!$E:$E,$B53,Database!$C:$C,BG$1,Database!$F:$F,"Total")</f>
        <v>0</v>
      </c>
      <c r="BH53" s="137">
        <f>SUMIFS(Database!$G:$G,Database!$D:$D,"Import",Database!$E:$E,$B53,Database!$C:$C,BH$1,Database!$F:$F,"Total")</f>
        <v>0</v>
      </c>
      <c r="BI53" s="137">
        <f>SUMIFS(Database!$G:$G,Database!$D:$D,"Import",Database!$E:$E,$B53,Database!$C:$C,BI$1,Database!$F:$F,"Total")</f>
        <v>0</v>
      </c>
      <c r="BJ53" s="137">
        <f>SUMIFS(Database!$G:$G,Database!$D:$D,"Import",Database!$E:$E,$B53,Database!$C:$C,BJ$1,Database!$F:$F,"Total")</f>
        <v>0</v>
      </c>
      <c r="BK53" s="137">
        <f>SUMIFS(Database!$G:$G,Database!$D:$D,"Import",Database!$E:$E,$B53,Database!$C:$C,BK$1,Database!$F:$F,"Total")</f>
        <v>0</v>
      </c>
      <c r="BL53" s="137">
        <f>SUMIFS(Database!$G:$G,Database!$D:$D,"Import",Database!$E:$E,$B53,Database!$C:$C,BL$1,Database!$F:$F,"Total")</f>
        <v>0</v>
      </c>
      <c r="BM53" s="137">
        <f>SUMIFS(Database!$G:$G,Database!$D:$D,"Import",Database!$E:$E,$B53,Database!$C:$C,BM$1,Database!$F:$F,"Total")</f>
        <v>0</v>
      </c>
      <c r="BN53" s="137">
        <f>SUMIFS(Database!$G:$G,Database!$D:$D,"Import",Database!$E:$E,$B53,Database!$C:$C,BN$1,Database!$F:$F,"Total")</f>
        <v>0</v>
      </c>
      <c r="BO53" s="137">
        <f>SUMIFS(Database!$G:$G,Database!$D:$D,"Import",Database!$E:$E,$B53,Database!$C:$C,BO$1,Database!$F:$F,"Total")</f>
        <v>0</v>
      </c>
      <c r="BP53" s="137">
        <f>SUMIFS(Database!$G:$G,Database!$D:$D,"Import",Database!$E:$E,$B53,Database!$C:$C,BP$1,Database!$F:$F,"Total")</f>
        <v>0</v>
      </c>
      <c r="BQ53" s="137">
        <f>SUMIFS(Database!$G:$G,Database!$D:$D,"Import",Database!$E:$E,$B53,Database!$C:$C,BQ$1,Database!$F:$F,"Total")</f>
        <v>0</v>
      </c>
      <c r="BR53" s="137">
        <f>SUMIFS(Database!$G:$G,Database!$D:$D,"Import",Database!$E:$E,$B53,Database!$C:$C,BR$1,Database!$F:$F,"Total")</f>
        <v>0</v>
      </c>
      <c r="BS53" s="137">
        <f>SUMIFS(Database!$G:$G,Database!$D:$D,"Import",Database!$E:$E,$B53,Database!$C:$C,BS$1,Database!$F:$F,"Total")</f>
        <v>0</v>
      </c>
      <c r="BT53" s="137">
        <f>SUMIFS(Database!$G:$G,Database!$D:$D,"Import",Database!$E:$E,$B53,Database!$C:$C,BT$1,Database!$F:$F,"Total")</f>
        <v>0</v>
      </c>
      <c r="BU53" s="137">
        <f>SUMIFS(Database!$G:$G,Database!$D:$D,"Import",Database!$E:$E,$B53,Database!$C:$C,BU$1,Database!$F:$F,"Total")</f>
        <v>0</v>
      </c>
      <c r="BV53" s="137">
        <f>SUMIFS(Database!$G:$G,Database!$D:$D,"Import",Database!$E:$E,$B53,Database!$C:$C,BV$1,Database!$F:$F,"Total")</f>
        <v>0</v>
      </c>
      <c r="BW53" s="137">
        <f>SUMIFS(Database!$G:$G,Database!$D:$D,"Import",Database!$E:$E,$B53,Database!$C:$C,BW$1,Database!$F:$F,"Total")</f>
        <v>0</v>
      </c>
      <c r="BX53" s="137">
        <f>SUMIFS(Database!$G:$G,Database!$D:$D,"Import",Database!$E:$E,$B53,Database!$C:$C,BX$1,Database!$F:$F,"Total")</f>
        <v>0</v>
      </c>
      <c r="BY53" s="137">
        <f>SUMIFS(Database!$G:$G,Database!$D:$D,"Import",Database!$E:$E,$B53,Database!$C:$C,BY$1,Database!$F:$F,"Total")</f>
        <v>0</v>
      </c>
      <c r="BZ53" s="137">
        <f>SUMIFS(Database!$G:$G,Database!$D:$D,"Import",Database!$E:$E,$B53,Database!$C:$C,BZ$1,Database!$F:$F,"Total")</f>
        <v>0</v>
      </c>
      <c r="CA53" s="137">
        <f>SUMIFS(Database!$G:$G,Database!$D:$D,"Import",Database!$E:$E,$B53,Database!$C:$C,CA$1,Database!$F:$F,"Total")</f>
        <v>0</v>
      </c>
      <c r="CB53" s="137">
        <f>SUMIFS(Database!$G:$G,Database!$D:$D,"Import",Database!$E:$E,$B53,Database!$C:$C,CB$1,Database!$F:$F,"Total")</f>
        <v>0</v>
      </c>
      <c r="CC53" s="137">
        <f>SUMIFS(Database!$G:$G,Database!$D:$D,"Import",Database!$E:$E,$B53,Database!$C:$C,CC$1,Database!$F:$F,"Total")</f>
        <v>0</v>
      </c>
      <c r="CD53" s="137">
        <f>SUMIFS(Database!$G:$G,Database!$D:$D,"Import",Database!$E:$E,$B53,Database!$C:$C,CD$1,Database!$F:$F,"Total")</f>
        <v>0</v>
      </c>
      <c r="CE53" s="137">
        <f>SUMIFS(Database!$G:$G,Database!$D:$D,"Import",Database!$E:$E,$B53,Database!$C:$C,CE$1,Database!$F:$F,"Total")</f>
        <v>0</v>
      </c>
      <c r="CF53" s="137">
        <f>SUMIFS(Database!$G:$G,Database!$D:$D,"Import",Database!$E:$E,$B53,Database!$C:$C,CF$1,Database!$F:$F,"Total")</f>
        <v>0</v>
      </c>
      <c r="CG53" s="137">
        <f>SUMIFS(Database!$G:$G,Database!$D:$D,"Import",Database!$E:$E,$B53,Database!$C:$C,CG$1,Database!$F:$F,"Total")</f>
        <v>0</v>
      </c>
      <c r="CH53" s="137">
        <f>SUMIFS(Database!$G:$G,Database!$D:$D,"Import",Database!$E:$E,$B53,Database!$C:$C,CH$1,Database!$F:$F,"Total")</f>
        <v>0</v>
      </c>
      <c r="CI53" s="137">
        <f>SUMIFS(Database!$G:$G,Database!$D:$D,"Import",Database!$E:$E,$B53,Database!$C:$C,CI$1,Database!$F:$F,"Total")</f>
        <v>0</v>
      </c>
      <c r="CJ53" s="137">
        <f>SUMIFS(Database!$G:$G,Database!$D:$D,"Import",Database!$E:$E,$B53,Database!$C:$C,CJ$1,Database!$F:$F,"Total")</f>
        <v>0</v>
      </c>
      <c r="CK53" s="137">
        <f>SUMIFS(Database!$G:$G,Database!$D:$D,"Import",Database!$E:$E,$B53,Database!$C:$C,CK$1,Database!$F:$F,"Total")</f>
        <v>0</v>
      </c>
      <c r="CL53" s="137">
        <f>SUMIFS(Database!$G:$G,Database!$D:$D,"Import",Database!$E:$E,$B53,Database!$C:$C,CL$1,Database!$F:$F,"Total")</f>
        <v>0</v>
      </c>
      <c r="CM53" s="137">
        <f>SUMIFS(Database!$G:$G,Database!$D:$D,"Import",Database!$E:$E,$B53,Database!$C:$C,CM$1,Database!$F:$F,"Total")</f>
        <v>0</v>
      </c>
      <c r="CN53" s="137">
        <f>SUMIFS(Database!$G:$G,Database!$D:$D,"Import",Database!$E:$E,$B53,Database!$C:$C,CN$1,Database!$F:$F,"Total")</f>
        <v>0</v>
      </c>
      <c r="CO53" s="137">
        <f>SUMIFS(Database!$G:$G,Database!$D:$D,"Import",Database!$E:$E,$B53,Database!$C:$C,CO$1,Database!$F:$F,"Total")</f>
        <v>0</v>
      </c>
      <c r="CP53" s="137">
        <f>SUMIFS(Database!$G:$G,Database!$D:$D,"Import",Database!$E:$E,$B53,Database!$C:$C,CP$1,Database!$F:$F,"Total")</f>
        <v>0</v>
      </c>
      <c r="CQ53" s="137">
        <f>SUMIFS(Database!$G:$G,Database!$D:$D,"Import",Database!$E:$E,$B53,Database!$C:$C,CQ$1,Database!$F:$F,"Total")</f>
        <v>0</v>
      </c>
      <c r="CR53" s="137">
        <f>SUMIFS(Database!$G:$G,Database!$D:$D,"Import",Database!$E:$E,$B53,Database!$C:$C,CR$1,Database!$F:$F,"Total")</f>
        <v>0</v>
      </c>
      <c r="CS53" s="137">
        <f>SUMIFS(Database!$G:$G,Database!$D:$D,"Import",Database!$E:$E,$B53,Database!$C:$C,CS$1,Database!$F:$F,"Total")</f>
        <v>0</v>
      </c>
      <c r="CT53" s="137">
        <f>SUMIFS(Database!$G:$G,Database!$D:$D,"Import",Database!$E:$E,$B53,Database!$C:$C,CT$1,Database!$F:$F,"Total")</f>
        <v>0</v>
      </c>
      <c r="CU53" s="137">
        <f>SUMIFS(Database!$G:$G,Database!$D:$D,"Import",Database!$E:$E,$B53,Database!$C:$C,CU$1,Database!$F:$F,"Total")</f>
        <v>0</v>
      </c>
    </row>
    <row r="54" spans="1:99" x14ac:dyDescent="0.25">
      <c r="A54" s="132" t="s">
        <v>484</v>
      </c>
      <c r="B54" s="133" t="s">
        <v>65</v>
      </c>
      <c r="C54" s="137">
        <f>SUMIFS(Database!$G:$G,Database!$D:$D,"Import",Database!$E:$E,$B54,Database!$C:$C,C$1,Database!$F:$F,"Total")</f>
        <v>0</v>
      </c>
      <c r="D54" s="137">
        <f>SUMIFS(Database!$G:$G,Database!$D:$D,"Import",Database!$E:$E,$B54,Database!$C:$C,D$1,Database!$F:$F,"Total")</f>
        <v>0</v>
      </c>
      <c r="E54" s="137">
        <f>SUMIFS(Database!$G:$G,Database!$D:$D,"Import",Database!$E:$E,$B54,Database!$C:$C,E$1,Database!$F:$F,"Total")</f>
        <v>0</v>
      </c>
      <c r="F54" s="137">
        <f>SUMIFS(Database!$G:$G,Database!$D:$D,"Import",Database!$E:$E,$B54,Database!$C:$C,F$1,Database!$F:$F,"Total")</f>
        <v>0</v>
      </c>
      <c r="G54" s="137">
        <f>SUMIFS(Database!$G:$G,Database!$D:$D,"Import",Database!$E:$E,$B54,Database!$C:$C,G$1,Database!$F:$F,"Total")</f>
        <v>0</v>
      </c>
      <c r="H54" s="137">
        <f>SUMIFS(Database!$G:$G,Database!$D:$D,"Import",Database!$E:$E,$B54,Database!$C:$C,H$1,Database!$F:$F,"Total")</f>
        <v>0</v>
      </c>
      <c r="I54" s="137">
        <f>SUMIFS(Database!$G:$G,Database!$D:$D,"Import",Database!$E:$E,$B54,Database!$C:$C,I$1,Database!$F:$F,"Total")</f>
        <v>0</v>
      </c>
      <c r="J54" s="137">
        <f>SUMIFS(Database!$G:$G,Database!$D:$D,"Import",Database!$E:$E,$B54,Database!$C:$C,J$1,Database!$F:$F,"Total")</f>
        <v>0</v>
      </c>
      <c r="K54" s="137">
        <f>SUMIFS(Database!$G:$G,Database!$D:$D,"Import",Database!$E:$E,$B54,Database!$C:$C,K$1,Database!$F:$F,"Total")</f>
        <v>0</v>
      </c>
      <c r="L54" s="137">
        <f>SUMIFS(Database!$G:$G,Database!$D:$D,"Import",Database!$E:$E,$B54,Database!$C:$C,L$1,Database!$F:$F,"Total")</f>
        <v>0</v>
      </c>
      <c r="M54" s="137">
        <f>SUMIFS(Database!$G:$G,Database!$D:$D,"Import",Database!$E:$E,$B54,Database!$C:$C,M$1,Database!$F:$F,"Total")</f>
        <v>0</v>
      </c>
      <c r="N54" s="137">
        <f>SUMIFS(Database!$G:$G,Database!$D:$D,"Import",Database!$E:$E,$B54,Database!$C:$C,N$1,Database!$F:$F,"Total")</f>
        <v>0</v>
      </c>
      <c r="O54" s="137">
        <f>SUMIFS(Database!$G:$G,Database!$D:$D,"Import",Database!$E:$E,$B54,Database!$C:$C,O$1,Database!$F:$F,"Total")</f>
        <v>0</v>
      </c>
      <c r="P54" s="137">
        <f>SUMIFS(Database!$G:$G,Database!$D:$D,"Import",Database!$E:$E,$B54,Database!$C:$C,P$1,Database!$F:$F,"Total")</f>
        <v>0</v>
      </c>
      <c r="Q54" s="137">
        <f>SUMIFS(Database!$G:$G,Database!$D:$D,"Import",Database!$E:$E,$B54,Database!$C:$C,Q$1,Database!$F:$F,"Total")</f>
        <v>0</v>
      </c>
      <c r="R54" s="137">
        <f>SUMIFS(Database!$G:$G,Database!$D:$D,"Import",Database!$E:$E,$B54,Database!$C:$C,R$1,Database!$F:$F,"Total")</f>
        <v>0</v>
      </c>
      <c r="S54" s="137">
        <f>SUMIFS(Database!$G:$G,Database!$D:$D,"Import",Database!$E:$E,$B54,Database!$C:$C,S$1,Database!$F:$F,"Total")</f>
        <v>0</v>
      </c>
      <c r="T54" s="137">
        <f>SUMIFS(Database!$G:$G,Database!$D:$D,"Import",Database!$E:$E,$B54,Database!$C:$C,T$1,Database!$F:$F,"Total")</f>
        <v>0</v>
      </c>
      <c r="U54" s="137">
        <f>SUMIFS(Database!$G:$G,Database!$D:$D,"Import",Database!$E:$E,$B54,Database!$C:$C,U$1,Database!$F:$F,"Total")</f>
        <v>0</v>
      </c>
      <c r="V54" s="137">
        <f>SUMIFS(Database!$G:$G,Database!$D:$D,"Import",Database!$E:$E,$B54,Database!$C:$C,V$1,Database!$F:$F,"Total")</f>
        <v>0</v>
      </c>
      <c r="W54" s="137">
        <f>SUMIFS(Database!$G:$G,Database!$D:$D,"Import",Database!$E:$E,$B54,Database!$C:$C,W$1,Database!$F:$F,"Total")</f>
        <v>0</v>
      </c>
      <c r="X54" s="137">
        <f>SUMIFS(Database!$G:$G,Database!$D:$D,"Import",Database!$E:$E,$B54,Database!$C:$C,X$1,Database!$F:$F,"Total")</f>
        <v>0</v>
      </c>
      <c r="Y54" s="137">
        <f>SUMIFS(Database!$G:$G,Database!$D:$D,"Import",Database!$E:$E,$B54,Database!$C:$C,Y$1,Database!$F:$F,"Total")</f>
        <v>0</v>
      </c>
      <c r="Z54" s="137">
        <f>SUMIFS(Database!$G:$G,Database!$D:$D,"Import",Database!$E:$E,$B54,Database!$C:$C,Z$1,Database!$F:$F,"Total")</f>
        <v>0</v>
      </c>
      <c r="AA54" s="137">
        <f>SUMIFS(Database!$G:$G,Database!$D:$D,"Import",Database!$E:$E,$B54,Database!$C:$C,AA$1,Database!$F:$F,"Total")</f>
        <v>0</v>
      </c>
      <c r="AB54" s="137">
        <f>SUMIFS(Database!$G:$G,Database!$D:$D,"Import",Database!$E:$E,$B54,Database!$C:$C,AB$1,Database!$F:$F,"Total")</f>
        <v>0</v>
      </c>
      <c r="AC54" s="137">
        <f>SUMIFS(Database!$G:$G,Database!$D:$D,"Import",Database!$E:$E,$B54,Database!$C:$C,AC$1,Database!$F:$F,"Total")</f>
        <v>0</v>
      </c>
      <c r="AD54" s="137">
        <f>SUMIFS(Database!$G:$G,Database!$D:$D,"Import",Database!$E:$E,$B54,Database!$C:$C,AD$1,Database!$F:$F,"Total")</f>
        <v>0</v>
      </c>
      <c r="AE54" s="137">
        <f>SUMIFS(Database!$G:$G,Database!$D:$D,"Import",Database!$E:$E,$B54,Database!$C:$C,AE$1,Database!$F:$F,"Total")</f>
        <v>0</v>
      </c>
      <c r="AF54" s="137">
        <f>SUMIFS(Database!$G:$G,Database!$D:$D,"Import",Database!$E:$E,$B54,Database!$C:$C,AF$1,Database!$F:$F,"Total")</f>
        <v>0</v>
      </c>
      <c r="AG54" s="137">
        <f>SUMIFS(Database!$G:$G,Database!$D:$D,"Import",Database!$E:$E,$B54,Database!$C:$C,AG$1,Database!$F:$F,"Total")</f>
        <v>0</v>
      </c>
      <c r="AH54" s="137">
        <f>SUMIFS(Database!$G:$G,Database!$D:$D,"Import",Database!$E:$E,$B54,Database!$C:$C,AH$1,Database!$F:$F,"Total")</f>
        <v>0</v>
      </c>
      <c r="AI54" s="137">
        <f>SUMIFS(Database!$G:$G,Database!$D:$D,"Import",Database!$E:$E,$B54,Database!$C:$C,AI$1,Database!$F:$F,"Total")</f>
        <v>0</v>
      </c>
      <c r="AJ54" s="137">
        <f>SUMIFS(Database!$G:$G,Database!$D:$D,"Import",Database!$E:$E,$B54,Database!$C:$C,AJ$1,Database!$F:$F,"Total")</f>
        <v>0</v>
      </c>
      <c r="AK54" s="137">
        <f>SUMIFS(Database!$G:$G,Database!$D:$D,"Import",Database!$E:$E,$B54,Database!$C:$C,AK$1,Database!$F:$F,"Total")</f>
        <v>0</v>
      </c>
      <c r="AL54" s="137">
        <f>SUMIFS(Database!$G:$G,Database!$D:$D,"Import",Database!$E:$E,$B54,Database!$C:$C,AL$1,Database!$F:$F,"Total")</f>
        <v>49507</v>
      </c>
      <c r="AM54" s="137">
        <f>SUMIFS(Database!$G:$G,Database!$D:$D,"Import",Database!$E:$E,$B54,Database!$C:$C,AM$1,Database!$F:$F,"Total")</f>
        <v>24730</v>
      </c>
      <c r="AN54" s="137">
        <f>SUMIFS(Database!$G:$G,Database!$D:$D,"Import",Database!$E:$E,$B54,Database!$C:$C,AN$1,Database!$F:$F,"Total")</f>
        <v>47091</v>
      </c>
      <c r="AO54" s="137">
        <f>SUMIFS(Database!$G:$G,Database!$D:$D,"Import",Database!$E:$E,$B54,Database!$C:$C,AO$1,Database!$F:$F,"Total")</f>
        <v>39563</v>
      </c>
      <c r="AP54" s="137">
        <f>SUMIFS(Database!$G:$G,Database!$D:$D,"Import",Database!$E:$E,$B54,Database!$C:$C,AP$1,Database!$F:$F,"Total")</f>
        <v>27117</v>
      </c>
      <c r="AQ54" s="137">
        <f>SUMIFS(Database!$G:$G,Database!$D:$D,"Import",Database!$E:$E,$B54,Database!$C:$C,AQ$1,Database!$F:$F,"Total")</f>
        <v>28072</v>
      </c>
      <c r="AR54" s="137">
        <f>SUMIFS(Database!$G:$G,Database!$D:$D,"Import",Database!$E:$E,$B54,Database!$C:$C,AR$1,Database!$F:$F,"Total")</f>
        <v>22386</v>
      </c>
      <c r="AS54" s="137">
        <f>SUMIFS(Database!$G:$G,Database!$D:$D,"Import",Database!$E:$E,$B54,Database!$C:$C,AS$1,Database!$F:$F,"Total")</f>
        <v>31328</v>
      </c>
      <c r="AT54" s="137">
        <f>SUMIFS(Database!$G:$G,Database!$D:$D,"Import",Database!$E:$E,$B54,Database!$C:$C,AT$1,Database!$F:$F,"Total")</f>
        <v>24582</v>
      </c>
      <c r="AU54" s="137">
        <f>SUMIFS(Database!$G:$G,Database!$D:$D,"Import",Database!$E:$E,$B54,Database!$C:$C,AU$1,Database!$F:$F,"Total")</f>
        <v>22925</v>
      </c>
      <c r="AV54" s="137">
        <f>SUMIFS(Database!$G:$G,Database!$D:$D,"Import",Database!$E:$E,$B54,Database!$C:$C,AV$1,Database!$F:$F,"Total")</f>
        <v>34421</v>
      </c>
      <c r="AW54" s="137">
        <f>SUMIFS(Database!$G:$G,Database!$D:$D,"Import",Database!$E:$E,$B54,Database!$C:$C,AW$1,Database!$F:$F,"Total")</f>
        <v>31237</v>
      </c>
      <c r="AX54" s="137">
        <f>SUMIFS(Database!$G:$G,Database!$D:$D,"Import",Database!$E:$E,$B54,Database!$C:$C,AX$1,Database!$F:$F,"Total")</f>
        <v>40204</v>
      </c>
      <c r="AY54" s="137">
        <f>SUMIFS(Database!$G:$G,Database!$D:$D,"Import",Database!$E:$E,$B54,Database!$C:$C,AY$1,Database!$F:$F,"Total")</f>
        <v>0</v>
      </c>
      <c r="AZ54" s="137">
        <f>SUMIFS(Database!$G:$G,Database!$D:$D,"Import",Database!$E:$E,$B54,Database!$C:$C,AZ$1,Database!$F:$F,"Total")</f>
        <v>0</v>
      </c>
      <c r="BA54" s="137">
        <f>SUMIFS(Database!$G:$G,Database!$D:$D,"Import",Database!$E:$E,$B54,Database!$C:$C,BA$1,Database!$F:$F,"Total")</f>
        <v>0</v>
      </c>
      <c r="BB54" s="137">
        <f>SUMIFS(Database!$G:$G,Database!$D:$D,"Import",Database!$E:$E,$B54,Database!$C:$C,BB$1,Database!$F:$F,"Total")</f>
        <v>0</v>
      </c>
      <c r="BC54" s="137">
        <f>SUMIFS(Database!$G:$G,Database!$D:$D,"Import",Database!$E:$E,$B54,Database!$C:$C,BC$1,Database!$F:$F,"Total")</f>
        <v>0</v>
      </c>
      <c r="BD54" s="137">
        <f>SUMIFS(Database!$G:$G,Database!$D:$D,"Import",Database!$E:$E,$B54,Database!$C:$C,BD$1,Database!$F:$F,"Total")</f>
        <v>0</v>
      </c>
      <c r="BE54" s="137">
        <f>SUMIFS(Database!$G:$G,Database!$D:$D,"Import",Database!$E:$E,$B54,Database!$C:$C,BE$1,Database!$F:$F,"Total")</f>
        <v>0</v>
      </c>
      <c r="BF54" s="137">
        <f>SUMIFS(Database!$G:$G,Database!$D:$D,"Import",Database!$E:$E,$B54,Database!$C:$C,BF$1,Database!$F:$F,"Total")</f>
        <v>0</v>
      </c>
      <c r="BG54" s="137">
        <f>SUMIFS(Database!$G:$G,Database!$D:$D,"Import",Database!$E:$E,$B54,Database!$C:$C,BG$1,Database!$F:$F,"Total")</f>
        <v>0</v>
      </c>
      <c r="BH54" s="137">
        <f>SUMIFS(Database!$G:$G,Database!$D:$D,"Import",Database!$E:$E,$B54,Database!$C:$C,BH$1,Database!$F:$F,"Total")</f>
        <v>0</v>
      </c>
      <c r="BI54" s="137">
        <f>SUMIFS(Database!$G:$G,Database!$D:$D,"Import",Database!$E:$E,$B54,Database!$C:$C,BI$1,Database!$F:$F,"Total")</f>
        <v>0</v>
      </c>
      <c r="BJ54" s="137">
        <f>SUMIFS(Database!$G:$G,Database!$D:$D,"Import",Database!$E:$E,$B54,Database!$C:$C,BJ$1,Database!$F:$F,"Total")</f>
        <v>0</v>
      </c>
      <c r="BK54" s="137">
        <f>SUMIFS(Database!$G:$G,Database!$D:$D,"Import",Database!$E:$E,$B54,Database!$C:$C,BK$1,Database!$F:$F,"Total")</f>
        <v>0</v>
      </c>
      <c r="BL54" s="137">
        <f>SUMIFS(Database!$G:$G,Database!$D:$D,"Import",Database!$E:$E,$B54,Database!$C:$C,BL$1,Database!$F:$F,"Total")</f>
        <v>0</v>
      </c>
      <c r="BM54" s="137">
        <f>SUMIFS(Database!$G:$G,Database!$D:$D,"Import",Database!$E:$E,$B54,Database!$C:$C,BM$1,Database!$F:$F,"Total")</f>
        <v>0</v>
      </c>
      <c r="BN54" s="137">
        <f>SUMIFS(Database!$G:$G,Database!$D:$D,"Import",Database!$E:$E,$B54,Database!$C:$C,BN$1,Database!$F:$F,"Total")</f>
        <v>0</v>
      </c>
      <c r="BO54" s="137">
        <f>SUMIFS(Database!$G:$G,Database!$D:$D,"Import",Database!$E:$E,$B54,Database!$C:$C,BO$1,Database!$F:$F,"Total")</f>
        <v>0</v>
      </c>
      <c r="BP54" s="137">
        <f>SUMIFS(Database!$G:$G,Database!$D:$D,"Import",Database!$E:$E,$B54,Database!$C:$C,BP$1,Database!$F:$F,"Total")</f>
        <v>0</v>
      </c>
      <c r="BQ54" s="137">
        <f>SUMIFS(Database!$G:$G,Database!$D:$D,"Import",Database!$E:$E,$B54,Database!$C:$C,BQ$1,Database!$F:$F,"Total")</f>
        <v>0</v>
      </c>
      <c r="BR54" s="137">
        <f>SUMIFS(Database!$G:$G,Database!$D:$D,"Import",Database!$E:$E,$B54,Database!$C:$C,BR$1,Database!$F:$F,"Total")</f>
        <v>0</v>
      </c>
      <c r="BS54" s="137">
        <f>SUMIFS(Database!$G:$G,Database!$D:$D,"Import",Database!$E:$E,$B54,Database!$C:$C,BS$1,Database!$F:$F,"Total")</f>
        <v>0</v>
      </c>
      <c r="BT54" s="137">
        <f>SUMIFS(Database!$G:$G,Database!$D:$D,"Import",Database!$E:$E,$B54,Database!$C:$C,BT$1,Database!$F:$F,"Total")</f>
        <v>0</v>
      </c>
      <c r="BU54" s="137">
        <f>SUMIFS(Database!$G:$G,Database!$D:$D,"Import",Database!$E:$E,$B54,Database!$C:$C,BU$1,Database!$F:$F,"Total")</f>
        <v>0</v>
      </c>
      <c r="BV54" s="137">
        <f>SUMIFS(Database!$G:$G,Database!$D:$D,"Import",Database!$E:$E,$B54,Database!$C:$C,BV$1,Database!$F:$F,"Total")</f>
        <v>0</v>
      </c>
      <c r="BW54" s="137">
        <f>SUMIFS(Database!$G:$G,Database!$D:$D,"Import",Database!$E:$E,$B54,Database!$C:$C,BW$1,Database!$F:$F,"Total")</f>
        <v>0</v>
      </c>
      <c r="BX54" s="137">
        <f>SUMIFS(Database!$G:$G,Database!$D:$D,"Import",Database!$E:$E,$B54,Database!$C:$C,BX$1,Database!$F:$F,"Total")</f>
        <v>0</v>
      </c>
      <c r="BY54" s="137">
        <f>SUMIFS(Database!$G:$G,Database!$D:$D,"Import",Database!$E:$E,$B54,Database!$C:$C,BY$1,Database!$F:$F,"Total")</f>
        <v>0</v>
      </c>
      <c r="BZ54" s="137">
        <f>SUMIFS(Database!$G:$G,Database!$D:$D,"Import",Database!$E:$E,$B54,Database!$C:$C,BZ$1,Database!$F:$F,"Total")</f>
        <v>0</v>
      </c>
      <c r="CA54" s="137">
        <f>SUMIFS(Database!$G:$G,Database!$D:$D,"Import",Database!$E:$E,$B54,Database!$C:$C,CA$1,Database!$F:$F,"Total")</f>
        <v>0</v>
      </c>
      <c r="CB54" s="137">
        <f>SUMIFS(Database!$G:$G,Database!$D:$D,"Import",Database!$E:$E,$B54,Database!$C:$C,CB$1,Database!$F:$F,"Total")</f>
        <v>0</v>
      </c>
      <c r="CC54" s="137">
        <f>SUMIFS(Database!$G:$G,Database!$D:$D,"Import",Database!$E:$E,$B54,Database!$C:$C,CC$1,Database!$F:$F,"Total")</f>
        <v>0</v>
      </c>
      <c r="CD54" s="137">
        <f>SUMIFS(Database!$G:$G,Database!$D:$D,"Import",Database!$E:$E,$B54,Database!$C:$C,CD$1,Database!$F:$F,"Total")</f>
        <v>0</v>
      </c>
      <c r="CE54" s="137">
        <f>SUMIFS(Database!$G:$G,Database!$D:$D,"Import",Database!$E:$E,$B54,Database!$C:$C,CE$1,Database!$F:$F,"Total")</f>
        <v>0</v>
      </c>
      <c r="CF54" s="137">
        <f>SUMIFS(Database!$G:$G,Database!$D:$D,"Import",Database!$E:$E,$B54,Database!$C:$C,CF$1,Database!$F:$F,"Total")</f>
        <v>0</v>
      </c>
      <c r="CG54" s="137">
        <f>SUMIFS(Database!$G:$G,Database!$D:$D,"Import",Database!$E:$E,$B54,Database!$C:$C,CG$1,Database!$F:$F,"Total")</f>
        <v>0</v>
      </c>
      <c r="CH54" s="137">
        <f>SUMIFS(Database!$G:$G,Database!$D:$D,"Import",Database!$E:$E,$B54,Database!$C:$C,CH$1,Database!$F:$F,"Total")</f>
        <v>0</v>
      </c>
      <c r="CI54" s="137">
        <f>SUMIFS(Database!$G:$G,Database!$D:$D,"Import",Database!$E:$E,$B54,Database!$C:$C,CI$1,Database!$F:$F,"Total")</f>
        <v>0</v>
      </c>
      <c r="CJ54" s="137">
        <f>SUMIFS(Database!$G:$G,Database!$D:$D,"Import",Database!$E:$E,$B54,Database!$C:$C,CJ$1,Database!$F:$F,"Total")</f>
        <v>0</v>
      </c>
      <c r="CK54" s="137">
        <f>SUMIFS(Database!$G:$G,Database!$D:$D,"Import",Database!$E:$E,$B54,Database!$C:$C,CK$1,Database!$F:$F,"Total")</f>
        <v>0</v>
      </c>
      <c r="CL54" s="137">
        <f>SUMIFS(Database!$G:$G,Database!$D:$D,"Import",Database!$E:$E,$B54,Database!$C:$C,CL$1,Database!$F:$F,"Total")</f>
        <v>0</v>
      </c>
      <c r="CM54" s="137">
        <f>SUMIFS(Database!$G:$G,Database!$D:$D,"Import",Database!$E:$E,$B54,Database!$C:$C,CM$1,Database!$F:$F,"Total")</f>
        <v>0</v>
      </c>
      <c r="CN54" s="137">
        <f>SUMIFS(Database!$G:$G,Database!$D:$D,"Import",Database!$E:$E,$B54,Database!$C:$C,CN$1,Database!$F:$F,"Total")</f>
        <v>0</v>
      </c>
      <c r="CO54" s="137">
        <f>SUMIFS(Database!$G:$G,Database!$D:$D,"Import",Database!$E:$E,$B54,Database!$C:$C,CO$1,Database!$F:$F,"Total")</f>
        <v>0</v>
      </c>
      <c r="CP54" s="137">
        <f>SUMIFS(Database!$G:$G,Database!$D:$D,"Import",Database!$E:$E,$B54,Database!$C:$C,CP$1,Database!$F:$F,"Total")</f>
        <v>0</v>
      </c>
      <c r="CQ54" s="137">
        <f>SUMIFS(Database!$G:$G,Database!$D:$D,"Import",Database!$E:$E,$B54,Database!$C:$C,CQ$1,Database!$F:$F,"Total")</f>
        <v>0</v>
      </c>
      <c r="CR54" s="137">
        <f>SUMIFS(Database!$G:$G,Database!$D:$D,"Import",Database!$E:$E,$B54,Database!$C:$C,CR$1,Database!$F:$F,"Total")</f>
        <v>0</v>
      </c>
      <c r="CS54" s="137">
        <f>SUMIFS(Database!$G:$G,Database!$D:$D,"Import",Database!$E:$E,$B54,Database!$C:$C,CS$1,Database!$F:$F,"Total")</f>
        <v>0</v>
      </c>
      <c r="CT54" s="137">
        <f>SUMIFS(Database!$G:$G,Database!$D:$D,"Import",Database!$E:$E,$B54,Database!$C:$C,CT$1,Database!$F:$F,"Total")</f>
        <v>0</v>
      </c>
      <c r="CU54" s="137">
        <f>SUMIFS(Database!$G:$G,Database!$D:$D,"Import",Database!$E:$E,$B54,Database!$C:$C,CU$1,Database!$F:$F,"Total")</f>
        <v>0</v>
      </c>
    </row>
    <row r="55" spans="1:99" x14ac:dyDescent="0.25">
      <c r="A55" s="132" t="s">
        <v>484</v>
      </c>
      <c r="B55" s="133" t="s">
        <v>66</v>
      </c>
      <c r="C55" s="137">
        <f>SUMIFS(Database!$G:$G,Database!$D:$D,"Import",Database!$E:$E,$B55,Database!$C:$C,C$1,Database!$F:$F,"Total")</f>
        <v>0</v>
      </c>
      <c r="D55" s="137">
        <f>SUMIFS(Database!$G:$G,Database!$D:$D,"Import",Database!$E:$E,$B55,Database!$C:$C,D$1,Database!$F:$F,"Total")</f>
        <v>0</v>
      </c>
      <c r="E55" s="137">
        <f>SUMIFS(Database!$G:$G,Database!$D:$D,"Import",Database!$E:$E,$B55,Database!$C:$C,E$1,Database!$F:$F,"Total")</f>
        <v>0</v>
      </c>
      <c r="F55" s="137">
        <f>SUMIFS(Database!$G:$G,Database!$D:$D,"Import",Database!$E:$E,$B55,Database!$C:$C,F$1,Database!$F:$F,"Total")</f>
        <v>0</v>
      </c>
      <c r="G55" s="137">
        <f>SUMIFS(Database!$G:$G,Database!$D:$D,"Import",Database!$E:$E,$B55,Database!$C:$C,G$1,Database!$F:$F,"Total")</f>
        <v>0</v>
      </c>
      <c r="H55" s="137">
        <f>SUMIFS(Database!$G:$G,Database!$D:$D,"Import",Database!$E:$E,$B55,Database!$C:$C,H$1,Database!$F:$F,"Total")</f>
        <v>0</v>
      </c>
      <c r="I55" s="137">
        <f>SUMIFS(Database!$G:$G,Database!$D:$D,"Import",Database!$E:$E,$B55,Database!$C:$C,I$1,Database!$F:$F,"Total")</f>
        <v>0</v>
      </c>
      <c r="J55" s="137">
        <f>SUMIFS(Database!$G:$G,Database!$D:$D,"Import",Database!$E:$E,$B55,Database!$C:$C,J$1,Database!$F:$F,"Total")</f>
        <v>0</v>
      </c>
      <c r="K55" s="137">
        <f>SUMIFS(Database!$G:$G,Database!$D:$D,"Import",Database!$E:$E,$B55,Database!$C:$C,K$1,Database!$F:$F,"Total")</f>
        <v>0</v>
      </c>
      <c r="L55" s="137">
        <f>SUMIFS(Database!$G:$G,Database!$D:$D,"Import",Database!$E:$E,$B55,Database!$C:$C,L$1,Database!$F:$F,"Total")</f>
        <v>0</v>
      </c>
      <c r="M55" s="137">
        <f>SUMIFS(Database!$G:$G,Database!$D:$D,"Import",Database!$E:$E,$B55,Database!$C:$C,M$1,Database!$F:$F,"Total")</f>
        <v>0</v>
      </c>
      <c r="N55" s="137">
        <f>SUMIFS(Database!$G:$G,Database!$D:$D,"Import",Database!$E:$E,$B55,Database!$C:$C,N$1,Database!$F:$F,"Total")</f>
        <v>0</v>
      </c>
      <c r="O55" s="137">
        <f>SUMIFS(Database!$G:$G,Database!$D:$D,"Import",Database!$E:$E,$B55,Database!$C:$C,O$1,Database!$F:$F,"Total")</f>
        <v>0</v>
      </c>
      <c r="P55" s="137">
        <f>SUMIFS(Database!$G:$G,Database!$D:$D,"Import",Database!$E:$E,$B55,Database!$C:$C,P$1,Database!$F:$F,"Total")</f>
        <v>0</v>
      </c>
      <c r="Q55" s="137">
        <f>SUMIFS(Database!$G:$G,Database!$D:$D,"Import",Database!$E:$E,$B55,Database!$C:$C,Q$1,Database!$F:$F,"Total")</f>
        <v>0</v>
      </c>
      <c r="R55" s="137">
        <f>SUMIFS(Database!$G:$G,Database!$D:$D,"Import",Database!$E:$E,$B55,Database!$C:$C,R$1,Database!$F:$F,"Total")</f>
        <v>0</v>
      </c>
      <c r="S55" s="137">
        <f>SUMIFS(Database!$G:$G,Database!$D:$D,"Import",Database!$E:$E,$B55,Database!$C:$C,S$1,Database!$F:$F,"Total")</f>
        <v>0</v>
      </c>
      <c r="T55" s="137">
        <f>SUMIFS(Database!$G:$G,Database!$D:$D,"Import",Database!$E:$E,$B55,Database!$C:$C,T$1,Database!$F:$F,"Total")</f>
        <v>0</v>
      </c>
      <c r="U55" s="137">
        <f>SUMIFS(Database!$G:$G,Database!$D:$D,"Import",Database!$E:$E,$B55,Database!$C:$C,U$1,Database!$F:$F,"Total")</f>
        <v>0</v>
      </c>
      <c r="V55" s="137">
        <f>SUMIFS(Database!$G:$G,Database!$D:$D,"Import",Database!$E:$E,$B55,Database!$C:$C,V$1,Database!$F:$F,"Total")</f>
        <v>0</v>
      </c>
      <c r="W55" s="137">
        <f>SUMIFS(Database!$G:$G,Database!$D:$D,"Import",Database!$E:$E,$B55,Database!$C:$C,W$1,Database!$F:$F,"Total")</f>
        <v>0</v>
      </c>
      <c r="X55" s="137">
        <f>SUMIFS(Database!$G:$G,Database!$D:$D,"Import",Database!$E:$E,$B55,Database!$C:$C,X$1,Database!$F:$F,"Total")</f>
        <v>0</v>
      </c>
      <c r="Y55" s="137">
        <f>SUMIFS(Database!$G:$G,Database!$D:$D,"Import",Database!$E:$E,$B55,Database!$C:$C,Y$1,Database!$F:$F,"Total")</f>
        <v>0</v>
      </c>
      <c r="Z55" s="137">
        <f>SUMIFS(Database!$G:$G,Database!$D:$D,"Import",Database!$E:$E,$B55,Database!$C:$C,Z$1,Database!$F:$F,"Total")</f>
        <v>0</v>
      </c>
      <c r="AA55" s="137">
        <f>SUMIFS(Database!$G:$G,Database!$D:$D,"Import",Database!$E:$E,$B55,Database!$C:$C,AA$1,Database!$F:$F,"Total")</f>
        <v>0</v>
      </c>
      <c r="AB55" s="137">
        <f>SUMIFS(Database!$G:$G,Database!$D:$D,"Import",Database!$E:$E,$B55,Database!$C:$C,AB$1,Database!$F:$F,"Total")</f>
        <v>0</v>
      </c>
      <c r="AC55" s="137">
        <f>SUMIFS(Database!$G:$G,Database!$D:$D,"Import",Database!$E:$E,$B55,Database!$C:$C,AC$1,Database!$F:$F,"Total")</f>
        <v>0</v>
      </c>
      <c r="AD55" s="137">
        <f>SUMIFS(Database!$G:$G,Database!$D:$D,"Import",Database!$E:$E,$B55,Database!$C:$C,AD$1,Database!$F:$F,"Total")</f>
        <v>0</v>
      </c>
      <c r="AE55" s="137">
        <f>SUMIFS(Database!$G:$G,Database!$D:$D,"Import",Database!$E:$E,$B55,Database!$C:$C,AE$1,Database!$F:$F,"Total")</f>
        <v>0</v>
      </c>
      <c r="AF55" s="137">
        <f>SUMIFS(Database!$G:$G,Database!$D:$D,"Import",Database!$E:$E,$B55,Database!$C:$C,AF$1,Database!$F:$F,"Total")</f>
        <v>0</v>
      </c>
      <c r="AG55" s="137">
        <f>SUMIFS(Database!$G:$G,Database!$D:$D,"Import",Database!$E:$E,$B55,Database!$C:$C,AG$1,Database!$F:$F,"Total")</f>
        <v>0</v>
      </c>
      <c r="AH55" s="137">
        <f>SUMIFS(Database!$G:$G,Database!$D:$D,"Import",Database!$E:$E,$B55,Database!$C:$C,AH$1,Database!$F:$F,"Total")</f>
        <v>0</v>
      </c>
      <c r="AI55" s="137">
        <f>SUMIFS(Database!$G:$G,Database!$D:$D,"Import",Database!$E:$E,$B55,Database!$C:$C,AI$1,Database!$F:$F,"Total")</f>
        <v>0</v>
      </c>
      <c r="AJ55" s="137">
        <f>SUMIFS(Database!$G:$G,Database!$D:$D,"Import",Database!$E:$E,$B55,Database!$C:$C,AJ$1,Database!$F:$F,"Total")</f>
        <v>0</v>
      </c>
      <c r="AK55" s="137">
        <f>SUMIFS(Database!$G:$G,Database!$D:$D,"Import",Database!$E:$E,$B55,Database!$C:$C,AK$1,Database!$F:$F,"Total")</f>
        <v>0</v>
      </c>
      <c r="AL55" s="137">
        <f>SUMIFS(Database!$G:$G,Database!$D:$D,"Import",Database!$E:$E,$B55,Database!$C:$C,AL$1,Database!$F:$F,"Total")</f>
        <v>0</v>
      </c>
      <c r="AM55" s="137">
        <f>SUMIFS(Database!$G:$G,Database!$D:$D,"Import",Database!$E:$E,$B55,Database!$C:$C,AM$1,Database!$F:$F,"Total")</f>
        <v>0</v>
      </c>
      <c r="AN55" s="137">
        <f>SUMIFS(Database!$G:$G,Database!$D:$D,"Import",Database!$E:$E,$B55,Database!$C:$C,AN$1,Database!$F:$F,"Total")</f>
        <v>0</v>
      </c>
      <c r="AO55" s="137">
        <f>SUMIFS(Database!$G:$G,Database!$D:$D,"Import",Database!$E:$E,$B55,Database!$C:$C,AO$1,Database!$F:$F,"Total")</f>
        <v>0</v>
      </c>
      <c r="AP55" s="137">
        <f>SUMIFS(Database!$G:$G,Database!$D:$D,"Import",Database!$E:$E,$B55,Database!$C:$C,AP$1,Database!$F:$F,"Total")</f>
        <v>0</v>
      </c>
      <c r="AQ55" s="137">
        <f>SUMIFS(Database!$G:$G,Database!$D:$D,"Import",Database!$E:$E,$B55,Database!$C:$C,AQ$1,Database!$F:$F,"Total")</f>
        <v>0</v>
      </c>
      <c r="AR55" s="137">
        <f>SUMIFS(Database!$G:$G,Database!$D:$D,"Import",Database!$E:$E,$B55,Database!$C:$C,AR$1,Database!$F:$F,"Total")</f>
        <v>0</v>
      </c>
      <c r="AS55" s="137">
        <f>SUMIFS(Database!$G:$G,Database!$D:$D,"Import",Database!$E:$E,$B55,Database!$C:$C,AS$1,Database!$F:$F,"Total")</f>
        <v>0</v>
      </c>
      <c r="AT55" s="137">
        <f>SUMIFS(Database!$G:$G,Database!$D:$D,"Import",Database!$E:$E,$B55,Database!$C:$C,AT$1,Database!$F:$F,"Total")</f>
        <v>0</v>
      </c>
      <c r="AU55" s="137">
        <f>SUMIFS(Database!$G:$G,Database!$D:$D,"Import",Database!$E:$E,$B55,Database!$C:$C,AU$1,Database!$F:$F,"Total")</f>
        <v>0</v>
      </c>
      <c r="AV55" s="137">
        <f>SUMIFS(Database!$G:$G,Database!$D:$D,"Import",Database!$E:$E,$B55,Database!$C:$C,AV$1,Database!$F:$F,"Total")</f>
        <v>0</v>
      </c>
      <c r="AW55" s="137">
        <f>SUMIFS(Database!$G:$G,Database!$D:$D,"Import",Database!$E:$E,$B55,Database!$C:$C,AW$1,Database!$F:$F,"Total")</f>
        <v>0</v>
      </c>
      <c r="AX55" s="137">
        <f>SUMIFS(Database!$G:$G,Database!$D:$D,"Import",Database!$E:$E,$B55,Database!$C:$C,AX$1,Database!$F:$F,"Total")</f>
        <v>0</v>
      </c>
      <c r="AY55" s="137">
        <f>SUMIFS(Database!$G:$G,Database!$D:$D,"Import",Database!$E:$E,$B55,Database!$C:$C,AY$1,Database!$F:$F,"Total")</f>
        <v>0</v>
      </c>
      <c r="AZ55" s="137">
        <f>SUMIFS(Database!$G:$G,Database!$D:$D,"Import",Database!$E:$E,$B55,Database!$C:$C,AZ$1,Database!$F:$F,"Total")</f>
        <v>0</v>
      </c>
      <c r="BA55" s="137">
        <f>SUMIFS(Database!$G:$G,Database!$D:$D,"Import",Database!$E:$E,$B55,Database!$C:$C,BA$1,Database!$F:$F,"Total")</f>
        <v>0</v>
      </c>
      <c r="BB55" s="137">
        <f>SUMIFS(Database!$G:$G,Database!$D:$D,"Import",Database!$E:$E,$B55,Database!$C:$C,BB$1,Database!$F:$F,"Total")</f>
        <v>0</v>
      </c>
      <c r="BC55" s="137">
        <f>SUMIFS(Database!$G:$G,Database!$D:$D,"Import",Database!$E:$E,$B55,Database!$C:$C,BC$1,Database!$F:$F,"Total")</f>
        <v>0</v>
      </c>
      <c r="BD55" s="137">
        <f>SUMIFS(Database!$G:$G,Database!$D:$D,"Import",Database!$E:$E,$B55,Database!$C:$C,BD$1,Database!$F:$F,"Total")</f>
        <v>0</v>
      </c>
      <c r="BE55" s="137">
        <f>SUMIFS(Database!$G:$G,Database!$D:$D,"Import",Database!$E:$E,$B55,Database!$C:$C,BE$1,Database!$F:$F,"Total")</f>
        <v>0</v>
      </c>
      <c r="BF55" s="137">
        <f>SUMIFS(Database!$G:$G,Database!$D:$D,"Import",Database!$E:$E,$B55,Database!$C:$C,BF$1,Database!$F:$F,"Total")</f>
        <v>0</v>
      </c>
      <c r="BG55" s="137">
        <f>SUMIFS(Database!$G:$G,Database!$D:$D,"Import",Database!$E:$E,$B55,Database!$C:$C,BG$1,Database!$F:$F,"Total")</f>
        <v>0</v>
      </c>
      <c r="BH55" s="137">
        <f>SUMIFS(Database!$G:$G,Database!$D:$D,"Import",Database!$E:$E,$B55,Database!$C:$C,BH$1,Database!$F:$F,"Total")</f>
        <v>114980</v>
      </c>
      <c r="BI55" s="137">
        <f>SUMIFS(Database!$G:$G,Database!$D:$D,"Import",Database!$E:$E,$B55,Database!$C:$C,BI$1,Database!$F:$F,"Total")</f>
        <v>115010</v>
      </c>
      <c r="BJ55" s="137">
        <f>SUMIFS(Database!$G:$G,Database!$D:$D,"Import",Database!$E:$E,$B55,Database!$C:$C,BJ$1,Database!$F:$F,"Total")</f>
        <v>101091</v>
      </c>
      <c r="BK55" s="137">
        <f>SUMIFS(Database!$G:$G,Database!$D:$D,"Import",Database!$E:$E,$B55,Database!$C:$C,BK$1,Database!$F:$F,"Total")</f>
        <v>119432</v>
      </c>
      <c r="BL55" s="137">
        <f>SUMIFS(Database!$G:$G,Database!$D:$D,"Import",Database!$E:$E,$B55,Database!$C:$C,BL$1,Database!$F:$F,"Total")</f>
        <v>0</v>
      </c>
      <c r="BM55" s="137">
        <f>SUMIFS(Database!$G:$G,Database!$D:$D,"Import",Database!$E:$E,$B55,Database!$C:$C,BM$1,Database!$F:$F,"Total")</f>
        <v>0</v>
      </c>
      <c r="BN55" s="137">
        <f>SUMIFS(Database!$G:$G,Database!$D:$D,"Import",Database!$E:$E,$B55,Database!$C:$C,BN$1,Database!$F:$F,"Total")</f>
        <v>266715</v>
      </c>
      <c r="BO55" s="137">
        <f>SUMIFS(Database!$G:$G,Database!$D:$D,"Import",Database!$E:$E,$B55,Database!$C:$C,BO$1,Database!$F:$F,"Total")</f>
        <v>0</v>
      </c>
      <c r="BP55" s="137">
        <f>SUMIFS(Database!$G:$G,Database!$D:$D,"Import",Database!$E:$E,$B55,Database!$C:$C,BP$1,Database!$F:$F,"Total")</f>
        <v>906739</v>
      </c>
      <c r="BQ55" s="137">
        <f>SUMIFS(Database!$G:$G,Database!$D:$D,"Import",Database!$E:$E,$B55,Database!$C:$C,BQ$1,Database!$F:$F,"Total")</f>
        <v>685423</v>
      </c>
      <c r="BR55" s="137">
        <f>SUMIFS(Database!$G:$G,Database!$D:$D,"Import",Database!$E:$E,$B55,Database!$C:$C,BR$1,Database!$F:$F,"Total")</f>
        <v>237014</v>
      </c>
      <c r="BS55" s="137">
        <f>SUMIFS(Database!$G:$G,Database!$D:$D,"Import",Database!$E:$E,$B55,Database!$C:$C,BS$1,Database!$F:$F,"Total")</f>
        <v>671300</v>
      </c>
      <c r="BT55" s="137">
        <f>SUMIFS(Database!$G:$G,Database!$D:$D,"Import",Database!$E:$E,$B55,Database!$C:$C,BT$1,Database!$F:$F,"Total")</f>
        <v>825634</v>
      </c>
      <c r="BU55" s="137">
        <f>SUMIFS(Database!$G:$G,Database!$D:$D,"Import",Database!$E:$E,$B55,Database!$C:$C,BU$1,Database!$F:$F,"Total")</f>
        <v>860287</v>
      </c>
      <c r="BV55" s="137">
        <f>SUMIFS(Database!$G:$G,Database!$D:$D,"Import",Database!$E:$E,$B55,Database!$C:$C,BV$1,Database!$F:$F,"Total")</f>
        <v>1015381</v>
      </c>
      <c r="BW55" s="137">
        <f>SUMIFS(Database!$G:$G,Database!$D:$D,"Import",Database!$E:$E,$B55,Database!$C:$C,BW$1,Database!$F:$F,"Total")</f>
        <v>928053</v>
      </c>
      <c r="BX55" s="137">
        <f>SUMIFS(Database!$G:$G,Database!$D:$D,"Import",Database!$E:$E,$B55,Database!$C:$C,BX$1,Database!$F:$F,"Total")</f>
        <v>839123</v>
      </c>
      <c r="BY55" s="137">
        <f>SUMIFS(Database!$G:$G,Database!$D:$D,"Import",Database!$E:$E,$B55,Database!$C:$C,BY$1,Database!$F:$F,"Total")</f>
        <v>1074302</v>
      </c>
      <c r="BZ55" s="137">
        <f>SUMIFS(Database!$G:$G,Database!$D:$D,"Import",Database!$E:$E,$B55,Database!$C:$C,BZ$1,Database!$F:$F,"Total")</f>
        <v>1140555</v>
      </c>
      <c r="CA55" s="137">
        <f>SUMIFS(Database!$G:$G,Database!$D:$D,"Import",Database!$E:$E,$B55,Database!$C:$C,CA$1,Database!$F:$F,"Total")</f>
        <v>951435</v>
      </c>
      <c r="CB55" s="137">
        <f>SUMIFS(Database!$G:$G,Database!$D:$D,"Import",Database!$E:$E,$B55,Database!$C:$C,CB$1,Database!$F:$F,"Total")</f>
        <v>0</v>
      </c>
      <c r="CC55" s="137">
        <f>SUMIFS(Database!$G:$G,Database!$D:$D,"Import",Database!$E:$E,$B55,Database!$C:$C,CC$1,Database!$F:$F,"Total")</f>
        <v>0</v>
      </c>
      <c r="CD55" s="137">
        <f>SUMIFS(Database!$G:$G,Database!$D:$D,"Import",Database!$E:$E,$B55,Database!$C:$C,CD$1,Database!$F:$F,"Total")</f>
        <v>0</v>
      </c>
      <c r="CE55" s="137">
        <f>SUMIFS(Database!$G:$G,Database!$D:$D,"Import",Database!$E:$E,$B55,Database!$C:$C,CE$1,Database!$F:$F,"Total")</f>
        <v>0</v>
      </c>
      <c r="CF55" s="137">
        <f>SUMIFS(Database!$G:$G,Database!$D:$D,"Import",Database!$E:$E,$B55,Database!$C:$C,CF$1,Database!$F:$F,"Total")</f>
        <v>0</v>
      </c>
      <c r="CG55" s="137">
        <f>SUMIFS(Database!$G:$G,Database!$D:$D,"Import",Database!$E:$E,$B55,Database!$C:$C,CG$1,Database!$F:$F,"Total")</f>
        <v>0</v>
      </c>
      <c r="CH55" s="137">
        <f>SUMIFS(Database!$G:$G,Database!$D:$D,"Import",Database!$E:$E,$B55,Database!$C:$C,CH$1,Database!$F:$F,"Total")</f>
        <v>0</v>
      </c>
      <c r="CI55" s="137">
        <f>SUMIFS(Database!$G:$G,Database!$D:$D,"Import",Database!$E:$E,$B55,Database!$C:$C,CI$1,Database!$F:$F,"Total")</f>
        <v>0</v>
      </c>
      <c r="CJ55" s="137">
        <f>SUMIFS(Database!$G:$G,Database!$D:$D,"Import",Database!$E:$E,$B55,Database!$C:$C,CJ$1,Database!$F:$F,"Total")</f>
        <v>0</v>
      </c>
      <c r="CK55" s="137">
        <f>SUMIFS(Database!$G:$G,Database!$D:$D,"Import",Database!$E:$E,$B55,Database!$C:$C,CK$1,Database!$F:$F,"Total")</f>
        <v>0</v>
      </c>
      <c r="CL55" s="137">
        <f>SUMIFS(Database!$G:$G,Database!$D:$D,"Import",Database!$E:$E,$B55,Database!$C:$C,CL$1,Database!$F:$F,"Total")</f>
        <v>0</v>
      </c>
      <c r="CM55" s="137">
        <f>SUMIFS(Database!$G:$G,Database!$D:$D,"Import",Database!$E:$E,$B55,Database!$C:$C,CM$1,Database!$F:$F,"Total")</f>
        <v>0</v>
      </c>
      <c r="CN55" s="137">
        <f>SUMIFS(Database!$G:$G,Database!$D:$D,"Import",Database!$E:$E,$B55,Database!$C:$C,CN$1,Database!$F:$F,"Total")</f>
        <v>0</v>
      </c>
      <c r="CO55" s="137">
        <f>SUMIFS(Database!$G:$G,Database!$D:$D,"Import",Database!$E:$E,$B55,Database!$C:$C,CO$1,Database!$F:$F,"Total")</f>
        <v>0</v>
      </c>
      <c r="CP55" s="137">
        <f>SUMIFS(Database!$G:$G,Database!$D:$D,"Import",Database!$E:$E,$B55,Database!$C:$C,CP$1,Database!$F:$F,"Total")</f>
        <v>0</v>
      </c>
      <c r="CQ55" s="137">
        <f>SUMIFS(Database!$G:$G,Database!$D:$D,"Import",Database!$E:$E,$B55,Database!$C:$C,CQ$1,Database!$F:$F,"Total")</f>
        <v>0</v>
      </c>
      <c r="CR55" s="137">
        <f>SUMIFS(Database!$G:$G,Database!$D:$D,"Import",Database!$E:$E,$B55,Database!$C:$C,CR$1,Database!$F:$F,"Total")</f>
        <v>0</v>
      </c>
      <c r="CS55" s="137">
        <f>SUMIFS(Database!$G:$G,Database!$D:$D,"Import",Database!$E:$E,$B55,Database!$C:$C,CS$1,Database!$F:$F,"Total")</f>
        <v>0</v>
      </c>
      <c r="CT55" s="137">
        <f>SUMIFS(Database!$G:$G,Database!$D:$D,"Import",Database!$E:$E,$B55,Database!$C:$C,CT$1,Database!$F:$F,"Total")</f>
        <v>0</v>
      </c>
      <c r="CU55" s="137">
        <f>SUMIFS(Database!$G:$G,Database!$D:$D,"Import",Database!$E:$E,$B55,Database!$C:$C,CU$1,Database!$F:$F,"Total")</f>
        <v>0</v>
      </c>
    </row>
    <row r="56" spans="1:99" x14ac:dyDescent="0.25">
      <c r="A56" s="132" t="s">
        <v>484</v>
      </c>
      <c r="B56" s="133" t="s">
        <v>460</v>
      </c>
      <c r="C56" s="137">
        <f>SUMIFS(Database!$G:$G,Database!$D:$D,"Import",Database!$E:$E,$B56,Database!$C:$C,C$1,Database!$F:$F,"Total")</f>
        <v>0</v>
      </c>
      <c r="D56" s="137">
        <f>SUMIFS(Database!$G:$G,Database!$D:$D,"Import",Database!$E:$E,$B56,Database!$C:$C,D$1,Database!$F:$F,"Total")</f>
        <v>0</v>
      </c>
      <c r="E56" s="137">
        <f>SUMIFS(Database!$G:$G,Database!$D:$D,"Import",Database!$E:$E,$B56,Database!$C:$C,E$1,Database!$F:$F,"Total")</f>
        <v>0</v>
      </c>
      <c r="F56" s="137">
        <f>SUMIFS(Database!$G:$G,Database!$D:$D,"Import",Database!$E:$E,$B56,Database!$C:$C,F$1,Database!$F:$F,"Total")</f>
        <v>0</v>
      </c>
      <c r="G56" s="137">
        <f>SUMIFS(Database!$G:$G,Database!$D:$D,"Import",Database!$E:$E,$B56,Database!$C:$C,G$1,Database!$F:$F,"Total")</f>
        <v>0</v>
      </c>
      <c r="H56" s="137">
        <f>SUMIFS(Database!$G:$G,Database!$D:$D,"Import",Database!$E:$E,$B56,Database!$C:$C,H$1,Database!$F:$F,"Total")</f>
        <v>0</v>
      </c>
      <c r="I56" s="137">
        <f>SUMIFS(Database!$G:$G,Database!$D:$D,"Import",Database!$E:$E,$B56,Database!$C:$C,I$1,Database!$F:$F,"Total")</f>
        <v>0</v>
      </c>
      <c r="J56" s="137">
        <f>SUMIFS(Database!$G:$G,Database!$D:$D,"Import",Database!$E:$E,$B56,Database!$C:$C,J$1,Database!$F:$F,"Total")</f>
        <v>0</v>
      </c>
      <c r="K56" s="137">
        <f>SUMIFS(Database!$G:$G,Database!$D:$D,"Import",Database!$E:$E,$B56,Database!$C:$C,K$1,Database!$F:$F,"Total")</f>
        <v>0</v>
      </c>
      <c r="L56" s="137">
        <f>SUMIFS(Database!$G:$G,Database!$D:$D,"Import",Database!$E:$E,$B56,Database!$C:$C,L$1,Database!$F:$F,"Total")</f>
        <v>0</v>
      </c>
      <c r="M56" s="137">
        <f>SUMIFS(Database!$G:$G,Database!$D:$D,"Import",Database!$E:$E,$B56,Database!$C:$C,M$1,Database!$F:$F,"Total")</f>
        <v>0</v>
      </c>
      <c r="N56" s="137">
        <f>SUMIFS(Database!$G:$G,Database!$D:$D,"Import",Database!$E:$E,$B56,Database!$C:$C,N$1,Database!$F:$F,"Total")</f>
        <v>0</v>
      </c>
      <c r="O56" s="137">
        <f>SUMIFS(Database!$G:$G,Database!$D:$D,"Import",Database!$E:$E,$B56,Database!$C:$C,O$1,Database!$F:$F,"Total")</f>
        <v>0</v>
      </c>
      <c r="P56" s="137">
        <f>SUMIFS(Database!$G:$G,Database!$D:$D,"Import",Database!$E:$E,$B56,Database!$C:$C,P$1,Database!$F:$F,"Total")</f>
        <v>0</v>
      </c>
      <c r="Q56" s="137">
        <f>SUMIFS(Database!$G:$G,Database!$D:$D,"Import",Database!$E:$E,$B56,Database!$C:$C,Q$1,Database!$F:$F,"Total")</f>
        <v>0</v>
      </c>
      <c r="R56" s="137">
        <f>SUMIFS(Database!$G:$G,Database!$D:$D,"Import",Database!$E:$E,$B56,Database!$C:$C,R$1,Database!$F:$F,"Total")</f>
        <v>0</v>
      </c>
      <c r="S56" s="137">
        <f>SUMIFS(Database!$G:$G,Database!$D:$D,"Import",Database!$E:$E,$B56,Database!$C:$C,S$1,Database!$F:$F,"Total")</f>
        <v>0</v>
      </c>
      <c r="T56" s="137">
        <f>SUMIFS(Database!$G:$G,Database!$D:$D,"Import",Database!$E:$E,$B56,Database!$C:$C,T$1,Database!$F:$F,"Total")</f>
        <v>0</v>
      </c>
      <c r="U56" s="137">
        <f>SUMIFS(Database!$G:$G,Database!$D:$D,"Import",Database!$E:$E,$B56,Database!$C:$C,U$1,Database!$F:$F,"Total")</f>
        <v>0</v>
      </c>
      <c r="V56" s="137">
        <f>SUMIFS(Database!$G:$G,Database!$D:$D,"Import",Database!$E:$E,$B56,Database!$C:$C,V$1,Database!$F:$F,"Total")</f>
        <v>0</v>
      </c>
      <c r="W56" s="137">
        <f>SUMIFS(Database!$G:$G,Database!$D:$D,"Import",Database!$E:$E,$B56,Database!$C:$C,W$1,Database!$F:$F,"Total")</f>
        <v>0</v>
      </c>
      <c r="X56" s="137">
        <f>SUMIFS(Database!$G:$G,Database!$D:$D,"Import",Database!$E:$E,$B56,Database!$C:$C,X$1,Database!$F:$F,"Total")</f>
        <v>0</v>
      </c>
      <c r="Y56" s="137">
        <f>SUMIFS(Database!$G:$G,Database!$D:$D,"Import",Database!$E:$E,$B56,Database!$C:$C,Y$1,Database!$F:$F,"Total")</f>
        <v>0</v>
      </c>
      <c r="Z56" s="137">
        <f>SUMIFS(Database!$G:$G,Database!$D:$D,"Import",Database!$E:$E,$B56,Database!$C:$C,Z$1,Database!$F:$F,"Total")</f>
        <v>0</v>
      </c>
      <c r="AA56" s="137">
        <f>SUMIFS(Database!$G:$G,Database!$D:$D,"Import",Database!$E:$E,$B56,Database!$C:$C,AA$1,Database!$F:$F,"Total")</f>
        <v>0</v>
      </c>
      <c r="AB56" s="137">
        <f>SUMIFS(Database!$G:$G,Database!$D:$D,"Import",Database!$E:$E,$B56,Database!$C:$C,AB$1,Database!$F:$F,"Total")</f>
        <v>0</v>
      </c>
      <c r="AC56" s="137">
        <f>SUMIFS(Database!$G:$G,Database!$D:$D,"Import",Database!$E:$E,$B56,Database!$C:$C,AC$1,Database!$F:$F,"Total")</f>
        <v>0</v>
      </c>
      <c r="AD56" s="137">
        <f>SUMIFS(Database!$G:$G,Database!$D:$D,"Import",Database!$E:$E,$B56,Database!$C:$C,AD$1,Database!$F:$F,"Total")</f>
        <v>0</v>
      </c>
      <c r="AE56" s="137">
        <f>SUMIFS(Database!$G:$G,Database!$D:$D,"Import",Database!$E:$E,$B56,Database!$C:$C,AE$1,Database!$F:$F,"Total")</f>
        <v>0</v>
      </c>
      <c r="AF56" s="137">
        <f>SUMIFS(Database!$G:$G,Database!$D:$D,"Import",Database!$E:$E,$B56,Database!$C:$C,AF$1,Database!$F:$F,"Total")</f>
        <v>0</v>
      </c>
      <c r="AG56" s="137">
        <f>SUMIFS(Database!$G:$G,Database!$D:$D,"Import",Database!$E:$E,$B56,Database!$C:$C,AG$1,Database!$F:$F,"Total")</f>
        <v>0</v>
      </c>
      <c r="AH56" s="137">
        <f>SUMIFS(Database!$G:$G,Database!$D:$D,"Import",Database!$E:$E,$B56,Database!$C:$C,AH$1,Database!$F:$F,"Total")</f>
        <v>0</v>
      </c>
      <c r="AI56" s="137">
        <f>SUMIFS(Database!$G:$G,Database!$D:$D,"Import",Database!$E:$E,$B56,Database!$C:$C,AI$1,Database!$F:$F,"Total")</f>
        <v>0</v>
      </c>
      <c r="AJ56" s="137">
        <f>SUMIFS(Database!$G:$G,Database!$D:$D,"Import",Database!$E:$E,$B56,Database!$C:$C,AJ$1,Database!$F:$F,"Total")</f>
        <v>0</v>
      </c>
      <c r="AK56" s="137">
        <f>SUMIFS(Database!$G:$G,Database!$D:$D,"Import",Database!$E:$E,$B56,Database!$C:$C,AK$1,Database!$F:$F,"Total")</f>
        <v>0</v>
      </c>
      <c r="AL56" s="137">
        <f>SUMIFS(Database!$G:$G,Database!$D:$D,"Import",Database!$E:$E,$B56,Database!$C:$C,AL$1,Database!$F:$F,"Total")</f>
        <v>0</v>
      </c>
      <c r="AM56" s="137">
        <f>SUMIFS(Database!$G:$G,Database!$D:$D,"Import",Database!$E:$E,$B56,Database!$C:$C,AM$1,Database!$F:$F,"Total")</f>
        <v>0</v>
      </c>
      <c r="AN56" s="137">
        <f>SUMIFS(Database!$G:$G,Database!$D:$D,"Import",Database!$E:$E,$B56,Database!$C:$C,AN$1,Database!$F:$F,"Total")</f>
        <v>0</v>
      </c>
      <c r="AO56" s="137">
        <f>SUMIFS(Database!$G:$G,Database!$D:$D,"Import",Database!$E:$E,$B56,Database!$C:$C,AO$1,Database!$F:$F,"Total")</f>
        <v>0</v>
      </c>
      <c r="AP56" s="137">
        <f>SUMIFS(Database!$G:$G,Database!$D:$D,"Import",Database!$E:$E,$B56,Database!$C:$C,AP$1,Database!$F:$F,"Total")</f>
        <v>0</v>
      </c>
      <c r="AQ56" s="137">
        <f>SUMIFS(Database!$G:$G,Database!$D:$D,"Import",Database!$E:$E,$B56,Database!$C:$C,AQ$1,Database!$F:$F,"Total")</f>
        <v>0</v>
      </c>
      <c r="AR56" s="137">
        <f>SUMIFS(Database!$G:$G,Database!$D:$D,"Import",Database!$E:$E,$B56,Database!$C:$C,AR$1,Database!$F:$F,"Total")</f>
        <v>0</v>
      </c>
      <c r="AS56" s="137">
        <f>SUMIFS(Database!$G:$G,Database!$D:$D,"Import",Database!$E:$E,$B56,Database!$C:$C,AS$1,Database!$F:$F,"Total")</f>
        <v>0</v>
      </c>
      <c r="AT56" s="137">
        <f>SUMIFS(Database!$G:$G,Database!$D:$D,"Import",Database!$E:$E,$B56,Database!$C:$C,AT$1,Database!$F:$F,"Total")</f>
        <v>0</v>
      </c>
      <c r="AU56" s="137">
        <f>SUMIFS(Database!$G:$G,Database!$D:$D,"Import",Database!$E:$E,$B56,Database!$C:$C,AU$1,Database!$F:$F,"Total")</f>
        <v>0</v>
      </c>
      <c r="AV56" s="137">
        <f>SUMIFS(Database!$G:$G,Database!$D:$D,"Import",Database!$E:$E,$B56,Database!$C:$C,AV$1,Database!$F:$F,"Total")</f>
        <v>0</v>
      </c>
      <c r="AW56" s="137">
        <f>SUMIFS(Database!$G:$G,Database!$D:$D,"Import",Database!$E:$E,$B56,Database!$C:$C,AW$1,Database!$F:$F,"Total")</f>
        <v>0</v>
      </c>
      <c r="AX56" s="137">
        <f>SUMIFS(Database!$G:$G,Database!$D:$D,"Import",Database!$E:$E,$B56,Database!$C:$C,AX$1,Database!$F:$F,"Total")</f>
        <v>0</v>
      </c>
      <c r="AY56" s="137">
        <f>SUMIFS(Database!$G:$G,Database!$D:$D,"Import",Database!$E:$E,$B56,Database!$C:$C,AY$1,Database!$F:$F,"Total")</f>
        <v>0</v>
      </c>
      <c r="AZ56" s="137">
        <f>SUMIFS(Database!$G:$G,Database!$D:$D,"Import",Database!$E:$E,$B56,Database!$C:$C,AZ$1,Database!$F:$F,"Total")</f>
        <v>0</v>
      </c>
      <c r="BA56" s="137">
        <f>SUMIFS(Database!$G:$G,Database!$D:$D,"Import",Database!$E:$E,$B56,Database!$C:$C,BA$1,Database!$F:$F,"Total")</f>
        <v>0</v>
      </c>
      <c r="BB56" s="137">
        <f>SUMIFS(Database!$G:$G,Database!$D:$D,"Import",Database!$E:$E,$B56,Database!$C:$C,BB$1,Database!$F:$F,"Total")</f>
        <v>0</v>
      </c>
      <c r="BC56" s="137">
        <f>SUMIFS(Database!$G:$G,Database!$D:$D,"Import",Database!$E:$E,$B56,Database!$C:$C,BC$1,Database!$F:$F,"Total")</f>
        <v>0</v>
      </c>
      <c r="BD56" s="137">
        <f>SUMIFS(Database!$G:$G,Database!$D:$D,"Import",Database!$E:$E,$B56,Database!$C:$C,BD$1,Database!$F:$F,"Total")</f>
        <v>0</v>
      </c>
      <c r="BE56" s="137">
        <f>SUMIFS(Database!$G:$G,Database!$D:$D,"Import",Database!$E:$E,$B56,Database!$C:$C,BE$1,Database!$F:$F,"Total")</f>
        <v>0</v>
      </c>
      <c r="BF56" s="137">
        <f>SUMIFS(Database!$G:$G,Database!$D:$D,"Import",Database!$E:$E,$B56,Database!$C:$C,BF$1,Database!$F:$F,"Total")</f>
        <v>0</v>
      </c>
      <c r="BG56" s="137">
        <f>SUMIFS(Database!$G:$G,Database!$D:$D,"Import",Database!$E:$E,$B56,Database!$C:$C,BG$1,Database!$F:$F,"Total")</f>
        <v>0</v>
      </c>
      <c r="BH56" s="137">
        <f>SUMIFS(Database!$G:$G,Database!$D:$D,"Import",Database!$E:$E,$B56,Database!$C:$C,BH$1,Database!$F:$F,"Total")</f>
        <v>0</v>
      </c>
      <c r="BI56" s="137">
        <f>SUMIFS(Database!$G:$G,Database!$D:$D,"Import",Database!$E:$E,$B56,Database!$C:$C,BI$1,Database!$F:$F,"Total")</f>
        <v>0</v>
      </c>
      <c r="BJ56" s="137">
        <f>SUMIFS(Database!$G:$G,Database!$D:$D,"Import",Database!$E:$E,$B56,Database!$C:$C,BJ$1,Database!$F:$F,"Total")</f>
        <v>0</v>
      </c>
      <c r="BK56" s="137">
        <f>SUMIFS(Database!$G:$G,Database!$D:$D,"Import",Database!$E:$E,$B56,Database!$C:$C,BK$1,Database!$F:$F,"Total")</f>
        <v>0</v>
      </c>
      <c r="BL56" s="137">
        <f>SUMIFS(Database!$G:$G,Database!$D:$D,"Import",Database!$E:$E,$B56,Database!$C:$C,BL$1,Database!$F:$F,"Total")</f>
        <v>0</v>
      </c>
      <c r="BM56" s="137">
        <f>SUMIFS(Database!$G:$G,Database!$D:$D,"Import",Database!$E:$E,$B56,Database!$C:$C,BM$1,Database!$F:$F,"Total")</f>
        <v>0</v>
      </c>
      <c r="BN56" s="137">
        <f>SUMIFS(Database!$G:$G,Database!$D:$D,"Import",Database!$E:$E,$B56,Database!$C:$C,BN$1,Database!$F:$F,"Total")</f>
        <v>0</v>
      </c>
      <c r="BO56" s="137">
        <f>SUMIFS(Database!$G:$G,Database!$D:$D,"Import",Database!$E:$E,$B56,Database!$C:$C,BO$1,Database!$F:$F,"Total")</f>
        <v>0</v>
      </c>
      <c r="BP56" s="137">
        <f>SUMIFS(Database!$G:$G,Database!$D:$D,"Import",Database!$E:$E,$B56,Database!$C:$C,BP$1,Database!$F:$F,"Total")</f>
        <v>0</v>
      </c>
      <c r="BQ56" s="137">
        <f>SUMIFS(Database!$G:$G,Database!$D:$D,"Import",Database!$E:$E,$B56,Database!$C:$C,BQ$1,Database!$F:$F,"Total")</f>
        <v>0</v>
      </c>
      <c r="BR56" s="137">
        <f>SUMIFS(Database!$G:$G,Database!$D:$D,"Import",Database!$E:$E,$B56,Database!$C:$C,BR$1,Database!$F:$F,"Total")</f>
        <v>4592</v>
      </c>
      <c r="BS56" s="137">
        <f>SUMIFS(Database!$G:$G,Database!$D:$D,"Import",Database!$E:$E,$B56,Database!$C:$C,BS$1,Database!$F:$F,"Total")</f>
        <v>0</v>
      </c>
      <c r="BT56" s="137">
        <f>SUMIFS(Database!$G:$G,Database!$D:$D,"Import",Database!$E:$E,$B56,Database!$C:$C,BT$1,Database!$F:$F,"Total")</f>
        <v>0</v>
      </c>
      <c r="BU56" s="137">
        <f>SUMIFS(Database!$G:$G,Database!$D:$D,"Import",Database!$E:$E,$B56,Database!$C:$C,BU$1,Database!$F:$F,"Total")</f>
        <v>0</v>
      </c>
      <c r="BV56" s="137">
        <f>SUMIFS(Database!$G:$G,Database!$D:$D,"Import",Database!$E:$E,$B56,Database!$C:$C,BV$1,Database!$F:$F,"Total")</f>
        <v>0</v>
      </c>
      <c r="BW56" s="137">
        <f>SUMIFS(Database!$G:$G,Database!$D:$D,"Import",Database!$E:$E,$B56,Database!$C:$C,BW$1,Database!$F:$F,"Total")</f>
        <v>0</v>
      </c>
      <c r="BX56" s="137">
        <f>SUMIFS(Database!$G:$G,Database!$D:$D,"Import",Database!$E:$E,$B56,Database!$C:$C,BX$1,Database!$F:$F,"Total")</f>
        <v>0</v>
      </c>
      <c r="BY56" s="137">
        <f>SUMIFS(Database!$G:$G,Database!$D:$D,"Import",Database!$E:$E,$B56,Database!$C:$C,BY$1,Database!$F:$F,"Total")</f>
        <v>0</v>
      </c>
      <c r="BZ56" s="137">
        <f>SUMIFS(Database!$G:$G,Database!$D:$D,"Import",Database!$E:$E,$B56,Database!$C:$C,BZ$1,Database!$F:$F,"Total")</f>
        <v>0</v>
      </c>
      <c r="CA56" s="137">
        <f>SUMIFS(Database!$G:$G,Database!$D:$D,"Import",Database!$E:$E,$B56,Database!$C:$C,CA$1,Database!$F:$F,"Total")</f>
        <v>0</v>
      </c>
      <c r="CB56" s="137">
        <f>SUMIFS(Database!$G:$G,Database!$D:$D,"Import",Database!$E:$E,$B56,Database!$C:$C,CB$1,Database!$F:$F,"Total")</f>
        <v>0</v>
      </c>
      <c r="CC56" s="137">
        <f>SUMIFS(Database!$G:$G,Database!$D:$D,"Import",Database!$E:$E,$B56,Database!$C:$C,CC$1,Database!$F:$F,"Total")</f>
        <v>0</v>
      </c>
      <c r="CD56" s="137">
        <f>SUMIFS(Database!$G:$G,Database!$D:$D,"Import",Database!$E:$E,$B56,Database!$C:$C,CD$1,Database!$F:$F,"Total")</f>
        <v>0</v>
      </c>
      <c r="CE56" s="137">
        <f>SUMIFS(Database!$G:$G,Database!$D:$D,"Import",Database!$E:$E,$B56,Database!$C:$C,CE$1,Database!$F:$F,"Total")</f>
        <v>0</v>
      </c>
      <c r="CF56" s="137">
        <f>SUMIFS(Database!$G:$G,Database!$D:$D,"Import",Database!$E:$E,$B56,Database!$C:$C,CF$1,Database!$F:$F,"Total")</f>
        <v>0</v>
      </c>
      <c r="CG56" s="137">
        <f>SUMIFS(Database!$G:$G,Database!$D:$D,"Import",Database!$E:$E,$B56,Database!$C:$C,CG$1,Database!$F:$F,"Total")</f>
        <v>0</v>
      </c>
      <c r="CH56" s="137">
        <f>SUMIFS(Database!$G:$G,Database!$D:$D,"Import",Database!$E:$E,$B56,Database!$C:$C,CH$1,Database!$F:$F,"Total")</f>
        <v>0</v>
      </c>
      <c r="CI56" s="137">
        <f>SUMIFS(Database!$G:$G,Database!$D:$D,"Import",Database!$E:$E,$B56,Database!$C:$C,CI$1,Database!$F:$F,"Total")</f>
        <v>0</v>
      </c>
      <c r="CJ56" s="137">
        <f>SUMIFS(Database!$G:$G,Database!$D:$D,"Import",Database!$E:$E,$B56,Database!$C:$C,CJ$1,Database!$F:$F,"Total")</f>
        <v>0</v>
      </c>
      <c r="CK56" s="137">
        <f>SUMIFS(Database!$G:$G,Database!$D:$D,"Import",Database!$E:$E,$B56,Database!$C:$C,CK$1,Database!$F:$F,"Total")</f>
        <v>0</v>
      </c>
      <c r="CL56" s="137">
        <f>SUMIFS(Database!$G:$G,Database!$D:$D,"Import",Database!$E:$E,$B56,Database!$C:$C,CL$1,Database!$F:$F,"Total")</f>
        <v>0</v>
      </c>
      <c r="CM56" s="137">
        <f>SUMIFS(Database!$G:$G,Database!$D:$D,"Import",Database!$E:$E,$B56,Database!$C:$C,CM$1,Database!$F:$F,"Total")</f>
        <v>0</v>
      </c>
      <c r="CN56" s="137">
        <f>SUMIFS(Database!$G:$G,Database!$D:$D,"Import",Database!$E:$E,$B56,Database!$C:$C,CN$1,Database!$F:$F,"Total")</f>
        <v>0</v>
      </c>
      <c r="CO56" s="137">
        <f>SUMIFS(Database!$G:$G,Database!$D:$D,"Import",Database!$E:$E,$B56,Database!$C:$C,CO$1,Database!$F:$F,"Total")</f>
        <v>0</v>
      </c>
      <c r="CP56" s="137">
        <f>SUMIFS(Database!$G:$G,Database!$D:$D,"Import",Database!$E:$E,$B56,Database!$C:$C,CP$1,Database!$F:$F,"Total")</f>
        <v>0</v>
      </c>
      <c r="CQ56" s="137">
        <f>SUMIFS(Database!$G:$G,Database!$D:$D,"Import",Database!$E:$E,$B56,Database!$C:$C,CQ$1,Database!$F:$F,"Total")</f>
        <v>0</v>
      </c>
      <c r="CR56" s="137">
        <f>SUMIFS(Database!$G:$G,Database!$D:$D,"Import",Database!$E:$E,$B56,Database!$C:$C,CR$1,Database!$F:$F,"Total")</f>
        <v>0</v>
      </c>
      <c r="CS56" s="137">
        <f>SUMIFS(Database!$G:$G,Database!$D:$D,"Import",Database!$E:$E,$B56,Database!$C:$C,CS$1,Database!$F:$F,"Total")</f>
        <v>0</v>
      </c>
      <c r="CT56" s="137">
        <f>SUMIFS(Database!$G:$G,Database!$D:$D,"Import",Database!$E:$E,$B56,Database!$C:$C,CT$1,Database!$F:$F,"Total")</f>
        <v>0</v>
      </c>
      <c r="CU56" s="137">
        <f>SUMIFS(Database!$G:$G,Database!$D:$D,"Import",Database!$E:$E,$B56,Database!$C:$C,CU$1,Database!$F:$F,"Total")</f>
        <v>0</v>
      </c>
    </row>
    <row r="57" spans="1:99" x14ac:dyDescent="0.25">
      <c r="A57" s="132" t="s">
        <v>484</v>
      </c>
      <c r="B57" s="133" t="s">
        <v>392</v>
      </c>
      <c r="C57" s="137">
        <f>SUMIFS(Database!$G:$G,Database!$D:$D,"Import",Database!$E:$E,$B57,Database!$C:$C,C$1,Database!$F:$F,"Total")</f>
        <v>0</v>
      </c>
      <c r="D57" s="137">
        <f>SUMIFS(Database!$G:$G,Database!$D:$D,"Import",Database!$E:$E,$B57,Database!$C:$C,D$1,Database!$F:$F,"Total")</f>
        <v>0</v>
      </c>
      <c r="E57" s="137">
        <f>SUMIFS(Database!$G:$G,Database!$D:$D,"Import",Database!$E:$E,$B57,Database!$C:$C,E$1,Database!$F:$F,"Total")</f>
        <v>0</v>
      </c>
      <c r="F57" s="137">
        <f>SUMIFS(Database!$G:$G,Database!$D:$D,"Import",Database!$E:$E,$B57,Database!$C:$C,F$1,Database!$F:$F,"Total")</f>
        <v>0</v>
      </c>
      <c r="G57" s="137">
        <f>SUMIFS(Database!$G:$G,Database!$D:$D,"Import",Database!$E:$E,$B57,Database!$C:$C,G$1,Database!$F:$F,"Total")</f>
        <v>0</v>
      </c>
      <c r="H57" s="137">
        <f>SUMIFS(Database!$G:$G,Database!$D:$D,"Import",Database!$E:$E,$B57,Database!$C:$C,H$1,Database!$F:$F,"Total")</f>
        <v>0</v>
      </c>
      <c r="I57" s="137">
        <f>SUMIFS(Database!$G:$G,Database!$D:$D,"Import",Database!$E:$E,$B57,Database!$C:$C,I$1,Database!$F:$F,"Total")</f>
        <v>0</v>
      </c>
      <c r="J57" s="137">
        <f>SUMIFS(Database!$G:$G,Database!$D:$D,"Import",Database!$E:$E,$B57,Database!$C:$C,J$1,Database!$F:$F,"Total")</f>
        <v>0</v>
      </c>
      <c r="K57" s="137">
        <f>SUMIFS(Database!$G:$G,Database!$D:$D,"Import",Database!$E:$E,$B57,Database!$C:$C,K$1,Database!$F:$F,"Total")</f>
        <v>0</v>
      </c>
      <c r="L57" s="137">
        <f>SUMIFS(Database!$G:$G,Database!$D:$D,"Import",Database!$E:$E,$B57,Database!$C:$C,L$1,Database!$F:$F,"Total")</f>
        <v>0</v>
      </c>
      <c r="M57" s="137">
        <f>SUMIFS(Database!$G:$G,Database!$D:$D,"Import",Database!$E:$E,$B57,Database!$C:$C,M$1,Database!$F:$F,"Total")</f>
        <v>0</v>
      </c>
      <c r="N57" s="137">
        <f>SUMIFS(Database!$G:$G,Database!$D:$D,"Import",Database!$E:$E,$B57,Database!$C:$C,N$1,Database!$F:$F,"Total")</f>
        <v>0</v>
      </c>
      <c r="O57" s="137">
        <f>SUMIFS(Database!$G:$G,Database!$D:$D,"Import",Database!$E:$E,$B57,Database!$C:$C,O$1,Database!$F:$F,"Total")</f>
        <v>0</v>
      </c>
      <c r="P57" s="137">
        <f>SUMIFS(Database!$G:$G,Database!$D:$D,"Import",Database!$E:$E,$B57,Database!$C:$C,P$1,Database!$F:$F,"Total")</f>
        <v>0</v>
      </c>
      <c r="Q57" s="137">
        <f>SUMIFS(Database!$G:$G,Database!$D:$D,"Import",Database!$E:$E,$B57,Database!$C:$C,Q$1,Database!$F:$F,"Total")</f>
        <v>0</v>
      </c>
      <c r="R57" s="137">
        <f>SUMIFS(Database!$G:$G,Database!$D:$D,"Import",Database!$E:$E,$B57,Database!$C:$C,R$1,Database!$F:$F,"Total")</f>
        <v>0</v>
      </c>
      <c r="S57" s="137">
        <f>SUMIFS(Database!$G:$G,Database!$D:$D,"Import",Database!$E:$E,$B57,Database!$C:$C,S$1,Database!$F:$F,"Total")</f>
        <v>0</v>
      </c>
      <c r="T57" s="137">
        <f>SUMIFS(Database!$G:$G,Database!$D:$D,"Import",Database!$E:$E,$B57,Database!$C:$C,T$1,Database!$F:$F,"Total")</f>
        <v>0</v>
      </c>
      <c r="U57" s="137">
        <f>SUMIFS(Database!$G:$G,Database!$D:$D,"Import",Database!$E:$E,$B57,Database!$C:$C,U$1,Database!$F:$F,"Total")</f>
        <v>0</v>
      </c>
      <c r="V57" s="137">
        <f>SUMIFS(Database!$G:$G,Database!$D:$D,"Import",Database!$E:$E,$B57,Database!$C:$C,V$1,Database!$F:$F,"Total")</f>
        <v>0</v>
      </c>
      <c r="W57" s="137">
        <f>SUMIFS(Database!$G:$G,Database!$D:$D,"Import",Database!$E:$E,$B57,Database!$C:$C,W$1,Database!$F:$F,"Total")</f>
        <v>0</v>
      </c>
      <c r="X57" s="137">
        <f>SUMIFS(Database!$G:$G,Database!$D:$D,"Import",Database!$E:$E,$B57,Database!$C:$C,X$1,Database!$F:$F,"Total")</f>
        <v>0</v>
      </c>
      <c r="Y57" s="137">
        <f>SUMIFS(Database!$G:$G,Database!$D:$D,"Import",Database!$E:$E,$B57,Database!$C:$C,Y$1,Database!$F:$F,"Total")</f>
        <v>0</v>
      </c>
      <c r="Z57" s="137">
        <f>SUMIFS(Database!$G:$G,Database!$D:$D,"Import",Database!$E:$E,$B57,Database!$C:$C,Z$1,Database!$F:$F,"Total")</f>
        <v>0</v>
      </c>
      <c r="AA57" s="137">
        <f>SUMIFS(Database!$G:$G,Database!$D:$D,"Import",Database!$E:$E,$B57,Database!$C:$C,AA$1,Database!$F:$F,"Total")</f>
        <v>0</v>
      </c>
      <c r="AB57" s="137">
        <f>SUMIFS(Database!$G:$G,Database!$D:$D,"Import",Database!$E:$E,$B57,Database!$C:$C,AB$1,Database!$F:$F,"Total")</f>
        <v>0</v>
      </c>
      <c r="AC57" s="137">
        <f>SUMIFS(Database!$G:$G,Database!$D:$D,"Import",Database!$E:$E,$B57,Database!$C:$C,AC$1,Database!$F:$F,"Total")</f>
        <v>0</v>
      </c>
      <c r="AD57" s="137">
        <f>SUMIFS(Database!$G:$G,Database!$D:$D,"Import",Database!$E:$E,$B57,Database!$C:$C,AD$1,Database!$F:$F,"Total")</f>
        <v>0</v>
      </c>
      <c r="AE57" s="137">
        <f>SUMIFS(Database!$G:$G,Database!$D:$D,"Import",Database!$E:$E,$B57,Database!$C:$C,AE$1,Database!$F:$F,"Total")</f>
        <v>0</v>
      </c>
      <c r="AF57" s="137">
        <f>SUMIFS(Database!$G:$G,Database!$D:$D,"Import",Database!$E:$E,$B57,Database!$C:$C,AF$1,Database!$F:$F,"Total")</f>
        <v>0</v>
      </c>
      <c r="AG57" s="137">
        <f>SUMIFS(Database!$G:$G,Database!$D:$D,"Import",Database!$E:$E,$B57,Database!$C:$C,AG$1,Database!$F:$F,"Total")</f>
        <v>0</v>
      </c>
      <c r="AH57" s="137">
        <f>SUMIFS(Database!$G:$G,Database!$D:$D,"Import",Database!$E:$E,$B57,Database!$C:$C,AH$1,Database!$F:$F,"Total")</f>
        <v>0</v>
      </c>
      <c r="AI57" s="137">
        <f>SUMIFS(Database!$G:$G,Database!$D:$D,"Import",Database!$E:$E,$B57,Database!$C:$C,AI$1,Database!$F:$F,"Total")</f>
        <v>0</v>
      </c>
      <c r="AJ57" s="137">
        <f>SUMIFS(Database!$G:$G,Database!$D:$D,"Import",Database!$E:$E,$B57,Database!$C:$C,AJ$1,Database!$F:$F,"Total")</f>
        <v>0</v>
      </c>
      <c r="AK57" s="137">
        <f>SUMIFS(Database!$G:$G,Database!$D:$D,"Import",Database!$E:$E,$B57,Database!$C:$C,AK$1,Database!$F:$F,"Total")</f>
        <v>0</v>
      </c>
      <c r="AL57" s="137">
        <f>SUMIFS(Database!$G:$G,Database!$D:$D,"Import",Database!$E:$E,$B57,Database!$C:$C,AL$1,Database!$F:$F,"Total")</f>
        <v>0</v>
      </c>
      <c r="AM57" s="137">
        <f>SUMIFS(Database!$G:$G,Database!$D:$D,"Import",Database!$E:$E,$B57,Database!$C:$C,AM$1,Database!$F:$F,"Total")</f>
        <v>0</v>
      </c>
      <c r="AN57" s="137">
        <f>SUMIFS(Database!$G:$G,Database!$D:$D,"Import",Database!$E:$E,$B57,Database!$C:$C,AN$1,Database!$F:$F,"Total")</f>
        <v>0</v>
      </c>
      <c r="AO57" s="137">
        <f>SUMIFS(Database!$G:$G,Database!$D:$D,"Import",Database!$E:$E,$B57,Database!$C:$C,AO$1,Database!$F:$F,"Total")</f>
        <v>0</v>
      </c>
      <c r="AP57" s="137">
        <f>SUMIFS(Database!$G:$G,Database!$D:$D,"Import",Database!$E:$E,$B57,Database!$C:$C,AP$1,Database!$F:$F,"Total")</f>
        <v>0</v>
      </c>
      <c r="AQ57" s="137">
        <f>SUMIFS(Database!$G:$G,Database!$D:$D,"Import",Database!$E:$E,$B57,Database!$C:$C,AQ$1,Database!$F:$F,"Total")</f>
        <v>0</v>
      </c>
      <c r="AR57" s="137">
        <f>SUMIFS(Database!$G:$G,Database!$D:$D,"Import",Database!$E:$E,$B57,Database!$C:$C,AR$1,Database!$F:$F,"Total")</f>
        <v>0</v>
      </c>
      <c r="AS57" s="137">
        <f>SUMIFS(Database!$G:$G,Database!$D:$D,"Import",Database!$E:$E,$B57,Database!$C:$C,AS$1,Database!$F:$F,"Total")</f>
        <v>0</v>
      </c>
      <c r="AT57" s="137">
        <f>SUMIFS(Database!$G:$G,Database!$D:$D,"Import",Database!$E:$E,$B57,Database!$C:$C,AT$1,Database!$F:$F,"Total")</f>
        <v>0</v>
      </c>
      <c r="AU57" s="137">
        <f>SUMIFS(Database!$G:$G,Database!$D:$D,"Import",Database!$E:$E,$B57,Database!$C:$C,AU$1,Database!$F:$F,"Total")</f>
        <v>0</v>
      </c>
      <c r="AV57" s="137">
        <f>SUMIFS(Database!$G:$G,Database!$D:$D,"Import",Database!$E:$E,$B57,Database!$C:$C,AV$1,Database!$F:$F,"Total")</f>
        <v>16</v>
      </c>
      <c r="AW57" s="137">
        <f>SUMIFS(Database!$G:$G,Database!$D:$D,"Import",Database!$E:$E,$B57,Database!$C:$C,AW$1,Database!$F:$F,"Total")</f>
        <v>0</v>
      </c>
      <c r="AX57" s="137">
        <f>SUMIFS(Database!$G:$G,Database!$D:$D,"Import",Database!$E:$E,$B57,Database!$C:$C,AX$1,Database!$F:$F,"Total")</f>
        <v>0</v>
      </c>
      <c r="AY57" s="137">
        <f>SUMIFS(Database!$G:$G,Database!$D:$D,"Import",Database!$E:$E,$B57,Database!$C:$C,AY$1,Database!$F:$F,"Total")</f>
        <v>0</v>
      </c>
      <c r="AZ57" s="137">
        <f>SUMIFS(Database!$G:$G,Database!$D:$D,"Import",Database!$E:$E,$B57,Database!$C:$C,AZ$1,Database!$F:$F,"Total")</f>
        <v>0</v>
      </c>
      <c r="BA57" s="137">
        <f>SUMIFS(Database!$G:$G,Database!$D:$D,"Import",Database!$E:$E,$B57,Database!$C:$C,BA$1,Database!$F:$F,"Total")</f>
        <v>0</v>
      </c>
      <c r="BB57" s="137">
        <f>SUMIFS(Database!$G:$G,Database!$D:$D,"Import",Database!$E:$E,$B57,Database!$C:$C,BB$1,Database!$F:$F,"Total")</f>
        <v>5201</v>
      </c>
      <c r="BC57" s="137">
        <f>SUMIFS(Database!$G:$G,Database!$D:$D,"Import",Database!$E:$E,$B57,Database!$C:$C,BC$1,Database!$F:$F,"Total")</f>
        <v>0</v>
      </c>
      <c r="BD57" s="137">
        <f>SUMIFS(Database!$G:$G,Database!$D:$D,"Import",Database!$E:$E,$B57,Database!$C:$C,BD$1,Database!$F:$F,"Total")</f>
        <v>0</v>
      </c>
      <c r="BE57" s="137">
        <f>SUMIFS(Database!$G:$G,Database!$D:$D,"Import",Database!$E:$E,$B57,Database!$C:$C,BE$1,Database!$F:$F,"Total")</f>
        <v>0</v>
      </c>
      <c r="BF57" s="137">
        <f>SUMIFS(Database!$G:$G,Database!$D:$D,"Import",Database!$E:$E,$B57,Database!$C:$C,BF$1,Database!$F:$F,"Total")</f>
        <v>0</v>
      </c>
      <c r="BG57" s="137">
        <f>SUMIFS(Database!$G:$G,Database!$D:$D,"Import",Database!$E:$E,$B57,Database!$C:$C,BG$1,Database!$F:$F,"Total")</f>
        <v>0</v>
      </c>
      <c r="BH57" s="137">
        <f>SUMIFS(Database!$G:$G,Database!$D:$D,"Import",Database!$E:$E,$B57,Database!$C:$C,BH$1,Database!$F:$F,"Total")</f>
        <v>0</v>
      </c>
      <c r="BI57" s="137">
        <f>SUMIFS(Database!$G:$G,Database!$D:$D,"Import",Database!$E:$E,$B57,Database!$C:$C,BI$1,Database!$F:$F,"Total")</f>
        <v>0</v>
      </c>
      <c r="BJ57" s="137">
        <f>SUMIFS(Database!$G:$G,Database!$D:$D,"Import",Database!$E:$E,$B57,Database!$C:$C,BJ$1,Database!$F:$F,"Total")</f>
        <v>0</v>
      </c>
      <c r="BK57" s="137">
        <f>SUMIFS(Database!$G:$G,Database!$D:$D,"Import",Database!$E:$E,$B57,Database!$C:$C,BK$1,Database!$F:$F,"Total")</f>
        <v>0</v>
      </c>
      <c r="BL57" s="137">
        <f>SUMIFS(Database!$G:$G,Database!$D:$D,"Import",Database!$E:$E,$B57,Database!$C:$C,BL$1,Database!$F:$F,"Total")</f>
        <v>0</v>
      </c>
      <c r="BM57" s="137">
        <f>SUMIFS(Database!$G:$G,Database!$D:$D,"Import",Database!$E:$E,$B57,Database!$C:$C,BM$1,Database!$F:$F,"Total")</f>
        <v>0</v>
      </c>
      <c r="BN57" s="137">
        <f>SUMIFS(Database!$G:$G,Database!$D:$D,"Import",Database!$E:$E,$B57,Database!$C:$C,BN$1,Database!$F:$F,"Total")</f>
        <v>0</v>
      </c>
      <c r="BO57" s="137">
        <f>SUMIFS(Database!$G:$G,Database!$D:$D,"Import",Database!$E:$E,$B57,Database!$C:$C,BO$1,Database!$F:$F,"Total")</f>
        <v>0</v>
      </c>
      <c r="BP57" s="137">
        <f>SUMIFS(Database!$G:$G,Database!$D:$D,"Import",Database!$E:$E,$B57,Database!$C:$C,BP$1,Database!$F:$F,"Total")</f>
        <v>0</v>
      </c>
      <c r="BQ57" s="137">
        <f>SUMIFS(Database!$G:$G,Database!$D:$D,"Import",Database!$E:$E,$B57,Database!$C:$C,BQ$1,Database!$F:$F,"Total")</f>
        <v>0</v>
      </c>
      <c r="BR57" s="137">
        <f>SUMIFS(Database!$G:$G,Database!$D:$D,"Import",Database!$E:$E,$B57,Database!$C:$C,BR$1,Database!$F:$F,"Total")</f>
        <v>0</v>
      </c>
      <c r="BS57" s="137">
        <f>SUMIFS(Database!$G:$G,Database!$D:$D,"Import",Database!$E:$E,$B57,Database!$C:$C,BS$1,Database!$F:$F,"Total")</f>
        <v>0</v>
      </c>
      <c r="BT57" s="137">
        <f>SUMIFS(Database!$G:$G,Database!$D:$D,"Import",Database!$E:$E,$B57,Database!$C:$C,BT$1,Database!$F:$F,"Total")</f>
        <v>0</v>
      </c>
      <c r="BU57" s="137">
        <f>SUMIFS(Database!$G:$G,Database!$D:$D,"Import",Database!$E:$E,$B57,Database!$C:$C,BU$1,Database!$F:$F,"Total")</f>
        <v>0</v>
      </c>
      <c r="BV57" s="137">
        <f>SUMIFS(Database!$G:$G,Database!$D:$D,"Import",Database!$E:$E,$B57,Database!$C:$C,BV$1,Database!$F:$F,"Total")</f>
        <v>0</v>
      </c>
      <c r="BW57" s="137">
        <f>SUMIFS(Database!$G:$G,Database!$D:$D,"Import",Database!$E:$E,$B57,Database!$C:$C,BW$1,Database!$F:$F,"Total")</f>
        <v>0</v>
      </c>
      <c r="BX57" s="137">
        <f>SUMIFS(Database!$G:$G,Database!$D:$D,"Import",Database!$E:$E,$B57,Database!$C:$C,BX$1,Database!$F:$F,"Total")</f>
        <v>0</v>
      </c>
      <c r="BY57" s="137">
        <f>SUMIFS(Database!$G:$G,Database!$D:$D,"Import",Database!$E:$E,$B57,Database!$C:$C,BY$1,Database!$F:$F,"Total")</f>
        <v>0</v>
      </c>
      <c r="BZ57" s="137">
        <f>SUMIFS(Database!$G:$G,Database!$D:$D,"Import",Database!$E:$E,$B57,Database!$C:$C,BZ$1,Database!$F:$F,"Total")</f>
        <v>0</v>
      </c>
      <c r="CA57" s="137">
        <f>SUMIFS(Database!$G:$G,Database!$D:$D,"Import",Database!$E:$E,$B57,Database!$C:$C,CA$1,Database!$F:$F,"Total")</f>
        <v>0</v>
      </c>
      <c r="CB57" s="137">
        <f>SUMIFS(Database!$G:$G,Database!$D:$D,"Import",Database!$E:$E,$B57,Database!$C:$C,CB$1,Database!$F:$F,"Total")</f>
        <v>0</v>
      </c>
      <c r="CC57" s="137">
        <f>SUMIFS(Database!$G:$G,Database!$D:$D,"Import",Database!$E:$E,$B57,Database!$C:$C,CC$1,Database!$F:$F,"Total")</f>
        <v>0</v>
      </c>
      <c r="CD57" s="137">
        <f>SUMIFS(Database!$G:$G,Database!$D:$D,"Import",Database!$E:$E,$B57,Database!$C:$C,CD$1,Database!$F:$F,"Total")</f>
        <v>0</v>
      </c>
      <c r="CE57" s="137">
        <f>SUMIFS(Database!$G:$G,Database!$D:$D,"Import",Database!$E:$E,$B57,Database!$C:$C,CE$1,Database!$F:$F,"Total")</f>
        <v>0</v>
      </c>
      <c r="CF57" s="137">
        <f>SUMIFS(Database!$G:$G,Database!$D:$D,"Import",Database!$E:$E,$B57,Database!$C:$C,CF$1,Database!$F:$F,"Total")</f>
        <v>0</v>
      </c>
      <c r="CG57" s="137">
        <f>SUMIFS(Database!$G:$G,Database!$D:$D,"Import",Database!$E:$E,$B57,Database!$C:$C,CG$1,Database!$F:$F,"Total")</f>
        <v>0</v>
      </c>
      <c r="CH57" s="137">
        <f>SUMIFS(Database!$G:$G,Database!$D:$D,"Import",Database!$E:$E,$B57,Database!$C:$C,CH$1,Database!$F:$F,"Total")</f>
        <v>0</v>
      </c>
      <c r="CI57" s="137">
        <f>SUMIFS(Database!$G:$G,Database!$D:$D,"Import",Database!$E:$E,$B57,Database!$C:$C,CI$1,Database!$F:$F,"Total")</f>
        <v>0</v>
      </c>
      <c r="CJ57" s="137">
        <f>SUMIFS(Database!$G:$G,Database!$D:$D,"Import",Database!$E:$E,$B57,Database!$C:$C,CJ$1,Database!$F:$F,"Total")</f>
        <v>0</v>
      </c>
      <c r="CK57" s="137">
        <f>SUMIFS(Database!$G:$G,Database!$D:$D,"Import",Database!$E:$E,$B57,Database!$C:$C,CK$1,Database!$F:$F,"Total")</f>
        <v>0</v>
      </c>
      <c r="CL57" s="137">
        <f>SUMIFS(Database!$G:$G,Database!$D:$D,"Import",Database!$E:$E,$B57,Database!$C:$C,CL$1,Database!$F:$F,"Total")</f>
        <v>0</v>
      </c>
      <c r="CM57" s="137">
        <f>SUMIFS(Database!$G:$G,Database!$D:$D,"Import",Database!$E:$E,$B57,Database!$C:$C,CM$1,Database!$F:$F,"Total")</f>
        <v>0</v>
      </c>
      <c r="CN57" s="137">
        <f>SUMIFS(Database!$G:$G,Database!$D:$D,"Import",Database!$E:$E,$B57,Database!$C:$C,CN$1,Database!$F:$F,"Total")</f>
        <v>0</v>
      </c>
      <c r="CO57" s="137">
        <f>SUMIFS(Database!$G:$G,Database!$D:$D,"Import",Database!$E:$E,$B57,Database!$C:$C,CO$1,Database!$F:$F,"Total")</f>
        <v>0</v>
      </c>
      <c r="CP57" s="137">
        <f>SUMIFS(Database!$G:$G,Database!$D:$D,"Import",Database!$E:$E,$B57,Database!$C:$C,CP$1,Database!$F:$F,"Total")</f>
        <v>0</v>
      </c>
      <c r="CQ57" s="137">
        <f>SUMIFS(Database!$G:$G,Database!$D:$D,"Import",Database!$E:$E,$B57,Database!$C:$C,CQ$1,Database!$F:$F,"Total")</f>
        <v>0</v>
      </c>
      <c r="CR57" s="137">
        <f>SUMIFS(Database!$G:$G,Database!$D:$D,"Import",Database!$E:$E,$B57,Database!$C:$C,CR$1,Database!$F:$F,"Total")</f>
        <v>0</v>
      </c>
      <c r="CS57" s="137">
        <f>SUMIFS(Database!$G:$G,Database!$D:$D,"Import",Database!$E:$E,$B57,Database!$C:$C,CS$1,Database!$F:$F,"Total")</f>
        <v>0</v>
      </c>
      <c r="CT57" s="137">
        <f>SUMIFS(Database!$G:$G,Database!$D:$D,"Import",Database!$E:$E,$B57,Database!$C:$C,CT$1,Database!$F:$F,"Total")</f>
        <v>0</v>
      </c>
      <c r="CU57" s="137">
        <f>SUMIFS(Database!$G:$G,Database!$D:$D,"Import",Database!$E:$E,$B57,Database!$C:$C,CU$1,Database!$F:$F,"Total")</f>
        <v>0</v>
      </c>
    </row>
    <row r="58" spans="1:99" x14ac:dyDescent="0.25">
      <c r="A58" s="132" t="s">
        <v>484</v>
      </c>
      <c r="B58" s="133" t="s">
        <v>69</v>
      </c>
      <c r="C58" s="137">
        <f>SUMIFS(Database!$G:$G,Database!$D:$D,"Import",Database!$E:$E,$B58,Database!$C:$C,C$1,Database!$F:$F,"Total")</f>
        <v>0</v>
      </c>
      <c r="D58" s="137">
        <f>SUMIFS(Database!$G:$G,Database!$D:$D,"Import",Database!$E:$E,$B58,Database!$C:$C,D$1,Database!$F:$F,"Total")</f>
        <v>0</v>
      </c>
      <c r="E58" s="137">
        <f>SUMIFS(Database!$G:$G,Database!$D:$D,"Import",Database!$E:$E,$B58,Database!$C:$C,E$1,Database!$F:$F,"Total")</f>
        <v>0</v>
      </c>
      <c r="F58" s="137">
        <f>SUMIFS(Database!$G:$G,Database!$D:$D,"Import",Database!$E:$E,$B58,Database!$C:$C,F$1,Database!$F:$F,"Total")</f>
        <v>0</v>
      </c>
      <c r="G58" s="137">
        <f>SUMIFS(Database!$G:$G,Database!$D:$D,"Import",Database!$E:$E,$B58,Database!$C:$C,G$1,Database!$F:$F,"Total")</f>
        <v>0</v>
      </c>
      <c r="H58" s="137">
        <f>SUMIFS(Database!$G:$G,Database!$D:$D,"Import",Database!$E:$E,$B58,Database!$C:$C,H$1,Database!$F:$F,"Total")</f>
        <v>0</v>
      </c>
      <c r="I58" s="137">
        <f>SUMIFS(Database!$G:$G,Database!$D:$D,"Import",Database!$E:$E,$B58,Database!$C:$C,I$1,Database!$F:$F,"Total")</f>
        <v>0</v>
      </c>
      <c r="J58" s="137">
        <f>SUMIFS(Database!$G:$G,Database!$D:$D,"Import",Database!$E:$E,$B58,Database!$C:$C,J$1,Database!$F:$F,"Total")</f>
        <v>0</v>
      </c>
      <c r="K58" s="137">
        <f>SUMIFS(Database!$G:$G,Database!$D:$D,"Import",Database!$E:$E,$B58,Database!$C:$C,K$1,Database!$F:$F,"Total")</f>
        <v>0</v>
      </c>
      <c r="L58" s="137">
        <f>SUMIFS(Database!$G:$G,Database!$D:$D,"Import",Database!$E:$E,$B58,Database!$C:$C,L$1,Database!$F:$F,"Total")</f>
        <v>0</v>
      </c>
      <c r="M58" s="137">
        <f>SUMIFS(Database!$G:$G,Database!$D:$D,"Import",Database!$E:$E,$B58,Database!$C:$C,M$1,Database!$F:$F,"Total")</f>
        <v>0</v>
      </c>
      <c r="N58" s="137">
        <f>SUMIFS(Database!$G:$G,Database!$D:$D,"Import",Database!$E:$E,$B58,Database!$C:$C,N$1,Database!$F:$F,"Total")</f>
        <v>0</v>
      </c>
      <c r="O58" s="137">
        <f>SUMIFS(Database!$G:$G,Database!$D:$D,"Import",Database!$E:$E,$B58,Database!$C:$C,O$1,Database!$F:$F,"Total")</f>
        <v>0</v>
      </c>
      <c r="P58" s="137">
        <f>SUMIFS(Database!$G:$G,Database!$D:$D,"Import",Database!$E:$E,$B58,Database!$C:$C,P$1,Database!$F:$F,"Total")</f>
        <v>0</v>
      </c>
      <c r="Q58" s="137">
        <f>SUMIFS(Database!$G:$G,Database!$D:$D,"Import",Database!$E:$E,$B58,Database!$C:$C,Q$1,Database!$F:$F,"Total")</f>
        <v>0</v>
      </c>
      <c r="R58" s="137">
        <f>SUMIFS(Database!$G:$G,Database!$D:$D,"Import",Database!$E:$E,$B58,Database!$C:$C,R$1,Database!$F:$F,"Total")</f>
        <v>0</v>
      </c>
      <c r="S58" s="137">
        <f>SUMIFS(Database!$G:$G,Database!$D:$D,"Import",Database!$E:$E,$B58,Database!$C:$C,S$1,Database!$F:$F,"Total")</f>
        <v>0</v>
      </c>
      <c r="T58" s="137">
        <f>SUMIFS(Database!$G:$G,Database!$D:$D,"Import",Database!$E:$E,$B58,Database!$C:$C,T$1,Database!$F:$F,"Total")</f>
        <v>0</v>
      </c>
      <c r="U58" s="137">
        <f>SUMIFS(Database!$G:$G,Database!$D:$D,"Import",Database!$E:$E,$B58,Database!$C:$C,U$1,Database!$F:$F,"Total")</f>
        <v>0</v>
      </c>
      <c r="V58" s="137">
        <f>SUMIFS(Database!$G:$G,Database!$D:$D,"Import",Database!$E:$E,$B58,Database!$C:$C,V$1,Database!$F:$F,"Total")</f>
        <v>0</v>
      </c>
      <c r="W58" s="137">
        <f>SUMIFS(Database!$G:$G,Database!$D:$D,"Import",Database!$E:$E,$B58,Database!$C:$C,W$1,Database!$F:$F,"Total")</f>
        <v>0</v>
      </c>
      <c r="X58" s="137">
        <f>SUMIFS(Database!$G:$G,Database!$D:$D,"Import",Database!$E:$E,$B58,Database!$C:$C,X$1,Database!$F:$F,"Total")</f>
        <v>0</v>
      </c>
      <c r="Y58" s="137">
        <f>SUMIFS(Database!$G:$G,Database!$D:$D,"Import",Database!$E:$E,$B58,Database!$C:$C,Y$1,Database!$F:$F,"Total")</f>
        <v>0</v>
      </c>
      <c r="Z58" s="137">
        <f>SUMIFS(Database!$G:$G,Database!$D:$D,"Import",Database!$E:$E,$B58,Database!$C:$C,Z$1,Database!$F:$F,"Total")</f>
        <v>0</v>
      </c>
      <c r="AA58" s="137">
        <f>SUMIFS(Database!$G:$G,Database!$D:$D,"Import",Database!$E:$E,$B58,Database!$C:$C,AA$1,Database!$F:$F,"Total")</f>
        <v>0</v>
      </c>
      <c r="AB58" s="137">
        <f>SUMIFS(Database!$G:$G,Database!$D:$D,"Import",Database!$E:$E,$B58,Database!$C:$C,AB$1,Database!$F:$F,"Total")</f>
        <v>0</v>
      </c>
      <c r="AC58" s="137">
        <f>SUMIFS(Database!$G:$G,Database!$D:$D,"Import",Database!$E:$E,$B58,Database!$C:$C,AC$1,Database!$F:$F,"Total")</f>
        <v>0</v>
      </c>
      <c r="AD58" s="137">
        <f>SUMIFS(Database!$G:$G,Database!$D:$D,"Import",Database!$E:$E,$B58,Database!$C:$C,AD$1,Database!$F:$F,"Total")</f>
        <v>0</v>
      </c>
      <c r="AE58" s="137">
        <f>SUMIFS(Database!$G:$G,Database!$D:$D,"Import",Database!$E:$E,$B58,Database!$C:$C,AE$1,Database!$F:$F,"Total")</f>
        <v>0</v>
      </c>
      <c r="AF58" s="137">
        <f>SUMIFS(Database!$G:$G,Database!$D:$D,"Import",Database!$E:$E,$B58,Database!$C:$C,AF$1,Database!$F:$F,"Total")</f>
        <v>0</v>
      </c>
      <c r="AG58" s="137">
        <f>SUMIFS(Database!$G:$G,Database!$D:$D,"Import",Database!$E:$E,$B58,Database!$C:$C,AG$1,Database!$F:$F,"Total")</f>
        <v>0</v>
      </c>
      <c r="AH58" s="137">
        <f>SUMIFS(Database!$G:$G,Database!$D:$D,"Import",Database!$E:$E,$B58,Database!$C:$C,AH$1,Database!$F:$F,"Total")</f>
        <v>0</v>
      </c>
      <c r="AI58" s="137">
        <f>SUMIFS(Database!$G:$G,Database!$D:$D,"Import",Database!$E:$E,$B58,Database!$C:$C,AI$1,Database!$F:$F,"Total")</f>
        <v>199</v>
      </c>
      <c r="AJ58" s="137">
        <f>SUMIFS(Database!$G:$G,Database!$D:$D,"Import",Database!$E:$E,$B58,Database!$C:$C,AJ$1,Database!$F:$F,"Total")</f>
        <v>140</v>
      </c>
      <c r="AK58" s="137">
        <f>SUMIFS(Database!$G:$G,Database!$D:$D,"Import",Database!$E:$E,$B58,Database!$C:$C,AK$1,Database!$F:$F,"Total")</f>
        <v>383</v>
      </c>
      <c r="AL58" s="137">
        <f>SUMIFS(Database!$G:$G,Database!$D:$D,"Import",Database!$E:$E,$B58,Database!$C:$C,AL$1,Database!$F:$F,"Total")</f>
        <v>288</v>
      </c>
      <c r="AM58" s="137">
        <f>SUMIFS(Database!$G:$G,Database!$D:$D,"Import",Database!$E:$E,$B58,Database!$C:$C,AM$1,Database!$F:$F,"Total")</f>
        <v>476</v>
      </c>
      <c r="AN58" s="137">
        <f>SUMIFS(Database!$G:$G,Database!$D:$D,"Import",Database!$E:$E,$B58,Database!$C:$C,AN$1,Database!$F:$F,"Total")</f>
        <v>230</v>
      </c>
      <c r="AO58" s="137">
        <f>SUMIFS(Database!$G:$G,Database!$D:$D,"Import",Database!$E:$E,$B58,Database!$C:$C,AO$1,Database!$F:$F,"Total")</f>
        <v>464</v>
      </c>
      <c r="AP58" s="137">
        <f>SUMIFS(Database!$G:$G,Database!$D:$D,"Import",Database!$E:$E,$B58,Database!$C:$C,AP$1,Database!$F:$F,"Total")</f>
        <v>559</v>
      </c>
      <c r="AQ58" s="137">
        <f>SUMIFS(Database!$G:$G,Database!$D:$D,"Import",Database!$E:$E,$B58,Database!$C:$C,AQ$1,Database!$F:$F,"Total")</f>
        <v>423</v>
      </c>
      <c r="AR58" s="137">
        <f>SUMIFS(Database!$G:$G,Database!$D:$D,"Import",Database!$E:$E,$B58,Database!$C:$C,AR$1,Database!$F:$F,"Total")</f>
        <v>536</v>
      </c>
      <c r="AS58" s="137">
        <f>SUMIFS(Database!$G:$G,Database!$D:$D,"Import",Database!$E:$E,$B58,Database!$C:$C,AS$1,Database!$F:$F,"Total")</f>
        <v>527</v>
      </c>
      <c r="AT58" s="137">
        <f>SUMIFS(Database!$G:$G,Database!$D:$D,"Import",Database!$E:$E,$B58,Database!$C:$C,AT$1,Database!$F:$F,"Total")</f>
        <v>469</v>
      </c>
      <c r="AU58" s="137">
        <f>SUMIFS(Database!$G:$G,Database!$D:$D,"Import",Database!$E:$E,$B58,Database!$C:$C,AU$1,Database!$F:$F,"Total")</f>
        <v>181</v>
      </c>
      <c r="AV58" s="137">
        <f>SUMIFS(Database!$G:$G,Database!$D:$D,"Import",Database!$E:$E,$B58,Database!$C:$C,AV$1,Database!$F:$F,"Total")</f>
        <v>266</v>
      </c>
      <c r="AW58" s="137">
        <f>SUMIFS(Database!$G:$G,Database!$D:$D,"Import",Database!$E:$E,$B58,Database!$C:$C,AW$1,Database!$F:$F,"Total")</f>
        <v>935</v>
      </c>
      <c r="AX58" s="137">
        <f>SUMIFS(Database!$G:$G,Database!$D:$D,"Import",Database!$E:$E,$B58,Database!$C:$C,AX$1,Database!$F:$F,"Total")</f>
        <v>501</v>
      </c>
      <c r="AY58" s="137">
        <f>SUMIFS(Database!$G:$G,Database!$D:$D,"Import",Database!$E:$E,$B58,Database!$C:$C,AY$1,Database!$F:$F,"Total")</f>
        <v>265</v>
      </c>
      <c r="AZ58" s="137">
        <f>SUMIFS(Database!$G:$G,Database!$D:$D,"Import",Database!$E:$E,$B58,Database!$C:$C,AZ$1,Database!$F:$F,"Total")</f>
        <v>802</v>
      </c>
      <c r="BA58" s="137">
        <f>SUMIFS(Database!$G:$G,Database!$D:$D,"Import",Database!$E:$E,$B58,Database!$C:$C,BA$1,Database!$F:$F,"Total")</f>
        <v>1025</v>
      </c>
      <c r="BB58" s="137">
        <f>SUMIFS(Database!$G:$G,Database!$D:$D,"Import",Database!$E:$E,$B58,Database!$C:$C,BB$1,Database!$F:$F,"Total")</f>
        <v>777</v>
      </c>
      <c r="BC58" s="137">
        <f>SUMIFS(Database!$G:$G,Database!$D:$D,"Import",Database!$E:$E,$B58,Database!$C:$C,BC$1,Database!$F:$F,"Total")</f>
        <v>691</v>
      </c>
      <c r="BD58" s="137">
        <f>SUMIFS(Database!$G:$G,Database!$D:$D,"Import",Database!$E:$E,$B58,Database!$C:$C,BD$1,Database!$F:$F,"Total")</f>
        <v>276</v>
      </c>
      <c r="BE58" s="137">
        <f>SUMIFS(Database!$G:$G,Database!$D:$D,"Import",Database!$E:$E,$B58,Database!$C:$C,BE$1,Database!$F:$F,"Total")</f>
        <v>177</v>
      </c>
      <c r="BF58" s="137">
        <f>SUMIFS(Database!$G:$G,Database!$D:$D,"Import",Database!$E:$E,$B58,Database!$C:$C,BF$1,Database!$F:$F,"Total")</f>
        <v>361</v>
      </c>
      <c r="BG58" s="137">
        <f>SUMIFS(Database!$G:$G,Database!$D:$D,"Import",Database!$E:$E,$B58,Database!$C:$C,BG$1,Database!$F:$F,"Total")</f>
        <v>86</v>
      </c>
      <c r="BH58" s="137">
        <f>SUMIFS(Database!$G:$G,Database!$D:$D,"Import",Database!$E:$E,$B58,Database!$C:$C,BH$1,Database!$F:$F,"Total")</f>
        <v>64</v>
      </c>
      <c r="BI58" s="137">
        <f>SUMIFS(Database!$G:$G,Database!$D:$D,"Import",Database!$E:$E,$B58,Database!$C:$C,BI$1,Database!$F:$F,"Total")</f>
        <v>48</v>
      </c>
      <c r="BJ58" s="137">
        <f>SUMIFS(Database!$G:$G,Database!$D:$D,"Import",Database!$E:$E,$B58,Database!$C:$C,BJ$1,Database!$F:$F,"Total")</f>
        <v>107</v>
      </c>
      <c r="BK58" s="137">
        <f>SUMIFS(Database!$G:$G,Database!$D:$D,"Import",Database!$E:$E,$B58,Database!$C:$C,BK$1,Database!$F:$F,"Total")</f>
        <v>347</v>
      </c>
      <c r="BL58" s="137">
        <f>SUMIFS(Database!$G:$G,Database!$D:$D,"Import",Database!$E:$E,$B58,Database!$C:$C,BL$1,Database!$F:$F,"Total")</f>
        <v>0</v>
      </c>
      <c r="BM58" s="137">
        <f>SUMIFS(Database!$G:$G,Database!$D:$D,"Import",Database!$E:$E,$B58,Database!$C:$C,BM$1,Database!$F:$F,"Total")</f>
        <v>0</v>
      </c>
      <c r="BN58" s="137">
        <f>SUMIFS(Database!$G:$G,Database!$D:$D,"Import",Database!$E:$E,$B58,Database!$C:$C,BN$1,Database!$F:$F,"Total")</f>
        <v>618</v>
      </c>
      <c r="BO58" s="137">
        <f>SUMIFS(Database!$G:$G,Database!$D:$D,"Import",Database!$E:$E,$B58,Database!$C:$C,BO$1,Database!$F:$F,"Total")</f>
        <v>0</v>
      </c>
      <c r="BP58" s="137">
        <f>SUMIFS(Database!$G:$G,Database!$D:$D,"Import",Database!$E:$E,$B58,Database!$C:$C,BP$1,Database!$F:$F,"Total")</f>
        <v>570</v>
      </c>
      <c r="BQ58" s="137">
        <f>SUMIFS(Database!$G:$G,Database!$D:$D,"Import",Database!$E:$E,$B58,Database!$C:$C,BQ$1,Database!$F:$F,"Total")</f>
        <v>328</v>
      </c>
      <c r="BR58" s="137">
        <f>SUMIFS(Database!$G:$G,Database!$D:$D,"Import",Database!$E:$E,$B58,Database!$C:$C,BR$1,Database!$F:$F,"Total")</f>
        <v>424</v>
      </c>
      <c r="BS58" s="137">
        <f>SUMIFS(Database!$G:$G,Database!$D:$D,"Import",Database!$E:$E,$B58,Database!$C:$C,BS$1,Database!$F:$F,"Total")</f>
        <v>533</v>
      </c>
      <c r="BT58" s="137">
        <f>SUMIFS(Database!$G:$G,Database!$D:$D,"Import",Database!$E:$E,$B58,Database!$C:$C,BT$1,Database!$F:$F,"Total")</f>
        <v>399</v>
      </c>
      <c r="BU58" s="137">
        <f>SUMIFS(Database!$G:$G,Database!$D:$D,"Import",Database!$E:$E,$B58,Database!$C:$C,BU$1,Database!$F:$F,"Total")</f>
        <v>324</v>
      </c>
      <c r="BV58" s="137">
        <f>SUMIFS(Database!$G:$G,Database!$D:$D,"Import",Database!$E:$E,$B58,Database!$C:$C,BV$1,Database!$F:$F,"Total")</f>
        <v>255</v>
      </c>
      <c r="BW58" s="137">
        <f>SUMIFS(Database!$G:$G,Database!$D:$D,"Import",Database!$E:$E,$B58,Database!$C:$C,BW$1,Database!$F:$F,"Total")</f>
        <v>375</v>
      </c>
      <c r="BX58" s="137">
        <f>SUMIFS(Database!$G:$G,Database!$D:$D,"Import",Database!$E:$E,$B58,Database!$C:$C,BX$1,Database!$F:$F,"Total")</f>
        <v>480</v>
      </c>
      <c r="BY58" s="137">
        <f>SUMIFS(Database!$G:$G,Database!$D:$D,"Import",Database!$E:$E,$B58,Database!$C:$C,BY$1,Database!$F:$F,"Total")</f>
        <v>411</v>
      </c>
      <c r="BZ58" s="137">
        <f>SUMIFS(Database!$G:$G,Database!$D:$D,"Import",Database!$E:$E,$B58,Database!$C:$C,BZ$1,Database!$F:$F,"Total")</f>
        <v>286</v>
      </c>
      <c r="CA58" s="137">
        <f>SUMIFS(Database!$G:$G,Database!$D:$D,"Import",Database!$E:$E,$B58,Database!$C:$C,CA$1,Database!$F:$F,"Total")</f>
        <v>266</v>
      </c>
      <c r="CB58" s="137">
        <f>SUMIFS(Database!$G:$G,Database!$D:$D,"Import",Database!$E:$E,$B58,Database!$C:$C,CB$1,Database!$F:$F,"Total")</f>
        <v>0</v>
      </c>
      <c r="CC58" s="137">
        <f>SUMIFS(Database!$G:$G,Database!$D:$D,"Import",Database!$E:$E,$B58,Database!$C:$C,CC$1,Database!$F:$F,"Total")</f>
        <v>0</v>
      </c>
      <c r="CD58" s="137">
        <f>SUMIFS(Database!$G:$G,Database!$D:$D,"Import",Database!$E:$E,$B58,Database!$C:$C,CD$1,Database!$F:$F,"Total")</f>
        <v>0</v>
      </c>
      <c r="CE58" s="137">
        <f>SUMIFS(Database!$G:$G,Database!$D:$D,"Import",Database!$E:$E,$B58,Database!$C:$C,CE$1,Database!$F:$F,"Total")</f>
        <v>0</v>
      </c>
      <c r="CF58" s="137">
        <f>SUMIFS(Database!$G:$G,Database!$D:$D,"Import",Database!$E:$E,$B58,Database!$C:$C,CF$1,Database!$F:$F,"Total")</f>
        <v>0</v>
      </c>
      <c r="CG58" s="137">
        <f>SUMIFS(Database!$G:$G,Database!$D:$D,"Import",Database!$E:$E,$B58,Database!$C:$C,CG$1,Database!$F:$F,"Total")</f>
        <v>0</v>
      </c>
      <c r="CH58" s="137">
        <f>SUMIFS(Database!$G:$G,Database!$D:$D,"Import",Database!$E:$E,$B58,Database!$C:$C,CH$1,Database!$F:$F,"Total")</f>
        <v>0</v>
      </c>
      <c r="CI58" s="137">
        <f>SUMIFS(Database!$G:$G,Database!$D:$D,"Import",Database!$E:$E,$B58,Database!$C:$C,CI$1,Database!$F:$F,"Total")</f>
        <v>0</v>
      </c>
      <c r="CJ58" s="137">
        <f>SUMIFS(Database!$G:$G,Database!$D:$D,"Import",Database!$E:$E,$B58,Database!$C:$C,CJ$1,Database!$F:$F,"Total")</f>
        <v>0</v>
      </c>
      <c r="CK58" s="137">
        <f>SUMIFS(Database!$G:$G,Database!$D:$D,"Import",Database!$E:$E,$B58,Database!$C:$C,CK$1,Database!$F:$F,"Total")</f>
        <v>0</v>
      </c>
      <c r="CL58" s="137">
        <f>SUMIFS(Database!$G:$G,Database!$D:$D,"Import",Database!$E:$E,$B58,Database!$C:$C,CL$1,Database!$F:$F,"Total")</f>
        <v>0</v>
      </c>
      <c r="CM58" s="137">
        <f>SUMIFS(Database!$G:$G,Database!$D:$D,"Import",Database!$E:$E,$B58,Database!$C:$C,CM$1,Database!$F:$F,"Total")</f>
        <v>0</v>
      </c>
      <c r="CN58" s="137">
        <f>SUMIFS(Database!$G:$G,Database!$D:$D,"Import",Database!$E:$E,$B58,Database!$C:$C,CN$1,Database!$F:$F,"Total")</f>
        <v>0</v>
      </c>
      <c r="CO58" s="137">
        <f>SUMIFS(Database!$G:$G,Database!$D:$D,"Import",Database!$E:$E,$B58,Database!$C:$C,CO$1,Database!$F:$F,"Total")</f>
        <v>0</v>
      </c>
      <c r="CP58" s="137">
        <f>SUMIFS(Database!$G:$G,Database!$D:$D,"Import",Database!$E:$E,$B58,Database!$C:$C,CP$1,Database!$F:$F,"Total")</f>
        <v>0</v>
      </c>
      <c r="CQ58" s="137">
        <f>SUMIFS(Database!$G:$G,Database!$D:$D,"Import",Database!$E:$E,$B58,Database!$C:$C,CQ$1,Database!$F:$F,"Total")</f>
        <v>0</v>
      </c>
      <c r="CR58" s="137">
        <f>SUMIFS(Database!$G:$G,Database!$D:$D,"Import",Database!$E:$E,$B58,Database!$C:$C,CR$1,Database!$F:$F,"Total")</f>
        <v>0</v>
      </c>
      <c r="CS58" s="137">
        <f>SUMIFS(Database!$G:$G,Database!$D:$D,"Import",Database!$E:$E,$B58,Database!$C:$C,CS$1,Database!$F:$F,"Total")</f>
        <v>0</v>
      </c>
      <c r="CT58" s="137">
        <f>SUMIFS(Database!$G:$G,Database!$D:$D,"Import",Database!$E:$E,$B58,Database!$C:$C,CT$1,Database!$F:$F,"Total")</f>
        <v>0</v>
      </c>
      <c r="CU58" s="137">
        <f>SUMIFS(Database!$G:$G,Database!$D:$D,"Import",Database!$E:$E,$B58,Database!$C:$C,CU$1,Database!$F:$F,"Total")</f>
        <v>0</v>
      </c>
    </row>
    <row r="59" spans="1:99" x14ac:dyDescent="0.25">
      <c r="A59" s="132" t="s">
        <v>484</v>
      </c>
      <c r="B59" s="133" t="s">
        <v>70</v>
      </c>
      <c r="C59" s="137">
        <f>SUMIFS(Database!$G:$G,Database!$D:$D,"Import",Database!$E:$E,$B59,Database!$C:$C,C$1,Database!$F:$F,"Total")</f>
        <v>0</v>
      </c>
      <c r="D59" s="137">
        <f>SUMIFS(Database!$G:$G,Database!$D:$D,"Import",Database!$E:$E,$B59,Database!$C:$C,D$1,Database!$F:$F,"Total")</f>
        <v>0</v>
      </c>
      <c r="E59" s="137">
        <f>SUMIFS(Database!$G:$G,Database!$D:$D,"Import",Database!$E:$E,$B59,Database!$C:$C,E$1,Database!$F:$F,"Total")</f>
        <v>0</v>
      </c>
      <c r="F59" s="137">
        <f>SUMIFS(Database!$G:$G,Database!$D:$D,"Import",Database!$E:$E,$B59,Database!$C:$C,F$1,Database!$F:$F,"Total")</f>
        <v>0</v>
      </c>
      <c r="G59" s="137">
        <f>SUMIFS(Database!$G:$G,Database!$D:$D,"Import",Database!$E:$E,$B59,Database!$C:$C,G$1,Database!$F:$F,"Total")</f>
        <v>0</v>
      </c>
      <c r="H59" s="137">
        <f>SUMIFS(Database!$G:$G,Database!$D:$D,"Import",Database!$E:$E,$B59,Database!$C:$C,H$1,Database!$F:$F,"Total")</f>
        <v>0</v>
      </c>
      <c r="I59" s="137">
        <f>SUMIFS(Database!$G:$G,Database!$D:$D,"Import",Database!$E:$E,$B59,Database!$C:$C,I$1,Database!$F:$F,"Total")</f>
        <v>0</v>
      </c>
      <c r="J59" s="137">
        <f>SUMIFS(Database!$G:$G,Database!$D:$D,"Import",Database!$E:$E,$B59,Database!$C:$C,J$1,Database!$F:$F,"Total")</f>
        <v>0</v>
      </c>
      <c r="K59" s="137">
        <f>SUMIFS(Database!$G:$G,Database!$D:$D,"Import",Database!$E:$E,$B59,Database!$C:$C,K$1,Database!$F:$F,"Total")</f>
        <v>0</v>
      </c>
      <c r="L59" s="137">
        <f>SUMIFS(Database!$G:$G,Database!$D:$D,"Import",Database!$E:$E,$B59,Database!$C:$C,L$1,Database!$F:$F,"Total")</f>
        <v>0</v>
      </c>
      <c r="M59" s="137">
        <f>SUMIFS(Database!$G:$G,Database!$D:$D,"Import",Database!$E:$E,$B59,Database!$C:$C,M$1,Database!$F:$F,"Total")</f>
        <v>0</v>
      </c>
      <c r="N59" s="137">
        <f>SUMIFS(Database!$G:$G,Database!$D:$D,"Import",Database!$E:$E,$B59,Database!$C:$C,N$1,Database!$F:$F,"Total")</f>
        <v>0</v>
      </c>
      <c r="O59" s="137">
        <f>SUMIFS(Database!$G:$G,Database!$D:$D,"Import",Database!$E:$E,$B59,Database!$C:$C,O$1,Database!$F:$F,"Total")</f>
        <v>0</v>
      </c>
      <c r="P59" s="137">
        <f>SUMIFS(Database!$G:$G,Database!$D:$D,"Import",Database!$E:$E,$B59,Database!$C:$C,P$1,Database!$F:$F,"Total")</f>
        <v>0</v>
      </c>
      <c r="Q59" s="137">
        <f>SUMIFS(Database!$G:$G,Database!$D:$D,"Import",Database!$E:$E,$B59,Database!$C:$C,Q$1,Database!$F:$F,"Total")</f>
        <v>0</v>
      </c>
      <c r="R59" s="137">
        <f>SUMIFS(Database!$G:$G,Database!$D:$D,"Import",Database!$E:$E,$B59,Database!$C:$C,R$1,Database!$F:$F,"Total")</f>
        <v>0</v>
      </c>
      <c r="S59" s="137">
        <f>SUMIFS(Database!$G:$G,Database!$D:$D,"Import",Database!$E:$E,$B59,Database!$C:$C,S$1,Database!$F:$F,"Total")</f>
        <v>0</v>
      </c>
      <c r="T59" s="137">
        <f>SUMIFS(Database!$G:$G,Database!$D:$D,"Import",Database!$E:$E,$B59,Database!$C:$C,T$1,Database!$F:$F,"Total")</f>
        <v>0</v>
      </c>
      <c r="U59" s="137">
        <f>SUMIFS(Database!$G:$G,Database!$D:$D,"Import",Database!$E:$E,$B59,Database!$C:$C,U$1,Database!$F:$F,"Total")</f>
        <v>0</v>
      </c>
      <c r="V59" s="137">
        <f>SUMIFS(Database!$G:$G,Database!$D:$D,"Import",Database!$E:$E,$B59,Database!$C:$C,V$1,Database!$F:$F,"Total")</f>
        <v>0</v>
      </c>
      <c r="W59" s="137">
        <f>SUMIFS(Database!$G:$G,Database!$D:$D,"Import",Database!$E:$E,$B59,Database!$C:$C,W$1,Database!$F:$F,"Total")</f>
        <v>0</v>
      </c>
      <c r="X59" s="137">
        <f>SUMIFS(Database!$G:$G,Database!$D:$D,"Import",Database!$E:$E,$B59,Database!$C:$C,X$1,Database!$F:$F,"Total")</f>
        <v>0</v>
      </c>
      <c r="Y59" s="137">
        <f>SUMIFS(Database!$G:$G,Database!$D:$D,"Import",Database!$E:$E,$B59,Database!$C:$C,Y$1,Database!$F:$F,"Total")</f>
        <v>0</v>
      </c>
      <c r="Z59" s="137">
        <f>SUMIFS(Database!$G:$G,Database!$D:$D,"Import",Database!$E:$E,$B59,Database!$C:$C,Z$1,Database!$F:$F,"Total")</f>
        <v>0</v>
      </c>
      <c r="AA59" s="137">
        <f>SUMIFS(Database!$G:$G,Database!$D:$D,"Import",Database!$E:$E,$B59,Database!$C:$C,AA$1,Database!$F:$F,"Total")</f>
        <v>0</v>
      </c>
      <c r="AB59" s="137">
        <f>SUMIFS(Database!$G:$G,Database!$D:$D,"Import",Database!$E:$E,$B59,Database!$C:$C,AB$1,Database!$F:$F,"Total")</f>
        <v>0</v>
      </c>
      <c r="AC59" s="137">
        <f>SUMIFS(Database!$G:$G,Database!$D:$D,"Import",Database!$E:$E,$B59,Database!$C:$C,AC$1,Database!$F:$F,"Total")</f>
        <v>0</v>
      </c>
      <c r="AD59" s="137">
        <f>SUMIFS(Database!$G:$G,Database!$D:$D,"Import",Database!$E:$E,$B59,Database!$C:$C,AD$1,Database!$F:$F,"Total")</f>
        <v>0</v>
      </c>
      <c r="AE59" s="137">
        <f>SUMIFS(Database!$G:$G,Database!$D:$D,"Import",Database!$E:$E,$B59,Database!$C:$C,AE$1,Database!$F:$F,"Total")</f>
        <v>0</v>
      </c>
      <c r="AF59" s="137">
        <f>SUMIFS(Database!$G:$G,Database!$D:$D,"Import",Database!$E:$E,$B59,Database!$C:$C,AF$1,Database!$F:$F,"Total")</f>
        <v>0</v>
      </c>
      <c r="AG59" s="137">
        <f>SUMIFS(Database!$G:$G,Database!$D:$D,"Import",Database!$E:$E,$B59,Database!$C:$C,AG$1,Database!$F:$F,"Total")</f>
        <v>0</v>
      </c>
      <c r="AH59" s="137">
        <f>SUMIFS(Database!$G:$G,Database!$D:$D,"Import",Database!$E:$E,$B59,Database!$C:$C,AH$1,Database!$F:$F,"Total")</f>
        <v>0</v>
      </c>
      <c r="AI59" s="137">
        <f>SUMIFS(Database!$G:$G,Database!$D:$D,"Import",Database!$E:$E,$B59,Database!$C:$C,AI$1,Database!$F:$F,"Total")</f>
        <v>4480</v>
      </c>
      <c r="AJ59" s="137">
        <f>SUMIFS(Database!$G:$G,Database!$D:$D,"Import",Database!$E:$E,$B59,Database!$C:$C,AJ$1,Database!$F:$F,"Total")</f>
        <v>4619</v>
      </c>
      <c r="AK59" s="137">
        <f>SUMIFS(Database!$G:$G,Database!$D:$D,"Import",Database!$E:$E,$B59,Database!$C:$C,AK$1,Database!$F:$F,"Total")</f>
        <v>3932</v>
      </c>
      <c r="AL59" s="137">
        <f>SUMIFS(Database!$G:$G,Database!$D:$D,"Import",Database!$E:$E,$B59,Database!$C:$C,AL$1,Database!$F:$F,"Total")</f>
        <v>2107</v>
      </c>
      <c r="AM59" s="137">
        <f>SUMIFS(Database!$G:$G,Database!$D:$D,"Import",Database!$E:$E,$B59,Database!$C:$C,AM$1,Database!$F:$F,"Total")</f>
        <v>1344</v>
      </c>
      <c r="AN59" s="137">
        <f>SUMIFS(Database!$G:$G,Database!$D:$D,"Import",Database!$E:$E,$B59,Database!$C:$C,AN$1,Database!$F:$F,"Total")</f>
        <v>798</v>
      </c>
      <c r="AO59" s="137">
        <f>SUMIFS(Database!$G:$G,Database!$D:$D,"Import",Database!$E:$E,$B59,Database!$C:$C,AO$1,Database!$F:$F,"Total")</f>
        <v>1403</v>
      </c>
      <c r="AP59" s="137">
        <f>SUMIFS(Database!$G:$G,Database!$D:$D,"Import",Database!$E:$E,$B59,Database!$C:$C,AP$1,Database!$F:$F,"Total")</f>
        <v>1631</v>
      </c>
      <c r="AQ59" s="137">
        <f>SUMIFS(Database!$G:$G,Database!$D:$D,"Import",Database!$E:$E,$B59,Database!$C:$C,AQ$1,Database!$F:$F,"Total")</f>
        <v>1261</v>
      </c>
      <c r="AR59" s="137">
        <f>SUMIFS(Database!$G:$G,Database!$D:$D,"Import",Database!$E:$E,$B59,Database!$C:$C,AR$1,Database!$F:$F,"Total")</f>
        <v>1124</v>
      </c>
      <c r="AS59" s="137">
        <f>SUMIFS(Database!$G:$G,Database!$D:$D,"Import",Database!$E:$E,$B59,Database!$C:$C,AS$1,Database!$F:$F,"Total")</f>
        <v>1805</v>
      </c>
      <c r="AT59" s="137">
        <f>SUMIFS(Database!$G:$G,Database!$D:$D,"Import",Database!$E:$E,$B59,Database!$C:$C,AT$1,Database!$F:$F,"Total")</f>
        <v>2359</v>
      </c>
      <c r="AU59" s="137">
        <f>SUMIFS(Database!$G:$G,Database!$D:$D,"Import",Database!$E:$E,$B59,Database!$C:$C,AU$1,Database!$F:$F,"Total")</f>
        <v>1045</v>
      </c>
      <c r="AV59" s="137">
        <f>SUMIFS(Database!$G:$G,Database!$D:$D,"Import",Database!$E:$E,$B59,Database!$C:$C,AV$1,Database!$F:$F,"Total")</f>
        <v>1979</v>
      </c>
      <c r="AW59" s="137">
        <f>SUMIFS(Database!$G:$G,Database!$D:$D,"Import",Database!$E:$E,$B59,Database!$C:$C,AW$1,Database!$F:$F,"Total")</f>
        <v>4402</v>
      </c>
      <c r="AX59" s="137">
        <f>SUMIFS(Database!$G:$G,Database!$D:$D,"Import",Database!$E:$E,$B59,Database!$C:$C,AX$1,Database!$F:$F,"Total")</f>
        <v>5675</v>
      </c>
      <c r="AY59" s="137">
        <f>SUMIFS(Database!$G:$G,Database!$D:$D,"Import",Database!$E:$E,$B59,Database!$C:$C,AY$1,Database!$F:$F,"Total")</f>
        <v>3895</v>
      </c>
      <c r="AZ59" s="137">
        <f>SUMIFS(Database!$G:$G,Database!$D:$D,"Import",Database!$E:$E,$B59,Database!$C:$C,AZ$1,Database!$F:$F,"Total")</f>
        <v>2696</v>
      </c>
      <c r="BA59" s="137">
        <f>SUMIFS(Database!$G:$G,Database!$D:$D,"Import",Database!$E:$E,$B59,Database!$C:$C,BA$1,Database!$F:$F,"Total")</f>
        <v>1525</v>
      </c>
      <c r="BB59" s="137">
        <f>SUMIFS(Database!$G:$G,Database!$D:$D,"Import",Database!$E:$E,$B59,Database!$C:$C,BB$1,Database!$F:$F,"Total")</f>
        <v>1303</v>
      </c>
      <c r="BC59" s="137">
        <f>SUMIFS(Database!$G:$G,Database!$D:$D,"Import",Database!$E:$E,$B59,Database!$C:$C,BC$1,Database!$F:$F,"Total")</f>
        <v>1963</v>
      </c>
      <c r="BD59" s="137">
        <f>SUMIFS(Database!$G:$G,Database!$D:$D,"Import",Database!$E:$E,$B59,Database!$C:$C,BD$1,Database!$F:$F,"Total")</f>
        <v>891</v>
      </c>
      <c r="BE59" s="137">
        <f>SUMIFS(Database!$G:$G,Database!$D:$D,"Import",Database!$E:$E,$B59,Database!$C:$C,BE$1,Database!$F:$F,"Total")</f>
        <v>172</v>
      </c>
      <c r="BF59" s="137">
        <f>SUMIFS(Database!$G:$G,Database!$D:$D,"Import",Database!$E:$E,$B59,Database!$C:$C,BF$1,Database!$F:$F,"Total")</f>
        <v>37</v>
      </c>
      <c r="BG59" s="137">
        <f>SUMIFS(Database!$G:$G,Database!$D:$D,"Import",Database!$E:$E,$B59,Database!$C:$C,BG$1,Database!$F:$F,"Total")</f>
        <v>20</v>
      </c>
      <c r="BH59" s="137">
        <f>SUMIFS(Database!$G:$G,Database!$D:$D,"Import",Database!$E:$E,$B59,Database!$C:$C,BH$1,Database!$F:$F,"Total")</f>
        <v>116</v>
      </c>
      <c r="BI59" s="137">
        <f>SUMIFS(Database!$G:$G,Database!$D:$D,"Import",Database!$E:$E,$B59,Database!$C:$C,BI$1,Database!$F:$F,"Total")</f>
        <v>54</v>
      </c>
      <c r="BJ59" s="137">
        <f>SUMIFS(Database!$G:$G,Database!$D:$D,"Import",Database!$E:$E,$B59,Database!$C:$C,BJ$1,Database!$F:$F,"Total")</f>
        <v>8</v>
      </c>
      <c r="BK59" s="137">
        <f>SUMIFS(Database!$G:$G,Database!$D:$D,"Import",Database!$E:$E,$B59,Database!$C:$C,BK$1,Database!$F:$F,"Total")</f>
        <v>1090</v>
      </c>
      <c r="BL59" s="137">
        <f>SUMIFS(Database!$G:$G,Database!$D:$D,"Import",Database!$E:$E,$B59,Database!$C:$C,BL$1,Database!$F:$F,"Total")</f>
        <v>0</v>
      </c>
      <c r="BM59" s="137">
        <f>SUMIFS(Database!$G:$G,Database!$D:$D,"Import",Database!$E:$E,$B59,Database!$C:$C,BM$1,Database!$F:$F,"Total")</f>
        <v>0</v>
      </c>
      <c r="BN59" s="137">
        <f>SUMIFS(Database!$G:$G,Database!$D:$D,"Import",Database!$E:$E,$B59,Database!$C:$C,BN$1,Database!$F:$F,"Total")</f>
        <v>591</v>
      </c>
      <c r="BO59" s="137">
        <f>SUMIFS(Database!$G:$G,Database!$D:$D,"Import",Database!$E:$E,$B59,Database!$C:$C,BO$1,Database!$F:$F,"Total")</f>
        <v>0</v>
      </c>
      <c r="BP59" s="137">
        <f>SUMIFS(Database!$G:$G,Database!$D:$D,"Import",Database!$E:$E,$B59,Database!$C:$C,BP$1,Database!$F:$F,"Total")</f>
        <v>255</v>
      </c>
      <c r="BQ59" s="137">
        <f>SUMIFS(Database!$G:$G,Database!$D:$D,"Import",Database!$E:$E,$B59,Database!$C:$C,BQ$1,Database!$F:$F,"Total")</f>
        <v>46</v>
      </c>
      <c r="BR59" s="137">
        <f>SUMIFS(Database!$G:$G,Database!$D:$D,"Import",Database!$E:$E,$B59,Database!$C:$C,BR$1,Database!$F:$F,"Total")</f>
        <v>144</v>
      </c>
      <c r="BS59" s="137">
        <f>SUMIFS(Database!$G:$G,Database!$D:$D,"Import",Database!$E:$E,$B59,Database!$C:$C,BS$1,Database!$F:$F,"Total")</f>
        <v>886</v>
      </c>
      <c r="BT59" s="137">
        <f>SUMIFS(Database!$G:$G,Database!$D:$D,"Import",Database!$E:$E,$B59,Database!$C:$C,BT$1,Database!$F:$F,"Total")</f>
        <v>2667</v>
      </c>
      <c r="BU59" s="137">
        <f>SUMIFS(Database!$G:$G,Database!$D:$D,"Import",Database!$E:$E,$B59,Database!$C:$C,BU$1,Database!$F:$F,"Total")</f>
        <v>1776</v>
      </c>
      <c r="BV59" s="137">
        <f>SUMIFS(Database!$G:$G,Database!$D:$D,"Import",Database!$E:$E,$B59,Database!$C:$C,BV$1,Database!$F:$F,"Total")</f>
        <v>151</v>
      </c>
      <c r="BW59" s="137">
        <f>SUMIFS(Database!$G:$G,Database!$D:$D,"Import",Database!$E:$E,$B59,Database!$C:$C,BW$1,Database!$F:$F,"Total")</f>
        <v>489</v>
      </c>
      <c r="BX59" s="137">
        <f>SUMIFS(Database!$G:$G,Database!$D:$D,"Import",Database!$E:$E,$B59,Database!$C:$C,BX$1,Database!$F:$F,"Total")</f>
        <v>689</v>
      </c>
      <c r="BY59" s="137">
        <f>SUMIFS(Database!$G:$G,Database!$D:$D,"Import",Database!$E:$E,$B59,Database!$C:$C,BY$1,Database!$F:$F,"Total")</f>
        <v>1639</v>
      </c>
      <c r="BZ59" s="137">
        <f>SUMIFS(Database!$G:$G,Database!$D:$D,"Import",Database!$E:$E,$B59,Database!$C:$C,BZ$1,Database!$F:$F,"Total")</f>
        <v>1583</v>
      </c>
      <c r="CA59" s="137">
        <f>SUMIFS(Database!$G:$G,Database!$D:$D,"Import",Database!$E:$E,$B59,Database!$C:$C,CA$1,Database!$F:$F,"Total")</f>
        <v>1937</v>
      </c>
      <c r="CB59" s="137">
        <f>SUMIFS(Database!$G:$G,Database!$D:$D,"Import",Database!$E:$E,$B59,Database!$C:$C,CB$1,Database!$F:$F,"Total")</f>
        <v>0</v>
      </c>
      <c r="CC59" s="137">
        <f>SUMIFS(Database!$G:$G,Database!$D:$D,"Import",Database!$E:$E,$B59,Database!$C:$C,CC$1,Database!$F:$F,"Total")</f>
        <v>0</v>
      </c>
      <c r="CD59" s="137">
        <f>SUMIFS(Database!$G:$G,Database!$D:$D,"Import",Database!$E:$E,$B59,Database!$C:$C,CD$1,Database!$F:$F,"Total")</f>
        <v>0</v>
      </c>
      <c r="CE59" s="137">
        <f>SUMIFS(Database!$G:$G,Database!$D:$D,"Import",Database!$E:$E,$B59,Database!$C:$C,CE$1,Database!$F:$F,"Total")</f>
        <v>0</v>
      </c>
      <c r="CF59" s="137">
        <f>SUMIFS(Database!$G:$G,Database!$D:$D,"Import",Database!$E:$E,$B59,Database!$C:$C,CF$1,Database!$F:$F,"Total")</f>
        <v>0</v>
      </c>
      <c r="CG59" s="137">
        <f>SUMIFS(Database!$G:$G,Database!$D:$D,"Import",Database!$E:$E,$B59,Database!$C:$C,CG$1,Database!$F:$F,"Total")</f>
        <v>0</v>
      </c>
      <c r="CH59" s="137">
        <f>SUMIFS(Database!$G:$G,Database!$D:$D,"Import",Database!$E:$E,$B59,Database!$C:$C,CH$1,Database!$F:$F,"Total")</f>
        <v>0</v>
      </c>
      <c r="CI59" s="137">
        <f>SUMIFS(Database!$G:$G,Database!$D:$D,"Import",Database!$E:$E,$B59,Database!$C:$C,CI$1,Database!$F:$F,"Total")</f>
        <v>0</v>
      </c>
      <c r="CJ59" s="137">
        <f>SUMIFS(Database!$G:$G,Database!$D:$D,"Import",Database!$E:$E,$B59,Database!$C:$C,CJ$1,Database!$F:$F,"Total")</f>
        <v>0</v>
      </c>
      <c r="CK59" s="137">
        <f>SUMIFS(Database!$G:$G,Database!$D:$D,"Import",Database!$E:$E,$B59,Database!$C:$C,CK$1,Database!$F:$F,"Total")</f>
        <v>0</v>
      </c>
      <c r="CL59" s="137">
        <f>SUMIFS(Database!$G:$G,Database!$D:$D,"Import",Database!$E:$E,$B59,Database!$C:$C,CL$1,Database!$F:$F,"Total")</f>
        <v>0</v>
      </c>
      <c r="CM59" s="137">
        <f>SUMIFS(Database!$G:$G,Database!$D:$D,"Import",Database!$E:$E,$B59,Database!$C:$C,CM$1,Database!$F:$F,"Total")</f>
        <v>0</v>
      </c>
      <c r="CN59" s="137">
        <f>SUMIFS(Database!$G:$G,Database!$D:$D,"Import",Database!$E:$E,$B59,Database!$C:$C,CN$1,Database!$F:$F,"Total")</f>
        <v>0</v>
      </c>
      <c r="CO59" s="137">
        <f>SUMIFS(Database!$G:$G,Database!$D:$D,"Import",Database!$E:$E,$B59,Database!$C:$C,CO$1,Database!$F:$F,"Total")</f>
        <v>0</v>
      </c>
      <c r="CP59" s="137">
        <f>SUMIFS(Database!$G:$G,Database!$D:$D,"Import",Database!$E:$E,$B59,Database!$C:$C,CP$1,Database!$F:$F,"Total")</f>
        <v>0</v>
      </c>
      <c r="CQ59" s="137">
        <f>SUMIFS(Database!$G:$G,Database!$D:$D,"Import",Database!$E:$E,$B59,Database!$C:$C,CQ$1,Database!$F:$F,"Total")</f>
        <v>0</v>
      </c>
      <c r="CR59" s="137">
        <f>SUMIFS(Database!$G:$G,Database!$D:$D,"Import",Database!$E:$E,$B59,Database!$C:$C,CR$1,Database!$F:$F,"Total")</f>
        <v>0</v>
      </c>
      <c r="CS59" s="137">
        <f>SUMIFS(Database!$G:$G,Database!$D:$D,"Import",Database!$E:$E,$B59,Database!$C:$C,CS$1,Database!$F:$F,"Total")</f>
        <v>0</v>
      </c>
      <c r="CT59" s="137">
        <f>SUMIFS(Database!$G:$G,Database!$D:$D,"Import",Database!$E:$E,$B59,Database!$C:$C,CT$1,Database!$F:$F,"Total")</f>
        <v>0</v>
      </c>
      <c r="CU59" s="137">
        <f>SUMIFS(Database!$G:$G,Database!$D:$D,"Import",Database!$E:$E,$B59,Database!$C:$C,CU$1,Database!$F:$F,"Total")</f>
        <v>0</v>
      </c>
    </row>
    <row r="60" spans="1:99" x14ac:dyDescent="0.25">
      <c r="A60" s="132" t="s">
        <v>484</v>
      </c>
      <c r="B60" s="133" t="s">
        <v>71</v>
      </c>
      <c r="C60" s="137">
        <f>SUMIFS(Database!$G:$G,Database!$D:$D,"Import",Database!$E:$E,$B60,Database!$C:$C,C$1,Database!$F:$F,"Total")</f>
        <v>0</v>
      </c>
      <c r="D60" s="137">
        <f>SUMIFS(Database!$G:$G,Database!$D:$D,"Import",Database!$E:$E,$B60,Database!$C:$C,D$1,Database!$F:$F,"Total")</f>
        <v>0</v>
      </c>
      <c r="E60" s="137">
        <f>SUMIFS(Database!$G:$G,Database!$D:$D,"Import",Database!$E:$E,$B60,Database!$C:$C,E$1,Database!$F:$F,"Total")</f>
        <v>0</v>
      </c>
      <c r="F60" s="137">
        <f>SUMIFS(Database!$G:$G,Database!$D:$D,"Import",Database!$E:$E,$B60,Database!$C:$C,F$1,Database!$F:$F,"Total")</f>
        <v>0</v>
      </c>
      <c r="G60" s="137">
        <f>SUMIFS(Database!$G:$G,Database!$D:$D,"Import",Database!$E:$E,$B60,Database!$C:$C,G$1,Database!$F:$F,"Total")</f>
        <v>0</v>
      </c>
      <c r="H60" s="137">
        <f>SUMIFS(Database!$G:$G,Database!$D:$D,"Import",Database!$E:$E,$B60,Database!$C:$C,H$1,Database!$F:$F,"Total")</f>
        <v>0</v>
      </c>
      <c r="I60" s="137">
        <f>SUMIFS(Database!$G:$G,Database!$D:$D,"Import",Database!$E:$E,$B60,Database!$C:$C,I$1,Database!$F:$F,"Total")</f>
        <v>0</v>
      </c>
      <c r="J60" s="137">
        <f>SUMIFS(Database!$G:$G,Database!$D:$D,"Import",Database!$E:$E,$B60,Database!$C:$C,J$1,Database!$F:$F,"Total")</f>
        <v>0</v>
      </c>
      <c r="K60" s="137">
        <f>SUMIFS(Database!$G:$G,Database!$D:$D,"Import",Database!$E:$E,$B60,Database!$C:$C,K$1,Database!$F:$F,"Total")</f>
        <v>0</v>
      </c>
      <c r="L60" s="137">
        <f>SUMIFS(Database!$G:$G,Database!$D:$D,"Import",Database!$E:$E,$B60,Database!$C:$C,L$1,Database!$F:$F,"Total")</f>
        <v>0</v>
      </c>
      <c r="M60" s="137">
        <f>SUMIFS(Database!$G:$G,Database!$D:$D,"Import",Database!$E:$E,$B60,Database!$C:$C,M$1,Database!$F:$F,"Total")</f>
        <v>0</v>
      </c>
      <c r="N60" s="137">
        <f>SUMIFS(Database!$G:$G,Database!$D:$D,"Import",Database!$E:$E,$B60,Database!$C:$C,N$1,Database!$F:$F,"Total")</f>
        <v>0</v>
      </c>
      <c r="O60" s="137">
        <f>SUMIFS(Database!$G:$G,Database!$D:$D,"Import",Database!$E:$E,$B60,Database!$C:$C,O$1,Database!$F:$F,"Total")</f>
        <v>0</v>
      </c>
      <c r="P60" s="137">
        <f>SUMIFS(Database!$G:$G,Database!$D:$D,"Import",Database!$E:$E,$B60,Database!$C:$C,P$1,Database!$F:$F,"Total")</f>
        <v>0</v>
      </c>
      <c r="Q60" s="137">
        <f>SUMIFS(Database!$G:$G,Database!$D:$D,"Import",Database!$E:$E,$B60,Database!$C:$C,Q$1,Database!$F:$F,"Total")</f>
        <v>0</v>
      </c>
      <c r="R60" s="137">
        <f>SUMIFS(Database!$G:$G,Database!$D:$D,"Import",Database!$E:$E,$B60,Database!$C:$C,R$1,Database!$F:$F,"Total")</f>
        <v>0</v>
      </c>
      <c r="S60" s="137">
        <f>SUMIFS(Database!$G:$G,Database!$D:$D,"Import",Database!$E:$E,$B60,Database!$C:$C,S$1,Database!$F:$F,"Total")</f>
        <v>0</v>
      </c>
      <c r="T60" s="137">
        <f>SUMIFS(Database!$G:$G,Database!$D:$D,"Import",Database!$E:$E,$B60,Database!$C:$C,T$1,Database!$F:$F,"Total")</f>
        <v>0</v>
      </c>
      <c r="U60" s="137">
        <f>SUMIFS(Database!$G:$G,Database!$D:$D,"Import",Database!$E:$E,$B60,Database!$C:$C,U$1,Database!$F:$F,"Total")</f>
        <v>0</v>
      </c>
      <c r="V60" s="137">
        <f>SUMIFS(Database!$G:$G,Database!$D:$D,"Import",Database!$E:$E,$B60,Database!$C:$C,V$1,Database!$F:$F,"Total")</f>
        <v>0</v>
      </c>
      <c r="W60" s="137">
        <f>SUMIFS(Database!$G:$G,Database!$D:$D,"Import",Database!$E:$E,$B60,Database!$C:$C,W$1,Database!$F:$F,"Total")</f>
        <v>0</v>
      </c>
      <c r="X60" s="137">
        <f>SUMIFS(Database!$G:$G,Database!$D:$D,"Import",Database!$E:$E,$B60,Database!$C:$C,X$1,Database!$F:$F,"Total")</f>
        <v>0</v>
      </c>
      <c r="Y60" s="137">
        <f>SUMIFS(Database!$G:$G,Database!$D:$D,"Import",Database!$E:$E,$B60,Database!$C:$C,Y$1,Database!$F:$F,"Total")</f>
        <v>0</v>
      </c>
      <c r="Z60" s="137">
        <f>SUMIFS(Database!$G:$G,Database!$D:$D,"Import",Database!$E:$E,$B60,Database!$C:$C,Z$1,Database!$F:$F,"Total")</f>
        <v>0</v>
      </c>
      <c r="AA60" s="137">
        <f>SUMIFS(Database!$G:$G,Database!$D:$D,"Import",Database!$E:$E,$B60,Database!$C:$C,AA$1,Database!$F:$F,"Total")</f>
        <v>0</v>
      </c>
      <c r="AB60" s="137">
        <f>SUMIFS(Database!$G:$G,Database!$D:$D,"Import",Database!$E:$E,$B60,Database!$C:$C,AB$1,Database!$F:$F,"Total")</f>
        <v>0</v>
      </c>
      <c r="AC60" s="137">
        <f>SUMIFS(Database!$G:$G,Database!$D:$D,"Import",Database!$E:$E,$B60,Database!$C:$C,AC$1,Database!$F:$F,"Total")</f>
        <v>0</v>
      </c>
      <c r="AD60" s="137">
        <f>SUMIFS(Database!$G:$G,Database!$D:$D,"Import",Database!$E:$E,$B60,Database!$C:$C,AD$1,Database!$F:$F,"Total")</f>
        <v>0</v>
      </c>
      <c r="AE60" s="137">
        <f>SUMIFS(Database!$G:$G,Database!$D:$D,"Import",Database!$E:$E,$B60,Database!$C:$C,AE$1,Database!$F:$F,"Total")</f>
        <v>0</v>
      </c>
      <c r="AF60" s="137">
        <f>SUMIFS(Database!$G:$G,Database!$D:$D,"Import",Database!$E:$E,$B60,Database!$C:$C,AF$1,Database!$F:$F,"Total")</f>
        <v>0</v>
      </c>
      <c r="AG60" s="137">
        <f>SUMIFS(Database!$G:$G,Database!$D:$D,"Import",Database!$E:$E,$B60,Database!$C:$C,AG$1,Database!$F:$F,"Total")</f>
        <v>0</v>
      </c>
      <c r="AH60" s="137">
        <f>SUMIFS(Database!$G:$G,Database!$D:$D,"Import",Database!$E:$E,$B60,Database!$C:$C,AH$1,Database!$F:$F,"Total")</f>
        <v>0</v>
      </c>
      <c r="AI60" s="137">
        <f>SUMIFS(Database!$G:$G,Database!$D:$D,"Import",Database!$E:$E,$B60,Database!$C:$C,AI$1,Database!$F:$F,"Total")</f>
        <v>2446</v>
      </c>
      <c r="AJ60" s="137">
        <f>SUMIFS(Database!$G:$G,Database!$D:$D,"Import",Database!$E:$E,$B60,Database!$C:$C,AJ$1,Database!$F:$F,"Total")</f>
        <v>2388</v>
      </c>
      <c r="AK60" s="137">
        <f>SUMIFS(Database!$G:$G,Database!$D:$D,"Import",Database!$E:$E,$B60,Database!$C:$C,AK$1,Database!$F:$F,"Total")</f>
        <v>2520</v>
      </c>
      <c r="AL60" s="137">
        <f>SUMIFS(Database!$G:$G,Database!$D:$D,"Import",Database!$E:$E,$B60,Database!$C:$C,AL$1,Database!$F:$F,"Total")</f>
        <v>1813</v>
      </c>
      <c r="AM60" s="137">
        <f>SUMIFS(Database!$G:$G,Database!$D:$D,"Import",Database!$E:$E,$B60,Database!$C:$C,AM$1,Database!$F:$F,"Total")</f>
        <v>1498</v>
      </c>
      <c r="AN60" s="137">
        <f>SUMIFS(Database!$G:$G,Database!$D:$D,"Import",Database!$E:$E,$B60,Database!$C:$C,AN$1,Database!$F:$F,"Total")</f>
        <v>1347</v>
      </c>
      <c r="AO60" s="137">
        <f>SUMIFS(Database!$G:$G,Database!$D:$D,"Import",Database!$E:$E,$B60,Database!$C:$C,AO$1,Database!$F:$F,"Total")</f>
        <v>1807</v>
      </c>
      <c r="AP60" s="137">
        <f>SUMIFS(Database!$G:$G,Database!$D:$D,"Import",Database!$E:$E,$B60,Database!$C:$C,AP$1,Database!$F:$F,"Total")</f>
        <v>1421</v>
      </c>
      <c r="AQ60" s="137">
        <f>SUMIFS(Database!$G:$G,Database!$D:$D,"Import",Database!$E:$E,$B60,Database!$C:$C,AQ$1,Database!$F:$F,"Total")</f>
        <v>1412</v>
      </c>
      <c r="AR60" s="137">
        <f>SUMIFS(Database!$G:$G,Database!$D:$D,"Import",Database!$E:$E,$B60,Database!$C:$C,AR$1,Database!$F:$F,"Total")</f>
        <v>1525</v>
      </c>
      <c r="AS60" s="137">
        <f>SUMIFS(Database!$G:$G,Database!$D:$D,"Import",Database!$E:$E,$B60,Database!$C:$C,AS$1,Database!$F:$F,"Total")</f>
        <v>2768</v>
      </c>
      <c r="AT60" s="137">
        <f>SUMIFS(Database!$G:$G,Database!$D:$D,"Import",Database!$E:$E,$B60,Database!$C:$C,AT$1,Database!$F:$F,"Total")</f>
        <v>1765</v>
      </c>
      <c r="AU60" s="137">
        <f>SUMIFS(Database!$G:$G,Database!$D:$D,"Import",Database!$E:$E,$B60,Database!$C:$C,AU$1,Database!$F:$F,"Total")</f>
        <v>491</v>
      </c>
      <c r="AV60" s="137">
        <f>SUMIFS(Database!$G:$G,Database!$D:$D,"Import",Database!$E:$E,$B60,Database!$C:$C,AV$1,Database!$F:$F,"Total")</f>
        <v>1086</v>
      </c>
      <c r="AW60" s="137">
        <f>SUMIFS(Database!$G:$G,Database!$D:$D,"Import",Database!$E:$E,$B60,Database!$C:$C,AW$1,Database!$F:$F,"Total")</f>
        <v>1506</v>
      </c>
      <c r="AX60" s="137">
        <f>SUMIFS(Database!$G:$G,Database!$D:$D,"Import",Database!$E:$E,$B60,Database!$C:$C,AX$1,Database!$F:$F,"Total")</f>
        <v>2035</v>
      </c>
      <c r="AY60" s="137">
        <f>SUMIFS(Database!$G:$G,Database!$D:$D,"Import",Database!$E:$E,$B60,Database!$C:$C,AY$1,Database!$F:$F,"Total")</f>
        <v>1184</v>
      </c>
      <c r="AZ60" s="137">
        <f>SUMIFS(Database!$G:$G,Database!$D:$D,"Import",Database!$E:$E,$B60,Database!$C:$C,AZ$1,Database!$F:$F,"Total")</f>
        <v>1243</v>
      </c>
      <c r="BA60" s="137">
        <f>SUMIFS(Database!$G:$G,Database!$D:$D,"Import",Database!$E:$E,$B60,Database!$C:$C,BA$1,Database!$F:$F,"Total")</f>
        <v>1672</v>
      </c>
      <c r="BB60" s="137">
        <f>SUMIFS(Database!$G:$G,Database!$D:$D,"Import",Database!$E:$E,$B60,Database!$C:$C,BB$1,Database!$F:$F,"Total")</f>
        <v>1563</v>
      </c>
      <c r="BC60" s="137">
        <f>SUMIFS(Database!$G:$G,Database!$D:$D,"Import",Database!$E:$E,$B60,Database!$C:$C,BC$1,Database!$F:$F,"Total")</f>
        <v>1629</v>
      </c>
      <c r="BD60" s="137">
        <f>SUMIFS(Database!$G:$G,Database!$D:$D,"Import",Database!$E:$E,$B60,Database!$C:$C,BD$1,Database!$F:$F,"Total")</f>
        <v>1679</v>
      </c>
      <c r="BE60" s="137">
        <f>SUMIFS(Database!$G:$G,Database!$D:$D,"Import",Database!$E:$E,$B60,Database!$C:$C,BE$1,Database!$F:$F,"Total")</f>
        <v>443</v>
      </c>
      <c r="BF60" s="137">
        <f>SUMIFS(Database!$G:$G,Database!$D:$D,"Import",Database!$E:$E,$B60,Database!$C:$C,BF$1,Database!$F:$F,"Total")</f>
        <v>404</v>
      </c>
      <c r="BG60" s="137">
        <f>SUMIFS(Database!$G:$G,Database!$D:$D,"Import",Database!$E:$E,$B60,Database!$C:$C,BG$1,Database!$F:$F,"Total")</f>
        <v>420</v>
      </c>
      <c r="BH60" s="137">
        <f>SUMIFS(Database!$G:$G,Database!$D:$D,"Import",Database!$E:$E,$B60,Database!$C:$C,BH$1,Database!$F:$F,"Total")</f>
        <v>635</v>
      </c>
      <c r="BI60" s="137">
        <f>SUMIFS(Database!$G:$G,Database!$D:$D,"Import",Database!$E:$E,$B60,Database!$C:$C,BI$1,Database!$F:$F,"Total")</f>
        <v>386</v>
      </c>
      <c r="BJ60" s="137">
        <f>SUMIFS(Database!$G:$G,Database!$D:$D,"Import",Database!$E:$E,$B60,Database!$C:$C,BJ$1,Database!$F:$F,"Total")</f>
        <v>787</v>
      </c>
      <c r="BK60" s="137">
        <f>SUMIFS(Database!$G:$G,Database!$D:$D,"Import",Database!$E:$E,$B60,Database!$C:$C,BK$1,Database!$F:$F,"Total")</f>
        <v>1326</v>
      </c>
      <c r="BL60" s="137">
        <f>SUMIFS(Database!$G:$G,Database!$D:$D,"Import",Database!$E:$E,$B60,Database!$C:$C,BL$1,Database!$F:$F,"Total")</f>
        <v>0</v>
      </c>
      <c r="BM60" s="137">
        <f>SUMIFS(Database!$G:$G,Database!$D:$D,"Import",Database!$E:$E,$B60,Database!$C:$C,BM$1,Database!$F:$F,"Total")</f>
        <v>0</v>
      </c>
      <c r="BN60" s="137">
        <f>SUMIFS(Database!$G:$G,Database!$D:$D,"Import",Database!$E:$E,$B60,Database!$C:$C,BN$1,Database!$F:$F,"Total")</f>
        <v>1323</v>
      </c>
      <c r="BO60" s="137">
        <f>SUMIFS(Database!$G:$G,Database!$D:$D,"Import",Database!$E:$E,$B60,Database!$C:$C,BO$1,Database!$F:$F,"Total")</f>
        <v>0</v>
      </c>
      <c r="BP60" s="137">
        <f>SUMIFS(Database!$G:$G,Database!$D:$D,"Import",Database!$E:$E,$B60,Database!$C:$C,BP$1,Database!$F:$F,"Total")</f>
        <v>997</v>
      </c>
      <c r="BQ60" s="137">
        <f>SUMIFS(Database!$G:$G,Database!$D:$D,"Import",Database!$E:$E,$B60,Database!$C:$C,BQ$1,Database!$F:$F,"Total")</f>
        <v>663</v>
      </c>
      <c r="BR60" s="137">
        <f>SUMIFS(Database!$G:$G,Database!$D:$D,"Import",Database!$E:$E,$B60,Database!$C:$C,BR$1,Database!$F:$F,"Total")</f>
        <v>1733</v>
      </c>
      <c r="BS60" s="137">
        <f>SUMIFS(Database!$G:$G,Database!$D:$D,"Import",Database!$E:$E,$B60,Database!$C:$C,BS$1,Database!$F:$F,"Total")</f>
        <v>3004</v>
      </c>
      <c r="BT60" s="137">
        <f>SUMIFS(Database!$G:$G,Database!$D:$D,"Import",Database!$E:$E,$B60,Database!$C:$C,BT$1,Database!$F:$F,"Total")</f>
        <v>3190</v>
      </c>
      <c r="BU60" s="137">
        <f>SUMIFS(Database!$G:$G,Database!$D:$D,"Import",Database!$E:$E,$B60,Database!$C:$C,BU$1,Database!$F:$F,"Total")</f>
        <v>4910</v>
      </c>
      <c r="BV60" s="137">
        <f>SUMIFS(Database!$G:$G,Database!$D:$D,"Import",Database!$E:$E,$B60,Database!$C:$C,BV$1,Database!$F:$F,"Total")</f>
        <v>2184</v>
      </c>
      <c r="BW60" s="137">
        <f>SUMIFS(Database!$G:$G,Database!$D:$D,"Import",Database!$E:$E,$B60,Database!$C:$C,BW$1,Database!$F:$F,"Total")</f>
        <v>1739</v>
      </c>
      <c r="BX60" s="137">
        <f>SUMIFS(Database!$G:$G,Database!$D:$D,"Import",Database!$E:$E,$B60,Database!$C:$C,BX$1,Database!$F:$F,"Total")</f>
        <v>1630</v>
      </c>
      <c r="BY60" s="137">
        <f>SUMIFS(Database!$G:$G,Database!$D:$D,"Import",Database!$E:$E,$B60,Database!$C:$C,BY$1,Database!$F:$F,"Total")</f>
        <v>1849</v>
      </c>
      <c r="BZ60" s="137">
        <f>SUMIFS(Database!$G:$G,Database!$D:$D,"Import",Database!$E:$E,$B60,Database!$C:$C,BZ$1,Database!$F:$F,"Total")</f>
        <v>1010</v>
      </c>
      <c r="CA60" s="137">
        <f>SUMIFS(Database!$G:$G,Database!$D:$D,"Import",Database!$E:$E,$B60,Database!$C:$C,CA$1,Database!$F:$F,"Total")</f>
        <v>456</v>
      </c>
      <c r="CB60" s="137">
        <f>SUMIFS(Database!$G:$G,Database!$D:$D,"Import",Database!$E:$E,$B60,Database!$C:$C,CB$1,Database!$F:$F,"Total")</f>
        <v>0</v>
      </c>
      <c r="CC60" s="137">
        <f>SUMIFS(Database!$G:$G,Database!$D:$D,"Import",Database!$E:$E,$B60,Database!$C:$C,CC$1,Database!$F:$F,"Total")</f>
        <v>0</v>
      </c>
      <c r="CD60" s="137">
        <f>SUMIFS(Database!$G:$G,Database!$D:$D,"Import",Database!$E:$E,$B60,Database!$C:$C,CD$1,Database!$F:$F,"Total")</f>
        <v>0</v>
      </c>
      <c r="CE60" s="137">
        <f>SUMIFS(Database!$G:$G,Database!$D:$D,"Import",Database!$E:$E,$B60,Database!$C:$C,CE$1,Database!$F:$F,"Total")</f>
        <v>0</v>
      </c>
      <c r="CF60" s="137">
        <f>SUMIFS(Database!$G:$G,Database!$D:$D,"Import",Database!$E:$E,$B60,Database!$C:$C,CF$1,Database!$F:$F,"Total")</f>
        <v>0</v>
      </c>
      <c r="CG60" s="137">
        <f>SUMIFS(Database!$G:$G,Database!$D:$D,"Import",Database!$E:$E,$B60,Database!$C:$C,CG$1,Database!$F:$F,"Total")</f>
        <v>0</v>
      </c>
      <c r="CH60" s="137">
        <f>SUMIFS(Database!$G:$G,Database!$D:$D,"Import",Database!$E:$E,$B60,Database!$C:$C,CH$1,Database!$F:$F,"Total")</f>
        <v>0</v>
      </c>
      <c r="CI60" s="137">
        <f>SUMIFS(Database!$G:$G,Database!$D:$D,"Import",Database!$E:$E,$B60,Database!$C:$C,CI$1,Database!$F:$F,"Total")</f>
        <v>0</v>
      </c>
      <c r="CJ60" s="137">
        <f>SUMIFS(Database!$G:$G,Database!$D:$D,"Import",Database!$E:$E,$B60,Database!$C:$C,CJ$1,Database!$F:$F,"Total")</f>
        <v>0</v>
      </c>
      <c r="CK60" s="137">
        <f>SUMIFS(Database!$G:$G,Database!$D:$D,"Import",Database!$E:$E,$B60,Database!$C:$C,CK$1,Database!$F:$F,"Total")</f>
        <v>0</v>
      </c>
      <c r="CL60" s="137">
        <f>SUMIFS(Database!$G:$G,Database!$D:$D,"Import",Database!$E:$E,$B60,Database!$C:$C,CL$1,Database!$F:$F,"Total")</f>
        <v>0</v>
      </c>
      <c r="CM60" s="137">
        <f>SUMIFS(Database!$G:$G,Database!$D:$D,"Import",Database!$E:$E,$B60,Database!$C:$C,CM$1,Database!$F:$F,"Total")</f>
        <v>0</v>
      </c>
      <c r="CN60" s="137">
        <f>SUMIFS(Database!$G:$G,Database!$D:$D,"Import",Database!$E:$E,$B60,Database!$C:$C,CN$1,Database!$F:$F,"Total")</f>
        <v>0</v>
      </c>
      <c r="CO60" s="137">
        <f>SUMIFS(Database!$G:$G,Database!$D:$D,"Import",Database!$E:$E,$B60,Database!$C:$C,CO$1,Database!$F:$F,"Total")</f>
        <v>0</v>
      </c>
      <c r="CP60" s="137">
        <f>SUMIFS(Database!$G:$G,Database!$D:$D,"Import",Database!$E:$E,$B60,Database!$C:$C,CP$1,Database!$F:$F,"Total")</f>
        <v>0</v>
      </c>
      <c r="CQ60" s="137">
        <f>SUMIFS(Database!$G:$G,Database!$D:$D,"Import",Database!$E:$E,$B60,Database!$C:$C,CQ$1,Database!$F:$F,"Total")</f>
        <v>0</v>
      </c>
      <c r="CR60" s="137">
        <f>SUMIFS(Database!$G:$G,Database!$D:$D,"Import",Database!$E:$E,$B60,Database!$C:$C,CR$1,Database!$F:$F,"Total")</f>
        <v>0</v>
      </c>
      <c r="CS60" s="137">
        <f>SUMIFS(Database!$G:$G,Database!$D:$D,"Import",Database!$E:$E,$B60,Database!$C:$C,CS$1,Database!$F:$F,"Total")</f>
        <v>0</v>
      </c>
      <c r="CT60" s="137">
        <f>SUMIFS(Database!$G:$G,Database!$D:$D,"Import",Database!$E:$E,$B60,Database!$C:$C,CT$1,Database!$F:$F,"Total")</f>
        <v>0</v>
      </c>
      <c r="CU60" s="137">
        <f>SUMIFS(Database!$G:$G,Database!$D:$D,"Import",Database!$E:$E,$B60,Database!$C:$C,CU$1,Database!$F:$F,"Total")</f>
        <v>0</v>
      </c>
    </row>
    <row r="61" spans="1:99" x14ac:dyDescent="0.25">
      <c r="A61" s="132" t="s">
        <v>484</v>
      </c>
      <c r="B61" s="133" t="s">
        <v>72</v>
      </c>
      <c r="C61" s="137">
        <f>SUMIFS(Database!$G:$G,Database!$D:$D,"Import",Database!$E:$E,$B61,Database!$C:$C,C$1,Database!$F:$F,"Total")</f>
        <v>0</v>
      </c>
      <c r="D61" s="137">
        <f>SUMIFS(Database!$G:$G,Database!$D:$D,"Import",Database!$E:$E,$B61,Database!$C:$C,D$1,Database!$F:$F,"Total")</f>
        <v>0</v>
      </c>
      <c r="E61" s="137">
        <f>SUMIFS(Database!$G:$G,Database!$D:$D,"Import",Database!$E:$E,$B61,Database!$C:$C,E$1,Database!$F:$F,"Total")</f>
        <v>0</v>
      </c>
      <c r="F61" s="137">
        <f>SUMIFS(Database!$G:$G,Database!$D:$D,"Import",Database!$E:$E,$B61,Database!$C:$C,F$1,Database!$F:$F,"Total")</f>
        <v>0</v>
      </c>
      <c r="G61" s="137">
        <f>SUMIFS(Database!$G:$G,Database!$D:$D,"Import",Database!$E:$E,$B61,Database!$C:$C,G$1,Database!$F:$F,"Total")</f>
        <v>0</v>
      </c>
      <c r="H61" s="137">
        <f>SUMIFS(Database!$G:$G,Database!$D:$D,"Import",Database!$E:$E,$B61,Database!$C:$C,H$1,Database!$F:$F,"Total")</f>
        <v>0</v>
      </c>
      <c r="I61" s="137">
        <f>SUMIFS(Database!$G:$G,Database!$D:$D,"Import",Database!$E:$E,$B61,Database!$C:$C,I$1,Database!$F:$F,"Total")</f>
        <v>0</v>
      </c>
      <c r="J61" s="137">
        <f>SUMIFS(Database!$G:$G,Database!$D:$D,"Import",Database!$E:$E,$B61,Database!$C:$C,J$1,Database!$F:$F,"Total")</f>
        <v>0</v>
      </c>
      <c r="K61" s="137">
        <f>SUMIFS(Database!$G:$G,Database!$D:$D,"Import",Database!$E:$E,$B61,Database!$C:$C,K$1,Database!$F:$F,"Total")</f>
        <v>0</v>
      </c>
      <c r="L61" s="137">
        <f>SUMIFS(Database!$G:$G,Database!$D:$D,"Import",Database!$E:$E,$B61,Database!$C:$C,L$1,Database!$F:$F,"Total")</f>
        <v>0</v>
      </c>
      <c r="M61" s="137">
        <f>SUMIFS(Database!$G:$G,Database!$D:$D,"Import",Database!$E:$E,$B61,Database!$C:$C,M$1,Database!$F:$F,"Total")</f>
        <v>0</v>
      </c>
      <c r="N61" s="137">
        <f>SUMIFS(Database!$G:$G,Database!$D:$D,"Import",Database!$E:$E,$B61,Database!$C:$C,N$1,Database!$F:$F,"Total")</f>
        <v>0</v>
      </c>
      <c r="O61" s="137">
        <f>SUMIFS(Database!$G:$G,Database!$D:$D,"Import",Database!$E:$E,$B61,Database!$C:$C,O$1,Database!$F:$F,"Total")</f>
        <v>0</v>
      </c>
      <c r="P61" s="137">
        <f>SUMIFS(Database!$G:$G,Database!$D:$D,"Import",Database!$E:$E,$B61,Database!$C:$C,P$1,Database!$F:$F,"Total")</f>
        <v>0</v>
      </c>
      <c r="Q61" s="137">
        <f>SUMIFS(Database!$G:$G,Database!$D:$D,"Import",Database!$E:$E,$B61,Database!$C:$C,Q$1,Database!$F:$F,"Total")</f>
        <v>0</v>
      </c>
      <c r="R61" s="137">
        <f>SUMIFS(Database!$G:$G,Database!$D:$D,"Import",Database!$E:$E,$B61,Database!$C:$C,R$1,Database!$F:$F,"Total")</f>
        <v>0</v>
      </c>
      <c r="S61" s="137">
        <f>SUMIFS(Database!$G:$G,Database!$D:$D,"Import",Database!$E:$E,$B61,Database!$C:$C,S$1,Database!$F:$F,"Total")</f>
        <v>0</v>
      </c>
      <c r="T61" s="137">
        <f>SUMIFS(Database!$G:$G,Database!$D:$D,"Import",Database!$E:$E,$B61,Database!$C:$C,T$1,Database!$F:$F,"Total")</f>
        <v>0</v>
      </c>
      <c r="U61" s="137">
        <f>SUMIFS(Database!$G:$G,Database!$D:$D,"Import",Database!$E:$E,$B61,Database!$C:$C,U$1,Database!$F:$F,"Total")</f>
        <v>0</v>
      </c>
      <c r="V61" s="137">
        <f>SUMIFS(Database!$G:$G,Database!$D:$D,"Import",Database!$E:$E,$B61,Database!$C:$C,V$1,Database!$F:$F,"Total")</f>
        <v>0</v>
      </c>
      <c r="W61" s="137">
        <f>SUMIFS(Database!$G:$G,Database!$D:$D,"Import",Database!$E:$E,$B61,Database!$C:$C,W$1,Database!$F:$F,"Total")</f>
        <v>0</v>
      </c>
      <c r="X61" s="137">
        <f>SUMIFS(Database!$G:$G,Database!$D:$D,"Import",Database!$E:$E,$B61,Database!$C:$C,X$1,Database!$F:$F,"Total")</f>
        <v>0</v>
      </c>
      <c r="Y61" s="137">
        <f>SUMIFS(Database!$G:$G,Database!$D:$D,"Import",Database!$E:$E,$B61,Database!$C:$C,Y$1,Database!$F:$F,"Total")</f>
        <v>0</v>
      </c>
      <c r="Z61" s="137">
        <f>SUMIFS(Database!$G:$G,Database!$D:$D,"Import",Database!$E:$E,$B61,Database!$C:$C,Z$1,Database!$F:$F,"Total")</f>
        <v>0</v>
      </c>
      <c r="AA61" s="137">
        <f>SUMIFS(Database!$G:$G,Database!$D:$D,"Import",Database!$E:$E,$B61,Database!$C:$C,AA$1,Database!$F:$F,"Total")</f>
        <v>0</v>
      </c>
      <c r="AB61" s="137">
        <f>SUMIFS(Database!$G:$G,Database!$D:$D,"Import",Database!$E:$E,$B61,Database!$C:$C,AB$1,Database!$F:$F,"Total")</f>
        <v>0</v>
      </c>
      <c r="AC61" s="137">
        <f>SUMIFS(Database!$G:$G,Database!$D:$D,"Import",Database!$E:$E,$B61,Database!$C:$C,AC$1,Database!$F:$F,"Total")</f>
        <v>0</v>
      </c>
      <c r="AD61" s="137">
        <f>SUMIFS(Database!$G:$G,Database!$D:$D,"Import",Database!$E:$E,$B61,Database!$C:$C,AD$1,Database!$F:$F,"Total")</f>
        <v>0</v>
      </c>
      <c r="AE61" s="137">
        <f>SUMIFS(Database!$G:$G,Database!$D:$D,"Import",Database!$E:$E,$B61,Database!$C:$C,AE$1,Database!$F:$F,"Total")</f>
        <v>0</v>
      </c>
      <c r="AF61" s="137">
        <f>SUMIFS(Database!$G:$G,Database!$D:$D,"Import",Database!$E:$E,$B61,Database!$C:$C,AF$1,Database!$F:$F,"Total")</f>
        <v>0</v>
      </c>
      <c r="AG61" s="137">
        <f>SUMIFS(Database!$G:$G,Database!$D:$D,"Import",Database!$E:$E,$B61,Database!$C:$C,AG$1,Database!$F:$F,"Total")</f>
        <v>0</v>
      </c>
      <c r="AH61" s="137">
        <f>SUMIFS(Database!$G:$G,Database!$D:$D,"Import",Database!$E:$E,$B61,Database!$C:$C,AH$1,Database!$F:$F,"Total")</f>
        <v>0</v>
      </c>
      <c r="AI61" s="137">
        <f>SUMIFS(Database!$G:$G,Database!$D:$D,"Import",Database!$E:$E,$B61,Database!$C:$C,AI$1,Database!$F:$F,"Total")</f>
        <v>4459</v>
      </c>
      <c r="AJ61" s="137">
        <f>SUMIFS(Database!$G:$G,Database!$D:$D,"Import",Database!$E:$E,$B61,Database!$C:$C,AJ$1,Database!$F:$F,"Total")</f>
        <v>2427</v>
      </c>
      <c r="AK61" s="137">
        <f>SUMIFS(Database!$G:$G,Database!$D:$D,"Import",Database!$E:$E,$B61,Database!$C:$C,AK$1,Database!$F:$F,"Total")</f>
        <v>2329</v>
      </c>
      <c r="AL61" s="137">
        <f>SUMIFS(Database!$G:$G,Database!$D:$D,"Import",Database!$E:$E,$B61,Database!$C:$C,AL$1,Database!$F:$F,"Total")</f>
        <v>2182</v>
      </c>
      <c r="AM61" s="137">
        <f>SUMIFS(Database!$G:$G,Database!$D:$D,"Import",Database!$E:$E,$B61,Database!$C:$C,AM$1,Database!$F:$F,"Total")</f>
        <v>1953</v>
      </c>
      <c r="AN61" s="137">
        <f>SUMIFS(Database!$G:$G,Database!$D:$D,"Import",Database!$E:$E,$B61,Database!$C:$C,AN$1,Database!$F:$F,"Total")</f>
        <v>3082</v>
      </c>
      <c r="AO61" s="137">
        <f>SUMIFS(Database!$G:$G,Database!$D:$D,"Import",Database!$E:$E,$B61,Database!$C:$C,AO$1,Database!$F:$F,"Total")</f>
        <v>1842</v>
      </c>
      <c r="AP61" s="137">
        <f>SUMIFS(Database!$G:$G,Database!$D:$D,"Import",Database!$E:$E,$B61,Database!$C:$C,AP$1,Database!$F:$F,"Total")</f>
        <v>1774</v>
      </c>
      <c r="AQ61" s="137">
        <f>SUMIFS(Database!$G:$G,Database!$D:$D,"Import",Database!$E:$E,$B61,Database!$C:$C,AQ$1,Database!$F:$F,"Total")</f>
        <v>2197</v>
      </c>
      <c r="AR61" s="137">
        <f>SUMIFS(Database!$G:$G,Database!$D:$D,"Import",Database!$E:$E,$B61,Database!$C:$C,AR$1,Database!$F:$F,"Total")</f>
        <v>1695</v>
      </c>
      <c r="AS61" s="137">
        <f>SUMIFS(Database!$G:$G,Database!$D:$D,"Import",Database!$E:$E,$B61,Database!$C:$C,AS$1,Database!$F:$F,"Total")</f>
        <v>2943</v>
      </c>
      <c r="AT61" s="137">
        <f>SUMIFS(Database!$G:$G,Database!$D:$D,"Import",Database!$E:$E,$B61,Database!$C:$C,AT$1,Database!$F:$F,"Total")</f>
        <v>3283</v>
      </c>
      <c r="AU61" s="137">
        <f>SUMIFS(Database!$G:$G,Database!$D:$D,"Import",Database!$E:$E,$B61,Database!$C:$C,AU$1,Database!$F:$F,"Total")</f>
        <v>1895</v>
      </c>
      <c r="AV61" s="137">
        <f>SUMIFS(Database!$G:$G,Database!$D:$D,"Import",Database!$E:$E,$B61,Database!$C:$C,AV$1,Database!$F:$F,"Total")</f>
        <v>1432</v>
      </c>
      <c r="AW61" s="137">
        <f>SUMIFS(Database!$G:$G,Database!$D:$D,"Import",Database!$E:$E,$B61,Database!$C:$C,AW$1,Database!$F:$F,"Total")</f>
        <v>3694</v>
      </c>
      <c r="AX61" s="137">
        <f>SUMIFS(Database!$G:$G,Database!$D:$D,"Import",Database!$E:$E,$B61,Database!$C:$C,AX$1,Database!$F:$F,"Total")</f>
        <v>6211</v>
      </c>
      <c r="AY61" s="137">
        <f>SUMIFS(Database!$G:$G,Database!$D:$D,"Import",Database!$E:$E,$B61,Database!$C:$C,AY$1,Database!$F:$F,"Total")</f>
        <v>2871</v>
      </c>
      <c r="AZ61" s="137">
        <f>SUMIFS(Database!$G:$G,Database!$D:$D,"Import",Database!$E:$E,$B61,Database!$C:$C,AZ$1,Database!$F:$F,"Total")</f>
        <v>3843</v>
      </c>
      <c r="BA61" s="137">
        <f>SUMIFS(Database!$G:$G,Database!$D:$D,"Import",Database!$E:$E,$B61,Database!$C:$C,BA$1,Database!$F:$F,"Total")</f>
        <v>2802</v>
      </c>
      <c r="BB61" s="137">
        <f>SUMIFS(Database!$G:$G,Database!$D:$D,"Import",Database!$E:$E,$B61,Database!$C:$C,BB$1,Database!$F:$F,"Total")</f>
        <v>2420</v>
      </c>
      <c r="BC61" s="137">
        <f>SUMIFS(Database!$G:$G,Database!$D:$D,"Import",Database!$E:$E,$B61,Database!$C:$C,BC$1,Database!$F:$F,"Total")</f>
        <v>2143</v>
      </c>
      <c r="BD61" s="137">
        <f>SUMIFS(Database!$G:$G,Database!$D:$D,"Import",Database!$E:$E,$B61,Database!$C:$C,BD$1,Database!$F:$F,"Total")</f>
        <v>736</v>
      </c>
      <c r="BE61" s="137">
        <f>SUMIFS(Database!$G:$G,Database!$D:$D,"Import",Database!$E:$E,$B61,Database!$C:$C,BE$1,Database!$F:$F,"Total")</f>
        <v>179</v>
      </c>
      <c r="BF61" s="137">
        <f>SUMIFS(Database!$G:$G,Database!$D:$D,"Import",Database!$E:$E,$B61,Database!$C:$C,BF$1,Database!$F:$F,"Total")</f>
        <v>197</v>
      </c>
      <c r="BG61" s="137">
        <f>SUMIFS(Database!$G:$G,Database!$D:$D,"Import",Database!$E:$E,$B61,Database!$C:$C,BG$1,Database!$F:$F,"Total")</f>
        <v>204</v>
      </c>
      <c r="BH61" s="137">
        <f>SUMIFS(Database!$G:$G,Database!$D:$D,"Import",Database!$E:$E,$B61,Database!$C:$C,BH$1,Database!$F:$F,"Total")</f>
        <v>258</v>
      </c>
      <c r="BI61" s="137">
        <f>SUMIFS(Database!$G:$G,Database!$D:$D,"Import",Database!$E:$E,$B61,Database!$C:$C,BI$1,Database!$F:$F,"Total")</f>
        <v>315</v>
      </c>
      <c r="BJ61" s="137">
        <f>SUMIFS(Database!$G:$G,Database!$D:$D,"Import",Database!$E:$E,$B61,Database!$C:$C,BJ$1,Database!$F:$F,"Total")</f>
        <v>443</v>
      </c>
      <c r="BK61" s="137">
        <f>SUMIFS(Database!$G:$G,Database!$D:$D,"Import",Database!$E:$E,$B61,Database!$C:$C,BK$1,Database!$F:$F,"Total")</f>
        <v>1519</v>
      </c>
      <c r="BL61" s="137">
        <f>SUMIFS(Database!$G:$G,Database!$D:$D,"Import",Database!$E:$E,$B61,Database!$C:$C,BL$1,Database!$F:$F,"Total")</f>
        <v>0</v>
      </c>
      <c r="BM61" s="137">
        <f>SUMIFS(Database!$G:$G,Database!$D:$D,"Import",Database!$E:$E,$B61,Database!$C:$C,BM$1,Database!$F:$F,"Total")</f>
        <v>0</v>
      </c>
      <c r="BN61" s="137">
        <f>SUMIFS(Database!$G:$G,Database!$D:$D,"Import",Database!$E:$E,$B61,Database!$C:$C,BN$1,Database!$F:$F,"Total")</f>
        <v>608</v>
      </c>
      <c r="BO61" s="137">
        <f>SUMIFS(Database!$G:$G,Database!$D:$D,"Import",Database!$E:$E,$B61,Database!$C:$C,BO$1,Database!$F:$F,"Total")</f>
        <v>0</v>
      </c>
      <c r="BP61" s="137">
        <f>SUMIFS(Database!$G:$G,Database!$D:$D,"Import",Database!$E:$E,$B61,Database!$C:$C,BP$1,Database!$F:$F,"Total")</f>
        <v>277</v>
      </c>
      <c r="BQ61" s="137">
        <f>SUMIFS(Database!$G:$G,Database!$D:$D,"Import",Database!$E:$E,$B61,Database!$C:$C,BQ$1,Database!$F:$F,"Total")</f>
        <v>57</v>
      </c>
      <c r="BR61" s="137">
        <f>SUMIFS(Database!$G:$G,Database!$D:$D,"Import",Database!$E:$E,$B61,Database!$C:$C,BR$1,Database!$F:$F,"Total")</f>
        <v>206</v>
      </c>
      <c r="BS61" s="137">
        <f>SUMIFS(Database!$G:$G,Database!$D:$D,"Import",Database!$E:$E,$B61,Database!$C:$C,BS$1,Database!$F:$F,"Total")</f>
        <v>1320</v>
      </c>
      <c r="BT61" s="137">
        <f>SUMIFS(Database!$G:$G,Database!$D:$D,"Import",Database!$E:$E,$B61,Database!$C:$C,BT$1,Database!$F:$F,"Total")</f>
        <v>988</v>
      </c>
      <c r="BU61" s="137">
        <f>SUMIFS(Database!$G:$G,Database!$D:$D,"Import",Database!$E:$E,$B61,Database!$C:$C,BU$1,Database!$F:$F,"Total")</f>
        <v>629</v>
      </c>
      <c r="BV61" s="137">
        <f>SUMIFS(Database!$G:$G,Database!$D:$D,"Import",Database!$E:$E,$B61,Database!$C:$C,BV$1,Database!$F:$F,"Total")</f>
        <v>168</v>
      </c>
      <c r="BW61" s="137">
        <f>SUMIFS(Database!$G:$G,Database!$D:$D,"Import",Database!$E:$E,$B61,Database!$C:$C,BW$1,Database!$F:$F,"Total")</f>
        <v>37</v>
      </c>
      <c r="BX61" s="137">
        <f>SUMIFS(Database!$G:$G,Database!$D:$D,"Import",Database!$E:$E,$B61,Database!$C:$C,BX$1,Database!$F:$F,"Total")</f>
        <v>71</v>
      </c>
      <c r="BY61" s="137">
        <f>SUMIFS(Database!$G:$G,Database!$D:$D,"Import",Database!$E:$E,$B61,Database!$C:$C,BY$1,Database!$F:$F,"Total")</f>
        <v>69</v>
      </c>
      <c r="BZ61" s="137">
        <f>SUMIFS(Database!$G:$G,Database!$D:$D,"Import",Database!$E:$E,$B61,Database!$C:$C,BZ$1,Database!$F:$F,"Total")</f>
        <v>85</v>
      </c>
      <c r="CA61" s="137">
        <f>SUMIFS(Database!$G:$G,Database!$D:$D,"Import",Database!$E:$E,$B61,Database!$C:$C,CA$1,Database!$F:$F,"Total")</f>
        <v>90</v>
      </c>
      <c r="CB61" s="137">
        <f>SUMIFS(Database!$G:$G,Database!$D:$D,"Import",Database!$E:$E,$B61,Database!$C:$C,CB$1,Database!$F:$F,"Total")</f>
        <v>0</v>
      </c>
      <c r="CC61" s="137">
        <f>SUMIFS(Database!$G:$G,Database!$D:$D,"Import",Database!$E:$E,$B61,Database!$C:$C,CC$1,Database!$F:$F,"Total")</f>
        <v>0</v>
      </c>
      <c r="CD61" s="137">
        <f>SUMIFS(Database!$G:$G,Database!$D:$D,"Import",Database!$E:$E,$B61,Database!$C:$C,CD$1,Database!$F:$F,"Total")</f>
        <v>0</v>
      </c>
      <c r="CE61" s="137">
        <f>SUMIFS(Database!$G:$G,Database!$D:$D,"Import",Database!$E:$E,$B61,Database!$C:$C,CE$1,Database!$F:$F,"Total")</f>
        <v>0</v>
      </c>
      <c r="CF61" s="137">
        <f>SUMIFS(Database!$G:$G,Database!$D:$D,"Import",Database!$E:$E,$B61,Database!$C:$C,CF$1,Database!$F:$F,"Total")</f>
        <v>0</v>
      </c>
      <c r="CG61" s="137">
        <f>SUMIFS(Database!$G:$G,Database!$D:$D,"Import",Database!$E:$E,$B61,Database!$C:$C,CG$1,Database!$F:$F,"Total")</f>
        <v>0</v>
      </c>
      <c r="CH61" s="137">
        <f>SUMIFS(Database!$G:$G,Database!$D:$D,"Import",Database!$E:$E,$B61,Database!$C:$C,CH$1,Database!$F:$F,"Total")</f>
        <v>0</v>
      </c>
      <c r="CI61" s="137">
        <f>SUMIFS(Database!$G:$G,Database!$D:$D,"Import",Database!$E:$E,$B61,Database!$C:$C,CI$1,Database!$F:$F,"Total")</f>
        <v>0</v>
      </c>
      <c r="CJ61" s="137">
        <f>SUMIFS(Database!$G:$G,Database!$D:$D,"Import",Database!$E:$E,$B61,Database!$C:$C,CJ$1,Database!$F:$F,"Total")</f>
        <v>0</v>
      </c>
      <c r="CK61" s="137">
        <f>SUMIFS(Database!$G:$G,Database!$D:$D,"Import",Database!$E:$E,$B61,Database!$C:$C,CK$1,Database!$F:$F,"Total")</f>
        <v>0</v>
      </c>
      <c r="CL61" s="137">
        <f>SUMIFS(Database!$G:$G,Database!$D:$D,"Import",Database!$E:$E,$B61,Database!$C:$C,CL$1,Database!$F:$F,"Total")</f>
        <v>0</v>
      </c>
      <c r="CM61" s="137">
        <f>SUMIFS(Database!$G:$G,Database!$D:$D,"Import",Database!$E:$E,$B61,Database!$C:$C,CM$1,Database!$F:$F,"Total")</f>
        <v>0</v>
      </c>
      <c r="CN61" s="137">
        <f>SUMIFS(Database!$G:$G,Database!$D:$D,"Import",Database!$E:$E,$B61,Database!$C:$C,CN$1,Database!$F:$F,"Total")</f>
        <v>0</v>
      </c>
      <c r="CO61" s="137">
        <f>SUMIFS(Database!$G:$G,Database!$D:$D,"Import",Database!$E:$E,$B61,Database!$C:$C,CO$1,Database!$F:$F,"Total")</f>
        <v>0</v>
      </c>
      <c r="CP61" s="137">
        <f>SUMIFS(Database!$G:$G,Database!$D:$D,"Import",Database!$E:$E,$B61,Database!$C:$C,CP$1,Database!$F:$F,"Total")</f>
        <v>0</v>
      </c>
      <c r="CQ61" s="137">
        <f>SUMIFS(Database!$G:$G,Database!$D:$D,"Import",Database!$E:$E,$B61,Database!$C:$C,CQ$1,Database!$F:$F,"Total")</f>
        <v>0</v>
      </c>
      <c r="CR61" s="137">
        <f>SUMIFS(Database!$G:$G,Database!$D:$D,"Import",Database!$E:$E,$B61,Database!$C:$C,CR$1,Database!$F:$F,"Total")</f>
        <v>0</v>
      </c>
      <c r="CS61" s="137">
        <f>SUMIFS(Database!$G:$G,Database!$D:$D,"Import",Database!$E:$E,$B61,Database!$C:$C,CS$1,Database!$F:$F,"Total")</f>
        <v>0</v>
      </c>
      <c r="CT61" s="137">
        <f>SUMIFS(Database!$G:$G,Database!$D:$D,"Import",Database!$E:$E,$B61,Database!$C:$C,CT$1,Database!$F:$F,"Total")</f>
        <v>0</v>
      </c>
      <c r="CU61" s="137">
        <f>SUMIFS(Database!$G:$G,Database!$D:$D,"Import",Database!$E:$E,$B61,Database!$C:$C,CU$1,Database!$F:$F,"Total")</f>
        <v>0</v>
      </c>
    </row>
    <row r="62" spans="1:99" x14ac:dyDescent="0.25">
      <c r="A62" s="132" t="s">
        <v>484</v>
      </c>
      <c r="B62" s="133" t="s">
        <v>74</v>
      </c>
      <c r="C62" s="137">
        <f>SUMIFS(Database!$G:$G,Database!$D:$D,"Import",Database!$E:$E,$B62,Database!$C:$C,C$1,Database!$F:$F,"Total")</f>
        <v>0</v>
      </c>
      <c r="D62" s="137">
        <f>SUMIFS(Database!$G:$G,Database!$D:$D,"Import",Database!$E:$E,$B62,Database!$C:$C,D$1,Database!$F:$F,"Total")</f>
        <v>0</v>
      </c>
      <c r="E62" s="137">
        <f>SUMIFS(Database!$G:$G,Database!$D:$D,"Import",Database!$E:$E,$B62,Database!$C:$C,E$1,Database!$F:$F,"Total")</f>
        <v>0</v>
      </c>
      <c r="F62" s="137">
        <f>SUMIFS(Database!$G:$G,Database!$D:$D,"Import",Database!$E:$E,$B62,Database!$C:$C,F$1,Database!$F:$F,"Total")</f>
        <v>0</v>
      </c>
      <c r="G62" s="137">
        <f>SUMIFS(Database!$G:$G,Database!$D:$D,"Import",Database!$E:$E,$B62,Database!$C:$C,G$1,Database!$F:$F,"Total")</f>
        <v>0</v>
      </c>
      <c r="H62" s="137">
        <f>SUMIFS(Database!$G:$G,Database!$D:$D,"Import",Database!$E:$E,$B62,Database!$C:$C,H$1,Database!$F:$F,"Total")</f>
        <v>0</v>
      </c>
      <c r="I62" s="137">
        <f>SUMIFS(Database!$G:$G,Database!$D:$D,"Import",Database!$E:$E,$B62,Database!$C:$C,I$1,Database!$F:$F,"Total")</f>
        <v>0</v>
      </c>
      <c r="J62" s="137">
        <f>SUMIFS(Database!$G:$G,Database!$D:$D,"Import",Database!$E:$E,$B62,Database!$C:$C,J$1,Database!$F:$F,"Total")</f>
        <v>0</v>
      </c>
      <c r="K62" s="137">
        <f>SUMIFS(Database!$G:$G,Database!$D:$D,"Import",Database!$E:$E,$B62,Database!$C:$C,K$1,Database!$F:$F,"Total")</f>
        <v>0</v>
      </c>
      <c r="L62" s="137">
        <f>SUMIFS(Database!$G:$G,Database!$D:$D,"Import",Database!$E:$E,$B62,Database!$C:$C,L$1,Database!$F:$F,"Total")</f>
        <v>0</v>
      </c>
      <c r="M62" s="137">
        <f>SUMIFS(Database!$G:$G,Database!$D:$D,"Import",Database!$E:$E,$B62,Database!$C:$C,M$1,Database!$F:$F,"Total")</f>
        <v>0</v>
      </c>
      <c r="N62" s="137">
        <f>SUMIFS(Database!$G:$G,Database!$D:$D,"Import",Database!$E:$E,$B62,Database!$C:$C,N$1,Database!$F:$F,"Total")</f>
        <v>0</v>
      </c>
      <c r="O62" s="137">
        <f>SUMIFS(Database!$G:$G,Database!$D:$D,"Import",Database!$E:$E,$B62,Database!$C:$C,O$1,Database!$F:$F,"Total")</f>
        <v>0</v>
      </c>
      <c r="P62" s="137">
        <f>SUMIFS(Database!$G:$G,Database!$D:$D,"Import",Database!$E:$E,$B62,Database!$C:$C,P$1,Database!$F:$F,"Total")</f>
        <v>0</v>
      </c>
      <c r="Q62" s="137">
        <f>SUMIFS(Database!$G:$G,Database!$D:$D,"Import",Database!$E:$E,$B62,Database!$C:$C,Q$1,Database!$F:$F,"Total")</f>
        <v>0</v>
      </c>
      <c r="R62" s="137">
        <f>SUMIFS(Database!$G:$G,Database!$D:$D,"Import",Database!$E:$E,$B62,Database!$C:$C,R$1,Database!$F:$F,"Total")</f>
        <v>0</v>
      </c>
      <c r="S62" s="137">
        <f>SUMIFS(Database!$G:$G,Database!$D:$D,"Import",Database!$E:$E,$B62,Database!$C:$C,S$1,Database!$F:$F,"Total")</f>
        <v>0</v>
      </c>
      <c r="T62" s="137">
        <f>SUMIFS(Database!$G:$G,Database!$D:$D,"Import",Database!$E:$E,$B62,Database!$C:$C,T$1,Database!$F:$F,"Total")</f>
        <v>0</v>
      </c>
      <c r="U62" s="137">
        <f>SUMIFS(Database!$G:$G,Database!$D:$D,"Import",Database!$E:$E,$B62,Database!$C:$C,U$1,Database!$F:$F,"Total")</f>
        <v>0</v>
      </c>
      <c r="V62" s="137">
        <f>SUMIFS(Database!$G:$G,Database!$D:$D,"Import",Database!$E:$E,$B62,Database!$C:$C,V$1,Database!$F:$F,"Total")</f>
        <v>0</v>
      </c>
      <c r="W62" s="137">
        <f>SUMIFS(Database!$G:$G,Database!$D:$D,"Import",Database!$E:$E,$B62,Database!$C:$C,W$1,Database!$F:$F,"Total")</f>
        <v>0</v>
      </c>
      <c r="X62" s="137">
        <f>SUMIFS(Database!$G:$G,Database!$D:$D,"Import",Database!$E:$E,$B62,Database!$C:$C,X$1,Database!$F:$F,"Total")</f>
        <v>0</v>
      </c>
      <c r="Y62" s="137">
        <f>SUMIFS(Database!$G:$G,Database!$D:$D,"Import",Database!$E:$E,$B62,Database!$C:$C,Y$1,Database!$F:$F,"Total")</f>
        <v>0</v>
      </c>
      <c r="Z62" s="137">
        <f>SUMIFS(Database!$G:$G,Database!$D:$D,"Import",Database!$E:$E,$B62,Database!$C:$C,Z$1,Database!$F:$F,"Total")</f>
        <v>0</v>
      </c>
      <c r="AA62" s="137">
        <f>SUMIFS(Database!$G:$G,Database!$D:$D,"Import",Database!$E:$E,$B62,Database!$C:$C,AA$1,Database!$F:$F,"Total")</f>
        <v>0</v>
      </c>
      <c r="AB62" s="137">
        <f>SUMIFS(Database!$G:$G,Database!$D:$D,"Import",Database!$E:$E,$B62,Database!$C:$C,AB$1,Database!$F:$F,"Total")</f>
        <v>0</v>
      </c>
      <c r="AC62" s="137">
        <f>SUMIFS(Database!$G:$G,Database!$D:$D,"Import",Database!$E:$E,$B62,Database!$C:$C,AC$1,Database!$F:$F,"Total")</f>
        <v>0</v>
      </c>
      <c r="AD62" s="137">
        <f>SUMIFS(Database!$G:$G,Database!$D:$D,"Import",Database!$E:$E,$B62,Database!$C:$C,AD$1,Database!$F:$F,"Total")</f>
        <v>0</v>
      </c>
      <c r="AE62" s="137">
        <f>SUMIFS(Database!$G:$G,Database!$D:$D,"Import",Database!$E:$E,$B62,Database!$C:$C,AE$1,Database!$F:$F,"Total")</f>
        <v>0</v>
      </c>
      <c r="AF62" s="137">
        <f>SUMIFS(Database!$G:$G,Database!$D:$D,"Import",Database!$E:$E,$B62,Database!$C:$C,AF$1,Database!$F:$F,"Total")</f>
        <v>0</v>
      </c>
      <c r="AG62" s="137">
        <f>SUMIFS(Database!$G:$G,Database!$D:$D,"Import",Database!$E:$E,$B62,Database!$C:$C,AG$1,Database!$F:$F,"Total")</f>
        <v>0</v>
      </c>
      <c r="AH62" s="137">
        <f>SUMIFS(Database!$G:$G,Database!$D:$D,"Import",Database!$E:$E,$B62,Database!$C:$C,AH$1,Database!$F:$F,"Total")</f>
        <v>0</v>
      </c>
      <c r="AI62" s="137">
        <f>SUMIFS(Database!$G:$G,Database!$D:$D,"Import",Database!$E:$E,$B62,Database!$C:$C,AI$1,Database!$F:$F,"Total")</f>
        <v>0</v>
      </c>
      <c r="AJ62" s="137">
        <f>SUMIFS(Database!$G:$G,Database!$D:$D,"Import",Database!$E:$E,$B62,Database!$C:$C,AJ$1,Database!$F:$F,"Total")</f>
        <v>16.5</v>
      </c>
      <c r="AK62" s="137">
        <f>SUMIFS(Database!$G:$G,Database!$D:$D,"Import",Database!$E:$E,$B62,Database!$C:$C,AK$1,Database!$F:$F,"Total")</f>
        <v>0</v>
      </c>
      <c r="AL62" s="137">
        <f>SUMIFS(Database!$G:$G,Database!$D:$D,"Import",Database!$E:$E,$B62,Database!$C:$C,AL$1,Database!$F:$F,"Total")</f>
        <v>0</v>
      </c>
      <c r="AM62" s="137">
        <f>SUMIFS(Database!$G:$G,Database!$D:$D,"Import",Database!$E:$E,$B62,Database!$C:$C,AM$1,Database!$F:$F,"Total")</f>
        <v>0</v>
      </c>
      <c r="AN62" s="137">
        <f>SUMIFS(Database!$G:$G,Database!$D:$D,"Import",Database!$E:$E,$B62,Database!$C:$C,AN$1,Database!$F:$F,"Total")</f>
        <v>0</v>
      </c>
      <c r="AO62" s="137">
        <f>SUMIFS(Database!$G:$G,Database!$D:$D,"Import",Database!$E:$E,$B62,Database!$C:$C,AO$1,Database!$F:$F,"Total")</f>
        <v>0</v>
      </c>
      <c r="AP62" s="137">
        <f>SUMIFS(Database!$G:$G,Database!$D:$D,"Import",Database!$E:$E,$B62,Database!$C:$C,AP$1,Database!$F:$F,"Total")</f>
        <v>0</v>
      </c>
      <c r="AQ62" s="137">
        <f>SUMIFS(Database!$G:$G,Database!$D:$D,"Import",Database!$E:$E,$B62,Database!$C:$C,AQ$1,Database!$F:$F,"Total")</f>
        <v>0</v>
      </c>
      <c r="AR62" s="137">
        <f>SUMIFS(Database!$G:$G,Database!$D:$D,"Import",Database!$E:$E,$B62,Database!$C:$C,AR$1,Database!$F:$F,"Total")</f>
        <v>0</v>
      </c>
      <c r="AS62" s="137">
        <f>SUMIFS(Database!$G:$G,Database!$D:$D,"Import",Database!$E:$E,$B62,Database!$C:$C,AS$1,Database!$F:$F,"Total")</f>
        <v>0</v>
      </c>
      <c r="AT62" s="137">
        <f>SUMIFS(Database!$G:$G,Database!$D:$D,"Import",Database!$E:$E,$B62,Database!$C:$C,AT$1,Database!$F:$F,"Total")</f>
        <v>0</v>
      </c>
      <c r="AU62" s="137">
        <f>SUMIFS(Database!$G:$G,Database!$D:$D,"Import",Database!$E:$E,$B62,Database!$C:$C,AU$1,Database!$F:$F,"Total")</f>
        <v>0</v>
      </c>
      <c r="AV62" s="137">
        <f>SUMIFS(Database!$G:$G,Database!$D:$D,"Import",Database!$E:$E,$B62,Database!$C:$C,AV$1,Database!$F:$F,"Total")</f>
        <v>0</v>
      </c>
      <c r="AW62" s="137">
        <f>SUMIFS(Database!$G:$G,Database!$D:$D,"Import",Database!$E:$E,$B62,Database!$C:$C,AW$1,Database!$F:$F,"Total")</f>
        <v>0</v>
      </c>
      <c r="AX62" s="137">
        <f>SUMIFS(Database!$G:$G,Database!$D:$D,"Import",Database!$E:$E,$B62,Database!$C:$C,AX$1,Database!$F:$F,"Total")</f>
        <v>0</v>
      </c>
      <c r="AY62" s="137">
        <f>SUMIFS(Database!$G:$G,Database!$D:$D,"Import",Database!$E:$E,$B62,Database!$C:$C,AY$1,Database!$F:$F,"Total")</f>
        <v>0</v>
      </c>
      <c r="AZ62" s="137">
        <f>SUMIFS(Database!$G:$G,Database!$D:$D,"Import",Database!$E:$E,$B62,Database!$C:$C,AZ$1,Database!$F:$F,"Total")</f>
        <v>0</v>
      </c>
      <c r="BA62" s="137">
        <f>SUMIFS(Database!$G:$G,Database!$D:$D,"Import",Database!$E:$E,$B62,Database!$C:$C,BA$1,Database!$F:$F,"Total")</f>
        <v>0</v>
      </c>
      <c r="BB62" s="137">
        <f>SUMIFS(Database!$G:$G,Database!$D:$D,"Import",Database!$E:$E,$B62,Database!$C:$C,BB$1,Database!$F:$F,"Total")</f>
        <v>0</v>
      </c>
      <c r="BC62" s="137">
        <f>SUMIFS(Database!$G:$G,Database!$D:$D,"Import",Database!$E:$E,$B62,Database!$C:$C,BC$1,Database!$F:$F,"Total")</f>
        <v>0</v>
      </c>
      <c r="BD62" s="137">
        <f>SUMIFS(Database!$G:$G,Database!$D:$D,"Import",Database!$E:$E,$B62,Database!$C:$C,BD$1,Database!$F:$F,"Total")</f>
        <v>0</v>
      </c>
      <c r="BE62" s="137">
        <f>SUMIFS(Database!$G:$G,Database!$D:$D,"Import",Database!$E:$E,$B62,Database!$C:$C,BE$1,Database!$F:$F,"Total")</f>
        <v>0</v>
      </c>
      <c r="BF62" s="137">
        <f>SUMIFS(Database!$G:$G,Database!$D:$D,"Import",Database!$E:$E,$B62,Database!$C:$C,BF$1,Database!$F:$F,"Total")</f>
        <v>0</v>
      </c>
      <c r="BG62" s="137">
        <f>SUMIFS(Database!$G:$G,Database!$D:$D,"Import",Database!$E:$E,$B62,Database!$C:$C,BG$1,Database!$F:$F,"Total")</f>
        <v>0</v>
      </c>
      <c r="BH62" s="137">
        <f>SUMIFS(Database!$G:$G,Database!$D:$D,"Import",Database!$E:$E,$B62,Database!$C:$C,BH$1,Database!$F:$F,"Total")</f>
        <v>0</v>
      </c>
      <c r="BI62" s="137">
        <f>SUMIFS(Database!$G:$G,Database!$D:$D,"Import",Database!$E:$E,$B62,Database!$C:$C,BI$1,Database!$F:$F,"Total")</f>
        <v>0</v>
      </c>
      <c r="BJ62" s="137">
        <f>SUMIFS(Database!$G:$G,Database!$D:$D,"Import",Database!$E:$E,$B62,Database!$C:$C,BJ$1,Database!$F:$F,"Total")</f>
        <v>0</v>
      </c>
      <c r="BK62" s="137">
        <f>SUMIFS(Database!$G:$G,Database!$D:$D,"Import",Database!$E:$E,$B62,Database!$C:$C,BK$1,Database!$F:$F,"Total")</f>
        <v>0</v>
      </c>
      <c r="BL62" s="137">
        <f>SUMIFS(Database!$G:$G,Database!$D:$D,"Import",Database!$E:$E,$B62,Database!$C:$C,BL$1,Database!$F:$F,"Total")</f>
        <v>0</v>
      </c>
      <c r="BM62" s="137">
        <f>SUMIFS(Database!$G:$G,Database!$D:$D,"Import",Database!$E:$E,$B62,Database!$C:$C,BM$1,Database!$F:$F,"Total")</f>
        <v>0</v>
      </c>
      <c r="BN62" s="137">
        <f>SUMIFS(Database!$G:$G,Database!$D:$D,"Import",Database!$E:$E,$B62,Database!$C:$C,BN$1,Database!$F:$F,"Total")</f>
        <v>0</v>
      </c>
      <c r="BO62" s="137">
        <f>SUMIFS(Database!$G:$G,Database!$D:$D,"Import",Database!$E:$E,$B62,Database!$C:$C,BO$1,Database!$F:$F,"Total")</f>
        <v>0</v>
      </c>
      <c r="BP62" s="137">
        <f>SUMIFS(Database!$G:$G,Database!$D:$D,"Import",Database!$E:$E,$B62,Database!$C:$C,BP$1,Database!$F:$F,"Total")</f>
        <v>0</v>
      </c>
      <c r="BQ62" s="137">
        <f>SUMIFS(Database!$G:$G,Database!$D:$D,"Import",Database!$E:$E,$B62,Database!$C:$C,BQ$1,Database!$F:$F,"Total")</f>
        <v>0</v>
      </c>
      <c r="BR62" s="137">
        <f>SUMIFS(Database!$G:$G,Database!$D:$D,"Import",Database!$E:$E,$B62,Database!$C:$C,BR$1,Database!$F:$F,"Total")</f>
        <v>0</v>
      </c>
      <c r="BS62" s="137">
        <f>SUMIFS(Database!$G:$G,Database!$D:$D,"Import",Database!$E:$E,$B62,Database!$C:$C,BS$1,Database!$F:$F,"Total")</f>
        <v>0</v>
      </c>
      <c r="BT62" s="137">
        <f>SUMIFS(Database!$G:$G,Database!$D:$D,"Import",Database!$E:$E,$B62,Database!$C:$C,BT$1,Database!$F:$F,"Total")</f>
        <v>0</v>
      </c>
      <c r="BU62" s="137">
        <f>SUMIFS(Database!$G:$G,Database!$D:$D,"Import",Database!$E:$E,$B62,Database!$C:$C,BU$1,Database!$F:$F,"Total")</f>
        <v>0</v>
      </c>
      <c r="BV62" s="137">
        <f>SUMIFS(Database!$G:$G,Database!$D:$D,"Import",Database!$E:$E,$B62,Database!$C:$C,BV$1,Database!$F:$F,"Total")</f>
        <v>0</v>
      </c>
      <c r="BW62" s="137">
        <f>SUMIFS(Database!$G:$G,Database!$D:$D,"Import",Database!$E:$E,$B62,Database!$C:$C,BW$1,Database!$F:$F,"Total")</f>
        <v>0</v>
      </c>
      <c r="BX62" s="137">
        <f>SUMIFS(Database!$G:$G,Database!$D:$D,"Import",Database!$E:$E,$B62,Database!$C:$C,BX$1,Database!$F:$F,"Total")</f>
        <v>0</v>
      </c>
      <c r="BY62" s="137">
        <f>SUMIFS(Database!$G:$G,Database!$D:$D,"Import",Database!$E:$E,$B62,Database!$C:$C,BY$1,Database!$F:$F,"Total")</f>
        <v>0</v>
      </c>
      <c r="BZ62" s="137">
        <f>SUMIFS(Database!$G:$G,Database!$D:$D,"Import",Database!$E:$E,$B62,Database!$C:$C,BZ$1,Database!$F:$F,"Total")</f>
        <v>0</v>
      </c>
      <c r="CA62" s="137">
        <f>SUMIFS(Database!$G:$G,Database!$D:$D,"Import",Database!$E:$E,$B62,Database!$C:$C,CA$1,Database!$F:$F,"Total")</f>
        <v>0</v>
      </c>
      <c r="CB62" s="137">
        <f>SUMIFS(Database!$G:$G,Database!$D:$D,"Import",Database!$E:$E,$B62,Database!$C:$C,CB$1,Database!$F:$F,"Total")</f>
        <v>0</v>
      </c>
      <c r="CC62" s="137">
        <f>SUMIFS(Database!$G:$G,Database!$D:$D,"Import",Database!$E:$E,$B62,Database!$C:$C,CC$1,Database!$F:$F,"Total")</f>
        <v>0</v>
      </c>
      <c r="CD62" s="137">
        <f>SUMIFS(Database!$G:$G,Database!$D:$D,"Import",Database!$E:$E,$B62,Database!$C:$C,CD$1,Database!$F:$F,"Total")</f>
        <v>0</v>
      </c>
      <c r="CE62" s="137">
        <f>SUMIFS(Database!$G:$G,Database!$D:$D,"Import",Database!$E:$E,$B62,Database!$C:$C,CE$1,Database!$F:$F,"Total")</f>
        <v>0</v>
      </c>
      <c r="CF62" s="137">
        <f>SUMIFS(Database!$G:$G,Database!$D:$D,"Import",Database!$E:$E,$B62,Database!$C:$C,CF$1,Database!$F:$F,"Total")</f>
        <v>0</v>
      </c>
      <c r="CG62" s="137">
        <f>SUMIFS(Database!$G:$G,Database!$D:$D,"Import",Database!$E:$E,$B62,Database!$C:$C,CG$1,Database!$F:$F,"Total")</f>
        <v>0</v>
      </c>
      <c r="CH62" s="137">
        <f>SUMIFS(Database!$G:$G,Database!$D:$D,"Import",Database!$E:$E,$B62,Database!$C:$C,CH$1,Database!$F:$F,"Total")</f>
        <v>0</v>
      </c>
      <c r="CI62" s="137">
        <f>SUMIFS(Database!$G:$G,Database!$D:$D,"Import",Database!$E:$E,$B62,Database!$C:$C,CI$1,Database!$F:$F,"Total")</f>
        <v>0</v>
      </c>
      <c r="CJ62" s="137">
        <f>SUMIFS(Database!$G:$G,Database!$D:$D,"Import",Database!$E:$E,$B62,Database!$C:$C,CJ$1,Database!$F:$F,"Total")</f>
        <v>0</v>
      </c>
      <c r="CK62" s="137">
        <f>SUMIFS(Database!$G:$G,Database!$D:$D,"Import",Database!$E:$E,$B62,Database!$C:$C,CK$1,Database!$F:$F,"Total")</f>
        <v>0</v>
      </c>
      <c r="CL62" s="137">
        <f>SUMIFS(Database!$G:$G,Database!$D:$D,"Import",Database!$E:$E,$B62,Database!$C:$C,CL$1,Database!$F:$F,"Total")</f>
        <v>0</v>
      </c>
      <c r="CM62" s="137">
        <f>SUMIFS(Database!$G:$G,Database!$D:$D,"Import",Database!$E:$E,$B62,Database!$C:$C,CM$1,Database!$F:$F,"Total")</f>
        <v>0</v>
      </c>
      <c r="CN62" s="137">
        <f>SUMIFS(Database!$G:$G,Database!$D:$D,"Import",Database!$E:$E,$B62,Database!$C:$C,CN$1,Database!$F:$F,"Total")</f>
        <v>0</v>
      </c>
      <c r="CO62" s="137">
        <f>SUMIFS(Database!$G:$G,Database!$D:$D,"Import",Database!$E:$E,$B62,Database!$C:$C,CO$1,Database!$F:$F,"Total")</f>
        <v>0</v>
      </c>
      <c r="CP62" s="137">
        <f>SUMIFS(Database!$G:$G,Database!$D:$D,"Import",Database!$E:$E,$B62,Database!$C:$C,CP$1,Database!$F:$F,"Total")</f>
        <v>0</v>
      </c>
      <c r="CQ62" s="137">
        <f>SUMIFS(Database!$G:$G,Database!$D:$D,"Import",Database!$E:$E,$B62,Database!$C:$C,CQ$1,Database!$F:$F,"Total")</f>
        <v>0</v>
      </c>
      <c r="CR62" s="137">
        <f>SUMIFS(Database!$G:$G,Database!$D:$D,"Import",Database!$E:$E,$B62,Database!$C:$C,CR$1,Database!$F:$F,"Total")</f>
        <v>0</v>
      </c>
      <c r="CS62" s="137">
        <f>SUMIFS(Database!$G:$G,Database!$D:$D,"Import",Database!$E:$E,$B62,Database!$C:$C,CS$1,Database!$F:$F,"Total")</f>
        <v>0</v>
      </c>
      <c r="CT62" s="137">
        <f>SUMIFS(Database!$G:$G,Database!$D:$D,"Import",Database!$E:$E,$B62,Database!$C:$C,CT$1,Database!$F:$F,"Total")</f>
        <v>0</v>
      </c>
      <c r="CU62" s="137">
        <f>SUMIFS(Database!$G:$G,Database!$D:$D,"Import",Database!$E:$E,$B62,Database!$C:$C,CU$1,Database!$F:$F,"Total")</f>
        <v>0</v>
      </c>
    </row>
    <row r="63" spans="1:99" x14ac:dyDescent="0.25">
      <c r="A63" s="132" t="s">
        <v>484</v>
      </c>
      <c r="B63" s="133" t="s">
        <v>75</v>
      </c>
      <c r="C63" s="137">
        <f>SUMIFS(Database!$G:$G,Database!$D:$D,"Import",Database!$E:$E,$B63,Database!$C:$C,C$1,Database!$F:$F,"Total")</f>
        <v>0</v>
      </c>
      <c r="D63" s="137">
        <f>SUMIFS(Database!$G:$G,Database!$D:$D,"Import",Database!$E:$E,$B63,Database!$C:$C,D$1,Database!$F:$F,"Total")</f>
        <v>0</v>
      </c>
      <c r="E63" s="137">
        <f>SUMIFS(Database!$G:$G,Database!$D:$D,"Import",Database!$E:$E,$B63,Database!$C:$C,E$1,Database!$F:$F,"Total")</f>
        <v>0</v>
      </c>
      <c r="F63" s="137">
        <f>SUMIFS(Database!$G:$G,Database!$D:$D,"Import",Database!$E:$E,$B63,Database!$C:$C,F$1,Database!$F:$F,"Total")</f>
        <v>0</v>
      </c>
      <c r="G63" s="137">
        <f>SUMIFS(Database!$G:$G,Database!$D:$D,"Import",Database!$E:$E,$B63,Database!$C:$C,G$1,Database!$F:$F,"Total")</f>
        <v>0</v>
      </c>
      <c r="H63" s="137">
        <f>SUMIFS(Database!$G:$G,Database!$D:$D,"Import",Database!$E:$E,$B63,Database!$C:$C,H$1,Database!$F:$F,"Total")</f>
        <v>0</v>
      </c>
      <c r="I63" s="137">
        <f>SUMIFS(Database!$G:$G,Database!$D:$D,"Import",Database!$E:$E,$B63,Database!$C:$C,I$1,Database!$F:$F,"Total")</f>
        <v>0</v>
      </c>
      <c r="J63" s="137">
        <f>SUMIFS(Database!$G:$G,Database!$D:$D,"Import",Database!$E:$E,$B63,Database!$C:$C,J$1,Database!$F:$F,"Total")</f>
        <v>0</v>
      </c>
      <c r="K63" s="137">
        <f>SUMIFS(Database!$G:$G,Database!$D:$D,"Import",Database!$E:$E,$B63,Database!$C:$C,K$1,Database!$F:$F,"Total")</f>
        <v>0</v>
      </c>
      <c r="L63" s="137">
        <f>SUMIFS(Database!$G:$G,Database!$D:$D,"Import",Database!$E:$E,$B63,Database!$C:$C,L$1,Database!$F:$F,"Total")</f>
        <v>0</v>
      </c>
      <c r="M63" s="137">
        <f>SUMIFS(Database!$G:$G,Database!$D:$D,"Import",Database!$E:$E,$B63,Database!$C:$C,M$1,Database!$F:$F,"Total")</f>
        <v>0</v>
      </c>
      <c r="N63" s="137">
        <f>SUMIFS(Database!$G:$G,Database!$D:$D,"Import",Database!$E:$E,$B63,Database!$C:$C,N$1,Database!$F:$F,"Total")</f>
        <v>0</v>
      </c>
      <c r="O63" s="137">
        <f>SUMIFS(Database!$G:$G,Database!$D:$D,"Import",Database!$E:$E,$B63,Database!$C:$C,O$1,Database!$F:$F,"Total")</f>
        <v>0</v>
      </c>
      <c r="P63" s="137">
        <f>SUMIFS(Database!$G:$G,Database!$D:$D,"Import",Database!$E:$E,$B63,Database!$C:$C,P$1,Database!$F:$F,"Total")</f>
        <v>0</v>
      </c>
      <c r="Q63" s="137">
        <f>SUMIFS(Database!$G:$G,Database!$D:$D,"Import",Database!$E:$E,$B63,Database!$C:$C,Q$1,Database!$F:$F,"Total")</f>
        <v>0</v>
      </c>
      <c r="R63" s="137">
        <f>SUMIFS(Database!$G:$G,Database!$D:$D,"Import",Database!$E:$E,$B63,Database!$C:$C,R$1,Database!$F:$F,"Total")</f>
        <v>0</v>
      </c>
      <c r="S63" s="137">
        <f>SUMIFS(Database!$G:$G,Database!$D:$D,"Import",Database!$E:$E,$B63,Database!$C:$C,S$1,Database!$F:$F,"Total")</f>
        <v>0</v>
      </c>
      <c r="T63" s="137">
        <f>SUMIFS(Database!$G:$G,Database!$D:$D,"Import",Database!$E:$E,$B63,Database!$C:$C,T$1,Database!$F:$F,"Total")</f>
        <v>0</v>
      </c>
      <c r="U63" s="137">
        <f>SUMIFS(Database!$G:$G,Database!$D:$D,"Import",Database!$E:$E,$B63,Database!$C:$C,U$1,Database!$F:$F,"Total")</f>
        <v>0</v>
      </c>
      <c r="V63" s="137">
        <f>SUMIFS(Database!$G:$G,Database!$D:$D,"Import",Database!$E:$E,$B63,Database!$C:$C,V$1,Database!$F:$F,"Total")</f>
        <v>0</v>
      </c>
      <c r="W63" s="137">
        <f>SUMIFS(Database!$G:$G,Database!$D:$D,"Import",Database!$E:$E,$B63,Database!$C:$C,W$1,Database!$F:$F,"Total")</f>
        <v>0</v>
      </c>
      <c r="X63" s="137">
        <f>SUMIFS(Database!$G:$G,Database!$D:$D,"Import",Database!$E:$E,$B63,Database!$C:$C,X$1,Database!$F:$F,"Total")</f>
        <v>0</v>
      </c>
      <c r="Y63" s="137">
        <f>SUMIFS(Database!$G:$G,Database!$D:$D,"Import",Database!$E:$E,$B63,Database!$C:$C,Y$1,Database!$F:$F,"Total")</f>
        <v>0</v>
      </c>
      <c r="Z63" s="137">
        <f>SUMIFS(Database!$G:$G,Database!$D:$D,"Import",Database!$E:$E,$B63,Database!$C:$C,Z$1,Database!$F:$F,"Total")</f>
        <v>0</v>
      </c>
      <c r="AA63" s="137">
        <f>SUMIFS(Database!$G:$G,Database!$D:$D,"Import",Database!$E:$E,$B63,Database!$C:$C,AA$1,Database!$F:$F,"Total")</f>
        <v>0</v>
      </c>
      <c r="AB63" s="137">
        <f>SUMIFS(Database!$G:$G,Database!$D:$D,"Import",Database!$E:$E,$B63,Database!$C:$C,AB$1,Database!$F:$F,"Total")</f>
        <v>0</v>
      </c>
      <c r="AC63" s="137">
        <f>SUMIFS(Database!$G:$G,Database!$D:$D,"Import",Database!$E:$E,$B63,Database!$C:$C,AC$1,Database!$F:$F,"Total")</f>
        <v>0</v>
      </c>
      <c r="AD63" s="137">
        <f>SUMIFS(Database!$G:$G,Database!$D:$D,"Import",Database!$E:$E,$B63,Database!$C:$C,AD$1,Database!$F:$F,"Total")</f>
        <v>0</v>
      </c>
      <c r="AE63" s="137">
        <f>SUMIFS(Database!$G:$G,Database!$D:$D,"Import",Database!$E:$E,$B63,Database!$C:$C,AE$1,Database!$F:$F,"Total")</f>
        <v>0</v>
      </c>
      <c r="AF63" s="137">
        <f>SUMIFS(Database!$G:$G,Database!$D:$D,"Import",Database!$E:$E,$B63,Database!$C:$C,AF$1,Database!$F:$F,"Total")</f>
        <v>0</v>
      </c>
      <c r="AG63" s="137">
        <f>SUMIFS(Database!$G:$G,Database!$D:$D,"Import",Database!$E:$E,$B63,Database!$C:$C,AG$1,Database!$F:$F,"Total")</f>
        <v>0</v>
      </c>
      <c r="AH63" s="137">
        <f>SUMIFS(Database!$G:$G,Database!$D:$D,"Import",Database!$E:$E,$B63,Database!$C:$C,AH$1,Database!$F:$F,"Total")</f>
        <v>0</v>
      </c>
      <c r="AI63" s="137">
        <f>SUMIFS(Database!$G:$G,Database!$D:$D,"Import",Database!$E:$E,$B63,Database!$C:$C,AI$1,Database!$F:$F,"Total")</f>
        <v>0</v>
      </c>
      <c r="AJ63" s="137">
        <f>SUMIFS(Database!$G:$G,Database!$D:$D,"Import",Database!$E:$E,$B63,Database!$C:$C,AJ$1,Database!$F:$F,"Total")</f>
        <v>13044609</v>
      </c>
      <c r="AK63" s="137">
        <f>SUMIFS(Database!$G:$G,Database!$D:$D,"Import",Database!$E:$E,$B63,Database!$C:$C,AK$1,Database!$F:$F,"Total")</f>
        <v>9365958</v>
      </c>
      <c r="AL63" s="137">
        <f>SUMIFS(Database!$G:$G,Database!$D:$D,"Import",Database!$E:$E,$B63,Database!$C:$C,AL$1,Database!$F:$F,"Total")</f>
        <v>7889087</v>
      </c>
      <c r="AM63" s="137">
        <f>SUMIFS(Database!$G:$G,Database!$D:$D,"Import",Database!$E:$E,$B63,Database!$C:$C,AM$1,Database!$F:$F,"Total")</f>
        <v>7037114</v>
      </c>
      <c r="AN63" s="137">
        <f>SUMIFS(Database!$G:$G,Database!$D:$D,"Import",Database!$E:$E,$B63,Database!$C:$C,AN$1,Database!$F:$F,"Total")</f>
        <v>11135369</v>
      </c>
      <c r="AO63" s="137">
        <f>SUMIFS(Database!$G:$G,Database!$D:$D,"Import",Database!$E:$E,$B63,Database!$C:$C,AO$1,Database!$F:$F,"Total")</f>
        <v>9984455</v>
      </c>
      <c r="AP63" s="137">
        <f>SUMIFS(Database!$G:$G,Database!$D:$D,"Import",Database!$E:$E,$B63,Database!$C:$C,AP$1,Database!$F:$F,"Total")</f>
        <v>4515967</v>
      </c>
      <c r="AQ63" s="137">
        <f>SUMIFS(Database!$G:$G,Database!$D:$D,"Import",Database!$E:$E,$B63,Database!$C:$C,AQ$1,Database!$F:$F,"Total")</f>
        <v>4742392</v>
      </c>
      <c r="AR63" s="137">
        <f>SUMIFS(Database!$G:$G,Database!$D:$D,"Import",Database!$E:$E,$B63,Database!$C:$C,AR$1,Database!$F:$F,"Total")</f>
        <v>4980681</v>
      </c>
      <c r="AS63" s="137">
        <f>SUMIFS(Database!$G:$G,Database!$D:$D,"Import",Database!$E:$E,$B63,Database!$C:$C,AS$1,Database!$F:$F,"Total")</f>
        <v>9819103</v>
      </c>
      <c r="AT63" s="137">
        <f>SUMIFS(Database!$G:$G,Database!$D:$D,"Import",Database!$E:$E,$B63,Database!$C:$C,AT$1,Database!$F:$F,"Total")</f>
        <v>8411967</v>
      </c>
      <c r="AU63" s="137">
        <f>SUMIFS(Database!$G:$G,Database!$D:$D,"Import",Database!$E:$E,$B63,Database!$C:$C,AU$1,Database!$F:$F,"Total")</f>
        <v>1953303</v>
      </c>
      <c r="AV63" s="137">
        <f>SUMIFS(Database!$G:$G,Database!$D:$D,"Import",Database!$E:$E,$B63,Database!$C:$C,AV$1,Database!$F:$F,"Total")</f>
        <v>2323073</v>
      </c>
      <c r="AW63" s="137">
        <f>SUMIFS(Database!$G:$G,Database!$D:$D,"Import",Database!$E:$E,$B63,Database!$C:$C,AW$1,Database!$F:$F,"Total")</f>
        <v>2366110</v>
      </c>
      <c r="AX63" s="137">
        <f>SUMIFS(Database!$G:$G,Database!$D:$D,"Import",Database!$E:$E,$B63,Database!$C:$C,AX$1,Database!$F:$F,"Total")</f>
        <v>9192775</v>
      </c>
      <c r="AY63" s="137">
        <f>SUMIFS(Database!$G:$G,Database!$D:$D,"Import",Database!$E:$E,$B63,Database!$C:$C,AY$1,Database!$F:$F,"Total")</f>
        <v>12418211</v>
      </c>
      <c r="AZ63" s="137">
        <f>SUMIFS(Database!$G:$G,Database!$D:$D,"Import",Database!$E:$E,$B63,Database!$C:$C,AZ$1,Database!$F:$F,"Total")</f>
        <v>7523611</v>
      </c>
      <c r="BA63" s="137">
        <f>SUMIFS(Database!$G:$G,Database!$D:$D,"Import",Database!$E:$E,$B63,Database!$C:$C,BA$1,Database!$F:$F,"Total")</f>
        <v>7348635</v>
      </c>
      <c r="BB63" s="137">
        <f>SUMIFS(Database!$G:$G,Database!$D:$D,"Import",Database!$E:$E,$B63,Database!$C:$C,BB$1,Database!$F:$F,"Total")</f>
        <v>9442506</v>
      </c>
      <c r="BC63" s="137">
        <f>SUMIFS(Database!$G:$G,Database!$D:$D,"Import",Database!$E:$E,$B63,Database!$C:$C,BC$1,Database!$F:$F,"Total")</f>
        <v>8541753</v>
      </c>
      <c r="BD63" s="137">
        <f>SUMIFS(Database!$G:$G,Database!$D:$D,"Import",Database!$E:$E,$B63,Database!$C:$C,BD$1,Database!$F:$F,"Total")</f>
        <v>6565138</v>
      </c>
      <c r="BE63" s="137">
        <f>SUMIFS(Database!$G:$G,Database!$D:$D,"Import",Database!$E:$E,$B63,Database!$C:$C,BE$1,Database!$F:$F,"Total")</f>
        <v>7011249</v>
      </c>
      <c r="BF63" s="137">
        <f>SUMIFS(Database!$G:$G,Database!$D:$D,"Import",Database!$E:$E,$B63,Database!$C:$C,BF$1,Database!$F:$F,"Total")</f>
        <v>7244659</v>
      </c>
      <c r="BG63" s="137">
        <f>SUMIFS(Database!$G:$G,Database!$D:$D,"Import",Database!$E:$E,$B63,Database!$C:$C,BG$1,Database!$F:$F,"Total")</f>
        <v>5488075</v>
      </c>
      <c r="BH63" s="137">
        <f>SUMIFS(Database!$G:$G,Database!$D:$D,"Import",Database!$E:$E,$B63,Database!$C:$C,BH$1,Database!$F:$F,"Total")</f>
        <v>4660205</v>
      </c>
      <c r="BI63" s="137">
        <f>SUMIFS(Database!$G:$G,Database!$D:$D,"Import",Database!$E:$E,$B63,Database!$C:$C,BI$1,Database!$F:$F,"Total")</f>
        <v>8630145</v>
      </c>
      <c r="BJ63" s="137">
        <f>SUMIFS(Database!$G:$G,Database!$D:$D,"Import",Database!$E:$E,$B63,Database!$C:$C,BJ$1,Database!$F:$F,"Total")</f>
        <v>4477207</v>
      </c>
      <c r="BK63" s="137">
        <f>SUMIFS(Database!$G:$G,Database!$D:$D,"Import",Database!$E:$E,$B63,Database!$C:$C,BK$1,Database!$F:$F,"Total")</f>
        <v>5832548</v>
      </c>
      <c r="BL63" s="137">
        <f>SUMIFS(Database!$G:$G,Database!$D:$D,"Import",Database!$E:$E,$B63,Database!$C:$C,BL$1,Database!$F:$F,"Total")</f>
        <v>0</v>
      </c>
      <c r="BM63" s="137">
        <f>SUMIFS(Database!$G:$G,Database!$D:$D,"Import",Database!$E:$E,$B63,Database!$C:$C,BM$1,Database!$F:$F,"Total")</f>
        <v>0</v>
      </c>
      <c r="BN63" s="137">
        <f>SUMIFS(Database!$G:$G,Database!$D:$D,"Import",Database!$E:$E,$B63,Database!$C:$C,BN$1,Database!$F:$F,"Total")</f>
        <v>4949088</v>
      </c>
      <c r="BO63" s="137">
        <f>SUMIFS(Database!$G:$G,Database!$D:$D,"Import",Database!$E:$E,$B63,Database!$C:$C,BO$1,Database!$F:$F,"Total")</f>
        <v>0</v>
      </c>
      <c r="BP63" s="137">
        <f>SUMIFS(Database!$G:$G,Database!$D:$D,"Import",Database!$E:$E,$B63,Database!$C:$C,BP$1,Database!$F:$F,"Total")</f>
        <v>5989691</v>
      </c>
      <c r="BQ63" s="137">
        <f>SUMIFS(Database!$G:$G,Database!$D:$D,"Import",Database!$E:$E,$B63,Database!$C:$C,BQ$1,Database!$F:$F,"Total")</f>
        <v>6248776</v>
      </c>
      <c r="BR63" s="137">
        <f>SUMIFS(Database!$G:$G,Database!$D:$D,"Import",Database!$E:$E,$B63,Database!$C:$C,BR$1,Database!$F:$F,"Total")</f>
        <v>6701217</v>
      </c>
      <c r="BS63" s="137">
        <f>SUMIFS(Database!$G:$G,Database!$D:$D,"Import",Database!$E:$E,$B63,Database!$C:$C,BS$1,Database!$F:$F,"Total")</f>
        <v>9136118</v>
      </c>
      <c r="BT63" s="137">
        <f>SUMIFS(Database!$G:$G,Database!$D:$D,"Import",Database!$E:$E,$B63,Database!$C:$C,BT$1,Database!$F:$F,"Total")</f>
        <v>16006072</v>
      </c>
      <c r="BU63" s="137">
        <f>SUMIFS(Database!$G:$G,Database!$D:$D,"Import",Database!$E:$E,$B63,Database!$C:$C,BU$1,Database!$F:$F,"Total")</f>
        <v>8374771</v>
      </c>
      <c r="BV63" s="137">
        <f>SUMIFS(Database!$G:$G,Database!$D:$D,"Import",Database!$E:$E,$B63,Database!$C:$C,BV$1,Database!$F:$F,"Total")</f>
        <v>6356325</v>
      </c>
      <c r="BW63" s="137">
        <f>SUMIFS(Database!$G:$G,Database!$D:$D,"Import",Database!$E:$E,$B63,Database!$C:$C,BW$1,Database!$F:$F,"Total")</f>
        <v>10108327</v>
      </c>
      <c r="BX63" s="137">
        <f>SUMIFS(Database!$G:$G,Database!$D:$D,"Import",Database!$E:$E,$B63,Database!$C:$C,BX$1,Database!$F:$F,"Total")</f>
        <v>11014909</v>
      </c>
      <c r="BY63" s="137">
        <f>SUMIFS(Database!$G:$G,Database!$D:$D,"Import",Database!$E:$E,$B63,Database!$C:$C,BY$1,Database!$F:$F,"Total")</f>
        <v>7158512</v>
      </c>
      <c r="BZ63" s="137">
        <f>SUMIFS(Database!$G:$G,Database!$D:$D,"Import",Database!$E:$E,$B63,Database!$C:$C,BZ$1,Database!$F:$F,"Total")</f>
        <v>7526293</v>
      </c>
      <c r="CA63" s="137">
        <f>SUMIFS(Database!$G:$G,Database!$D:$D,"Import",Database!$E:$E,$B63,Database!$C:$C,CA$1,Database!$F:$F,"Total")</f>
        <v>9008221</v>
      </c>
      <c r="CB63" s="137">
        <f>SUMIFS(Database!$G:$G,Database!$D:$D,"Import",Database!$E:$E,$B63,Database!$C:$C,CB$1,Database!$F:$F,"Total")</f>
        <v>0</v>
      </c>
      <c r="CC63" s="137">
        <f>SUMIFS(Database!$G:$G,Database!$D:$D,"Import",Database!$E:$E,$B63,Database!$C:$C,CC$1,Database!$F:$F,"Total")</f>
        <v>0</v>
      </c>
      <c r="CD63" s="137">
        <f>SUMIFS(Database!$G:$G,Database!$D:$D,"Import",Database!$E:$E,$B63,Database!$C:$C,CD$1,Database!$F:$F,"Total")</f>
        <v>0</v>
      </c>
      <c r="CE63" s="137">
        <f>SUMIFS(Database!$G:$G,Database!$D:$D,"Import",Database!$E:$E,$B63,Database!$C:$C,CE$1,Database!$F:$F,"Total")</f>
        <v>0</v>
      </c>
      <c r="CF63" s="137">
        <f>SUMIFS(Database!$G:$G,Database!$D:$D,"Import",Database!$E:$E,$B63,Database!$C:$C,CF$1,Database!$F:$F,"Total")</f>
        <v>0</v>
      </c>
      <c r="CG63" s="137">
        <f>SUMIFS(Database!$G:$G,Database!$D:$D,"Import",Database!$E:$E,$B63,Database!$C:$C,CG$1,Database!$F:$F,"Total")</f>
        <v>0</v>
      </c>
      <c r="CH63" s="137">
        <f>SUMIFS(Database!$G:$G,Database!$D:$D,"Import",Database!$E:$E,$B63,Database!$C:$C,CH$1,Database!$F:$F,"Total")</f>
        <v>0</v>
      </c>
      <c r="CI63" s="137">
        <f>SUMIFS(Database!$G:$G,Database!$D:$D,"Import",Database!$E:$E,$B63,Database!$C:$C,CI$1,Database!$F:$F,"Total")</f>
        <v>0</v>
      </c>
      <c r="CJ63" s="137">
        <f>SUMIFS(Database!$G:$G,Database!$D:$D,"Import",Database!$E:$E,$B63,Database!$C:$C,CJ$1,Database!$F:$F,"Total")</f>
        <v>0</v>
      </c>
      <c r="CK63" s="137">
        <f>SUMIFS(Database!$G:$G,Database!$D:$D,"Import",Database!$E:$E,$B63,Database!$C:$C,CK$1,Database!$F:$F,"Total")</f>
        <v>0</v>
      </c>
      <c r="CL63" s="137">
        <f>SUMIFS(Database!$G:$G,Database!$D:$D,"Import",Database!$E:$E,$B63,Database!$C:$C,CL$1,Database!$F:$F,"Total")</f>
        <v>0</v>
      </c>
      <c r="CM63" s="137">
        <f>SUMIFS(Database!$G:$G,Database!$D:$D,"Import",Database!$E:$E,$B63,Database!$C:$C,CM$1,Database!$F:$F,"Total")</f>
        <v>0</v>
      </c>
      <c r="CN63" s="137">
        <f>SUMIFS(Database!$G:$G,Database!$D:$D,"Import",Database!$E:$E,$B63,Database!$C:$C,CN$1,Database!$F:$F,"Total")</f>
        <v>0</v>
      </c>
      <c r="CO63" s="137">
        <f>SUMIFS(Database!$G:$G,Database!$D:$D,"Import",Database!$E:$E,$B63,Database!$C:$C,CO$1,Database!$F:$F,"Total")</f>
        <v>0</v>
      </c>
      <c r="CP63" s="137">
        <f>SUMIFS(Database!$G:$G,Database!$D:$D,"Import",Database!$E:$E,$B63,Database!$C:$C,CP$1,Database!$F:$F,"Total")</f>
        <v>0</v>
      </c>
      <c r="CQ63" s="137">
        <f>SUMIFS(Database!$G:$G,Database!$D:$D,"Import",Database!$E:$E,$B63,Database!$C:$C,CQ$1,Database!$F:$F,"Total")</f>
        <v>0</v>
      </c>
      <c r="CR63" s="137">
        <f>SUMIFS(Database!$G:$G,Database!$D:$D,"Import",Database!$E:$E,$B63,Database!$C:$C,CR$1,Database!$F:$F,"Total")</f>
        <v>0</v>
      </c>
      <c r="CS63" s="137">
        <f>SUMIFS(Database!$G:$G,Database!$D:$D,"Import",Database!$E:$E,$B63,Database!$C:$C,CS$1,Database!$F:$F,"Total")</f>
        <v>0</v>
      </c>
      <c r="CT63" s="137">
        <f>SUMIFS(Database!$G:$G,Database!$D:$D,"Import",Database!$E:$E,$B63,Database!$C:$C,CT$1,Database!$F:$F,"Total")</f>
        <v>0</v>
      </c>
      <c r="CU63" s="137">
        <f>SUMIFS(Database!$G:$G,Database!$D:$D,"Import",Database!$E:$E,$B63,Database!$C:$C,CU$1,Database!$F:$F,"Total")</f>
        <v>0</v>
      </c>
    </row>
    <row r="64" spans="1:99" x14ac:dyDescent="0.25">
      <c r="A64" s="132" t="s">
        <v>484</v>
      </c>
      <c r="B64" s="133" t="s">
        <v>76</v>
      </c>
      <c r="C64" s="137">
        <f>SUMIFS(Database!$G:$G,Database!$D:$D,"Import",Database!$E:$E,$B64,Database!$C:$C,C$1,Database!$F:$F,"Total")</f>
        <v>0</v>
      </c>
      <c r="D64" s="137">
        <f>SUMIFS(Database!$G:$G,Database!$D:$D,"Import",Database!$E:$E,$B64,Database!$C:$C,D$1,Database!$F:$F,"Total")</f>
        <v>0</v>
      </c>
      <c r="E64" s="137">
        <f>SUMIFS(Database!$G:$G,Database!$D:$D,"Import",Database!$E:$E,$B64,Database!$C:$C,E$1,Database!$F:$F,"Total")</f>
        <v>0</v>
      </c>
      <c r="F64" s="137">
        <f>SUMIFS(Database!$G:$G,Database!$D:$D,"Import",Database!$E:$E,$B64,Database!$C:$C,F$1,Database!$F:$F,"Total")</f>
        <v>0</v>
      </c>
      <c r="G64" s="137">
        <f>SUMIFS(Database!$G:$G,Database!$D:$D,"Import",Database!$E:$E,$B64,Database!$C:$C,G$1,Database!$F:$F,"Total")</f>
        <v>0</v>
      </c>
      <c r="H64" s="137">
        <f>SUMIFS(Database!$G:$G,Database!$D:$D,"Import",Database!$E:$E,$B64,Database!$C:$C,H$1,Database!$F:$F,"Total")</f>
        <v>0</v>
      </c>
      <c r="I64" s="137">
        <f>SUMIFS(Database!$G:$G,Database!$D:$D,"Import",Database!$E:$E,$B64,Database!$C:$C,I$1,Database!$F:$F,"Total")</f>
        <v>0</v>
      </c>
      <c r="J64" s="137">
        <f>SUMIFS(Database!$G:$G,Database!$D:$D,"Import",Database!$E:$E,$B64,Database!$C:$C,J$1,Database!$F:$F,"Total")</f>
        <v>0</v>
      </c>
      <c r="K64" s="137">
        <f>SUMIFS(Database!$G:$G,Database!$D:$D,"Import",Database!$E:$E,$B64,Database!$C:$C,K$1,Database!$F:$F,"Total")</f>
        <v>0</v>
      </c>
      <c r="L64" s="137">
        <f>SUMIFS(Database!$G:$G,Database!$D:$D,"Import",Database!$E:$E,$B64,Database!$C:$C,L$1,Database!$F:$F,"Total")</f>
        <v>0</v>
      </c>
      <c r="M64" s="137">
        <f>SUMIFS(Database!$G:$G,Database!$D:$D,"Import",Database!$E:$E,$B64,Database!$C:$C,M$1,Database!$F:$F,"Total")</f>
        <v>0</v>
      </c>
      <c r="N64" s="137">
        <f>SUMIFS(Database!$G:$G,Database!$D:$D,"Import",Database!$E:$E,$B64,Database!$C:$C,N$1,Database!$F:$F,"Total")</f>
        <v>0</v>
      </c>
      <c r="O64" s="137">
        <f>SUMIFS(Database!$G:$G,Database!$D:$D,"Import",Database!$E:$E,$B64,Database!$C:$C,O$1,Database!$F:$F,"Total")</f>
        <v>0</v>
      </c>
      <c r="P64" s="137">
        <f>SUMIFS(Database!$G:$G,Database!$D:$D,"Import",Database!$E:$E,$B64,Database!$C:$C,P$1,Database!$F:$F,"Total")</f>
        <v>0</v>
      </c>
      <c r="Q64" s="137">
        <f>SUMIFS(Database!$G:$G,Database!$D:$D,"Import",Database!$E:$E,$B64,Database!$C:$C,Q$1,Database!$F:$F,"Total")</f>
        <v>0</v>
      </c>
      <c r="R64" s="137">
        <f>SUMIFS(Database!$G:$G,Database!$D:$D,"Import",Database!$E:$E,$B64,Database!$C:$C,R$1,Database!$F:$F,"Total")</f>
        <v>0</v>
      </c>
      <c r="S64" s="137">
        <f>SUMIFS(Database!$G:$G,Database!$D:$D,"Import",Database!$E:$E,$B64,Database!$C:$C,S$1,Database!$F:$F,"Total")</f>
        <v>0</v>
      </c>
      <c r="T64" s="137">
        <f>SUMIFS(Database!$G:$G,Database!$D:$D,"Import",Database!$E:$E,$B64,Database!$C:$C,T$1,Database!$F:$F,"Total")</f>
        <v>0</v>
      </c>
      <c r="U64" s="137">
        <f>SUMIFS(Database!$G:$G,Database!$D:$D,"Import",Database!$E:$E,$B64,Database!$C:$C,U$1,Database!$F:$F,"Total")</f>
        <v>0</v>
      </c>
      <c r="V64" s="137">
        <f>SUMIFS(Database!$G:$G,Database!$D:$D,"Import",Database!$E:$E,$B64,Database!$C:$C,V$1,Database!$F:$F,"Total")</f>
        <v>0</v>
      </c>
      <c r="W64" s="137">
        <f>SUMIFS(Database!$G:$G,Database!$D:$D,"Import",Database!$E:$E,$B64,Database!$C:$C,W$1,Database!$F:$F,"Total")</f>
        <v>0</v>
      </c>
      <c r="X64" s="137">
        <f>SUMIFS(Database!$G:$G,Database!$D:$D,"Import",Database!$E:$E,$B64,Database!$C:$C,X$1,Database!$F:$F,"Total")</f>
        <v>0</v>
      </c>
      <c r="Y64" s="137">
        <f>SUMIFS(Database!$G:$G,Database!$D:$D,"Import",Database!$E:$E,$B64,Database!$C:$C,Y$1,Database!$F:$F,"Total")</f>
        <v>0</v>
      </c>
      <c r="Z64" s="137">
        <f>SUMIFS(Database!$G:$G,Database!$D:$D,"Import",Database!$E:$E,$B64,Database!$C:$C,Z$1,Database!$F:$F,"Total")</f>
        <v>0</v>
      </c>
      <c r="AA64" s="137">
        <f>SUMIFS(Database!$G:$G,Database!$D:$D,"Import",Database!$E:$E,$B64,Database!$C:$C,AA$1,Database!$F:$F,"Total")</f>
        <v>0</v>
      </c>
      <c r="AB64" s="137">
        <f>SUMIFS(Database!$G:$G,Database!$D:$D,"Import",Database!$E:$E,$B64,Database!$C:$C,AB$1,Database!$F:$F,"Total")</f>
        <v>0</v>
      </c>
      <c r="AC64" s="137">
        <f>SUMIFS(Database!$G:$G,Database!$D:$D,"Import",Database!$E:$E,$B64,Database!$C:$C,AC$1,Database!$F:$F,"Total")</f>
        <v>0</v>
      </c>
      <c r="AD64" s="137">
        <f>SUMIFS(Database!$G:$G,Database!$D:$D,"Import",Database!$E:$E,$B64,Database!$C:$C,AD$1,Database!$F:$F,"Total")</f>
        <v>0</v>
      </c>
      <c r="AE64" s="137">
        <f>SUMIFS(Database!$G:$G,Database!$D:$D,"Import",Database!$E:$E,$B64,Database!$C:$C,AE$1,Database!$F:$F,"Total")</f>
        <v>0</v>
      </c>
      <c r="AF64" s="137">
        <f>SUMIFS(Database!$G:$G,Database!$D:$D,"Import",Database!$E:$E,$B64,Database!$C:$C,AF$1,Database!$F:$F,"Total")</f>
        <v>0</v>
      </c>
      <c r="AG64" s="137">
        <f>SUMIFS(Database!$G:$G,Database!$D:$D,"Import",Database!$E:$E,$B64,Database!$C:$C,AG$1,Database!$F:$F,"Total")</f>
        <v>0</v>
      </c>
      <c r="AH64" s="137">
        <f>SUMIFS(Database!$G:$G,Database!$D:$D,"Import",Database!$E:$E,$B64,Database!$C:$C,AH$1,Database!$F:$F,"Total")</f>
        <v>0</v>
      </c>
      <c r="AI64" s="137">
        <f>SUMIFS(Database!$G:$G,Database!$D:$D,"Import",Database!$E:$E,$B64,Database!$C:$C,AI$1,Database!$F:$F,"Total")</f>
        <v>0</v>
      </c>
      <c r="AJ64" s="137">
        <f>SUMIFS(Database!$G:$G,Database!$D:$D,"Import",Database!$E:$E,$B64,Database!$C:$C,AJ$1,Database!$F:$F,"Total")</f>
        <v>441</v>
      </c>
      <c r="AK64" s="137">
        <f>SUMIFS(Database!$G:$G,Database!$D:$D,"Import",Database!$E:$E,$B64,Database!$C:$C,AK$1,Database!$F:$F,"Total")</f>
        <v>0</v>
      </c>
      <c r="AL64" s="137">
        <f>SUMIFS(Database!$G:$G,Database!$D:$D,"Import",Database!$E:$E,$B64,Database!$C:$C,AL$1,Database!$F:$F,"Total")</f>
        <v>0</v>
      </c>
      <c r="AM64" s="137">
        <f>SUMIFS(Database!$G:$G,Database!$D:$D,"Import",Database!$E:$E,$B64,Database!$C:$C,AM$1,Database!$F:$F,"Total")</f>
        <v>0</v>
      </c>
      <c r="AN64" s="137">
        <f>SUMIFS(Database!$G:$G,Database!$D:$D,"Import",Database!$E:$E,$B64,Database!$C:$C,AN$1,Database!$F:$F,"Total")</f>
        <v>0</v>
      </c>
      <c r="AO64" s="137">
        <f>SUMIFS(Database!$G:$G,Database!$D:$D,"Import",Database!$E:$E,$B64,Database!$C:$C,AO$1,Database!$F:$F,"Total")</f>
        <v>0</v>
      </c>
      <c r="AP64" s="137">
        <f>SUMIFS(Database!$G:$G,Database!$D:$D,"Import",Database!$E:$E,$B64,Database!$C:$C,AP$1,Database!$F:$F,"Total")</f>
        <v>0</v>
      </c>
      <c r="AQ64" s="137">
        <f>SUMIFS(Database!$G:$G,Database!$D:$D,"Import",Database!$E:$E,$B64,Database!$C:$C,AQ$1,Database!$F:$F,"Total")</f>
        <v>0</v>
      </c>
      <c r="AR64" s="137">
        <f>SUMIFS(Database!$G:$G,Database!$D:$D,"Import",Database!$E:$E,$B64,Database!$C:$C,AR$1,Database!$F:$F,"Total")</f>
        <v>0</v>
      </c>
      <c r="AS64" s="137">
        <f>SUMIFS(Database!$G:$G,Database!$D:$D,"Import",Database!$E:$E,$B64,Database!$C:$C,AS$1,Database!$F:$F,"Total")</f>
        <v>0</v>
      </c>
      <c r="AT64" s="137">
        <f>SUMIFS(Database!$G:$G,Database!$D:$D,"Import",Database!$E:$E,$B64,Database!$C:$C,AT$1,Database!$F:$F,"Total")</f>
        <v>0</v>
      </c>
      <c r="AU64" s="137">
        <f>SUMIFS(Database!$G:$G,Database!$D:$D,"Import",Database!$E:$E,$B64,Database!$C:$C,AU$1,Database!$F:$F,"Total")</f>
        <v>0</v>
      </c>
      <c r="AV64" s="137">
        <f>SUMIFS(Database!$G:$G,Database!$D:$D,"Import",Database!$E:$E,$B64,Database!$C:$C,AV$1,Database!$F:$F,"Total")</f>
        <v>0</v>
      </c>
      <c r="AW64" s="137">
        <f>SUMIFS(Database!$G:$G,Database!$D:$D,"Import",Database!$E:$E,$B64,Database!$C:$C,AW$1,Database!$F:$F,"Total")</f>
        <v>0</v>
      </c>
      <c r="AX64" s="137">
        <f>SUMIFS(Database!$G:$G,Database!$D:$D,"Import",Database!$E:$E,$B64,Database!$C:$C,AX$1,Database!$F:$F,"Total")</f>
        <v>0</v>
      </c>
      <c r="AY64" s="137">
        <f>SUMIFS(Database!$G:$G,Database!$D:$D,"Import",Database!$E:$E,$B64,Database!$C:$C,AY$1,Database!$F:$F,"Total")</f>
        <v>0</v>
      </c>
      <c r="AZ64" s="137">
        <f>SUMIFS(Database!$G:$G,Database!$D:$D,"Import",Database!$E:$E,$B64,Database!$C:$C,AZ$1,Database!$F:$F,"Total")</f>
        <v>0</v>
      </c>
      <c r="BA64" s="137">
        <f>SUMIFS(Database!$G:$G,Database!$D:$D,"Import",Database!$E:$E,$B64,Database!$C:$C,BA$1,Database!$F:$F,"Total")</f>
        <v>0</v>
      </c>
      <c r="BB64" s="137">
        <f>SUMIFS(Database!$G:$G,Database!$D:$D,"Import",Database!$E:$E,$B64,Database!$C:$C,BB$1,Database!$F:$F,"Total")</f>
        <v>0</v>
      </c>
      <c r="BC64" s="137">
        <f>SUMIFS(Database!$G:$G,Database!$D:$D,"Import",Database!$E:$E,$B64,Database!$C:$C,BC$1,Database!$F:$F,"Total")</f>
        <v>0</v>
      </c>
      <c r="BD64" s="137">
        <f>SUMIFS(Database!$G:$G,Database!$D:$D,"Import",Database!$E:$E,$B64,Database!$C:$C,BD$1,Database!$F:$F,"Total")</f>
        <v>0</v>
      </c>
      <c r="BE64" s="137">
        <f>SUMIFS(Database!$G:$G,Database!$D:$D,"Import",Database!$E:$E,$B64,Database!$C:$C,BE$1,Database!$F:$F,"Total")</f>
        <v>0</v>
      </c>
      <c r="BF64" s="137">
        <f>SUMIFS(Database!$G:$G,Database!$D:$D,"Import",Database!$E:$E,$B64,Database!$C:$C,BF$1,Database!$F:$F,"Total")</f>
        <v>0</v>
      </c>
      <c r="BG64" s="137">
        <f>SUMIFS(Database!$G:$G,Database!$D:$D,"Import",Database!$E:$E,$B64,Database!$C:$C,BG$1,Database!$F:$F,"Total")</f>
        <v>0</v>
      </c>
      <c r="BH64" s="137">
        <f>SUMIFS(Database!$G:$G,Database!$D:$D,"Import",Database!$E:$E,$B64,Database!$C:$C,BH$1,Database!$F:$F,"Total")</f>
        <v>0</v>
      </c>
      <c r="BI64" s="137">
        <f>SUMIFS(Database!$G:$G,Database!$D:$D,"Import",Database!$E:$E,$B64,Database!$C:$C,BI$1,Database!$F:$F,"Total")</f>
        <v>0</v>
      </c>
      <c r="BJ64" s="137">
        <f>SUMIFS(Database!$G:$G,Database!$D:$D,"Import",Database!$E:$E,$B64,Database!$C:$C,BJ$1,Database!$F:$F,"Total")</f>
        <v>0</v>
      </c>
      <c r="BK64" s="137">
        <f>SUMIFS(Database!$G:$G,Database!$D:$D,"Import",Database!$E:$E,$B64,Database!$C:$C,BK$1,Database!$F:$F,"Total")</f>
        <v>0</v>
      </c>
      <c r="BL64" s="137">
        <f>SUMIFS(Database!$G:$G,Database!$D:$D,"Import",Database!$E:$E,$B64,Database!$C:$C,BL$1,Database!$F:$F,"Total")</f>
        <v>0</v>
      </c>
      <c r="BM64" s="137">
        <f>SUMIFS(Database!$G:$G,Database!$D:$D,"Import",Database!$E:$E,$B64,Database!$C:$C,BM$1,Database!$F:$F,"Total")</f>
        <v>0</v>
      </c>
      <c r="BN64" s="137">
        <f>SUMIFS(Database!$G:$G,Database!$D:$D,"Import",Database!$E:$E,$B64,Database!$C:$C,BN$1,Database!$F:$F,"Total")</f>
        <v>0</v>
      </c>
      <c r="BO64" s="137">
        <f>SUMIFS(Database!$G:$G,Database!$D:$D,"Import",Database!$E:$E,$B64,Database!$C:$C,BO$1,Database!$F:$F,"Total")</f>
        <v>0</v>
      </c>
      <c r="BP64" s="137">
        <f>SUMIFS(Database!$G:$G,Database!$D:$D,"Import",Database!$E:$E,$B64,Database!$C:$C,BP$1,Database!$F:$F,"Total")</f>
        <v>0</v>
      </c>
      <c r="BQ64" s="137">
        <f>SUMIFS(Database!$G:$G,Database!$D:$D,"Import",Database!$E:$E,$B64,Database!$C:$C,BQ$1,Database!$F:$F,"Total")</f>
        <v>0</v>
      </c>
      <c r="BR64" s="137">
        <f>SUMIFS(Database!$G:$G,Database!$D:$D,"Import",Database!$E:$E,$B64,Database!$C:$C,BR$1,Database!$F:$F,"Total")</f>
        <v>0</v>
      </c>
      <c r="BS64" s="137">
        <f>SUMIFS(Database!$G:$G,Database!$D:$D,"Import",Database!$E:$E,$B64,Database!$C:$C,BS$1,Database!$F:$F,"Total")</f>
        <v>0</v>
      </c>
      <c r="BT64" s="137">
        <f>SUMIFS(Database!$G:$G,Database!$D:$D,"Import",Database!$E:$E,$B64,Database!$C:$C,BT$1,Database!$F:$F,"Total")</f>
        <v>0</v>
      </c>
      <c r="BU64" s="137">
        <f>SUMIFS(Database!$G:$G,Database!$D:$D,"Import",Database!$E:$E,$B64,Database!$C:$C,BU$1,Database!$F:$F,"Total")</f>
        <v>0</v>
      </c>
      <c r="BV64" s="137">
        <f>SUMIFS(Database!$G:$G,Database!$D:$D,"Import",Database!$E:$E,$B64,Database!$C:$C,BV$1,Database!$F:$F,"Total")</f>
        <v>0</v>
      </c>
      <c r="BW64" s="137">
        <f>SUMIFS(Database!$G:$G,Database!$D:$D,"Import",Database!$E:$E,$B64,Database!$C:$C,BW$1,Database!$F:$F,"Total")</f>
        <v>0</v>
      </c>
      <c r="BX64" s="137">
        <f>SUMIFS(Database!$G:$G,Database!$D:$D,"Import",Database!$E:$E,$B64,Database!$C:$C,BX$1,Database!$F:$F,"Total")</f>
        <v>0</v>
      </c>
      <c r="BY64" s="137">
        <f>SUMIFS(Database!$G:$G,Database!$D:$D,"Import",Database!$E:$E,$B64,Database!$C:$C,BY$1,Database!$F:$F,"Total")</f>
        <v>0</v>
      </c>
      <c r="BZ64" s="137">
        <f>SUMIFS(Database!$G:$G,Database!$D:$D,"Import",Database!$E:$E,$B64,Database!$C:$C,BZ$1,Database!$F:$F,"Total")</f>
        <v>0</v>
      </c>
      <c r="CA64" s="137">
        <f>SUMIFS(Database!$G:$G,Database!$D:$D,"Import",Database!$E:$E,$B64,Database!$C:$C,CA$1,Database!$F:$F,"Total")</f>
        <v>0</v>
      </c>
      <c r="CB64" s="137">
        <f>SUMIFS(Database!$G:$G,Database!$D:$D,"Import",Database!$E:$E,$B64,Database!$C:$C,CB$1,Database!$F:$F,"Total")</f>
        <v>0</v>
      </c>
      <c r="CC64" s="137">
        <f>SUMIFS(Database!$G:$G,Database!$D:$D,"Import",Database!$E:$E,$B64,Database!$C:$C,CC$1,Database!$F:$F,"Total")</f>
        <v>0</v>
      </c>
      <c r="CD64" s="137">
        <f>SUMIFS(Database!$G:$G,Database!$D:$D,"Import",Database!$E:$E,$B64,Database!$C:$C,CD$1,Database!$F:$F,"Total")</f>
        <v>0</v>
      </c>
      <c r="CE64" s="137">
        <f>SUMIFS(Database!$G:$G,Database!$D:$D,"Import",Database!$E:$E,$B64,Database!$C:$C,CE$1,Database!$F:$F,"Total")</f>
        <v>0</v>
      </c>
      <c r="CF64" s="137">
        <f>SUMIFS(Database!$G:$G,Database!$D:$D,"Import",Database!$E:$E,$B64,Database!$C:$C,CF$1,Database!$F:$F,"Total")</f>
        <v>0</v>
      </c>
      <c r="CG64" s="137">
        <f>SUMIFS(Database!$G:$G,Database!$D:$D,"Import",Database!$E:$E,$B64,Database!$C:$C,CG$1,Database!$F:$F,"Total")</f>
        <v>0</v>
      </c>
      <c r="CH64" s="137">
        <f>SUMIFS(Database!$G:$G,Database!$D:$D,"Import",Database!$E:$E,$B64,Database!$C:$C,CH$1,Database!$F:$F,"Total")</f>
        <v>0</v>
      </c>
      <c r="CI64" s="137">
        <f>SUMIFS(Database!$G:$G,Database!$D:$D,"Import",Database!$E:$E,$B64,Database!$C:$C,CI$1,Database!$F:$F,"Total")</f>
        <v>0</v>
      </c>
      <c r="CJ64" s="137">
        <f>SUMIFS(Database!$G:$G,Database!$D:$D,"Import",Database!$E:$E,$B64,Database!$C:$C,CJ$1,Database!$F:$F,"Total")</f>
        <v>0</v>
      </c>
      <c r="CK64" s="137">
        <f>SUMIFS(Database!$G:$G,Database!$D:$D,"Import",Database!$E:$E,$B64,Database!$C:$C,CK$1,Database!$F:$F,"Total")</f>
        <v>0</v>
      </c>
      <c r="CL64" s="137">
        <f>SUMIFS(Database!$G:$G,Database!$D:$D,"Import",Database!$E:$E,$B64,Database!$C:$C,CL$1,Database!$F:$F,"Total")</f>
        <v>0</v>
      </c>
      <c r="CM64" s="137">
        <f>SUMIFS(Database!$G:$G,Database!$D:$D,"Import",Database!$E:$E,$B64,Database!$C:$C,CM$1,Database!$F:$F,"Total")</f>
        <v>0</v>
      </c>
      <c r="CN64" s="137">
        <f>SUMIFS(Database!$G:$G,Database!$D:$D,"Import",Database!$E:$E,$B64,Database!$C:$C,CN$1,Database!$F:$F,"Total")</f>
        <v>0</v>
      </c>
      <c r="CO64" s="137">
        <f>SUMIFS(Database!$G:$G,Database!$D:$D,"Import",Database!$E:$E,$B64,Database!$C:$C,CO$1,Database!$F:$F,"Total")</f>
        <v>0</v>
      </c>
      <c r="CP64" s="137">
        <f>SUMIFS(Database!$G:$G,Database!$D:$D,"Import",Database!$E:$E,$B64,Database!$C:$C,CP$1,Database!$F:$F,"Total")</f>
        <v>0</v>
      </c>
      <c r="CQ64" s="137">
        <f>SUMIFS(Database!$G:$G,Database!$D:$D,"Import",Database!$E:$E,$B64,Database!$C:$C,CQ$1,Database!$F:$F,"Total")</f>
        <v>0</v>
      </c>
      <c r="CR64" s="137">
        <f>SUMIFS(Database!$G:$G,Database!$D:$D,"Import",Database!$E:$E,$B64,Database!$C:$C,CR$1,Database!$F:$F,"Total")</f>
        <v>0</v>
      </c>
      <c r="CS64" s="137">
        <f>SUMIFS(Database!$G:$G,Database!$D:$D,"Import",Database!$E:$E,$B64,Database!$C:$C,CS$1,Database!$F:$F,"Total")</f>
        <v>0</v>
      </c>
      <c r="CT64" s="137">
        <f>SUMIFS(Database!$G:$G,Database!$D:$D,"Import",Database!$E:$E,$B64,Database!$C:$C,CT$1,Database!$F:$F,"Total")</f>
        <v>0</v>
      </c>
      <c r="CU64" s="137">
        <f>SUMIFS(Database!$G:$G,Database!$D:$D,"Import",Database!$E:$E,$B64,Database!$C:$C,CU$1,Database!$F:$F,"Total")</f>
        <v>0</v>
      </c>
    </row>
    <row r="65" spans="1:99" x14ac:dyDescent="0.25">
      <c r="A65" s="132" t="s">
        <v>484</v>
      </c>
      <c r="B65" s="133" t="s">
        <v>77</v>
      </c>
      <c r="C65" s="137">
        <f>SUMIFS(Database!$G:$G,Database!$D:$D,"Import",Database!$E:$E,$B65,Database!$C:$C,C$1,Database!$F:$F,"Total")</f>
        <v>0</v>
      </c>
      <c r="D65" s="137">
        <f>SUMIFS(Database!$G:$G,Database!$D:$D,"Import",Database!$E:$E,$B65,Database!$C:$C,D$1,Database!$F:$F,"Total")</f>
        <v>0</v>
      </c>
      <c r="E65" s="137">
        <f>SUMIFS(Database!$G:$G,Database!$D:$D,"Import",Database!$E:$E,$B65,Database!$C:$C,E$1,Database!$F:$F,"Total")</f>
        <v>0</v>
      </c>
      <c r="F65" s="137">
        <f>SUMIFS(Database!$G:$G,Database!$D:$D,"Import",Database!$E:$E,$B65,Database!$C:$C,F$1,Database!$F:$F,"Total")</f>
        <v>0</v>
      </c>
      <c r="G65" s="137">
        <f>SUMIFS(Database!$G:$G,Database!$D:$D,"Import",Database!$E:$E,$B65,Database!$C:$C,G$1,Database!$F:$F,"Total")</f>
        <v>0</v>
      </c>
      <c r="H65" s="137">
        <f>SUMIFS(Database!$G:$G,Database!$D:$D,"Import",Database!$E:$E,$B65,Database!$C:$C,H$1,Database!$F:$F,"Total")</f>
        <v>0</v>
      </c>
      <c r="I65" s="137">
        <f>SUMIFS(Database!$G:$G,Database!$D:$D,"Import",Database!$E:$E,$B65,Database!$C:$C,I$1,Database!$F:$F,"Total")</f>
        <v>0</v>
      </c>
      <c r="J65" s="137">
        <f>SUMIFS(Database!$G:$G,Database!$D:$D,"Import",Database!$E:$E,$B65,Database!$C:$C,J$1,Database!$F:$F,"Total")</f>
        <v>0</v>
      </c>
      <c r="K65" s="137">
        <f>SUMIFS(Database!$G:$G,Database!$D:$D,"Import",Database!$E:$E,$B65,Database!$C:$C,K$1,Database!$F:$F,"Total")</f>
        <v>0</v>
      </c>
      <c r="L65" s="137">
        <f>SUMIFS(Database!$G:$G,Database!$D:$D,"Import",Database!$E:$E,$B65,Database!$C:$C,L$1,Database!$F:$F,"Total")</f>
        <v>0</v>
      </c>
      <c r="M65" s="137">
        <f>SUMIFS(Database!$G:$G,Database!$D:$D,"Import",Database!$E:$E,$B65,Database!$C:$C,M$1,Database!$F:$F,"Total")</f>
        <v>0</v>
      </c>
      <c r="N65" s="137">
        <f>SUMIFS(Database!$G:$G,Database!$D:$D,"Import",Database!$E:$E,$B65,Database!$C:$C,N$1,Database!$F:$F,"Total")</f>
        <v>0</v>
      </c>
      <c r="O65" s="137">
        <f>SUMIFS(Database!$G:$G,Database!$D:$D,"Import",Database!$E:$E,$B65,Database!$C:$C,O$1,Database!$F:$F,"Total")</f>
        <v>0</v>
      </c>
      <c r="P65" s="137">
        <f>SUMIFS(Database!$G:$G,Database!$D:$D,"Import",Database!$E:$E,$B65,Database!$C:$C,P$1,Database!$F:$F,"Total")</f>
        <v>0</v>
      </c>
      <c r="Q65" s="137">
        <f>SUMIFS(Database!$G:$G,Database!$D:$D,"Import",Database!$E:$E,$B65,Database!$C:$C,Q$1,Database!$F:$F,"Total")</f>
        <v>0</v>
      </c>
      <c r="R65" s="137">
        <f>SUMIFS(Database!$G:$G,Database!$D:$D,"Import",Database!$E:$E,$B65,Database!$C:$C,R$1,Database!$F:$F,"Total")</f>
        <v>0</v>
      </c>
      <c r="S65" s="137">
        <f>SUMIFS(Database!$G:$G,Database!$D:$D,"Import",Database!$E:$E,$B65,Database!$C:$C,S$1,Database!$F:$F,"Total")</f>
        <v>0</v>
      </c>
      <c r="T65" s="137">
        <f>SUMIFS(Database!$G:$G,Database!$D:$D,"Import",Database!$E:$E,$B65,Database!$C:$C,T$1,Database!$F:$F,"Total")</f>
        <v>0</v>
      </c>
      <c r="U65" s="137">
        <f>SUMIFS(Database!$G:$G,Database!$D:$D,"Import",Database!$E:$E,$B65,Database!$C:$C,U$1,Database!$F:$F,"Total")</f>
        <v>0</v>
      </c>
      <c r="V65" s="137">
        <f>SUMIFS(Database!$G:$G,Database!$D:$D,"Import",Database!$E:$E,$B65,Database!$C:$C,V$1,Database!$F:$F,"Total")</f>
        <v>0</v>
      </c>
      <c r="W65" s="137">
        <f>SUMIFS(Database!$G:$G,Database!$D:$D,"Import",Database!$E:$E,$B65,Database!$C:$C,W$1,Database!$F:$F,"Total")</f>
        <v>0</v>
      </c>
      <c r="X65" s="137">
        <f>SUMIFS(Database!$G:$G,Database!$D:$D,"Import",Database!$E:$E,$B65,Database!$C:$C,X$1,Database!$F:$F,"Total")</f>
        <v>0</v>
      </c>
      <c r="Y65" s="137">
        <f>SUMIFS(Database!$G:$G,Database!$D:$D,"Import",Database!$E:$E,$B65,Database!$C:$C,Y$1,Database!$F:$F,"Total")</f>
        <v>0</v>
      </c>
      <c r="Z65" s="137">
        <f>SUMIFS(Database!$G:$G,Database!$D:$D,"Import",Database!$E:$E,$B65,Database!$C:$C,Z$1,Database!$F:$F,"Total")</f>
        <v>0</v>
      </c>
      <c r="AA65" s="137">
        <f>SUMIFS(Database!$G:$G,Database!$D:$D,"Import",Database!$E:$E,$B65,Database!$C:$C,AA$1,Database!$F:$F,"Total")</f>
        <v>0</v>
      </c>
      <c r="AB65" s="137">
        <f>SUMIFS(Database!$G:$G,Database!$D:$D,"Import",Database!$E:$E,$B65,Database!$C:$C,AB$1,Database!$F:$F,"Total")</f>
        <v>0</v>
      </c>
      <c r="AC65" s="137">
        <f>SUMIFS(Database!$G:$G,Database!$D:$D,"Import",Database!$E:$E,$B65,Database!$C:$C,AC$1,Database!$F:$F,"Total")</f>
        <v>0</v>
      </c>
      <c r="AD65" s="137">
        <f>SUMIFS(Database!$G:$G,Database!$D:$D,"Import",Database!$E:$E,$B65,Database!$C:$C,AD$1,Database!$F:$F,"Total")</f>
        <v>0</v>
      </c>
      <c r="AE65" s="137">
        <f>SUMIFS(Database!$G:$G,Database!$D:$D,"Import",Database!$E:$E,$B65,Database!$C:$C,AE$1,Database!$F:$F,"Total")</f>
        <v>0</v>
      </c>
      <c r="AF65" s="137">
        <f>SUMIFS(Database!$G:$G,Database!$D:$D,"Import",Database!$E:$E,$B65,Database!$C:$C,AF$1,Database!$F:$F,"Total")</f>
        <v>0</v>
      </c>
      <c r="AG65" s="137">
        <f>SUMIFS(Database!$G:$G,Database!$D:$D,"Import",Database!$E:$E,$B65,Database!$C:$C,AG$1,Database!$F:$F,"Total")</f>
        <v>0</v>
      </c>
      <c r="AH65" s="137">
        <f>SUMIFS(Database!$G:$G,Database!$D:$D,"Import",Database!$E:$E,$B65,Database!$C:$C,AH$1,Database!$F:$F,"Total")</f>
        <v>0</v>
      </c>
      <c r="AI65" s="137">
        <f>SUMIFS(Database!$G:$G,Database!$D:$D,"Import",Database!$E:$E,$B65,Database!$C:$C,AI$1,Database!$F:$F,"Total")</f>
        <v>0</v>
      </c>
      <c r="AJ65" s="137">
        <f>SUMIFS(Database!$G:$G,Database!$D:$D,"Import",Database!$E:$E,$B65,Database!$C:$C,AJ$1,Database!$F:$F,"Total")</f>
        <v>29000</v>
      </c>
      <c r="AK65" s="137">
        <f>SUMIFS(Database!$G:$G,Database!$D:$D,"Import",Database!$E:$E,$B65,Database!$C:$C,AK$1,Database!$F:$F,"Total")</f>
        <v>167482</v>
      </c>
      <c r="AL65" s="137">
        <f>SUMIFS(Database!$G:$G,Database!$D:$D,"Import",Database!$E:$E,$B65,Database!$C:$C,AL$1,Database!$F:$F,"Total")</f>
        <v>60000</v>
      </c>
      <c r="AM65" s="137">
        <f>SUMIFS(Database!$G:$G,Database!$D:$D,"Import",Database!$E:$E,$B65,Database!$C:$C,AM$1,Database!$F:$F,"Total")</f>
        <v>0</v>
      </c>
      <c r="AN65" s="137">
        <f>SUMIFS(Database!$G:$G,Database!$D:$D,"Import",Database!$E:$E,$B65,Database!$C:$C,AN$1,Database!$F:$F,"Total")</f>
        <v>0</v>
      </c>
      <c r="AO65" s="137">
        <f>SUMIFS(Database!$G:$G,Database!$D:$D,"Import",Database!$E:$E,$B65,Database!$C:$C,AO$1,Database!$F:$F,"Total")</f>
        <v>0</v>
      </c>
      <c r="AP65" s="137">
        <f>SUMIFS(Database!$G:$G,Database!$D:$D,"Import",Database!$E:$E,$B65,Database!$C:$C,AP$1,Database!$F:$F,"Total")</f>
        <v>0</v>
      </c>
      <c r="AQ65" s="137">
        <f>SUMIFS(Database!$G:$G,Database!$D:$D,"Import",Database!$E:$E,$B65,Database!$C:$C,AQ$1,Database!$F:$F,"Total")</f>
        <v>0</v>
      </c>
      <c r="AR65" s="137">
        <f>SUMIFS(Database!$G:$G,Database!$D:$D,"Import",Database!$E:$E,$B65,Database!$C:$C,AR$1,Database!$F:$F,"Total")</f>
        <v>0</v>
      </c>
      <c r="AS65" s="137">
        <f>SUMIFS(Database!$G:$G,Database!$D:$D,"Import",Database!$E:$E,$B65,Database!$C:$C,AS$1,Database!$F:$F,"Total")</f>
        <v>0</v>
      </c>
      <c r="AT65" s="137">
        <f>SUMIFS(Database!$G:$G,Database!$D:$D,"Import",Database!$E:$E,$B65,Database!$C:$C,AT$1,Database!$F:$F,"Total")</f>
        <v>0</v>
      </c>
      <c r="AU65" s="137">
        <f>SUMIFS(Database!$G:$G,Database!$D:$D,"Import",Database!$E:$E,$B65,Database!$C:$C,AU$1,Database!$F:$F,"Total")</f>
        <v>0</v>
      </c>
      <c r="AV65" s="137">
        <f>SUMIFS(Database!$G:$G,Database!$D:$D,"Import",Database!$E:$E,$B65,Database!$C:$C,AV$1,Database!$F:$F,"Total")</f>
        <v>0</v>
      </c>
      <c r="AW65" s="137">
        <f>SUMIFS(Database!$G:$G,Database!$D:$D,"Import",Database!$E:$E,$B65,Database!$C:$C,AW$1,Database!$F:$F,"Total")</f>
        <v>0</v>
      </c>
      <c r="AX65" s="137">
        <f>SUMIFS(Database!$G:$G,Database!$D:$D,"Import",Database!$E:$E,$B65,Database!$C:$C,AX$1,Database!$F:$F,"Total")</f>
        <v>0</v>
      </c>
      <c r="AY65" s="137">
        <f>SUMIFS(Database!$G:$G,Database!$D:$D,"Import",Database!$E:$E,$B65,Database!$C:$C,AY$1,Database!$F:$F,"Total")</f>
        <v>0</v>
      </c>
      <c r="AZ65" s="137">
        <f>SUMIFS(Database!$G:$G,Database!$D:$D,"Import",Database!$E:$E,$B65,Database!$C:$C,AZ$1,Database!$F:$F,"Total")</f>
        <v>0</v>
      </c>
      <c r="BA65" s="137">
        <f>SUMIFS(Database!$G:$G,Database!$D:$D,"Import",Database!$E:$E,$B65,Database!$C:$C,BA$1,Database!$F:$F,"Total")</f>
        <v>0</v>
      </c>
      <c r="BB65" s="137">
        <f>SUMIFS(Database!$G:$G,Database!$D:$D,"Import",Database!$E:$E,$B65,Database!$C:$C,BB$1,Database!$F:$F,"Total")</f>
        <v>0</v>
      </c>
      <c r="BC65" s="137">
        <f>SUMIFS(Database!$G:$G,Database!$D:$D,"Import",Database!$E:$E,$B65,Database!$C:$C,BC$1,Database!$F:$F,"Total")</f>
        <v>0</v>
      </c>
      <c r="BD65" s="137">
        <f>SUMIFS(Database!$G:$G,Database!$D:$D,"Import",Database!$E:$E,$B65,Database!$C:$C,BD$1,Database!$F:$F,"Total")</f>
        <v>0</v>
      </c>
      <c r="BE65" s="137">
        <f>SUMIFS(Database!$G:$G,Database!$D:$D,"Import",Database!$E:$E,$B65,Database!$C:$C,BE$1,Database!$F:$F,"Total")</f>
        <v>0</v>
      </c>
      <c r="BF65" s="137">
        <f>SUMIFS(Database!$G:$G,Database!$D:$D,"Import",Database!$E:$E,$B65,Database!$C:$C,BF$1,Database!$F:$F,"Total")</f>
        <v>0</v>
      </c>
      <c r="BG65" s="137">
        <f>SUMIFS(Database!$G:$G,Database!$D:$D,"Import",Database!$E:$E,$B65,Database!$C:$C,BG$1,Database!$F:$F,"Total")</f>
        <v>0</v>
      </c>
      <c r="BH65" s="137">
        <f>SUMIFS(Database!$G:$G,Database!$D:$D,"Import",Database!$E:$E,$B65,Database!$C:$C,BH$1,Database!$F:$F,"Total")</f>
        <v>0</v>
      </c>
      <c r="BI65" s="137">
        <f>SUMIFS(Database!$G:$G,Database!$D:$D,"Import",Database!$E:$E,$B65,Database!$C:$C,BI$1,Database!$F:$F,"Total")</f>
        <v>0</v>
      </c>
      <c r="BJ65" s="137">
        <f>SUMIFS(Database!$G:$G,Database!$D:$D,"Import",Database!$E:$E,$B65,Database!$C:$C,BJ$1,Database!$F:$F,"Total")</f>
        <v>0</v>
      </c>
      <c r="BK65" s="137">
        <f>SUMIFS(Database!$G:$G,Database!$D:$D,"Import",Database!$E:$E,$B65,Database!$C:$C,BK$1,Database!$F:$F,"Total")</f>
        <v>0</v>
      </c>
      <c r="BL65" s="137">
        <f>SUMIFS(Database!$G:$G,Database!$D:$D,"Import",Database!$E:$E,$B65,Database!$C:$C,BL$1,Database!$F:$F,"Total")</f>
        <v>0</v>
      </c>
      <c r="BM65" s="137">
        <f>SUMIFS(Database!$G:$G,Database!$D:$D,"Import",Database!$E:$E,$B65,Database!$C:$C,BM$1,Database!$F:$F,"Total")</f>
        <v>0</v>
      </c>
      <c r="BN65" s="137">
        <f>SUMIFS(Database!$G:$G,Database!$D:$D,"Import",Database!$E:$E,$B65,Database!$C:$C,BN$1,Database!$F:$F,"Total")</f>
        <v>0</v>
      </c>
      <c r="BO65" s="137">
        <f>SUMIFS(Database!$G:$G,Database!$D:$D,"Import",Database!$E:$E,$B65,Database!$C:$C,BO$1,Database!$F:$F,"Total")</f>
        <v>0</v>
      </c>
      <c r="BP65" s="137">
        <f>SUMIFS(Database!$G:$G,Database!$D:$D,"Import",Database!$E:$E,$B65,Database!$C:$C,BP$1,Database!$F:$F,"Total")</f>
        <v>0</v>
      </c>
      <c r="BQ65" s="137">
        <f>SUMIFS(Database!$G:$G,Database!$D:$D,"Import",Database!$E:$E,$B65,Database!$C:$C,BQ$1,Database!$F:$F,"Total")</f>
        <v>0</v>
      </c>
      <c r="BR65" s="137">
        <f>SUMIFS(Database!$G:$G,Database!$D:$D,"Import",Database!$E:$E,$B65,Database!$C:$C,BR$1,Database!$F:$F,"Total")</f>
        <v>0</v>
      </c>
      <c r="BS65" s="137">
        <f>SUMIFS(Database!$G:$G,Database!$D:$D,"Import",Database!$E:$E,$B65,Database!$C:$C,BS$1,Database!$F:$F,"Total")</f>
        <v>0</v>
      </c>
      <c r="BT65" s="137">
        <f>SUMIFS(Database!$G:$G,Database!$D:$D,"Import",Database!$E:$E,$B65,Database!$C:$C,BT$1,Database!$F:$F,"Total")</f>
        <v>0</v>
      </c>
      <c r="BU65" s="137">
        <f>SUMIFS(Database!$G:$G,Database!$D:$D,"Import",Database!$E:$E,$B65,Database!$C:$C,BU$1,Database!$F:$F,"Total")</f>
        <v>0</v>
      </c>
      <c r="BV65" s="137">
        <f>SUMIFS(Database!$G:$G,Database!$D:$D,"Import",Database!$E:$E,$B65,Database!$C:$C,BV$1,Database!$F:$F,"Total")</f>
        <v>0</v>
      </c>
      <c r="BW65" s="137">
        <f>SUMIFS(Database!$G:$G,Database!$D:$D,"Import",Database!$E:$E,$B65,Database!$C:$C,BW$1,Database!$F:$F,"Total")</f>
        <v>0</v>
      </c>
      <c r="BX65" s="137">
        <f>SUMIFS(Database!$G:$G,Database!$D:$D,"Import",Database!$E:$E,$B65,Database!$C:$C,BX$1,Database!$F:$F,"Total")</f>
        <v>0</v>
      </c>
      <c r="BY65" s="137">
        <f>SUMIFS(Database!$G:$G,Database!$D:$D,"Import",Database!$E:$E,$B65,Database!$C:$C,BY$1,Database!$F:$F,"Total")</f>
        <v>0</v>
      </c>
      <c r="BZ65" s="137">
        <f>SUMIFS(Database!$G:$G,Database!$D:$D,"Import",Database!$E:$E,$B65,Database!$C:$C,BZ$1,Database!$F:$F,"Total")</f>
        <v>0</v>
      </c>
      <c r="CA65" s="137">
        <f>SUMIFS(Database!$G:$G,Database!$D:$D,"Import",Database!$E:$E,$B65,Database!$C:$C,CA$1,Database!$F:$F,"Total")</f>
        <v>0</v>
      </c>
      <c r="CB65" s="137">
        <f>SUMIFS(Database!$G:$G,Database!$D:$D,"Import",Database!$E:$E,$B65,Database!$C:$C,CB$1,Database!$F:$F,"Total")</f>
        <v>0</v>
      </c>
      <c r="CC65" s="137">
        <f>SUMIFS(Database!$G:$G,Database!$D:$D,"Import",Database!$E:$E,$B65,Database!$C:$C,CC$1,Database!$F:$F,"Total")</f>
        <v>0</v>
      </c>
      <c r="CD65" s="137">
        <f>SUMIFS(Database!$G:$G,Database!$D:$D,"Import",Database!$E:$E,$B65,Database!$C:$C,CD$1,Database!$F:$F,"Total")</f>
        <v>0</v>
      </c>
      <c r="CE65" s="137">
        <f>SUMIFS(Database!$G:$G,Database!$D:$D,"Import",Database!$E:$E,$B65,Database!$C:$C,CE$1,Database!$F:$F,"Total")</f>
        <v>0</v>
      </c>
      <c r="CF65" s="137">
        <f>SUMIFS(Database!$G:$G,Database!$D:$D,"Import",Database!$E:$E,$B65,Database!$C:$C,CF$1,Database!$F:$F,"Total")</f>
        <v>0</v>
      </c>
      <c r="CG65" s="137">
        <f>SUMIFS(Database!$G:$G,Database!$D:$D,"Import",Database!$E:$E,$B65,Database!$C:$C,CG$1,Database!$F:$F,"Total")</f>
        <v>0</v>
      </c>
      <c r="CH65" s="137">
        <f>SUMIFS(Database!$G:$G,Database!$D:$D,"Import",Database!$E:$E,$B65,Database!$C:$C,CH$1,Database!$F:$F,"Total")</f>
        <v>0</v>
      </c>
      <c r="CI65" s="137">
        <f>SUMIFS(Database!$G:$G,Database!$D:$D,"Import",Database!$E:$E,$B65,Database!$C:$C,CI$1,Database!$F:$F,"Total")</f>
        <v>0</v>
      </c>
      <c r="CJ65" s="137">
        <f>SUMIFS(Database!$G:$G,Database!$D:$D,"Import",Database!$E:$E,$B65,Database!$C:$C,CJ$1,Database!$F:$F,"Total")</f>
        <v>0</v>
      </c>
      <c r="CK65" s="137">
        <f>SUMIFS(Database!$G:$G,Database!$D:$D,"Import",Database!$E:$E,$B65,Database!$C:$C,CK$1,Database!$F:$F,"Total")</f>
        <v>0</v>
      </c>
      <c r="CL65" s="137">
        <f>SUMIFS(Database!$G:$G,Database!$D:$D,"Import",Database!$E:$E,$B65,Database!$C:$C,CL$1,Database!$F:$F,"Total")</f>
        <v>0</v>
      </c>
      <c r="CM65" s="137">
        <f>SUMIFS(Database!$G:$G,Database!$D:$D,"Import",Database!$E:$E,$B65,Database!$C:$C,CM$1,Database!$F:$F,"Total")</f>
        <v>0</v>
      </c>
      <c r="CN65" s="137">
        <f>SUMIFS(Database!$G:$G,Database!$D:$D,"Import",Database!$E:$E,$B65,Database!$C:$C,CN$1,Database!$F:$F,"Total")</f>
        <v>0</v>
      </c>
      <c r="CO65" s="137">
        <f>SUMIFS(Database!$G:$G,Database!$D:$D,"Import",Database!$E:$E,$B65,Database!$C:$C,CO$1,Database!$F:$F,"Total")</f>
        <v>0</v>
      </c>
      <c r="CP65" s="137">
        <f>SUMIFS(Database!$G:$G,Database!$D:$D,"Import",Database!$E:$E,$B65,Database!$C:$C,CP$1,Database!$F:$F,"Total")</f>
        <v>0</v>
      </c>
      <c r="CQ65" s="137">
        <f>SUMIFS(Database!$G:$G,Database!$D:$D,"Import",Database!$E:$E,$B65,Database!$C:$C,CQ$1,Database!$F:$F,"Total")</f>
        <v>0</v>
      </c>
      <c r="CR65" s="137">
        <f>SUMIFS(Database!$G:$G,Database!$D:$D,"Import",Database!$E:$E,$B65,Database!$C:$C,CR$1,Database!$F:$F,"Total")</f>
        <v>0</v>
      </c>
      <c r="CS65" s="137">
        <f>SUMIFS(Database!$G:$G,Database!$D:$D,"Import",Database!$E:$E,$B65,Database!$C:$C,CS$1,Database!$F:$F,"Total")</f>
        <v>0</v>
      </c>
      <c r="CT65" s="137">
        <f>SUMIFS(Database!$G:$G,Database!$D:$D,"Import",Database!$E:$E,$B65,Database!$C:$C,CT$1,Database!$F:$F,"Total")</f>
        <v>0</v>
      </c>
      <c r="CU65" s="137">
        <f>SUMIFS(Database!$G:$G,Database!$D:$D,"Import",Database!$E:$E,$B65,Database!$C:$C,CU$1,Database!$F:$F,"Total")</f>
        <v>0</v>
      </c>
    </row>
    <row r="66" spans="1:99" x14ac:dyDescent="0.25">
      <c r="A66" s="132" t="s">
        <v>484</v>
      </c>
      <c r="B66" s="133" t="s">
        <v>78</v>
      </c>
      <c r="C66" s="137">
        <f>SUMIFS(Database!$G:$G,Database!$D:$D,"Import",Database!$E:$E,$B66,Database!$C:$C,C$1,Database!$F:$F,"Total")</f>
        <v>0</v>
      </c>
      <c r="D66" s="137">
        <f>SUMIFS(Database!$G:$G,Database!$D:$D,"Import",Database!$E:$E,$B66,Database!$C:$C,D$1,Database!$F:$F,"Total")</f>
        <v>0</v>
      </c>
      <c r="E66" s="137">
        <f>SUMIFS(Database!$G:$G,Database!$D:$D,"Import",Database!$E:$E,$B66,Database!$C:$C,E$1,Database!$F:$F,"Total")</f>
        <v>0</v>
      </c>
      <c r="F66" s="137">
        <f>SUMIFS(Database!$G:$G,Database!$D:$D,"Import",Database!$E:$E,$B66,Database!$C:$C,F$1,Database!$F:$F,"Total")</f>
        <v>0</v>
      </c>
      <c r="G66" s="137">
        <f>SUMIFS(Database!$G:$G,Database!$D:$D,"Import",Database!$E:$E,$B66,Database!$C:$C,G$1,Database!$F:$F,"Total")</f>
        <v>0</v>
      </c>
      <c r="H66" s="137">
        <f>SUMIFS(Database!$G:$G,Database!$D:$D,"Import",Database!$E:$E,$B66,Database!$C:$C,H$1,Database!$F:$F,"Total")</f>
        <v>0</v>
      </c>
      <c r="I66" s="137">
        <f>SUMIFS(Database!$G:$G,Database!$D:$D,"Import",Database!$E:$E,$B66,Database!$C:$C,I$1,Database!$F:$F,"Total")</f>
        <v>0</v>
      </c>
      <c r="J66" s="137">
        <f>SUMIFS(Database!$G:$G,Database!$D:$D,"Import",Database!$E:$E,$B66,Database!$C:$C,J$1,Database!$F:$F,"Total")</f>
        <v>0</v>
      </c>
      <c r="K66" s="137">
        <f>SUMIFS(Database!$G:$G,Database!$D:$D,"Import",Database!$E:$E,$B66,Database!$C:$C,K$1,Database!$F:$F,"Total")</f>
        <v>0</v>
      </c>
      <c r="L66" s="137">
        <f>SUMIFS(Database!$G:$G,Database!$D:$D,"Import",Database!$E:$E,$B66,Database!$C:$C,L$1,Database!$F:$F,"Total")</f>
        <v>0</v>
      </c>
      <c r="M66" s="137">
        <f>SUMIFS(Database!$G:$G,Database!$D:$D,"Import",Database!$E:$E,$B66,Database!$C:$C,M$1,Database!$F:$F,"Total")</f>
        <v>0</v>
      </c>
      <c r="N66" s="137">
        <f>SUMIFS(Database!$G:$G,Database!$D:$D,"Import",Database!$E:$E,$B66,Database!$C:$C,N$1,Database!$F:$F,"Total")</f>
        <v>0</v>
      </c>
      <c r="O66" s="137">
        <f>SUMIFS(Database!$G:$G,Database!$D:$D,"Import",Database!$E:$E,$B66,Database!$C:$C,O$1,Database!$F:$F,"Total")</f>
        <v>0</v>
      </c>
      <c r="P66" s="137">
        <f>SUMIFS(Database!$G:$G,Database!$D:$D,"Import",Database!$E:$E,$B66,Database!$C:$C,P$1,Database!$F:$F,"Total")</f>
        <v>0</v>
      </c>
      <c r="Q66" s="137">
        <f>SUMIFS(Database!$G:$G,Database!$D:$D,"Import",Database!$E:$E,$B66,Database!$C:$C,Q$1,Database!$F:$F,"Total")</f>
        <v>0</v>
      </c>
      <c r="R66" s="137">
        <f>SUMIFS(Database!$G:$G,Database!$D:$D,"Import",Database!$E:$E,$B66,Database!$C:$C,R$1,Database!$F:$F,"Total")</f>
        <v>0</v>
      </c>
      <c r="S66" s="137">
        <f>SUMIFS(Database!$G:$G,Database!$D:$D,"Import",Database!$E:$E,$B66,Database!$C:$C,S$1,Database!$F:$F,"Total")</f>
        <v>0</v>
      </c>
      <c r="T66" s="137">
        <f>SUMIFS(Database!$G:$G,Database!$D:$D,"Import",Database!$E:$E,$B66,Database!$C:$C,T$1,Database!$F:$F,"Total")</f>
        <v>0</v>
      </c>
      <c r="U66" s="137">
        <f>SUMIFS(Database!$G:$G,Database!$D:$D,"Import",Database!$E:$E,$B66,Database!$C:$C,U$1,Database!$F:$F,"Total")</f>
        <v>0</v>
      </c>
      <c r="V66" s="137">
        <f>SUMIFS(Database!$G:$G,Database!$D:$D,"Import",Database!$E:$E,$B66,Database!$C:$C,V$1,Database!$F:$F,"Total")</f>
        <v>0</v>
      </c>
      <c r="W66" s="137">
        <f>SUMIFS(Database!$G:$G,Database!$D:$D,"Import",Database!$E:$E,$B66,Database!$C:$C,W$1,Database!$F:$F,"Total")</f>
        <v>0</v>
      </c>
      <c r="X66" s="137">
        <f>SUMIFS(Database!$G:$G,Database!$D:$D,"Import",Database!$E:$E,$B66,Database!$C:$C,X$1,Database!$F:$F,"Total")</f>
        <v>0</v>
      </c>
      <c r="Y66" s="137">
        <f>SUMIFS(Database!$G:$G,Database!$D:$D,"Import",Database!$E:$E,$B66,Database!$C:$C,Y$1,Database!$F:$F,"Total")</f>
        <v>0</v>
      </c>
      <c r="Z66" s="137">
        <f>SUMIFS(Database!$G:$G,Database!$D:$D,"Import",Database!$E:$E,$B66,Database!$C:$C,Z$1,Database!$F:$F,"Total")</f>
        <v>0</v>
      </c>
      <c r="AA66" s="137">
        <f>SUMIFS(Database!$G:$G,Database!$D:$D,"Import",Database!$E:$E,$B66,Database!$C:$C,AA$1,Database!$F:$F,"Total")</f>
        <v>0</v>
      </c>
      <c r="AB66" s="137">
        <f>SUMIFS(Database!$G:$G,Database!$D:$D,"Import",Database!$E:$E,$B66,Database!$C:$C,AB$1,Database!$F:$F,"Total")</f>
        <v>0</v>
      </c>
      <c r="AC66" s="137">
        <f>SUMIFS(Database!$G:$G,Database!$D:$D,"Import",Database!$E:$E,$B66,Database!$C:$C,AC$1,Database!$F:$F,"Total")</f>
        <v>0</v>
      </c>
      <c r="AD66" s="137">
        <f>SUMIFS(Database!$G:$G,Database!$D:$D,"Import",Database!$E:$E,$B66,Database!$C:$C,AD$1,Database!$F:$F,"Total")</f>
        <v>0</v>
      </c>
      <c r="AE66" s="137">
        <f>SUMIFS(Database!$G:$G,Database!$D:$D,"Import",Database!$E:$E,$B66,Database!$C:$C,AE$1,Database!$F:$F,"Total")</f>
        <v>0</v>
      </c>
      <c r="AF66" s="137">
        <f>SUMIFS(Database!$G:$G,Database!$D:$D,"Import",Database!$E:$E,$B66,Database!$C:$C,AF$1,Database!$F:$F,"Total")</f>
        <v>0</v>
      </c>
      <c r="AG66" s="137">
        <f>SUMIFS(Database!$G:$G,Database!$D:$D,"Import",Database!$E:$E,$B66,Database!$C:$C,AG$1,Database!$F:$F,"Total")</f>
        <v>0</v>
      </c>
      <c r="AH66" s="137">
        <f>SUMIFS(Database!$G:$G,Database!$D:$D,"Import",Database!$E:$E,$B66,Database!$C:$C,AH$1,Database!$F:$F,"Total")</f>
        <v>0</v>
      </c>
      <c r="AI66" s="137">
        <f>SUMIFS(Database!$G:$G,Database!$D:$D,"Import",Database!$E:$E,$B66,Database!$C:$C,AI$1,Database!$F:$F,"Total")</f>
        <v>0</v>
      </c>
      <c r="AJ66" s="137">
        <f>SUMIFS(Database!$G:$G,Database!$D:$D,"Import",Database!$E:$E,$B66,Database!$C:$C,AJ$1,Database!$F:$F,"Total")</f>
        <v>182</v>
      </c>
      <c r="AK66" s="137">
        <f>SUMIFS(Database!$G:$G,Database!$D:$D,"Import",Database!$E:$E,$B66,Database!$C:$C,AK$1,Database!$F:$F,"Total")</f>
        <v>75</v>
      </c>
      <c r="AL66" s="137">
        <f>SUMIFS(Database!$G:$G,Database!$D:$D,"Import",Database!$E:$E,$B66,Database!$C:$C,AL$1,Database!$F:$F,"Total")</f>
        <v>153</v>
      </c>
      <c r="AM66" s="137">
        <f>SUMIFS(Database!$G:$G,Database!$D:$D,"Import",Database!$E:$E,$B66,Database!$C:$C,AM$1,Database!$F:$F,"Total")</f>
        <v>0</v>
      </c>
      <c r="AN66" s="137">
        <f>SUMIFS(Database!$G:$G,Database!$D:$D,"Import",Database!$E:$E,$B66,Database!$C:$C,AN$1,Database!$F:$F,"Total")</f>
        <v>0</v>
      </c>
      <c r="AO66" s="137">
        <f>SUMIFS(Database!$G:$G,Database!$D:$D,"Import",Database!$E:$E,$B66,Database!$C:$C,AO$1,Database!$F:$F,"Total")</f>
        <v>0</v>
      </c>
      <c r="AP66" s="137">
        <f>SUMIFS(Database!$G:$G,Database!$D:$D,"Import",Database!$E:$E,$B66,Database!$C:$C,AP$1,Database!$F:$F,"Total")</f>
        <v>0</v>
      </c>
      <c r="AQ66" s="137">
        <f>SUMIFS(Database!$G:$G,Database!$D:$D,"Import",Database!$E:$E,$B66,Database!$C:$C,AQ$1,Database!$F:$F,"Total")</f>
        <v>0</v>
      </c>
      <c r="AR66" s="137">
        <f>SUMIFS(Database!$G:$G,Database!$D:$D,"Import",Database!$E:$E,$B66,Database!$C:$C,AR$1,Database!$F:$F,"Total")</f>
        <v>0</v>
      </c>
      <c r="AS66" s="137">
        <f>SUMIFS(Database!$G:$G,Database!$D:$D,"Import",Database!$E:$E,$B66,Database!$C:$C,AS$1,Database!$F:$F,"Total")</f>
        <v>0</v>
      </c>
      <c r="AT66" s="137">
        <f>SUMIFS(Database!$G:$G,Database!$D:$D,"Import",Database!$E:$E,$B66,Database!$C:$C,AT$1,Database!$F:$F,"Total")</f>
        <v>0</v>
      </c>
      <c r="AU66" s="137">
        <f>SUMIFS(Database!$G:$G,Database!$D:$D,"Import",Database!$E:$E,$B66,Database!$C:$C,AU$1,Database!$F:$F,"Total")</f>
        <v>0</v>
      </c>
      <c r="AV66" s="137">
        <f>SUMIFS(Database!$G:$G,Database!$D:$D,"Import",Database!$E:$E,$B66,Database!$C:$C,AV$1,Database!$F:$F,"Total")</f>
        <v>0</v>
      </c>
      <c r="AW66" s="137">
        <f>SUMIFS(Database!$G:$G,Database!$D:$D,"Import",Database!$E:$E,$B66,Database!$C:$C,AW$1,Database!$F:$F,"Total")</f>
        <v>0</v>
      </c>
      <c r="AX66" s="137">
        <f>SUMIFS(Database!$G:$G,Database!$D:$D,"Import",Database!$E:$E,$B66,Database!$C:$C,AX$1,Database!$F:$F,"Total")</f>
        <v>0</v>
      </c>
      <c r="AY66" s="137">
        <f>SUMIFS(Database!$G:$G,Database!$D:$D,"Import",Database!$E:$E,$B66,Database!$C:$C,AY$1,Database!$F:$F,"Total")</f>
        <v>0</v>
      </c>
      <c r="AZ66" s="137">
        <f>SUMIFS(Database!$G:$G,Database!$D:$D,"Import",Database!$E:$E,$B66,Database!$C:$C,AZ$1,Database!$F:$F,"Total")</f>
        <v>0</v>
      </c>
      <c r="BA66" s="137">
        <f>SUMIFS(Database!$G:$G,Database!$D:$D,"Import",Database!$E:$E,$B66,Database!$C:$C,BA$1,Database!$F:$F,"Total")</f>
        <v>0</v>
      </c>
      <c r="BB66" s="137">
        <f>SUMIFS(Database!$G:$G,Database!$D:$D,"Import",Database!$E:$E,$B66,Database!$C:$C,BB$1,Database!$F:$F,"Total")</f>
        <v>0</v>
      </c>
      <c r="BC66" s="137">
        <f>SUMIFS(Database!$G:$G,Database!$D:$D,"Import",Database!$E:$E,$B66,Database!$C:$C,BC$1,Database!$F:$F,"Total")</f>
        <v>0</v>
      </c>
      <c r="BD66" s="137">
        <f>SUMIFS(Database!$G:$G,Database!$D:$D,"Import",Database!$E:$E,$B66,Database!$C:$C,BD$1,Database!$F:$F,"Total")</f>
        <v>0</v>
      </c>
      <c r="BE66" s="137">
        <f>SUMIFS(Database!$G:$G,Database!$D:$D,"Import",Database!$E:$E,$B66,Database!$C:$C,BE$1,Database!$F:$F,"Total")</f>
        <v>0</v>
      </c>
      <c r="BF66" s="137">
        <f>SUMIFS(Database!$G:$G,Database!$D:$D,"Import",Database!$E:$E,$B66,Database!$C:$C,BF$1,Database!$F:$F,"Total")</f>
        <v>0</v>
      </c>
      <c r="BG66" s="137">
        <f>SUMIFS(Database!$G:$G,Database!$D:$D,"Import",Database!$E:$E,$B66,Database!$C:$C,BG$1,Database!$F:$F,"Total")</f>
        <v>0</v>
      </c>
      <c r="BH66" s="137">
        <f>SUMIFS(Database!$G:$G,Database!$D:$D,"Import",Database!$E:$E,$B66,Database!$C:$C,BH$1,Database!$F:$F,"Total")</f>
        <v>0</v>
      </c>
      <c r="BI66" s="137">
        <f>SUMIFS(Database!$G:$G,Database!$D:$D,"Import",Database!$E:$E,$B66,Database!$C:$C,BI$1,Database!$F:$F,"Total")</f>
        <v>0</v>
      </c>
      <c r="BJ66" s="137">
        <f>SUMIFS(Database!$G:$G,Database!$D:$D,"Import",Database!$E:$E,$B66,Database!$C:$C,BJ$1,Database!$F:$F,"Total")</f>
        <v>0</v>
      </c>
      <c r="BK66" s="137">
        <f>SUMIFS(Database!$G:$G,Database!$D:$D,"Import",Database!$E:$E,$B66,Database!$C:$C,BK$1,Database!$F:$F,"Total")</f>
        <v>0</v>
      </c>
      <c r="BL66" s="137">
        <f>SUMIFS(Database!$G:$G,Database!$D:$D,"Import",Database!$E:$E,$B66,Database!$C:$C,BL$1,Database!$F:$F,"Total")</f>
        <v>0</v>
      </c>
      <c r="BM66" s="137">
        <f>SUMIFS(Database!$G:$G,Database!$D:$D,"Import",Database!$E:$E,$B66,Database!$C:$C,BM$1,Database!$F:$F,"Total")</f>
        <v>0</v>
      </c>
      <c r="BN66" s="137">
        <f>SUMIFS(Database!$G:$G,Database!$D:$D,"Import",Database!$E:$E,$B66,Database!$C:$C,BN$1,Database!$F:$F,"Total")</f>
        <v>0</v>
      </c>
      <c r="BO66" s="137">
        <f>SUMIFS(Database!$G:$G,Database!$D:$D,"Import",Database!$E:$E,$B66,Database!$C:$C,BO$1,Database!$F:$F,"Total")</f>
        <v>0</v>
      </c>
      <c r="BP66" s="137">
        <f>SUMIFS(Database!$G:$G,Database!$D:$D,"Import",Database!$E:$E,$B66,Database!$C:$C,BP$1,Database!$F:$F,"Total")</f>
        <v>0</v>
      </c>
      <c r="BQ66" s="137">
        <f>SUMIFS(Database!$G:$G,Database!$D:$D,"Import",Database!$E:$E,$B66,Database!$C:$C,BQ$1,Database!$F:$F,"Total")</f>
        <v>0</v>
      </c>
      <c r="BR66" s="137">
        <f>SUMIFS(Database!$G:$G,Database!$D:$D,"Import",Database!$E:$E,$B66,Database!$C:$C,BR$1,Database!$F:$F,"Total")</f>
        <v>0</v>
      </c>
      <c r="BS66" s="137">
        <f>SUMIFS(Database!$G:$G,Database!$D:$D,"Import",Database!$E:$E,$B66,Database!$C:$C,BS$1,Database!$F:$F,"Total")</f>
        <v>0</v>
      </c>
      <c r="BT66" s="137">
        <f>SUMIFS(Database!$G:$G,Database!$D:$D,"Import",Database!$E:$E,$B66,Database!$C:$C,BT$1,Database!$F:$F,"Total")</f>
        <v>0</v>
      </c>
      <c r="BU66" s="137">
        <f>SUMIFS(Database!$G:$G,Database!$D:$D,"Import",Database!$E:$E,$B66,Database!$C:$C,BU$1,Database!$F:$F,"Total")</f>
        <v>0</v>
      </c>
      <c r="BV66" s="137">
        <f>SUMIFS(Database!$G:$G,Database!$D:$D,"Import",Database!$E:$E,$B66,Database!$C:$C,BV$1,Database!$F:$F,"Total")</f>
        <v>0</v>
      </c>
      <c r="BW66" s="137">
        <f>SUMIFS(Database!$G:$G,Database!$D:$D,"Import",Database!$E:$E,$B66,Database!$C:$C,BW$1,Database!$F:$F,"Total")</f>
        <v>0</v>
      </c>
      <c r="BX66" s="137">
        <f>SUMIFS(Database!$G:$G,Database!$D:$D,"Import",Database!$E:$E,$B66,Database!$C:$C,BX$1,Database!$F:$F,"Total")</f>
        <v>0</v>
      </c>
      <c r="BY66" s="137">
        <f>SUMIFS(Database!$G:$G,Database!$D:$D,"Import",Database!$E:$E,$B66,Database!$C:$C,BY$1,Database!$F:$F,"Total")</f>
        <v>0</v>
      </c>
      <c r="BZ66" s="137">
        <f>SUMIFS(Database!$G:$G,Database!$D:$D,"Import",Database!$E:$E,$B66,Database!$C:$C,BZ$1,Database!$F:$F,"Total")</f>
        <v>0</v>
      </c>
      <c r="CA66" s="137">
        <f>SUMIFS(Database!$G:$G,Database!$D:$D,"Import",Database!$E:$E,$B66,Database!$C:$C,CA$1,Database!$F:$F,"Total")</f>
        <v>0</v>
      </c>
      <c r="CB66" s="137">
        <f>SUMIFS(Database!$G:$G,Database!$D:$D,"Import",Database!$E:$E,$B66,Database!$C:$C,CB$1,Database!$F:$F,"Total")</f>
        <v>0</v>
      </c>
      <c r="CC66" s="137">
        <f>SUMIFS(Database!$G:$G,Database!$D:$D,"Import",Database!$E:$E,$B66,Database!$C:$C,CC$1,Database!$F:$F,"Total")</f>
        <v>0</v>
      </c>
      <c r="CD66" s="137">
        <f>SUMIFS(Database!$G:$G,Database!$D:$D,"Import",Database!$E:$E,$B66,Database!$C:$C,CD$1,Database!$F:$F,"Total")</f>
        <v>0</v>
      </c>
      <c r="CE66" s="137">
        <f>SUMIFS(Database!$G:$G,Database!$D:$D,"Import",Database!$E:$E,$B66,Database!$C:$C,CE$1,Database!$F:$F,"Total")</f>
        <v>0</v>
      </c>
      <c r="CF66" s="137">
        <f>SUMIFS(Database!$G:$G,Database!$D:$D,"Import",Database!$E:$E,$B66,Database!$C:$C,CF$1,Database!$F:$F,"Total")</f>
        <v>0</v>
      </c>
      <c r="CG66" s="137">
        <f>SUMIFS(Database!$G:$G,Database!$D:$D,"Import",Database!$E:$E,$B66,Database!$C:$C,CG$1,Database!$F:$F,"Total")</f>
        <v>0</v>
      </c>
      <c r="CH66" s="137">
        <f>SUMIFS(Database!$G:$G,Database!$D:$D,"Import",Database!$E:$E,$B66,Database!$C:$C,CH$1,Database!$F:$F,"Total")</f>
        <v>0</v>
      </c>
      <c r="CI66" s="137">
        <f>SUMIFS(Database!$G:$G,Database!$D:$D,"Import",Database!$E:$E,$B66,Database!$C:$C,CI$1,Database!$F:$F,"Total")</f>
        <v>0</v>
      </c>
      <c r="CJ66" s="137">
        <f>SUMIFS(Database!$G:$G,Database!$D:$D,"Import",Database!$E:$E,$B66,Database!$C:$C,CJ$1,Database!$F:$F,"Total")</f>
        <v>0</v>
      </c>
      <c r="CK66" s="137">
        <f>SUMIFS(Database!$G:$G,Database!$D:$D,"Import",Database!$E:$E,$B66,Database!$C:$C,CK$1,Database!$F:$F,"Total")</f>
        <v>0</v>
      </c>
      <c r="CL66" s="137">
        <f>SUMIFS(Database!$G:$G,Database!$D:$D,"Import",Database!$E:$E,$B66,Database!$C:$C,CL$1,Database!$F:$F,"Total")</f>
        <v>0</v>
      </c>
      <c r="CM66" s="137">
        <f>SUMIFS(Database!$G:$G,Database!$D:$D,"Import",Database!$E:$E,$B66,Database!$C:$C,CM$1,Database!$F:$F,"Total")</f>
        <v>0</v>
      </c>
      <c r="CN66" s="137">
        <f>SUMIFS(Database!$G:$G,Database!$D:$D,"Import",Database!$E:$E,$B66,Database!$C:$C,CN$1,Database!$F:$F,"Total")</f>
        <v>0</v>
      </c>
      <c r="CO66" s="137">
        <f>SUMIFS(Database!$G:$G,Database!$D:$D,"Import",Database!$E:$E,$B66,Database!$C:$C,CO$1,Database!$F:$F,"Total")</f>
        <v>0</v>
      </c>
      <c r="CP66" s="137">
        <f>SUMIFS(Database!$G:$G,Database!$D:$D,"Import",Database!$E:$E,$B66,Database!$C:$C,CP$1,Database!$F:$F,"Total")</f>
        <v>0</v>
      </c>
      <c r="CQ66" s="137">
        <f>SUMIFS(Database!$G:$G,Database!$D:$D,"Import",Database!$E:$E,$B66,Database!$C:$C,CQ$1,Database!$F:$F,"Total")</f>
        <v>0</v>
      </c>
      <c r="CR66" s="137">
        <f>SUMIFS(Database!$G:$G,Database!$D:$D,"Import",Database!$E:$E,$B66,Database!$C:$C,CR$1,Database!$F:$F,"Total")</f>
        <v>0</v>
      </c>
      <c r="CS66" s="137">
        <f>SUMIFS(Database!$G:$G,Database!$D:$D,"Import",Database!$E:$E,$B66,Database!$C:$C,CS$1,Database!$F:$F,"Total")</f>
        <v>0</v>
      </c>
      <c r="CT66" s="137">
        <f>SUMIFS(Database!$G:$G,Database!$D:$D,"Import",Database!$E:$E,$B66,Database!$C:$C,CT$1,Database!$F:$F,"Total")</f>
        <v>0</v>
      </c>
      <c r="CU66" s="137">
        <f>SUMIFS(Database!$G:$G,Database!$D:$D,"Import",Database!$E:$E,$B66,Database!$C:$C,CU$1,Database!$F:$F,"Total")</f>
        <v>0</v>
      </c>
    </row>
    <row r="67" spans="1:99" x14ac:dyDescent="0.25">
      <c r="A67" s="132" t="s">
        <v>484</v>
      </c>
      <c r="B67" s="133" t="s">
        <v>79</v>
      </c>
      <c r="C67" s="137">
        <f>SUMIFS(Database!$G:$G,Database!$D:$D,"Import",Database!$E:$E,$B67,Database!$C:$C,C$1,Database!$F:$F,"Total")</f>
        <v>0</v>
      </c>
      <c r="D67" s="137">
        <f>SUMIFS(Database!$G:$G,Database!$D:$D,"Import",Database!$E:$E,$B67,Database!$C:$C,D$1,Database!$F:$F,"Total")</f>
        <v>0</v>
      </c>
      <c r="E67" s="137">
        <f>SUMIFS(Database!$G:$G,Database!$D:$D,"Import",Database!$E:$E,$B67,Database!$C:$C,E$1,Database!$F:$F,"Total")</f>
        <v>0</v>
      </c>
      <c r="F67" s="137">
        <f>SUMIFS(Database!$G:$G,Database!$D:$D,"Import",Database!$E:$E,$B67,Database!$C:$C,F$1,Database!$F:$F,"Total")</f>
        <v>0</v>
      </c>
      <c r="G67" s="137">
        <f>SUMIFS(Database!$G:$G,Database!$D:$D,"Import",Database!$E:$E,$B67,Database!$C:$C,G$1,Database!$F:$F,"Total")</f>
        <v>0</v>
      </c>
      <c r="H67" s="137">
        <f>SUMIFS(Database!$G:$G,Database!$D:$D,"Import",Database!$E:$E,$B67,Database!$C:$C,H$1,Database!$F:$F,"Total")</f>
        <v>0</v>
      </c>
      <c r="I67" s="137">
        <f>SUMIFS(Database!$G:$G,Database!$D:$D,"Import",Database!$E:$E,$B67,Database!$C:$C,I$1,Database!$F:$F,"Total")</f>
        <v>0</v>
      </c>
      <c r="J67" s="137">
        <f>SUMIFS(Database!$G:$G,Database!$D:$D,"Import",Database!$E:$E,$B67,Database!$C:$C,J$1,Database!$F:$F,"Total")</f>
        <v>0</v>
      </c>
      <c r="K67" s="137">
        <f>SUMIFS(Database!$G:$G,Database!$D:$D,"Import",Database!$E:$E,$B67,Database!$C:$C,K$1,Database!$F:$F,"Total")</f>
        <v>0</v>
      </c>
      <c r="L67" s="137">
        <f>SUMIFS(Database!$G:$G,Database!$D:$D,"Import",Database!$E:$E,$B67,Database!$C:$C,L$1,Database!$F:$F,"Total")</f>
        <v>0</v>
      </c>
      <c r="M67" s="137">
        <f>SUMIFS(Database!$G:$G,Database!$D:$D,"Import",Database!$E:$E,$B67,Database!$C:$C,M$1,Database!$F:$F,"Total")</f>
        <v>0</v>
      </c>
      <c r="N67" s="137">
        <f>SUMIFS(Database!$G:$G,Database!$D:$D,"Import",Database!$E:$E,$B67,Database!$C:$C,N$1,Database!$F:$F,"Total")</f>
        <v>0</v>
      </c>
      <c r="O67" s="137">
        <f>SUMIFS(Database!$G:$G,Database!$D:$D,"Import",Database!$E:$E,$B67,Database!$C:$C,O$1,Database!$F:$F,"Total")</f>
        <v>0</v>
      </c>
      <c r="P67" s="137">
        <f>SUMIFS(Database!$G:$G,Database!$D:$D,"Import",Database!$E:$E,$B67,Database!$C:$C,P$1,Database!$F:$F,"Total")</f>
        <v>0</v>
      </c>
      <c r="Q67" s="137">
        <f>SUMIFS(Database!$G:$G,Database!$D:$D,"Import",Database!$E:$E,$B67,Database!$C:$C,Q$1,Database!$F:$F,"Total")</f>
        <v>0</v>
      </c>
      <c r="R67" s="137">
        <f>SUMIFS(Database!$G:$G,Database!$D:$D,"Import",Database!$E:$E,$B67,Database!$C:$C,R$1,Database!$F:$F,"Total")</f>
        <v>0</v>
      </c>
      <c r="S67" s="137">
        <f>SUMIFS(Database!$G:$G,Database!$D:$D,"Import",Database!$E:$E,$B67,Database!$C:$C,S$1,Database!$F:$F,"Total")</f>
        <v>0</v>
      </c>
      <c r="T67" s="137">
        <f>SUMIFS(Database!$G:$G,Database!$D:$D,"Import",Database!$E:$E,$B67,Database!$C:$C,T$1,Database!$F:$F,"Total")</f>
        <v>0</v>
      </c>
      <c r="U67" s="137">
        <f>SUMIFS(Database!$G:$G,Database!$D:$D,"Import",Database!$E:$E,$B67,Database!$C:$C,U$1,Database!$F:$F,"Total")</f>
        <v>0</v>
      </c>
      <c r="V67" s="137">
        <f>SUMIFS(Database!$G:$G,Database!$D:$D,"Import",Database!$E:$E,$B67,Database!$C:$C,V$1,Database!$F:$F,"Total")</f>
        <v>0</v>
      </c>
      <c r="W67" s="137">
        <f>SUMIFS(Database!$G:$G,Database!$D:$D,"Import",Database!$E:$E,$B67,Database!$C:$C,W$1,Database!$F:$F,"Total")</f>
        <v>0</v>
      </c>
      <c r="X67" s="137">
        <f>SUMIFS(Database!$G:$G,Database!$D:$D,"Import",Database!$E:$E,$B67,Database!$C:$C,X$1,Database!$F:$F,"Total")</f>
        <v>0</v>
      </c>
      <c r="Y67" s="137">
        <f>SUMIFS(Database!$G:$G,Database!$D:$D,"Import",Database!$E:$E,$B67,Database!$C:$C,Y$1,Database!$F:$F,"Total")</f>
        <v>0</v>
      </c>
      <c r="Z67" s="137">
        <f>SUMIFS(Database!$G:$G,Database!$D:$D,"Import",Database!$E:$E,$B67,Database!$C:$C,Z$1,Database!$F:$F,"Total")</f>
        <v>0</v>
      </c>
      <c r="AA67" s="137">
        <f>SUMIFS(Database!$G:$G,Database!$D:$D,"Import",Database!$E:$E,$B67,Database!$C:$C,AA$1,Database!$F:$F,"Total")</f>
        <v>0</v>
      </c>
      <c r="AB67" s="137">
        <f>SUMIFS(Database!$G:$G,Database!$D:$D,"Import",Database!$E:$E,$B67,Database!$C:$C,AB$1,Database!$F:$F,"Total")</f>
        <v>0</v>
      </c>
      <c r="AC67" s="137">
        <f>SUMIFS(Database!$G:$G,Database!$D:$D,"Import",Database!$E:$E,$B67,Database!$C:$C,AC$1,Database!$F:$F,"Total")</f>
        <v>0</v>
      </c>
      <c r="AD67" s="137">
        <f>SUMIFS(Database!$G:$G,Database!$D:$D,"Import",Database!$E:$E,$B67,Database!$C:$C,AD$1,Database!$F:$F,"Total")</f>
        <v>0</v>
      </c>
      <c r="AE67" s="137">
        <f>SUMIFS(Database!$G:$G,Database!$D:$D,"Import",Database!$E:$E,$B67,Database!$C:$C,AE$1,Database!$F:$F,"Total")</f>
        <v>0</v>
      </c>
      <c r="AF67" s="137">
        <f>SUMIFS(Database!$G:$G,Database!$D:$D,"Import",Database!$E:$E,$B67,Database!$C:$C,AF$1,Database!$F:$F,"Total")</f>
        <v>0</v>
      </c>
      <c r="AG67" s="137">
        <f>SUMIFS(Database!$G:$G,Database!$D:$D,"Import",Database!$E:$E,$B67,Database!$C:$C,AG$1,Database!$F:$F,"Total")</f>
        <v>0</v>
      </c>
      <c r="AH67" s="137">
        <f>SUMIFS(Database!$G:$G,Database!$D:$D,"Import",Database!$E:$E,$B67,Database!$C:$C,AH$1,Database!$F:$F,"Total")</f>
        <v>0</v>
      </c>
      <c r="AI67" s="137">
        <f>SUMIFS(Database!$G:$G,Database!$D:$D,"Import",Database!$E:$E,$B67,Database!$C:$C,AI$1,Database!$F:$F,"Total")</f>
        <v>0</v>
      </c>
      <c r="AJ67" s="137">
        <f>SUMIFS(Database!$G:$G,Database!$D:$D,"Import",Database!$E:$E,$B67,Database!$C:$C,AJ$1,Database!$F:$F,"Total")</f>
        <v>27</v>
      </c>
      <c r="AK67" s="137">
        <f>SUMIFS(Database!$G:$G,Database!$D:$D,"Import",Database!$E:$E,$B67,Database!$C:$C,AK$1,Database!$F:$F,"Total")</f>
        <v>0</v>
      </c>
      <c r="AL67" s="137">
        <f>SUMIFS(Database!$G:$G,Database!$D:$D,"Import",Database!$E:$E,$B67,Database!$C:$C,AL$1,Database!$F:$F,"Total")</f>
        <v>0</v>
      </c>
      <c r="AM67" s="137">
        <f>SUMIFS(Database!$G:$G,Database!$D:$D,"Import",Database!$E:$E,$B67,Database!$C:$C,AM$1,Database!$F:$F,"Total")</f>
        <v>0</v>
      </c>
      <c r="AN67" s="137">
        <f>SUMIFS(Database!$G:$G,Database!$D:$D,"Import",Database!$E:$E,$B67,Database!$C:$C,AN$1,Database!$F:$F,"Total")</f>
        <v>0</v>
      </c>
      <c r="AO67" s="137">
        <f>SUMIFS(Database!$G:$G,Database!$D:$D,"Import",Database!$E:$E,$B67,Database!$C:$C,AO$1,Database!$F:$F,"Total")</f>
        <v>0</v>
      </c>
      <c r="AP67" s="137">
        <f>SUMIFS(Database!$G:$G,Database!$D:$D,"Import",Database!$E:$E,$B67,Database!$C:$C,AP$1,Database!$F:$F,"Total")</f>
        <v>0</v>
      </c>
      <c r="AQ67" s="137">
        <f>SUMIFS(Database!$G:$G,Database!$D:$D,"Import",Database!$E:$E,$B67,Database!$C:$C,AQ$1,Database!$F:$F,"Total")</f>
        <v>0</v>
      </c>
      <c r="AR67" s="137">
        <f>SUMIFS(Database!$G:$G,Database!$D:$D,"Import",Database!$E:$E,$B67,Database!$C:$C,AR$1,Database!$F:$F,"Total")</f>
        <v>0</v>
      </c>
      <c r="AS67" s="137">
        <f>SUMIFS(Database!$G:$G,Database!$D:$D,"Import",Database!$E:$E,$B67,Database!$C:$C,AS$1,Database!$F:$F,"Total")</f>
        <v>0</v>
      </c>
      <c r="AT67" s="137">
        <f>SUMIFS(Database!$G:$G,Database!$D:$D,"Import",Database!$E:$E,$B67,Database!$C:$C,AT$1,Database!$F:$F,"Total")</f>
        <v>0</v>
      </c>
      <c r="AU67" s="137">
        <f>SUMIFS(Database!$G:$G,Database!$D:$D,"Import",Database!$E:$E,$B67,Database!$C:$C,AU$1,Database!$F:$F,"Total")</f>
        <v>0</v>
      </c>
      <c r="AV67" s="137">
        <f>SUMIFS(Database!$G:$G,Database!$D:$D,"Import",Database!$E:$E,$B67,Database!$C:$C,AV$1,Database!$F:$F,"Total")</f>
        <v>0</v>
      </c>
      <c r="AW67" s="137">
        <f>SUMIFS(Database!$G:$G,Database!$D:$D,"Import",Database!$E:$E,$B67,Database!$C:$C,AW$1,Database!$F:$F,"Total")</f>
        <v>0</v>
      </c>
      <c r="AX67" s="137">
        <f>SUMIFS(Database!$G:$G,Database!$D:$D,"Import",Database!$E:$E,$B67,Database!$C:$C,AX$1,Database!$F:$F,"Total")</f>
        <v>0</v>
      </c>
      <c r="AY67" s="137">
        <f>SUMIFS(Database!$G:$G,Database!$D:$D,"Import",Database!$E:$E,$B67,Database!$C:$C,AY$1,Database!$F:$F,"Total")</f>
        <v>0</v>
      </c>
      <c r="AZ67" s="137">
        <f>SUMIFS(Database!$G:$G,Database!$D:$D,"Import",Database!$E:$E,$B67,Database!$C:$C,AZ$1,Database!$F:$F,"Total")</f>
        <v>0</v>
      </c>
      <c r="BA67" s="137">
        <f>SUMIFS(Database!$G:$G,Database!$D:$D,"Import",Database!$E:$E,$B67,Database!$C:$C,BA$1,Database!$F:$F,"Total")</f>
        <v>0</v>
      </c>
      <c r="BB67" s="137">
        <f>SUMIFS(Database!$G:$G,Database!$D:$D,"Import",Database!$E:$E,$B67,Database!$C:$C,BB$1,Database!$F:$F,"Total")</f>
        <v>0</v>
      </c>
      <c r="BC67" s="137">
        <f>SUMIFS(Database!$G:$G,Database!$D:$D,"Import",Database!$E:$E,$B67,Database!$C:$C,BC$1,Database!$F:$F,"Total")</f>
        <v>0</v>
      </c>
      <c r="BD67" s="137">
        <f>SUMIFS(Database!$G:$G,Database!$D:$D,"Import",Database!$E:$E,$B67,Database!$C:$C,BD$1,Database!$F:$F,"Total")</f>
        <v>0</v>
      </c>
      <c r="BE67" s="137">
        <f>SUMIFS(Database!$G:$G,Database!$D:$D,"Import",Database!$E:$E,$B67,Database!$C:$C,BE$1,Database!$F:$F,"Total")</f>
        <v>0</v>
      </c>
      <c r="BF67" s="137">
        <f>SUMIFS(Database!$G:$G,Database!$D:$D,"Import",Database!$E:$E,$B67,Database!$C:$C,BF$1,Database!$F:$F,"Total")</f>
        <v>0</v>
      </c>
      <c r="BG67" s="137">
        <f>SUMIFS(Database!$G:$G,Database!$D:$D,"Import",Database!$E:$E,$B67,Database!$C:$C,BG$1,Database!$F:$F,"Total")</f>
        <v>0</v>
      </c>
      <c r="BH67" s="137">
        <f>SUMIFS(Database!$G:$G,Database!$D:$D,"Import",Database!$E:$E,$B67,Database!$C:$C,BH$1,Database!$F:$F,"Total")</f>
        <v>0</v>
      </c>
      <c r="BI67" s="137">
        <f>SUMIFS(Database!$G:$G,Database!$D:$D,"Import",Database!$E:$E,$B67,Database!$C:$C,BI$1,Database!$F:$F,"Total")</f>
        <v>0</v>
      </c>
      <c r="BJ67" s="137">
        <f>SUMIFS(Database!$G:$G,Database!$D:$D,"Import",Database!$E:$E,$B67,Database!$C:$C,BJ$1,Database!$F:$F,"Total")</f>
        <v>0</v>
      </c>
      <c r="BK67" s="137">
        <f>SUMIFS(Database!$G:$G,Database!$D:$D,"Import",Database!$E:$E,$B67,Database!$C:$C,BK$1,Database!$F:$F,"Total")</f>
        <v>0</v>
      </c>
      <c r="BL67" s="137">
        <f>SUMIFS(Database!$G:$G,Database!$D:$D,"Import",Database!$E:$E,$B67,Database!$C:$C,BL$1,Database!$F:$F,"Total")</f>
        <v>0</v>
      </c>
      <c r="BM67" s="137">
        <f>SUMIFS(Database!$G:$G,Database!$D:$D,"Import",Database!$E:$E,$B67,Database!$C:$C,BM$1,Database!$F:$F,"Total")</f>
        <v>0</v>
      </c>
      <c r="BN67" s="137">
        <f>SUMIFS(Database!$G:$G,Database!$D:$D,"Import",Database!$E:$E,$B67,Database!$C:$C,BN$1,Database!$F:$F,"Total")</f>
        <v>0</v>
      </c>
      <c r="BO67" s="137">
        <f>SUMIFS(Database!$G:$G,Database!$D:$D,"Import",Database!$E:$E,$B67,Database!$C:$C,BO$1,Database!$F:$F,"Total")</f>
        <v>0</v>
      </c>
      <c r="BP67" s="137">
        <f>SUMIFS(Database!$G:$G,Database!$D:$D,"Import",Database!$E:$E,$B67,Database!$C:$C,BP$1,Database!$F:$F,"Total")</f>
        <v>0</v>
      </c>
      <c r="BQ67" s="137">
        <f>SUMIFS(Database!$G:$G,Database!$D:$D,"Import",Database!$E:$E,$B67,Database!$C:$C,BQ$1,Database!$F:$F,"Total")</f>
        <v>0</v>
      </c>
      <c r="BR67" s="137">
        <f>SUMIFS(Database!$G:$G,Database!$D:$D,"Import",Database!$E:$E,$B67,Database!$C:$C,BR$1,Database!$F:$F,"Total")</f>
        <v>0</v>
      </c>
      <c r="BS67" s="137">
        <f>SUMIFS(Database!$G:$G,Database!$D:$D,"Import",Database!$E:$E,$B67,Database!$C:$C,BS$1,Database!$F:$F,"Total")</f>
        <v>0</v>
      </c>
      <c r="BT67" s="137">
        <f>SUMIFS(Database!$G:$G,Database!$D:$D,"Import",Database!$E:$E,$B67,Database!$C:$C,BT$1,Database!$F:$F,"Total")</f>
        <v>0</v>
      </c>
      <c r="BU67" s="137">
        <f>SUMIFS(Database!$G:$G,Database!$D:$D,"Import",Database!$E:$E,$B67,Database!$C:$C,BU$1,Database!$F:$F,"Total")</f>
        <v>0</v>
      </c>
      <c r="BV67" s="137">
        <f>SUMIFS(Database!$G:$G,Database!$D:$D,"Import",Database!$E:$E,$B67,Database!$C:$C,BV$1,Database!$F:$F,"Total")</f>
        <v>0</v>
      </c>
      <c r="BW67" s="137">
        <f>SUMIFS(Database!$G:$G,Database!$D:$D,"Import",Database!$E:$E,$B67,Database!$C:$C,BW$1,Database!$F:$F,"Total")</f>
        <v>0</v>
      </c>
      <c r="BX67" s="137">
        <f>SUMIFS(Database!$G:$G,Database!$D:$D,"Import",Database!$E:$E,$B67,Database!$C:$C,BX$1,Database!$F:$F,"Total")</f>
        <v>0</v>
      </c>
      <c r="BY67" s="137">
        <f>SUMIFS(Database!$G:$G,Database!$D:$D,"Import",Database!$E:$E,$B67,Database!$C:$C,BY$1,Database!$F:$F,"Total")</f>
        <v>0</v>
      </c>
      <c r="BZ67" s="137">
        <f>SUMIFS(Database!$G:$G,Database!$D:$D,"Import",Database!$E:$E,$B67,Database!$C:$C,BZ$1,Database!$F:$F,"Total")</f>
        <v>0</v>
      </c>
      <c r="CA67" s="137">
        <f>SUMIFS(Database!$G:$G,Database!$D:$D,"Import",Database!$E:$E,$B67,Database!$C:$C,CA$1,Database!$F:$F,"Total")</f>
        <v>0</v>
      </c>
      <c r="CB67" s="137">
        <f>SUMIFS(Database!$G:$G,Database!$D:$D,"Import",Database!$E:$E,$B67,Database!$C:$C,CB$1,Database!$F:$F,"Total")</f>
        <v>0</v>
      </c>
      <c r="CC67" s="137">
        <f>SUMIFS(Database!$G:$G,Database!$D:$D,"Import",Database!$E:$E,$B67,Database!$C:$C,CC$1,Database!$F:$F,"Total")</f>
        <v>0</v>
      </c>
      <c r="CD67" s="137">
        <f>SUMIFS(Database!$G:$G,Database!$D:$D,"Import",Database!$E:$E,$B67,Database!$C:$C,CD$1,Database!$F:$F,"Total")</f>
        <v>0</v>
      </c>
      <c r="CE67" s="137">
        <f>SUMIFS(Database!$G:$G,Database!$D:$D,"Import",Database!$E:$E,$B67,Database!$C:$C,CE$1,Database!$F:$F,"Total")</f>
        <v>0</v>
      </c>
      <c r="CF67" s="137">
        <f>SUMIFS(Database!$G:$G,Database!$D:$D,"Import",Database!$E:$E,$B67,Database!$C:$C,CF$1,Database!$F:$F,"Total")</f>
        <v>0</v>
      </c>
      <c r="CG67" s="137">
        <f>SUMIFS(Database!$G:$G,Database!$D:$D,"Import",Database!$E:$E,$B67,Database!$C:$C,CG$1,Database!$F:$F,"Total")</f>
        <v>0</v>
      </c>
      <c r="CH67" s="137">
        <f>SUMIFS(Database!$G:$G,Database!$D:$D,"Import",Database!$E:$E,$B67,Database!$C:$C,CH$1,Database!$F:$F,"Total")</f>
        <v>0</v>
      </c>
      <c r="CI67" s="137">
        <f>SUMIFS(Database!$G:$G,Database!$D:$D,"Import",Database!$E:$E,$B67,Database!$C:$C,CI$1,Database!$F:$F,"Total")</f>
        <v>0</v>
      </c>
      <c r="CJ67" s="137">
        <f>SUMIFS(Database!$G:$G,Database!$D:$D,"Import",Database!$E:$E,$B67,Database!$C:$C,CJ$1,Database!$F:$F,"Total")</f>
        <v>0</v>
      </c>
      <c r="CK67" s="137">
        <f>SUMIFS(Database!$G:$G,Database!$D:$D,"Import",Database!$E:$E,$B67,Database!$C:$C,CK$1,Database!$F:$F,"Total")</f>
        <v>0</v>
      </c>
      <c r="CL67" s="137">
        <f>SUMIFS(Database!$G:$G,Database!$D:$D,"Import",Database!$E:$E,$B67,Database!$C:$C,CL$1,Database!$F:$F,"Total")</f>
        <v>0</v>
      </c>
      <c r="CM67" s="137">
        <f>SUMIFS(Database!$G:$G,Database!$D:$D,"Import",Database!$E:$E,$B67,Database!$C:$C,CM$1,Database!$F:$F,"Total")</f>
        <v>0</v>
      </c>
      <c r="CN67" s="137">
        <f>SUMIFS(Database!$G:$G,Database!$D:$D,"Import",Database!$E:$E,$B67,Database!$C:$C,CN$1,Database!$F:$F,"Total")</f>
        <v>0</v>
      </c>
      <c r="CO67" s="137">
        <f>SUMIFS(Database!$G:$G,Database!$D:$D,"Import",Database!$E:$E,$B67,Database!$C:$C,CO$1,Database!$F:$F,"Total")</f>
        <v>0</v>
      </c>
      <c r="CP67" s="137">
        <f>SUMIFS(Database!$G:$G,Database!$D:$D,"Import",Database!$E:$E,$B67,Database!$C:$C,CP$1,Database!$F:$F,"Total")</f>
        <v>0</v>
      </c>
      <c r="CQ67" s="137">
        <f>SUMIFS(Database!$G:$G,Database!$D:$D,"Import",Database!$E:$E,$B67,Database!$C:$C,CQ$1,Database!$F:$F,"Total")</f>
        <v>0</v>
      </c>
      <c r="CR67" s="137">
        <f>SUMIFS(Database!$G:$G,Database!$D:$D,"Import",Database!$E:$E,$B67,Database!$C:$C,CR$1,Database!$F:$F,"Total")</f>
        <v>0</v>
      </c>
      <c r="CS67" s="137">
        <f>SUMIFS(Database!$G:$G,Database!$D:$D,"Import",Database!$E:$E,$B67,Database!$C:$C,CS$1,Database!$F:$F,"Total")</f>
        <v>0</v>
      </c>
      <c r="CT67" s="137">
        <f>SUMIFS(Database!$G:$G,Database!$D:$D,"Import",Database!$E:$E,$B67,Database!$C:$C,CT$1,Database!$F:$F,"Total")</f>
        <v>0</v>
      </c>
      <c r="CU67" s="137">
        <f>SUMIFS(Database!$G:$G,Database!$D:$D,"Import",Database!$E:$E,$B67,Database!$C:$C,CU$1,Database!$F:$F,"Total")</f>
        <v>0</v>
      </c>
    </row>
    <row r="68" spans="1:99" x14ac:dyDescent="0.25">
      <c r="A68" s="132" t="s">
        <v>484</v>
      </c>
      <c r="B68" s="133" t="s">
        <v>329</v>
      </c>
      <c r="C68" s="137">
        <f>SUMIFS(Database!$G:$G,Database!$D:$D,"Import",Database!$E:$E,$B68,Database!$C:$C,C$1,Database!$F:$F,"Total")</f>
        <v>0</v>
      </c>
      <c r="D68" s="137">
        <f>SUMIFS(Database!$G:$G,Database!$D:$D,"Import",Database!$E:$E,$B68,Database!$C:$C,D$1,Database!$F:$F,"Total")</f>
        <v>0</v>
      </c>
      <c r="E68" s="137">
        <f>SUMIFS(Database!$G:$G,Database!$D:$D,"Import",Database!$E:$E,$B68,Database!$C:$C,E$1,Database!$F:$F,"Total")</f>
        <v>0</v>
      </c>
      <c r="F68" s="137">
        <f>SUMIFS(Database!$G:$G,Database!$D:$D,"Import",Database!$E:$E,$B68,Database!$C:$C,F$1,Database!$F:$F,"Total")</f>
        <v>0</v>
      </c>
      <c r="G68" s="137">
        <f>SUMIFS(Database!$G:$G,Database!$D:$D,"Import",Database!$E:$E,$B68,Database!$C:$C,G$1,Database!$F:$F,"Total")</f>
        <v>0</v>
      </c>
      <c r="H68" s="137">
        <f>SUMIFS(Database!$G:$G,Database!$D:$D,"Import",Database!$E:$E,$B68,Database!$C:$C,H$1,Database!$F:$F,"Total")</f>
        <v>0</v>
      </c>
      <c r="I68" s="137">
        <f>SUMIFS(Database!$G:$G,Database!$D:$D,"Import",Database!$E:$E,$B68,Database!$C:$C,I$1,Database!$F:$F,"Total")</f>
        <v>0</v>
      </c>
      <c r="J68" s="137">
        <f>SUMIFS(Database!$G:$G,Database!$D:$D,"Import",Database!$E:$E,$B68,Database!$C:$C,J$1,Database!$F:$F,"Total")</f>
        <v>0</v>
      </c>
      <c r="K68" s="137">
        <f>SUMIFS(Database!$G:$G,Database!$D:$D,"Import",Database!$E:$E,$B68,Database!$C:$C,K$1,Database!$F:$F,"Total")</f>
        <v>0</v>
      </c>
      <c r="L68" s="137">
        <f>SUMIFS(Database!$G:$G,Database!$D:$D,"Import",Database!$E:$E,$B68,Database!$C:$C,L$1,Database!$F:$F,"Total")</f>
        <v>0</v>
      </c>
      <c r="M68" s="137">
        <f>SUMIFS(Database!$G:$G,Database!$D:$D,"Import",Database!$E:$E,$B68,Database!$C:$C,M$1,Database!$F:$F,"Total")</f>
        <v>0</v>
      </c>
      <c r="N68" s="137">
        <f>SUMIFS(Database!$G:$G,Database!$D:$D,"Import",Database!$E:$E,$B68,Database!$C:$C,N$1,Database!$F:$F,"Total")</f>
        <v>0</v>
      </c>
      <c r="O68" s="137">
        <f>SUMIFS(Database!$G:$G,Database!$D:$D,"Import",Database!$E:$E,$B68,Database!$C:$C,O$1,Database!$F:$F,"Total")</f>
        <v>0</v>
      </c>
      <c r="P68" s="137">
        <f>SUMIFS(Database!$G:$G,Database!$D:$D,"Import",Database!$E:$E,$B68,Database!$C:$C,P$1,Database!$F:$F,"Total")</f>
        <v>0</v>
      </c>
      <c r="Q68" s="137">
        <f>SUMIFS(Database!$G:$G,Database!$D:$D,"Import",Database!$E:$E,$B68,Database!$C:$C,Q$1,Database!$F:$F,"Total")</f>
        <v>0</v>
      </c>
      <c r="R68" s="137">
        <f>SUMIFS(Database!$G:$G,Database!$D:$D,"Import",Database!$E:$E,$B68,Database!$C:$C,R$1,Database!$F:$F,"Total")</f>
        <v>0</v>
      </c>
      <c r="S68" s="137">
        <f>SUMIFS(Database!$G:$G,Database!$D:$D,"Import",Database!$E:$E,$B68,Database!$C:$C,S$1,Database!$F:$F,"Total")</f>
        <v>0</v>
      </c>
      <c r="T68" s="137">
        <f>SUMIFS(Database!$G:$G,Database!$D:$D,"Import",Database!$E:$E,$B68,Database!$C:$C,T$1,Database!$F:$F,"Total")</f>
        <v>0</v>
      </c>
      <c r="U68" s="137">
        <f>SUMIFS(Database!$G:$G,Database!$D:$D,"Import",Database!$E:$E,$B68,Database!$C:$C,U$1,Database!$F:$F,"Total")</f>
        <v>0</v>
      </c>
      <c r="V68" s="137">
        <f>SUMIFS(Database!$G:$G,Database!$D:$D,"Import",Database!$E:$E,$B68,Database!$C:$C,V$1,Database!$F:$F,"Total")</f>
        <v>0</v>
      </c>
      <c r="W68" s="137">
        <f>SUMIFS(Database!$G:$G,Database!$D:$D,"Import",Database!$E:$E,$B68,Database!$C:$C,W$1,Database!$F:$F,"Total")</f>
        <v>0</v>
      </c>
      <c r="X68" s="137">
        <f>SUMIFS(Database!$G:$G,Database!$D:$D,"Import",Database!$E:$E,$B68,Database!$C:$C,X$1,Database!$F:$F,"Total")</f>
        <v>0</v>
      </c>
      <c r="Y68" s="137">
        <f>SUMIFS(Database!$G:$G,Database!$D:$D,"Import",Database!$E:$E,$B68,Database!$C:$C,Y$1,Database!$F:$F,"Total")</f>
        <v>0</v>
      </c>
      <c r="Z68" s="137">
        <f>SUMIFS(Database!$G:$G,Database!$D:$D,"Import",Database!$E:$E,$B68,Database!$C:$C,Z$1,Database!$F:$F,"Total")</f>
        <v>0</v>
      </c>
      <c r="AA68" s="137">
        <f>SUMIFS(Database!$G:$G,Database!$D:$D,"Import",Database!$E:$E,$B68,Database!$C:$C,AA$1,Database!$F:$F,"Total")</f>
        <v>0</v>
      </c>
      <c r="AB68" s="137">
        <f>SUMIFS(Database!$G:$G,Database!$D:$D,"Import",Database!$E:$E,$B68,Database!$C:$C,AB$1,Database!$F:$F,"Total")</f>
        <v>0</v>
      </c>
      <c r="AC68" s="137">
        <f>SUMIFS(Database!$G:$G,Database!$D:$D,"Import",Database!$E:$E,$B68,Database!$C:$C,AC$1,Database!$F:$F,"Total")</f>
        <v>0</v>
      </c>
      <c r="AD68" s="137">
        <f>SUMIFS(Database!$G:$G,Database!$D:$D,"Import",Database!$E:$E,$B68,Database!$C:$C,AD$1,Database!$F:$F,"Total")</f>
        <v>0</v>
      </c>
      <c r="AE68" s="137">
        <f>SUMIFS(Database!$G:$G,Database!$D:$D,"Import",Database!$E:$E,$B68,Database!$C:$C,AE$1,Database!$F:$F,"Total")</f>
        <v>0</v>
      </c>
      <c r="AF68" s="137">
        <f>SUMIFS(Database!$G:$G,Database!$D:$D,"Import",Database!$E:$E,$B68,Database!$C:$C,AF$1,Database!$F:$F,"Total")</f>
        <v>0</v>
      </c>
      <c r="AG68" s="137">
        <f>SUMIFS(Database!$G:$G,Database!$D:$D,"Import",Database!$E:$E,$B68,Database!$C:$C,AG$1,Database!$F:$F,"Total")</f>
        <v>0</v>
      </c>
      <c r="AH68" s="137">
        <f>SUMIFS(Database!$G:$G,Database!$D:$D,"Import",Database!$E:$E,$B68,Database!$C:$C,AH$1,Database!$F:$F,"Total")</f>
        <v>0</v>
      </c>
      <c r="AI68" s="137">
        <f>SUMIFS(Database!$G:$G,Database!$D:$D,"Import",Database!$E:$E,$B68,Database!$C:$C,AI$1,Database!$F:$F,"Total")</f>
        <v>0</v>
      </c>
      <c r="AJ68" s="137">
        <f>SUMIFS(Database!$G:$G,Database!$D:$D,"Import",Database!$E:$E,$B68,Database!$C:$C,AJ$1,Database!$F:$F,"Total")</f>
        <v>12</v>
      </c>
      <c r="AK68" s="137">
        <f>SUMIFS(Database!$G:$G,Database!$D:$D,"Import",Database!$E:$E,$B68,Database!$C:$C,AK$1,Database!$F:$F,"Total")</f>
        <v>0</v>
      </c>
      <c r="AL68" s="137">
        <f>SUMIFS(Database!$G:$G,Database!$D:$D,"Import",Database!$E:$E,$B68,Database!$C:$C,AL$1,Database!$F:$F,"Total")</f>
        <v>1467</v>
      </c>
      <c r="AM68" s="137">
        <f>SUMIFS(Database!$G:$G,Database!$D:$D,"Import",Database!$E:$E,$B68,Database!$C:$C,AM$1,Database!$F:$F,"Total")</f>
        <v>0</v>
      </c>
      <c r="AN68" s="137">
        <f>SUMIFS(Database!$G:$G,Database!$D:$D,"Import",Database!$E:$E,$B68,Database!$C:$C,AN$1,Database!$F:$F,"Total")</f>
        <v>0</v>
      </c>
      <c r="AO68" s="137">
        <f>SUMIFS(Database!$G:$G,Database!$D:$D,"Import",Database!$E:$E,$B68,Database!$C:$C,AO$1,Database!$F:$F,"Total")</f>
        <v>0</v>
      </c>
      <c r="AP68" s="137">
        <f>SUMIFS(Database!$G:$G,Database!$D:$D,"Import",Database!$E:$E,$B68,Database!$C:$C,AP$1,Database!$F:$F,"Total")</f>
        <v>0</v>
      </c>
      <c r="AQ68" s="137">
        <f>SUMIFS(Database!$G:$G,Database!$D:$D,"Import",Database!$E:$E,$B68,Database!$C:$C,AQ$1,Database!$F:$F,"Total")</f>
        <v>0</v>
      </c>
      <c r="AR68" s="137">
        <f>SUMIFS(Database!$G:$G,Database!$D:$D,"Import",Database!$E:$E,$B68,Database!$C:$C,AR$1,Database!$F:$F,"Total")</f>
        <v>0</v>
      </c>
      <c r="AS68" s="137">
        <f>SUMIFS(Database!$G:$G,Database!$D:$D,"Import",Database!$E:$E,$B68,Database!$C:$C,AS$1,Database!$F:$F,"Total")</f>
        <v>0</v>
      </c>
      <c r="AT68" s="137">
        <f>SUMIFS(Database!$G:$G,Database!$D:$D,"Import",Database!$E:$E,$B68,Database!$C:$C,AT$1,Database!$F:$F,"Total")</f>
        <v>0</v>
      </c>
      <c r="AU68" s="137">
        <f>SUMIFS(Database!$G:$G,Database!$D:$D,"Import",Database!$E:$E,$B68,Database!$C:$C,AU$1,Database!$F:$F,"Total")</f>
        <v>0</v>
      </c>
      <c r="AV68" s="137">
        <f>SUMIFS(Database!$G:$G,Database!$D:$D,"Import",Database!$E:$E,$B68,Database!$C:$C,AV$1,Database!$F:$F,"Total")</f>
        <v>0</v>
      </c>
      <c r="AW68" s="137">
        <f>SUMIFS(Database!$G:$G,Database!$D:$D,"Import",Database!$E:$E,$B68,Database!$C:$C,AW$1,Database!$F:$F,"Total")</f>
        <v>0</v>
      </c>
      <c r="AX68" s="137">
        <f>SUMIFS(Database!$G:$G,Database!$D:$D,"Import",Database!$E:$E,$B68,Database!$C:$C,AX$1,Database!$F:$F,"Total")</f>
        <v>0</v>
      </c>
      <c r="AY68" s="137">
        <f>SUMIFS(Database!$G:$G,Database!$D:$D,"Import",Database!$E:$E,$B68,Database!$C:$C,AY$1,Database!$F:$F,"Total")</f>
        <v>0</v>
      </c>
      <c r="AZ68" s="137">
        <f>SUMIFS(Database!$G:$G,Database!$D:$D,"Import",Database!$E:$E,$B68,Database!$C:$C,AZ$1,Database!$F:$F,"Total")</f>
        <v>0</v>
      </c>
      <c r="BA68" s="137">
        <f>SUMIFS(Database!$G:$G,Database!$D:$D,"Import",Database!$E:$E,$B68,Database!$C:$C,BA$1,Database!$F:$F,"Total")</f>
        <v>0</v>
      </c>
      <c r="BB68" s="137">
        <f>SUMIFS(Database!$G:$G,Database!$D:$D,"Import",Database!$E:$E,$B68,Database!$C:$C,BB$1,Database!$F:$F,"Total")</f>
        <v>0</v>
      </c>
      <c r="BC68" s="137">
        <f>SUMIFS(Database!$G:$G,Database!$D:$D,"Import",Database!$E:$E,$B68,Database!$C:$C,BC$1,Database!$F:$F,"Total")</f>
        <v>0</v>
      </c>
      <c r="BD68" s="137">
        <f>SUMIFS(Database!$G:$G,Database!$D:$D,"Import",Database!$E:$E,$B68,Database!$C:$C,BD$1,Database!$F:$F,"Total")</f>
        <v>0</v>
      </c>
      <c r="BE68" s="137">
        <f>SUMIFS(Database!$G:$G,Database!$D:$D,"Import",Database!$E:$E,$B68,Database!$C:$C,BE$1,Database!$F:$F,"Total")</f>
        <v>0</v>
      </c>
      <c r="BF68" s="137">
        <f>SUMIFS(Database!$G:$G,Database!$D:$D,"Import",Database!$E:$E,$B68,Database!$C:$C,BF$1,Database!$F:$F,"Total")</f>
        <v>0</v>
      </c>
      <c r="BG68" s="137">
        <f>SUMIFS(Database!$G:$G,Database!$D:$D,"Import",Database!$E:$E,$B68,Database!$C:$C,BG$1,Database!$F:$F,"Total")</f>
        <v>0</v>
      </c>
      <c r="BH68" s="137">
        <f>SUMIFS(Database!$G:$G,Database!$D:$D,"Import",Database!$E:$E,$B68,Database!$C:$C,BH$1,Database!$F:$F,"Total")</f>
        <v>0</v>
      </c>
      <c r="BI68" s="137">
        <f>SUMIFS(Database!$G:$G,Database!$D:$D,"Import",Database!$E:$E,$B68,Database!$C:$C,BI$1,Database!$F:$F,"Total")</f>
        <v>0</v>
      </c>
      <c r="BJ68" s="137">
        <f>SUMIFS(Database!$G:$G,Database!$D:$D,"Import",Database!$E:$E,$B68,Database!$C:$C,BJ$1,Database!$F:$F,"Total")</f>
        <v>0</v>
      </c>
      <c r="BK68" s="137">
        <f>SUMIFS(Database!$G:$G,Database!$D:$D,"Import",Database!$E:$E,$B68,Database!$C:$C,BK$1,Database!$F:$F,"Total")</f>
        <v>0</v>
      </c>
      <c r="BL68" s="137">
        <f>SUMIFS(Database!$G:$G,Database!$D:$D,"Import",Database!$E:$E,$B68,Database!$C:$C,BL$1,Database!$F:$F,"Total")</f>
        <v>0</v>
      </c>
      <c r="BM68" s="137">
        <f>SUMIFS(Database!$G:$G,Database!$D:$D,"Import",Database!$E:$E,$B68,Database!$C:$C,BM$1,Database!$F:$F,"Total")</f>
        <v>0</v>
      </c>
      <c r="BN68" s="137">
        <f>SUMIFS(Database!$G:$G,Database!$D:$D,"Import",Database!$E:$E,$B68,Database!$C:$C,BN$1,Database!$F:$F,"Total")</f>
        <v>0</v>
      </c>
      <c r="BO68" s="137">
        <f>SUMIFS(Database!$G:$G,Database!$D:$D,"Import",Database!$E:$E,$B68,Database!$C:$C,BO$1,Database!$F:$F,"Total")</f>
        <v>0</v>
      </c>
      <c r="BP68" s="137">
        <f>SUMIFS(Database!$G:$G,Database!$D:$D,"Import",Database!$E:$E,$B68,Database!$C:$C,BP$1,Database!$F:$F,"Total")</f>
        <v>0</v>
      </c>
      <c r="BQ68" s="137">
        <f>SUMIFS(Database!$G:$G,Database!$D:$D,"Import",Database!$E:$E,$B68,Database!$C:$C,BQ$1,Database!$F:$F,"Total")</f>
        <v>0</v>
      </c>
      <c r="BR68" s="137">
        <f>SUMIFS(Database!$G:$G,Database!$D:$D,"Import",Database!$E:$E,$B68,Database!$C:$C,BR$1,Database!$F:$F,"Total")</f>
        <v>0</v>
      </c>
      <c r="BS68" s="137">
        <f>SUMIFS(Database!$G:$G,Database!$D:$D,"Import",Database!$E:$E,$B68,Database!$C:$C,BS$1,Database!$F:$F,"Total")</f>
        <v>0</v>
      </c>
      <c r="BT68" s="137">
        <f>SUMIFS(Database!$G:$G,Database!$D:$D,"Import",Database!$E:$E,$B68,Database!$C:$C,BT$1,Database!$F:$F,"Total")</f>
        <v>0</v>
      </c>
      <c r="BU68" s="137">
        <f>SUMIFS(Database!$G:$G,Database!$D:$D,"Import",Database!$E:$E,$B68,Database!$C:$C,BU$1,Database!$F:$F,"Total")</f>
        <v>0</v>
      </c>
      <c r="BV68" s="137">
        <f>SUMIFS(Database!$G:$G,Database!$D:$D,"Import",Database!$E:$E,$B68,Database!$C:$C,BV$1,Database!$F:$F,"Total")</f>
        <v>0</v>
      </c>
      <c r="BW68" s="137">
        <f>SUMIFS(Database!$G:$G,Database!$D:$D,"Import",Database!$E:$E,$B68,Database!$C:$C,BW$1,Database!$F:$F,"Total")</f>
        <v>0</v>
      </c>
      <c r="BX68" s="137">
        <f>SUMIFS(Database!$G:$G,Database!$D:$D,"Import",Database!$E:$E,$B68,Database!$C:$C,BX$1,Database!$F:$F,"Total")</f>
        <v>0</v>
      </c>
      <c r="BY68" s="137">
        <f>SUMIFS(Database!$G:$G,Database!$D:$D,"Import",Database!$E:$E,$B68,Database!$C:$C,BY$1,Database!$F:$F,"Total")</f>
        <v>0</v>
      </c>
      <c r="BZ68" s="137">
        <f>SUMIFS(Database!$G:$G,Database!$D:$D,"Import",Database!$E:$E,$B68,Database!$C:$C,BZ$1,Database!$F:$F,"Total")</f>
        <v>0</v>
      </c>
      <c r="CA68" s="137">
        <f>SUMIFS(Database!$G:$G,Database!$D:$D,"Import",Database!$E:$E,$B68,Database!$C:$C,CA$1,Database!$F:$F,"Total")</f>
        <v>0</v>
      </c>
      <c r="CB68" s="137">
        <f>SUMIFS(Database!$G:$G,Database!$D:$D,"Import",Database!$E:$E,$B68,Database!$C:$C,CB$1,Database!$F:$F,"Total")</f>
        <v>0</v>
      </c>
      <c r="CC68" s="137">
        <f>SUMIFS(Database!$G:$G,Database!$D:$D,"Import",Database!$E:$E,$B68,Database!$C:$C,CC$1,Database!$F:$F,"Total")</f>
        <v>0</v>
      </c>
      <c r="CD68" s="137">
        <f>SUMIFS(Database!$G:$G,Database!$D:$D,"Import",Database!$E:$E,$B68,Database!$C:$C,CD$1,Database!$F:$F,"Total")</f>
        <v>0</v>
      </c>
      <c r="CE68" s="137">
        <f>SUMIFS(Database!$G:$G,Database!$D:$D,"Import",Database!$E:$E,$B68,Database!$C:$C,CE$1,Database!$F:$F,"Total")</f>
        <v>0</v>
      </c>
      <c r="CF68" s="137">
        <f>SUMIFS(Database!$G:$G,Database!$D:$D,"Import",Database!$E:$E,$B68,Database!$C:$C,CF$1,Database!$F:$F,"Total")</f>
        <v>0</v>
      </c>
      <c r="CG68" s="137">
        <f>SUMIFS(Database!$G:$G,Database!$D:$D,"Import",Database!$E:$E,$B68,Database!$C:$C,CG$1,Database!$F:$F,"Total")</f>
        <v>0</v>
      </c>
      <c r="CH68" s="137">
        <f>SUMIFS(Database!$G:$G,Database!$D:$D,"Import",Database!$E:$E,$B68,Database!$C:$C,CH$1,Database!$F:$F,"Total")</f>
        <v>0</v>
      </c>
      <c r="CI68" s="137">
        <f>SUMIFS(Database!$G:$G,Database!$D:$D,"Import",Database!$E:$E,$B68,Database!$C:$C,CI$1,Database!$F:$F,"Total")</f>
        <v>0</v>
      </c>
      <c r="CJ68" s="137">
        <f>SUMIFS(Database!$G:$G,Database!$D:$D,"Import",Database!$E:$E,$B68,Database!$C:$C,CJ$1,Database!$F:$F,"Total")</f>
        <v>0</v>
      </c>
      <c r="CK68" s="137">
        <f>SUMIFS(Database!$G:$G,Database!$D:$D,"Import",Database!$E:$E,$B68,Database!$C:$C,CK$1,Database!$F:$F,"Total")</f>
        <v>0</v>
      </c>
      <c r="CL68" s="137">
        <f>SUMIFS(Database!$G:$G,Database!$D:$D,"Import",Database!$E:$E,$B68,Database!$C:$C,CL$1,Database!$F:$F,"Total")</f>
        <v>0</v>
      </c>
      <c r="CM68" s="137">
        <f>SUMIFS(Database!$G:$G,Database!$D:$D,"Import",Database!$E:$E,$B68,Database!$C:$C,CM$1,Database!$F:$F,"Total")</f>
        <v>0</v>
      </c>
      <c r="CN68" s="137">
        <f>SUMIFS(Database!$G:$G,Database!$D:$D,"Import",Database!$E:$E,$B68,Database!$C:$C,CN$1,Database!$F:$F,"Total")</f>
        <v>0</v>
      </c>
      <c r="CO68" s="137">
        <f>SUMIFS(Database!$G:$G,Database!$D:$D,"Import",Database!$E:$E,$B68,Database!$C:$C,CO$1,Database!$F:$F,"Total")</f>
        <v>0</v>
      </c>
      <c r="CP68" s="137">
        <f>SUMIFS(Database!$G:$G,Database!$D:$D,"Import",Database!$E:$E,$B68,Database!$C:$C,CP$1,Database!$F:$F,"Total")</f>
        <v>0</v>
      </c>
      <c r="CQ68" s="137">
        <f>SUMIFS(Database!$G:$G,Database!$D:$D,"Import",Database!$E:$E,$B68,Database!$C:$C,CQ$1,Database!$F:$F,"Total")</f>
        <v>0</v>
      </c>
      <c r="CR68" s="137">
        <f>SUMIFS(Database!$G:$G,Database!$D:$D,"Import",Database!$E:$E,$B68,Database!$C:$C,CR$1,Database!$F:$F,"Total")</f>
        <v>0</v>
      </c>
      <c r="CS68" s="137">
        <f>SUMIFS(Database!$G:$G,Database!$D:$D,"Import",Database!$E:$E,$B68,Database!$C:$C,CS$1,Database!$F:$F,"Total")</f>
        <v>0</v>
      </c>
      <c r="CT68" s="137">
        <f>SUMIFS(Database!$G:$G,Database!$D:$D,"Import",Database!$E:$E,$B68,Database!$C:$C,CT$1,Database!$F:$F,"Total")</f>
        <v>0</v>
      </c>
      <c r="CU68" s="137">
        <f>SUMIFS(Database!$G:$G,Database!$D:$D,"Import",Database!$E:$E,$B68,Database!$C:$C,CU$1,Database!$F:$F,"Total")</f>
        <v>0</v>
      </c>
    </row>
    <row r="69" spans="1:99" x14ac:dyDescent="0.25">
      <c r="A69" s="132" t="s">
        <v>484</v>
      </c>
      <c r="B69" s="133" t="s">
        <v>82</v>
      </c>
      <c r="C69" s="137">
        <f>SUMIFS(Database!$G:$G,Database!$D:$D,"Import",Database!$E:$E,$B69,Database!$C:$C,C$1,Database!$F:$F,"Total")</f>
        <v>0</v>
      </c>
      <c r="D69" s="137">
        <f>SUMIFS(Database!$G:$G,Database!$D:$D,"Import",Database!$E:$E,$B69,Database!$C:$C,D$1,Database!$F:$F,"Total")</f>
        <v>0</v>
      </c>
      <c r="E69" s="137">
        <f>SUMIFS(Database!$G:$G,Database!$D:$D,"Import",Database!$E:$E,$B69,Database!$C:$C,E$1,Database!$F:$F,"Total")</f>
        <v>0</v>
      </c>
      <c r="F69" s="137">
        <f>SUMIFS(Database!$G:$G,Database!$D:$D,"Import",Database!$E:$E,$B69,Database!$C:$C,F$1,Database!$F:$F,"Total")</f>
        <v>0</v>
      </c>
      <c r="G69" s="137">
        <f>SUMIFS(Database!$G:$G,Database!$D:$D,"Import",Database!$E:$E,$B69,Database!$C:$C,G$1,Database!$F:$F,"Total")</f>
        <v>0</v>
      </c>
      <c r="H69" s="137">
        <f>SUMIFS(Database!$G:$G,Database!$D:$D,"Import",Database!$E:$E,$B69,Database!$C:$C,H$1,Database!$F:$F,"Total")</f>
        <v>0</v>
      </c>
      <c r="I69" s="137">
        <f>SUMIFS(Database!$G:$G,Database!$D:$D,"Import",Database!$E:$E,$B69,Database!$C:$C,I$1,Database!$F:$F,"Total")</f>
        <v>0</v>
      </c>
      <c r="J69" s="137">
        <f>SUMIFS(Database!$G:$G,Database!$D:$D,"Import",Database!$E:$E,$B69,Database!$C:$C,J$1,Database!$F:$F,"Total")</f>
        <v>0</v>
      </c>
      <c r="K69" s="137">
        <f>SUMIFS(Database!$G:$G,Database!$D:$D,"Import",Database!$E:$E,$B69,Database!$C:$C,K$1,Database!$F:$F,"Total")</f>
        <v>0</v>
      </c>
      <c r="L69" s="137">
        <f>SUMIFS(Database!$G:$G,Database!$D:$D,"Import",Database!$E:$E,$B69,Database!$C:$C,L$1,Database!$F:$F,"Total")</f>
        <v>0</v>
      </c>
      <c r="M69" s="137">
        <f>SUMIFS(Database!$G:$G,Database!$D:$D,"Import",Database!$E:$E,$B69,Database!$C:$C,M$1,Database!$F:$F,"Total")</f>
        <v>0</v>
      </c>
      <c r="N69" s="137">
        <f>SUMIFS(Database!$G:$G,Database!$D:$D,"Import",Database!$E:$E,$B69,Database!$C:$C,N$1,Database!$F:$F,"Total")</f>
        <v>0</v>
      </c>
      <c r="O69" s="137">
        <f>SUMIFS(Database!$G:$G,Database!$D:$D,"Import",Database!$E:$E,$B69,Database!$C:$C,O$1,Database!$F:$F,"Total")</f>
        <v>0</v>
      </c>
      <c r="P69" s="137">
        <f>SUMIFS(Database!$G:$G,Database!$D:$D,"Import",Database!$E:$E,$B69,Database!$C:$C,P$1,Database!$F:$F,"Total")</f>
        <v>0</v>
      </c>
      <c r="Q69" s="137">
        <f>SUMIFS(Database!$G:$G,Database!$D:$D,"Import",Database!$E:$E,$B69,Database!$C:$C,Q$1,Database!$F:$F,"Total")</f>
        <v>0</v>
      </c>
      <c r="R69" s="137">
        <f>SUMIFS(Database!$G:$G,Database!$D:$D,"Import",Database!$E:$E,$B69,Database!$C:$C,R$1,Database!$F:$F,"Total")</f>
        <v>0</v>
      </c>
      <c r="S69" s="137">
        <f>SUMIFS(Database!$G:$G,Database!$D:$D,"Import",Database!$E:$E,$B69,Database!$C:$C,S$1,Database!$F:$F,"Total")</f>
        <v>0</v>
      </c>
      <c r="T69" s="137">
        <f>SUMIFS(Database!$G:$G,Database!$D:$D,"Import",Database!$E:$E,$B69,Database!$C:$C,T$1,Database!$F:$F,"Total")</f>
        <v>0</v>
      </c>
      <c r="U69" s="137">
        <f>SUMIFS(Database!$G:$G,Database!$D:$D,"Import",Database!$E:$E,$B69,Database!$C:$C,U$1,Database!$F:$F,"Total")</f>
        <v>0</v>
      </c>
      <c r="V69" s="137">
        <f>SUMIFS(Database!$G:$G,Database!$D:$D,"Import",Database!$E:$E,$B69,Database!$C:$C,V$1,Database!$F:$F,"Total")</f>
        <v>0</v>
      </c>
      <c r="W69" s="137">
        <f>SUMIFS(Database!$G:$G,Database!$D:$D,"Import",Database!$E:$E,$B69,Database!$C:$C,W$1,Database!$F:$F,"Total")</f>
        <v>0</v>
      </c>
      <c r="X69" s="137">
        <f>SUMIFS(Database!$G:$G,Database!$D:$D,"Import",Database!$E:$E,$B69,Database!$C:$C,X$1,Database!$F:$F,"Total")</f>
        <v>0</v>
      </c>
      <c r="Y69" s="137">
        <f>SUMIFS(Database!$G:$G,Database!$D:$D,"Import",Database!$E:$E,$B69,Database!$C:$C,Y$1,Database!$F:$F,"Total")</f>
        <v>0</v>
      </c>
      <c r="Z69" s="137">
        <f>SUMIFS(Database!$G:$G,Database!$D:$D,"Import",Database!$E:$E,$B69,Database!$C:$C,Z$1,Database!$F:$F,"Total")</f>
        <v>0</v>
      </c>
      <c r="AA69" s="137">
        <f>SUMIFS(Database!$G:$G,Database!$D:$D,"Import",Database!$E:$E,$B69,Database!$C:$C,AA$1,Database!$F:$F,"Total")</f>
        <v>0</v>
      </c>
      <c r="AB69" s="137">
        <f>SUMIFS(Database!$G:$G,Database!$D:$D,"Import",Database!$E:$E,$B69,Database!$C:$C,AB$1,Database!$F:$F,"Total")</f>
        <v>0</v>
      </c>
      <c r="AC69" s="137">
        <f>SUMIFS(Database!$G:$G,Database!$D:$D,"Import",Database!$E:$E,$B69,Database!$C:$C,AC$1,Database!$F:$F,"Total")</f>
        <v>0</v>
      </c>
      <c r="AD69" s="137">
        <f>SUMIFS(Database!$G:$G,Database!$D:$D,"Import",Database!$E:$E,$B69,Database!$C:$C,AD$1,Database!$F:$F,"Total")</f>
        <v>0</v>
      </c>
      <c r="AE69" s="137">
        <f>SUMIFS(Database!$G:$G,Database!$D:$D,"Import",Database!$E:$E,$B69,Database!$C:$C,AE$1,Database!$F:$F,"Total")</f>
        <v>0</v>
      </c>
      <c r="AF69" s="137">
        <f>SUMIFS(Database!$G:$G,Database!$D:$D,"Import",Database!$E:$E,$B69,Database!$C:$C,AF$1,Database!$F:$F,"Total")</f>
        <v>0</v>
      </c>
      <c r="AG69" s="137">
        <f>SUMIFS(Database!$G:$G,Database!$D:$D,"Import",Database!$E:$E,$B69,Database!$C:$C,AG$1,Database!$F:$F,"Total")</f>
        <v>0</v>
      </c>
      <c r="AH69" s="137">
        <f>SUMIFS(Database!$G:$G,Database!$D:$D,"Import",Database!$E:$E,$B69,Database!$C:$C,AH$1,Database!$F:$F,"Total")</f>
        <v>0</v>
      </c>
      <c r="AI69" s="137">
        <f>SUMIFS(Database!$G:$G,Database!$D:$D,"Import",Database!$E:$E,$B69,Database!$C:$C,AI$1,Database!$F:$F,"Total")</f>
        <v>0</v>
      </c>
      <c r="AJ69" s="137">
        <f>SUMIFS(Database!$G:$G,Database!$D:$D,"Import",Database!$E:$E,$B69,Database!$C:$C,AJ$1,Database!$F:$F,"Total")</f>
        <v>46</v>
      </c>
      <c r="AK69" s="137">
        <f>SUMIFS(Database!$G:$G,Database!$D:$D,"Import",Database!$E:$E,$B69,Database!$C:$C,AK$1,Database!$F:$F,"Total")</f>
        <v>97</v>
      </c>
      <c r="AL69" s="137">
        <f>SUMIFS(Database!$G:$G,Database!$D:$D,"Import",Database!$E:$E,$B69,Database!$C:$C,AL$1,Database!$F:$F,"Total")</f>
        <v>152</v>
      </c>
      <c r="AM69" s="137">
        <f>SUMIFS(Database!$G:$G,Database!$D:$D,"Import",Database!$E:$E,$B69,Database!$C:$C,AM$1,Database!$F:$F,"Total")</f>
        <v>0</v>
      </c>
      <c r="AN69" s="137">
        <f>SUMIFS(Database!$G:$G,Database!$D:$D,"Import",Database!$E:$E,$B69,Database!$C:$C,AN$1,Database!$F:$F,"Total")</f>
        <v>0</v>
      </c>
      <c r="AO69" s="137">
        <f>SUMIFS(Database!$G:$G,Database!$D:$D,"Import",Database!$E:$E,$B69,Database!$C:$C,AO$1,Database!$F:$F,"Total")</f>
        <v>0</v>
      </c>
      <c r="AP69" s="137">
        <f>SUMIFS(Database!$G:$G,Database!$D:$D,"Import",Database!$E:$E,$B69,Database!$C:$C,AP$1,Database!$F:$F,"Total")</f>
        <v>0</v>
      </c>
      <c r="AQ69" s="137">
        <f>SUMIFS(Database!$G:$G,Database!$D:$D,"Import",Database!$E:$E,$B69,Database!$C:$C,AQ$1,Database!$F:$F,"Total")</f>
        <v>0</v>
      </c>
      <c r="AR69" s="137">
        <f>SUMIFS(Database!$G:$G,Database!$D:$D,"Import",Database!$E:$E,$B69,Database!$C:$C,AR$1,Database!$F:$F,"Total")</f>
        <v>0</v>
      </c>
      <c r="AS69" s="137">
        <f>SUMIFS(Database!$G:$G,Database!$D:$D,"Import",Database!$E:$E,$B69,Database!$C:$C,AS$1,Database!$F:$F,"Total")</f>
        <v>0</v>
      </c>
      <c r="AT69" s="137">
        <f>SUMIFS(Database!$G:$G,Database!$D:$D,"Import",Database!$E:$E,$B69,Database!$C:$C,AT$1,Database!$F:$F,"Total")</f>
        <v>0</v>
      </c>
      <c r="AU69" s="137">
        <f>SUMIFS(Database!$G:$G,Database!$D:$D,"Import",Database!$E:$E,$B69,Database!$C:$C,AU$1,Database!$F:$F,"Total")</f>
        <v>0</v>
      </c>
      <c r="AV69" s="137">
        <f>SUMIFS(Database!$G:$G,Database!$D:$D,"Import",Database!$E:$E,$B69,Database!$C:$C,AV$1,Database!$F:$F,"Total")</f>
        <v>0</v>
      </c>
      <c r="AW69" s="137">
        <f>SUMIFS(Database!$G:$G,Database!$D:$D,"Import",Database!$E:$E,$B69,Database!$C:$C,AW$1,Database!$F:$F,"Total")</f>
        <v>0</v>
      </c>
      <c r="AX69" s="137">
        <f>SUMIFS(Database!$G:$G,Database!$D:$D,"Import",Database!$E:$E,$B69,Database!$C:$C,AX$1,Database!$F:$F,"Total")</f>
        <v>0</v>
      </c>
      <c r="AY69" s="137">
        <f>SUMIFS(Database!$G:$G,Database!$D:$D,"Import",Database!$E:$E,$B69,Database!$C:$C,AY$1,Database!$F:$F,"Total")</f>
        <v>0</v>
      </c>
      <c r="AZ69" s="137">
        <f>SUMIFS(Database!$G:$G,Database!$D:$D,"Import",Database!$E:$E,$B69,Database!$C:$C,AZ$1,Database!$F:$F,"Total")</f>
        <v>0</v>
      </c>
      <c r="BA69" s="137">
        <f>SUMIFS(Database!$G:$G,Database!$D:$D,"Import",Database!$E:$E,$B69,Database!$C:$C,BA$1,Database!$F:$F,"Total")</f>
        <v>0</v>
      </c>
      <c r="BB69" s="137">
        <f>SUMIFS(Database!$G:$G,Database!$D:$D,"Import",Database!$E:$E,$B69,Database!$C:$C,BB$1,Database!$F:$F,"Total")</f>
        <v>0</v>
      </c>
      <c r="BC69" s="137">
        <f>SUMIFS(Database!$G:$G,Database!$D:$D,"Import",Database!$E:$E,$B69,Database!$C:$C,BC$1,Database!$F:$F,"Total")</f>
        <v>0</v>
      </c>
      <c r="BD69" s="137">
        <f>SUMIFS(Database!$G:$G,Database!$D:$D,"Import",Database!$E:$E,$B69,Database!$C:$C,BD$1,Database!$F:$F,"Total")</f>
        <v>0</v>
      </c>
      <c r="BE69" s="137">
        <f>SUMIFS(Database!$G:$G,Database!$D:$D,"Import",Database!$E:$E,$B69,Database!$C:$C,BE$1,Database!$F:$F,"Total")</f>
        <v>0</v>
      </c>
      <c r="BF69" s="137">
        <f>SUMIFS(Database!$G:$G,Database!$D:$D,"Import",Database!$E:$E,$B69,Database!$C:$C,BF$1,Database!$F:$F,"Total")</f>
        <v>0</v>
      </c>
      <c r="BG69" s="137">
        <f>SUMIFS(Database!$G:$G,Database!$D:$D,"Import",Database!$E:$E,$B69,Database!$C:$C,BG$1,Database!$F:$F,"Total")</f>
        <v>0</v>
      </c>
      <c r="BH69" s="137">
        <f>SUMIFS(Database!$G:$G,Database!$D:$D,"Import",Database!$E:$E,$B69,Database!$C:$C,BH$1,Database!$F:$F,"Total")</f>
        <v>0</v>
      </c>
      <c r="BI69" s="137">
        <f>SUMIFS(Database!$G:$G,Database!$D:$D,"Import",Database!$E:$E,$B69,Database!$C:$C,BI$1,Database!$F:$F,"Total")</f>
        <v>0</v>
      </c>
      <c r="BJ69" s="137">
        <f>SUMIFS(Database!$G:$G,Database!$D:$D,"Import",Database!$E:$E,$B69,Database!$C:$C,BJ$1,Database!$F:$F,"Total")</f>
        <v>0</v>
      </c>
      <c r="BK69" s="137">
        <f>SUMIFS(Database!$G:$G,Database!$D:$D,"Import",Database!$E:$E,$B69,Database!$C:$C,BK$1,Database!$F:$F,"Total")</f>
        <v>0</v>
      </c>
      <c r="BL69" s="137">
        <f>SUMIFS(Database!$G:$G,Database!$D:$D,"Import",Database!$E:$E,$B69,Database!$C:$C,BL$1,Database!$F:$F,"Total")</f>
        <v>0</v>
      </c>
      <c r="BM69" s="137">
        <f>SUMIFS(Database!$G:$G,Database!$D:$D,"Import",Database!$E:$E,$B69,Database!$C:$C,BM$1,Database!$F:$F,"Total")</f>
        <v>0</v>
      </c>
      <c r="BN69" s="137">
        <f>SUMIFS(Database!$G:$G,Database!$D:$D,"Import",Database!$E:$E,$B69,Database!$C:$C,BN$1,Database!$F:$F,"Total")</f>
        <v>0</v>
      </c>
      <c r="BO69" s="137">
        <f>SUMIFS(Database!$G:$G,Database!$D:$D,"Import",Database!$E:$E,$B69,Database!$C:$C,BO$1,Database!$F:$F,"Total")</f>
        <v>0</v>
      </c>
      <c r="BP69" s="137">
        <f>SUMIFS(Database!$G:$G,Database!$D:$D,"Import",Database!$E:$E,$B69,Database!$C:$C,BP$1,Database!$F:$F,"Total")</f>
        <v>0</v>
      </c>
      <c r="BQ69" s="137">
        <f>SUMIFS(Database!$G:$G,Database!$D:$D,"Import",Database!$E:$E,$B69,Database!$C:$C,BQ$1,Database!$F:$F,"Total")</f>
        <v>0</v>
      </c>
      <c r="BR69" s="137">
        <f>SUMIFS(Database!$G:$G,Database!$D:$D,"Import",Database!$E:$E,$B69,Database!$C:$C,BR$1,Database!$F:$F,"Total")</f>
        <v>0</v>
      </c>
      <c r="BS69" s="137">
        <f>SUMIFS(Database!$G:$G,Database!$D:$D,"Import",Database!$E:$E,$B69,Database!$C:$C,BS$1,Database!$F:$F,"Total")</f>
        <v>0</v>
      </c>
      <c r="BT69" s="137">
        <f>SUMIFS(Database!$G:$G,Database!$D:$D,"Import",Database!$E:$E,$B69,Database!$C:$C,BT$1,Database!$F:$F,"Total")</f>
        <v>0</v>
      </c>
      <c r="BU69" s="137">
        <f>SUMIFS(Database!$G:$G,Database!$D:$D,"Import",Database!$E:$E,$B69,Database!$C:$C,BU$1,Database!$F:$F,"Total")</f>
        <v>0</v>
      </c>
      <c r="BV69" s="137">
        <f>SUMIFS(Database!$G:$G,Database!$D:$D,"Import",Database!$E:$E,$B69,Database!$C:$C,BV$1,Database!$F:$F,"Total")</f>
        <v>0</v>
      </c>
      <c r="BW69" s="137">
        <f>SUMIFS(Database!$G:$G,Database!$D:$D,"Import",Database!$E:$E,$B69,Database!$C:$C,BW$1,Database!$F:$F,"Total")</f>
        <v>0</v>
      </c>
      <c r="BX69" s="137">
        <f>SUMIFS(Database!$G:$G,Database!$D:$D,"Import",Database!$E:$E,$B69,Database!$C:$C,BX$1,Database!$F:$F,"Total")</f>
        <v>0</v>
      </c>
      <c r="BY69" s="137">
        <f>SUMIFS(Database!$G:$G,Database!$D:$D,"Import",Database!$E:$E,$B69,Database!$C:$C,BY$1,Database!$F:$F,"Total")</f>
        <v>0</v>
      </c>
      <c r="BZ69" s="137">
        <f>SUMIFS(Database!$G:$G,Database!$D:$D,"Import",Database!$E:$E,$B69,Database!$C:$C,BZ$1,Database!$F:$F,"Total")</f>
        <v>0</v>
      </c>
      <c r="CA69" s="137">
        <f>SUMIFS(Database!$G:$G,Database!$D:$D,"Import",Database!$E:$E,$B69,Database!$C:$C,CA$1,Database!$F:$F,"Total")</f>
        <v>0</v>
      </c>
      <c r="CB69" s="137">
        <f>SUMIFS(Database!$G:$G,Database!$D:$D,"Import",Database!$E:$E,$B69,Database!$C:$C,CB$1,Database!$F:$F,"Total")</f>
        <v>0</v>
      </c>
      <c r="CC69" s="137">
        <f>SUMIFS(Database!$G:$G,Database!$D:$D,"Import",Database!$E:$E,$B69,Database!$C:$C,CC$1,Database!$F:$F,"Total")</f>
        <v>0</v>
      </c>
      <c r="CD69" s="137">
        <f>SUMIFS(Database!$G:$G,Database!$D:$D,"Import",Database!$E:$E,$B69,Database!$C:$C,CD$1,Database!$F:$F,"Total")</f>
        <v>0</v>
      </c>
      <c r="CE69" s="137">
        <f>SUMIFS(Database!$G:$G,Database!$D:$D,"Import",Database!$E:$E,$B69,Database!$C:$C,CE$1,Database!$F:$F,"Total")</f>
        <v>0</v>
      </c>
      <c r="CF69" s="137">
        <f>SUMIFS(Database!$G:$G,Database!$D:$D,"Import",Database!$E:$E,$B69,Database!$C:$C,CF$1,Database!$F:$F,"Total")</f>
        <v>0</v>
      </c>
      <c r="CG69" s="137">
        <f>SUMIFS(Database!$G:$G,Database!$D:$D,"Import",Database!$E:$E,$B69,Database!$C:$C,CG$1,Database!$F:$F,"Total")</f>
        <v>0</v>
      </c>
      <c r="CH69" s="137">
        <f>SUMIFS(Database!$G:$G,Database!$D:$D,"Import",Database!$E:$E,$B69,Database!$C:$C,CH$1,Database!$F:$F,"Total")</f>
        <v>0</v>
      </c>
      <c r="CI69" s="137">
        <f>SUMIFS(Database!$G:$G,Database!$D:$D,"Import",Database!$E:$E,$B69,Database!$C:$C,CI$1,Database!$F:$F,"Total")</f>
        <v>0</v>
      </c>
      <c r="CJ69" s="137">
        <f>SUMIFS(Database!$G:$G,Database!$D:$D,"Import",Database!$E:$E,$B69,Database!$C:$C,CJ$1,Database!$F:$F,"Total")</f>
        <v>0</v>
      </c>
      <c r="CK69" s="137">
        <f>SUMIFS(Database!$G:$G,Database!$D:$D,"Import",Database!$E:$E,$B69,Database!$C:$C,CK$1,Database!$F:$F,"Total")</f>
        <v>0</v>
      </c>
      <c r="CL69" s="137">
        <f>SUMIFS(Database!$G:$G,Database!$D:$D,"Import",Database!$E:$E,$B69,Database!$C:$C,CL$1,Database!$F:$F,"Total")</f>
        <v>0</v>
      </c>
      <c r="CM69" s="137">
        <f>SUMIFS(Database!$G:$G,Database!$D:$D,"Import",Database!$E:$E,$B69,Database!$C:$C,CM$1,Database!$F:$F,"Total")</f>
        <v>0</v>
      </c>
      <c r="CN69" s="137">
        <f>SUMIFS(Database!$G:$G,Database!$D:$D,"Import",Database!$E:$E,$B69,Database!$C:$C,CN$1,Database!$F:$F,"Total")</f>
        <v>0</v>
      </c>
      <c r="CO69" s="137">
        <f>SUMIFS(Database!$G:$G,Database!$D:$D,"Import",Database!$E:$E,$B69,Database!$C:$C,CO$1,Database!$F:$F,"Total")</f>
        <v>0</v>
      </c>
      <c r="CP69" s="137">
        <f>SUMIFS(Database!$G:$G,Database!$D:$D,"Import",Database!$E:$E,$B69,Database!$C:$C,CP$1,Database!$F:$F,"Total")</f>
        <v>0</v>
      </c>
      <c r="CQ69" s="137">
        <f>SUMIFS(Database!$G:$G,Database!$D:$D,"Import",Database!$E:$E,$B69,Database!$C:$C,CQ$1,Database!$F:$F,"Total")</f>
        <v>0</v>
      </c>
      <c r="CR69" s="137">
        <f>SUMIFS(Database!$G:$G,Database!$D:$D,"Import",Database!$E:$E,$B69,Database!$C:$C,CR$1,Database!$F:$F,"Total")</f>
        <v>0</v>
      </c>
      <c r="CS69" s="137">
        <f>SUMIFS(Database!$G:$G,Database!$D:$D,"Import",Database!$E:$E,$B69,Database!$C:$C,CS$1,Database!$F:$F,"Total")</f>
        <v>0</v>
      </c>
      <c r="CT69" s="137">
        <f>SUMIFS(Database!$G:$G,Database!$D:$D,"Import",Database!$E:$E,$B69,Database!$C:$C,CT$1,Database!$F:$F,"Total")</f>
        <v>0</v>
      </c>
      <c r="CU69" s="137">
        <f>SUMIFS(Database!$G:$G,Database!$D:$D,"Import",Database!$E:$E,$B69,Database!$C:$C,CU$1,Database!$F:$F,"Total")</f>
        <v>0</v>
      </c>
    </row>
    <row r="70" spans="1:99" x14ac:dyDescent="0.25">
      <c r="A70" s="132" t="s">
        <v>484</v>
      </c>
      <c r="B70" s="133" t="s">
        <v>83</v>
      </c>
      <c r="C70" s="137">
        <f>SUMIFS(Database!$G:$G,Database!$D:$D,"Import",Database!$E:$E,$B70,Database!$C:$C,C$1,Database!$F:$F,"Total")</f>
        <v>0</v>
      </c>
      <c r="D70" s="137">
        <f>SUMIFS(Database!$G:$G,Database!$D:$D,"Import",Database!$E:$E,$B70,Database!$C:$C,D$1,Database!$F:$F,"Total")</f>
        <v>0</v>
      </c>
      <c r="E70" s="137">
        <f>SUMIFS(Database!$G:$G,Database!$D:$D,"Import",Database!$E:$E,$B70,Database!$C:$C,E$1,Database!$F:$F,"Total")</f>
        <v>0</v>
      </c>
      <c r="F70" s="137">
        <f>SUMIFS(Database!$G:$G,Database!$D:$D,"Import",Database!$E:$E,$B70,Database!$C:$C,F$1,Database!$F:$F,"Total")</f>
        <v>0</v>
      </c>
      <c r="G70" s="137">
        <f>SUMIFS(Database!$G:$G,Database!$D:$D,"Import",Database!$E:$E,$B70,Database!$C:$C,G$1,Database!$F:$F,"Total")</f>
        <v>0</v>
      </c>
      <c r="H70" s="137">
        <f>SUMIFS(Database!$G:$G,Database!$D:$D,"Import",Database!$E:$E,$B70,Database!$C:$C,H$1,Database!$F:$F,"Total")</f>
        <v>0</v>
      </c>
      <c r="I70" s="137">
        <f>SUMIFS(Database!$G:$G,Database!$D:$D,"Import",Database!$E:$E,$B70,Database!$C:$C,I$1,Database!$F:$F,"Total")</f>
        <v>0</v>
      </c>
      <c r="J70" s="137">
        <f>SUMIFS(Database!$G:$G,Database!$D:$D,"Import",Database!$E:$E,$B70,Database!$C:$C,J$1,Database!$F:$F,"Total")</f>
        <v>0</v>
      </c>
      <c r="K70" s="137">
        <f>SUMIFS(Database!$G:$G,Database!$D:$D,"Import",Database!$E:$E,$B70,Database!$C:$C,K$1,Database!$F:$F,"Total")</f>
        <v>0</v>
      </c>
      <c r="L70" s="137">
        <f>SUMIFS(Database!$G:$G,Database!$D:$D,"Import",Database!$E:$E,$B70,Database!$C:$C,L$1,Database!$F:$F,"Total")</f>
        <v>0</v>
      </c>
      <c r="M70" s="137">
        <f>SUMIFS(Database!$G:$G,Database!$D:$D,"Import",Database!$E:$E,$B70,Database!$C:$C,M$1,Database!$F:$F,"Total")</f>
        <v>0</v>
      </c>
      <c r="N70" s="137">
        <f>SUMIFS(Database!$G:$G,Database!$D:$D,"Import",Database!$E:$E,$B70,Database!$C:$C,N$1,Database!$F:$F,"Total")</f>
        <v>0</v>
      </c>
      <c r="O70" s="137">
        <f>SUMIFS(Database!$G:$G,Database!$D:$D,"Import",Database!$E:$E,$B70,Database!$C:$C,O$1,Database!$F:$F,"Total")</f>
        <v>0</v>
      </c>
      <c r="P70" s="137">
        <f>SUMIFS(Database!$G:$G,Database!$D:$D,"Import",Database!$E:$E,$B70,Database!$C:$C,P$1,Database!$F:$F,"Total")</f>
        <v>0</v>
      </c>
      <c r="Q70" s="137">
        <f>SUMIFS(Database!$G:$G,Database!$D:$D,"Import",Database!$E:$E,$B70,Database!$C:$C,Q$1,Database!$F:$F,"Total")</f>
        <v>0</v>
      </c>
      <c r="R70" s="137">
        <f>SUMIFS(Database!$G:$G,Database!$D:$D,"Import",Database!$E:$E,$B70,Database!$C:$C,R$1,Database!$F:$F,"Total")</f>
        <v>0</v>
      </c>
      <c r="S70" s="137">
        <f>SUMIFS(Database!$G:$G,Database!$D:$D,"Import",Database!$E:$E,$B70,Database!$C:$C,S$1,Database!$F:$F,"Total")</f>
        <v>0</v>
      </c>
      <c r="T70" s="137">
        <f>SUMIFS(Database!$G:$G,Database!$D:$D,"Import",Database!$E:$E,$B70,Database!$C:$C,T$1,Database!$F:$F,"Total")</f>
        <v>0</v>
      </c>
      <c r="U70" s="137">
        <f>SUMIFS(Database!$G:$G,Database!$D:$D,"Import",Database!$E:$E,$B70,Database!$C:$C,U$1,Database!$F:$F,"Total")</f>
        <v>0</v>
      </c>
      <c r="V70" s="137">
        <f>SUMIFS(Database!$G:$G,Database!$D:$D,"Import",Database!$E:$E,$B70,Database!$C:$C,V$1,Database!$F:$F,"Total")</f>
        <v>0</v>
      </c>
      <c r="W70" s="137">
        <f>SUMIFS(Database!$G:$G,Database!$D:$D,"Import",Database!$E:$E,$B70,Database!$C:$C,W$1,Database!$F:$F,"Total")</f>
        <v>0</v>
      </c>
      <c r="X70" s="137">
        <f>SUMIFS(Database!$G:$G,Database!$D:$D,"Import",Database!$E:$E,$B70,Database!$C:$C,X$1,Database!$F:$F,"Total")</f>
        <v>0</v>
      </c>
      <c r="Y70" s="137">
        <f>SUMIFS(Database!$G:$G,Database!$D:$D,"Import",Database!$E:$E,$B70,Database!$C:$C,Y$1,Database!$F:$F,"Total")</f>
        <v>0</v>
      </c>
      <c r="Z70" s="137">
        <f>SUMIFS(Database!$G:$G,Database!$D:$D,"Import",Database!$E:$E,$B70,Database!$C:$C,Z$1,Database!$F:$F,"Total")</f>
        <v>0</v>
      </c>
      <c r="AA70" s="137">
        <f>SUMIFS(Database!$G:$G,Database!$D:$D,"Import",Database!$E:$E,$B70,Database!$C:$C,AA$1,Database!$F:$F,"Total")</f>
        <v>0</v>
      </c>
      <c r="AB70" s="137">
        <f>SUMIFS(Database!$G:$G,Database!$D:$D,"Import",Database!$E:$E,$B70,Database!$C:$C,AB$1,Database!$F:$F,"Total")</f>
        <v>0</v>
      </c>
      <c r="AC70" s="137">
        <f>SUMIFS(Database!$G:$G,Database!$D:$D,"Import",Database!$E:$E,$B70,Database!$C:$C,AC$1,Database!$F:$F,"Total")</f>
        <v>0</v>
      </c>
      <c r="AD70" s="137">
        <f>SUMIFS(Database!$G:$G,Database!$D:$D,"Import",Database!$E:$E,$B70,Database!$C:$C,AD$1,Database!$F:$F,"Total")</f>
        <v>0</v>
      </c>
      <c r="AE70" s="137">
        <f>SUMIFS(Database!$G:$G,Database!$D:$D,"Import",Database!$E:$E,$B70,Database!$C:$C,AE$1,Database!$F:$F,"Total")</f>
        <v>0</v>
      </c>
      <c r="AF70" s="137">
        <f>SUMIFS(Database!$G:$G,Database!$D:$D,"Import",Database!$E:$E,$B70,Database!$C:$C,AF$1,Database!$F:$F,"Total")</f>
        <v>0</v>
      </c>
      <c r="AG70" s="137">
        <f>SUMIFS(Database!$G:$G,Database!$D:$D,"Import",Database!$E:$E,$B70,Database!$C:$C,AG$1,Database!$F:$F,"Total")</f>
        <v>0</v>
      </c>
      <c r="AH70" s="137">
        <f>SUMIFS(Database!$G:$G,Database!$D:$D,"Import",Database!$E:$E,$B70,Database!$C:$C,AH$1,Database!$F:$F,"Total")</f>
        <v>0</v>
      </c>
      <c r="AI70" s="137">
        <f>SUMIFS(Database!$G:$G,Database!$D:$D,"Import",Database!$E:$E,$B70,Database!$C:$C,AI$1,Database!$F:$F,"Total")</f>
        <v>0</v>
      </c>
      <c r="AJ70" s="137">
        <f>SUMIFS(Database!$G:$G,Database!$D:$D,"Import",Database!$E:$E,$B70,Database!$C:$C,AJ$1,Database!$F:$F,"Total")</f>
        <v>180000</v>
      </c>
      <c r="AK70" s="137">
        <f>SUMIFS(Database!$G:$G,Database!$D:$D,"Import",Database!$E:$E,$B70,Database!$C:$C,AK$1,Database!$F:$F,"Total")</f>
        <v>0</v>
      </c>
      <c r="AL70" s="137">
        <f>SUMIFS(Database!$G:$G,Database!$D:$D,"Import",Database!$E:$E,$B70,Database!$C:$C,AL$1,Database!$F:$F,"Total")</f>
        <v>0</v>
      </c>
      <c r="AM70" s="137">
        <f>SUMIFS(Database!$G:$G,Database!$D:$D,"Import",Database!$E:$E,$B70,Database!$C:$C,AM$1,Database!$F:$F,"Total")</f>
        <v>0</v>
      </c>
      <c r="AN70" s="137">
        <f>SUMIFS(Database!$G:$G,Database!$D:$D,"Import",Database!$E:$E,$B70,Database!$C:$C,AN$1,Database!$F:$F,"Total")</f>
        <v>0</v>
      </c>
      <c r="AO70" s="137">
        <f>SUMIFS(Database!$G:$G,Database!$D:$D,"Import",Database!$E:$E,$B70,Database!$C:$C,AO$1,Database!$F:$F,"Total")</f>
        <v>0</v>
      </c>
      <c r="AP70" s="137">
        <f>SUMIFS(Database!$G:$G,Database!$D:$D,"Import",Database!$E:$E,$B70,Database!$C:$C,AP$1,Database!$F:$F,"Total")</f>
        <v>0</v>
      </c>
      <c r="AQ70" s="137">
        <f>SUMIFS(Database!$G:$G,Database!$D:$D,"Import",Database!$E:$E,$B70,Database!$C:$C,AQ$1,Database!$F:$F,"Total")</f>
        <v>0</v>
      </c>
      <c r="AR70" s="137">
        <f>SUMIFS(Database!$G:$G,Database!$D:$D,"Import",Database!$E:$E,$B70,Database!$C:$C,AR$1,Database!$F:$F,"Total")</f>
        <v>0</v>
      </c>
      <c r="AS70" s="137">
        <f>SUMIFS(Database!$G:$G,Database!$D:$D,"Import",Database!$E:$E,$B70,Database!$C:$C,AS$1,Database!$F:$F,"Total")</f>
        <v>0</v>
      </c>
      <c r="AT70" s="137">
        <f>SUMIFS(Database!$G:$G,Database!$D:$D,"Import",Database!$E:$E,$B70,Database!$C:$C,AT$1,Database!$F:$F,"Total")</f>
        <v>0</v>
      </c>
      <c r="AU70" s="137">
        <f>SUMIFS(Database!$G:$G,Database!$D:$D,"Import",Database!$E:$E,$B70,Database!$C:$C,AU$1,Database!$F:$F,"Total")</f>
        <v>0</v>
      </c>
      <c r="AV70" s="137">
        <f>SUMIFS(Database!$G:$G,Database!$D:$D,"Import",Database!$E:$E,$B70,Database!$C:$C,AV$1,Database!$F:$F,"Total")</f>
        <v>0</v>
      </c>
      <c r="AW70" s="137">
        <f>SUMIFS(Database!$G:$G,Database!$D:$D,"Import",Database!$E:$E,$B70,Database!$C:$C,AW$1,Database!$F:$F,"Total")</f>
        <v>0</v>
      </c>
      <c r="AX70" s="137">
        <f>SUMIFS(Database!$G:$G,Database!$D:$D,"Import",Database!$E:$E,$B70,Database!$C:$C,AX$1,Database!$F:$F,"Total")</f>
        <v>0</v>
      </c>
      <c r="AY70" s="137">
        <f>SUMIFS(Database!$G:$G,Database!$D:$D,"Import",Database!$E:$E,$B70,Database!$C:$C,AY$1,Database!$F:$F,"Total")</f>
        <v>0</v>
      </c>
      <c r="AZ70" s="137">
        <f>SUMIFS(Database!$G:$G,Database!$D:$D,"Import",Database!$E:$E,$B70,Database!$C:$C,AZ$1,Database!$F:$F,"Total")</f>
        <v>0</v>
      </c>
      <c r="BA70" s="137">
        <f>SUMIFS(Database!$G:$G,Database!$D:$D,"Import",Database!$E:$E,$B70,Database!$C:$C,BA$1,Database!$F:$F,"Total")</f>
        <v>0</v>
      </c>
      <c r="BB70" s="137">
        <f>SUMIFS(Database!$G:$G,Database!$D:$D,"Import",Database!$E:$E,$B70,Database!$C:$C,BB$1,Database!$F:$F,"Total")</f>
        <v>0</v>
      </c>
      <c r="BC70" s="137">
        <f>SUMIFS(Database!$G:$G,Database!$D:$D,"Import",Database!$E:$E,$B70,Database!$C:$C,BC$1,Database!$F:$F,"Total")</f>
        <v>0</v>
      </c>
      <c r="BD70" s="137">
        <f>SUMIFS(Database!$G:$G,Database!$D:$D,"Import",Database!$E:$E,$B70,Database!$C:$C,BD$1,Database!$F:$F,"Total")</f>
        <v>0</v>
      </c>
      <c r="BE70" s="137">
        <f>SUMIFS(Database!$G:$G,Database!$D:$D,"Import",Database!$E:$E,$B70,Database!$C:$C,BE$1,Database!$F:$F,"Total")</f>
        <v>0</v>
      </c>
      <c r="BF70" s="137">
        <f>SUMIFS(Database!$G:$G,Database!$D:$D,"Import",Database!$E:$E,$B70,Database!$C:$C,BF$1,Database!$F:$F,"Total")</f>
        <v>0</v>
      </c>
      <c r="BG70" s="137">
        <f>SUMIFS(Database!$G:$G,Database!$D:$D,"Import",Database!$E:$E,$B70,Database!$C:$C,BG$1,Database!$F:$F,"Total")</f>
        <v>0</v>
      </c>
      <c r="BH70" s="137">
        <f>SUMIFS(Database!$G:$G,Database!$D:$D,"Import",Database!$E:$E,$B70,Database!$C:$C,BH$1,Database!$F:$F,"Total")</f>
        <v>0</v>
      </c>
      <c r="BI70" s="137">
        <f>SUMIFS(Database!$G:$G,Database!$D:$D,"Import",Database!$E:$E,$B70,Database!$C:$C,BI$1,Database!$F:$F,"Total")</f>
        <v>0</v>
      </c>
      <c r="BJ70" s="137">
        <f>SUMIFS(Database!$G:$G,Database!$D:$D,"Import",Database!$E:$E,$B70,Database!$C:$C,BJ$1,Database!$F:$F,"Total")</f>
        <v>0</v>
      </c>
      <c r="BK70" s="137">
        <f>SUMIFS(Database!$G:$G,Database!$D:$D,"Import",Database!$E:$E,$B70,Database!$C:$C,BK$1,Database!$F:$F,"Total")</f>
        <v>0</v>
      </c>
      <c r="BL70" s="137">
        <f>SUMIFS(Database!$G:$G,Database!$D:$D,"Import",Database!$E:$E,$B70,Database!$C:$C,BL$1,Database!$F:$F,"Total")</f>
        <v>0</v>
      </c>
      <c r="BM70" s="137">
        <f>SUMIFS(Database!$G:$G,Database!$D:$D,"Import",Database!$E:$E,$B70,Database!$C:$C,BM$1,Database!$F:$F,"Total")</f>
        <v>0</v>
      </c>
      <c r="BN70" s="137">
        <f>SUMIFS(Database!$G:$G,Database!$D:$D,"Import",Database!$E:$E,$B70,Database!$C:$C,BN$1,Database!$F:$F,"Total")</f>
        <v>0</v>
      </c>
      <c r="BO70" s="137">
        <f>SUMIFS(Database!$G:$G,Database!$D:$D,"Import",Database!$E:$E,$B70,Database!$C:$C,BO$1,Database!$F:$F,"Total")</f>
        <v>0</v>
      </c>
      <c r="BP70" s="137">
        <f>SUMIFS(Database!$G:$G,Database!$D:$D,"Import",Database!$E:$E,$B70,Database!$C:$C,BP$1,Database!$F:$F,"Total")</f>
        <v>0</v>
      </c>
      <c r="BQ70" s="137">
        <f>SUMIFS(Database!$G:$G,Database!$D:$D,"Import",Database!$E:$E,$B70,Database!$C:$C,BQ$1,Database!$F:$F,"Total")</f>
        <v>0</v>
      </c>
      <c r="BR70" s="137">
        <f>SUMIFS(Database!$G:$G,Database!$D:$D,"Import",Database!$E:$E,$B70,Database!$C:$C,BR$1,Database!$F:$F,"Total")</f>
        <v>0</v>
      </c>
      <c r="BS70" s="137">
        <f>SUMIFS(Database!$G:$G,Database!$D:$D,"Import",Database!$E:$E,$B70,Database!$C:$C,BS$1,Database!$F:$F,"Total")</f>
        <v>0</v>
      </c>
      <c r="BT70" s="137">
        <f>SUMIFS(Database!$G:$G,Database!$D:$D,"Import",Database!$E:$E,$B70,Database!$C:$C,BT$1,Database!$F:$F,"Total")</f>
        <v>0</v>
      </c>
      <c r="BU70" s="137">
        <f>SUMIFS(Database!$G:$G,Database!$D:$D,"Import",Database!$E:$E,$B70,Database!$C:$C,BU$1,Database!$F:$F,"Total")</f>
        <v>0</v>
      </c>
      <c r="BV70" s="137">
        <f>SUMIFS(Database!$G:$G,Database!$D:$D,"Import",Database!$E:$E,$B70,Database!$C:$C,BV$1,Database!$F:$F,"Total")</f>
        <v>0</v>
      </c>
      <c r="BW70" s="137">
        <f>SUMIFS(Database!$G:$G,Database!$D:$D,"Import",Database!$E:$E,$B70,Database!$C:$C,BW$1,Database!$F:$F,"Total")</f>
        <v>0</v>
      </c>
      <c r="BX70" s="137">
        <f>SUMIFS(Database!$G:$G,Database!$D:$D,"Import",Database!$E:$E,$B70,Database!$C:$C,BX$1,Database!$F:$F,"Total")</f>
        <v>0</v>
      </c>
      <c r="BY70" s="137">
        <f>SUMIFS(Database!$G:$G,Database!$D:$D,"Import",Database!$E:$E,$B70,Database!$C:$C,BY$1,Database!$F:$F,"Total")</f>
        <v>0</v>
      </c>
      <c r="BZ70" s="137">
        <f>SUMIFS(Database!$G:$G,Database!$D:$D,"Import",Database!$E:$E,$B70,Database!$C:$C,BZ$1,Database!$F:$F,"Total")</f>
        <v>0</v>
      </c>
      <c r="CA70" s="137">
        <f>SUMIFS(Database!$G:$G,Database!$D:$D,"Import",Database!$E:$E,$B70,Database!$C:$C,CA$1,Database!$F:$F,"Total")</f>
        <v>0</v>
      </c>
      <c r="CB70" s="137">
        <f>SUMIFS(Database!$G:$G,Database!$D:$D,"Import",Database!$E:$E,$B70,Database!$C:$C,CB$1,Database!$F:$F,"Total")</f>
        <v>0</v>
      </c>
      <c r="CC70" s="137">
        <f>SUMIFS(Database!$G:$G,Database!$D:$D,"Import",Database!$E:$E,$B70,Database!$C:$C,CC$1,Database!$F:$F,"Total")</f>
        <v>0</v>
      </c>
      <c r="CD70" s="137">
        <f>SUMIFS(Database!$G:$G,Database!$D:$D,"Import",Database!$E:$E,$B70,Database!$C:$C,CD$1,Database!$F:$F,"Total")</f>
        <v>0</v>
      </c>
      <c r="CE70" s="137">
        <f>SUMIFS(Database!$G:$G,Database!$D:$D,"Import",Database!$E:$E,$B70,Database!$C:$C,CE$1,Database!$F:$F,"Total")</f>
        <v>0</v>
      </c>
      <c r="CF70" s="137">
        <f>SUMIFS(Database!$G:$G,Database!$D:$D,"Import",Database!$E:$E,$B70,Database!$C:$C,CF$1,Database!$F:$F,"Total")</f>
        <v>0</v>
      </c>
      <c r="CG70" s="137">
        <f>SUMIFS(Database!$G:$G,Database!$D:$D,"Import",Database!$E:$E,$B70,Database!$C:$C,CG$1,Database!$F:$F,"Total")</f>
        <v>0</v>
      </c>
      <c r="CH70" s="137">
        <f>SUMIFS(Database!$G:$G,Database!$D:$D,"Import",Database!$E:$E,$B70,Database!$C:$C,CH$1,Database!$F:$F,"Total")</f>
        <v>0</v>
      </c>
      <c r="CI70" s="137">
        <f>SUMIFS(Database!$G:$G,Database!$D:$D,"Import",Database!$E:$E,$B70,Database!$C:$C,CI$1,Database!$F:$F,"Total")</f>
        <v>0</v>
      </c>
      <c r="CJ70" s="137">
        <f>SUMIFS(Database!$G:$G,Database!$D:$D,"Import",Database!$E:$E,$B70,Database!$C:$C,CJ$1,Database!$F:$F,"Total")</f>
        <v>0</v>
      </c>
      <c r="CK70" s="137">
        <f>SUMIFS(Database!$G:$G,Database!$D:$D,"Import",Database!$E:$E,$B70,Database!$C:$C,CK$1,Database!$F:$F,"Total")</f>
        <v>0</v>
      </c>
      <c r="CL70" s="137">
        <f>SUMIFS(Database!$G:$G,Database!$D:$D,"Import",Database!$E:$E,$B70,Database!$C:$C,CL$1,Database!$F:$F,"Total")</f>
        <v>0</v>
      </c>
      <c r="CM70" s="137">
        <f>SUMIFS(Database!$G:$G,Database!$D:$D,"Import",Database!$E:$E,$B70,Database!$C:$C,CM$1,Database!$F:$F,"Total")</f>
        <v>0</v>
      </c>
      <c r="CN70" s="137">
        <f>SUMIFS(Database!$G:$G,Database!$D:$D,"Import",Database!$E:$E,$B70,Database!$C:$C,CN$1,Database!$F:$F,"Total")</f>
        <v>0</v>
      </c>
      <c r="CO70" s="137">
        <f>SUMIFS(Database!$G:$G,Database!$D:$D,"Import",Database!$E:$E,$B70,Database!$C:$C,CO$1,Database!$F:$F,"Total")</f>
        <v>0</v>
      </c>
      <c r="CP70" s="137">
        <f>SUMIFS(Database!$G:$G,Database!$D:$D,"Import",Database!$E:$E,$B70,Database!$C:$C,CP$1,Database!$F:$F,"Total")</f>
        <v>0</v>
      </c>
      <c r="CQ70" s="137">
        <f>SUMIFS(Database!$G:$G,Database!$D:$D,"Import",Database!$E:$E,$B70,Database!$C:$C,CQ$1,Database!$F:$F,"Total")</f>
        <v>0</v>
      </c>
      <c r="CR70" s="137">
        <f>SUMIFS(Database!$G:$G,Database!$D:$D,"Import",Database!$E:$E,$B70,Database!$C:$C,CR$1,Database!$F:$F,"Total")</f>
        <v>0</v>
      </c>
      <c r="CS70" s="137">
        <f>SUMIFS(Database!$G:$G,Database!$D:$D,"Import",Database!$E:$E,$B70,Database!$C:$C,CS$1,Database!$F:$F,"Total")</f>
        <v>0</v>
      </c>
      <c r="CT70" s="137">
        <f>SUMIFS(Database!$G:$G,Database!$D:$D,"Import",Database!$E:$E,$B70,Database!$C:$C,CT$1,Database!$F:$F,"Total")</f>
        <v>0</v>
      </c>
      <c r="CU70" s="137">
        <f>SUMIFS(Database!$G:$G,Database!$D:$D,"Import",Database!$E:$E,$B70,Database!$C:$C,CU$1,Database!$F:$F,"Total")</f>
        <v>0</v>
      </c>
    </row>
    <row r="71" spans="1:99" x14ac:dyDescent="0.25">
      <c r="A71" s="132" t="s">
        <v>484</v>
      </c>
      <c r="B71" s="133" t="s">
        <v>398</v>
      </c>
      <c r="C71" s="137">
        <f>SUMIFS(Database!$G:$G,Database!$D:$D,"Import",Database!$E:$E,$B71,Database!$C:$C,C$1,Database!$F:$F,"Total")</f>
        <v>0</v>
      </c>
      <c r="D71" s="137">
        <f>SUMIFS(Database!$G:$G,Database!$D:$D,"Import",Database!$E:$E,$B71,Database!$C:$C,D$1,Database!$F:$F,"Total")</f>
        <v>0</v>
      </c>
      <c r="E71" s="137">
        <f>SUMIFS(Database!$G:$G,Database!$D:$D,"Import",Database!$E:$E,$B71,Database!$C:$C,E$1,Database!$F:$F,"Total")</f>
        <v>0</v>
      </c>
      <c r="F71" s="137">
        <f>SUMIFS(Database!$G:$G,Database!$D:$D,"Import",Database!$E:$E,$B71,Database!$C:$C,F$1,Database!$F:$F,"Total")</f>
        <v>0</v>
      </c>
      <c r="G71" s="137">
        <f>SUMIFS(Database!$G:$G,Database!$D:$D,"Import",Database!$E:$E,$B71,Database!$C:$C,G$1,Database!$F:$F,"Total")</f>
        <v>0</v>
      </c>
      <c r="H71" s="137">
        <f>SUMIFS(Database!$G:$G,Database!$D:$D,"Import",Database!$E:$E,$B71,Database!$C:$C,H$1,Database!$F:$F,"Total")</f>
        <v>0</v>
      </c>
      <c r="I71" s="137">
        <f>SUMIFS(Database!$G:$G,Database!$D:$D,"Import",Database!$E:$E,$B71,Database!$C:$C,I$1,Database!$F:$F,"Total")</f>
        <v>0</v>
      </c>
      <c r="J71" s="137">
        <f>SUMIFS(Database!$G:$G,Database!$D:$D,"Import",Database!$E:$E,$B71,Database!$C:$C,J$1,Database!$F:$F,"Total")</f>
        <v>0</v>
      </c>
      <c r="K71" s="137">
        <f>SUMIFS(Database!$G:$G,Database!$D:$D,"Import",Database!$E:$E,$B71,Database!$C:$C,K$1,Database!$F:$F,"Total")</f>
        <v>0</v>
      </c>
      <c r="L71" s="137">
        <f>SUMIFS(Database!$G:$G,Database!$D:$D,"Import",Database!$E:$E,$B71,Database!$C:$C,L$1,Database!$F:$F,"Total")</f>
        <v>0</v>
      </c>
      <c r="M71" s="137">
        <f>SUMIFS(Database!$G:$G,Database!$D:$D,"Import",Database!$E:$E,$B71,Database!$C:$C,M$1,Database!$F:$F,"Total")</f>
        <v>0</v>
      </c>
      <c r="N71" s="137">
        <f>SUMIFS(Database!$G:$G,Database!$D:$D,"Import",Database!$E:$E,$B71,Database!$C:$C,N$1,Database!$F:$F,"Total")</f>
        <v>0</v>
      </c>
      <c r="O71" s="137">
        <f>SUMIFS(Database!$G:$G,Database!$D:$D,"Import",Database!$E:$E,$B71,Database!$C:$C,O$1,Database!$F:$F,"Total")</f>
        <v>0</v>
      </c>
      <c r="P71" s="137">
        <f>SUMIFS(Database!$G:$G,Database!$D:$D,"Import",Database!$E:$E,$B71,Database!$C:$C,P$1,Database!$F:$F,"Total")</f>
        <v>0</v>
      </c>
      <c r="Q71" s="137">
        <f>SUMIFS(Database!$G:$G,Database!$D:$D,"Import",Database!$E:$E,$B71,Database!$C:$C,Q$1,Database!$F:$F,"Total")</f>
        <v>0</v>
      </c>
      <c r="R71" s="137">
        <f>SUMIFS(Database!$G:$G,Database!$D:$D,"Import",Database!$E:$E,$B71,Database!$C:$C,R$1,Database!$F:$F,"Total")</f>
        <v>0</v>
      </c>
      <c r="S71" s="137">
        <f>SUMIFS(Database!$G:$G,Database!$D:$D,"Import",Database!$E:$E,$B71,Database!$C:$C,S$1,Database!$F:$F,"Total")</f>
        <v>0</v>
      </c>
      <c r="T71" s="137">
        <f>SUMIFS(Database!$G:$G,Database!$D:$D,"Import",Database!$E:$E,$B71,Database!$C:$C,T$1,Database!$F:$F,"Total")</f>
        <v>0</v>
      </c>
      <c r="U71" s="137">
        <f>SUMIFS(Database!$G:$G,Database!$D:$D,"Import",Database!$E:$E,$B71,Database!$C:$C,U$1,Database!$F:$F,"Total")</f>
        <v>0</v>
      </c>
      <c r="V71" s="137">
        <f>SUMIFS(Database!$G:$G,Database!$D:$D,"Import",Database!$E:$E,$B71,Database!$C:$C,V$1,Database!$F:$F,"Total")</f>
        <v>0</v>
      </c>
      <c r="W71" s="137">
        <f>SUMIFS(Database!$G:$G,Database!$D:$D,"Import",Database!$E:$E,$B71,Database!$C:$C,W$1,Database!$F:$F,"Total")</f>
        <v>0</v>
      </c>
      <c r="X71" s="137">
        <f>SUMIFS(Database!$G:$G,Database!$D:$D,"Import",Database!$E:$E,$B71,Database!$C:$C,X$1,Database!$F:$F,"Total")</f>
        <v>0</v>
      </c>
      <c r="Y71" s="137">
        <f>SUMIFS(Database!$G:$G,Database!$D:$D,"Import",Database!$E:$E,$B71,Database!$C:$C,Y$1,Database!$F:$F,"Total")</f>
        <v>0</v>
      </c>
      <c r="Z71" s="137">
        <f>SUMIFS(Database!$G:$G,Database!$D:$D,"Import",Database!$E:$E,$B71,Database!$C:$C,Z$1,Database!$F:$F,"Total")</f>
        <v>0</v>
      </c>
      <c r="AA71" s="137">
        <f>SUMIFS(Database!$G:$G,Database!$D:$D,"Import",Database!$E:$E,$B71,Database!$C:$C,AA$1,Database!$F:$F,"Total")</f>
        <v>0</v>
      </c>
      <c r="AB71" s="137">
        <f>SUMIFS(Database!$G:$G,Database!$D:$D,"Import",Database!$E:$E,$B71,Database!$C:$C,AB$1,Database!$F:$F,"Total")</f>
        <v>0</v>
      </c>
      <c r="AC71" s="137">
        <f>SUMIFS(Database!$G:$G,Database!$D:$D,"Import",Database!$E:$E,$B71,Database!$C:$C,AC$1,Database!$F:$F,"Total")</f>
        <v>0</v>
      </c>
      <c r="AD71" s="137">
        <f>SUMIFS(Database!$G:$G,Database!$D:$D,"Import",Database!$E:$E,$B71,Database!$C:$C,AD$1,Database!$F:$F,"Total")</f>
        <v>0</v>
      </c>
      <c r="AE71" s="137">
        <f>SUMIFS(Database!$G:$G,Database!$D:$D,"Import",Database!$E:$E,$B71,Database!$C:$C,AE$1,Database!$F:$F,"Total")</f>
        <v>0</v>
      </c>
      <c r="AF71" s="137">
        <f>SUMIFS(Database!$G:$G,Database!$D:$D,"Import",Database!$E:$E,$B71,Database!$C:$C,AF$1,Database!$F:$F,"Total")</f>
        <v>0</v>
      </c>
      <c r="AG71" s="137">
        <f>SUMIFS(Database!$G:$G,Database!$D:$D,"Import",Database!$E:$E,$B71,Database!$C:$C,AG$1,Database!$F:$F,"Total")</f>
        <v>0</v>
      </c>
      <c r="AH71" s="137">
        <f>SUMIFS(Database!$G:$G,Database!$D:$D,"Import",Database!$E:$E,$B71,Database!$C:$C,AH$1,Database!$F:$F,"Total")</f>
        <v>0</v>
      </c>
      <c r="AI71" s="137">
        <f>SUMIFS(Database!$G:$G,Database!$D:$D,"Import",Database!$E:$E,$B71,Database!$C:$C,AI$1,Database!$F:$F,"Total")</f>
        <v>0</v>
      </c>
      <c r="AJ71" s="137">
        <f>SUMIFS(Database!$G:$G,Database!$D:$D,"Import",Database!$E:$E,$B71,Database!$C:$C,AJ$1,Database!$F:$F,"Total")</f>
        <v>0</v>
      </c>
      <c r="AK71" s="137">
        <f>SUMIFS(Database!$G:$G,Database!$D:$D,"Import",Database!$E:$E,$B71,Database!$C:$C,AK$1,Database!$F:$F,"Total")</f>
        <v>0</v>
      </c>
      <c r="AL71" s="137">
        <f>SUMIFS(Database!$G:$G,Database!$D:$D,"Import",Database!$E:$E,$B71,Database!$C:$C,AL$1,Database!$F:$F,"Total")</f>
        <v>0</v>
      </c>
      <c r="AM71" s="137">
        <f>SUMIFS(Database!$G:$G,Database!$D:$D,"Import",Database!$E:$E,$B71,Database!$C:$C,AM$1,Database!$F:$F,"Total")</f>
        <v>0</v>
      </c>
      <c r="AN71" s="137">
        <f>SUMIFS(Database!$G:$G,Database!$D:$D,"Import",Database!$E:$E,$B71,Database!$C:$C,AN$1,Database!$F:$F,"Total")</f>
        <v>0</v>
      </c>
      <c r="AO71" s="137">
        <f>SUMIFS(Database!$G:$G,Database!$D:$D,"Import",Database!$E:$E,$B71,Database!$C:$C,AO$1,Database!$F:$F,"Total")</f>
        <v>0</v>
      </c>
      <c r="AP71" s="137">
        <f>SUMIFS(Database!$G:$G,Database!$D:$D,"Import",Database!$E:$E,$B71,Database!$C:$C,AP$1,Database!$F:$F,"Total")</f>
        <v>0</v>
      </c>
      <c r="AQ71" s="137">
        <f>SUMIFS(Database!$G:$G,Database!$D:$D,"Import",Database!$E:$E,$B71,Database!$C:$C,AQ$1,Database!$F:$F,"Total")</f>
        <v>0</v>
      </c>
      <c r="AR71" s="137">
        <f>SUMIFS(Database!$G:$G,Database!$D:$D,"Import",Database!$E:$E,$B71,Database!$C:$C,AR$1,Database!$F:$F,"Total")</f>
        <v>0</v>
      </c>
      <c r="AS71" s="137">
        <f>SUMIFS(Database!$G:$G,Database!$D:$D,"Import",Database!$E:$E,$B71,Database!$C:$C,AS$1,Database!$F:$F,"Total")</f>
        <v>0</v>
      </c>
      <c r="AT71" s="137">
        <f>SUMIFS(Database!$G:$G,Database!$D:$D,"Import",Database!$E:$E,$B71,Database!$C:$C,AT$1,Database!$F:$F,"Total")</f>
        <v>0</v>
      </c>
      <c r="AU71" s="137">
        <f>SUMIFS(Database!$G:$G,Database!$D:$D,"Import",Database!$E:$E,$B71,Database!$C:$C,AU$1,Database!$F:$F,"Total")</f>
        <v>0</v>
      </c>
      <c r="AV71" s="137">
        <f>SUMIFS(Database!$G:$G,Database!$D:$D,"Import",Database!$E:$E,$B71,Database!$C:$C,AV$1,Database!$F:$F,"Total")</f>
        <v>0</v>
      </c>
      <c r="AW71" s="137">
        <f>SUMIFS(Database!$G:$G,Database!$D:$D,"Import",Database!$E:$E,$B71,Database!$C:$C,AW$1,Database!$F:$F,"Total")</f>
        <v>0</v>
      </c>
      <c r="AX71" s="137">
        <f>SUMIFS(Database!$G:$G,Database!$D:$D,"Import",Database!$E:$E,$B71,Database!$C:$C,AX$1,Database!$F:$F,"Total")</f>
        <v>800</v>
      </c>
      <c r="AY71" s="137">
        <f>SUMIFS(Database!$G:$G,Database!$D:$D,"Import",Database!$E:$E,$B71,Database!$C:$C,AY$1,Database!$F:$F,"Total")</f>
        <v>0</v>
      </c>
      <c r="AZ71" s="137">
        <f>SUMIFS(Database!$G:$G,Database!$D:$D,"Import",Database!$E:$E,$B71,Database!$C:$C,AZ$1,Database!$F:$F,"Total")</f>
        <v>394</v>
      </c>
      <c r="BA71" s="137">
        <f>SUMIFS(Database!$G:$G,Database!$D:$D,"Import",Database!$E:$E,$B71,Database!$C:$C,BA$1,Database!$F:$F,"Total")</f>
        <v>0</v>
      </c>
      <c r="BB71" s="137">
        <f>SUMIFS(Database!$G:$G,Database!$D:$D,"Import",Database!$E:$E,$B71,Database!$C:$C,BB$1,Database!$F:$F,"Total")</f>
        <v>0</v>
      </c>
      <c r="BC71" s="137">
        <f>SUMIFS(Database!$G:$G,Database!$D:$D,"Import",Database!$E:$E,$B71,Database!$C:$C,BC$1,Database!$F:$F,"Total")</f>
        <v>0</v>
      </c>
      <c r="BD71" s="137">
        <f>SUMIFS(Database!$G:$G,Database!$D:$D,"Import",Database!$E:$E,$B71,Database!$C:$C,BD$1,Database!$F:$F,"Total")</f>
        <v>0</v>
      </c>
      <c r="BE71" s="137">
        <f>SUMIFS(Database!$G:$G,Database!$D:$D,"Import",Database!$E:$E,$B71,Database!$C:$C,BE$1,Database!$F:$F,"Total")</f>
        <v>0</v>
      </c>
      <c r="BF71" s="137">
        <f>SUMIFS(Database!$G:$G,Database!$D:$D,"Import",Database!$E:$E,$B71,Database!$C:$C,BF$1,Database!$F:$F,"Total")</f>
        <v>0</v>
      </c>
      <c r="BG71" s="137">
        <f>SUMIFS(Database!$G:$G,Database!$D:$D,"Import",Database!$E:$E,$B71,Database!$C:$C,BG$1,Database!$F:$F,"Total")</f>
        <v>0</v>
      </c>
      <c r="BH71" s="137">
        <f>SUMIFS(Database!$G:$G,Database!$D:$D,"Import",Database!$E:$E,$B71,Database!$C:$C,BH$1,Database!$F:$F,"Total")</f>
        <v>0</v>
      </c>
      <c r="BI71" s="137">
        <f>SUMIFS(Database!$G:$G,Database!$D:$D,"Import",Database!$E:$E,$B71,Database!$C:$C,BI$1,Database!$F:$F,"Total")</f>
        <v>0</v>
      </c>
      <c r="BJ71" s="137">
        <f>SUMIFS(Database!$G:$G,Database!$D:$D,"Import",Database!$E:$E,$B71,Database!$C:$C,BJ$1,Database!$F:$F,"Total")</f>
        <v>0</v>
      </c>
      <c r="BK71" s="137">
        <f>SUMIFS(Database!$G:$G,Database!$D:$D,"Import",Database!$E:$E,$B71,Database!$C:$C,BK$1,Database!$F:$F,"Total")</f>
        <v>0</v>
      </c>
      <c r="BL71" s="137">
        <f>SUMIFS(Database!$G:$G,Database!$D:$D,"Import",Database!$E:$E,$B71,Database!$C:$C,BL$1,Database!$F:$F,"Total")</f>
        <v>0</v>
      </c>
      <c r="BM71" s="137">
        <f>SUMIFS(Database!$G:$G,Database!$D:$D,"Import",Database!$E:$E,$B71,Database!$C:$C,BM$1,Database!$F:$F,"Total")</f>
        <v>0</v>
      </c>
      <c r="BN71" s="137">
        <f>SUMIFS(Database!$G:$G,Database!$D:$D,"Import",Database!$E:$E,$B71,Database!$C:$C,BN$1,Database!$F:$F,"Total")</f>
        <v>0</v>
      </c>
      <c r="BO71" s="137">
        <f>SUMIFS(Database!$G:$G,Database!$D:$D,"Import",Database!$E:$E,$B71,Database!$C:$C,BO$1,Database!$F:$F,"Total")</f>
        <v>0</v>
      </c>
      <c r="BP71" s="137">
        <f>SUMIFS(Database!$G:$G,Database!$D:$D,"Import",Database!$E:$E,$B71,Database!$C:$C,BP$1,Database!$F:$F,"Total")</f>
        <v>0</v>
      </c>
      <c r="BQ71" s="137">
        <f>SUMIFS(Database!$G:$G,Database!$D:$D,"Import",Database!$E:$E,$B71,Database!$C:$C,BQ$1,Database!$F:$F,"Total")</f>
        <v>0</v>
      </c>
      <c r="BR71" s="137">
        <f>SUMIFS(Database!$G:$G,Database!$D:$D,"Import",Database!$E:$E,$B71,Database!$C:$C,BR$1,Database!$F:$F,"Total")</f>
        <v>0</v>
      </c>
      <c r="BS71" s="137">
        <f>SUMIFS(Database!$G:$G,Database!$D:$D,"Import",Database!$E:$E,$B71,Database!$C:$C,BS$1,Database!$F:$F,"Total")</f>
        <v>0</v>
      </c>
      <c r="BT71" s="137">
        <f>SUMIFS(Database!$G:$G,Database!$D:$D,"Import",Database!$E:$E,$B71,Database!$C:$C,BT$1,Database!$F:$F,"Total")</f>
        <v>0</v>
      </c>
      <c r="BU71" s="137">
        <f>SUMIFS(Database!$G:$G,Database!$D:$D,"Import",Database!$E:$E,$B71,Database!$C:$C,BU$1,Database!$F:$F,"Total")</f>
        <v>0</v>
      </c>
      <c r="BV71" s="137">
        <f>SUMIFS(Database!$G:$G,Database!$D:$D,"Import",Database!$E:$E,$B71,Database!$C:$C,BV$1,Database!$F:$F,"Total")</f>
        <v>0</v>
      </c>
      <c r="BW71" s="137">
        <f>SUMIFS(Database!$G:$G,Database!$D:$D,"Import",Database!$E:$E,$B71,Database!$C:$C,BW$1,Database!$F:$F,"Total")</f>
        <v>0</v>
      </c>
      <c r="BX71" s="137">
        <f>SUMIFS(Database!$G:$G,Database!$D:$D,"Import",Database!$E:$E,$B71,Database!$C:$C,BX$1,Database!$F:$F,"Total")</f>
        <v>0</v>
      </c>
      <c r="BY71" s="137">
        <f>SUMIFS(Database!$G:$G,Database!$D:$D,"Import",Database!$E:$E,$B71,Database!$C:$C,BY$1,Database!$F:$F,"Total")</f>
        <v>0</v>
      </c>
      <c r="BZ71" s="137">
        <f>SUMIFS(Database!$G:$G,Database!$D:$D,"Import",Database!$E:$E,$B71,Database!$C:$C,BZ$1,Database!$F:$F,"Total")</f>
        <v>0</v>
      </c>
      <c r="CA71" s="137">
        <f>SUMIFS(Database!$G:$G,Database!$D:$D,"Import",Database!$E:$E,$B71,Database!$C:$C,CA$1,Database!$F:$F,"Total")</f>
        <v>0</v>
      </c>
      <c r="CB71" s="137">
        <f>SUMIFS(Database!$G:$G,Database!$D:$D,"Import",Database!$E:$E,$B71,Database!$C:$C,CB$1,Database!$F:$F,"Total")</f>
        <v>0</v>
      </c>
      <c r="CC71" s="137">
        <f>SUMIFS(Database!$G:$G,Database!$D:$D,"Import",Database!$E:$E,$B71,Database!$C:$C,CC$1,Database!$F:$F,"Total")</f>
        <v>0</v>
      </c>
      <c r="CD71" s="137">
        <f>SUMIFS(Database!$G:$G,Database!$D:$D,"Import",Database!$E:$E,$B71,Database!$C:$C,CD$1,Database!$F:$F,"Total")</f>
        <v>0</v>
      </c>
      <c r="CE71" s="137">
        <f>SUMIFS(Database!$G:$G,Database!$D:$D,"Import",Database!$E:$E,$B71,Database!$C:$C,CE$1,Database!$F:$F,"Total")</f>
        <v>0</v>
      </c>
      <c r="CF71" s="137">
        <f>SUMIFS(Database!$G:$G,Database!$D:$D,"Import",Database!$E:$E,$B71,Database!$C:$C,CF$1,Database!$F:$F,"Total")</f>
        <v>0</v>
      </c>
      <c r="CG71" s="137">
        <f>SUMIFS(Database!$G:$G,Database!$D:$D,"Import",Database!$E:$E,$B71,Database!$C:$C,CG$1,Database!$F:$F,"Total")</f>
        <v>0</v>
      </c>
      <c r="CH71" s="137">
        <f>SUMIFS(Database!$G:$G,Database!$D:$D,"Import",Database!$E:$E,$B71,Database!$C:$C,CH$1,Database!$F:$F,"Total")</f>
        <v>0</v>
      </c>
      <c r="CI71" s="137">
        <f>SUMIFS(Database!$G:$G,Database!$D:$D,"Import",Database!$E:$E,$B71,Database!$C:$C,CI$1,Database!$F:$F,"Total")</f>
        <v>0</v>
      </c>
      <c r="CJ71" s="137">
        <f>SUMIFS(Database!$G:$G,Database!$D:$D,"Import",Database!$E:$E,$B71,Database!$C:$C,CJ$1,Database!$F:$F,"Total")</f>
        <v>0</v>
      </c>
      <c r="CK71" s="137">
        <f>SUMIFS(Database!$G:$G,Database!$D:$D,"Import",Database!$E:$E,$B71,Database!$C:$C,CK$1,Database!$F:$F,"Total")</f>
        <v>0</v>
      </c>
      <c r="CL71" s="137">
        <f>SUMIFS(Database!$G:$G,Database!$D:$D,"Import",Database!$E:$E,$B71,Database!$C:$C,CL$1,Database!$F:$F,"Total")</f>
        <v>0</v>
      </c>
      <c r="CM71" s="137">
        <f>SUMIFS(Database!$G:$G,Database!$D:$D,"Import",Database!$E:$E,$B71,Database!$C:$C,CM$1,Database!$F:$F,"Total")</f>
        <v>0</v>
      </c>
      <c r="CN71" s="137">
        <f>SUMIFS(Database!$G:$G,Database!$D:$D,"Import",Database!$E:$E,$B71,Database!$C:$C,CN$1,Database!$F:$F,"Total")</f>
        <v>0</v>
      </c>
      <c r="CO71" s="137">
        <f>SUMIFS(Database!$G:$G,Database!$D:$D,"Import",Database!$E:$E,$B71,Database!$C:$C,CO$1,Database!$F:$F,"Total")</f>
        <v>0</v>
      </c>
      <c r="CP71" s="137">
        <f>SUMIFS(Database!$G:$G,Database!$D:$D,"Import",Database!$E:$E,$B71,Database!$C:$C,CP$1,Database!$F:$F,"Total")</f>
        <v>0</v>
      </c>
      <c r="CQ71" s="137">
        <f>SUMIFS(Database!$G:$G,Database!$D:$D,"Import",Database!$E:$E,$B71,Database!$C:$C,CQ$1,Database!$F:$F,"Total")</f>
        <v>0</v>
      </c>
      <c r="CR71" s="137">
        <f>SUMIFS(Database!$G:$G,Database!$D:$D,"Import",Database!$E:$E,$B71,Database!$C:$C,CR$1,Database!$F:$F,"Total")</f>
        <v>0</v>
      </c>
      <c r="CS71" s="137">
        <f>SUMIFS(Database!$G:$G,Database!$D:$D,"Import",Database!$E:$E,$B71,Database!$C:$C,CS$1,Database!$F:$F,"Total")</f>
        <v>0</v>
      </c>
      <c r="CT71" s="137">
        <f>SUMIFS(Database!$G:$G,Database!$D:$D,"Import",Database!$E:$E,$B71,Database!$C:$C,CT$1,Database!$F:$F,"Total")</f>
        <v>0</v>
      </c>
      <c r="CU71" s="137">
        <f>SUMIFS(Database!$G:$G,Database!$D:$D,"Import",Database!$E:$E,$B71,Database!$C:$C,CU$1,Database!$F:$F,"Total")</f>
        <v>0</v>
      </c>
    </row>
    <row r="72" spans="1:99" x14ac:dyDescent="0.25">
      <c r="A72" s="132" t="s">
        <v>484</v>
      </c>
      <c r="B72" s="133" t="s">
        <v>85</v>
      </c>
      <c r="C72" s="137">
        <f>SUMIFS(Database!$G:$G,Database!$D:$D,"Import",Database!$E:$E,$B72,Database!$C:$C,C$1,Database!$F:$F,"Total")</f>
        <v>0</v>
      </c>
      <c r="D72" s="137">
        <f>SUMIFS(Database!$G:$G,Database!$D:$D,"Import",Database!$E:$E,$B72,Database!$C:$C,D$1,Database!$F:$F,"Total")</f>
        <v>0</v>
      </c>
      <c r="E72" s="137">
        <f>SUMIFS(Database!$G:$G,Database!$D:$D,"Import",Database!$E:$E,$B72,Database!$C:$C,E$1,Database!$F:$F,"Total")</f>
        <v>0</v>
      </c>
      <c r="F72" s="137">
        <f>SUMIFS(Database!$G:$G,Database!$D:$D,"Import",Database!$E:$E,$B72,Database!$C:$C,F$1,Database!$F:$F,"Total")</f>
        <v>0</v>
      </c>
      <c r="G72" s="137">
        <f>SUMIFS(Database!$G:$G,Database!$D:$D,"Import",Database!$E:$E,$B72,Database!$C:$C,G$1,Database!$F:$F,"Total")</f>
        <v>0</v>
      </c>
      <c r="H72" s="137">
        <f>SUMIFS(Database!$G:$G,Database!$D:$D,"Import",Database!$E:$E,$B72,Database!$C:$C,H$1,Database!$F:$F,"Total")</f>
        <v>0</v>
      </c>
      <c r="I72" s="137">
        <f>SUMIFS(Database!$G:$G,Database!$D:$D,"Import",Database!$E:$E,$B72,Database!$C:$C,I$1,Database!$F:$F,"Total")</f>
        <v>0</v>
      </c>
      <c r="J72" s="137">
        <f>SUMIFS(Database!$G:$G,Database!$D:$D,"Import",Database!$E:$E,$B72,Database!$C:$C,J$1,Database!$F:$F,"Total")</f>
        <v>0</v>
      </c>
      <c r="K72" s="137">
        <f>SUMIFS(Database!$G:$G,Database!$D:$D,"Import",Database!$E:$E,$B72,Database!$C:$C,K$1,Database!$F:$F,"Total")</f>
        <v>0</v>
      </c>
      <c r="L72" s="137">
        <f>SUMIFS(Database!$G:$G,Database!$D:$D,"Import",Database!$E:$E,$B72,Database!$C:$C,L$1,Database!$F:$F,"Total")</f>
        <v>0</v>
      </c>
      <c r="M72" s="137">
        <f>SUMIFS(Database!$G:$G,Database!$D:$D,"Import",Database!$E:$E,$B72,Database!$C:$C,M$1,Database!$F:$F,"Total")</f>
        <v>0</v>
      </c>
      <c r="N72" s="137">
        <f>SUMIFS(Database!$G:$G,Database!$D:$D,"Import",Database!$E:$E,$B72,Database!$C:$C,N$1,Database!$F:$F,"Total")</f>
        <v>0</v>
      </c>
      <c r="O72" s="137">
        <f>SUMIFS(Database!$G:$G,Database!$D:$D,"Import",Database!$E:$E,$B72,Database!$C:$C,O$1,Database!$F:$F,"Total")</f>
        <v>0</v>
      </c>
      <c r="P72" s="137">
        <f>SUMIFS(Database!$G:$G,Database!$D:$D,"Import",Database!$E:$E,$B72,Database!$C:$C,P$1,Database!$F:$F,"Total")</f>
        <v>0</v>
      </c>
      <c r="Q72" s="137">
        <f>SUMIFS(Database!$G:$G,Database!$D:$D,"Import",Database!$E:$E,$B72,Database!$C:$C,Q$1,Database!$F:$F,"Total")</f>
        <v>0</v>
      </c>
      <c r="R72" s="137">
        <f>SUMIFS(Database!$G:$G,Database!$D:$D,"Import",Database!$E:$E,$B72,Database!$C:$C,R$1,Database!$F:$F,"Total")</f>
        <v>0</v>
      </c>
      <c r="S72" s="137">
        <f>SUMIFS(Database!$G:$G,Database!$D:$D,"Import",Database!$E:$E,$B72,Database!$C:$C,S$1,Database!$F:$F,"Total")</f>
        <v>0</v>
      </c>
      <c r="T72" s="137">
        <f>SUMIFS(Database!$G:$G,Database!$D:$D,"Import",Database!$E:$E,$B72,Database!$C:$C,T$1,Database!$F:$F,"Total")</f>
        <v>0</v>
      </c>
      <c r="U72" s="137">
        <f>SUMIFS(Database!$G:$G,Database!$D:$D,"Import",Database!$E:$E,$B72,Database!$C:$C,U$1,Database!$F:$F,"Total")</f>
        <v>0</v>
      </c>
      <c r="V72" s="137">
        <f>SUMIFS(Database!$G:$G,Database!$D:$D,"Import",Database!$E:$E,$B72,Database!$C:$C,V$1,Database!$F:$F,"Total")</f>
        <v>0</v>
      </c>
      <c r="W72" s="137">
        <f>SUMIFS(Database!$G:$G,Database!$D:$D,"Import",Database!$E:$E,$B72,Database!$C:$C,W$1,Database!$F:$F,"Total")</f>
        <v>0</v>
      </c>
      <c r="X72" s="137">
        <f>SUMIFS(Database!$G:$G,Database!$D:$D,"Import",Database!$E:$E,$B72,Database!$C:$C,X$1,Database!$F:$F,"Total")</f>
        <v>0</v>
      </c>
      <c r="Y72" s="137">
        <f>SUMIFS(Database!$G:$G,Database!$D:$D,"Import",Database!$E:$E,$B72,Database!$C:$C,Y$1,Database!$F:$F,"Total")</f>
        <v>0</v>
      </c>
      <c r="Z72" s="137">
        <f>SUMIFS(Database!$G:$G,Database!$D:$D,"Import",Database!$E:$E,$B72,Database!$C:$C,Z$1,Database!$F:$F,"Total")</f>
        <v>0</v>
      </c>
      <c r="AA72" s="137">
        <f>SUMIFS(Database!$G:$G,Database!$D:$D,"Import",Database!$E:$E,$B72,Database!$C:$C,AA$1,Database!$F:$F,"Total")</f>
        <v>0</v>
      </c>
      <c r="AB72" s="137">
        <f>SUMIFS(Database!$G:$G,Database!$D:$D,"Import",Database!$E:$E,$B72,Database!$C:$C,AB$1,Database!$F:$F,"Total")</f>
        <v>0</v>
      </c>
      <c r="AC72" s="137">
        <f>SUMIFS(Database!$G:$G,Database!$D:$D,"Import",Database!$E:$E,$B72,Database!$C:$C,AC$1,Database!$F:$F,"Total")</f>
        <v>0</v>
      </c>
      <c r="AD72" s="137">
        <f>SUMIFS(Database!$G:$G,Database!$D:$D,"Import",Database!$E:$E,$B72,Database!$C:$C,AD$1,Database!$F:$F,"Total")</f>
        <v>0</v>
      </c>
      <c r="AE72" s="137">
        <f>SUMIFS(Database!$G:$G,Database!$D:$D,"Import",Database!$E:$E,$B72,Database!$C:$C,AE$1,Database!$F:$F,"Total")</f>
        <v>0</v>
      </c>
      <c r="AF72" s="137">
        <f>SUMIFS(Database!$G:$G,Database!$D:$D,"Import",Database!$E:$E,$B72,Database!$C:$C,AF$1,Database!$F:$F,"Total")</f>
        <v>0</v>
      </c>
      <c r="AG72" s="137">
        <f>SUMIFS(Database!$G:$G,Database!$D:$D,"Import",Database!$E:$E,$B72,Database!$C:$C,AG$1,Database!$F:$F,"Total")</f>
        <v>0</v>
      </c>
      <c r="AH72" s="137">
        <f>SUMIFS(Database!$G:$G,Database!$D:$D,"Import",Database!$E:$E,$B72,Database!$C:$C,AH$1,Database!$F:$F,"Total")</f>
        <v>0</v>
      </c>
      <c r="AI72" s="137">
        <f>SUMIFS(Database!$G:$G,Database!$D:$D,"Import",Database!$E:$E,$B72,Database!$C:$C,AI$1,Database!$F:$F,"Total")</f>
        <v>0</v>
      </c>
      <c r="AJ72" s="137">
        <f>SUMIFS(Database!$G:$G,Database!$D:$D,"Import",Database!$E:$E,$B72,Database!$C:$C,AJ$1,Database!$F:$F,"Total")</f>
        <v>2916</v>
      </c>
      <c r="AK72" s="137">
        <f>SUMIFS(Database!$G:$G,Database!$D:$D,"Import",Database!$E:$E,$B72,Database!$C:$C,AK$1,Database!$F:$F,"Total")</f>
        <v>0</v>
      </c>
      <c r="AL72" s="137">
        <f>SUMIFS(Database!$G:$G,Database!$D:$D,"Import",Database!$E:$E,$B72,Database!$C:$C,AL$1,Database!$F:$F,"Total")</f>
        <v>0</v>
      </c>
      <c r="AM72" s="137">
        <f>SUMIFS(Database!$G:$G,Database!$D:$D,"Import",Database!$E:$E,$B72,Database!$C:$C,AM$1,Database!$F:$F,"Total")</f>
        <v>0</v>
      </c>
      <c r="AN72" s="137">
        <f>SUMIFS(Database!$G:$G,Database!$D:$D,"Import",Database!$E:$E,$B72,Database!$C:$C,AN$1,Database!$F:$F,"Total")</f>
        <v>0</v>
      </c>
      <c r="AO72" s="137">
        <f>SUMIFS(Database!$G:$G,Database!$D:$D,"Import",Database!$E:$E,$B72,Database!$C:$C,AO$1,Database!$F:$F,"Total")</f>
        <v>0</v>
      </c>
      <c r="AP72" s="137">
        <f>SUMIFS(Database!$G:$G,Database!$D:$D,"Import",Database!$E:$E,$B72,Database!$C:$C,AP$1,Database!$F:$F,"Total")</f>
        <v>0</v>
      </c>
      <c r="AQ72" s="137">
        <f>SUMIFS(Database!$G:$G,Database!$D:$D,"Import",Database!$E:$E,$B72,Database!$C:$C,AQ$1,Database!$F:$F,"Total")</f>
        <v>0</v>
      </c>
      <c r="AR72" s="137">
        <f>SUMIFS(Database!$G:$G,Database!$D:$D,"Import",Database!$E:$E,$B72,Database!$C:$C,AR$1,Database!$F:$F,"Total")</f>
        <v>0</v>
      </c>
      <c r="AS72" s="137">
        <f>SUMIFS(Database!$G:$G,Database!$D:$D,"Import",Database!$E:$E,$B72,Database!$C:$C,AS$1,Database!$F:$F,"Total")</f>
        <v>0</v>
      </c>
      <c r="AT72" s="137">
        <f>SUMIFS(Database!$G:$G,Database!$D:$D,"Import",Database!$E:$E,$B72,Database!$C:$C,AT$1,Database!$F:$F,"Total")</f>
        <v>0</v>
      </c>
      <c r="AU72" s="137">
        <f>SUMIFS(Database!$G:$G,Database!$D:$D,"Import",Database!$E:$E,$B72,Database!$C:$C,AU$1,Database!$F:$F,"Total")</f>
        <v>0</v>
      </c>
      <c r="AV72" s="137">
        <f>SUMIFS(Database!$G:$G,Database!$D:$D,"Import",Database!$E:$E,$B72,Database!$C:$C,AV$1,Database!$F:$F,"Total")</f>
        <v>0</v>
      </c>
      <c r="AW72" s="137">
        <f>SUMIFS(Database!$G:$G,Database!$D:$D,"Import",Database!$E:$E,$B72,Database!$C:$C,AW$1,Database!$F:$F,"Total")</f>
        <v>0</v>
      </c>
      <c r="AX72" s="137">
        <f>SUMIFS(Database!$G:$G,Database!$D:$D,"Import",Database!$E:$E,$B72,Database!$C:$C,AX$1,Database!$F:$F,"Total")</f>
        <v>497</v>
      </c>
      <c r="AY72" s="137">
        <f>SUMIFS(Database!$G:$G,Database!$D:$D,"Import",Database!$E:$E,$B72,Database!$C:$C,AY$1,Database!$F:$F,"Total")</f>
        <v>301</v>
      </c>
      <c r="AZ72" s="137">
        <f>SUMIFS(Database!$G:$G,Database!$D:$D,"Import",Database!$E:$E,$B72,Database!$C:$C,AZ$1,Database!$F:$F,"Total")</f>
        <v>159</v>
      </c>
      <c r="BA72" s="137">
        <f>SUMIFS(Database!$G:$G,Database!$D:$D,"Import",Database!$E:$E,$B72,Database!$C:$C,BA$1,Database!$F:$F,"Total")</f>
        <v>0</v>
      </c>
      <c r="BB72" s="137">
        <f>SUMIFS(Database!$G:$G,Database!$D:$D,"Import",Database!$E:$E,$B72,Database!$C:$C,BB$1,Database!$F:$F,"Total")</f>
        <v>0</v>
      </c>
      <c r="BC72" s="137">
        <f>SUMIFS(Database!$G:$G,Database!$D:$D,"Import",Database!$E:$E,$B72,Database!$C:$C,BC$1,Database!$F:$F,"Total")</f>
        <v>0</v>
      </c>
      <c r="BD72" s="137">
        <f>SUMIFS(Database!$G:$G,Database!$D:$D,"Import",Database!$E:$E,$B72,Database!$C:$C,BD$1,Database!$F:$F,"Total")</f>
        <v>0</v>
      </c>
      <c r="BE72" s="137">
        <f>SUMIFS(Database!$G:$G,Database!$D:$D,"Import",Database!$E:$E,$B72,Database!$C:$C,BE$1,Database!$F:$F,"Total")</f>
        <v>0</v>
      </c>
      <c r="BF72" s="137">
        <f>SUMIFS(Database!$G:$G,Database!$D:$D,"Import",Database!$E:$E,$B72,Database!$C:$C,BF$1,Database!$F:$F,"Total")</f>
        <v>0</v>
      </c>
      <c r="BG72" s="137">
        <f>SUMIFS(Database!$G:$G,Database!$D:$D,"Import",Database!$E:$E,$B72,Database!$C:$C,BG$1,Database!$F:$F,"Total")</f>
        <v>0</v>
      </c>
      <c r="BH72" s="137">
        <f>SUMIFS(Database!$G:$G,Database!$D:$D,"Import",Database!$E:$E,$B72,Database!$C:$C,BH$1,Database!$F:$F,"Total")</f>
        <v>0</v>
      </c>
      <c r="BI72" s="137">
        <f>SUMIFS(Database!$G:$G,Database!$D:$D,"Import",Database!$E:$E,$B72,Database!$C:$C,BI$1,Database!$F:$F,"Total")</f>
        <v>0</v>
      </c>
      <c r="BJ72" s="137">
        <f>SUMIFS(Database!$G:$G,Database!$D:$D,"Import",Database!$E:$E,$B72,Database!$C:$C,BJ$1,Database!$F:$F,"Total")</f>
        <v>0</v>
      </c>
      <c r="BK72" s="137">
        <f>SUMIFS(Database!$G:$G,Database!$D:$D,"Import",Database!$E:$E,$B72,Database!$C:$C,BK$1,Database!$F:$F,"Total")</f>
        <v>0</v>
      </c>
      <c r="BL72" s="137">
        <f>SUMIFS(Database!$G:$G,Database!$D:$D,"Import",Database!$E:$E,$B72,Database!$C:$C,BL$1,Database!$F:$F,"Total")</f>
        <v>0</v>
      </c>
      <c r="BM72" s="137">
        <f>SUMIFS(Database!$G:$G,Database!$D:$D,"Import",Database!$E:$E,$B72,Database!$C:$C,BM$1,Database!$F:$F,"Total")</f>
        <v>0</v>
      </c>
      <c r="BN72" s="137">
        <f>SUMIFS(Database!$G:$G,Database!$D:$D,"Import",Database!$E:$E,$B72,Database!$C:$C,BN$1,Database!$F:$F,"Total")</f>
        <v>0</v>
      </c>
      <c r="BO72" s="137">
        <f>SUMIFS(Database!$G:$G,Database!$D:$D,"Import",Database!$E:$E,$B72,Database!$C:$C,BO$1,Database!$F:$F,"Total")</f>
        <v>0</v>
      </c>
      <c r="BP72" s="137">
        <f>SUMIFS(Database!$G:$G,Database!$D:$D,"Import",Database!$E:$E,$B72,Database!$C:$C,BP$1,Database!$F:$F,"Total")</f>
        <v>0</v>
      </c>
      <c r="BQ72" s="137">
        <f>SUMIFS(Database!$G:$G,Database!$D:$D,"Import",Database!$E:$E,$B72,Database!$C:$C,BQ$1,Database!$F:$F,"Total")</f>
        <v>0</v>
      </c>
      <c r="BR72" s="137">
        <f>SUMIFS(Database!$G:$G,Database!$D:$D,"Import",Database!$E:$E,$B72,Database!$C:$C,BR$1,Database!$F:$F,"Total")</f>
        <v>0</v>
      </c>
      <c r="BS72" s="137">
        <f>SUMIFS(Database!$G:$G,Database!$D:$D,"Import",Database!$E:$E,$B72,Database!$C:$C,BS$1,Database!$F:$F,"Total")</f>
        <v>0</v>
      </c>
      <c r="BT72" s="137">
        <f>SUMIFS(Database!$G:$G,Database!$D:$D,"Import",Database!$E:$E,$B72,Database!$C:$C,BT$1,Database!$F:$F,"Total")</f>
        <v>0</v>
      </c>
      <c r="BU72" s="137">
        <f>SUMIFS(Database!$G:$G,Database!$D:$D,"Import",Database!$E:$E,$B72,Database!$C:$C,BU$1,Database!$F:$F,"Total")</f>
        <v>0</v>
      </c>
      <c r="BV72" s="137">
        <f>SUMIFS(Database!$G:$G,Database!$D:$D,"Import",Database!$E:$E,$B72,Database!$C:$C,BV$1,Database!$F:$F,"Total")</f>
        <v>0</v>
      </c>
      <c r="BW72" s="137">
        <f>SUMIFS(Database!$G:$G,Database!$D:$D,"Import",Database!$E:$E,$B72,Database!$C:$C,BW$1,Database!$F:$F,"Total")</f>
        <v>0</v>
      </c>
      <c r="BX72" s="137">
        <f>SUMIFS(Database!$G:$G,Database!$D:$D,"Import",Database!$E:$E,$B72,Database!$C:$C,BX$1,Database!$F:$F,"Total")</f>
        <v>0</v>
      </c>
      <c r="BY72" s="137">
        <f>SUMIFS(Database!$G:$G,Database!$D:$D,"Import",Database!$E:$E,$B72,Database!$C:$C,BY$1,Database!$F:$F,"Total")</f>
        <v>0</v>
      </c>
      <c r="BZ72" s="137">
        <f>SUMIFS(Database!$G:$G,Database!$D:$D,"Import",Database!$E:$E,$B72,Database!$C:$C,BZ$1,Database!$F:$F,"Total")</f>
        <v>0</v>
      </c>
      <c r="CA72" s="137">
        <f>SUMIFS(Database!$G:$G,Database!$D:$D,"Import",Database!$E:$E,$B72,Database!$C:$C,CA$1,Database!$F:$F,"Total")</f>
        <v>0</v>
      </c>
      <c r="CB72" s="137">
        <f>SUMIFS(Database!$G:$G,Database!$D:$D,"Import",Database!$E:$E,$B72,Database!$C:$C,CB$1,Database!$F:$F,"Total")</f>
        <v>0</v>
      </c>
      <c r="CC72" s="137">
        <f>SUMIFS(Database!$G:$G,Database!$D:$D,"Import",Database!$E:$E,$B72,Database!$C:$C,CC$1,Database!$F:$F,"Total")</f>
        <v>0</v>
      </c>
      <c r="CD72" s="137">
        <f>SUMIFS(Database!$G:$G,Database!$D:$D,"Import",Database!$E:$E,$B72,Database!$C:$C,CD$1,Database!$F:$F,"Total")</f>
        <v>0</v>
      </c>
      <c r="CE72" s="137">
        <f>SUMIFS(Database!$G:$G,Database!$D:$D,"Import",Database!$E:$E,$B72,Database!$C:$C,CE$1,Database!$F:$F,"Total")</f>
        <v>0</v>
      </c>
      <c r="CF72" s="137">
        <f>SUMIFS(Database!$G:$G,Database!$D:$D,"Import",Database!$E:$E,$B72,Database!$C:$C,CF$1,Database!$F:$F,"Total")</f>
        <v>0</v>
      </c>
      <c r="CG72" s="137">
        <f>SUMIFS(Database!$G:$G,Database!$D:$D,"Import",Database!$E:$E,$B72,Database!$C:$C,CG$1,Database!$F:$F,"Total")</f>
        <v>0</v>
      </c>
      <c r="CH72" s="137">
        <f>SUMIFS(Database!$G:$G,Database!$D:$D,"Import",Database!$E:$E,$B72,Database!$C:$C,CH$1,Database!$F:$F,"Total")</f>
        <v>0</v>
      </c>
      <c r="CI72" s="137">
        <f>SUMIFS(Database!$G:$G,Database!$D:$D,"Import",Database!$E:$E,$B72,Database!$C:$C,CI$1,Database!$F:$F,"Total")</f>
        <v>0</v>
      </c>
      <c r="CJ72" s="137">
        <f>SUMIFS(Database!$G:$G,Database!$D:$D,"Import",Database!$E:$E,$B72,Database!$C:$C,CJ$1,Database!$F:$F,"Total")</f>
        <v>0</v>
      </c>
      <c r="CK72" s="137">
        <f>SUMIFS(Database!$G:$G,Database!$D:$D,"Import",Database!$E:$E,$B72,Database!$C:$C,CK$1,Database!$F:$F,"Total")</f>
        <v>0</v>
      </c>
      <c r="CL72" s="137">
        <f>SUMIFS(Database!$G:$G,Database!$D:$D,"Import",Database!$E:$E,$B72,Database!$C:$C,CL$1,Database!$F:$F,"Total")</f>
        <v>0</v>
      </c>
      <c r="CM72" s="137">
        <f>SUMIFS(Database!$G:$G,Database!$D:$D,"Import",Database!$E:$E,$B72,Database!$C:$C,CM$1,Database!$F:$F,"Total")</f>
        <v>0</v>
      </c>
      <c r="CN72" s="137">
        <f>SUMIFS(Database!$G:$G,Database!$D:$D,"Import",Database!$E:$E,$B72,Database!$C:$C,CN$1,Database!$F:$F,"Total")</f>
        <v>0</v>
      </c>
      <c r="CO72" s="137">
        <f>SUMIFS(Database!$G:$G,Database!$D:$D,"Import",Database!$E:$E,$B72,Database!$C:$C,CO$1,Database!$F:$F,"Total")</f>
        <v>0</v>
      </c>
      <c r="CP72" s="137">
        <f>SUMIFS(Database!$G:$G,Database!$D:$D,"Import",Database!$E:$E,$B72,Database!$C:$C,CP$1,Database!$F:$F,"Total")</f>
        <v>0</v>
      </c>
      <c r="CQ72" s="137">
        <f>SUMIFS(Database!$G:$G,Database!$D:$D,"Import",Database!$E:$E,$B72,Database!$C:$C,CQ$1,Database!$F:$F,"Total")</f>
        <v>0</v>
      </c>
      <c r="CR72" s="137">
        <f>SUMIFS(Database!$G:$G,Database!$D:$D,"Import",Database!$E:$E,$B72,Database!$C:$C,CR$1,Database!$F:$F,"Total")</f>
        <v>0</v>
      </c>
      <c r="CS72" s="137">
        <f>SUMIFS(Database!$G:$G,Database!$D:$D,"Import",Database!$E:$E,$B72,Database!$C:$C,CS$1,Database!$F:$F,"Total")</f>
        <v>0</v>
      </c>
      <c r="CT72" s="137">
        <f>SUMIFS(Database!$G:$G,Database!$D:$D,"Import",Database!$E:$E,$B72,Database!$C:$C,CT$1,Database!$F:$F,"Total")</f>
        <v>0</v>
      </c>
      <c r="CU72" s="137">
        <f>SUMIFS(Database!$G:$G,Database!$D:$D,"Import",Database!$E:$E,$B72,Database!$C:$C,CU$1,Database!$F:$F,"Total")</f>
        <v>0</v>
      </c>
    </row>
    <row r="73" spans="1:99" x14ac:dyDescent="0.25">
      <c r="A73" s="132" t="s">
        <v>484</v>
      </c>
      <c r="B73" s="133" t="s">
        <v>86</v>
      </c>
      <c r="C73" s="137">
        <f>SUMIFS(Database!$G:$G,Database!$D:$D,"Import",Database!$E:$E,$B73,Database!$C:$C,C$1,Database!$F:$F,"Total")</f>
        <v>0</v>
      </c>
      <c r="D73" s="137">
        <f>SUMIFS(Database!$G:$G,Database!$D:$D,"Import",Database!$E:$E,$B73,Database!$C:$C,D$1,Database!$F:$F,"Total")</f>
        <v>0</v>
      </c>
      <c r="E73" s="137">
        <f>SUMIFS(Database!$G:$G,Database!$D:$D,"Import",Database!$E:$E,$B73,Database!$C:$C,E$1,Database!$F:$F,"Total")</f>
        <v>0</v>
      </c>
      <c r="F73" s="137">
        <f>SUMIFS(Database!$G:$G,Database!$D:$D,"Import",Database!$E:$E,$B73,Database!$C:$C,F$1,Database!$F:$F,"Total")</f>
        <v>0</v>
      </c>
      <c r="G73" s="137">
        <f>SUMIFS(Database!$G:$G,Database!$D:$D,"Import",Database!$E:$E,$B73,Database!$C:$C,G$1,Database!$F:$F,"Total")</f>
        <v>0</v>
      </c>
      <c r="H73" s="137">
        <f>SUMIFS(Database!$G:$G,Database!$D:$D,"Import",Database!$E:$E,$B73,Database!$C:$C,H$1,Database!$F:$F,"Total")</f>
        <v>0</v>
      </c>
      <c r="I73" s="137">
        <f>SUMIFS(Database!$G:$G,Database!$D:$D,"Import",Database!$E:$E,$B73,Database!$C:$C,I$1,Database!$F:$F,"Total")</f>
        <v>0</v>
      </c>
      <c r="J73" s="137">
        <f>SUMIFS(Database!$G:$G,Database!$D:$D,"Import",Database!$E:$E,$B73,Database!$C:$C,J$1,Database!$F:$F,"Total")</f>
        <v>0</v>
      </c>
      <c r="K73" s="137">
        <f>SUMIFS(Database!$G:$G,Database!$D:$D,"Import",Database!$E:$E,$B73,Database!$C:$C,K$1,Database!$F:$F,"Total")</f>
        <v>0</v>
      </c>
      <c r="L73" s="137">
        <f>SUMIFS(Database!$G:$G,Database!$D:$D,"Import",Database!$E:$E,$B73,Database!$C:$C,L$1,Database!$F:$F,"Total")</f>
        <v>0</v>
      </c>
      <c r="M73" s="137">
        <f>SUMIFS(Database!$G:$G,Database!$D:$D,"Import",Database!$E:$E,$B73,Database!$C:$C,M$1,Database!$F:$F,"Total")</f>
        <v>0</v>
      </c>
      <c r="N73" s="137">
        <f>SUMIFS(Database!$G:$G,Database!$D:$D,"Import",Database!$E:$E,$B73,Database!$C:$C,N$1,Database!$F:$F,"Total")</f>
        <v>0</v>
      </c>
      <c r="O73" s="137">
        <f>SUMIFS(Database!$G:$G,Database!$D:$D,"Import",Database!$E:$E,$B73,Database!$C:$C,O$1,Database!$F:$F,"Total")</f>
        <v>0</v>
      </c>
      <c r="P73" s="137">
        <f>SUMIFS(Database!$G:$G,Database!$D:$D,"Import",Database!$E:$E,$B73,Database!$C:$C,P$1,Database!$F:$F,"Total")</f>
        <v>0</v>
      </c>
      <c r="Q73" s="137">
        <f>SUMIFS(Database!$G:$G,Database!$D:$D,"Import",Database!$E:$E,$B73,Database!$C:$C,Q$1,Database!$F:$F,"Total")</f>
        <v>0</v>
      </c>
      <c r="R73" s="137">
        <f>SUMIFS(Database!$G:$G,Database!$D:$D,"Import",Database!$E:$E,$B73,Database!$C:$C,R$1,Database!$F:$F,"Total")</f>
        <v>0</v>
      </c>
      <c r="S73" s="137">
        <f>SUMIFS(Database!$G:$G,Database!$D:$D,"Import",Database!$E:$E,$B73,Database!$C:$C,S$1,Database!$F:$F,"Total")</f>
        <v>0</v>
      </c>
      <c r="T73" s="137">
        <f>SUMIFS(Database!$G:$G,Database!$D:$D,"Import",Database!$E:$E,$B73,Database!$C:$C,T$1,Database!$F:$F,"Total")</f>
        <v>0</v>
      </c>
      <c r="U73" s="137">
        <f>SUMIFS(Database!$G:$G,Database!$D:$D,"Import",Database!$E:$E,$B73,Database!$C:$C,U$1,Database!$F:$F,"Total")</f>
        <v>0</v>
      </c>
      <c r="V73" s="137">
        <f>SUMIFS(Database!$G:$G,Database!$D:$D,"Import",Database!$E:$E,$B73,Database!$C:$C,V$1,Database!$F:$F,"Total")</f>
        <v>0</v>
      </c>
      <c r="W73" s="137">
        <f>SUMIFS(Database!$G:$G,Database!$D:$D,"Import",Database!$E:$E,$B73,Database!$C:$C,W$1,Database!$F:$F,"Total")</f>
        <v>0</v>
      </c>
      <c r="X73" s="137">
        <f>SUMIFS(Database!$G:$G,Database!$D:$D,"Import",Database!$E:$E,$B73,Database!$C:$C,X$1,Database!$F:$F,"Total")</f>
        <v>0</v>
      </c>
      <c r="Y73" s="137">
        <f>SUMIFS(Database!$G:$G,Database!$D:$D,"Import",Database!$E:$E,$B73,Database!$C:$C,Y$1,Database!$F:$F,"Total")</f>
        <v>0</v>
      </c>
      <c r="Z73" s="137">
        <f>SUMIFS(Database!$G:$G,Database!$D:$D,"Import",Database!$E:$E,$B73,Database!$C:$C,Z$1,Database!$F:$F,"Total")</f>
        <v>0</v>
      </c>
      <c r="AA73" s="137">
        <f>SUMIFS(Database!$G:$G,Database!$D:$D,"Import",Database!$E:$E,$B73,Database!$C:$C,AA$1,Database!$F:$F,"Total")</f>
        <v>0</v>
      </c>
      <c r="AB73" s="137">
        <f>SUMIFS(Database!$G:$G,Database!$D:$D,"Import",Database!$E:$E,$B73,Database!$C:$C,AB$1,Database!$F:$F,"Total")</f>
        <v>0</v>
      </c>
      <c r="AC73" s="137">
        <f>SUMIFS(Database!$G:$G,Database!$D:$D,"Import",Database!$E:$E,$B73,Database!$C:$C,AC$1,Database!$F:$F,"Total")</f>
        <v>0</v>
      </c>
      <c r="AD73" s="137">
        <f>SUMIFS(Database!$G:$G,Database!$D:$D,"Import",Database!$E:$E,$B73,Database!$C:$C,AD$1,Database!$F:$F,"Total")</f>
        <v>0</v>
      </c>
      <c r="AE73" s="137">
        <f>SUMIFS(Database!$G:$G,Database!$D:$D,"Import",Database!$E:$E,$B73,Database!$C:$C,AE$1,Database!$F:$F,"Total")</f>
        <v>0</v>
      </c>
      <c r="AF73" s="137">
        <f>SUMIFS(Database!$G:$G,Database!$D:$D,"Import",Database!$E:$E,$B73,Database!$C:$C,AF$1,Database!$F:$F,"Total")</f>
        <v>0</v>
      </c>
      <c r="AG73" s="137">
        <f>SUMIFS(Database!$G:$G,Database!$D:$D,"Import",Database!$E:$E,$B73,Database!$C:$C,AG$1,Database!$F:$F,"Total")</f>
        <v>0</v>
      </c>
      <c r="AH73" s="137">
        <f>SUMIFS(Database!$G:$G,Database!$D:$D,"Import",Database!$E:$E,$B73,Database!$C:$C,AH$1,Database!$F:$F,"Total")</f>
        <v>0</v>
      </c>
      <c r="AI73" s="137">
        <f>SUMIFS(Database!$G:$G,Database!$D:$D,"Import",Database!$E:$E,$B73,Database!$C:$C,AI$1,Database!$F:$F,"Total")</f>
        <v>0</v>
      </c>
      <c r="AJ73" s="137">
        <f>SUMIFS(Database!$G:$G,Database!$D:$D,"Import",Database!$E:$E,$B73,Database!$C:$C,AJ$1,Database!$F:$F,"Total")</f>
        <v>10711</v>
      </c>
      <c r="AK73" s="137">
        <f>SUMIFS(Database!$G:$G,Database!$D:$D,"Import",Database!$E:$E,$B73,Database!$C:$C,AK$1,Database!$F:$F,"Total")</f>
        <v>0</v>
      </c>
      <c r="AL73" s="137">
        <f>SUMIFS(Database!$G:$G,Database!$D:$D,"Import",Database!$E:$E,$B73,Database!$C:$C,AL$1,Database!$F:$F,"Total")</f>
        <v>0</v>
      </c>
      <c r="AM73" s="137">
        <f>SUMIFS(Database!$G:$G,Database!$D:$D,"Import",Database!$E:$E,$B73,Database!$C:$C,AM$1,Database!$F:$F,"Total")</f>
        <v>0</v>
      </c>
      <c r="AN73" s="137">
        <f>SUMIFS(Database!$G:$G,Database!$D:$D,"Import",Database!$E:$E,$B73,Database!$C:$C,AN$1,Database!$F:$F,"Total")</f>
        <v>0</v>
      </c>
      <c r="AO73" s="137">
        <f>SUMIFS(Database!$G:$G,Database!$D:$D,"Import",Database!$E:$E,$B73,Database!$C:$C,AO$1,Database!$F:$F,"Total")</f>
        <v>0</v>
      </c>
      <c r="AP73" s="137">
        <f>SUMIFS(Database!$G:$G,Database!$D:$D,"Import",Database!$E:$E,$B73,Database!$C:$C,AP$1,Database!$F:$F,"Total")</f>
        <v>0</v>
      </c>
      <c r="AQ73" s="137">
        <f>SUMIFS(Database!$G:$G,Database!$D:$D,"Import",Database!$E:$E,$B73,Database!$C:$C,AQ$1,Database!$F:$F,"Total")</f>
        <v>0</v>
      </c>
      <c r="AR73" s="137">
        <f>SUMIFS(Database!$G:$G,Database!$D:$D,"Import",Database!$E:$E,$B73,Database!$C:$C,AR$1,Database!$F:$F,"Total")</f>
        <v>0</v>
      </c>
      <c r="AS73" s="137">
        <f>SUMIFS(Database!$G:$G,Database!$D:$D,"Import",Database!$E:$E,$B73,Database!$C:$C,AS$1,Database!$F:$F,"Total")</f>
        <v>0</v>
      </c>
      <c r="AT73" s="137">
        <f>SUMIFS(Database!$G:$G,Database!$D:$D,"Import",Database!$E:$E,$B73,Database!$C:$C,AT$1,Database!$F:$F,"Total")</f>
        <v>0</v>
      </c>
      <c r="AU73" s="137">
        <f>SUMIFS(Database!$G:$G,Database!$D:$D,"Import",Database!$E:$E,$B73,Database!$C:$C,AU$1,Database!$F:$F,"Total")</f>
        <v>0</v>
      </c>
      <c r="AV73" s="137">
        <f>SUMIFS(Database!$G:$G,Database!$D:$D,"Import",Database!$E:$E,$B73,Database!$C:$C,AV$1,Database!$F:$F,"Total")</f>
        <v>0</v>
      </c>
      <c r="AW73" s="137">
        <f>SUMIFS(Database!$G:$G,Database!$D:$D,"Import",Database!$E:$E,$B73,Database!$C:$C,AW$1,Database!$F:$F,"Total")</f>
        <v>0</v>
      </c>
      <c r="AX73" s="137">
        <f>SUMIFS(Database!$G:$G,Database!$D:$D,"Import",Database!$E:$E,$B73,Database!$C:$C,AX$1,Database!$F:$F,"Total")</f>
        <v>0</v>
      </c>
      <c r="AY73" s="137">
        <f>SUMIFS(Database!$G:$G,Database!$D:$D,"Import",Database!$E:$E,$B73,Database!$C:$C,AY$1,Database!$F:$F,"Total")</f>
        <v>0</v>
      </c>
      <c r="AZ73" s="137">
        <f>SUMIFS(Database!$G:$G,Database!$D:$D,"Import",Database!$E:$E,$B73,Database!$C:$C,AZ$1,Database!$F:$F,"Total")</f>
        <v>0</v>
      </c>
      <c r="BA73" s="137">
        <f>SUMIFS(Database!$G:$G,Database!$D:$D,"Import",Database!$E:$E,$B73,Database!$C:$C,BA$1,Database!$F:$F,"Total")</f>
        <v>0</v>
      </c>
      <c r="BB73" s="137">
        <f>SUMIFS(Database!$G:$G,Database!$D:$D,"Import",Database!$E:$E,$B73,Database!$C:$C,BB$1,Database!$F:$F,"Total")</f>
        <v>0</v>
      </c>
      <c r="BC73" s="137">
        <f>SUMIFS(Database!$G:$G,Database!$D:$D,"Import",Database!$E:$E,$B73,Database!$C:$C,BC$1,Database!$F:$F,"Total")</f>
        <v>0</v>
      </c>
      <c r="BD73" s="137">
        <f>SUMIFS(Database!$G:$G,Database!$D:$D,"Import",Database!$E:$E,$B73,Database!$C:$C,BD$1,Database!$F:$F,"Total")</f>
        <v>0</v>
      </c>
      <c r="BE73" s="137">
        <f>SUMIFS(Database!$G:$G,Database!$D:$D,"Import",Database!$E:$E,$B73,Database!$C:$C,BE$1,Database!$F:$F,"Total")</f>
        <v>0</v>
      </c>
      <c r="BF73" s="137">
        <f>SUMIFS(Database!$G:$G,Database!$D:$D,"Import",Database!$E:$E,$B73,Database!$C:$C,BF$1,Database!$F:$F,"Total")</f>
        <v>0</v>
      </c>
      <c r="BG73" s="137">
        <f>SUMIFS(Database!$G:$G,Database!$D:$D,"Import",Database!$E:$E,$B73,Database!$C:$C,BG$1,Database!$F:$F,"Total")</f>
        <v>0</v>
      </c>
      <c r="BH73" s="137">
        <f>SUMIFS(Database!$G:$G,Database!$D:$D,"Import",Database!$E:$E,$B73,Database!$C:$C,BH$1,Database!$F:$F,"Total")</f>
        <v>0</v>
      </c>
      <c r="BI73" s="137">
        <f>SUMIFS(Database!$G:$G,Database!$D:$D,"Import",Database!$E:$E,$B73,Database!$C:$C,BI$1,Database!$F:$F,"Total")</f>
        <v>0</v>
      </c>
      <c r="BJ73" s="137">
        <f>SUMIFS(Database!$G:$G,Database!$D:$D,"Import",Database!$E:$E,$B73,Database!$C:$C,BJ$1,Database!$F:$F,"Total")</f>
        <v>0</v>
      </c>
      <c r="BK73" s="137">
        <f>SUMIFS(Database!$G:$G,Database!$D:$D,"Import",Database!$E:$E,$B73,Database!$C:$C,BK$1,Database!$F:$F,"Total")</f>
        <v>0</v>
      </c>
      <c r="BL73" s="137">
        <f>SUMIFS(Database!$G:$G,Database!$D:$D,"Import",Database!$E:$E,$B73,Database!$C:$C,BL$1,Database!$F:$F,"Total")</f>
        <v>0</v>
      </c>
      <c r="BM73" s="137">
        <f>SUMIFS(Database!$G:$G,Database!$D:$D,"Import",Database!$E:$E,$B73,Database!$C:$C,BM$1,Database!$F:$F,"Total")</f>
        <v>0</v>
      </c>
      <c r="BN73" s="137">
        <f>SUMIFS(Database!$G:$G,Database!$D:$D,"Import",Database!$E:$E,$B73,Database!$C:$C,BN$1,Database!$F:$F,"Total")</f>
        <v>0</v>
      </c>
      <c r="BO73" s="137">
        <f>SUMIFS(Database!$G:$G,Database!$D:$D,"Import",Database!$E:$E,$B73,Database!$C:$C,BO$1,Database!$F:$F,"Total")</f>
        <v>0</v>
      </c>
      <c r="BP73" s="137">
        <f>SUMIFS(Database!$G:$G,Database!$D:$D,"Import",Database!$E:$E,$B73,Database!$C:$C,BP$1,Database!$F:$F,"Total")</f>
        <v>0</v>
      </c>
      <c r="BQ73" s="137">
        <f>SUMIFS(Database!$G:$G,Database!$D:$D,"Import",Database!$E:$E,$B73,Database!$C:$C,BQ$1,Database!$F:$F,"Total")</f>
        <v>0</v>
      </c>
      <c r="BR73" s="137">
        <f>SUMIFS(Database!$G:$G,Database!$D:$D,"Import",Database!$E:$E,$B73,Database!$C:$C,BR$1,Database!$F:$F,"Total")</f>
        <v>0</v>
      </c>
      <c r="BS73" s="137">
        <f>SUMIFS(Database!$G:$G,Database!$D:$D,"Import",Database!$E:$E,$B73,Database!$C:$C,BS$1,Database!$F:$F,"Total")</f>
        <v>0</v>
      </c>
      <c r="BT73" s="137">
        <f>SUMIFS(Database!$G:$G,Database!$D:$D,"Import",Database!$E:$E,$B73,Database!$C:$C,BT$1,Database!$F:$F,"Total")</f>
        <v>0</v>
      </c>
      <c r="BU73" s="137">
        <f>SUMIFS(Database!$G:$G,Database!$D:$D,"Import",Database!$E:$E,$B73,Database!$C:$C,BU$1,Database!$F:$F,"Total")</f>
        <v>0</v>
      </c>
      <c r="BV73" s="137">
        <f>SUMIFS(Database!$G:$G,Database!$D:$D,"Import",Database!$E:$E,$B73,Database!$C:$C,BV$1,Database!$F:$F,"Total")</f>
        <v>0</v>
      </c>
      <c r="BW73" s="137">
        <f>SUMIFS(Database!$G:$G,Database!$D:$D,"Import",Database!$E:$E,$B73,Database!$C:$C,BW$1,Database!$F:$F,"Total")</f>
        <v>0</v>
      </c>
      <c r="BX73" s="137">
        <f>SUMIFS(Database!$G:$G,Database!$D:$D,"Import",Database!$E:$E,$B73,Database!$C:$C,BX$1,Database!$F:$F,"Total")</f>
        <v>0</v>
      </c>
      <c r="BY73" s="137">
        <f>SUMIFS(Database!$G:$G,Database!$D:$D,"Import",Database!$E:$E,$B73,Database!$C:$C,BY$1,Database!$F:$F,"Total")</f>
        <v>0</v>
      </c>
      <c r="BZ73" s="137">
        <f>SUMIFS(Database!$G:$G,Database!$D:$D,"Import",Database!$E:$E,$B73,Database!$C:$C,BZ$1,Database!$F:$F,"Total")</f>
        <v>0</v>
      </c>
      <c r="CA73" s="137">
        <f>SUMIFS(Database!$G:$G,Database!$D:$D,"Import",Database!$E:$E,$B73,Database!$C:$C,CA$1,Database!$F:$F,"Total")</f>
        <v>0</v>
      </c>
      <c r="CB73" s="137">
        <f>SUMIFS(Database!$G:$G,Database!$D:$D,"Import",Database!$E:$E,$B73,Database!$C:$C,CB$1,Database!$F:$F,"Total")</f>
        <v>0</v>
      </c>
      <c r="CC73" s="137">
        <f>SUMIFS(Database!$G:$G,Database!$D:$D,"Import",Database!$E:$E,$B73,Database!$C:$C,CC$1,Database!$F:$F,"Total")</f>
        <v>0</v>
      </c>
      <c r="CD73" s="137">
        <f>SUMIFS(Database!$G:$G,Database!$D:$D,"Import",Database!$E:$E,$B73,Database!$C:$C,CD$1,Database!$F:$F,"Total")</f>
        <v>0</v>
      </c>
      <c r="CE73" s="137">
        <f>SUMIFS(Database!$G:$G,Database!$D:$D,"Import",Database!$E:$E,$B73,Database!$C:$C,CE$1,Database!$F:$F,"Total")</f>
        <v>0</v>
      </c>
      <c r="CF73" s="137">
        <f>SUMIFS(Database!$G:$G,Database!$D:$D,"Import",Database!$E:$E,$B73,Database!$C:$C,CF$1,Database!$F:$F,"Total")</f>
        <v>0</v>
      </c>
      <c r="CG73" s="137">
        <f>SUMIFS(Database!$G:$G,Database!$D:$D,"Import",Database!$E:$E,$B73,Database!$C:$C,CG$1,Database!$F:$F,"Total")</f>
        <v>0</v>
      </c>
      <c r="CH73" s="137">
        <f>SUMIFS(Database!$G:$G,Database!$D:$D,"Import",Database!$E:$E,$B73,Database!$C:$C,CH$1,Database!$F:$F,"Total")</f>
        <v>0</v>
      </c>
      <c r="CI73" s="137">
        <f>SUMIFS(Database!$G:$G,Database!$D:$D,"Import",Database!$E:$E,$B73,Database!$C:$C,CI$1,Database!$F:$F,"Total")</f>
        <v>0</v>
      </c>
      <c r="CJ73" s="137">
        <f>SUMIFS(Database!$G:$G,Database!$D:$D,"Import",Database!$E:$E,$B73,Database!$C:$C,CJ$1,Database!$F:$F,"Total")</f>
        <v>0</v>
      </c>
      <c r="CK73" s="137">
        <f>SUMIFS(Database!$G:$G,Database!$D:$D,"Import",Database!$E:$E,$B73,Database!$C:$C,CK$1,Database!$F:$F,"Total")</f>
        <v>0</v>
      </c>
      <c r="CL73" s="137">
        <f>SUMIFS(Database!$G:$G,Database!$D:$D,"Import",Database!$E:$E,$B73,Database!$C:$C,CL$1,Database!$F:$F,"Total")</f>
        <v>0</v>
      </c>
      <c r="CM73" s="137">
        <f>SUMIFS(Database!$G:$G,Database!$D:$D,"Import",Database!$E:$E,$B73,Database!$C:$C,CM$1,Database!$F:$F,"Total")</f>
        <v>0</v>
      </c>
      <c r="CN73" s="137">
        <f>SUMIFS(Database!$G:$G,Database!$D:$D,"Import",Database!$E:$E,$B73,Database!$C:$C,CN$1,Database!$F:$F,"Total")</f>
        <v>0</v>
      </c>
      <c r="CO73" s="137">
        <f>SUMIFS(Database!$G:$G,Database!$D:$D,"Import",Database!$E:$E,$B73,Database!$C:$C,CO$1,Database!$F:$F,"Total")</f>
        <v>0</v>
      </c>
      <c r="CP73" s="137">
        <f>SUMIFS(Database!$G:$G,Database!$D:$D,"Import",Database!$E:$E,$B73,Database!$C:$C,CP$1,Database!$F:$F,"Total")</f>
        <v>0</v>
      </c>
      <c r="CQ73" s="137">
        <f>SUMIFS(Database!$G:$G,Database!$D:$D,"Import",Database!$E:$E,$B73,Database!$C:$C,CQ$1,Database!$F:$F,"Total")</f>
        <v>0</v>
      </c>
      <c r="CR73" s="137">
        <f>SUMIFS(Database!$G:$G,Database!$D:$D,"Import",Database!$E:$E,$B73,Database!$C:$C,CR$1,Database!$F:$F,"Total")</f>
        <v>0</v>
      </c>
      <c r="CS73" s="137">
        <f>SUMIFS(Database!$G:$G,Database!$D:$D,"Import",Database!$E:$E,$B73,Database!$C:$C,CS$1,Database!$F:$F,"Total")</f>
        <v>0</v>
      </c>
      <c r="CT73" s="137">
        <f>SUMIFS(Database!$G:$G,Database!$D:$D,"Import",Database!$E:$E,$B73,Database!$C:$C,CT$1,Database!$F:$F,"Total")</f>
        <v>0</v>
      </c>
      <c r="CU73" s="137">
        <f>SUMIFS(Database!$G:$G,Database!$D:$D,"Import",Database!$E:$E,$B73,Database!$C:$C,CU$1,Database!$F:$F,"Total")</f>
        <v>0</v>
      </c>
    </row>
    <row r="74" spans="1:99" x14ac:dyDescent="0.25">
      <c r="A74" s="132" t="s">
        <v>484</v>
      </c>
      <c r="B74" s="133" t="s">
        <v>383</v>
      </c>
      <c r="C74" s="137">
        <f>SUMIFS(Database!$G:$G,Database!$D:$D,"Import",Database!$E:$E,$B74,Database!$C:$C,C$1,Database!$F:$F,"Total")</f>
        <v>0</v>
      </c>
      <c r="D74" s="137">
        <f>SUMIFS(Database!$G:$G,Database!$D:$D,"Import",Database!$E:$E,$B74,Database!$C:$C,D$1,Database!$F:$F,"Total")</f>
        <v>0</v>
      </c>
      <c r="E74" s="137">
        <f>SUMIFS(Database!$G:$G,Database!$D:$D,"Import",Database!$E:$E,$B74,Database!$C:$C,E$1,Database!$F:$F,"Total")</f>
        <v>0</v>
      </c>
      <c r="F74" s="137">
        <f>SUMIFS(Database!$G:$G,Database!$D:$D,"Import",Database!$E:$E,$B74,Database!$C:$C,F$1,Database!$F:$F,"Total")</f>
        <v>0</v>
      </c>
      <c r="G74" s="137">
        <f>SUMIFS(Database!$G:$G,Database!$D:$D,"Import",Database!$E:$E,$B74,Database!$C:$C,G$1,Database!$F:$F,"Total")</f>
        <v>0</v>
      </c>
      <c r="H74" s="137">
        <f>SUMIFS(Database!$G:$G,Database!$D:$D,"Import",Database!$E:$E,$B74,Database!$C:$C,H$1,Database!$F:$F,"Total")</f>
        <v>0</v>
      </c>
      <c r="I74" s="137">
        <f>SUMIFS(Database!$G:$G,Database!$D:$D,"Import",Database!$E:$E,$B74,Database!$C:$C,I$1,Database!$F:$F,"Total")</f>
        <v>0</v>
      </c>
      <c r="J74" s="137">
        <f>SUMIFS(Database!$G:$G,Database!$D:$D,"Import",Database!$E:$E,$B74,Database!$C:$C,J$1,Database!$F:$F,"Total")</f>
        <v>0</v>
      </c>
      <c r="K74" s="137">
        <f>SUMIFS(Database!$G:$G,Database!$D:$D,"Import",Database!$E:$E,$B74,Database!$C:$C,K$1,Database!$F:$F,"Total")</f>
        <v>0</v>
      </c>
      <c r="L74" s="137">
        <f>SUMIFS(Database!$G:$G,Database!$D:$D,"Import",Database!$E:$E,$B74,Database!$C:$C,L$1,Database!$F:$F,"Total")</f>
        <v>0</v>
      </c>
      <c r="M74" s="137">
        <f>SUMIFS(Database!$G:$G,Database!$D:$D,"Import",Database!$E:$E,$B74,Database!$C:$C,M$1,Database!$F:$F,"Total")</f>
        <v>0</v>
      </c>
      <c r="N74" s="137">
        <f>SUMIFS(Database!$G:$G,Database!$D:$D,"Import",Database!$E:$E,$B74,Database!$C:$C,N$1,Database!$F:$F,"Total")</f>
        <v>0</v>
      </c>
      <c r="O74" s="137">
        <f>SUMIFS(Database!$G:$G,Database!$D:$D,"Import",Database!$E:$E,$B74,Database!$C:$C,O$1,Database!$F:$F,"Total")</f>
        <v>0</v>
      </c>
      <c r="P74" s="137">
        <f>SUMIFS(Database!$G:$G,Database!$D:$D,"Import",Database!$E:$E,$B74,Database!$C:$C,P$1,Database!$F:$F,"Total")</f>
        <v>0</v>
      </c>
      <c r="Q74" s="137">
        <f>SUMIFS(Database!$G:$G,Database!$D:$D,"Import",Database!$E:$E,$B74,Database!$C:$C,Q$1,Database!$F:$F,"Total")</f>
        <v>0</v>
      </c>
      <c r="R74" s="137">
        <f>SUMIFS(Database!$G:$G,Database!$D:$D,"Import",Database!$E:$E,$B74,Database!$C:$C,R$1,Database!$F:$F,"Total")</f>
        <v>0</v>
      </c>
      <c r="S74" s="137">
        <f>SUMIFS(Database!$G:$G,Database!$D:$D,"Import",Database!$E:$E,$B74,Database!$C:$C,S$1,Database!$F:$F,"Total")</f>
        <v>0</v>
      </c>
      <c r="T74" s="137">
        <f>SUMIFS(Database!$G:$G,Database!$D:$D,"Import",Database!$E:$E,$B74,Database!$C:$C,T$1,Database!$F:$F,"Total")</f>
        <v>0</v>
      </c>
      <c r="U74" s="137">
        <f>SUMIFS(Database!$G:$G,Database!$D:$D,"Import",Database!$E:$E,$B74,Database!$C:$C,U$1,Database!$F:$F,"Total")</f>
        <v>0</v>
      </c>
      <c r="V74" s="137">
        <f>SUMIFS(Database!$G:$G,Database!$D:$D,"Import",Database!$E:$E,$B74,Database!$C:$C,V$1,Database!$F:$F,"Total")</f>
        <v>0</v>
      </c>
      <c r="W74" s="137">
        <f>SUMIFS(Database!$G:$G,Database!$D:$D,"Import",Database!$E:$E,$B74,Database!$C:$C,W$1,Database!$F:$F,"Total")</f>
        <v>0</v>
      </c>
      <c r="X74" s="137">
        <f>SUMIFS(Database!$G:$G,Database!$D:$D,"Import",Database!$E:$E,$B74,Database!$C:$C,X$1,Database!$F:$F,"Total")</f>
        <v>0</v>
      </c>
      <c r="Y74" s="137">
        <f>SUMIFS(Database!$G:$G,Database!$D:$D,"Import",Database!$E:$E,$B74,Database!$C:$C,Y$1,Database!$F:$F,"Total")</f>
        <v>0</v>
      </c>
      <c r="Z74" s="137">
        <f>SUMIFS(Database!$G:$G,Database!$D:$D,"Import",Database!$E:$E,$B74,Database!$C:$C,Z$1,Database!$F:$F,"Total")</f>
        <v>0</v>
      </c>
      <c r="AA74" s="137">
        <f>SUMIFS(Database!$G:$G,Database!$D:$D,"Import",Database!$E:$E,$B74,Database!$C:$C,AA$1,Database!$F:$F,"Total")</f>
        <v>0</v>
      </c>
      <c r="AB74" s="137">
        <f>SUMIFS(Database!$G:$G,Database!$D:$D,"Import",Database!$E:$E,$B74,Database!$C:$C,AB$1,Database!$F:$F,"Total")</f>
        <v>0</v>
      </c>
      <c r="AC74" s="137">
        <f>SUMIFS(Database!$G:$G,Database!$D:$D,"Import",Database!$E:$E,$B74,Database!$C:$C,AC$1,Database!$F:$F,"Total")</f>
        <v>0</v>
      </c>
      <c r="AD74" s="137">
        <f>SUMIFS(Database!$G:$G,Database!$D:$D,"Import",Database!$E:$E,$B74,Database!$C:$C,AD$1,Database!$F:$F,"Total")</f>
        <v>0</v>
      </c>
      <c r="AE74" s="137">
        <f>SUMIFS(Database!$G:$G,Database!$D:$D,"Import",Database!$E:$E,$B74,Database!$C:$C,AE$1,Database!$F:$F,"Total")</f>
        <v>0</v>
      </c>
      <c r="AF74" s="137">
        <f>SUMIFS(Database!$G:$G,Database!$D:$D,"Import",Database!$E:$E,$B74,Database!$C:$C,AF$1,Database!$F:$F,"Total")</f>
        <v>0</v>
      </c>
      <c r="AG74" s="137">
        <f>SUMIFS(Database!$G:$G,Database!$D:$D,"Import",Database!$E:$E,$B74,Database!$C:$C,AG$1,Database!$F:$F,"Total")</f>
        <v>0</v>
      </c>
      <c r="AH74" s="137">
        <f>SUMIFS(Database!$G:$G,Database!$D:$D,"Import",Database!$E:$E,$B74,Database!$C:$C,AH$1,Database!$F:$F,"Total")</f>
        <v>0</v>
      </c>
      <c r="AI74" s="137">
        <f>SUMIFS(Database!$G:$G,Database!$D:$D,"Import",Database!$E:$E,$B74,Database!$C:$C,AI$1,Database!$F:$F,"Total")</f>
        <v>0</v>
      </c>
      <c r="AJ74" s="137">
        <f>SUMIFS(Database!$G:$G,Database!$D:$D,"Import",Database!$E:$E,$B74,Database!$C:$C,AJ$1,Database!$F:$F,"Total")</f>
        <v>0</v>
      </c>
      <c r="AK74" s="137">
        <f>SUMIFS(Database!$G:$G,Database!$D:$D,"Import",Database!$E:$E,$B74,Database!$C:$C,AK$1,Database!$F:$F,"Total")</f>
        <v>0</v>
      </c>
      <c r="AL74" s="137">
        <f>SUMIFS(Database!$G:$G,Database!$D:$D,"Import",Database!$E:$E,$B74,Database!$C:$C,AL$1,Database!$F:$F,"Total")</f>
        <v>0</v>
      </c>
      <c r="AM74" s="137">
        <f>SUMIFS(Database!$G:$G,Database!$D:$D,"Import",Database!$E:$E,$B74,Database!$C:$C,AM$1,Database!$F:$F,"Total")</f>
        <v>0</v>
      </c>
      <c r="AN74" s="137">
        <f>SUMIFS(Database!$G:$G,Database!$D:$D,"Import",Database!$E:$E,$B74,Database!$C:$C,AN$1,Database!$F:$F,"Total")</f>
        <v>0</v>
      </c>
      <c r="AO74" s="137">
        <f>SUMIFS(Database!$G:$G,Database!$D:$D,"Import",Database!$E:$E,$B74,Database!$C:$C,AO$1,Database!$F:$F,"Total")</f>
        <v>0</v>
      </c>
      <c r="AP74" s="137">
        <f>SUMIFS(Database!$G:$G,Database!$D:$D,"Import",Database!$E:$E,$B74,Database!$C:$C,AP$1,Database!$F:$F,"Total")</f>
        <v>0</v>
      </c>
      <c r="AQ74" s="137">
        <f>SUMIFS(Database!$G:$G,Database!$D:$D,"Import",Database!$E:$E,$B74,Database!$C:$C,AQ$1,Database!$F:$F,"Total")</f>
        <v>0</v>
      </c>
      <c r="AR74" s="137">
        <f>SUMIFS(Database!$G:$G,Database!$D:$D,"Import",Database!$E:$E,$B74,Database!$C:$C,AR$1,Database!$F:$F,"Total")</f>
        <v>0</v>
      </c>
      <c r="AS74" s="137">
        <f>SUMIFS(Database!$G:$G,Database!$D:$D,"Import",Database!$E:$E,$B74,Database!$C:$C,AS$1,Database!$F:$F,"Total")</f>
        <v>0</v>
      </c>
      <c r="AT74" s="137">
        <f>SUMIFS(Database!$G:$G,Database!$D:$D,"Import",Database!$E:$E,$B74,Database!$C:$C,AT$1,Database!$F:$F,"Total")</f>
        <v>0</v>
      </c>
      <c r="AU74" s="137">
        <f>SUMIFS(Database!$G:$G,Database!$D:$D,"Import",Database!$E:$E,$B74,Database!$C:$C,AU$1,Database!$F:$F,"Total")</f>
        <v>2432</v>
      </c>
      <c r="AV74" s="137">
        <f>SUMIFS(Database!$G:$G,Database!$D:$D,"Import",Database!$E:$E,$B74,Database!$C:$C,AV$1,Database!$F:$F,"Total")</f>
        <v>1183</v>
      </c>
      <c r="AW74" s="137">
        <f>SUMIFS(Database!$G:$G,Database!$D:$D,"Import",Database!$E:$E,$B74,Database!$C:$C,AW$1,Database!$F:$F,"Total")</f>
        <v>1354</v>
      </c>
      <c r="AX74" s="137">
        <f>SUMIFS(Database!$G:$G,Database!$D:$D,"Import",Database!$E:$E,$B74,Database!$C:$C,AX$1,Database!$F:$F,"Total")</f>
        <v>0</v>
      </c>
      <c r="AY74" s="137">
        <f>SUMIFS(Database!$G:$G,Database!$D:$D,"Import",Database!$E:$E,$B74,Database!$C:$C,AY$1,Database!$F:$F,"Total")</f>
        <v>0</v>
      </c>
      <c r="AZ74" s="137">
        <f>SUMIFS(Database!$G:$G,Database!$D:$D,"Import",Database!$E:$E,$B74,Database!$C:$C,AZ$1,Database!$F:$F,"Total")</f>
        <v>0</v>
      </c>
      <c r="BA74" s="137">
        <f>SUMIFS(Database!$G:$G,Database!$D:$D,"Import",Database!$E:$E,$B74,Database!$C:$C,BA$1,Database!$F:$F,"Total")</f>
        <v>733</v>
      </c>
      <c r="BB74" s="137">
        <f>SUMIFS(Database!$G:$G,Database!$D:$D,"Import",Database!$E:$E,$B74,Database!$C:$C,BB$1,Database!$F:$F,"Total")</f>
        <v>750</v>
      </c>
      <c r="BC74" s="137">
        <f>SUMIFS(Database!$G:$G,Database!$D:$D,"Import",Database!$E:$E,$B74,Database!$C:$C,BC$1,Database!$F:$F,"Total")</f>
        <v>357</v>
      </c>
      <c r="BD74" s="137">
        <f>SUMIFS(Database!$G:$G,Database!$D:$D,"Import",Database!$E:$E,$B74,Database!$C:$C,BD$1,Database!$F:$F,"Total")</f>
        <v>651</v>
      </c>
      <c r="BE74" s="137">
        <f>SUMIFS(Database!$G:$G,Database!$D:$D,"Import",Database!$E:$E,$B74,Database!$C:$C,BE$1,Database!$F:$F,"Total")</f>
        <v>1173</v>
      </c>
      <c r="BF74" s="137">
        <f>SUMIFS(Database!$G:$G,Database!$D:$D,"Import",Database!$E:$E,$B74,Database!$C:$C,BF$1,Database!$F:$F,"Total")</f>
        <v>834</v>
      </c>
      <c r="BG74" s="137">
        <f>SUMIFS(Database!$G:$G,Database!$D:$D,"Import",Database!$E:$E,$B74,Database!$C:$C,BG$1,Database!$F:$F,"Total")</f>
        <v>728</v>
      </c>
      <c r="BH74" s="137">
        <f>SUMIFS(Database!$G:$G,Database!$D:$D,"Import",Database!$E:$E,$B74,Database!$C:$C,BH$1,Database!$F:$F,"Total")</f>
        <v>0</v>
      </c>
      <c r="BI74" s="137">
        <f>SUMIFS(Database!$G:$G,Database!$D:$D,"Import",Database!$E:$E,$B74,Database!$C:$C,BI$1,Database!$F:$F,"Total")</f>
        <v>0</v>
      </c>
      <c r="BJ74" s="137">
        <f>SUMIFS(Database!$G:$G,Database!$D:$D,"Import",Database!$E:$E,$B74,Database!$C:$C,BJ$1,Database!$F:$F,"Total")</f>
        <v>0</v>
      </c>
      <c r="BK74" s="137">
        <f>SUMIFS(Database!$G:$G,Database!$D:$D,"Import",Database!$E:$E,$B74,Database!$C:$C,BK$1,Database!$F:$F,"Total")</f>
        <v>0</v>
      </c>
      <c r="BL74" s="137">
        <f>SUMIFS(Database!$G:$G,Database!$D:$D,"Import",Database!$E:$E,$B74,Database!$C:$C,BL$1,Database!$F:$F,"Total")</f>
        <v>0</v>
      </c>
      <c r="BM74" s="137">
        <f>SUMIFS(Database!$G:$G,Database!$D:$D,"Import",Database!$E:$E,$B74,Database!$C:$C,BM$1,Database!$F:$F,"Total")</f>
        <v>0</v>
      </c>
      <c r="BN74" s="137">
        <f>SUMIFS(Database!$G:$G,Database!$D:$D,"Import",Database!$E:$E,$B74,Database!$C:$C,BN$1,Database!$F:$F,"Total")</f>
        <v>0</v>
      </c>
      <c r="BO74" s="137">
        <f>SUMIFS(Database!$G:$G,Database!$D:$D,"Import",Database!$E:$E,$B74,Database!$C:$C,BO$1,Database!$F:$F,"Total")</f>
        <v>0</v>
      </c>
      <c r="BP74" s="137">
        <f>SUMIFS(Database!$G:$G,Database!$D:$D,"Import",Database!$E:$E,$B74,Database!$C:$C,BP$1,Database!$F:$F,"Total")</f>
        <v>0</v>
      </c>
      <c r="BQ74" s="137">
        <f>SUMIFS(Database!$G:$G,Database!$D:$D,"Import",Database!$E:$E,$B74,Database!$C:$C,BQ$1,Database!$F:$F,"Total")</f>
        <v>0</v>
      </c>
      <c r="BR74" s="137">
        <f>SUMIFS(Database!$G:$G,Database!$D:$D,"Import",Database!$E:$E,$B74,Database!$C:$C,BR$1,Database!$F:$F,"Total")</f>
        <v>0</v>
      </c>
      <c r="BS74" s="137">
        <f>SUMIFS(Database!$G:$G,Database!$D:$D,"Import",Database!$E:$E,$B74,Database!$C:$C,BS$1,Database!$F:$F,"Total")</f>
        <v>0</v>
      </c>
      <c r="BT74" s="137">
        <f>SUMIFS(Database!$G:$G,Database!$D:$D,"Import",Database!$E:$E,$B74,Database!$C:$C,BT$1,Database!$F:$F,"Total")</f>
        <v>0</v>
      </c>
      <c r="BU74" s="137">
        <f>SUMIFS(Database!$G:$G,Database!$D:$D,"Import",Database!$E:$E,$B74,Database!$C:$C,BU$1,Database!$F:$F,"Total")</f>
        <v>0</v>
      </c>
      <c r="BV74" s="137">
        <f>SUMIFS(Database!$G:$G,Database!$D:$D,"Import",Database!$E:$E,$B74,Database!$C:$C,BV$1,Database!$F:$F,"Total")</f>
        <v>0</v>
      </c>
      <c r="BW74" s="137">
        <f>SUMIFS(Database!$G:$G,Database!$D:$D,"Import",Database!$E:$E,$B74,Database!$C:$C,BW$1,Database!$F:$F,"Total")</f>
        <v>0</v>
      </c>
      <c r="BX74" s="137">
        <f>SUMIFS(Database!$G:$G,Database!$D:$D,"Import",Database!$E:$E,$B74,Database!$C:$C,BX$1,Database!$F:$F,"Total")</f>
        <v>0</v>
      </c>
      <c r="BY74" s="137">
        <f>SUMIFS(Database!$G:$G,Database!$D:$D,"Import",Database!$E:$E,$B74,Database!$C:$C,BY$1,Database!$F:$F,"Total")</f>
        <v>0</v>
      </c>
      <c r="BZ74" s="137">
        <f>SUMIFS(Database!$G:$G,Database!$D:$D,"Import",Database!$E:$E,$B74,Database!$C:$C,BZ$1,Database!$F:$F,"Total")</f>
        <v>0</v>
      </c>
      <c r="CA74" s="137">
        <f>SUMIFS(Database!$G:$G,Database!$D:$D,"Import",Database!$E:$E,$B74,Database!$C:$C,CA$1,Database!$F:$F,"Total")</f>
        <v>0</v>
      </c>
      <c r="CB74" s="137">
        <f>SUMIFS(Database!$G:$G,Database!$D:$D,"Import",Database!$E:$E,$B74,Database!$C:$C,CB$1,Database!$F:$F,"Total")</f>
        <v>0</v>
      </c>
      <c r="CC74" s="137">
        <f>SUMIFS(Database!$G:$G,Database!$D:$D,"Import",Database!$E:$E,$B74,Database!$C:$C,CC$1,Database!$F:$F,"Total")</f>
        <v>0</v>
      </c>
      <c r="CD74" s="137">
        <f>SUMIFS(Database!$G:$G,Database!$D:$D,"Import",Database!$E:$E,$B74,Database!$C:$C,CD$1,Database!$F:$F,"Total")</f>
        <v>0</v>
      </c>
      <c r="CE74" s="137">
        <f>SUMIFS(Database!$G:$G,Database!$D:$D,"Import",Database!$E:$E,$B74,Database!$C:$C,CE$1,Database!$F:$F,"Total")</f>
        <v>0</v>
      </c>
      <c r="CF74" s="137">
        <f>SUMIFS(Database!$G:$G,Database!$D:$D,"Import",Database!$E:$E,$B74,Database!$C:$C,CF$1,Database!$F:$F,"Total")</f>
        <v>0</v>
      </c>
      <c r="CG74" s="137">
        <f>SUMIFS(Database!$G:$G,Database!$D:$D,"Import",Database!$E:$E,$B74,Database!$C:$C,CG$1,Database!$F:$F,"Total")</f>
        <v>0</v>
      </c>
      <c r="CH74" s="137">
        <f>SUMIFS(Database!$G:$G,Database!$D:$D,"Import",Database!$E:$E,$B74,Database!$C:$C,CH$1,Database!$F:$F,"Total")</f>
        <v>0</v>
      </c>
      <c r="CI74" s="137">
        <f>SUMIFS(Database!$G:$G,Database!$D:$D,"Import",Database!$E:$E,$B74,Database!$C:$C,CI$1,Database!$F:$F,"Total")</f>
        <v>0</v>
      </c>
      <c r="CJ74" s="137">
        <f>SUMIFS(Database!$G:$G,Database!$D:$D,"Import",Database!$E:$E,$B74,Database!$C:$C,CJ$1,Database!$F:$F,"Total")</f>
        <v>0</v>
      </c>
      <c r="CK74" s="137">
        <f>SUMIFS(Database!$G:$G,Database!$D:$D,"Import",Database!$E:$E,$B74,Database!$C:$C,CK$1,Database!$F:$F,"Total")</f>
        <v>0</v>
      </c>
      <c r="CL74" s="137">
        <f>SUMIFS(Database!$G:$G,Database!$D:$D,"Import",Database!$E:$E,$B74,Database!$C:$C,CL$1,Database!$F:$F,"Total")</f>
        <v>0</v>
      </c>
      <c r="CM74" s="137">
        <f>SUMIFS(Database!$G:$G,Database!$D:$D,"Import",Database!$E:$E,$B74,Database!$C:$C,CM$1,Database!$F:$F,"Total")</f>
        <v>0</v>
      </c>
      <c r="CN74" s="137">
        <f>SUMIFS(Database!$G:$G,Database!$D:$D,"Import",Database!$E:$E,$B74,Database!$C:$C,CN$1,Database!$F:$F,"Total")</f>
        <v>0</v>
      </c>
      <c r="CO74" s="137">
        <f>SUMIFS(Database!$G:$G,Database!$D:$D,"Import",Database!$E:$E,$B74,Database!$C:$C,CO$1,Database!$F:$F,"Total")</f>
        <v>0</v>
      </c>
      <c r="CP74" s="137">
        <f>SUMIFS(Database!$G:$G,Database!$D:$D,"Import",Database!$E:$E,$B74,Database!$C:$C,CP$1,Database!$F:$F,"Total")</f>
        <v>0</v>
      </c>
      <c r="CQ74" s="137">
        <f>SUMIFS(Database!$G:$G,Database!$D:$D,"Import",Database!$E:$E,$B74,Database!$C:$C,CQ$1,Database!$F:$F,"Total")</f>
        <v>0</v>
      </c>
      <c r="CR74" s="137">
        <f>SUMIFS(Database!$G:$G,Database!$D:$D,"Import",Database!$E:$E,$B74,Database!$C:$C,CR$1,Database!$F:$F,"Total")</f>
        <v>0</v>
      </c>
      <c r="CS74" s="137">
        <f>SUMIFS(Database!$G:$G,Database!$D:$D,"Import",Database!$E:$E,$B74,Database!$C:$C,CS$1,Database!$F:$F,"Total")</f>
        <v>0</v>
      </c>
      <c r="CT74" s="137">
        <f>SUMIFS(Database!$G:$G,Database!$D:$D,"Import",Database!$E:$E,$B74,Database!$C:$C,CT$1,Database!$F:$F,"Total")</f>
        <v>0</v>
      </c>
      <c r="CU74" s="137">
        <f>SUMIFS(Database!$G:$G,Database!$D:$D,"Import",Database!$E:$E,$B74,Database!$C:$C,CU$1,Database!$F:$F,"Total")</f>
        <v>0</v>
      </c>
    </row>
    <row r="75" spans="1:99" x14ac:dyDescent="0.25">
      <c r="A75" s="132" t="s">
        <v>484</v>
      </c>
      <c r="B75" s="133" t="s">
        <v>384</v>
      </c>
      <c r="C75" s="137">
        <f>SUMIFS(Database!$G:$G,Database!$D:$D,"Import",Database!$E:$E,$B75,Database!$C:$C,C$1,Database!$F:$F,"Total")</f>
        <v>0</v>
      </c>
      <c r="D75" s="137">
        <f>SUMIFS(Database!$G:$G,Database!$D:$D,"Import",Database!$E:$E,$B75,Database!$C:$C,D$1,Database!$F:$F,"Total")</f>
        <v>0</v>
      </c>
      <c r="E75" s="137">
        <f>SUMIFS(Database!$G:$G,Database!$D:$D,"Import",Database!$E:$E,$B75,Database!$C:$C,E$1,Database!$F:$F,"Total")</f>
        <v>0</v>
      </c>
      <c r="F75" s="137">
        <f>SUMIFS(Database!$G:$G,Database!$D:$D,"Import",Database!$E:$E,$B75,Database!$C:$C,F$1,Database!$F:$F,"Total")</f>
        <v>0</v>
      </c>
      <c r="G75" s="137">
        <f>SUMIFS(Database!$G:$G,Database!$D:$D,"Import",Database!$E:$E,$B75,Database!$C:$C,G$1,Database!$F:$F,"Total")</f>
        <v>0</v>
      </c>
      <c r="H75" s="137">
        <f>SUMIFS(Database!$G:$G,Database!$D:$D,"Import",Database!$E:$E,$B75,Database!$C:$C,H$1,Database!$F:$F,"Total")</f>
        <v>0</v>
      </c>
      <c r="I75" s="137">
        <f>SUMIFS(Database!$G:$G,Database!$D:$D,"Import",Database!$E:$E,$B75,Database!$C:$C,I$1,Database!$F:$F,"Total")</f>
        <v>0</v>
      </c>
      <c r="J75" s="137">
        <f>SUMIFS(Database!$G:$G,Database!$D:$D,"Import",Database!$E:$E,$B75,Database!$C:$C,J$1,Database!$F:$F,"Total")</f>
        <v>0</v>
      </c>
      <c r="K75" s="137">
        <f>SUMIFS(Database!$G:$G,Database!$D:$D,"Import",Database!$E:$E,$B75,Database!$C:$C,K$1,Database!$F:$F,"Total")</f>
        <v>0</v>
      </c>
      <c r="L75" s="137">
        <f>SUMIFS(Database!$G:$G,Database!$D:$D,"Import",Database!$E:$E,$B75,Database!$C:$C,L$1,Database!$F:$F,"Total")</f>
        <v>0</v>
      </c>
      <c r="M75" s="137">
        <f>SUMIFS(Database!$G:$G,Database!$D:$D,"Import",Database!$E:$E,$B75,Database!$C:$C,M$1,Database!$F:$F,"Total")</f>
        <v>0</v>
      </c>
      <c r="N75" s="137">
        <f>SUMIFS(Database!$G:$G,Database!$D:$D,"Import",Database!$E:$E,$B75,Database!$C:$C,N$1,Database!$F:$F,"Total")</f>
        <v>0</v>
      </c>
      <c r="O75" s="137">
        <f>SUMIFS(Database!$G:$G,Database!$D:$D,"Import",Database!$E:$E,$B75,Database!$C:$C,O$1,Database!$F:$F,"Total")</f>
        <v>0</v>
      </c>
      <c r="P75" s="137">
        <f>SUMIFS(Database!$G:$G,Database!$D:$D,"Import",Database!$E:$E,$B75,Database!$C:$C,P$1,Database!$F:$F,"Total")</f>
        <v>0</v>
      </c>
      <c r="Q75" s="137">
        <f>SUMIFS(Database!$G:$G,Database!$D:$D,"Import",Database!$E:$E,$B75,Database!$C:$C,Q$1,Database!$F:$F,"Total")</f>
        <v>0</v>
      </c>
      <c r="R75" s="137">
        <f>SUMIFS(Database!$G:$G,Database!$D:$D,"Import",Database!$E:$E,$B75,Database!$C:$C,R$1,Database!$F:$F,"Total")</f>
        <v>0</v>
      </c>
      <c r="S75" s="137">
        <f>SUMIFS(Database!$G:$G,Database!$D:$D,"Import",Database!$E:$E,$B75,Database!$C:$C,S$1,Database!$F:$F,"Total")</f>
        <v>0</v>
      </c>
      <c r="T75" s="137">
        <f>SUMIFS(Database!$G:$G,Database!$D:$D,"Import",Database!$E:$E,$B75,Database!$C:$C,T$1,Database!$F:$F,"Total")</f>
        <v>0</v>
      </c>
      <c r="U75" s="137">
        <f>SUMIFS(Database!$G:$G,Database!$D:$D,"Import",Database!$E:$E,$B75,Database!$C:$C,U$1,Database!$F:$F,"Total")</f>
        <v>0</v>
      </c>
      <c r="V75" s="137">
        <f>SUMIFS(Database!$G:$G,Database!$D:$D,"Import",Database!$E:$E,$B75,Database!$C:$C,V$1,Database!$F:$F,"Total")</f>
        <v>0</v>
      </c>
      <c r="W75" s="137">
        <f>SUMIFS(Database!$G:$G,Database!$D:$D,"Import",Database!$E:$E,$B75,Database!$C:$C,W$1,Database!$F:$F,"Total")</f>
        <v>0</v>
      </c>
      <c r="X75" s="137">
        <f>SUMIFS(Database!$G:$G,Database!$D:$D,"Import",Database!$E:$E,$B75,Database!$C:$C,X$1,Database!$F:$F,"Total")</f>
        <v>0</v>
      </c>
      <c r="Y75" s="137">
        <f>SUMIFS(Database!$G:$G,Database!$D:$D,"Import",Database!$E:$E,$B75,Database!$C:$C,Y$1,Database!$F:$F,"Total")</f>
        <v>0</v>
      </c>
      <c r="Z75" s="137">
        <f>SUMIFS(Database!$G:$G,Database!$D:$D,"Import",Database!$E:$E,$B75,Database!$C:$C,Z$1,Database!$F:$F,"Total")</f>
        <v>0</v>
      </c>
      <c r="AA75" s="137">
        <f>SUMIFS(Database!$G:$G,Database!$D:$D,"Import",Database!$E:$E,$B75,Database!$C:$C,AA$1,Database!$F:$F,"Total")</f>
        <v>0</v>
      </c>
      <c r="AB75" s="137">
        <f>SUMIFS(Database!$G:$G,Database!$D:$D,"Import",Database!$E:$E,$B75,Database!$C:$C,AB$1,Database!$F:$F,"Total")</f>
        <v>0</v>
      </c>
      <c r="AC75" s="137">
        <f>SUMIFS(Database!$G:$G,Database!$D:$D,"Import",Database!$E:$E,$B75,Database!$C:$C,AC$1,Database!$F:$F,"Total")</f>
        <v>0</v>
      </c>
      <c r="AD75" s="137">
        <f>SUMIFS(Database!$G:$G,Database!$D:$D,"Import",Database!$E:$E,$B75,Database!$C:$C,AD$1,Database!$F:$F,"Total")</f>
        <v>0</v>
      </c>
      <c r="AE75" s="137">
        <f>SUMIFS(Database!$G:$G,Database!$D:$D,"Import",Database!$E:$E,$B75,Database!$C:$C,AE$1,Database!$F:$F,"Total")</f>
        <v>0</v>
      </c>
      <c r="AF75" s="137">
        <f>SUMIFS(Database!$G:$G,Database!$D:$D,"Import",Database!$E:$E,$B75,Database!$C:$C,AF$1,Database!$F:$F,"Total")</f>
        <v>0</v>
      </c>
      <c r="AG75" s="137">
        <f>SUMIFS(Database!$G:$G,Database!$D:$D,"Import",Database!$E:$E,$B75,Database!$C:$C,AG$1,Database!$F:$F,"Total")</f>
        <v>0</v>
      </c>
      <c r="AH75" s="137">
        <f>SUMIFS(Database!$G:$G,Database!$D:$D,"Import",Database!$E:$E,$B75,Database!$C:$C,AH$1,Database!$F:$F,"Total")</f>
        <v>0</v>
      </c>
      <c r="AI75" s="137">
        <f>SUMIFS(Database!$G:$G,Database!$D:$D,"Import",Database!$E:$E,$B75,Database!$C:$C,AI$1,Database!$F:$F,"Total")</f>
        <v>0</v>
      </c>
      <c r="AJ75" s="137">
        <f>SUMIFS(Database!$G:$G,Database!$D:$D,"Import",Database!$E:$E,$B75,Database!$C:$C,AJ$1,Database!$F:$F,"Total")</f>
        <v>0</v>
      </c>
      <c r="AK75" s="137">
        <f>SUMIFS(Database!$G:$G,Database!$D:$D,"Import",Database!$E:$E,$B75,Database!$C:$C,AK$1,Database!$F:$F,"Total")</f>
        <v>0</v>
      </c>
      <c r="AL75" s="137">
        <f>SUMIFS(Database!$G:$G,Database!$D:$D,"Import",Database!$E:$E,$B75,Database!$C:$C,AL$1,Database!$F:$F,"Total")</f>
        <v>0</v>
      </c>
      <c r="AM75" s="137">
        <f>SUMIFS(Database!$G:$G,Database!$D:$D,"Import",Database!$E:$E,$B75,Database!$C:$C,AM$1,Database!$F:$F,"Total")</f>
        <v>0</v>
      </c>
      <c r="AN75" s="137">
        <f>SUMIFS(Database!$G:$G,Database!$D:$D,"Import",Database!$E:$E,$B75,Database!$C:$C,AN$1,Database!$F:$F,"Total")</f>
        <v>0</v>
      </c>
      <c r="AO75" s="137">
        <f>SUMIFS(Database!$G:$G,Database!$D:$D,"Import",Database!$E:$E,$B75,Database!$C:$C,AO$1,Database!$F:$F,"Total")</f>
        <v>0</v>
      </c>
      <c r="AP75" s="137">
        <f>SUMIFS(Database!$G:$G,Database!$D:$D,"Import",Database!$E:$E,$B75,Database!$C:$C,AP$1,Database!$F:$F,"Total")</f>
        <v>0</v>
      </c>
      <c r="AQ75" s="137">
        <f>SUMIFS(Database!$G:$G,Database!$D:$D,"Import",Database!$E:$E,$B75,Database!$C:$C,AQ$1,Database!$F:$F,"Total")</f>
        <v>0</v>
      </c>
      <c r="AR75" s="137">
        <f>SUMIFS(Database!$G:$G,Database!$D:$D,"Import",Database!$E:$E,$B75,Database!$C:$C,AR$1,Database!$F:$F,"Total")</f>
        <v>0</v>
      </c>
      <c r="AS75" s="137">
        <f>SUMIFS(Database!$G:$G,Database!$D:$D,"Import",Database!$E:$E,$B75,Database!$C:$C,AS$1,Database!$F:$F,"Total")</f>
        <v>0</v>
      </c>
      <c r="AT75" s="137">
        <f>SUMIFS(Database!$G:$G,Database!$D:$D,"Import",Database!$E:$E,$B75,Database!$C:$C,AT$1,Database!$F:$F,"Total")</f>
        <v>0</v>
      </c>
      <c r="AU75" s="137">
        <f>SUMIFS(Database!$G:$G,Database!$D:$D,"Import",Database!$E:$E,$B75,Database!$C:$C,AU$1,Database!$F:$F,"Total")</f>
        <v>950</v>
      </c>
      <c r="AV75" s="137">
        <f>SUMIFS(Database!$G:$G,Database!$D:$D,"Import",Database!$E:$E,$B75,Database!$C:$C,AV$1,Database!$F:$F,"Total")</f>
        <v>432</v>
      </c>
      <c r="AW75" s="137">
        <f>SUMIFS(Database!$G:$G,Database!$D:$D,"Import",Database!$E:$E,$B75,Database!$C:$C,AW$1,Database!$F:$F,"Total")</f>
        <v>78</v>
      </c>
      <c r="AX75" s="137">
        <f>SUMIFS(Database!$G:$G,Database!$D:$D,"Import",Database!$E:$E,$B75,Database!$C:$C,AX$1,Database!$F:$F,"Total")</f>
        <v>0</v>
      </c>
      <c r="AY75" s="137">
        <f>SUMIFS(Database!$G:$G,Database!$D:$D,"Import",Database!$E:$E,$B75,Database!$C:$C,AY$1,Database!$F:$F,"Total")</f>
        <v>0</v>
      </c>
      <c r="AZ75" s="137">
        <f>SUMIFS(Database!$G:$G,Database!$D:$D,"Import",Database!$E:$E,$B75,Database!$C:$C,AZ$1,Database!$F:$F,"Total")</f>
        <v>0</v>
      </c>
      <c r="BA75" s="137">
        <f>SUMIFS(Database!$G:$G,Database!$D:$D,"Import",Database!$E:$E,$B75,Database!$C:$C,BA$1,Database!$F:$F,"Total")</f>
        <v>1410</v>
      </c>
      <c r="BB75" s="137">
        <f>SUMIFS(Database!$G:$G,Database!$D:$D,"Import",Database!$E:$E,$B75,Database!$C:$C,BB$1,Database!$F:$F,"Total")</f>
        <v>2627</v>
      </c>
      <c r="BC75" s="137">
        <f>SUMIFS(Database!$G:$G,Database!$D:$D,"Import",Database!$E:$E,$B75,Database!$C:$C,BC$1,Database!$F:$F,"Total")</f>
        <v>442</v>
      </c>
      <c r="BD75" s="137">
        <f>SUMIFS(Database!$G:$G,Database!$D:$D,"Import",Database!$E:$E,$B75,Database!$C:$C,BD$1,Database!$F:$F,"Total")</f>
        <v>294</v>
      </c>
      <c r="BE75" s="137">
        <f>SUMIFS(Database!$G:$G,Database!$D:$D,"Import",Database!$E:$E,$B75,Database!$C:$C,BE$1,Database!$F:$F,"Total")</f>
        <v>1780</v>
      </c>
      <c r="BF75" s="137">
        <f>SUMIFS(Database!$G:$G,Database!$D:$D,"Import",Database!$E:$E,$B75,Database!$C:$C,BF$1,Database!$F:$F,"Total")</f>
        <v>2822</v>
      </c>
      <c r="BG75" s="137">
        <f>SUMIFS(Database!$G:$G,Database!$D:$D,"Import",Database!$E:$E,$B75,Database!$C:$C,BG$1,Database!$F:$F,"Total")</f>
        <v>1978</v>
      </c>
      <c r="BH75" s="137">
        <f>SUMIFS(Database!$G:$G,Database!$D:$D,"Import",Database!$E:$E,$B75,Database!$C:$C,BH$1,Database!$F:$F,"Total")</f>
        <v>0</v>
      </c>
      <c r="BI75" s="137">
        <f>SUMIFS(Database!$G:$G,Database!$D:$D,"Import",Database!$E:$E,$B75,Database!$C:$C,BI$1,Database!$F:$F,"Total")</f>
        <v>0</v>
      </c>
      <c r="BJ75" s="137">
        <f>SUMIFS(Database!$G:$G,Database!$D:$D,"Import",Database!$E:$E,$B75,Database!$C:$C,BJ$1,Database!$F:$F,"Total")</f>
        <v>0</v>
      </c>
      <c r="BK75" s="137">
        <f>SUMIFS(Database!$G:$G,Database!$D:$D,"Import",Database!$E:$E,$B75,Database!$C:$C,BK$1,Database!$F:$F,"Total")</f>
        <v>0</v>
      </c>
      <c r="BL75" s="137">
        <f>SUMIFS(Database!$G:$G,Database!$D:$D,"Import",Database!$E:$E,$B75,Database!$C:$C,BL$1,Database!$F:$F,"Total")</f>
        <v>0</v>
      </c>
      <c r="BM75" s="137">
        <f>SUMIFS(Database!$G:$G,Database!$D:$D,"Import",Database!$E:$E,$B75,Database!$C:$C,BM$1,Database!$F:$F,"Total")</f>
        <v>0</v>
      </c>
      <c r="BN75" s="137">
        <f>SUMIFS(Database!$G:$G,Database!$D:$D,"Import",Database!$E:$E,$B75,Database!$C:$C,BN$1,Database!$F:$F,"Total")</f>
        <v>0</v>
      </c>
      <c r="BO75" s="137">
        <f>SUMIFS(Database!$G:$G,Database!$D:$D,"Import",Database!$E:$E,$B75,Database!$C:$C,BO$1,Database!$F:$F,"Total")</f>
        <v>0</v>
      </c>
      <c r="BP75" s="137">
        <f>SUMIFS(Database!$G:$G,Database!$D:$D,"Import",Database!$E:$E,$B75,Database!$C:$C,BP$1,Database!$F:$F,"Total")</f>
        <v>0</v>
      </c>
      <c r="BQ75" s="137">
        <f>SUMIFS(Database!$G:$G,Database!$D:$D,"Import",Database!$E:$E,$B75,Database!$C:$C,BQ$1,Database!$F:$F,"Total")</f>
        <v>0</v>
      </c>
      <c r="BR75" s="137">
        <f>SUMIFS(Database!$G:$G,Database!$D:$D,"Import",Database!$E:$E,$B75,Database!$C:$C,BR$1,Database!$F:$F,"Total")</f>
        <v>0</v>
      </c>
      <c r="BS75" s="137">
        <f>SUMIFS(Database!$G:$G,Database!$D:$D,"Import",Database!$E:$E,$B75,Database!$C:$C,BS$1,Database!$F:$F,"Total")</f>
        <v>0</v>
      </c>
      <c r="BT75" s="137">
        <f>SUMIFS(Database!$G:$G,Database!$D:$D,"Import",Database!$E:$E,$B75,Database!$C:$C,BT$1,Database!$F:$F,"Total")</f>
        <v>0</v>
      </c>
      <c r="BU75" s="137">
        <f>SUMIFS(Database!$G:$G,Database!$D:$D,"Import",Database!$E:$E,$B75,Database!$C:$C,BU$1,Database!$F:$F,"Total")</f>
        <v>0</v>
      </c>
      <c r="BV75" s="137">
        <f>SUMIFS(Database!$G:$G,Database!$D:$D,"Import",Database!$E:$E,$B75,Database!$C:$C,BV$1,Database!$F:$F,"Total")</f>
        <v>0</v>
      </c>
      <c r="BW75" s="137">
        <f>SUMIFS(Database!$G:$G,Database!$D:$D,"Import",Database!$E:$E,$B75,Database!$C:$C,BW$1,Database!$F:$F,"Total")</f>
        <v>0</v>
      </c>
      <c r="BX75" s="137">
        <f>SUMIFS(Database!$G:$G,Database!$D:$D,"Import",Database!$E:$E,$B75,Database!$C:$C,BX$1,Database!$F:$F,"Total")</f>
        <v>0</v>
      </c>
      <c r="BY75" s="137">
        <f>SUMIFS(Database!$G:$G,Database!$D:$D,"Import",Database!$E:$E,$B75,Database!$C:$C,BY$1,Database!$F:$F,"Total")</f>
        <v>0</v>
      </c>
      <c r="BZ75" s="137">
        <f>SUMIFS(Database!$G:$G,Database!$D:$D,"Import",Database!$E:$E,$B75,Database!$C:$C,BZ$1,Database!$F:$F,"Total")</f>
        <v>0</v>
      </c>
      <c r="CA75" s="137">
        <f>SUMIFS(Database!$G:$G,Database!$D:$D,"Import",Database!$E:$E,$B75,Database!$C:$C,CA$1,Database!$F:$F,"Total")</f>
        <v>0</v>
      </c>
      <c r="CB75" s="137">
        <f>SUMIFS(Database!$G:$G,Database!$D:$D,"Import",Database!$E:$E,$B75,Database!$C:$C,CB$1,Database!$F:$F,"Total")</f>
        <v>0</v>
      </c>
      <c r="CC75" s="137">
        <f>SUMIFS(Database!$G:$G,Database!$D:$D,"Import",Database!$E:$E,$B75,Database!$C:$C,CC$1,Database!$F:$F,"Total")</f>
        <v>0</v>
      </c>
      <c r="CD75" s="137">
        <f>SUMIFS(Database!$G:$G,Database!$D:$D,"Import",Database!$E:$E,$B75,Database!$C:$C,CD$1,Database!$F:$F,"Total")</f>
        <v>0</v>
      </c>
      <c r="CE75" s="137">
        <f>SUMIFS(Database!$G:$G,Database!$D:$D,"Import",Database!$E:$E,$B75,Database!$C:$C,CE$1,Database!$F:$F,"Total")</f>
        <v>0</v>
      </c>
      <c r="CF75" s="137">
        <f>SUMIFS(Database!$G:$G,Database!$D:$D,"Import",Database!$E:$E,$B75,Database!$C:$C,CF$1,Database!$F:$F,"Total")</f>
        <v>0</v>
      </c>
      <c r="CG75" s="137">
        <f>SUMIFS(Database!$G:$G,Database!$D:$D,"Import",Database!$E:$E,$B75,Database!$C:$C,CG$1,Database!$F:$F,"Total")</f>
        <v>0</v>
      </c>
      <c r="CH75" s="137">
        <f>SUMIFS(Database!$G:$G,Database!$D:$D,"Import",Database!$E:$E,$B75,Database!$C:$C,CH$1,Database!$F:$F,"Total")</f>
        <v>0</v>
      </c>
      <c r="CI75" s="137">
        <f>SUMIFS(Database!$G:$G,Database!$D:$D,"Import",Database!$E:$E,$B75,Database!$C:$C,CI$1,Database!$F:$F,"Total")</f>
        <v>0</v>
      </c>
      <c r="CJ75" s="137">
        <f>SUMIFS(Database!$G:$G,Database!$D:$D,"Import",Database!$E:$E,$B75,Database!$C:$C,CJ$1,Database!$F:$F,"Total")</f>
        <v>0</v>
      </c>
      <c r="CK75" s="137">
        <f>SUMIFS(Database!$G:$G,Database!$D:$D,"Import",Database!$E:$E,$B75,Database!$C:$C,CK$1,Database!$F:$F,"Total")</f>
        <v>0</v>
      </c>
      <c r="CL75" s="137">
        <f>SUMIFS(Database!$G:$G,Database!$D:$D,"Import",Database!$E:$E,$B75,Database!$C:$C,CL$1,Database!$F:$F,"Total")</f>
        <v>0</v>
      </c>
      <c r="CM75" s="137">
        <f>SUMIFS(Database!$G:$G,Database!$D:$D,"Import",Database!$E:$E,$B75,Database!$C:$C,CM$1,Database!$F:$F,"Total")</f>
        <v>0</v>
      </c>
      <c r="CN75" s="137">
        <f>SUMIFS(Database!$G:$G,Database!$D:$D,"Import",Database!$E:$E,$B75,Database!$C:$C,CN$1,Database!$F:$F,"Total")</f>
        <v>0</v>
      </c>
      <c r="CO75" s="137">
        <f>SUMIFS(Database!$G:$G,Database!$D:$D,"Import",Database!$E:$E,$B75,Database!$C:$C,CO$1,Database!$F:$F,"Total")</f>
        <v>0</v>
      </c>
      <c r="CP75" s="137">
        <f>SUMIFS(Database!$G:$G,Database!$D:$D,"Import",Database!$E:$E,$B75,Database!$C:$C,CP$1,Database!$F:$F,"Total")</f>
        <v>0</v>
      </c>
      <c r="CQ75" s="137">
        <f>SUMIFS(Database!$G:$G,Database!$D:$D,"Import",Database!$E:$E,$B75,Database!$C:$C,CQ$1,Database!$F:$F,"Total")</f>
        <v>0</v>
      </c>
      <c r="CR75" s="137">
        <f>SUMIFS(Database!$G:$G,Database!$D:$D,"Import",Database!$E:$E,$B75,Database!$C:$C,CR$1,Database!$F:$F,"Total")</f>
        <v>0</v>
      </c>
      <c r="CS75" s="137">
        <f>SUMIFS(Database!$G:$G,Database!$D:$D,"Import",Database!$E:$E,$B75,Database!$C:$C,CS$1,Database!$F:$F,"Total")</f>
        <v>0</v>
      </c>
      <c r="CT75" s="137">
        <f>SUMIFS(Database!$G:$G,Database!$D:$D,"Import",Database!$E:$E,$B75,Database!$C:$C,CT$1,Database!$F:$F,"Total")</f>
        <v>0</v>
      </c>
      <c r="CU75" s="137">
        <f>SUMIFS(Database!$G:$G,Database!$D:$D,"Import",Database!$E:$E,$B75,Database!$C:$C,CU$1,Database!$F:$F,"Total")</f>
        <v>0</v>
      </c>
    </row>
    <row r="76" spans="1:99" x14ac:dyDescent="0.25">
      <c r="A76" s="132" t="s">
        <v>484</v>
      </c>
      <c r="B76" s="133" t="s">
        <v>277</v>
      </c>
      <c r="C76" s="137">
        <f>SUMIFS(Database!$G:$G,Database!$D:$D,"Import",Database!$E:$E,$B76,Database!$C:$C,C$1,Database!$F:$F,"Total")</f>
        <v>0</v>
      </c>
      <c r="D76" s="137">
        <f>SUMIFS(Database!$G:$G,Database!$D:$D,"Import",Database!$E:$E,$B76,Database!$C:$C,D$1,Database!$F:$F,"Total")</f>
        <v>0</v>
      </c>
      <c r="E76" s="137">
        <f>SUMIFS(Database!$G:$G,Database!$D:$D,"Import",Database!$E:$E,$B76,Database!$C:$C,E$1,Database!$F:$F,"Total")</f>
        <v>0</v>
      </c>
      <c r="F76" s="137">
        <f>SUMIFS(Database!$G:$G,Database!$D:$D,"Import",Database!$E:$E,$B76,Database!$C:$C,F$1,Database!$F:$F,"Total")</f>
        <v>0</v>
      </c>
      <c r="G76" s="137">
        <f>SUMIFS(Database!$G:$G,Database!$D:$D,"Import",Database!$E:$E,$B76,Database!$C:$C,G$1,Database!$F:$F,"Total")</f>
        <v>0</v>
      </c>
      <c r="H76" s="137">
        <f>SUMIFS(Database!$G:$G,Database!$D:$D,"Import",Database!$E:$E,$B76,Database!$C:$C,H$1,Database!$F:$F,"Total")</f>
        <v>0</v>
      </c>
      <c r="I76" s="137">
        <f>SUMIFS(Database!$G:$G,Database!$D:$D,"Import",Database!$E:$E,$B76,Database!$C:$C,I$1,Database!$F:$F,"Total")</f>
        <v>0</v>
      </c>
      <c r="J76" s="137">
        <f>SUMIFS(Database!$G:$G,Database!$D:$D,"Import",Database!$E:$E,$B76,Database!$C:$C,J$1,Database!$F:$F,"Total")</f>
        <v>0</v>
      </c>
      <c r="K76" s="137">
        <f>SUMIFS(Database!$G:$G,Database!$D:$D,"Import",Database!$E:$E,$B76,Database!$C:$C,K$1,Database!$F:$F,"Total")</f>
        <v>0</v>
      </c>
      <c r="L76" s="137">
        <f>SUMIFS(Database!$G:$G,Database!$D:$D,"Import",Database!$E:$E,$B76,Database!$C:$C,L$1,Database!$F:$F,"Total")</f>
        <v>0</v>
      </c>
      <c r="M76" s="137">
        <f>SUMIFS(Database!$G:$G,Database!$D:$D,"Import",Database!$E:$E,$B76,Database!$C:$C,M$1,Database!$F:$F,"Total")</f>
        <v>0</v>
      </c>
      <c r="N76" s="137">
        <f>SUMIFS(Database!$G:$G,Database!$D:$D,"Import",Database!$E:$E,$B76,Database!$C:$C,N$1,Database!$F:$F,"Total")</f>
        <v>0</v>
      </c>
      <c r="O76" s="137">
        <f>SUMIFS(Database!$G:$G,Database!$D:$D,"Import",Database!$E:$E,$B76,Database!$C:$C,O$1,Database!$F:$F,"Total")</f>
        <v>0</v>
      </c>
      <c r="P76" s="137">
        <f>SUMIFS(Database!$G:$G,Database!$D:$D,"Import",Database!$E:$E,$B76,Database!$C:$C,P$1,Database!$F:$F,"Total")</f>
        <v>0</v>
      </c>
      <c r="Q76" s="137">
        <f>SUMIFS(Database!$G:$G,Database!$D:$D,"Import",Database!$E:$E,$B76,Database!$C:$C,Q$1,Database!$F:$F,"Total")</f>
        <v>0</v>
      </c>
      <c r="R76" s="137">
        <f>SUMIFS(Database!$G:$G,Database!$D:$D,"Import",Database!$E:$E,$B76,Database!$C:$C,R$1,Database!$F:$F,"Total")</f>
        <v>0</v>
      </c>
      <c r="S76" s="137">
        <f>SUMIFS(Database!$G:$G,Database!$D:$D,"Import",Database!$E:$E,$B76,Database!$C:$C,S$1,Database!$F:$F,"Total")</f>
        <v>0</v>
      </c>
      <c r="T76" s="137">
        <f>SUMIFS(Database!$G:$G,Database!$D:$D,"Import",Database!$E:$E,$B76,Database!$C:$C,T$1,Database!$F:$F,"Total")</f>
        <v>0</v>
      </c>
      <c r="U76" s="137">
        <f>SUMIFS(Database!$G:$G,Database!$D:$D,"Import",Database!$E:$E,$B76,Database!$C:$C,U$1,Database!$F:$F,"Total")</f>
        <v>0</v>
      </c>
      <c r="V76" s="137">
        <f>SUMIFS(Database!$G:$G,Database!$D:$D,"Import",Database!$E:$E,$B76,Database!$C:$C,V$1,Database!$F:$F,"Total")</f>
        <v>0</v>
      </c>
      <c r="W76" s="137">
        <f>SUMIFS(Database!$G:$G,Database!$D:$D,"Import",Database!$E:$E,$B76,Database!$C:$C,W$1,Database!$F:$F,"Total")</f>
        <v>0</v>
      </c>
      <c r="X76" s="137">
        <f>SUMIFS(Database!$G:$G,Database!$D:$D,"Import",Database!$E:$E,$B76,Database!$C:$C,X$1,Database!$F:$F,"Total")</f>
        <v>0</v>
      </c>
      <c r="Y76" s="137">
        <f>SUMIFS(Database!$G:$G,Database!$D:$D,"Import",Database!$E:$E,$B76,Database!$C:$C,Y$1,Database!$F:$F,"Total")</f>
        <v>0</v>
      </c>
      <c r="Z76" s="137">
        <f>SUMIFS(Database!$G:$G,Database!$D:$D,"Import",Database!$E:$E,$B76,Database!$C:$C,Z$1,Database!$F:$F,"Total")</f>
        <v>0</v>
      </c>
      <c r="AA76" s="137">
        <f>SUMIFS(Database!$G:$G,Database!$D:$D,"Import",Database!$E:$E,$B76,Database!$C:$C,AA$1,Database!$F:$F,"Total")</f>
        <v>0</v>
      </c>
      <c r="AB76" s="137">
        <f>SUMIFS(Database!$G:$G,Database!$D:$D,"Import",Database!$E:$E,$B76,Database!$C:$C,AB$1,Database!$F:$F,"Total")</f>
        <v>0</v>
      </c>
      <c r="AC76" s="137">
        <f>SUMIFS(Database!$G:$G,Database!$D:$D,"Import",Database!$E:$E,$B76,Database!$C:$C,AC$1,Database!$F:$F,"Total")</f>
        <v>0</v>
      </c>
      <c r="AD76" s="137">
        <f>SUMIFS(Database!$G:$G,Database!$D:$D,"Import",Database!$E:$E,$B76,Database!$C:$C,AD$1,Database!$F:$F,"Total")</f>
        <v>0</v>
      </c>
      <c r="AE76" s="137">
        <f>SUMIFS(Database!$G:$G,Database!$D:$D,"Import",Database!$E:$E,$B76,Database!$C:$C,AE$1,Database!$F:$F,"Total")</f>
        <v>0</v>
      </c>
      <c r="AF76" s="137">
        <f>SUMIFS(Database!$G:$G,Database!$D:$D,"Import",Database!$E:$E,$B76,Database!$C:$C,AF$1,Database!$F:$F,"Total")</f>
        <v>0</v>
      </c>
      <c r="AG76" s="137">
        <f>SUMIFS(Database!$G:$G,Database!$D:$D,"Import",Database!$E:$E,$B76,Database!$C:$C,AG$1,Database!$F:$F,"Total")</f>
        <v>0</v>
      </c>
      <c r="AH76" s="137">
        <f>SUMIFS(Database!$G:$G,Database!$D:$D,"Import",Database!$E:$E,$B76,Database!$C:$C,AH$1,Database!$F:$F,"Total")</f>
        <v>0</v>
      </c>
      <c r="AI76" s="137">
        <f>SUMIFS(Database!$G:$G,Database!$D:$D,"Import",Database!$E:$E,$B76,Database!$C:$C,AI$1,Database!$F:$F,"Total")</f>
        <v>0</v>
      </c>
      <c r="AJ76" s="137">
        <f>SUMIFS(Database!$G:$G,Database!$D:$D,"Import",Database!$E:$E,$B76,Database!$C:$C,AJ$1,Database!$F:$F,"Total")</f>
        <v>0</v>
      </c>
      <c r="AK76" s="137">
        <f>SUMIFS(Database!$G:$G,Database!$D:$D,"Import",Database!$E:$E,$B76,Database!$C:$C,AK$1,Database!$F:$F,"Total")</f>
        <v>5676</v>
      </c>
      <c r="AL76" s="137">
        <f>SUMIFS(Database!$G:$G,Database!$D:$D,"Import",Database!$E:$E,$B76,Database!$C:$C,AL$1,Database!$F:$F,"Total")</f>
        <v>0</v>
      </c>
      <c r="AM76" s="137">
        <f>SUMIFS(Database!$G:$G,Database!$D:$D,"Import",Database!$E:$E,$B76,Database!$C:$C,AM$1,Database!$F:$F,"Total")</f>
        <v>0</v>
      </c>
      <c r="AN76" s="137">
        <f>SUMIFS(Database!$G:$G,Database!$D:$D,"Import",Database!$E:$E,$B76,Database!$C:$C,AN$1,Database!$F:$F,"Total")</f>
        <v>0</v>
      </c>
      <c r="AO76" s="137">
        <f>SUMIFS(Database!$G:$G,Database!$D:$D,"Import",Database!$E:$E,$B76,Database!$C:$C,AO$1,Database!$F:$F,"Total")</f>
        <v>0</v>
      </c>
      <c r="AP76" s="137">
        <f>SUMIFS(Database!$G:$G,Database!$D:$D,"Import",Database!$E:$E,$B76,Database!$C:$C,AP$1,Database!$F:$F,"Total")</f>
        <v>0</v>
      </c>
      <c r="AQ76" s="137">
        <f>SUMIFS(Database!$G:$G,Database!$D:$D,"Import",Database!$E:$E,$B76,Database!$C:$C,AQ$1,Database!$F:$F,"Total")</f>
        <v>0</v>
      </c>
      <c r="AR76" s="137">
        <f>SUMIFS(Database!$G:$G,Database!$D:$D,"Import",Database!$E:$E,$B76,Database!$C:$C,AR$1,Database!$F:$F,"Total")</f>
        <v>0</v>
      </c>
      <c r="AS76" s="137">
        <f>SUMIFS(Database!$G:$G,Database!$D:$D,"Import",Database!$E:$E,$B76,Database!$C:$C,AS$1,Database!$F:$F,"Total")</f>
        <v>0</v>
      </c>
      <c r="AT76" s="137">
        <f>SUMIFS(Database!$G:$G,Database!$D:$D,"Import",Database!$E:$E,$B76,Database!$C:$C,AT$1,Database!$F:$F,"Total")</f>
        <v>0</v>
      </c>
      <c r="AU76" s="137">
        <f>SUMIFS(Database!$G:$G,Database!$D:$D,"Import",Database!$E:$E,$B76,Database!$C:$C,AU$1,Database!$F:$F,"Total")</f>
        <v>0</v>
      </c>
      <c r="AV76" s="137">
        <f>SUMIFS(Database!$G:$G,Database!$D:$D,"Import",Database!$E:$E,$B76,Database!$C:$C,AV$1,Database!$F:$F,"Total")</f>
        <v>0</v>
      </c>
      <c r="AW76" s="137">
        <f>SUMIFS(Database!$G:$G,Database!$D:$D,"Import",Database!$E:$E,$B76,Database!$C:$C,AW$1,Database!$F:$F,"Total")</f>
        <v>0</v>
      </c>
      <c r="AX76" s="137">
        <f>SUMIFS(Database!$G:$G,Database!$D:$D,"Import",Database!$E:$E,$B76,Database!$C:$C,AX$1,Database!$F:$F,"Total")</f>
        <v>0</v>
      </c>
      <c r="AY76" s="137">
        <f>SUMIFS(Database!$G:$G,Database!$D:$D,"Import",Database!$E:$E,$B76,Database!$C:$C,AY$1,Database!$F:$F,"Total")</f>
        <v>0</v>
      </c>
      <c r="AZ76" s="137">
        <f>SUMIFS(Database!$G:$G,Database!$D:$D,"Import",Database!$E:$E,$B76,Database!$C:$C,AZ$1,Database!$F:$F,"Total")</f>
        <v>0</v>
      </c>
      <c r="BA76" s="137">
        <f>SUMIFS(Database!$G:$G,Database!$D:$D,"Import",Database!$E:$E,$B76,Database!$C:$C,BA$1,Database!$F:$F,"Total")</f>
        <v>0</v>
      </c>
      <c r="BB76" s="137">
        <f>SUMIFS(Database!$G:$G,Database!$D:$D,"Import",Database!$E:$E,$B76,Database!$C:$C,BB$1,Database!$F:$F,"Total")</f>
        <v>0</v>
      </c>
      <c r="BC76" s="137">
        <f>SUMIFS(Database!$G:$G,Database!$D:$D,"Import",Database!$E:$E,$B76,Database!$C:$C,BC$1,Database!$F:$F,"Total")</f>
        <v>0</v>
      </c>
      <c r="BD76" s="137">
        <f>SUMIFS(Database!$G:$G,Database!$D:$D,"Import",Database!$E:$E,$B76,Database!$C:$C,BD$1,Database!$F:$F,"Total")</f>
        <v>0</v>
      </c>
      <c r="BE76" s="137">
        <f>SUMIFS(Database!$G:$G,Database!$D:$D,"Import",Database!$E:$E,$B76,Database!$C:$C,BE$1,Database!$F:$F,"Total")</f>
        <v>0</v>
      </c>
      <c r="BF76" s="137">
        <f>SUMIFS(Database!$G:$G,Database!$D:$D,"Import",Database!$E:$E,$B76,Database!$C:$C,BF$1,Database!$F:$F,"Total")</f>
        <v>0</v>
      </c>
      <c r="BG76" s="137">
        <f>SUMIFS(Database!$G:$G,Database!$D:$D,"Import",Database!$E:$E,$B76,Database!$C:$C,BG$1,Database!$F:$F,"Total")</f>
        <v>0</v>
      </c>
      <c r="BH76" s="137">
        <f>SUMIFS(Database!$G:$G,Database!$D:$D,"Import",Database!$E:$E,$B76,Database!$C:$C,BH$1,Database!$F:$F,"Total")</f>
        <v>0</v>
      </c>
      <c r="BI76" s="137">
        <f>SUMIFS(Database!$G:$G,Database!$D:$D,"Import",Database!$E:$E,$B76,Database!$C:$C,BI$1,Database!$F:$F,"Total")</f>
        <v>0</v>
      </c>
      <c r="BJ76" s="137">
        <f>SUMIFS(Database!$G:$G,Database!$D:$D,"Import",Database!$E:$E,$B76,Database!$C:$C,BJ$1,Database!$F:$F,"Total")</f>
        <v>0</v>
      </c>
      <c r="BK76" s="137">
        <f>SUMIFS(Database!$G:$G,Database!$D:$D,"Import",Database!$E:$E,$B76,Database!$C:$C,BK$1,Database!$F:$F,"Total")</f>
        <v>0</v>
      </c>
      <c r="BL76" s="137">
        <f>SUMIFS(Database!$G:$G,Database!$D:$D,"Import",Database!$E:$E,$B76,Database!$C:$C,BL$1,Database!$F:$F,"Total")</f>
        <v>0</v>
      </c>
      <c r="BM76" s="137">
        <f>SUMIFS(Database!$G:$G,Database!$D:$D,"Import",Database!$E:$E,$B76,Database!$C:$C,BM$1,Database!$F:$F,"Total")</f>
        <v>0</v>
      </c>
      <c r="BN76" s="137">
        <f>SUMIFS(Database!$G:$G,Database!$D:$D,"Import",Database!$E:$E,$B76,Database!$C:$C,BN$1,Database!$F:$F,"Total")</f>
        <v>0</v>
      </c>
      <c r="BO76" s="137">
        <f>SUMIFS(Database!$G:$G,Database!$D:$D,"Import",Database!$E:$E,$B76,Database!$C:$C,BO$1,Database!$F:$F,"Total")</f>
        <v>0</v>
      </c>
      <c r="BP76" s="137">
        <f>SUMIFS(Database!$G:$G,Database!$D:$D,"Import",Database!$E:$E,$B76,Database!$C:$C,BP$1,Database!$F:$F,"Total")</f>
        <v>0</v>
      </c>
      <c r="BQ76" s="137">
        <f>SUMIFS(Database!$G:$G,Database!$D:$D,"Import",Database!$E:$E,$B76,Database!$C:$C,BQ$1,Database!$F:$F,"Total")</f>
        <v>0</v>
      </c>
      <c r="BR76" s="137">
        <f>SUMIFS(Database!$G:$G,Database!$D:$D,"Import",Database!$E:$E,$B76,Database!$C:$C,BR$1,Database!$F:$F,"Total")</f>
        <v>0</v>
      </c>
      <c r="BS76" s="137">
        <f>SUMIFS(Database!$G:$G,Database!$D:$D,"Import",Database!$E:$E,$B76,Database!$C:$C,BS$1,Database!$F:$F,"Total")</f>
        <v>0</v>
      </c>
      <c r="BT76" s="137">
        <f>SUMIFS(Database!$G:$G,Database!$D:$D,"Import",Database!$E:$E,$B76,Database!$C:$C,BT$1,Database!$F:$F,"Total")</f>
        <v>0</v>
      </c>
      <c r="BU76" s="137">
        <f>SUMIFS(Database!$G:$G,Database!$D:$D,"Import",Database!$E:$E,$B76,Database!$C:$C,BU$1,Database!$F:$F,"Total")</f>
        <v>0</v>
      </c>
      <c r="BV76" s="137">
        <f>SUMIFS(Database!$G:$G,Database!$D:$D,"Import",Database!$E:$E,$B76,Database!$C:$C,BV$1,Database!$F:$F,"Total")</f>
        <v>0</v>
      </c>
      <c r="BW76" s="137">
        <f>SUMIFS(Database!$G:$G,Database!$D:$D,"Import",Database!$E:$E,$B76,Database!$C:$C,BW$1,Database!$F:$F,"Total")</f>
        <v>0</v>
      </c>
      <c r="BX76" s="137">
        <f>SUMIFS(Database!$G:$G,Database!$D:$D,"Import",Database!$E:$E,$B76,Database!$C:$C,BX$1,Database!$F:$F,"Total")</f>
        <v>0</v>
      </c>
      <c r="BY76" s="137">
        <f>SUMIFS(Database!$G:$G,Database!$D:$D,"Import",Database!$E:$E,$B76,Database!$C:$C,BY$1,Database!$F:$F,"Total")</f>
        <v>0</v>
      </c>
      <c r="BZ76" s="137">
        <f>SUMIFS(Database!$G:$G,Database!$D:$D,"Import",Database!$E:$E,$B76,Database!$C:$C,BZ$1,Database!$F:$F,"Total")</f>
        <v>0</v>
      </c>
      <c r="CA76" s="137">
        <f>SUMIFS(Database!$G:$G,Database!$D:$D,"Import",Database!$E:$E,$B76,Database!$C:$C,CA$1,Database!$F:$F,"Total")</f>
        <v>0</v>
      </c>
      <c r="CB76" s="137">
        <f>SUMIFS(Database!$G:$G,Database!$D:$D,"Import",Database!$E:$E,$B76,Database!$C:$C,CB$1,Database!$F:$F,"Total")</f>
        <v>0</v>
      </c>
      <c r="CC76" s="137">
        <f>SUMIFS(Database!$G:$G,Database!$D:$D,"Import",Database!$E:$E,$B76,Database!$C:$C,CC$1,Database!$F:$F,"Total")</f>
        <v>0</v>
      </c>
      <c r="CD76" s="137">
        <f>SUMIFS(Database!$G:$G,Database!$D:$D,"Import",Database!$E:$E,$B76,Database!$C:$C,CD$1,Database!$F:$F,"Total")</f>
        <v>0</v>
      </c>
      <c r="CE76" s="137">
        <f>SUMIFS(Database!$G:$G,Database!$D:$D,"Import",Database!$E:$E,$B76,Database!$C:$C,CE$1,Database!$F:$F,"Total")</f>
        <v>0</v>
      </c>
      <c r="CF76" s="137">
        <f>SUMIFS(Database!$G:$G,Database!$D:$D,"Import",Database!$E:$E,$B76,Database!$C:$C,CF$1,Database!$F:$F,"Total")</f>
        <v>0</v>
      </c>
      <c r="CG76" s="137">
        <f>SUMIFS(Database!$G:$G,Database!$D:$D,"Import",Database!$E:$E,$B76,Database!$C:$C,CG$1,Database!$F:$F,"Total")</f>
        <v>0</v>
      </c>
      <c r="CH76" s="137">
        <f>SUMIFS(Database!$G:$G,Database!$D:$D,"Import",Database!$E:$E,$B76,Database!$C:$C,CH$1,Database!$F:$F,"Total")</f>
        <v>0</v>
      </c>
      <c r="CI76" s="137">
        <f>SUMIFS(Database!$G:$G,Database!$D:$D,"Import",Database!$E:$E,$B76,Database!$C:$C,CI$1,Database!$F:$F,"Total")</f>
        <v>0</v>
      </c>
      <c r="CJ76" s="137">
        <f>SUMIFS(Database!$G:$G,Database!$D:$D,"Import",Database!$E:$E,$B76,Database!$C:$C,CJ$1,Database!$F:$F,"Total")</f>
        <v>0</v>
      </c>
      <c r="CK76" s="137">
        <f>SUMIFS(Database!$G:$G,Database!$D:$D,"Import",Database!$E:$E,$B76,Database!$C:$C,CK$1,Database!$F:$F,"Total")</f>
        <v>0</v>
      </c>
      <c r="CL76" s="137">
        <f>SUMIFS(Database!$G:$G,Database!$D:$D,"Import",Database!$E:$E,$B76,Database!$C:$C,CL$1,Database!$F:$F,"Total")</f>
        <v>0</v>
      </c>
      <c r="CM76" s="137">
        <f>SUMIFS(Database!$G:$G,Database!$D:$D,"Import",Database!$E:$E,$B76,Database!$C:$C,CM$1,Database!$F:$F,"Total")</f>
        <v>0</v>
      </c>
      <c r="CN76" s="137">
        <f>SUMIFS(Database!$G:$G,Database!$D:$D,"Import",Database!$E:$E,$B76,Database!$C:$C,CN$1,Database!$F:$F,"Total")</f>
        <v>0</v>
      </c>
      <c r="CO76" s="137">
        <f>SUMIFS(Database!$G:$G,Database!$D:$D,"Import",Database!$E:$E,$B76,Database!$C:$C,CO$1,Database!$F:$F,"Total")</f>
        <v>0</v>
      </c>
      <c r="CP76" s="137">
        <f>SUMIFS(Database!$G:$G,Database!$D:$D,"Import",Database!$E:$E,$B76,Database!$C:$C,CP$1,Database!$F:$F,"Total")</f>
        <v>0</v>
      </c>
      <c r="CQ76" s="137">
        <f>SUMIFS(Database!$G:$G,Database!$D:$D,"Import",Database!$E:$E,$B76,Database!$C:$C,CQ$1,Database!$F:$F,"Total")</f>
        <v>0</v>
      </c>
      <c r="CR76" s="137">
        <f>SUMIFS(Database!$G:$G,Database!$D:$D,"Import",Database!$E:$E,$B76,Database!$C:$C,CR$1,Database!$F:$F,"Total")</f>
        <v>0</v>
      </c>
      <c r="CS76" s="137">
        <f>SUMIFS(Database!$G:$G,Database!$D:$D,"Import",Database!$E:$E,$B76,Database!$C:$C,CS$1,Database!$F:$F,"Total")</f>
        <v>0</v>
      </c>
      <c r="CT76" s="137">
        <f>SUMIFS(Database!$G:$G,Database!$D:$D,"Import",Database!$E:$E,$B76,Database!$C:$C,CT$1,Database!$F:$F,"Total")</f>
        <v>0</v>
      </c>
      <c r="CU76" s="137">
        <f>SUMIFS(Database!$G:$G,Database!$D:$D,"Import",Database!$E:$E,$B76,Database!$C:$C,CU$1,Database!$F:$F,"Total")</f>
        <v>0</v>
      </c>
    </row>
    <row r="77" spans="1:99" x14ac:dyDescent="0.25">
      <c r="A77" s="132" t="s">
        <v>484</v>
      </c>
      <c r="B77" s="133" t="s">
        <v>323</v>
      </c>
      <c r="C77" s="137">
        <f>SUMIFS(Database!$G:$G,Database!$D:$D,"Import",Database!$E:$E,$B77,Database!$C:$C,C$1,Database!$F:$F,"Total")</f>
        <v>0</v>
      </c>
      <c r="D77" s="137">
        <f>SUMIFS(Database!$G:$G,Database!$D:$D,"Import",Database!$E:$E,$B77,Database!$C:$C,D$1,Database!$F:$F,"Total")</f>
        <v>0</v>
      </c>
      <c r="E77" s="137">
        <f>SUMIFS(Database!$G:$G,Database!$D:$D,"Import",Database!$E:$E,$B77,Database!$C:$C,E$1,Database!$F:$F,"Total")</f>
        <v>0</v>
      </c>
      <c r="F77" s="137">
        <f>SUMIFS(Database!$G:$G,Database!$D:$D,"Import",Database!$E:$E,$B77,Database!$C:$C,F$1,Database!$F:$F,"Total")</f>
        <v>0</v>
      </c>
      <c r="G77" s="137">
        <f>SUMIFS(Database!$G:$G,Database!$D:$D,"Import",Database!$E:$E,$B77,Database!$C:$C,G$1,Database!$F:$F,"Total")</f>
        <v>0</v>
      </c>
      <c r="H77" s="137">
        <f>SUMIFS(Database!$G:$G,Database!$D:$D,"Import",Database!$E:$E,$B77,Database!$C:$C,H$1,Database!$F:$F,"Total")</f>
        <v>0</v>
      </c>
      <c r="I77" s="137">
        <f>SUMIFS(Database!$G:$G,Database!$D:$D,"Import",Database!$E:$E,$B77,Database!$C:$C,I$1,Database!$F:$F,"Total")</f>
        <v>0</v>
      </c>
      <c r="J77" s="137">
        <f>SUMIFS(Database!$G:$G,Database!$D:$D,"Import",Database!$E:$E,$B77,Database!$C:$C,J$1,Database!$F:$F,"Total")</f>
        <v>0</v>
      </c>
      <c r="K77" s="137">
        <f>SUMIFS(Database!$G:$G,Database!$D:$D,"Import",Database!$E:$E,$B77,Database!$C:$C,K$1,Database!$F:$F,"Total")</f>
        <v>0</v>
      </c>
      <c r="L77" s="137">
        <f>SUMIFS(Database!$G:$G,Database!$D:$D,"Import",Database!$E:$E,$B77,Database!$C:$C,L$1,Database!$F:$F,"Total")</f>
        <v>0</v>
      </c>
      <c r="M77" s="137">
        <f>SUMIFS(Database!$G:$G,Database!$D:$D,"Import",Database!$E:$E,$B77,Database!$C:$C,M$1,Database!$F:$F,"Total")</f>
        <v>0</v>
      </c>
      <c r="N77" s="137">
        <f>SUMIFS(Database!$G:$G,Database!$D:$D,"Import",Database!$E:$E,$B77,Database!$C:$C,N$1,Database!$F:$F,"Total")</f>
        <v>0</v>
      </c>
      <c r="O77" s="137">
        <f>SUMIFS(Database!$G:$G,Database!$D:$D,"Import",Database!$E:$E,$B77,Database!$C:$C,O$1,Database!$F:$F,"Total")</f>
        <v>0</v>
      </c>
      <c r="P77" s="137">
        <f>SUMIFS(Database!$G:$G,Database!$D:$D,"Import",Database!$E:$E,$B77,Database!$C:$C,P$1,Database!$F:$F,"Total")</f>
        <v>0</v>
      </c>
      <c r="Q77" s="137">
        <f>SUMIFS(Database!$G:$G,Database!$D:$D,"Import",Database!$E:$E,$B77,Database!$C:$C,Q$1,Database!$F:$F,"Total")</f>
        <v>0</v>
      </c>
      <c r="R77" s="137">
        <f>SUMIFS(Database!$G:$G,Database!$D:$D,"Import",Database!$E:$E,$B77,Database!$C:$C,R$1,Database!$F:$F,"Total")</f>
        <v>0</v>
      </c>
      <c r="S77" s="137">
        <f>SUMIFS(Database!$G:$G,Database!$D:$D,"Import",Database!$E:$E,$B77,Database!$C:$C,S$1,Database!$F:$F,"Total")</f>
        <v>0</v>
      </c>
      <c r="T77" s="137">
        <f>SUMIFS(Database!$G:$G,Database!$D:$D,"Import",Database!$E:$E,$B77,Database!$C:$C,T$1,Database!$F:$F,"Total")</f>
        <v>0</v>
      </c>
      <c r="U77" s="137">
        <f>SUMIFS(Database!$G:$G,Database!$D:$D,"Import",Database!$E:$E,$B77,Database!$C:$C,U$1,Database!$F:$F,"Total")</f>
        <v>0</v>
      </c>
      <c r="V77" s="137">
        <f>SUMIFS(Database!$G:$G,Database!$D:$D,"Import",Database!$E:$E,$B77,Database!$C:$C,V$1,Database!$F:$F,"Total")</f>
        <v>0</v>
      </c>
      <c r="W77" s="137">
        <f>SUMIFS(Database!$G:$G,Database!$D:$D,"Import",Database!$E:$E,$B77,Database!$C:$C,W$1,Database!$F:$F,"Total")</f>
        <v>0</v>
      </c>
      <c r="X77" s="137">
        <f>SUMIFS(Database!$G:$G,Database!$D:$D,"Import",Database!$E:$E,$B77,Database!$C:$C,X$1,Database!$F:$F,"Total")</f>
        <v>0</v>
      </c>
      <c r="Y77" s="137">
        <f>SUMIFS(Database!$G:$G,Database!$D:$D,"Import",Database!$E:$E,$B77,Database!$C:$C,Y$1,Database!$F:$F,"Total")</f>
        <v>0</v>
      </c>
      <c r="Z77" s="137">
        <f>SUMIFS(Database!$G:$G,Database!$D:$D,"Import",Database!$E:$E,$B77,Database!$C:$C,Z$1,Database!$F:$F,"Total")</f>
        <v>0</v>
      </c>
      <c r="AA77" s="137">
        <f>SUMIFS(Database!$G:$G,Database!$D:$D,"Import",Database!$E:$E,$B77,Database!$C:$C,AA$1,Database!$F:$F,"Total")</f>
        <v>0</v>
      </c>
      <c r="AB77" s="137">
        <f>SUMIFS(Database!$G:$G,Database!$D:$D,"Import",Database!$E:$E,$B77,Database!$C:$C,AB$1,Database!$F:$F,"Total")</f>
        <v>0</v>
      </c>
      <c r="AC77" s="137">
        <f>SUMIFS(Database!$G:$G,Database!$D:$D,"Import",Database!$E:$E,$B77,Database!$C:$C,AC$1,Database!$F:$F,"Total")</f>
        <v>0</v>
      </c>
      <c r="AD77" s="137">
        <f>SUMIFS(Database!$G:$G,Database!$D:$D,"Import",Database!$E:$E,$B77,Database!$C:$C,AD$1,Database!$F:$F,"Total")</f>
        <v>0</v>
      </c>
      <c r="AE77" s="137">
        <f>SUMIFS(Database!$G:$G,Database!$D:$D,"Import",Database!$E:$E,$B77,Database!$C:$C,AE$1,Database!$F:$F,"Total")</f>
        <v>0</v>
      </c>
      <c r="AF77" s="137">
        <f>SUMIFS(Database!$G:$G,Database!$D:$D,"Import",Database!$E:$E,$B77,Database!$C:$C,AF$1,Database!$F:$F,"Total")</f>
        <v>0</v>
      </c>
      <c r="AG77" s="137">
        <f>SUMIFS(Database!$G:$G,Database!$D:$D,"Import",Database!$E:$E,$B77,Database!$C:$C,AG$1,Database!$F:$F,"Total")</f>
        <v>0</v>
      </c>
      <c r="AH77" s="137">
        <f>SUMIFS(Database!$G:$G,Database!$D:$D,"Import",Database!$E:$E,$B77,Database!$C:$C,AH$1,Database!$F:$F,"Total")</f>
        <v>0</v>
      </c>
      <c r="AI77" s="137">
        <f>SUMIFS(Database!$G:$G,Database!$D:$D,"Import",Database!$E:$E,$B77,Database!$C:$C,AI$1,Database!$F:$F,"Total")</f>
        <v>0</v>
      </c>
      <c r="AJ77" s="137">
        <f>SUMIFS(Database!$G:$G,Database!$D:$D,"Import",Database!$E:$E,$B77,Database!$C:$C,AJ$1,Database!$F:$F,"Total")</f>
        <v>0</v>
      </c>
      <c r="AK77" s="137">
        <f>SUMIFS(Database!$G:$G,Database!$D:$D,"Import",Database!$E:$E,$B77,Database!$C:$C,AK$1,Database!$F:$F,"Total")</f>
        <v>882</v>
      </c>
      <c r="AL77" s="137">
        <f>SUMIFS(Database!$G:$G,Database!$D:$D,"Import",Database!$E:$E,$B77,Database!$C:$C,AL$1,Database!$F:$F,"Total")</f>
        <v>0</v>
      </c>
      <c r="AM77" s="137">
        <f>SUMIFS(Database!$G:$G,Database!$D:$D,"Import",Database!$E:$E,$B77,Database!$C:$C,AM$1,Database!$F:$F,"Total")</f>
        <v>0</v>
      </c>
      <c r="AN77" s="137">
        <f>SUMIFS(Database!$G:$G,Database!$D:$D,"Import",Database!$E:$E,$B77,Database!$C:$C,AN$1,Database!$F:$F,"Total")</f>
        <v>0</v>
      </c>
      <c r="AO77" s="137">
        <f>SUMIFS(Database!$G:$G,Database!$D:$D,"Import",Database!$E:$E,$B77,Database!$C:$C,AO$1,Database!$F:$F,"Total")</f>
        <v>0</v>
      </c>
      <c r="AP77" s="137">
        <f>SUMIFS(Database!$G:$G,Database!$D:$D,"Import",Database!$E:$E,$B77,Database!$C:$C,AP$1,Database!$F:$F,"Total")</f>
        <v>0</v>
      </c>
      <c r="AQ77" s="137">
        <f>SUMIFS(Database!$G:$G,Database!$D:$D,"Import",Database!$E:$E,$B77,Database!$C:$C,AQ$1,Database!$F:$F,"Total")</f>
        <v>0</v>
      </c>
      <c r="AR77" s="137">
        <f>SUMIFS(Database!$G:$G,Database!$D:$D,"Import",Database!$E:$E,$B77,Database!$C:$C,AR$1,Database!$F:$F,"Total")</f>
        <v>0</v>
      </c>
      <c r="AS77" s="137">
        <f>SUMIFS(Database!$G:$G,Database!$D:$D,"Import",Database!$E:$E,$B77,Database!$C:$C,AS$1,Database!$F:$F,"Total")</f>
        <v>0</v>
      </c>
      <c r="AT77" s="137">
        <f>SUMIFS(Database!$G:$G,Database!$D:$D,"Import",Database!$E:$E,$B77,Database!$C:$C,AT$1,Database!$F:$F,"Total")</f>
        <v>0</v>
      </c>
      <c r="AU77" s="137">
        <f>SUMIFS(Database!$G:$G,Database!$D:$D,"Import",Database!$E:$E,$B77,Database!$C:$C,AU$1,Database!$F:$F,"Total")</f>
        <v>0</v>
      </c>
      <c r="AV77" s="137">
        <f>SUMIFS(Database!$G:$G,Database!$D:$D,"Import",Database!$E:$E,$B77,Database!$C:$C,AV$1,Database!$F:$F,"Total")</f>
        <v>0</v>
      </c>
      <c r="AW77" s="137">
        <f>SUMIFS(Database!$G:$G,Database!$D:$D,"Import",Database!$E:$E,$B77,Database!$C:$C,AW$1,Database!$F:$F,"Total")</f>
        <v>0</v>
      </c>
      <c r="AX77" s="137">
        <f>SUMIFS(Database!$G:$G,Database!$D:$D,"Import",Database!$E:$E,$B77,Database!$C:$C,AX$1,Database!$F:$F,"Total")</f>
        <v>0</v>
      </c>
      <c r="AY77" s="137">
        <f>SUMIFS(Database!$G:$G,Database!$D:$D,"Import",Database!$E:$E,$B77,Database!$C:$C,AY$1,Database!$F:$F,"Total")</f>
        <v>0</v>
      </c>
      <c r="AZ77" s="137">
        <f>SUMIFS(Database!$G:$G,Database!$D:$D,"Import",Database!$E:$E,$B77,Database!$C:$C,AZ$1,Database!$F:$F,"Total")</f>
        <v>0</v>
      </c>
      <c r="BA77" s="137">
        <f>SUMIFS(Database!$G:$G,Database!$D:$D,"Import",Database!$E:$E,$B77,Database!$C:$C,BA$1,Database!$F:$F,"Total")</f>
        <v>0</v>
      </c>
      <c r="BB77" s="137">
        <f>SUMIFS(Database!$G:$G,Database!$D:$D,"Import",Database!$E:$E,$B77,Database!$C:$C,BB$1,Database!$F:$F,"Total")</f>
        <v>0</v>
      </c>
      <c r="BC77" s="137">
        <f>SUMIFS(Database!$G:$G,Database!$D:$D,"Import",Database!$E:$E,$B77,Database!$C:$C,BC$1,Database!$F:$F,"Total")</f>
        <v>0</v>
      </c>
      <c r="BD77" s="137">
        <f>SUMIFS(Database!$G:$G,Database!$D:$D,"Import",Database!$E:$E,$B77,Database!$C:$C,BD$1,Database!$F:$F,"Total")</f>
        <v>0</v>
      </c>
      <c r="BE77" s="137">
        <f>SUMIFS(Database!$G:$G,Database!$D:$D,"Import",Database!$E:$E,$B77,Database!$C:$C,BE$1,Database!$F:$F,"Total")</f>
        <v>0</v>
      </c>
      <c r="BF77" s="137">
        <f>SUMIFS(Database!$G:$G,Database!$D:$D,"Import",Database!$E:$E,$B77,Database!$C:$C,BF$1,Database!$F:$F,"Total")</f>
        <v>0</v>
      </c>
      <c r="BG77" s="137">
        <f>SUMIFS(Database!$G:$G,Database!$D:$D,"Import",Database!$E:$E,$B77,Database!$C:$C,BG$1,Database!$F:$F,"Total")</f>
        <v>0</v>
      </c>
      <c r="BH77" s="137">
        <f>SUMIFS(Database!$G:$G,Database!$D:$D,"Import",Database!$E:$E,$B77,Database!$C:$C,BH$1,Database!$F:$F,"Total")</f>
        <v>0</v>
      </c>
      <c r="BI77" s="137">
        <f>SUMIFS(Database!$G:$G,Database!$D:$D,"Import",Database!$E:$E,$B77,Database!$C:$C,BI$1,Database!$F:$F,"Total")</f>
        <v>0</v>
      </c>
      <c r="BJ77" s="137">
        <f>SUMIFS(Database!$G:$G,Database!$D:$D,"Import",Database!$E:$E,$B77,Database!$C:$C,BJ$1,Database!$F:$F,"Total")</f>
        <v>0</v>
      </c>
      <c r="BK77" s="137">
        <f>SUMIFS(Database!$G:$G,Database!$D:$D,"Import",Database!$E:$E,$B77,Database!$C:$C,BK$1,Database!$F:$F,"Total")</f>
        <v>0</v>
      </c>
      <c r="BL77" s="137">
        <f>SUMIFS(Database!$G:$G,Database!$D:$D,"Import",Database!$E:$E,$B77,Database!$C:$C,BL$1,Database!$F:$F,"Total")</f>
        <v>0</v>
      </c>
      <c r="BM77" s="137">
        <f>SUMIFS(Database!$G:$G,Database!$D:$D,"Import",Database!$E:$E,$B77,Database!$C:$C,BM$1,Database!$F:$F,"Total")</f>
        <v>0</v>
      </c>
      <c r="BN77" s="137">
        <f>SUMIFS(Database!$G:$G,Database!$D:$D,"Import",Database!$E:$E,$B77,Database!$C:$C,BN$1,Database!$F:$F,"Total")</f>
        <v>0</v>
      </c>
      <c r="BO77" s="137">
        <f>SUMIFS(Database!$G:$G,Database!$D:$D,"Import",Database!$E:$E,$B77,Database!$C:$C,BO$1,Database!$F:$F,"Total")</f>
        <v>0</v>
      </c>
      <c r="BP77" s="137">
        <f>SUMIFS(Database!$G:$G,Database!$D:$D,"Import",Database!$E:$E,$B77,Database!$C:$C,BP$1,Database!$F:$F,"Total")</f>
        <v>0</v>
      </c>
      <c r="BQ77" s="137">
        <f>SUMIFS(Database!$G:$G,Database!$D:$D,"Import",Database!$E:$E,$B77,Database!$C:$C,BQ$1,Database!$F:$F,"Total")</f>
        <v>0</v>
      </c>
      <c r="BR77" s="137">
        <f>SUMIFS(Database!$G:$G,Database!$D:$D,"Import",Database!$E:$E,$B77,Database!$C:$C,BR$1,Database!$F:$F,"Total")</f>
        <v>0</v>
      </c>
      <c r="BS77" s="137">
        <f>SUMIFS(Database!$G:$G,Database!$D:$D,"Import",Database!$E:$E,$B77,Database!$C:$C,BS$1,Database!$F:$F,"Total")</f>
        <v>0</v>
      </c>
      <c r="BT77" s="137">
        <f>SUMIFS(Database!$G:$G,Database!$D:$D,"Import",Database!$E:$E,$B77,Database!$C:$C,BT$1,Database!$F:$F,"Total")</f>
        <v>0</v>
      </c>
      <c r="BU77" s="137">
        <f>SUMIFS(Database!$G:$G,Database!$D:$D,"Import",Database!$E:$E,$B77,Database!$C:$C,BU$1,Database!$F:$F,"Total")</f>
        <v>0</v>
      </c>
      <c r="BV77" s="137">
        <f>SUMIFS(Database!$G:$G,Database!$D:$D,"Import",Database!$E:$E,$B77,Database!$C:$C,BV$1,Database!$F:$F,"Total")</f>
        <v>0</v>
      </c>
      <c r="BW77" s="137">
        <f>SUMIFS(Database!$G:$G,Database!$D:$D,"Import",Database!$E:$E,$B77,Database!$C:$C,BW$1,Database!$F:$F,"Total")</f>
        <v>0</v>
      </c>
      <c r="BX77" s="137">
        <f>SUMIFS(Database!$G:$G,Database!$D:$D,"Import",Database!$E:$E,$B77,Database!$C:$C,BX$1,Database!$F:$F,"Total")</f>
        <v>0</v>
      </c>
      <c r="BY77" s="137">
        <f>SUMIFS(Database!$G:$G,Database!$D:$D,"Import",Database!$E:$E,$B77,Database!$C:$C,BY$1,Database!$F:$F,"Total")</f>
        <v>0</v>
      </c>
      <c r="BZ77" s="137">
        <f>SUMIFS(Database!$G:$G,Database!$D:$D,"Import",Database!$E:$E,$B77,Database!$C:$C,BZ$1,Database!$F:$F,"Total")</f>
        <v>0</v>
      </c>
      <c r="CA77" s="137">
        <f>SUMIFS(Database!$G:$G,Database!$D:$D,"Import",Database!$E:$E,$B77,Database!$C:$C,CA$1,Database!$F:$F,"Total")</f>
        <v>0</v>
      </c>
      <c r="CB77" s="137">
        <f>SUMIFS(Database!$G:$G,Database!$D:$D,"Import",Database!$E:$E,$B77,Database!$C:$C,CB$1,Database!$F:$F,"Total")</f>
        <v>0</v>
      </c>
      <c r="CC77" s="137">
        <f>SUMIFS(Database!$G:$G,Database!$D:$D,"Import",Database!$E:$E,$B77,Database!$C:$C,CC$1,Database!$F:$F,"Total")</f>
        <v>0</v>
      </c>
      <c r="CD77" s="137">
        <f>SUMIFS(Database!$G:$G,Database!$D:$D,"Import",Database!$E:$E,$B77,Database!$C:$C,CD$1,Database!$F:$F,"Total")</f>
        <v>0</v>
      </c>
      <c r="CE77" s="137">
        <f>SUMIFS(Database!$G:$G,Database!$D:$D,"Import",Database!$E:$E,$B77,Database!$C:$C,CE$1,Database!$F:$F,"Total")</f>
        <v>0</v>
      </c>
      <c r="CF77" s="137">
        <f>SUMIFS(Database!$G:$G,Database!$D:$D,"Import",Database!$E:$E,$B77,Database!$C:$C,CF$1,Database!$F:$F,"Total")</f>
        <v>0</v>
      </c>
      <c r="CG77" s="137">
        <f>SUMIFS(Database!$G:$G,Database!$D:$D,"Import",Database!$E:$E,$B77,Database!$C:$C,CG$1,Database!$F:$F,"Total")</f>
        <v>0</v>
      </c>
      <c r="CH77" s="137">
        <f>SUMIFS(Database!$G:$G,Database!$D:$D,"Import",Database!$E:$E,$B77,Database!$C:$C,CH$1,Database!$F:$F,"Total")</f>
        <v>0</v>
      </c>
      <c r="CI77" s="137">
        <f>SUMIFS(Database!$G:$G,Database!$D:$D,"Import",Database!$E:$E,$B77,Database!$C:$C,CI$1,Database!$F:$F,"Total")</f>
        <v>0</v>
      </c>
      <c r="CJ77" s="137">
        <f>SUMIFS(Database!$G:$G,Database!$D:$D,"Import",Database!$E:$E,$B77,Database!$C:$C,CJ$1,Database!$F:$F,"Total")</f>
        <v>0</v>
      </c>
      <c r="CK77" s="137">
        <f>SUMIFS(Database!$G:$G,Database!$D:$D,"Import",Database!$E:$E,$B77,Database!$C:$C,CK$1,Database!$F:$F,"Total")</f>
        <v>0</v>
      </c>
      <c r="CL77" s="137">
        <f>SUMIFS(Database!$G:$G,Database!$D:$D,"Import",Database!$E:$E,$B77,Database!$C:$C,CL$1,Database!$F:$F,"Total")</f>
        <v>0</v>
      </c>
      <c r="CM77" s="137">
        <f>SUMIFS(Database!$G:$G,Database!$D:$D,"Import",Database!$E:$E,$B77,Database!$C:$C,CM$1,Database!$F:$F,"Total")</f>
        <v>0</v>
      </c>
      <c r="CN77" s="137">
        <f>SUMIFS(Database!$G:$G,Database!$D:$D,"Import",Database!$E:$E,$B77,Database!$C:$C,CN$1,Database!$F:$F,"Total")</f>
        <v>0</v>
      </c>
      <c r="CO77" s="137">
        <f>SUMIFS(Database!$G:$G,Database!$D:$D,"Import",Database!$E:$E,$B77,Database!$C:$C,CO$1,Database!$F:$F,"Total")</f>
        <v>0</v>
      </c>
      <c r="CP77" s="137">
        <f>SUMIFS(Database!$G:$G,Database!$D:$D,"Import",Database!$E:$E,$B77,Database!$C:$C,CP$1,Database!$F:$F,"Total")</f>
        <v>0</v>
      </c>
      <c r="CQ77" s="137">
        <f>SUMIFS(Database!$G:$G,Database!$D:$D,"Import",Database!$E:$E,$B77,Database!$C:$C,CQ$1,Database!$F:$F,"Total")</f>
        <v>0</v>
      </c>
      <c r="CR77" s="137">
        <f>SUMIFS(Database!$G:$G,Database!$D:$D,"Import",Database!$E:$E,$B77,Database!$C:$C,CR$1,Database!$F:$F,"Total")</f>
        <v>0</v>
      </c>
      <c r="CS77" s="137">
        <f>SUMIFS(Database!$G:$G,Database!$D:$D,"Import",Database!$E:$E,$B77,Database!$C:$C,CS$1,Database!$F:$F,"Total")</f>
        <v>0</v>
      </c>
      <c r="CT77" s="137">
        <f>SUMIFS(Database!$G:$G,Database!$D:$D,"Import",Database!$E:$E,$B77,Database!$C:$C,CT$1,Database!$F:$F,"Total")</f>
        <v>0</v>
      </c>
      <c r="CU77" s="137">
        <f>SUMIFS(Database!$G:$G,Database!$D:$D,"Import",Database!$E:$E,$B77,Database!$C:$C,CU$1,Database!$F:$F,"Total")</f>
        <v>0</v>
      </c>
    </row>
    <row r="78" spans="1:99" x14ac:dyDescent="0.25">
      <c r="A78" s="132" t="s">
        <v>484</v>
      </c>
      <c r="B78" s="133" t="s">
        <v>88</v>
      </c>
      <c r="C78" s="137">
        <f>SUMIFS(Database!$G:$G,Database!$D:$D,"Import",Database!$E:$E,$B78,Database!$C:$C,C$1,Database!$F:$F,"Total")</f>
        <v>0</v>
      </c>
      <c r="D78" s="137">
        <f>SUMIFS(Database!$G:$G,Database!$D:$D,"Import",Database!$E:$E,$B78,Database!$C:$C,D$1,Database!$F:$F,"Total")</f>
        <v>0</v>
      </c>
      <c r="E78" s="137">
        <f>SUMIFS(Database!$G:$G,Database!$D:$D,"Import",Database!$E:$E,$B78,Database!$C:$C,E$1,Database!$F:$F,"Total")</f>
        <v>0</v>
      </c>
      <c r="F78" s="137">
        <f>SUMIFS(Database!$G:$G,Database!$D:$D,"Import",Database!$E:$E,$B78,Database!$C:$C,F$1,Database!$F:$F,"Total")</f>
        <v>0</v>
      </c>
      <c r="G78" s="137">
        <f>SUMIFS(Database!$G:$G,Database!$D:$D,"Import",Database!$E:$E,$B78,Database!$C:$C,G$1,Database!$F:$F,"Total")</f>
        <v>0</v>
      </c>
      <c r="H78" s="137">
        <f>SUMIFS(Database!$G:$G,Database!$D:$D,"Import",Database!$E:$E,$B78,Database!$C:$C,H$1,Database!$F:$F,"Total")</f>
        <v>0</v>
      </c>
      <c r="I78" s="137">
        <f>SUMIFS(Database!$G:$G,Database!$D:$D,"Import",Database!$E:$E,$B78,Database!$C:$C,I$1,Database!$F:$F,"Total")</f>
        <v>0</v>
      </c>
      <c r="J78" s="137">
        <f>SUMIFS(Database!$G:$G,Database!$D:$D,"Import",Database!$E:$E,$B78,Database!$C:$C,J$1,Database!$F:$F,"Total")</f>
        <v>0</v>
      </c>
      <c r="K78" s="137">
        <f>SUMIFS(Database!$G:$G,Database!$D:$D,"Import",Database!$E:$E,$B78,Database!$C:$C,K$1,Database!$F:$F,"Total")</f>
        <v>0</v>
      </c>
      <c r="L78" s="137">
        <f>SUMIFS(Database!$G:$G,Database!$D:$D,"Import",Database!$E:$E,$B78,Database!$C:$C,L$1,Database!$F:$F,"Total")</f>
        <v>0</v>
      </c>
      <c r="M78" s="137">
        <f>SUMIFS(Database!$G:$G,Database!$D:$D,"Import",Database!$E:$E,$B78,Database!$C:$C,M$1,Database!$F:$F,"Total")</f>
        <v>0</v>
      </c>
      <c r="N78" s="137">
        <f>SUMIFS(Database!$G:$G,Database!$D:$D,"Import",Database!$E:$E,$B78,Database!$C:$C,N$1,Database!$F:$F,"Total")</f>
        <v>0</v>
      </c>
      <c r="O78" s="137">
        <f>SUMIFS(Database!$G:$G,Database!$D:$D,"Import",Database!$E:$E,$B78,Database!$C:$C,O$1,Database!$F:$F,"Total")</f>
        <v>0</v>
      </c>
      <c r="P78" s="137">
        <f>SUMIFS(Database!$G:$G,Database!$D:$D,"Import",Database!$E:$E,$B78,Database!$C:$C,P$1,Database!$F:$F,"Total")</f>
        <v>0</v>
      </c>
      <c r="Q78" s="137">
        <f>SUMIFS(Database!$G:$G,Database!$D:$D,"Import",Database!$E:$E,$B78,Database!$C:$C,Q$1,Database!$F:$F,"Total")</f>
        <v>0</v>
      </c>
      <c r="R78" s="137">
        <f>SUMIFS(Database!$G:$G,Database!$D:$D,"Import",Database!$E:$E,$B78,Database!$C:$C,R$1,Database!$F:$F,"Total")</f>
        <v>0</v>
      </c>
      <c r="S78" s="137">
        <f>SUMIFS(Database!$G:$G,Database!$D:$D,"Import",Database!$E:$E,$B78,Database!$C:$C,S$1,Database!$F:$F,"Total")</f>
        <v>0</v>
      </c>
      <c r="T78" s="137">
        <f>SUMIFS(Database!$G:$G,Database!$D:$D,"Import",Database!$E:$E,$B78,Database!$C:$C,T$1,Database!$F:$F,"Total")</f>
        <v>0</v>
      </c>
      <c r="U78" s="137">
        <f>SUMIFS(Database!$G:$G,Database!$D:$D,"Import",Database!$E:$E,$B78,Database!$C:$C,U$1,Database!$F:$F,"Total")</f>
        <v>0</v>
      </c>
      <c r="V78" s="137">
        <f>SUMIFS(Database!$G:$G,Database!$D:$D,"Import",Database!$E:$E,$B78,Database!$C:$C,V$1,Database!$F:$F,"Total")</f>
        <v>0</v>
      </c>
      <c r="W78" s="137">
        <f>SUMIFS(Database!$G:$G,Database!$D:$D,"Import",Database!$E:$E,$B78,Database!$C:$C,W$1,Database!$F:$F,"Total")</f>
        <v>0</v>
      </c>
      <c r="X78" s="137">
        <f>SUMIFS(Database!$G:$G,Database!$D:$D,"Import",Database!$E:$E,$B78,Database!$C:$C,X$1,Database!$F:$F,"Total")</f>
        <v>0</v>
      </c>
      <c r="Y78" s="137">
        <f>SUMIFS(Database!$G:$G,Database!$D:$D,"Import",Database!$E:$E,$B78,Database!$C:$C,Y$1,Database!$F:$F,"Total")</f>
        <v>0</v>
      </c>
      <c r="Z78" s="137">
        <f>SUMIFS(Database!$G:$G,Database!$D:$D,"Import",Database!$E:$E,$B78,Database!$C:$C,Z$1,Database!$F:$F,"Total")</f>
        <v>0</v>
      </c>
      <c r="AA78" s="137">
        <f>SUMIFS(Database!$G:$G,Database!$D:$D,"Import",Database!$E:$E,$B78,Database!$C:$C,AA$1,Database!$F:$F,"Total")</f>
        <v>0</v>
      </c>
      <c r="AB78" s="137">
        <f>SUMIFS(Database!$G:$G,Database!$D:$D,"Import",Database!$E:$E,$B78,Database!$C:$C,AB$1,Database!$F:$F,"Total")</f>
        <v>0</v>
      </c>
      <c r="AC78" s="137">
        <f>SUMIFS(Database!$G:$G,Database!$D:$D,"Import",Database!$E:$E,$B78,Database!$C:$C,AC$1,Database!$F:$F,"Total")</f>
        <v>0</v>
      </c>
      <c r="AD78" s="137">
        <f>SUMIFS(Database!$G:$G,Database!$D:$D,"Import",Database!$E:$E,$B78,Database!$C:$C,AD$1,Database!$F:$F,"Total")</f>
        <v>0</v>
      </c>
      <c r="AE78" s="137">
        <f>SUMIFS(Database!$G:$G,Database!$D:$D,"Import",Database!$E:$E,$B78,Database!$C:$C,AE$1,Database!$F:$F,"Total")</f>
        <v>0</v>
      </c>
      <c r="AF78" s="137">
        <f>SUMIFS(Database!$G:$G,Database!$D:$D,"Import",Database!$E:$E,$B78,Database!$C:$C,AF$1,Database!$F:$F,"Total")</f>
        <v>0</v>
      </c>
      <c r="AG78" s="137">
        <f>SUMIFS(Database!$G:$G,Database!$D:$D,"Import",Database!$E:$E,$B78,Database!$C:$C,AG$1,Database!$F:$F,"Total")</f>
        <v>0</v>
      </c>
      <c r="AH78" s="137">
        <f>SUMIFS(Database!$G:$G,Database!$D:$D,"Import",Database!$E:$E,$B78,Database!$C:$C,AH$1,Database!$F:$F,"Total")</f>
        <v>0</v>
      </c>
      <c r="AI78" s="137">
        <f>SUMIFS(Database!$G:$G,Database!$D:$D,"Import",Database!$E:$E,$B78,Database!$C:$C,AI$1,Database!$F:$F,"Total")</f>
        <v>0</v>
      </c>
      <c r="AJ78" s="137">
        <f>SUMIFS(Database!$G:$G,Database!$D:$D,"Import",Database!$E:$E,$B78,Database!$C:$C,AJ$1,Database!$F:$F,"Total")</f>
        <v>0</v>
      </c>
      <c r="AK78" s="137">
        <f>SUMIFS(Database!$G:$G,Database!$D:$D,"Import",Database!$E:$E,$B78,Database!$C:$C,AK$1,Database!$F:$F,"Total")</f>
        <v>0</v>
      </c>
      <c r="AL78" s="137">
        <f>SUMIFS(Database!$G:$G,Database!$D:$D,"Import",Database!$E:$E,$B78,Database!$C:$C,AL$1,Database!$F:$F,"Total")</f>
        <v>0</v>
      </c>
      <c r="AM78" s="137">
        <f>SUMIFS(Database!$G:$G,Database!$D:$D,"Import",Database!$E:$E,$B78,Database!$C:$C,AM$1,Database!$F:$F,"Total")</f>
        <v>0</v>
      </c>
      <c r="AN78" s="137">
        <f>SUMIFS(Database!$G:$G,Database!$D:$D,"Import",Database!$E:$E,$B78,Database!$C:$C,AN$1,Database!$F:$F,"Total")</f>
        <v>0</v>
      </c>
      <c r="AO78" s="137">
        <f>SUMIFS(Database!$G:$G,Database!$D:$D,"Import",Database!$E:$E,$B78,Database!$C:$C,AO$1,Database!$F:$F,"Total")</f>
        <v>0</v>
      </c>
      <c r="AP78" s="137">
        <f>SUMIFS(Database!$G:$G,Database!$D:$D,"Import",Database!$E:$E,$B78,Database!$C:$C,AP$1,Database!$F:$F,"Total")</f>
        <v>0</v>
      </c>
      <c r="AQ78" s="137">
        <f>SUMIFS(Database!$G:$G,Database!$D:$D,"Import",Database!$E:$E,$B78,Database!$C:$C,AQ$1,Database!$F:$F,"Total")</f>
        <v>4024</v>
      </c>
      <c r="AR78" s="137">
        <f>SUMIFS(Database!$G:$G,Database!$D:$D,"Import",Database!$E:$E,$B78,Database!$C:$C,AR$1,Database!$F:$F,"Total")</f>
        <v>6631</v>
      </c>
      <c r="AS78" s="137">
        <f>SUMIFS(Database!$G:$G,Database!$D:$D,"Import",Database!$E:$E,$B78,Database!$C:$C,AS$1,Database!$F:$F,"Total")</f>
        <v>2272</v>
      </c>
      <c r="AT78" s="137">
        <f>SUMIFS(Database!$G:$G,Database!$D:$D,"Import",Database!$E:$E,$B78,Database!$C:$C,AT$1,Database!$F:$F,"Total")</f>
        <v>20756</v>
      </c>
      <c r="AU78" s="137">
        <f>SUMIFS(Database!$G:$G,Database!$D:$D,"Import",Database!$E:$E,$B78,Database!$C:$C,AU$1,Database!$F:$F,"Total")</f>
        <v>6628</v>
      </c>
      <c r="AV78" s="137">
        <f>SUMIFS(Database!$G:$G,Database!$D:$D,"Import",Database!$E:$E,$B78,Database!$C:$C,AV$1,Database!$F:$F,"Total")</f>
        <v>6624</v>
      </c>
      <c r="AW78" s="137">
        <f>SUMIFS(Database!$G:$G,Database!$D:$D,"Import",Database!$E:$E,$B78,Database!$C:$C,AW$1,Database!$F:$F,"Total")</f>
        <v>4311</v>
      </c>
      <c r="AX78" s="137">
        <f>SUMIFS(Database!$G:$G,Database!$D:$D,"Import",Database!$E:$E,$B78,Database!$C:$C,AX$1,Database!$F:$F,"Total")</f>
        <v>0</v>
      </c>
      <c r="AY78" s="137">
        <f>SUMIFS(Database!$G:$G,Database!$D:$D,"Import",Database!$E:$E,$B78,Database!$C:$C,AY$1,Database!$F:$F,"Total")</f>
        <v>0</v>
      </c>
      <c r="AZ78" s="137">
        <f>SUMIFS(Database!$G:$G,Database!$D:$D,"Import",Database!$E:$E,$B78,Database!$C:$C,AZ$1,Database!$F:$F,"Total")</f>
        <v>0</v>
      </c>
      <c r="BA78" s="137">
        <f>SUMIFS(Database!$G:$G,Database!$D:$D,"Import",Database!$E:$E,$B78,Database!$C:$C,BA$1,Database!$F:$F,"Total")</f>
        <v>0</v>
      </c>
      <c r="BB78" s="137">
        <f>SUMIFS(Database!$G:$G,Database!$D:$D,"Import",Database!$E:$E,$B78,Database!$C:$C,BB$1,Database!$F:$F,"Total")</f>
        <v>0</v>
      </c>
      <c r="BC78" s="137">
        <f>SUMIFS(Database!$G:$G,Database!$D:$D,"Import",Database!$E:$E,$B78,Database!$C:$C,BC$1,Database!$F:$F,"Total")</f>
        <v>0</v>
      </c>
      <c r="BD78" s="137">
        <f>SUMIFS(Database!$G:$G,Database!$D:$D,"Import",Database!$E:$E,$B78,Database!$C:$C,BD$1,Database!$F:$F,"Total")</f>
        <v>0</v>
      </c>
      <c r="BE78" s="137">
        <f>SUMIFS(Database!$G:$G,Database!$D:$D,"Import",Database!$E:$E,$B78,Database!$C:$C,BE$1,Database!$F:$F,"Total")</f>
        <v>0</v>
      </c>
      <c r="BF78" s="137">
        <f>SUMIFS(Database!$G:$G,Database!$D:$D,"Import",Database!$E:$E,$B78,Database!$C:$C,BF$1,Database!$F:$F,"Total")</f>
        <v>0</v>
      </c>
      <c r="BG78" s="137">
        <f>SUMIFS(Database!$G:$G,Database!$D:$D,"Import",Database!$E:$E,$B78,Database!$C:$C,BG$1,Database!$F:$F,"Total")</f>
        <v>0</v>
      </c>
      <c r="BH78" s="137">
        <f>SUMIFS(Database!$G:$G,Database!$D:$D,"Import",Database!$E:$E,$B78,Database!$C:$C,BH$1,Database!$F:$F,"Total")</f>
        <v>0</v>
      </c>
      <c r="BI78" s="137">
        <f>SUMIFS(Database!$G:$G,Database!$D:$D,"Import",Database!$E:$E,$B78,Database!$C:$C,BI$1,Database!$F:$F,"Total")</f>
        <v>0</v>
      </c>
      <c r="BJ78" s="137">
        <f>SUMIFS(Database!$G:$G,Database!$D:$D,"Import",Database!$E:$E,$B78,Database!$C:$C,BJ$1,Database!$F:$F,"Total")</f>
        <v>0</v>
      </c>
      <c r="BK78" s="137">
        <f>SUMIFS(Database!$G:$G,Database!$D:$D,"Import",Database!$E:$E,$B78,Database!$C:$C,BK$1,Database!$F:$F,"Total")</f>
        <v>0</v>
      </c>
      <c r="BL78" s="137">
        <f>SUMIFS(Database!$G:$G,Database!$D:$D,"Import",Database!$E:$E,$B78,Database!$C:$C,BL$1,Database!$F:$F,"Total")</f>
        <v>0</v>
      </c>
      <c r="BM78" s="137">
        <f>SUMIFS(Database!$G:$G,Database!$D:$D,"Import",Database!$E:$E,$B78,Database!$C:$C,BM$1,Database!$F:$F,"Total")</f>
        <v>0</v>
      </c>
      <c r="BN78" s="137">
        <f>SUMIFS(Database!$G:$G,Database!$D:$D,"Import",Database!$E:$E,$B78,Database!$C:$C,BN$1,Database!$F:$F,"Total")</f>
        <v>0</v>
      </c>
      <c r="BO78" s="137">
        <f>SUMIFS(Database!$G:$G,Database!$D:$D,"Import",Database!$E:$E,$B78,Database!$C:$C,BO$1,Database!$F:$F,"Total")</f>
        <v>0</v>
      </c>
      <c r="BP78" s="137">
        <f>SUMIFS(Database!$G:$G,Database!$D:$D,"Import",Database!$E:$E,$B78,Database!$C:$C,BP$1,Database!$F:$F,"Total")</f>
        <v>0</v>
      </c>
      <c r="BQ78" s="137">
        <f>SUMIFS(Database!$G:$G,Database!$D:$D,"Import",Database!$E:$E,$B78,Database!$C:$C,BQ$1,Database!$F:$F,"Total")</f>
        <v>0</v>
      </c>
      <c r="BR78" s="137">
        <f>SUMIFS(Database!$G:$G,Database!$D:$D,"Import",Database!$E:$E,$B78,Database!$C:$C,BR$1,Database!$F:$F,"Total")</f>
        <v>0</v>
      </c>
      <c r="BS78" s="137">
        <f>SUMIFS(Database!$G:$G,Database!$D:$D,"Import",Database!$E:$E,$B78,Database!$C:$C,BS$1,Database!$F:$F,"Total")</f>
        <v>0</v>
      </c>
      <c r="BT78" s="137">
        <f>SUMIFS(Database!$G:$G,Database!$D:$D,"Import",Database!$E:$E,$B78,Database!$C:$C,BT$1,Database!$F:$F,"Total")</f>
        <v>0</v>
      </c>
      <c r="BU78" s="137">
        <f>SUMIFS(Database!$G:$G,Database!$D:$D,"Import",Database!$E:$E,$B78,Database!$C:$C,BU$1,Database!$F:$F,"Total")</f>
        <v>0</v>
      </c>
      <c r="BV78" s="137">
        <f>SUMIFS(Database!$G:$G,Database!$D:$D,"Import",Database!$E:$E,$B78,Database!$C:$C,BV$1,Database!$F:$F,"Total")</f>
        <v>0</v>
      </c>
      <c r="BW78" s="137">
        <f>SUMIFS(Database!$G:$G,Database!$D:$D,"Import",Database!$E:$E,$B78,Database!$C:$C,BW$1,Database!$F:$F,"Total")</f>
        <v>0</v>
      </c>
      <c r="BX78" s="137">
        <f>SUMIFS(Database!$G:$G,Database!$D:$D,"Import",Database!$E:$E,$B78,Database!$C:$C,BX$1,Database!$F:$F,"Total")</f>
        <v>0</v>
      </c>
      <c r="BY78" s="137">
        <f>SUMIFS(Database!$G:$G,Database!$D:$D,"Import",Database!$E:$E,$B78,Database!$C:$C,BY$1,Database!$F:$F,"Total")</f>
        <v>0</v>
      </c>
      <c r="BZ78" s="137">
        <f>SUMIFS(Database!$G:$G,Database!$D:$D,"Import",Database!$E:$E,$B78,Database!$C:$C,BZ$1,Database!$F:$F,"Total")</f>
        <v>0</v>
      </c>
      <c r="CA78" s="137">
        <f>SUMIFS(Database!$G:$G,Database!$D:$D,"Import",Database!$E:$E,$B78,Database!$C:$C,CA$1,Database!$F:$F,"Total")</f>
        <v>0</v>
      </c>
      <c r="CB78" s="137">
        <f>SUMIFS(Database!$G:$G,Database!$D:$D,"Import",Database!$E:$E,$B78,Database!$C:$C,CB$1,Database!$F:$F,"Total")</f>
        <v>0</v>
      </c>
      <c r="CC78" s="137">
        <f>SUMIFS(Database!$G:$G,Database!$D:$D,"Import",Database!$E:$E,$B78,Database!$C:$C,CC$1,Database!$F:$F,"Total")</f>
        <v>0</v>
      </c>
      <c r="CD78" s="137">
        <f>SUMIFS(Database!$G:$G,Database!$D:$D,"Import",Database!$E:$E,$B78,Database!$C:$C,CD$1,Database!$F:$F,"Total")</f>
        <v>0</v>
      </c>
      <c r="CE78" s="137">
        <f>SUMIFS(Database!$G:$G,Database!$D:$D,"Import",Database!$E:$E,$B78,Database!$C:$C,CE$1,Database!$F:$F,"Total")</f>
        <v>0</v>
      </c>
      <c r="CF78" s="137">
        <f>SUMIFS(Database!$G:$G,Database!$D:$D,"Import",Database!$E:$E,$B78,Database!$C:$C,CF$1,Database!$F:$F,"Total")</f>
        <v>0</v>
      </c>
      <c r="CG78" s="137">
        <f>SUMIFS(Database!$G:$G,Database!$D:$D,"Import",Database!$E:$E,$B78,Database!$C:$C,CG$1,Database!$F:$F,"Total")</f>
        <v>0</v>
      </c>
      <c r="CH78" s="137">
        <f>SUMIFS(Database!$G:$G,Database!$D:$D,"Import",Database!$E:$E,$B78,Database!$C:$C,CH$1,Database!$F:$F,"Total")</f>
        <v>0</v>
      </c>
      <c r="CI78" s="137">
        <f>SUMIFS(Database!$G:$G,Database!$D:$D,"Import",Database!$E:$E,$B78,Database!$C:$C,CI$1,Database!$F:$F,"Total")</f>
        <v>0</v>
      </c>
      <c r="CJ78" s="137">
        <f>SUMIFS(Database!$G:$G,Database!$D:$D,"Import",Database!$E:$E,$B78,Database!$C:$C,CJ$1,Database!$F:$F,"Total")</f>
        <v>0</v>
      </c>
      <c r="CK78" s="137">
        <f>SUMIFS(Database!$G:$G,Database!$D:$D,"Import",Database!$E:$E,$B78,Database!$C:$C,CK$1,Database!$F:$F,"Total")</f>
        <v>0</v>
      </c>
      <c r="CL78" s="137">
        <f>SUMIFS(Database!$G:$G,Database!$D:$D,"Import",Database!$E:$E,$B78,Database!$C:$C,CL$1,Database!$F:$F,"Total")</f>
        <v>0</v>
      </c>
      <c r="CM78" s="137">
        <f>SUMIFS(Database!$G:$G,Database!$D:$D,"Import",Database!$E:$E,$B78,Database!$C:$C,CM$1,Database!$F:$F,"Total")</f>
        <v>0</v>
      </c>
      <c r="CN78" s="137">
        <f>SUMIFS(Database!$G:$G,Database!$D:$D,"Import",Database!$E:$E,$B78,Database!$C:$C,CN$1,Database!$F:$F,"Total")</f>
        <v>0</v>
      </c>
      <c r="CO78" s="137">
        <f>SUMIFS(Database!$G:$G,Database!$D:$D,"Import",Database!$E:$E,$B78,Database!$C:$C,CO$1,Database!$F:$F,"Total")</f>
        <v>0</v>
      </c>
      <c r="CP78" s="137">
        <f>SUMIFS(Database!$G:$G,Database!$D:$D,"Import",Database!$E:$E,$B78,Database!$C:$C,CP$1,Database!$F:$F,"Total")</f>
        <v>0</v>
      </c>
      <c r="CQ78" s="137">
        <f>SUMIFS(Database!$G:$G,Database!$D:$D,"Import",Database!$E:$E,$B78,Database!$C:$C,CQ$1,Database!$F:$F,"Total")</f>
        <v>0</v>
      </c>
      <c r="CR78" s="137">
        <f>SUMIFS(Database!$G:$G,Database!$D:$D,"Import",Database!$E:$E,$B78,Database!$C:$C,CR$1,Database!$F:$F,"Total")</f>
        <v>0</v>
      </c>
      <c r="CS78" s="137">
        <f>SUMIFS(Database!$G:$G,Database!$D:$D,"Import",Database!$E:$E,$B78,Database!$C:$C,CS$1,Database!$F:$F,"Total")</f>
        <v>0</v>
      </c>
      <c r="CT78" s="137">
        <f>SUMIFS(Database!$G:$G,Database!$D:$D,"Import",Database!$E:$E,$B78,Database!$C:$C,CT$1,Database!$F:$F,"Total")</f>
        <v>0</v>
      </c>
      <c r="CU78" s="137">
        <f>SUMIFS(Database!$G:$G,Database!$D:$D,"Import",Database!$E:$E,$B78,Database!$C:$C,CU$1,Database!$F:$F,"Total")</f>
        <v>0</v>
      </c>
    </row>
    <row r="79" spans="1:99" x14ac:dyDescent="0.25">
      <c r="A79" s="132" t="s">
        <v>484</v>
      </c>
      <c r="B79" s="133" t="s">
        <v>89</v>
      </c>
      <c r="C79" s="137">
        <f>SUMIFS(Database!$G:$G,Database!$D:$D,"Import",Database!$E:$E,$B79,Database!$C:$C,C$1,Database!$F:$F,"Total")</f>
        <v>0</v>
      </c>
      <c r="D79" s="137">
        <f>SUMIFS(Database!$G:$G,Database!$D:$D,"Import",Database!$E:$E,$B79,Database!$C:$C,D$1,Database!$F:$F,"Total")</f>
        <v>0</v>
      </c>
      <c r="E79" s="137">
        <f>SUMIFS(Database!$G:$G,Database!$D:$D,"Import",Database!$E:$E,$B79,Database!$C:$C,E$1,Database!$F:$F,"Total")</f>
        <v>0</v>
      </c>
      <c r="F79" s="137">
        <f>SUMIFS(Database!$G:$G,Database!$D:$D,"Import",Database!$E:$E,$B79,Database!$C:$C,F$1,Database!$F:$F,"Total")</f>
        <v>0</v>
      </c>
      <c r="G79" s="137">
        <f>SUMIFS(Database!$G:$G,Database!$D:$D,"Import",Database!$E:$E,$B79,Database!$C:$C,G$1,Database!$F:$F,"Total")</f>
        <v>0</v>
      </c>
      <c r="H79" s="137">
        <f>SUMIFS(Database!$G:$G,Database!$D:$D,"Import",Database!$E:$E,$B79,Database!$C:$C,H$1,Database!$F:$F,"Total")</f>
        <v>0</v>
      </c>
      <c r="I79" s="137">
        <f>SUMIFS(Database!$G:$G,Database!$D:$D,"Import",Database!$E:$E,$B79,Database!$C:$C,I$1,Database!$F:$F,"Total")</f>
        <v>0</v>
      </c>
      <c r="J79" s="137">
        <f>SUMIFS(Database!$G:$G,Database!$D:$D,"Import",Database!$E:$E,$B79,Database!$C:$C,J$1,Database!$F:$F,"Total")</f>
        <v>0</v>
      </c>
      <c r="K79" s="137">
        <f>SUMIFS(Database!$G:$G,Database!$D:$D,"Import",Database!$E:$E,$B79,Database!$C:$C,K$1,Database!$F:$F,"Total")</f>
        <v>0</v>
      </c>
      <c r="L79" s="137">
        <f>SUMIFS(Database!$G:$G,Database!$D:$D,"Import",Database!$E:$E,$B79,Database!$C:$C,L$1,Database!$F:$F,"Total")</f>
        <v>0</v>
      </c>
      <c r="M79" s="137">
        <f>SUMIFS(Database!$G:$G,Database!$D:$D,"Import",Database!$E:$E,$B79,Database!$C:$C,M$1,Database!$F:$F,"Total")</f>
        <v>0</v>
      </c>
      <c r="N79" s="137">
        <f>SUMIFS(Database!$G:$G,Database!$D:$D,"Import",Database!$E:$E,$B79,Database!$C:$C,N$1,Database!$F:$F,"Total")</f>
        <v>0</v>
      </c>
      <c r="O79" s="137">
        <f>SUMIFS(Database!$G:$G,Database!$D:$D,"Import",Database!$E:$E,$B79,Database!$C:$C,O$1,Database!$F:$F,"Total")</f>
        <v>0</v>
      </c>
      <c r="P79" s="137">
        <f>SUMIFS(Database!$G:$G,Database!$D:$D,"Import",Database!$E:$E,$B79,Database!$C:$C,P$1,Database!$F:$F,"Total")</f>
        <v>0</v>
      </c>
      <c r="Q79" s="137">
        <f>SUMIFS(Database!$G:$G,Database!$D:$D,"Import",Database!$E:$E,$B79,Database!$C:$C,Q$1,Database!$F:$F,"Total")</f>
        <v>0</v>
      </c>
      <c r="R79" s="137">
        <f>SUMIFS(Database!$G:$G,Database!$D:$D,"Import",Database!$E:$E,$B79,Database!$C:$C,R$1,Database!$F:$F,"Total")</f>
        <v>0</v>
      </c>
      <c r="S79" s="137">
        <f>SUMIFS(Database!$G:$G,Database!$D:$D,"Import",Database!$E:$E,$B79,Database!$C:$C,S$1,Database!$F:$F,"Total")</f>
        <v>0</v>
      </c>
      <c r="T79" s="137">
        <f>SUMIFS(Database!$G:$G,Database!$D:$D,"Import",Database!$E:$E,$B79,Database!$C:$C,T$1,Database!$F:$F,"Total")</f>
        <v>0</v>
      </c>
      <c r="U79" s="137">
        <f>SUMIFS(Database!$G:$G,Database!$D:$D,"Import",Database!$E:$E,$B79,Database!$C:$C,U$1,Database!$F:$F,"Total")</f>
        <v>0</v>
      </c>
      <c r="V79" s="137">
        <f>SUMIFS(Database!$G:$G,Database!$D:$D,"Import",Database!$E:$E,$B79,Database!$C:$C,V$1,Database!$F:$F,"Total")</f>
        <v>0</v>
      </c>
      <c r="W79" s="137">
        <f>SUMIFS(Database!$G:$G,Database!$D:$D,"Import",Database!$E:$E,$B79,Database!$C:$C,W$1,Database!$F:$F,"Total")</f>
        <v>0</v>
      </c>
      <c r="X79" s="137">
        <f>SUMIFS(Database!$G:$G,Database!$D:$D,"Import",Database!$E:$E,$B79,Database!$C:$C,X$1,Database!$F:$F,"Total")</f>
        <v>0</v>
      </c>
      <c r="Y79" s="137">
        <f>SUMIFS(Database!$G:$G,Database!$D:$D,"Import",Database!$E:$E,$B79,Database!$C:$C,Y$1,Database!$F:$F,"Total")</f>
        <v>0</v>
      </c>
      <c r="Z79" s="137">
        <f>SUMIFS(Database!$G:$G,Database!$D:$D,"Import",Database!$E:$E,$B79,Database!$C:$C,Z$1,Database!$F:$F,"Total")</f>
        <v>0</v>
      </c>
      <c r="AA79" s="137">
        <f>SUMIFS(Database!$G:$G,Database!$D:$D,"Import",Database!$E:$E,$B79,Database!$C:$C,AA$1,Database!$F:$F,"Total")</f>
        <v>0</v>
      </c>
      <c r="AB79" s="137">
        <f>SUMIFS(Database!$G:$G,Database!$D:$D,"Import",Database!$E:$E,$B79,Database!$C:$C,AB$1,Database!$F:$F,"Total")</f>
        <v>0</v>
      </c>
      <c r="AC79" s="137">
        <f>SUMIFS(Database!$G:$G,Database!$D:$D,"Import",Database!$E:$E,$B79,Database!$C:$C,AC$1,Database!$F:$F,"Total")</f>
        <v>0</v>
      </c>
      <c r="AD79" s="137">
        <f>SUMIFS(Database!$G:$G,Database!$D:$D,"Import",Database!$E:$E,$B79,Database!$C:$C,AD$1,Database!$F:$F,"Total")</f>
        <v>0</v>
      </c>
      <c r="AE79" s="137">
        <f>SUMIFS(Database!$G:$G,Database!$D:$D,"Import",Database!$E:$E,$B79,Database!$C:$C,AE$1,Database!$F:$F,"Total")</f>
        <v>0</v>
      </c>
      <c r="AF79" s="137">
        <f>SUMIFS(Database!$G:$G,Database!$D:$D,"Import",Database!$E:$E,$B79,Database!$C:$C,AF$1,Database!$F:$F,"Total")</f>
        <v>0</v>
      </c>
      <c r="AG79" s="137">
        <f>SUMIFS(Database!$G:$G,Database!$D:$D,"Import",Database!$E:$E,$B79,Database!$C:$C,AG$1,Database!$F:$F,"Total")</f>
        <v>0</v>
      </c>
      <c r="AH79" s="137">
        <f>SUMIFS(Database!$G:$G,Database!$D:$D,"Import",Database!$E:$E,$B79,Database!$C:$C,AH$1,Database!$F:$F,"Total")</f>
        <v>0</v>
      </c>
      <c r="AI79" s="137">
        <f>SUMIFS(Database!$G:$G,Database!$D:$D,"Import",Database!$E:$E,$B79,Database!$C:$C,AI$1,Database!$F:$F,"Total")</f>
        <v>0</v>
      </c>
      <c r="AJ79" s="137">
        <f>SUMIFS(Database!$G:$G,Database!$D:$D,"Import",Database!$E:$E,$B79,Database!$C:$C,AJ$1,Database!$F:$F,"Total")</f>
        <v>8804</v>
      </c>
      <c r="AK79" s="137">
        <f>SUMIFS(Database!$G:$G,Database!$D:$D,"Import",Database!$E:$E,$B79,Database!$C:$C,AK$1,Database!$F:$F,"Total")</f>
        <v>13552.5</v>
      </c>
      <c r="AL79" s="137">
        <f>SUMIFS(Database!$G:$G,Database!$D:$D,"Import",Database!$E:$E,$B79,Database!$C:$C,AL$1,Database!$F:$F,"Total")</f>
        <v>18825</v>
      </c>
      <c r="AM79" s="137">
        <f>SUMIFS(Database!$G:$G,Database!$D:$D,"Import",Database!$E:$E,$B79,Database!$C:$C,AM$1,Database!$F:$F,"Total")</f>
        <v>6149</v>
      </c>
      <c r="AN79" s="137">
        <f>SUMIFS(Database!$G:$G,Database!$D:$D,"Import",Database!$E:$E,$B79,Database!$C:$C,AN$1,Database!$F:$F,"Total")</f>
        <v>41</v>
      </c>
      <c r="AO79" s="137">
        <f>SUMIFS(Database!$G:$G,Database!$D:$D,"Import",Database!$E:$E,$B79,Database!$C:$C,AO$1,Database!$F:$F,"Total")</f>
        <v>96</v>
      </c>
      <c r="AP79" s="137">
        <f>SUMIFS(Database!$G:$G,Database!$D:$D,"Import",Database!$E:$E,$B79,Database!$C:$C,AP$1,Database!$F:$F,"Total")</f>
        <v>329</v>
      </c>
      <c r="AQ79" s="137">
        <f>SUMIFS(Database!$G:$G,Database!$D:$D,"Import",Database!$E:$E,$B79,Database!$C:$C,AQ$1,Database!$F:$F,"Total")</f>
        <v>540</v>
      </c>
      <c r="AR79" s="137">
        <f>SUMIFS(Database!$G:$G,Database!$D:$D,"Import",Database!$E:$E,$B79,Database!$C:$C,AR$1,Database!$F:$F,"Total")</f>
        <v>214</v>
      </c>
      <c r="AS79" s="137">
        <f>SUMIFS(Database!$G:$G,Database!$D:$D,"Import",Database!$E:$E,$B79,Database!$C:$C,AS$1,Database!$F:$F,"Total")</f>
        <v>788</v>
      </c>
      <c r="AT79" s="137">
        <f>SUMIFS(Database!$G:$G,Database!$D:$D,"Import",Database!$E:$E,$B79,Database!$C:$C,AT$1,Database!$F:$F,"Total")</f>
        <v>106</v>
      </c>
      <c r="AU79" s="137">
        <f>SUMIFS(Database!$G:$G,Database!$D:$D,"Import",Database!$E:$E,$B79,Database!$C:$C,AU$1,Database!$F:$F,"Total")</f>
        <v>49</v>
      </c>
      <c r="AV79" s="137">
        <f>SUMIFS(Database!$G:$G,Database!$D:$D,"Import",Database!$E:$E,$B79,Database!$C:$C,AV$1,Database!$F:$F,"Total")</f>
        <v>0</v>
      </c>
      <c r="AW79" s="137">
        <f>SUMIFS(Database!$G:$G,Database!$D:$D,"Import",Database!$E:$E,$B79,Database!$C:$C,AW$1,Database!$F:$F,"Total")</f>
        <v>0</v>
      </c>
      <c r="AX79" s="137">
        <f>SUMIFS(Database!$G:$G,Database!$D:$D,"Import",Database!$E:$E,$B79,Database!$C:$C,AX$1,Database!$F:$F,"Total")</f>
        <v>0</v>
      </c>
      <c r="AY79" s="137">
        <f>SUMIFS(Database!$G:$G,Database!$D:$D,"Import",Database!$E:$E,$B79,Database!$C:$C,AY$1,Database!$F:$F,"Total")</f>
        <v>0</v>
      </c>
      <c r="AZ79" s="137">
        <f>SUMIFS(Database!$G:$G,Database!$D:$D,"Import",Database!$E:$E,$B79,Database!$C:$C,AZ$1,Database!$F:$F,"Total")</f>
        <v>0</v>
      </c>
      <c r="BA79" s="137">
        <f>SUMIFS(Database!$G:$G,Database!$D:$D,"Import",Database!$E:$E,$B79,Database!$C:$C,BA$1,Database!$F:$F,"Total")</f>
        <v>0</v>
      </c>
      <c r="BB79" s="137">
        <f>SUMIFS(Database!$G:$G,Database!$D:$D,"Import",Database!$E:$E,$B79,Database!$C:$C,BB$1,Database!$F:$F,"Total")</f>
        <v>15248</v>
      </c>
      <c r="BC79" s="137">
        <f>SUMIFS(Database!$G:$G,Database!$D:$D,"Import",Database!$E:$E,$B79,Database!$C:$C,BC$1,Database!$F:$F,"Total")</f>
        <v>0</v>
      </c>
      <c r="BD79" s="137">
        <f>SUMIFS(Database!$G:$G,Database!$D:$D,"Import",Database!$E:$E,$B79,Database!$C:$C,BD$1,Database!$F:$F,"Total")</f>
        <v>0</v>
      </c>
      <c r="BE79" s="137">
        <f>SUMIFS(Database!$G:$G,Database!$D:$D,"Import",Database!$E:$E,$B79,Database!$C:$C,BE$1,Database!$F:$F,"Total")</f>
        <v>0</v>
      </c>
      <c r="BF79" s="137">
        <f>SUMIFS(Database!$G:$G,Database!$D:$D,"Import",Database!$E:$E,$B79,Database!$C:$C,BF$1,Database!$F:$F,"Total")</f>
        <v>0</v>
      </c>
      <c r="BG79" s="137">
        <f>SUMIFS(Database!$G:$G,Database!$D:$D,"Import",Database!$E:$E,$B79,Database!$C:$C,BG$1,Database!$F:$F,"Total")</f>
        <v>0</v>
      </c>
      <c r="BH79" s="137">
        <f>SUMIFS(Database!$G:$G,Database!$D:$D,"Import",Database!$E:$E,$B79,Database!$C:$C,BH$1,Database!$F:$F,"Total")</f>
        <v>0</v>
      </c>
      <c r="BI79" s="137">
        <f>SUMIFS(Database!$G:$G,Database!$D:$D,"Import",Database!$E:$E,$B79,Database!$C:$C,BI$1,Database!$F:$F,"Total")</f>
        <v>0</v>
      </c>
      <c r="BJ79" s="137">
        <f>SUMIFS(Database!$G:$G,Database!$D:$D,"Import",Database!$E:$E,$B79,Database!$C:$C,BJ$1,Database!$F:$F,"Total")</f>
        <v>0</v>
      </c>
      <c r="BK79" s="137">
        <f>SUMIFS(Database!$G:$G,Database!$D:$D,"Import",Database!$E:$E,$B79,Database!$C:$C,BK$1,Database!$F:$F,"Total")</f>
        <v>0</v>
      </c>
      <c r="BL79" s="137">
        <f>SUMIFS(Database!$G:$G,Database!$D:$D,"Import",Database!$E:$E,$B79,Database!$C:$C,BL$1,Database!$F:$F,"Total")</f>
        <v>0</v>
      </c>
      <c r="BM79" s="137">
        <f>SUMIFS(Database!$G:$G,Database!$D:$D,"Import",Database!$E:$E,$B79,Database!$C:$C,BM$1,Database!$F:$F,"Total")</f>
        <v>0</v>
      </c>
      <c r="BN79" s="137">
        <f>SUMIFS(Database!$G:$G,Database!$D:$D,"Import",Database!$E:$E,$B79,Database!$C:$C,BN$1,Database!$F:$F,"Total")</f>
        <v>7204</v>
      </c>
      <c r="BO79" s="137">
        <f>SUMIFS(Database!$G:$G,Database!$D:$D,"Import",Database!$E:$E,$B79,Database!$C:$C,BO$1,Database!$F:$F,"Total")</f>
        <v>0</v>
      </c>
      <c r="BP79" s="137">
        <f>SUMIFS(Database!$G:$G,Database!$D:$D,"Import",Database!$E:$E,$B79,Database!$C:$C,BP$1,Database!$F:$F,"Total")</f>
        <v>15665</v>
      </c>
      <c r="BQ79" s="137">
        <f>SUMIFS(Database!$G:$G,Database!$D:$D,"Import",Database!$E:$E,$B79,Database!$C:$C,BQ$1,Database!$F:$F,"Total")</f>
        <v>8212</v>
      </c>
      <c r="BR79" s="137">
        <f>SUMIFS(Database!$G:$G,Database!$D:$D,"Import",Database!$E:$E,$B79,Database!$C:$C,BR$1,Database!$F:$F,"Total")</f>
        <v>3380.5</v>
      </c>
      <c r="BS79" s="137">
        <f>SUMIFS(Database!$G:$G,Database!$D:$D,"Import",Database!$E:$E,$B79,Database!$C:$C,BS$1,Database!$F:$F,"Total")</f>
        <v>8646</v>
      </c>
      <c r="BT79" s="137">
        <f>SUMIFS(Database!$G:$G,Database!$D:$D,"Import",Database!$E:$E,$B79,Database!$C:$C,BT$1,Database!$F:$F,"Total")</f>
        <v>9299</v>
      </c>
      <c r="BU79" s="137">
        <f>SUMIFS(Database!$G:$G,Database!$D:$D,"Import",Database!$E:$E,$B79,Database!$C:$C,BU$1,Database!$F:$F,"Total")</f>
        <v>14653</v>
      </c>
      <c r="BV79" s="137">
        <f>SUMIFS(Database!$G:$G,Database!$D:$D,"Import",Database!$E:$E,$B79,Database!$C:$C,BV$1,Database!$F:$F,"Total")</f>
        <v>21182</v>
      </c>
      <c r="BW79" s="137">
        <f>SUMIFS(Database!$G:$G,Database!$D:$D,"Import",Database!$E:$E,$B79,Database!$C:$C,BW$1,Database!$F:$F,"Total")</f>
        <v>21185</v>
      </c>
      <c r="BX79" s="137">
        <f>SUMIFS(Database!$G:$G,Database!$D:$D,"Import",Database!$E:$E,$B79,Database!$C:$C,BX$1,Database!$F:$F,"Total")</f>
        <v>35313</v>
      </c>
      <c r="BY79" s="137">
        <f>SUMIFS(Database!$G:$G,Database!$D:$D,"Import",Database!$E:$E,$B79,Database!$C:$C,BY$1,Database!$F:$F,"Total")</f>
        <v>25308</v>
      </c>
      <c r="BZ79" s="137">
        <f>SUMIFS(Database!$G:$G,Database!$D:$D,"Import",Database!$E:$E,$B79,Database!$C:$C,BZ$1,Database!$F:$F,"Total")</f>
        <v>29803</v>
      </c>
      <c r="CA79" s="137">
        <f>SUMIFS(Database!$G:$G,Database!$D:$D,"Import",Database!$E:$E,$B79,Database!$C:$C,CA$1,Database!$F:$F,"Total")</f>
        <v>15213</v>
      </c>
      <c r="CB79" s="137">
        <f>SUMIFS(Database!$G:$G,Database!$D:$D,"Import",Database!$E:$E,$B79,Database!$C:$C,CB$1,Database!$F:$F,"Total")</f>
        <v>0</v>
      </c>
      <c r="CC79" s="137">
        <f>SUMIFS(Database!$G:$G,Database!$D:$D,"Import",Database!$E:$E,$B79,Database!$C:$C,CC$1,Database!$F:$F,"Total")</f>
        <v>0</v>
      </c>
      <c r="CD79" s="137">
        <f>SUMIFS(Database!$G:$G,Database!$D:$D,"Import",Database!$E:$E,$B79,Database!$C:$C,CD$1,Database!$F:$F,"Total")</f>
        <v>0</v>
      </c>
      <c r="CE79" s="137">
        <f>SUMIFS(Database!$G:$G,Database!$D:$D,"Import",Database!$E:$E,$B79,Database!$C:$C,CE$1,Database!$F:$F,"Total")</f>
        <v>0</v>
      </c>
      <c r="CF79" s="137">
        <f>SUMIFS(Database!$G:$G,Database!$D:$D,"Import",Database!$E:$E,$B79,Database!$C:$C,CF$1,Database!$F:$F,"Total")</f>
        <v>0</v>
      </c>
      <c r="CG79" s="137">
        <f>SUMIFS(Database!$G:$G,Database!$D:$D,"Import",Database!$E:$E,$B79,Database!$C:$C,CG$1,Database!$F:$F,"Total")</f>
        <v>0</v>
      </c>
      <c r="CH79" s="137">
        <f>SUMIFS(Database!$G:$G,Database!$D:$D,"Import",Database!$E:$E,$B79,Database!$C:$C,CH$1,Database!$F:$F,"Total")</f>
        <v>0</v>
      </c>
      <c r="CI79" s="137">
        <f>SUMIFS(Database!$G:$G,Database!$D:$D,"Import",Database!$E:$E,$B79,Database!$C:$C,CI$1,Database!$F:$F,"Total")</f>
        <v>0</v>
      </c>
      <c r="CJ79" s="137">
        <f>SUMIFS(Database!$G:$G,Database!$D:$D,"Import",Database!$E:$E,$B79,Database!$C:$C,CJ$1,Database!$F:$F,"Total")</f>
        <v>0</v>
      </c>
      <c r="CK79" s="137">
        <f>SUMIFS(Database!$G:$G,Database!$D:$D,"Import",Database!$E:$E,$B79,Database!$C:$C,CK$1,Database!$F:$F,"Total")</f>
        <v>0</v>
      </c>
      <c r="CL79" s="137">
        <f>SUMIFS(Database!$G:$G,Database!$D:$D,"Import",Database!$E:$E,$B79,Database!$C:$C,CL$1,Database!$F:$F,"Total")</f>
        <v>0</v>
      </c>
      <c r="CM79" s="137">
        <f>SUMIFS(Database!$G:$G,Database!$D:$D,"Import",Database!$E:$E,$B79,Database!$C:$C,CM$1,Database!$F:$F,"Total")</f>
        <v>0</v>
      </c>
      <c r="CN79" s="137">
        <f>SUMIFS(Database!$G:$G,Database!$D:$D,"Import",Database!$E:$E,$B79,Database!$C:$C,CN$1,Database!$F:$F,"Total")</f>
        <v>0</v>
      </c>
      <c r="CO79" s="137">
        <f>SUMIFS(Database!$G:$G,Database!$D:$D,"Import",Database!$E:$E,$B79,Database!$C:$C,CO$1,Database!$F:$F,"Total")</f>
        <v>0</v>
      </c>
      <c r="CP79" s="137">
        <f>SUMIFS(Database!$G:$G,Database!$D:$D,"Import",Database!$E:$E,$B79,Database!$C:$C,CP$1,Database!$F:$F,"Total")</f>
        <v>0</v>
      </c>
      <c r="CQ79" s="137">
        <f>SUMIFS(Database!$G:$G,Database!$D:$D,"Import",Database!$E:$E,$B79,Database!$C:$C,CQ$1,Database!$F:$F,"Total")</f>
        <v>0</v>
      </c>
      <c r="CR79" s="137">
        <f>SUMIFS(Database!$G:$G,Database!$D:$D,"Import",Database!$E:$E,$B79,Database!$C:$C,CR$1,Database!$F:$F,"Total")</f>
        <v>0</v>
      </c>
      <c r="CS79" s="137">
        <f>SUMIFS(Database!$G:$G,Database!$D:$D,"Import",Database!$E:$E,$B79,Database!$C:$C,CS$1,Database!$F:$F,"Total")</f>
        <v>0</v>
      </c>
      <c r="CT79" s="137">
        <f>SUMIFS(Database!$G:$G,Database!$D:$D,"Import",Database!$E:$E,$B79,Database!$C:$C,CT$1,Database!$F:$F,"Total")</f>
        <v>0</v>
      </c>
      <c r="CU79" s="137">
        <f>SUMIFS(Database!$G:$G,Database!$D:$D,"Import",Database!$E:$E,$B79,Database!$C:$C,CU$1,Database!$F:$F,"Total")</f>
        <v>0</v>
      </c>
    </row>
    <row r="80" spans="1:99" x14ac:dyDescent="0.25">
      <c r="A80" s="132" t="s">
        <v>484</v>
      </c>
      <c r="B80" s="133" t="s">
        <v>494</v>
      </c>
      <c r="C80" s="137">
        <f>SUMIFS(Database!$G:$G,Database!$D:$D,"Import",Database!$E:$E,$B80,Database!$C:$C,C$1,Database!$F:$F,"Total")</f>
        <v>0</v>
      </c>
      <c r="D80" s="137">
        <f>SUMIFS(Database!$G:$G,Database!$D:$D,"Import",Database!$E:$E,$B80,Database!$C:$C,D$1,Database!$F:$F,"Total")</f>
        <v>0</v>
      </c>
      <c r="E80" s="137">
        <f>SUMIFS(Database!$G:$G,Database!$D:$D,"Import",Database!$E:$E,$B80,Database!$C:$C,E$1,Database!$F:$F,"Total")</f>
        <v>0</v>
      </c>
      <c r="F80" s="137">
        <f>SUMIFS(Database!$G:$G,Database!$D:$D,"Import",Database!$E:$E,$B80,Database!$C:$C,F$1,Database!$F:$F,"Total")</f>
        <v>0</v>
      </c>
      <c r="G80" s="137">
        <f>SUMIFS(Database!$G:$G,Database!$D:$D,"Import",Database!$E:$E,$B80,Database!$C:$C,G$1,Database!$F:$F,"Total")</f>
        <v>0</v>
      </c>
      <c r="H80" s="137">
        <f>SUMIFS(Database!$G:$G,Database!$D:$D,"Import",Database!$E:$E,$B80,Database!$C:$C,H$1,Database!$F:$F,"Total")</f>
        <v>0</v>
      </c>
      <c r="I80" s="137">
        <f>SUMIFS(Database!$G:$G,Database!$D:$D,"Import",Database!$E:$E,$B80,Database!$C:$C,I$1,Database!$F:$F,"Total")</f>
        <v>0</v>
      </c>
      <c r="J80" s="137">
        <f>SUMIFS(Database!$G:$G,Database!$D:$D,"Import",Database!$E:$E,$B80,Database!$C:$C,J$1,Database!$F:$F,"Total")</f>
        <v>0</v>
      </c>
      <c r="K80" s="137">
        <f>SUMIFS(Database!$G:$G,Database!$D:$D,"Import",Database!$E:$E,$B80,Database!$C:$C,K$1,Database!$F:$F,"Total")</f>
        <v>0</v>
      </c>
      <c r="L80" s="137">
        <f>SUMIFS(Database!$G:$G,Database!$D:$D,"Import",Database!$E:$E,$B80,Database!$C:$C,L$1,Database!$F:$F,"Total")</f>
        <v>0</v>
      </c>
      <c r="M80" s="137">
        <f>SUMIFS(Database!$G:$G,Database!$D:$D,"Import",Database!$E:$E,$B80,Database!$C:$C,M$1,Database!$F:$F,"Total")</f>
        <v>0</v>
      </c>
      <c r="N80" s="137">
        <f>SUMIFS(Database!$G:$G,Database!$D:$D,"Import",Database!$E:$E,$B80,Database!$C:$C,N$1,Database!$F:$F,"Total")</f>
        <v>0</v>
      </c>
      <c r="O80" s="137">
        <f>SUMIFS(Database!$G:$G,Database!$D:$D,"Import",Database!$E:$E,$B80,Database!$C:$C,O$1,Database!$F:$F,"Total")</f>
        <v>0</v>
      </c>
      <c r="P80" s="137">
        <f>SUMIFS(Database!$G:$G,Database!$D:$D,"Import",Database!$E:$E,$B80,Database!$C:$C,P$1,Database!$F:$F,"Total")</f>
        <v>0</v>
      </c>
      <c r="Q80" s="137">
        <f>SUMIFS(Database!$G:$G,Database!$D:$D,"Import",Database!$E:$E,$B80,Database!$C:$C,Q$1,Database!$F:$F,"Total")</f>
        <v>0</v>
      </c>
      <c r="R80" s="137">
        <f>SUMIFS(Database!$G:$G,Database!$D:$D,"Import",Database!$E:$E,$B80,Database!$C:$C,R$1,Database!$F:$F,"Total")</f>
        <v>0</v>
      </c>
      <c r="S80" s="137">
        <f>SUMIFS(Database!$G:$G,Database!$D:$D,"Import",Database!$E:$E,$B80,Database!$C:$C,S$1,Database!$F:$F,"Total")</f>
        <v>0</v>
      </c>
      <c r="T80" s="137">
        <f>SUMIFS(Database!$G:$G,Database!$D:$D,"Import",Database!$E:$E,$B80,Database!$C:$C,T$1,Database!$F:$F,"Total")</f>
        <v>0</v>
      </c>
      <c r="U80" s="137">
        <f>SUMIFS(Database!$G:$G,Database!$D:$D,"Import",Database!$E:$E,$B80,Database!$C:$C,U$1,Database!$F:$F,"Total")</f>
        <v>0</v>
      </c>
      <c r="V80" s="137">
        <f>SUMIFS(Database!$G:$G,Database!$D:$D,"Import",Database!$E:$E,$B80,Database!$C:$C,V$1,Database!$F:$F,"Total")</f>
        <v>0</v>
      </c>
      <c r="W80" s="137">
        <f>SUMIFS(Database!$G:$G,Database!$D:$D,"Import",Database!$E:$E,$B80,Database!$C:$C,W$1,Database!$F:$F,"Total")</f>
        <v>0</v>
      </c>
      <c r="X80" s="137">
        <f>SUMIFS(Database!$G:$G,Database!$D:$D,"Import",Database!$E:$E,$B80,Database!$C:$C,X$1,Database!$F:$F,"Total")</f>
        <v>0</v>
      </c>
      <c r="Y80" s="137">
        <f>SUMIFS(Database!$G:$G,Database!$D:$D,"Import",Database!$E:$E,$B80,Database!$C:$C,Y$1,Database!$F:$F,"Total")</f>
        <v>0</v>
      </c>
      <c r="Z80" s="137">
        <f>SUMIFS(Database!$G:$G,Database!$D:$D,"Import",Database!$E:$E,$B80,Database!$C:$C,Z$1,Database!$F:$F,"Total")</f>
        <v>0</v>
      </c>
      <c r="AA80" s="137">
        <f>SUMIFS(Database!$G:$G,Database!$D:$D,"Import",Database!$E:$E,$B80,Database!$C:$C,AA$1,Database!$F:$F,"Total")</f>
        <v>0</v>
      </c>
      <c r="AB80" s="137">
        <f>SUMIFS(Database!$G:$G,Database!$D:$D,"Import",Database!$E:$E,$B80,Database!$C:$C,AB$1,Database!$F:$F,"Total")</f>
        <v>0</v>
      </c>
      <c r="AC80" s="137">
        <f>SUMIFS(Database!$G:$G,Database!$D:$D,"Import",Database!$E:$E,$B80,Database!$C:$C,AC$1,Database!$F:$F,"Total")</f>
        <v>0</v>
      </c>
      <c r="AD80" s="137">
        <f>SUMIFS(Database!$G:$G,Database!$D:$D,"Import",Database!$E:$E,$B80,Database!$C:$C,AD$1,Database!$F:$F,"Total")</f>
        <v>0</v>
      </c>
      <c r="AE80" s="137">
        <f>SUMIFS(Database!$G:$G,Database!$D:$D,"Import",Database!$E:$E,$B80,Database!$C:$C,AE$1,Database!$F:$F,"Total")</f>
        <v>0</v>
      </c>
      <c r="AF80" s="137">
        <f>SUMIFS(Database!$G:$G,Database!$D:$D,"Import",Database!$E:$E,$B80,Database!$C:$C,AF$1,Database!$F:$F,"Total")</f>
        <v>0</v>
      </c>
      <c r="AG80" s="137">
        <f>SUMIFS(Database!$G:$G,Database!$D:$D,"Import",Database!$E:$E,$B80,Database!$C:$C,AG$1,Database!$F:$F,"Total")</f>
        <v>0</v>
      </c>
      <c r="AH80" s="137">
        <f>SUMIFS(Database!$G:$G,Database!$D:$D,"Import",Database!$E:$E,$B80,Database!$C:$C,AH$1,Database!$F:$F,"Total")</f>
        <v>0</v>
      </c>
      <c r="AI80" s="137">
        <f>SUMIFS(Database!$G:$G,Database!$D:$D,"Import",Database!$E:$E,$B80,Database!$C:$C,AI$1,Database!$F:$F,"Total")</f>
        <v>0</v>
      </c>
      <c r="AJ80" s="137">
        <f>SUMIFS(Database!$G:$G,Database!$D:$D,"Import",Database!$E:$E,$B80,Database!$C:$C,AJ$1,Database!$F:$F,"Total")</f>
        <v>0</v>
      </c>
      <c r="AK80" s="137">
        <f>SUMIFS(Database!$G:$G,Database!$D:$D,"Import",Database!$E:$E,$B80,Database!$C:$C,AK$1,Database!$F:$F,"Total")</f>
        <v>0</v>
      </c>
      <c r="AL80" s="137">
        <f>SUMIFS(Database!$G:$G,Database!$D:$D,"Import",Database!$E:$E,$B80,Database!$C:$C,AL$1,Database!$F:$F,"Total")</f>
        <v>0</v>
      </c>
      <c r="AM80" s="137">
        <f>SUMIFS(Database!$G:$G,Database!$D:$D,"Import",Database!$E:$E,$B80,Database!$C:$C,AM$1,Database!$F:$F,"Total")</f>
        <v>0</v>
      </c>
      <c r="AN80" s="137">
        <f>SUMIFS(Database!$G:$G,Database!$D:$D,"Import",Database!$E:$E,$B80,Database!$C:$C,AN$1,Database!$F:$F,"Total")</f>
        <v>0</v>
      </c>
      <c r="AO80" s="137">
        <f>SUMIFS(Database!$G:$G,Database!$D:$D,"Import",Database!$E:$E,$B80,Database!$C:$C,AO$1,Database!$F:$F,"Total")</f>
        <v>0</v>
      </c>
      <c r="AP80" s="137">
        <f>SUMIFS(Database!$G:$G,Database!$D:$D,"Import",Database!$E:$E,$B80,Database!$C:$C,AP$1,Database!$F:$F,"Total")</f>
        <v>0</v>
      </c>
      <c r="AQ80" s="137">
        <f>SUMIFS(Database!$G:$G,Database!$D:$D,"Import",Database!$E:$E,$B80,Database!$C:$C,AQ$1,Database!$F:$F,"Total")</f>
        <v>0</v>
      </c>
      <c r="AR80" s="137">
        <f>SUMIFS(Database!$G:$G,Database!$D:$D,"Import",Database!$E:$E,$B80,Database!$C:$C,AR$1,Database!$F:$F,"Total")</f>
        <v>0</v>
      </c>
      <c r="AS80" s="137">
        <f>SUMIFS(Database!$G:$G,Database!$D:$D,"Import",Database!$E:$E,$B80,Database!$C:$C,AS$1,Database!$F:$F,"Total")</f>
        <v>0</v>
      </c>
      <c r="AT80" s="137">
        <f>SUMIFS(Database!$G:$G,Database!$D:$D,"Import",Database!$E:$E,$B80,Database!$C:$C,AT$1,Database!$F:$F,"Total")</f>
        <v>0</v>
      </c>
      <c r="AU80" s="137">
        <f>SUMIFS(Database!$G:$G,Database!$D:$D,"Import",Database!$E:$E,$B80,Database!$C:$C,AU$1,Database!$F:$F,"Total")</f>
        <v>0</v>
      </c>
      <c r="AV80" s="137">
        <f>SUMIFS(Database!$G:$G,Database!$D:$D,"Import",Database!$E:$E,$B80,Database!$C:$C,AV$1,Database!$F:$F,"Total")</f>
        <v>0</v>
      </c>
      <c r="AW80" s="137">
        <f>SUMIFS(Database!$G:$G,Database!$D:$D,"Import",Database!$E:$E,$B80,Database!$C:$C,AW$1,Database!$F:$F,"Total")</f>
        <v>0</v>
      </c>
      <c r="AX80" s="137">
        <f>SUMIFS(Database!$G:$G,Database!$D:$D,"Import",Database!$E:$E,$B80,Database!$C:$C,AX$1,Database!$F:$F,"Total")</f>
        <v>0</v>
      </c>
      <c r="AY80" s="137">
        <f>SUMIFS(Database!$G:$G,Database!$D:$D,"Import",Database!$E:$E,$B80,Database!$C:$C,AY$1,Database!$F:$F,"Total")</f>
        <v>0</v>
      </c>
      <c r="AZ80" s="137">
        <f>SUMIFS(Database!$G:$G,Database!$D:$D,"Import",Database!$E:$E,$B80,Database!$C:$C,AZ$1,Database!$F:$F,"Total")</f>
        <v>0</v>
      </c>
      <c r="BA80" s="137">
        <f>SUMIFS(Database!$G:$G,Database!$D:$D,"Import",Database!$E:$E,$B80,Database!$C:$C,BA$1,Database!$F:$F,"Total")</f>
        <v>0</v>
      </c>
      <c r="BB80" s="137">
        <f>SUMIFS(Database!$G:$G,Database!$D:$D,"Import",Database!$E:$E,$B80,Database!$C:$C,BB$1,Database!$F:$F,"Total")</f>
        <v>945</v>
      </c>
      <c r="BC80" s="137">
        <f>SUMIFS(Database!$G:$G,Database!$D:$D,"Import",Database!$E:$E,$B80,Database!$C:$C,BC$1,Database!$F:$F,"Total")</f>
        <v>0</v>
      </c>
      <c r="BD80" s="137">
        <f>SUMIFS(Database!$G:$G,Database!$D:$D,"Import",Database!$E:$E,$B80,Database!$C:$C,BD$1,Database!$F:$F,"Total")</f>
        <v>0</v>
      </c>
      <c r="BE80" s="137">
        <f>SUMIFS(Database!$G:$G,Database!$D:$D,"Import",Database!$E:$E,$B80,Database!$C:$C,BE$1,Database!$F:$F,"Total")</f>
        <v>0</v>
      </c>
      <c r="BF80" s="137">
        <f>SUMIFS(Database!$G:$G,Database!$D:$D,"Import",Database!$E:$E,$B80,Database!$C:$C,BF$1,Database!$F:$F,"Total")</f>
        <v>0</v>
      </c>
      <c r="BG80" s="137">
        <f>SUMIFS(Database!$G:$G,Database!$D:$D,"Import",Database!$E:$E,$B80,Database!$C:$C,BG$1,Database!$F:$F,"Total")</f>
        <v>0</v>
      </c>
      <c r="BH80" s="137">
        <f>SUMIFS(Database!$G:$G,Database!$D:$D,"Import",Database!$E:$E,$B80,Database!$C:$C,BH$1,Database!$F:$F,"Total")</f>
        <v>0</v>
      </c>
      <c r="BI80" s="137">
        <f>SUMIFS(Database!$G:$G,Database!$D:$D,"Import",Database!$E:$E,$B80,Database!$C:$C,BI$1,Database!$F:$F,"Total")</f>
        <v>0</v>
      </c>
      <c r="BJ80" s="137">
        <f>SUMIFS(Database!$G:$G,Database!$D:$D,"Import",Database!$E:$E,$B80,Database!$C:$C,BJ$1,Database!$F:$F,"Total")</f>
        <v>0</v>
      </c>
      <c r="BK80" s="137">
        <f>SUMIFS(Database!$G:$G,Database!$D:$D,"Import",Database!$E:$E,$B80,Database!$C:$C,BK$1,Database!$F:$F,"Total")</f>
        <v>0</v>
      </c>
      <c r="BL80" s="137">
        <f>SUMIFS(Database!$G:$G,Database!$D:$D,"Import",Database!$E:$E,$B80,Database!$C:$C,BL$1,Database!$F:$F,"Total")</f>
        <v>0</v>
      </c>
      <c r="BM80" s="137">
        <f>SUMIFS(Database!$G:$G,Database!$D:$D,"Import",Database!$E:$E,$B80,Database!$C:$C,BM$1,Database!$F:$F,"Total")</f>
        <v>0</v>
      </c>
      <c r="BN80" s="137">
        <f>SUMIFS(Database!$G:$G,Database!$D:$D,"Import",Database!$E:$E,$B80,Database!$C:$C,BN$1,Database!$F:$F,"Total")</f>
        <v>0</v>
      </c>
      <c r="BO80" s="137">
        <f>SUMIFS(Database!$G:$G,Database!$D:$D,"Import",Database!$E:$E,$B80,Database!$C:$C,BO$1,Database!$F:$F,"Total")</f>
        <v>0</v>
      </c>
      <c r="BP80" s="137">
        <f>SUMIFS(Database!$G:$G,Database!$D:$D,"Import",Database!$E:$E,$B80,Database!$C:$C,BP$1,Database!$F:$F,"Total")</f>
        <v>0</v>
      </c>
      <c r="BQ80" s="137">
        <f>SUMIFS(Database!$G:$G,Database!$D:$D,"Import",Database!$E:$E,$B80,Database!$C:$C,BQ$1,Database!$F:$F,"Total")</f>
        <v>0</v>
      </c>
      <c r="BR80" s="137">
        <f>SUMIFS(Database!$G:$G,Database!$D:$D,"Import",Database!$E:$E,$B80,Database!$C:$C,BR$1,Database!$F:$F,"Total")</f>
        <v>0</v>
      </c>
      <c r="BS80" s="137">
        <f>SUMIFS(Database!$G:$G,Database!$D:$D,"Import",Database!$E:$E,$B80,Database!$C:$C,BS$1,Database!$F:$F,"Total")</f>
        <v>0</v>
      </c>
      <c r="BT80" s="137">
        <f>SUMIFS(Database!$G:$G,Database!$D:$D,"Import",Database!$E:$E,$B80,Database!$C:$C,BT$1,Database!$F:$F,"Total")</f>
        <v>0</v>
      </c>
      <c r="BU80" s="137">
        <f>SUMIFS(Database!$G:$G,Database!$D:$D,"Import",Database!$E:$E,$B80,Database!$C:$C,BU$1,Database!$F:$F,"Total")</f>
        <v>0</v>
      </c>
      <c r="BV80" s="137">
        <f>SUMIFS(Database!$G:$G,Database!$D:$D,"Import",Database!$E:$E,$B80,Database!$C:$C,BV$1,Database!$F:$F,"Total")</f>
        <v>0</v>
      </c>
      <c r="BW80" s="137">
        <f>SUMIFS(Database!$G:$G,Database!$D:$D,"Import",Database!$E:$E,$B80,Database!$C:$C,BW$1,Database!$F:$F,"Total")</f>
        <v>0</v>
      </c>
      <c r="BX80" s="137">
        <f>SUMIFS(Database!$G:$G,Database!$D:$D,"Import",Database!$E:$E,$B80,Database!$C:$C,BX$1,Database!$F:$F,"Total")</f>
        <v>0</v>
      </c>
      <c r="BY80" s="137">
        <f>SUMIFS(Database!$G:$G,Database!$D:$D,"Import",Database!$E:$E,$B80,Database!$C:$C,BY$1,Database!$F:$F,"Total")</f>
        <v>0</v>
      </c>
      <c r="BZ80" s="137">
        <f>SUMIFS(Database!$G:$G,Database!$D:$D,"Import",Database!$E:$E,$B80,Database!$C:$C,BZ$1,Database!$F:$F,"Total")</f>
        <v>0</v>
      </c>
      <c r="CA80" s="137">
        <f>SUMIFS(Database!$G:$G,Database!$D:$D,"Import",Database!$E:$E,$B80,Database!$C:$C,CA$1,Database!$F:$F,"Total")</f>
        <v>0</v>
      </c>
      <c r="CB80" s="137">
        <f>SUMIFS(Database!$G:$G,Database!$D:$D,"Import",Database!$E:$E,$B80,Database!$C:$C,CB$1,Database!$F:$F,"Total")</f>
        <v>0</v>
      </c>
      <c r="CC80" s="137">
        <f>SUMIFS(Database!$G:$G,Database!$D:$D,"Import",Database!$E:$E,$B80,Database!$C:$C,CC$1,Database!$F:$F,"Total")</f>
        <v>0</v>
      </c>
      <c r="CD80" s="137">
        <f>SUMIFS(Database!$G:$G,Database!$D:$D,"Import",Database!$E:$E,$B80,Database!$C:$C,CD$1,Database!$F:$F,"Total")</f>
        <v>0</v>
      </c>
      <c r="CE80" s="137">
        <f>SUMIFS(Database!$G:$G,Database!$D:$D,"Import",Database!$E:$E,$B80,Database!$C:$C,CE$1,Database!$F:$F,"Total")</f>
        <v>0</v>
      </c>
      <c r="CF80" s="137">
        <f>SUMIFS(Database!$G:$G,Database!$D:$D,"Import",Database!$E:$E,$B80,Database!$C:$C,CF$1,Database!$F:$F,"Total")</f>
        <v>0</v>
      </c>
      <c r="CG80" s="137">
        <f>SUMIFS(Database!$G:$G,Database!$D:$D,"Import",Database!$E:$E,$B80,Database!$C:$C,CG$1,Database!$F:$F,"Total")</f>
        <v>0</v>
      </c>
      <c r="CH80" s="137">
        <f>SUMIFS(Database!$G:$G,Database!$D:$D,"Import",Database!$E:$E,$B80,Database!$C:$C,CH$1,Database!$F:$F,"Total")</f>
        <v>0</v>
      </c>
      <c r="CI80" s="137">
        <f>SUMIFS(Database!$G:$G,Database!$D:$D,"Import",Database!$E:$E,$B80,Database!$C:$C,CI$1,Database!$F:$F,"Total")</f>
        <v>0</v>
      </c>
      <c r="CJ80" s="137">
        <f>SUMIFS(Database!$G:$G,Database!$D:$D,"Import",Database!$E:$E,$B80,Database!$C:$C,CJ$1,Database!$F:$F,"Total")</f>
        <v>0</v>
      </c>
      <c r="CK80" s="137">
        <f>SUMIFS(Database!$G:$G,Database!$D:$D,"Import",Database!$E:$E,$B80,Database!$C:$C,CK$1,Database!$F:$F,"Total")</f>
        <v>0</v>
      </c>
      <c r="CL80" s="137">
        <f>SUMIFS(Database!$G:$G,Database!$D:$D,"Import",Database!$E:$E,$B80,Database!$C:$C,CL$1,Database!$F:$F,"Total")</f>
        <v>0</v>
      </c>
      <c r="CM80" s="137">
        <f>SUMIFS(Database!$G:$G,Database!$D:$D,"Import",Database!$E:$E,$B80,Database!$C:$C,CM$1,Database!$F:$F,"Total")</f>
        <v>0</v>
      </c>
      <c r="CN80" s="137">
        <f>SUMIFS(Database!$G:$G,Database!$D:$D,"Import",Database!$E:$E,$B80,Database!$C:$C,CN$1,Database!$F:$F,"Total")</f>
        <v>0</v>
      </c>
      <c r="CO80" s="137">
        <f>SUMIFS(Database!$G:$G,Database!$D:$D,"Import",Database!$E:$E,$B80,Database!$C:$C,CO$1,Database!$F:$F,"Total")</f>
        <v>0</v>
      </c>
      <c r="CP80" s="137">
        <f>SUMIFS(Database!$G:$G,Database!$D:$D,"Import",Database!$E:$E,$B80,Database!$C:$C,CP$1,Database!$F:$F,"Total")</f>
        <v>0</v>
      </c>
      <c r="CQ80" s="137">
        <f>SUMIFS(Database!$G:$G,Database!$D:$D,"Import",Database!$E:$E,$B80,Database!$C:$C,CQ$1,Database!$F:$F,"Total")</f>
        <v>0</v>
      </c>
      <c r="CR80" s="137">
        <f>SUMIFS(Database!$G:$G,Database!$D:$D,"Import",Database!$E:$E,$B80,Database!$C:$C,CR$1,Database!$F:$F,"Total")</f>
        <v>0</v>
      </c>
      <c r="CS80" s="137">
        <f>SUMIFS(Database!$G:$G,Database!$D:$D,"Import",Database!$E:$E,$B80,Database!$C:$C,CS$1,Database!$F:$F,"Total")</f>
        <v>0</v>
      </c>
      <c r="CT80" s="137">
        <f>SUMIFS(Database!$G:$G,Database!$D:$D,"Import",Database!$E:$E,$B80,Database!$C:$C,CT$1,Database!$F:$F,"Total")</f>
        <v>0</v>
      </c>
      <c r="CU80" s="137">
        <f>SUMIFS(Database!$G:$G,Database!$D:$D,"Import",Database!$E:$E,$B80,Database!$C:$C,CU$1,Database!$F:$F,"Total")</f>
        <v>0</v>
      </c>
    </row>
    <row r="81" spans="1:99" x14ac:dyDescent="0.25">
      <c r="A81" s="132" t="s">
        <v>484</v>
      </c>
      <c r="B81" s="133" t="s">
        <v>495</v>
      </c>
      <c r="C81" s="137">
        <f>SUMIFS(Database!$G:$G,Database!$D:$D,"Import",Database!$E:$E,$B81,Database!$C:$C,C$1,Database!$F:$F,"Total")</f>
        <v>0</v>
      </c>
      <c r="D81" s="137">
        <f>SUMIFS(Database!$G:$G,Database!$D:$D,"Import",Database!$E:$E,$B81,Database!$C:$C,D$1,Database!$F:$F,"Total")</f>
        <v>0</v>
      </c>
      <c r="E81" s="137">
        <f>SUMIFS(Database!$G:$G,Database!$D:$D,"Import",Database!$E:$E,$B81,Database!$C:$C,E$1,Database!$F:$F,"Total")</f>
        <v>0</v>
      </c>
      <c r="F81" s="137">
        <f>SUMIFS(Database!$G:$G,Database!$D:$D,"Import",Database!$E:$E,$B81,Database!$C:$C,F$1,Database!$F:$F,"Total")</f>
        <v>0</v>
      </c>
      <c r="G81" s="137">
        <f>SUMIFS(Database!$G:$G,Database!$D:$D,"Import",Database!$E:$E,$B81,Database!$C:$C,G$1,Database!$F:$F,"Total")</f>
        <v>0</v>
      </c>
      <c r="H81" s="137">
        <f>SUMIFS(Database!$G:$G,Database!$D:$D,"Import",Database!$E:$E,$B81,Database!$C:$C,H$1,Database!$F:$F,"Total")</f>
        <v>0</v>
      </c>
      <c r="I81" s="137">
        <f>SUMIFS(Database!$G:$G,Database!$D:$D,"Import",Database!$E:$E,$B81,Database!$C:$C,I$1,Database!$F:$F,"Total")</f>
        <v>0</v>
      </c>
      <c r="J81" s="137">
        <f>SUMIFS(Database!$G:$G,Database!$D:$D,"Import",Database!$E:$E,$B81,Database!$C:$C,J$1,Database!$F:$F,"Total")</f>
        <v>0</v>
      </c>
      <c r="K81" s="137">
        <f>SUMIFS(Database!$G:$G,Database!$D:$D,"Import",Database!$E:$E,$B81,Database!$C:$C,K$1,Database!$F:$F,"Total")</f>
        <v>0</v>
      </c>
      <c r="L81" s="137">
        <f>SUMIFS(Database!$G:$G,Database!$D:$D,"Import",Database!$E:$E,$B81,Database!$C:$C,L$1,Database!$F:$F,"Total")</f>
        <v>0</v>
      </c>
      <c r="M81" s="137">
        <f>SUMIFS(Database!$G:$G,Database!$D:$D,"Import",Database!$E:$E,$B81,Database!$C:$C,M$1,Database!$F:$F,"Total")</f>
        <v>0</v>
      </c>
      <c r="N81" s="137">
        <f>SUMIFS(Database!$G:$G,Database!$D:$D,"Import",Database!$E:$E,$B81,Database!$C:$C,N$1,Database!$F:$F,"Total")</f>
        <v>0</v>
      </c>
      <c r="O81" s="137">
        <f>SUMIFS(Database!$G:$G,Database!$D:$D,"Import",Database!$E:$E,$B81,Database!$C:$C,O$1,Database!$F:$F,"Total")</f>
        <v>0</v>
      </c>
      <c r="P81" s="137">
        <f>SUMIFS(Database!$G:$G,Database!$D:$D,"Import",Database!$E:$E,$B81,Database!$C:$C,P$1,Database!$F:$F,"Total")</f>
        <v>0</v>
      </c>
      <c r="Q81" s="137">
        <f>SUMIFS(Database!$G:$G,Database!$D:$D,"Import",Database!$E:$E,$B81,Database!$C:$C,Q$1,Database!$F:$F,"Total")</f>
        <v>0</v>
      </c>
      <c r="R81" s="137">
        <f>SUMIFS(Database!$G:$G,Database!$D:$D,"Import",Database!$E:$E,$B81,Database!$C:$C,R$1,Database!$F:$F,"Total")</f>
        <v>0</v>
      </c>
      <c r="S81" s="137">
        <f>SUMIFS(Database!$G:$G,Database!$D:$D,"Import",Database!$E:$E,$B81,Database!$C:$C,S$1,Database!$F:$F,"Total")</f>
        <v>0</v>
      </c>
      <c r="T81" s="137">
        <f>SUMIFS(Database!$G:$G,Database!$D:$D,"Import",Database!$E:$E,$B81,Database!$C:$C,T$1,Database!$F:$F,"Total")</f>
        <v>0</v>
      </c>
      <c r="U81" s="137">
        <f>SUMIFS(Database!$G:$G,Database!$D:$D,"Import",Database!$E:$E,$B81,Database!$C:$C,U$1,Database!$F:$F,"Total")</f>
        <v>0</v>
      </c>
      <c r="V81" s="137">
        <f>SUMIFS(Database!$G:$G,Database!$D:$D,"Import",Database!$E:$E,$B81,Database!$C:$C,V$1,Database!$F:$F,"Total")</f>
        <v>0</v>
      </c>
      <c r="W81" s="137">
        <f>SUMIFS(Database!$G:$G,Database!$D:$D,"Import",Database!$E:$E,$B81,Database!$C:$C,W$1,Database!$F:$F,"Total")</f>
        <v>0</v>
      </c>
      <c r="X81" s="137">
        <f>SUMIFS(Database!$G:$G,Database!$D:$D,"Import",Database!$E:$E,$B81,Database!$C:$C,X$1,Database!$F:$F,"Total")</f>
        <v>0</v>
      </c>
      <c r="Y81" s="137">
        <f>SUMIFS(Database!$G:$G,Database!$D:$D,"Import",Database!$E:$E,$B81,Database!$C:$C,Y$1,Database!$F:$F,"Total")</f>
        <v>0</v>
      </c>
      <c r="Z81" s="137">
        <f>SUMIFS(Database!$G:$G,Database!$D:$D,"Import",Database!$E:$E,$B81,Database!$C:$C,Z$1,Database!$F:$F,"Total")</f>
        <v>0</v>
      </c>
      <c r="AA81" s="137">
        <f>SUMIFS(Database!$G:$G,Database!$D:$D,"Import",Database!$E:$E,$B81,Database!$C:$C,AA$1,Database!$F:$F,"Total")</f>
        <v>0</v>
      </c>
      <c r="AB81" s="137">
        <f>SUMIFS(Database!$G:$G,Database!$D:$D,"Import",Database!$E:$E,$B81,Database!$C:$C,AB$1,Database!$F:$F,"Total")</f>
        <v>0</v>
      </c>
      <c r="AC81" s="137">
        <f>SUMIFS(Database!$G:$G,Database!$D:$D,"Import",Database!$E:$E,$B81,Database!$C:$C,AC$1,Database!$F:$F,"Total")</f>
        <v>0</v>
      </c>
      <c r="AD81" s="137">
        <f>SUMIFS(Database!$G:$G,Database!$D:$D,"Import",Database!$E:$E,$B81,Database!$C:$C,AD$1,Database!$F:$F,"Total")</f>
        <v>0</v>
      </c>
      <c r="AE81" s="137">
        <f>SUMIFS(Database!$G:$G,Database!$D:$D,"Import",Database!$E:$E,$B81,Database!$C:$C,AE$1,Database!$F:$F,"Total")</f>
        <v>0</v>
      </c>
      <c r="AF81" s="137">
        <f>SUMIFS(Database!$G:$G,Database!$D:$D,"Import",Database!$E:$E,$B81,Database!$C:$C,AF$1,Database!$F:$F,"Total")</f>
        <v>0</v>
      </c>
      <c r="AG81" s="137">
        <f>SUMIFS(Database!$G:$G,Database!$D:$D,"Import",Database!$E:$E,$B81,Database!$C:$C,AG$1,Database!$F:$F,"Total")</f>
        <v>0</v>
      </c>
      <c r="AH81" s="137">
        <f>SUMIFS(Database!$G:$G,Database!$D:$D,"Import",Database!$E:$E,$B81,Database!$C:$C,AH$1,Database!$F:$F,"Total")</f>
        <v>0</v>
      </c>
      <c r="AI81" s="137">
        <f>SUMIFS(Database!$G:$G,Database!$D:$D,"Import",Database!$E:$E,$B81,Database!$C:$C,AI$1,Database!$F:$F,"Total")</f>
        <v>0</v>
      </c>
      <c r="AJ81" s="137">
        <f>SUMIFS(Database!$G:$G,Database!$D:$D,"Import",Database!$E:$E,$B81,Database!$C:$C,AJ$1,Database!$F:$F,"Total")</f>
        <v>0</v>
      </c>
      <c r="AK81" s="137">
        <f>SUMIFS(Database!$G:$G,Database!$D:$D,"Import",Database!$E:$E,$B81,Database!$C:$C,AK$1,Database!$F:$F,"Total")</f>
        <v>0</v>
      </c>
      <c r="AL81" s="137">
        <f>SUMIFS(Database!$G:$G,Database!$D:$D,"Import",Database!$E:$E,$B81,Database!$C:$C,AL$1,Database!$F:$F,"Total")</f>
        <v>0</v>
      </c>
      <c r="AM81" s="137">
        <f>SUMIFS(Database!$G:$G,Database!$D:$D,"Import",Database!$E:$E,$B81,Database!$C:$C,AM$1,Database!$F:$F,"Total")</f>
        <v>0</v>
      </c>
      <c r="AN81" s="137">
        <f>SUMIFS(Database!$G:$G,Database!$D:$D,"Import",Database!$E:$E,$B81,Database!$C:$C,AN$1,Database!$F:$F,"Total")</f>
        <v>0</v>
      </c>
      <c r="AO81" s="137">
        <f>SUMIFS(Database!$G:$G,Database!$D:$D,"Import",Database!$E:$E,$B81,Database!$C:$C,AO$1,Database!$F:$F,"Total")</f>
        <v>0</v>
      </c>
      <c r="AP81" s="137">
        <f>SUMIFS(Database!$G:$G,Database!$D:$D,"Import",Database!$E:$E,$B81,Database!$C:$C,AP$1,Database!$F:$F,"Total")</f>
        <v>0</v>
      </c>
      <c r="AQ81" s="137">
        <f>SUMIFS(Database!$G:$G,Database!$D:$D,"Import",Database!$E:$E,$B81,Database!$C:$C,AQ$1,Database!$F:$F,"Total")</f>
        <v>0</v>
      </c>
      <c r="AR81" s="137">
        <f>SUMIFS(Database!$G:$G,Database!$D:$D,"Import",Database!$E:$E,$B81,Database!$C:$C,AR$1,Database!$F:$F,"Total")</f>
        <v>0</v>
      </c>
      <c r="AS81" s="137">
        <f>SUMIFS(Database!$G:$G,Database!$D:$D,"Import",Database!$E:$E,$B81,Database!$C:$C,AS$1,Database!$F:$F,"Total")</f>
        <v>0</v>
      </c>
      <c r="AT81" s="137">
        <f>SUMIFS(Database!$G:$G,Database!$D:$D,"Import",Database!$E:$E,$B81,Database!$C:$C,AT$1,Database!$F:$F,"Total")</f>
        <v>0</v>
      </c>
      <c r="AU81" s="137">
        <f>SUMIFS(Database!$G:$G,Database!$D:$D,"Import",Database!$E:$E,$B81,Database!$C:$C,AU$1,Database!$F:$F,"Total")</f>
        <v>0</v>
      </c>
      <c r="AV81" s="137">
        <f>SUMIFS(Database!$G:$G,Database!$D:$D,"Import",Database!$E:$E,$B81,Database!$C:$C,AV$1,Database!$F:$F,"Total")</f>
        <v>0</v>
      </c>
      <c r="AW81" s="137">
        <f>SUMIFS(Database!$G:$G,Database!$D:$D,"Import",Database!$E:$E,$B81,Database!$C:$C,AW$1,Database!$F:$F,"Total")</f>
        <v>0</v>
      </c>
      <c r="AX81" s="137">
        <f>SUMIFS(Database!$G:$G,Database!$D:$D,"Import",Database!$E:$E,$B81,Database!$C:$C,AX$1,Database!$F:$F,"Total")</f>
        <v>0</v>
      </c>
      <c r="AY81" s="137">
        <f>SUMIFS(Database!$G:$G,Database!$D:$D,"Import",Database!$E:$E,$B81,Database!$C:$C,AY$1,Database!$F:$F,"Total")</f>
        <v>0</v>
      </c>
      <c r="AZ81" s="137">
        <f>SUMIFS(Database!$G:$G,Database!$D:$D,"Import",Database!$E:$E,$B81,Database!$C:$C,AZ$1,Database!$F:$F,"Total")</f>
        <v>0</v>
      </c>
      <c r="BA81" s="137">
        <f>SUMIFS(Database!$G:$G,Database!$D:$D,"Import",Database!$E:$E,$B81,Database!$C:$C,BA$1,Database!$F:$F,"Total")</f>
        <v>0</v>
      </c>
      <c r="BB81" s="137">
        <f>SUMIFS(Database!$G:$G,Database!$D:$D,"Import",Database!$E:$E,$B81,Database!$C:$C,BB$1,Database!$F:$F,"Total")</f>
        <v>248</v>
      </c>
      <c r="BC81" s="137">
        <f>SUMIFS(Database!$G:$G,Database!$D:$D,"Import",Database!$E:$E,$B81,Database!$C:$C,BC$1,Database!$F:$F,"Total")</f>
        <v>0</v>
      </c>
      <c r="BD81" s="137">
        <f>SUMIFS(Database!$G:$G,Database!$D:$D,"Import",Database!$E:$E,$B81,Database!$C:$C,BD$1,Database!$F:$F,"Total")</f>
        <v>0</v>
      </c>
      <c r="BE81" s="137">
        <f>SUMIFS(Database!$G:$G,Database!$D:$D,"Import",Database!$E:$E,$B81,Database!$C:$C,BE$1,Database!$F:$F,"Total")</f>
        <v>0</v>
      </c>
      <c r="BF81" s="137">
        <f>SUMIFS(Database!$G:$G,Database!$D:$D,"Import",Database!$E:$E,$B81,Database!$C:$C,BF$1,Database!$F:$F,"Total")</f>
        <v>0</v>
      </c>
      <c r="BG81" s="137">
        <f>SUMIFS(Database!$G:$G,Database!$D:$D,"Import",Database!$E:$E,$B81,Database!$C:$C,BG$1,Database!$F:$F,"Total")</f>
        <v>0</v>
      </c>
      <c r="BH81" s="137">
        <f>SUMIFS(Database!$G:$G,Database!$D:$D,"Import",Database!$E:$E,$B81,Database!$C:$C,BH$1,Database!$F:$F,"Total")</f>
        <v>0</v>
      </c>
      <c r="BI81" s="137">
        <f>SUMIFS(Database!$G:$G,Database!$D:$D,"Import",Database!$E:$E,$B81,Database!$C:$C,BI$1,Database!$F:$F,"Total")</f>
        <v>0</v>
      </c>
      <c r="BJ81" s="137">
        <f>SUMIFS(Database!$G:$G,Database!$D:$D,"Import",Database!$E:$E,$B81,Database!$C:$C,BJ$1,Database!$F:$F,"Total")</f>
        <v>0</v>
      </c>
      <c r="BK81" s="137">
        <f>SUMIFS(Database!$G:$G,Database!$D:$D,"Import",Database!$E:$E,$B81,Database!$C:$C,BK$1,Database!$F:$F,"Total")</f>
        <v>0</v>
      </c>
      <c r="BL81" s="137">
        <f>SUMIFS(Database!$G:$G,Database!$D:$D,"Import",Database!$E:$E,$B81,Database!$C:$C,BL$1,Database!$F:$F,"Total")</f>
        <v>0</v>
      </c>
      <c r="BM81" s="137">
        <f>SUMIFS(Database!$G:$G,Database!$D:$D,"Import",Database!$E:$E,$B81,Database!$C:$C,BM$1,Database!$F:$F,"Total")</f>
        <v>0</v>
      </c>
      <c r="BN81" s="137">
        <f>SUMIFS(Database!$G:$G,Database!$D:$D,"Import",Database!$E:$E,$B81,Database!$C:$C,BN$1,Database!$F:$F,"Total")</f>
        <v>0</v>
      </c>
      <c r="BO81" s="137">
        <f>SUMIFS(Database!$G:$G,Database!$D:$D,"Import",Database!$E:$E,$B81,Database!$C:$C,BO$1,Database!$F:$F,"Total")</f>
        <v>0</v>
      </c>
      <c r="BP81" s="137">
        <f>SUMIFS(Database!$G:$G,Database!$D:$D,"Import",Database!$E:$E,$B81,Database!$C:$C,BP$1,Database!$F:$F,"Total")</f>
        <v>0</v>
      </c>
      <c r="BQ81" s="137">
        <f>SUMIFS(Database!$G:$G,Database!$D:$D,"Import",Database!$E:$E,$B81,Database!$C:$C,BQ$1,Database!$F:$F,"Total")</f>
        <v>0</v>
      </c>
      <c r="BR81" s="137">
        <f>SUMIFS(Database!$G:$G,Database!$D:$D,"Import",Database!$E:$E,$B81,Database!$C:$C,BR$1,Database!$F:$F,"Total")</f>
        <v>0</v>
      </c>
      <c r="BS81" s="137">
        <f>SUMIFS(Database!$G:$G,Database!$D:$D,"Import",Database!$E:$E,$B81,Database!$C:$C,BS$1,Database!$F:$F,"Total")</f>
        <v>0</v>
      </c>
      <c r="BT81" s="137">
        <f>SUMIFS(Database!$G:$G,Database!$D:$D,"Import",Database!$E:$E,$B81,Database!$C:$C,BT$1,Database!$F:$F,"Total")</f>
        <v>0</v>
      </c>
      <c r="BU81" s="137">
        <f>SUMIFS(Database!$G:$G,Database!$D:$D,"Import",Database!$E:$E,$B81,Database!$C:$C,BU$1,Database!$F:$F,"Total")</f>
        <v>0</v>
      </c>
      <c r="BV81" s="137">
        <f>SUMIFS(Database!$G:$G,Database!$D:$D,"Import",Database!$E:$E,$B81,Database!$C:$C,BV$1,Database!$F:$F,"Total")</f>
        <v>0</v>
      </c>
      <c r="BW81" s="137">
        <f>SUMIFS(Database!$G:$G,Database!$D:$D,"Import",Database!$E:$E,$B81,Database!$C:$C,BW$1,Database!$F:$F,"Total")</f>
        <v>0</v>
      </c>
      <c r="BX81" s="137">
        <f>SUMIFS(Database!$G:$G,Database!$D:$D,"Import",Database!$E:$E,$B81,Database!$C:$C,BX$1,Database!$F:$F,"Total")</f>
        <v>0</v>
      </c>
      <c r="BY81" s="137">
        <f>SUMIFS(Database!$G:$G,Database!$D:$D,"Import",Database!$E:$E,$B81,Database!$C:$C,BY$1,Database!$F:$F,"Total")</f>
        <v>0</v>
      </c>
      <c r="BZ81" s="137">
        <f>SUMIFS(Database!$G:$G,Database!$D:$D,"Import",Database!$E:$E,$B81,Database!$C:$C,BZ$1,Database!$F:$F,"Total")</f>
        <v>0</v>
      </c>
      <c r="CA81" s="137">
        <f>SUMIFS(Database!$G:$G,Database!$D:$D,"Import",Database!$E:$E,$B81,Database!$C:$C,CA$1,Database!$F:$F,"Total")</f>
        <v>0</v>
      </c>
      <c r="CB81" s="137">
        <f>SUMIFS(Database!$G:$G,Database!$D:$D,"Import",Database!$E:$E,$B81,Database!$C:$C,CB$1,Database!$F:$F,"Total")</f>
        <v>0</v>
      </c>
      <c r="CC81" s="137">
        <f>SUMIFS(Database!$G:$G,Database!$D:$D,"Import",Database!$E:$E,$B81,Database!$C:$C,CC$1,Database!$F:$F,"Total")</f>
        <v>0</v>
      </c>
      <c r="CD81" s="137">
        <f>SUMIFS(Database!$G:$G,Database!$D:$D,"Import",Database!$E:$E,$B81,Database!$C:$C,CD$1,Database!$F:$F,"Total")</f>
        <v>0</v>
      </c>
      <c r="CE81" s="137">
        <f>SUMIFS(Database!$G:$G,Database!$D:$D,"Import",Database!$E:$E,$B81,Database!$C:$C,CE$1,Database!$F:$F,"Total")</f>
        <v>0</v>
      </c>
      <c r="CF81" s="137">
        <f>SUMIFS(Database!$G:$G,Database!$D:$D,"Import",Database!$E:$E,$B81,Database!$C:$C,CF$1,Database!$F:$F,"Total")</f>
        <v>0</v>
      </c>
      <c r="CG81" s="137">
        <f>SUMIFS(Database!$G:$G,Database!$D:$D,"Import",Database!$E:$E,$B81,Database!$C:$C,CG$1,Database!$F:$F,"Total")</f>
        <v>0</v>
      </c>
      <c r="CH81" s="137">
        <f>SUMIFS(Database!$G:$G,Database!$D:$D,"Import",Database!$E:$E,$B81,Database!$C:$C,CH$1,Database!$F:$F,"Total")</f>
        <v>0</v>
      </c>
      <c r="CI81" s="137">
        <f>SUMIFS(Database!$G:$G,Database!$D:$D,"Import",Database!$E:$E,$B81,Database!$C:$C,CI$1,Database!$F:$F,"Total")</f>
        <v>0</v>
      </c>
      <c r="CJ81" s="137">
        <f>SUMIFS(Database!$G:$G,Database!$D:$D,"Import",Database!$E:$E,$B81,Database!$C:$C,CJ$1,Database!$F:$F,"Total")</f>
        <v>0</v>
      </c>
      <c r="CK81" s="137">
        <f>SUMIFS(Database!$G:$G,Database!$D:$D,"Import",Database!$E:$E,$B81,Database!$C:$C,CK$1,Database!$F:$F,"Total")</f>
        <v>0</v>
      </c>
      <c r="CL81" s="137">
        <f>SUMIFS(Database!$G:$G,Database!$D:$D,"Import",Database!$E:$E,$B81,Database!$C:$C,CL$1,Database!$F:$F,"Total")</f>
        <v>0</v>
      </c>
      <c r="CM81" s="137">
        <f>SUMIFS(Database!$G:$G,Database!$D:$D,"Import",Database!$E:$E,$B81,Database!$C:$C,CM$1,Database!$F:$F,"Total")</f>
        <v>0</v>
      </c>
      <c r="CN81" s="137">
        <f>SUMIFS(Database!$G:$G,Database!$D:$D,"Import",Database!$E:$E,$B81,Database!$C:$C,CN$1,Database!$F:$F,"Total")</f>
        <v>0</v>
      </c>
      <c r="CO81" s="137">
        <f>SUMIFS(Database!$G:$G,Database!$D:$D,"Import",Database!$E:$E,$B81,Database!$C:$C,CO$1,Database!$F:$F,"Total")</f>
        <v>0</v>
      </c>
      <c r="CP81" s="137">
        <f>SUMIFS(Database!$G:$G,Database!$D:$D,"Import",Database!$E:$E,$B81,Database!$C:$C,CP$1,Database!$F:$F,"Total")</f>
        <v>0</v>
      </c>
      <c r="CQ81" s="137">
        <f>SUMIFS(Database!$G:$G,Database!$D:$D,"Import",Database!$E:$E,$B81,Database!$C:$C,CQ$1,Database!$F:$F,"Total")</f>
        <v>0</v>
      </c>
      <c r="CR81" s="137">
        <f>SUMIFS(Database!$G:$G,Database!$D:$D,"Import",Database!$E:$E,$B81,Database!$C:$C,CR$1,Database!$F:$F,"Total")</f>
        <v>0</v>
      </c>
      <c r="CS81" s="137">
        <f>SUMIFS(Database!$G:$G,Database!$D:$D,"Import",Database!$E:$E,$B81,Database!$C:$C,CS$1,Database!$F:$F,"Total")</f>
        <v>0</v>
      </c>
      <c r="CT81" s="137">
        <f>SUMIFS(Database!$G:$G,Database!$D:$D,"Import",Database!$E:$E,$B81,Database!$C:$C,CT$1,Database!$F:$F,"Total")</f>
        <v>0</v>
      </c>
      <c r="CU81" s="137">
        <f>SUMIFS(Database!$G:$G,Database!$D:$D,"Import",Database!$E:$E,$B81,Database!$C:$C,CU$1,Database!$F:$F,"Total")</f>
        <v>0</v>
      </c>
    </row>
    <row r="82" spans="1:99" x14ac:dyDescent="0.25">
      <c r="A82" s="132" t="s">
        <v>484</v>
      </c>
      <c r="B82" s="133" t="s">
        <v>91</v>
      </c>
      <c r="C82" s="137">
        <f>SUMIFS(Database!$G:$G,Database!$D:$D,"Import",Database!$E:$E,$B82,Database!$C:$C,C$1,Database!$F:$F,"Total")</f>
        <v>0</v>
      </c>
      <c r="D82" s="137">
        <f>SUMIFS(Database!$G:$G,Database!$D:$D,"Import",Database!$E:$E,$B82,Database!$C:$C,D$1,Database!$F:$F,"Total")</f>
        <v>0</v>
      </c>
      <c r="E82" s="137">
        <f>SUMIFS(Database!$G:$G,Database!$D:$D,"Import",Database!$E:$E,$B82,Database!$C:$C,E$1,Database!$F:$F,"Total")</f>
        <v>0</v>
      </c>
      <c r="F82" s="137">
        <f>SUMIFS(Database!$G:$G,Database!$D:$D,"Import",Database!$E:$E,$B82,Database!$C:$C,F$1,Database!$F:$F,"Total")</f>
        <v>0</v>
      </c>
      <c r="G82" s="137">
        <f>SUMIFS(Database!$G:$G,Database!$D:$D,"Import",Database!$E:$E,$B82,Database!$C:$C,G$1,Database!$F:$F,"Total")</f>
        <v>0</v>
      </c>
      <c r="H82" s="137">
        <f>SUMIFS(Database!$G:$G,Database!$D:$D,"Import",Database!$E:$E,$B82,Database!$C:$C,H$1,Database!$F:$F,"Total")</f>
        <v>0</v>
      </c>
      <c r="I82" s="137">
        <f>SUMIFS(Database!$G:$G,Database!$D:$D,"Import",Database!$E:$E,$B82,Database!$C:$C,I$1,Database!$F:$F,"Total")</f>
        <v>0</v>
      </c>
      <c r="J82" s="137">
        <f>SUMIFS(Database!$G:$G,Database!$D:$D,"Import",Database!$E:$E,$B82,Database!$C:$C,J$1,Database!$F:$F,"Total")</f>
        <v>0</v>
      </c>
      <c r="K82" s="137">
        <f>SUMIFS(Database!$G:$G,Database!$D:$D,"Import",Database!$E:$E,$B82,Database!$C:$C,K$1,Database!$F:$F,"Total")</f>
        <v>0</v>
      </c>
      <c r="L82" s="137">
        <f>SUMIFS(Database!$G:$G,Database!$D:$D,"Import",Database!$E:$E,$B82,Database!$C:$C,L$1,Database!$F:$F,"Total")</f>
        <v>0</v>
      </c>
      <c r="M82" s="137">
        <f>SUMIFS(Database!$G:$G,Database!$D:$D,"Import",Database!$E:$E,$B82,Database!$C:$C,M$1,Database!$F:$F,"Total")</f>
        <v>0</v>
      </c>
      <c r="N82" s="137">
        <f>SUMIFS(Database!$G:$G,Database!$D:$D,"Import",Database!$E:$E,$B82,Database!$C:$C,N$1,Database!$F:$F,"Total")</f>
        <v>0</v>
      </c>
      <c r="O82" s="137">
        <f>SUMIFS(Database!$G:$G,Database!$D:$D,"Import",Database!$E:$E,$B82,Database!$C:$C,O$1,Database!$F:$F,"Total")</f>
        <v>0</v>
      </c>
      <c r="P82" s="137">
        <f>SUMIFS(Database!$G:$G,Database!$D:$D,"Import",Database!$E:$E,$B82,Database!$C:$C,P$1,Database!$F:$F,"Total")</f>
        <v>0</v>
      </c>
      <c r="Q82" s="137">
        <f>SUMIFS(Database!$G:$G,Database!$D:$D,"Import",Database!$E:$E,$B82,Database!$C:$C,Q$1,Database!$F:$F,"Total")</f>
        <v>0</v>
      </c>
      <c r="R82" s="137">
        <f>SUMIFS(Database!$G:$G,Database!$D:$D,"Import",Database!$E:$E,$B82,Database!$C:$C,R$1,Database!$F:$F,"Total")</f>
        <v>0</v>
      </c>
      <c r="S82" s="137">
        <f>SUMIFS(Database!$G:$G,Database!$D:$D,"Import",Database!$E:$E,$B82,Database!$C:$C,S$1,Database!$F:$F,"Total")</f>
        <v>0</v>
      </c>
      <c r="T82" s="137">
        <f>SUMIFS(Database!$G:$G,Database!$D:$D,"Import",Database!$E:$E,$B82,Database!$C:$C,T$1,Database!$F:$F,"Total")</f>
        <v>0</v>
      </c>
      <c r="U82" s="137">
        <f>SUMIFS(Database!$G:$G,Database!$D:$D,"Import",Database!$E:$E,$B82,Database!$C:$C,U$1,Database!$F:$F,"Total")</f>
        <v>0</v>
      </c>
      <c r="V82" s="137">
        <f>SUMIFS(Database!$G:$G,Database!$D:$D,"Import",Database!$E:$E,$B82,Database!$C:$C,V$1,Database!$F:$F,"Total")</f>
        <v>0</v>
      </c>
      <c r="W82" s="137">
        <f>SUMIFS(Database!$G:$G,Database!$D:$D,"Import",Database!$E:$E,$B82,Database!$C:$C,W$1,Database!$F:$F,"Total")</f>
        <v>0</v>
      </c>
      <c r="X82" s="137">
        <f>SUMIFS(Database!$G:$G,Database!$D:$D,"Import",Database!$E:$E,$B82,Database!$C:$C,X$1,Database!$F:$F,"Total")</f>
        <v>0</v>
      </c>
      <c r="Y82" s="137">
        <f>SUMIFS(Database!$G:$G,Database!$D:$D,"Import",Database!$E:$E,$B82,Database!$C:$C,Y$1,Database!$F:$F,"Total")</f>
        <v>0</v>
      </c>
      <c r="Z82" s="137">
        <f>SUMIFS(Database!$G:$G,Database!$D:$D,"Import",Database!$E:$E,$B82,Database!$C:$C,Z$1,Database!$F:$F,"Total")</f>
        <v>0</v>
      </c>
      <c r="AA82" s="137">
        <f>SUMIFS(Database!$G:$G,Database!$D:$D,"Import",Database!$E:$E,$B82,Database!$C:$C,AA$1,Database!$F:$F,"Total")</f>
        <v>0</v>
      </c>
      <c r="AB82" s="137">
        <f>SUMIFS(Database!$G:$G,Database!$D:$D,"Import",Database!$E:$E,$B82,Database!$C:$C,AB$1,Database!$F:$F,"Total")</f>
        <v>0</v>
      </c>
      <c r="AC82" s="137">
        <f>SUMIFS(Database!$G:$G,Database!$D:$D,"Import",Database!$E:$E,$B82,Database!$C:$C,AC$1,Database!$F:$F,"Total")</f>
        <v>0</v>
      </c>
      <c r="AD82" s="137">
        <f>SUMIFS(Database!$G:$G,Database!$D:$D,"Import",Database!$E:$E,$B82,Database!$C:$C,AD$1,Database!$F:$F,"Total")</f>
        <v>0</v>
      </c>
      <c r="AE82" s="137">
        <f>SUMIFS(Database!$G:$G,Database!$D:$D,"Import",Database!$E:$E,$B82,Database!$C:$C,AE$1,Database!$F:$F,"Total")</f>
        <v>0</v>
      </c>
      <c r="AF82" s="137">
        <f>SUMIFS(Database!$G:$G,Database!$D:$D,"Import",Database!$E:$E,$B82,Database!$C:$C,AF$1,Database!$F:$F,"Total")</f>
        <v>0</v>
      </c>
      <c r="AG82" s="137">
        <f>SUMIFS(Database!$G:$G,Database!$D:$D,"Import",Database!$E:$E,$B82,Database!$C:$C,AG$1,Database!$F:$F,"Total")</f>
        <v>0</v>
      </c>
      <c r="AH82" s="137">
        <f>SUMIFS(Database!$G:$G,Database!$D:$D,"Import",Database!$E:$E,$B82,Database!$C:$C,AH$1,Database!$F:$F,"Total")</f>
        <v>0</v>
      </c>
      <c r="AI82" s="137">
        <f>SUMIFS(Database!$G:$G,Database!$D:$D,"Import",Database!$E:$E,$B82,Database!$C:$C,AI$1,Database!$F:$F,"Total")</f>
        <v>0</v>
      </c>
      <c r="AJ82" s="137">
        <f>SUMIFS(Database!$G:$G,Database!$D:$D,"Import",Database!$E:$E,$B82,Database!$C:$C,AJ$1,Database!$F:$F,"Total")</f>
        <v>577</v>
      </c>
      <c r="AK82" s="137">
        <f>SUMIFS(Database!$G:$G,Database!$D:$D,"Import",Database!$E:$E,$B82,Database!$C:$C,AK$1,Database!$F:$F,"Total")</f>
        <v>0</v>
      </c>
      <c r="AL82" s="137">
        <f>SUMIFS(Database!$G:$G,Database!$D:$D,"Import",Database!$E:$E,$B82,Database!$C:$C,AL$1,Database!$F:$F,"Total")</f>
        <v>0</v>
      </c>
      <c r="AM82" s="137">
        <f>SUMIFS(Database!$G:$G,Database!$D:$D,"Import",Database!$E:$E,$B82,Database!$C:$C,AM$1,Database!$F:$F,"Total")</f>
        <v>0</v>
      </c>
      <c r="AN82" s="137">
        <f>SUMIFS(Database!$G:$G,Database!$D:$D,"Import",Database!$E:$E,$B82,Database!$C:$C,AN$1,Database!$F:$F,"Total")</f>
        <v>0</v>
      </c>
      <c r="AO82" s="137">
        <f>SUMIFS(Database!$G:$G,Database!$D:$D,"Import",Database!$E:$E,$B82,Database!$C:$C,AO$1,Database!$F:$F,"Total")</f>
        <v>0</v>
      </c>
      <c r="AP82" s="137">
        <f>SUMIFS(Database!$G:$G,Database!$D:$D,"Import",Database!$E:$E,$B82,Database!$C:$C,AP$1,Database!$F:$F,"Total")</f>
        <v>0</v>
      </c>
      <c r="AQ82" s="137">
        <f>SUMIFS(Database!$G:$G,Database!$D:$D,"Import",Database!$E:$E,$B82,Database!$C:$C,AQ$1,Database!$F:$F,"Total")</f>
        <v>0</v>
      </c>
      <c r="AR82" s="137">
        <f>SUMIFS(Database!$G:$G,Database!$D:$D,"Import",Database!$E:$E,$B82,Database!$C:$C,AR$1,Database!$F:$F,"Total")</f>
        <v>0</v>
      </c>
      <c r="AS82" s="137">
        <f>SUMIFS(Database!$G:$G,Database!$D:$D,"Import",Database!$E:$E,$B82,Database!$C:$C,AS$1,Database!$F:$F,"Total")</f>
        <v>0</v>
      </c>
      <c r="AT82" s="137">
        <f>SUMIFS(Database!$G:$G,Database!$D:$D,"Import",Database!$E:$E,$B82,Database!$C:$C,AT$1,Database!$F:$F,"Total")</f>
        <v>0</v>
      </c>
      <c r="AU82" s="137">
        <f>SUMIFS(Database!$G:$G,Database!$D:$D,"Import",Database!$E:$E,$B82,Database!$C:$C,AU$1,Database!$F:$F,"Total")</f>
        <v>0</v>
      </c>
      <c r="AV82" s="137">
        <f>SUMIFS(Database!$G:$G,Database!$D:$D,"Import",Database!$E:$E,$B82,Database!$C:$C,AV$1,Database!$F:$F,"Total")</f>
        <v>0</v>
      </c>
      <c r="AW82" s="137">
        <f>SUMIFS(Database!$G:$G,Database!$D:$D,"Import",Database!$E:$E,$B82,Database!$C:$C,AW$1,Database!$F:$F,"Total")</f>
        <v>0</v>
      </c>
      <c r="AX82" s="137">
        <f>SUMIFS(Database!$G:$G,Database!$D:$D,"Import",Database!$E:$E,$B82,Database!$C:$C,AX$1,Database!$F:$F,"Total")</f>
        <v>0</v>
      </c>
      <c r="AY82" s="137">
        <f>SUMIFS(Database!$G:$G,Database!$D:$D,"Import",Database!$E:$E,$B82,Database!$C:$C,AY$1,Database!$F:$F,"Total")</f>
        <v>0</v>
      </c>
      <c r="AZ82" s="137">
        <f>SUMIFS(Database!$G:$G,Database!$D:$D,"Import",Database!$E:$E,$B82,Database!$C:$C,AZ$1,Database!$F:$F,"Total")</f>
        <v>0</v>
      </c>
      <c r="BA82" s="137">
        <f>SUMIFS(Database!$G:$G,Database!$D:$D,"Import",Database!$E:$E,$B82,Database!$C:$C,BA$1,Database!$F:$F,"Total")</f>
        <v>0</v>
      </c>
      <c r="BB82" s="137">
        <f>SUMIFS(Database!$G:$G,Database!$D:$D,"Import",Database!$E:$E,$B82,Database!$C:$C,BB$1,Database!$F:$F,"Total")</f>
        <v>0</v>
      </c>
      <c r="BC82" s="137">
        <f>SUMIFS(Database!$G:$G,Database!$D:$D,"Import",Database!$E:$E,$B82,Database!$C:$C,BC$1,Database!$F:$F,"Total")</f>
        <v>0</v>
      </c>
      <c r="BD82" s="137">
        <f>SUMIFS(Database!$G:$G,Database!$D:$D,"Import",Database!$E:$E,$B82,Database!$C:$C,BD$1,Database!$F:$F,"Total")</f>
        <v>0</v>
      </c>
      <c r="BE82" s="137">
        <f>SUMIFS(Database!$G:$G,Database!$D:$D,"Import",Database!$E:$E,$B82,Database!$C:$C,BE$1,Database!$F:$F,"Total")</f>
        <v>0</v>
      </c>
      <c r="BF82" s="137">
        <f>SUMIFS(Database!$G:$G,Database!$D:$D,"Import",Database!$E:$E,$B82,Database!$C:$C,BF$1,Database!$F:$F,"Total")</f>
        <v>0</v>
      </c>
      <c r="BG82" s="137">
        <f>SUMIFS(Database!$G:$G,Database!$D:$D,"Import",Database!$E:$E,$B82,Database!$C:$C,BG$1,Database!$F:$F,"Total")</f>
        <v>0</v>
      </c>
      <c r="BH82" s="137">
        <f>SUMIFS(Database!$G:$G,Database!$D:$D,"Import",Database!$E:$E,$B82,Database!$C:$C,BH$1,Database!$F:$F,"Total")</f>
        <v>0</v>
      </c>
      <c r="BI82" s="137">
        <f>SUMIFS(Database!$G:$G,Database!$D:$D,"Import",Database!$E:$E,$B82,Database!$C:$C,BI$1,Database!$F:$F,"Total")</f>
        <v>0</v>
      </c>
      <c r="BJ82" s="137">
        <f>SUMIFS(Database!$G:$G,Database!$D:$D,"Import",Database!$E:$E,$B82,Database!$C:$C,BJ$1,Database!$F:$F,"Total")</f>
        <v>0</v>
      </c>
      <c r="BK82" s="137">
        <f>SUMIFS(Database!$G:$G,Database!$D:$D,"Import",Database!$E:$E,$B82,Database!$C:$C,BK$1,Database!$F:$F,"Total")</f>
        <v>0</v>
      </c>
      <c r="BL82" s="137">
        <f>SUMIFS(Database!$G:$G,Database!$D:$D,"Import",Database!$E:$E,$B82,Database!$C:$C,BL$1,Database!$F:$F,"Total")</f>
        <v>0</v>
      </c>
      <c r="BM82" s="137">
        <f>SUMIFS(Database!$G:$G,Database!$D:$D,"Import",Database!$E:$E,$B82,Database!$C:$C,BM$1,Database!$F:$F,"Total")</f>
        <v>0</v>
      </c>
      <c r="BN82" s="137">
        <f>SUMIFS(Database!$G:$G,Database!$D:$D,"Import",Database!$E:$E,$B82,Database!$C:$C,BN$1,Database!$F:$F,"Total")</f>
        <v>0</v>
      </c>
      <c r="BO82" s="137">
        <f>SUMIFS(Database!$G:$G,Database!$D:$D,"Import",Database!$E:$E,$B82,Database!$C:$C,BO$1,Database!$F:$F,"Total")</f>
        <v>0</v>
      </c>
      <c r="BP82" s="137">
        <f>SUMIFS(Database!$G:$G,Database!$D:$D,"Import",Database!$E:$E,$B82,Database!$C:$C,BP$1,Database!$F:$F,"Total")</f>
        <v>0</v>
      </c>
      <c r="BQ82" s="137">
        <f>SUMIFS(Database!$G:$G,Database!$D:$D,"Import",Database!$E:$E,$B82,Database!$C:$C,BQ$1,Database!$F:$F,"Total")</f>
        <v>0</v>
      </c>
      <c r="BR82" s="137">
        <f>SUMIFS(Database!$G:$G,Database!$D:$D,"Import",Database!$E:$E,$B82,Database!$C:$C,BR$1,Database!$F:$F,"Total")</f>
        <v>0</v>
      </c>
      <c r="BS82" s="137">
        <f>SUMIFS(Database!$G:$G,Database!$D:$D,"Import",Database!$E:$E,$B82,Database!$C:$C,BS$1,Database!$F:$F,"Total")</f>
        <v>0</v>
      </c>
      <c r="BT82" s="137">
        <f>SUMIFS(Database!$G:$G,Database!$D:$D,"Import",Database!$E:$E,$B82,Database!$C:$C,BT$1,Database!$F:$F,"Total")</f>
        <v>0</v>
      </c>
      <c r="BU82" s="137">
        <f>SUMIFS(Database!$G:$G,Database!$D:$D,"Import",Database!$E:$E,$B82,Database!$C:$C,BU$1,Database!$F:$F,"Total")</f>
        <v>0</v>
      </c>
      <c r="BV82" s="137">
        <f>SUMIFS(Database!$G:$G,Database!$D:$D,"Import",Database!$E:$E,$B82,Database!$C:$C,BV$1,Database!$F:$F,"Total")</f>
        <v>0</v>
      </c>
      <c r="BW82" s="137">
        <f>SUMIFS(Database!$G:$G,Database!$D:$D,"Import",Database!$E:$E,$B82,Database!$C:$C,BW$1,Database!$F:$F,"Total")</f>
        <v>0</v>
      </c>
      <c r="BX82" s="137">
        <f>SUMIFS(Database!$G:$G,Database!$D:$D,"Import",Database!$E:$E,$B82,Database!$C:$C,BX$1,Database!$F:$F,"Total")</f>
        <v>0</v>
      </c>
      <c r="BY82" s="137">
        <f>SUMIFS(Database!$G:$G,Database!$D:$D,"Import",Database!$E:$E,$B82,Database!$C:$C,BY$1,Database!$F:$F,"Total")</f>
        <v>0</v>
      </c>
      <c r="BZ82" s="137">
        <f>SUMIFS(Database!$G:$G,Database!$D:$D,"Import",Database!$E:$E,$B82,Database!$C:$C,BZ$1,Database!$F:$F,"Total")</f>
        <v>0</v>
      </c>
      <c r="CA82" s="137">
        <f>SUMIFS(Database!$G:$G,Database!$D:$D,"Import",Database!$E:$E,$B82,Database!$C:$C,CA$1,Database!$F:$F,"Total")</f>
        <v>0</v>
      </c>
      <c r="CB82" s="137">
        <f>SUMIFS(Database!$G:$G,Database!$D:$D,"Import",Database!$E:$E,$B82,Database!$C:$C,CB$1,Database!$F:$F,"Total")</f>
        <v>0</v>
      </c>
      <c r="CC82" s="137">
        <f>SUMIFS(Database!$G:$G,Database!$D:$D,"Import",Database!$E:$E,$B82,Database!$C:$C,CC$1,Database!$F:$F,"Total")</f>
        <v>0</v>
      </c>
      <c r="CD82" s="137">
        <f>SUMIFS(Database!$G:$G,Database!$D:$D,"Import",Database!$E:$E,$B82,Database!$C:$C,CD$1,Database!$F:$F,"Total")</f>
        <v>0</v>
      </c>
      <c r="CE82" s="137">
        <f>SUMIFS(Database!$G:$G,Database!$D:$D,"Import",Database!$E:$E,$B82,Database!$C:$C,CE$1,Database!$F:$F,"Total")</f>
        <v>0</v>
      </c>
      <c r="CF82" s="137">
        <f>SUMIFS(Database!$G:$G,Database!$D:$D,"Import",Database!$E:$E,$B82,Database!$C:$C,CF$1,Database!$F:$F,"Total")</f>
        <v>0</v>
      </c>
      <c r="CG82" s="137">
        <f>SUMIFS(Database!$G:$G,Database!$D:$D,"Import",Database!$E:$E,$B82,Database!$C:$C,CG$1,Database!$F:$F,"Total")</f>
        <v>0</v>
      </c>
      <c r="CH82" s="137">
        <f>SUMIFS(Database!$G:$G,Database!$D:$D,"Import",Database!$E:$E,$B82,Database!$C:$C,CH$1,Database!$F:$F,"Total")</f>
        <v>0</v>
      </c>
      <c r="CI82" s="137">
        <f>SUMIFS(Database!$G:$G,Database!$D:$D,"Import",Database!$E:$E,$B82,Database!$C:$C,CI$1,Database!$F:$F,"Total")</f>
        <v>0</v>
      </c>
      <c r="CJ82" s="137">
        <f>SUMIFS(Database!$G:$G,Database!$D:$D,"Import",Database!$E:$E,$B82,Database!$C:$C,CJ$1,Database!$F:$F,"Total")</f>
        <v>0</v>
      </c>
      <c r="CK82" s="137">
        <f>SUMIFS(Database!$G:$G,Database!$D:$D,"Import",Database!$E:$E,$B82,Database!$C:$C,CK$1,Database!$F:$F,"Total")</f>
        <v>0</v>
      </c>
      <c r="CL82" s="137">
        <f>SUMIFS(Database!$G:$G,Database!$D:$D,"Import",Database!$E:$E,$B82,Database!$C:$C,CL$1,Database!$F:$F,"Total")</f>
        <v>0</v>
      </c>
      <c r="CM82" s="137">
        <f>SUMIFS(Database!$G:$G,Database!$D:$D,"Import",Database!$E:$E,$B82,Database!$C:$C,CM$1,Database!$F:$F,"Total")</f>
        <v>0</v>
      </c>
      <c r="CN82" s="137">
        <f>SUMIFS(Database!$G:$G,Database!$D:$D,"Import",Database!$E:$E,$B82,Database!$C:$C,CN$1,Database!$F:$F,"Total")</f>
        <v>0</v>
      </c>
      <c r="CO82" s="137">
        <f>SUMIFS(Database!$G:$G,Database!$D:$D,"Import",Database!$E:$E,$B82,Database!$C:$C,CO$1,Database!$F:$F,"Total")</f>
        <v>0</v>
      </c>
      <c r="CP82" s="137">
        <f>SUMIFS(Database!$G:$G,Database!$D:$D,"Import",Database!$E:$E,$B82,Database!$C:$C,CP$1,Database!$F:$F,"Total")</f>
        <v>0</v>
      </c>
      <c r="CQ82" s="137">
        <f>SUMIFS(Database!$G:$G,Database!$D:$D,"Import",Database!$E:$E,$B82,Database!$C:$C,CQ$1,Database!$F:$F,"Total")</f>
        <v>0</v>
      </c>
      <c r="CR82" s="137">
        <f>SUMIFS(Database!$G:$G,Database!$D:$D,"Import",Database!$E:$E,$B82,Database!$C:$C,CR$1,Database!$F:$F,"Total")</f>
        <v>0</v>
      </c>
      <c r="CS82" s="137">
        <f>SUMIFS(Database!$G:$G,Database!$D:$D,"Import",Database!$E:$E,$B82,Database!$C:$C,CS$1,Database!$F:$F,"Total")</f>
        <v>0</v>
      </c>
      <c r="CT82" s="137">
        <f>SUMIFS(Database!$G:$G,Database!$D:$D,"Import",Database!$E:$E,$B82,Database!$C:$C,CT$1,Database!$F:$F,"Total")</f>
        <v>0</v>
      </c>
      <c r="CU82" s="137">
        <f>SUMIFS(Database!$G:$G,Database!$D:$D,"Import",Database!$E:$E,$B82,Database!$C:$C,CU$1,Database!$F:$F,"Total")</f>
        <v>0</v>
      </c>
    </row>
    <row r="83" spans="1:99" x14ac:dyDescent="0.25">
      <c r="A83" s="132" t="s">
        <v>484</v>
      </c>
      <c r="B83" s="133" t="s">
        <v>92</v>
      </c>
      <c r="C83" s="137">
        <f>SUMIFS(Database!$G:$G,Database!$D:$D,"Import",Database!$E:$E,$B83,Database!$C:$C,C$1,Database!$F:$F,"Total")</f>
        <v>0</v>
      </c>
      <c r="D83" s="137">
        <f>SUMIFS(Database!$G:$G,Database!$D:$D,"Import",Database!$E:$E,$B83,Database!$C:$C,D$1,Database!$F:$F,"Total")</f>
        <v>0</v>
      </c>
      <c r="E83" s="137">
        <f>SUMIFS(Database!$G:$G,Database!$D:$D,"Import",Database!$E:$E,$B83,Database!$C:$C,E$1,Database!$F:$F,"Total")</f>
        <v>0</v>
      </c>
      <c r="F83" s="137">
        <f>SUMIFS(Database!$G:$G,Database!$D:$D,"Import",Database!$E:$E,$B83,Database!$C:$C,F$1,Database!$F:$F,"Total")</f>
        <v>0</v>
      </c>
      <c r="G83" s="137">
        <f>SUMIFS(Database!$G:$G,Database!$D:$D,"Import",Database!$E:$E,$B83,Database!$C:$C,G$1,Database!$F:$F,"Total")</f>
        <v>0</v>
      </c>
      <c r="H83" s="137">
        <f>SUMIFS(Database!$G:$G,Database!$D:$D,"Import",Database!$E:$E,$B83,Database!$C:$C,H$1,Database!$F:$F,"Total")</f>
        <v>0</v>
      </c>
      <c r="I83" s="137">
        <f>SUMIFS(Database!$G:$G,Database!$D:$D,"Import",Database!$E:$E,$B83,Database!$C:$C,I$1,Database!$F:$F,"Total")</f>
        <v>0</v>
      </c>
      <c r="J83" s="137">
        <f>SUMIFS(Database!$G:$G,Database!$D:$D,"Import",Database!$E:$E,$B83,Database!$C:$C,J$1,Database!$F:$F,"Total")</f>
        <v>0</v>
      </c>
      <c r="K83" s="137">
        <f>SUMIFS(Database!$G:$G,Database!$D:$D,"Import",Database!$E:$E,$B83,Database!$C:$C,K$1,Database!$F:$F,"Total")</f>
        <v>0</v>
      </c>
      <c r="L83" s="137">
        <f>SUMIFS(Database!$G:$G,Database!$D:$D,"Import",Database!$E:$E,$B83,Database!$C:$C,L$1,Database!$F:$F,"Total")</f>
        <v>0</v>
      </c>
      <c r="M83" s="137">
        <f>SUMIFS(Database!$G:$G,Database!$D:$D,"Import",Database!$E:$E,$B83,Database!$C:$C,M$1,Database!$F:$F,"Total")</f>
        <v>0</v>
      </c>
      <c r="N83" s="137">
        <f>SUMIFS(Database!$G:$G,Database!$D:$D,"Import",Database!$E:$E,$B83,Database!$C:$C,N$1,Database!$F:$F,"Total")</f>
        <v>0</v>
      </c>
      <c r="O83" s="137">
        <f>SUMIFS(Database!$G:$G,Database!$D:$D,"Import",Database!$E:$E,$B83,Database!$C:$C,O$1,Database!$F:$F,"Total")</f>
        <v>0</v>
      </c>
      <c r="P83" s="137">
        <f>SUMIFS(Database!$G:$G,Database!$D:$D,"Import",Database!$E:$E,$B83,Database!$C:$C,P$1,Database!$F:$F,"Total")</f>
        <v>0</v>
      </c>
      <c r="Q83" s="137">
        <f>SUMIFS(Database!$G:$G,Database!$D:$D,"Import",Database!$E:$E,$B83,Database!$C:$C,Q$1,Database!$F:$F,"Total")</f>
        <v>0</v>
      </c>
      <c r="R83" s="137">
        <f>SUMIFS(Database!$G:$G,Database!$D:$D,"Import",Database!$E:$E,$B83,Database!$C:$C,R$1,Database!$F:$F,"Total")</f>
        <v>0</v>
      </c>
      <c r="S83" s="137">
        <f>SUMIFS(Database!$G:$G,Database!$D:$D,"Import",Database!$E:$E,$B83,Database!$C:$C,S$1,Database!$F:$F,"Total")</f>
        <v>0</v>
      </c>
      <c r="T83" s="137">
        <f>SUMIFS(Database!$G:$G,Database!$D:$D,"Import",Database!$E:$E,$B83,Database!$C:$C,T$1,Database!$F:$F,"Total")</f>
        <v>0</v>
      </c>
      <c r="U83" s="137">
        <f>SUMIFS(Database!$G:$G,Database!$D:$D,"Import",Database!$E:$E,$B83,Database!$C:$C,U$1,Database!$F:$F,"Total")</f>
        <v>0</v>
      </c>
      <c r="V83" s="137">
        <f>SUMIFS(Database!$G:$G,Database!$D:$D,"Import",Database!$E:$E,$B83,Database!$C:$C,V$1,Database!$F:$F,"Total")</f>
        <v>0</v>
      </c>
      <c r="W83" s="137">
        <f>SUMIFS(Database!$G:$G,Database!$D:$D,"Import",Database!$E:$E,$B83,Database!$C:$C,W$1,Database!$F:$F,"Total")</f>
        <v>0</v>
      </c>
      <c r="X83" s="137">
        <f>SUMIFS(Database!$G:$G,Database!$D:$D,"Import",Database!$E:$E,$B83,Database!$C:$C,X$1,Database!$F:$F,"Total")</f>
        <v>0</v>
      </c>
      <c r="Y83" s="137">
        <f>SUMIFS(Database!$G:$G,Database!$D:$D,"Import",Database!$E:$E,$B83,Database!$C:$C,Y$1,Database!$F:$F,"Total")</f>
        <v>0</v>
      </c>
      <c r="Z83" s="137">
        <f>SUMIFS(Database!$G:$G,Database!$D:$D,"Import",Database!$E:$E,$B83,Database!$C:$C,Z$1,Database!$F:$F,"Total")</f>
        <v>0</v>
      </c>
      <c r="AA83" s="137">
        <f>SUMIFS(Database!$G:$G,Database!$D:$D,"Import",Database!$E:$E,$B83,Database!$C:$C,AA$1,Database!$F:$F,"Total")</f>
        <v>0</v>
      </c>
      <c r="AB83" s="137">
        <f>SUMIFS(Database!$G:$G,Database!$D:$D,"Import",Database!$E:$E,$B83,Database!$C:$C,AB$1,Database!$F:$F,"Total")</f>
        <v>0</v>
      </c>
      <c r="AC83" s="137">
        <f>SUMIFS(Database!$G:$G,Database!$D:$D,"Import",Database!$E:$E,$B83,Database!$C:$C,AC$1,Database!$F:$F,"Total")</f>
        <v>0</v>
      </c>
      <c r="AD83" s="137">
        <f>SUMIFS(Database!$G:$G,Database!$D:$D,"Import",Database!$E:$E,$B83,Database!$C:$C,AD$1,Database!$F:$F,"Total")</f>
        <v>0</v>
      </c>
      <c r="AE83" s="137">
        <f>SUMIFS(Database!$G:$G,Database!$D:$D,"Import",Database!$E:$E,$B83,Database!$C:$C,AE$1,Database!$F:$F,"Total")</f>
        <v>0</v>
      </c>
      <c r="AF83" s="137">
        <f>SUMIFS(Database!$G:$G,Database!$D:$D,"Import",Database!$E:$E,$B83,Database!$C:$C,AF$1,Database!$F:$F,"Total")</f>
        <v>0</v>
      </c>
      <c r="AG83" s="137">
        <f>SUMIFS(Database!$G:$G,Database!$D:$D,"Import",Database!$E:$E,$B83,Database!$C:$C,AG$1,Database!$F:$F,"Total")</f>
        <v>0</v>
      </c>
      <c r="AH83" s="137">
        <f>SUMIFS(Database!$G:$G,Database!$D:$D,"Import",Database!$E:$E,$B83,Database!$C:$C,AH$1,Database!$F:$F,"Total")</f>
        <v>0</v>
      </c>
      <c r="AI83" s="137">
        <f>SUMIFS(Database!$G:$G,Database!$D:$D,"Import",Database!$E:$E,$B83,Database!$C:$C,AI$1,Database!$F:$F,"Total")</f>
        <v>0</v>
      </c>
      <c r="AJ83" s="137">
        <f>SUMIFS(Database!$G:$G,Database!$D:$D,"Import",Database!$E:$E,$B83,Database!$C:$C,AJ$1,Database!$F:$F,"Total")</f>
        <v>63</v>
      </c>
      <c r="AK83" s="137">
        <f>SUMIFS(Database!$G:$G,Database!$D:$D,"Import",Database!$E:$E,$B83,Database!$C:$C,AK$1,Database!$F:$F,"Total")</f>
        <v>0</v>
      </c>
      <c r="AL83" s="137">
        <f>SUMIFS(Database!$G:$G,Database!$D:$D,"Import",Database!$E:$E,$B83,Database!$C:$C,AL$1,Database!$F:$F,"Total")</f>
        <v>0</v>
      </c>
      <c r="AM83" s="137">
        <f>SUMIFS(Database!$G:$G,Database!$D:$D,"Import",Database!$E:$E,$B83,Database!$C:$C,AM$1,Database!$F:$F,"Total")</f>
        <v>0</v>
      </c>
      <c r="AN83" s="137">
        <f>SUMIFS(Database!$G:$G,Database!$D:$D,"Import",Database!$E:$E,$B83,Database!$C:$C,AN$1,Database!$F:$F,"Total")</f>
        <v>0</v>
      </c>
      <c r="AO83" s="137">
        <f>SUMIFS(Database!$G:$G,Database!$D:$D,"Import",Database!$E:$E,$B83,Database!$C:$C,AO$1,Database!$F:$F,"Total")</f>
        <v>0</v>
      </c>
      <c r="AP83" s="137">
        <f>SUMIFS(Database!$G:$G,Database!$D:$D,"Import",Database!$E:$E,$B83,Database!$C:$C,AP$1,Database!$F:$F,"Total")</f>
        <v>0</v>
      </c>
      <c r="AQ83" s="137">
        <f>SUMIFS(Database!$G:$G,Database!$D:$D,"Import",Database!$E:$E,$B83,Database!$C:$C,AQ$1,Database!$F:$F,"Total")</f>
        <v>0</v>
      </c>
      <c r="AR83" s="137">
        <f>SUMIFS(Database!$G:$G,Database!$D:$D,"Import",Database!$E:$E,$B83,Database!$C:$C,AR$1,Database!$F:$F,"Total")</f>
        <v>0</v>
      </c>
      <c r="AS83" s="137">
        <f>SUMIFS(Database!$G:$G,Database!$D:$D,"Import",Database!$E:$E,$B83,Database!$C:$C,AS$1,Database!$F:$F,"Total")</f>
        <v>0</v>
      </c>
      <c r="AT83" s="137">
        <f>SUMIFS(Database!$G:$G,Database!$D:$D,"Import",Database!$E:$E,$B83,Database!$C:$C,AT$1,Database!$F:$F,"Total")</f>
        <v>0</v>
      </c>
      <c r="AU83" s="137">
        <f>SUMIFS(Database!$G:$G,Database!$D:$D,"Import",Database!$E:$E,$B83,Database!$C:$C,AU$1,Database!$F:$F,"Total")</f>
        <v>0</v>
      </c>
      <c r="AV83" s="137">
        <f>SUMIFS(Database!$G:$G,Database!$D:$D,"Import",Database!$E:$E,$B83,Database!$C:$C,AV$1,Database!$F:$F,"Total")</f>
        <v>0</v>
      </c>
      <c r="AW83" s="137">
        <f>SUMIFS(Database!$G:$G,Database!$D:$D,"Import",Database!$E:$E,$B83,Database!$C:$C,AW$1,Database!$F:$F,"Total")</f>
        <v>0</v>
      </c>
      <c r="AX83" s="137">
        <f>SUMIFS(Database!$G:$G,Database!$D:$D,"Import",Database!$E:$E,$B83,Database!$C:$C,AX$1,Database!$F:$F,"Total")</f>
        <v>0</v>
      </c>
      <c r="AY83" s="137">
        <f>SUMIFS(Database!$G:$G,Database!$D:$D,"Import",Database!$E:$E,$B83,Database!$C:$C,AY$1,Database!$F:$F,"Total")</f>
        <v>0</v>
      </c>
      <c r="AZ83" s="137">
        <f>SUMIFS(Database!$G:$G,Database!$D:$D,"Import",Database!$E:$E,$B83,Database!$C:$C,AZ$1,Database!$F:$F,"Total")</f>
        <v>0</v>
      </c>
      <c r="BA83" s="137">
        <f>SUMIFS(Database!$G:$G,Database!$D:$D,"Import",Database!$E:$E,$B83,Database!$C:$C,BA$1,Database!$F:$F,"Total")</f>
        <v>0</v>
      </c>
      <c r="BB83" s="137">
        <f>SUMIFS(Database!$G:$G,Database!$D:$D,"Import",Database!$E:$E,$B83,Database!$C:$C,BB$1,Database!$F:$F,"Total")</f>
        <v>0</v>
      </c>
      <c r="BC83" s="137">
        <f>SUMIFS(Database!$G:$G,Database!$D:$D,"Import",Database!$E:$E,$B83,Database!$C:$C,BC$1,Database!$F:$F,"Total")</f>
        <v>0</v>
      </c>
      <c r="BD83" s="137">
        <f>SUMIFS(Database!$G:$G,Database!$D:$D,"Import",Database!$E:$E,$B83,Database!$C:$C,BD$1,Database!$F:$F,"Total")</f>
        <v>0</v>
      </c>
      <c r="BE83" s="137">
        <f>SUMIFS(Database!$G:$G,Database!$D:$D,"Import",Database!$E:$E,$B83,Database!$C:$C,BE$1,Database!$F:$F,"Total")</f>
        <v>0</v>
      </c>
      <c r="BF83" s="137">
        <f>SUMIFS(Database!$G:$G,Database!$D:$D,"Import",Database!$E:$E,$B83,Database!$C:$C,BF$1,Database!$F:$F,"Total")</f>
        <v>0</v>
      </c>
      <c r="BG83" s="137">
        <f>SUMIFS(Database!$G:$G,Database!$D:$D,"Import",Database!$E:$E,$B83,Database!$C:$C,BG$1,Database!$F:$F,"Total")</f>
        <v>0</v>
      </c>
      <c r="BH83" s="137">
        <f>SUMIFS(Database!$G:$G,Database!$D:$D,"Import",Database!$E:$E,$B83,Database!$C:$C,BH$1,Database!$F:$F,"Total")</f>
        <v>0</v>
      </c>
      <c r="BI83" s="137">
        <f>SUMIFS(Database!$G:$G,Database!$D:$D,"Import",Database!$E:$E,$B83,Database!$C:$C,BI$1,Database!$F:$F,"Total")</f>
        <v>0</v>
      </c>
      <c r="BJ83" s="137">
        <f>SUMIFS(Database!$G:$G,Database!$D:$D,"Import",Database!$E:$E,$B83,Database!$C:$C,BJ$1,Database!$F:$F,"Total")</f>
        <v>0</v>
      </c>
      <c r="BK83" s="137">
        <f>SUMIFS(Database!$G:$G,Database!$D:$D,"Import",Database!$E:$E,$B83,Database!$C:$C,BK$1,Database!$F:$F,"Total")</f>
        <v>0</v>
      </c>
      <c r="BL83" s="137">
        <f>SUMIFS(Database!$G:$G,Database!$D:$D,"Import",Database!$E:$E,$B83,Database!$C:$C,BL$1,Database!$F:$F,"Total")</f>
        <v>0</v>
      </c>
      <c r="BM83" s="137">
        <f>SUMIFS(Database!$G:$G,Database!$D:$D,"Import",Database!$E:$E,$B83,Database!$C:$C,BM$1,Database!$F:$F,"Total")</f>
        <v>0</v>
      </c>
      <c r="BN83" s="137">
        <f>SUMIFS(Database!$G:$G,Database!$D:$D,"Import",Database!$E:$E,$B83,Database!$C:$C,BN$1,Database!$F:$F,"Total")</f>
        <v>0</v>
      </c>
      <c r="BO83" s="137">
        <f>SUMIFS(Database!$G:$G,Database!$D:$D,"Import",Database!$E:$E,$B83,Database!$C:$C,BO$1,Database!$F:$F,"Total")</f>
        <v>0</v>
      </c>
      <c r="BP83" s="137">
        <f>SUMIFS(Database!$G:$G,Database!$D:$D,"Import",Database!$E:$E,$B83,Database!$C:$C,BP$1,Database!$F:$F,"Total")</f>
        <v>0</v>
      </c>
      <c r="BQ83" s="137">
        <f>SUMIFS(Database!$G:$G,Database!$D:$D,"Import",Database!$E:$E,$B83,Database!$C:$C,BQ$1,Database!$F:$F,"Total")</f>
        <v>0</v>
      </c>
      <c r="BR83" s="137">
        <f>SUMIFS(Database!$G:$G,Database!$D:$D,"Import",Database!$E:$E,$B83,Database!$C:$C,BR$1,Database!$F:$F,"Total")</f>
        <v>0</v>
      </c>
      <c r="BS83" s="137">
        <f>SUMIFS(Database!$G:$G,Database!$D:$D,"Import",Database!$E:$E,$B83,Database!$C:$C,BS$1,Database!$F:$F,"Total")</f>
        <v>0</v>
      </c>
      <c r="BT83" s="137">
        <f>SUMIFS(Database!$G:$G,Database!$D:$D,"Import",Database!$E:$E,$B83,Database!$C:$C,BT$1,Database!$F:$F,"Total")</f>
        <v>0</v>
      </c>
      <c r="BU83" s="137">
        <f>SUMIFS(Database!$G:$G,Database!$D:$D,"Import",Database!$E:$E,$B83,Database!$C:$C,BU$1,Database!$F:$F,"Total")</f>
        <v>0</v>
      </c>
      <c r="BV83" s="137">
        <f>SUMIFS(Database!$G:$G,Database!$D:$D,"Import",Database!$E:$E,$B83,Database!$C:$C,BV$1,Database!$F:$F,"Total")</f>
        <v>0</v>
      </c>
      <c r="BW83" s="137">
        <f>SUMIFS(Database!$G:$G,Database!$D:$D,"Import",Database!$E:$E,$B83,Database!$C:$C,BW$1,Database!$F:$F,"Total")</f>
        <v>0</v>
      </c>
      <c r="BX83" s="137">
        <f>SUMIFS(Database!$G:$G,Database!$D:$D,"Import",Database!$E:$E,$B83,Database!$C:$C,BX$1,Database!$F:$F,"Total")</f>
        <v>0</v>
      </c>
      <c r="BY83" s="137">
        <f>SUMIFS(Database!$G:$G,Database!$D:$D,"Import",Database!$E:$E,$B83,Database!$C:$C,BY$1,Database!$F:$F,"Total")</f>
        <v>0</v>
      </c>
      <c r="BZ83" s="137">
        <f>SUMIFS(Database!$G:$G,Database!$D:$D,"Import",Database!$E:$E,$B83,Database!$C:$C,BZ$1,Database!$F:$F,"Total")</f>
        <v>0</v>
      </c>
      <c r="CA83" s="137">
        <f>SUMIFS(Database!$G:$G,Database!$D:$D,"Import",Database!$E:$E,$B83,Database!$C:$C,CA$1,Database!$F:$F,"Total")</f>
        <v>0</v>
      </c>
      <c r="CB83" s="137">
        <f>SUMIFS(Database!$G:$G,Database!$D:$D,"Import",Database!$E:$E,$B83,Database!$C:$C,CB$1,Database!$F:$F,"Total")</f>
        <v>0</v>
      </c>
      <c r="CC83" s="137">
        <f>SUMIFS(Database!$G:$G,Database!$D:$D,"Import",Database!$E:$E,$B83,Database!$C:$C,CC$1,Database!$F:$F,"Total")</f>
        <v>0</v>
      </c>
      <c r="CD83" s="137">
        <f>SUMIFS(Database!$G:$G,Database!$D:$D,"Import",Database!$E:$E,$B83,Database!$C:$C,CD$1,Database!$F:$F,"Total")</f>
        <v>0</v>
      </c>
      <c r="CE83" s="137">
        <f>SUMIFS(Database!$G:$G,Database!$D:$D,"Import",Database!$E:$E,$B83,Database!$C:$C,CE$1,Database!$F:$F,"Total")</f>
        <v>0</v>
      </c>
      <c r="CF83" s="137">
        <f>SUMIFS(Database!$G:$G,Database!$D:$D,"Import",Database!$E:$E,$B83,Database!$C:$C,CF$1,Database!$F:$F,"Total")</f>
        <v>0</v>
      </c>
      <c r="CG83" s="137">
        <f>SUMIFS(Database!$G:$G,Database!$D:$D,"Import",Database!$E:$E,$B83,Database!$C:$C,CG$1,Database!$F:$F,"Total")</f>
        <v>0</v>
      </c>
      <c r="CH83" s="137">
        <f>SUMIFS(Database!$G:$G,Database!$D:$D,"Import",Database!$E:$E,$B83,Database!$C:$C,CH$1,Database!$F:$F,"Total")</f>
        <v>0</v>
      </c>
      <c r="CI83" s="137">
        <f>SUMIFS(Database!$G:$G,Database!$D:$D,"Import",Database!$E:$E,$B83,Database!$C:$C,CI$1,Database!$F:$F,"Total")</f>
        <v>0</v>
      </c>
      <c r="CJ83" s="137">
        <f>SUMIFS(Database!$G:$G,Database!$D:$D,"Import",Database!$E:$E,$B83,Database!$C:$C,CJ$1,Database!$F:$F,"Total")</f>
        <v>0</v>
      </c>
      <c r="CK83" s="137">
        <f>SUMIFS(Database!$G:$G,Database!$D:$D,"Import",Database!$E:$E,$B83,Database!$C:$C,CK$1,Database!$F:$F,"Total")</f>
        <v>0</v>
      </c>
      <c r="CL83" s="137">
        <f>SUMIFS(Database!$G:$G,Database!$D:$D,"Import",Database!$E:$E,$B83,Database!$C:$C,CL$1,Database!$F:$F,"Total")</f>
        <v>0</v>
      </c>
      <c r="CM83" s="137">
        <f>SUMIFS(Database!$G:$G,Database!$D:$D,"Import",Database!$E:$E,$B83,Database!$C:$C,CM$1,Database!$F:$F,"Total")</f>
        <v>0</v>
      </c>
      <c r="CN83" s="137">
        <f>SUMIFS(Database!$G:$G,Database!$D:$D,"Import",Database!$E:$E,$B83,Database!$C:$C,CN$1,Database!$F:$F,"Total")</f>
        <v>0</v>
      </c>
      <c r="CO83" s="137">
        <f>SUMIFS(Database!$G:$G,Database!$D:$D,"Import",Database!$E:$E,$B83,Database!$C:$C,CO$1,Database!$F:$F,"Total")</f>
        <v>0</v>
      </c>
      <c r="CP83" s="137">
        <f>SUMIFS(Database!$G:$G,Database!$D:$D,"Import",Database!$E:$E,$B83,Database!$C:$C,CP$1,Database!$F:$F,"Total")</f>
        <v>0</v>
      </c>
      <c r="CQ83" s="137">
        <f>SUMIFS(Database!$G:$G,Database!$D:$D,"Import",Database!$E:$E,$B83,Database!$C:$C,CQ$1,Database!$F:$F,"Total")</f>
        <v>0</v>
      </c>
      <c r="CR83" s="137">
        <f>SUMIFS(Database!$G:$G,Database!$D:$D,"Import",Database!$E:$E,$B83,Database!$C:$C,CR$1,Database!$F:$F,"Total")</f>
        <v>0</v>
      </c>
      <c r="CS83" s="137">
        <f>SUMIFS(Database!$G:$G,Database!$D:$D,"Import",Database!$E:$E,$B83,Database!$C:$C,CS$1,Database!$F:$F,"Total")</f>
        <v>0</v>
      </c>
      <c r="CT83" s="137">
        <f>SUMIFS(Database!$G:$G,Database!$D:$D,"Import",Database!$E:$E,$B83,Database!$C:$C,CT$1,Database!$F:$F,"Total")</f>
        <v>0</v>
      </c>
      <c r="CU83" s="137">
        <f>SUMIFS(Database!$G:$G,Database!$D:$D,"Import",Database!$E:$E,$B83,Database!$C:$C,CU$1,Database!$F:$F,"Total")</f>
        <v>0</v>
      </c>
    </row>
    <row r="84" spans="1:99" x14ac:dyDescent="0.25">
      <c r="A84" s="132" t="s">
        <v>484</v>
      </c>
      <c r="B84" s="133" t="s">
        <v>93</v>
      </c>
      <c r="C84" s="137">
        <f>SUMIFS(Database!$G:$G,Database!$D:$D,"Import",Database!$E:$E,$B84,Database!$C:$C,C$1,Database!$F:$F,"Total")</f>
        <v>0</v>
      </c>
      <c r="D84" s="137">
        <f>SUMIFS(Database!$G:$G,Database!$D:$D,"Import",Database!$E:$E,$B84,Database!$C:$C,D$1,Database!$F:$F,"Total")</f>
        <v>0</v>
      </c>
      <c r="E84" s="137">
        <f>SUMIFS(Database!$G:$G,Database!$D:$D,"Import",Database!$E:$E,$B84,Database!$C:$C,E$1,Database!$F:$F,"Total")</f>
        <v>0</v>
      </c>
      <c r="F84" s="137">
        <f>SUMIFS(Database!$G:$G,Database!$D:$D,"Import",Database!$E:$E,$B84,Database!$C:$C,F$1,Database!$F:$F,"Total")</f>
        <v>0</v>
      </c>
      <c r="G84" s="137">
        <f>SUMIFS(Database!$G:$G,Database!$D:$D,"Import",Database!$E:$E,$B84,Database!$C:$C,G$1,Database!$F:$F,"Total")</f>
        <v>0</v>
      </c>
      <c r="H84" s="137">
        <f>SUMIFS(Database!$G:$G,Database!$D:$D,"Import",Database!$E:$E,$B84,Database!$C:$C,H$1,Database!$F:$F,"Total")</f>
        <v>0</v>
      </c>
      <c r="I84" s="137">
        <f>SUMIFS(Database!$G:$G,Database!$D:$D,"Import",Database!$E:$E,$B84,Database!$C:$C,I$1,Database!$F:$F,"Total")</f>
        <v>0</v>
      </c>
      <c r="J84" s="137">
        <f>SUMIFS(Database!$G:$G,Database!$D:$D,"Import",Database!$E:$E,$B84,Database!$C:$C,J$1,Database!$F:$F,"Total")</f>
        <v>0</v>
      </c>
      <c r="K84" s="137">
        <f>SUMIFS(Database!$G:$G,Database!$D:$D,"Import",Database!$E:$E,$B84,Database!$C:$C,K$1,Database!$F:$F,"Total")</f>
        <v>0</v>
      </c>
      <c r="L84" s="137">
        <f>SUMIFS(Database!$G:$G,Database!$D:$D,"Import",Database!$E:$E,$B84,Database!$C:$C,L$1,Database!$F:$F,"Total")</f>
        <v>0</v>
      </c>
      <c r="M84" s="137">
        <f>SUMIFS(Database!$G:$G,Database!$D:$D,"Import",Database!$E:$E,$B84,Database!$C:$C,M$1,Database!$F:$F,"Total")</f>
        <v>0</v>
      </c>
      <c r="N84" s="137">
        <f>SUMIFS(Database!$G:$G,Database!$D:$D,"Import",Database!$E:$E,$B84,Database!$C:$C,N$1,Database!$F:$F,"Total")</f>
        <v>0</v>
      </c>
      <c r="O84" s="137">
        <f>SUMIFS(Database!$G:$G,Database!$D:$D,"Import",Database!$E:$E,$B84,Database!$C:$C,O$1,Database!$F:$F,"Total")</f>
        <v>0</v>
      </c>
      <c r="P84" s="137">
        <f>SUMIFS(Database!$G:$G,Database!$D:$D,"Import",Database!$E:$E,$B84,Database!$C:$C,P$1,Database!$F:$F,"Total")</f>
        <v>0</v>
      </c>
      <c r="Q84" s="137">
        <f>SUMIFS(Database!$G:$G,Database!$D:$D,"Import",Database!$E:$E,$B84,Database!$C:$C,Q$1,Database!$F:$F,"Total")</f>
        <v>0</v>
      </c>
      <c r="R84" s="137">
        <f>SUMIFS(Database!$G:$G,Database!$D:$D,"Import",Database!$E:$E,$B84,Database!$C:$C,R$1,Database!$F:$F,"Total")</f>
        <v>0</v>
      </c>
      <c r="S84" s="137">
        <f>SUMIFS(Database!$G:$G,Database!$D:$D,"Import",Database!$E:$E,$B84,Database!$C:$C,S$1,Database!$F:$F,"Total")</f>
        <v>0</v>
      </c>
      <c r="T84" s="137">
        <f>SUMIFS(Database!$G:$G,Database!$D:$D,"Import",Database!$E:$E,$B84,Database!$C:$C,T$1,Database!$F:$F,"Total")</f>
        <v>0</v>
      </c>
      <c r="U84" s="137">
        <f>SUMIFS(Database!$G:$G,Database!$D:$D,"Import",Database!$E:$E,$B84,Database!$C:$C,U$1,Database!$F:$F,"Total")</f>
        <v>0</v>
      </c>
      <c r="V84" s="137">
        <f>SUMIFS(Database!$G:$G,Database!$D:$D,"Import",Database!$E:$E,$B84,Database!$C:$C,V$1,Database!$F:$F,"Total")</f>
        <v>0</v>
      </c>
      <c r="W84" s="137">
        <f>SUMIFS(Database!$G:$G,Database!$D:$D,"Import",Database!$E:$E,$B84,Database!$C:$C,W$1,Database!$F:$F,"Total")</f>
        <v>0</v>
      </c>
      <c r="X84" s="137">
        <f>SUMIFS(Database!$G:$G,Database!$D:$D,"Import",Database!$E:$E,$B84,Database!$C:$C,X$1,Database!$F:$F,"Total")</f>
        <v>0</v>
      </c>
      <c r="Y84" s="137">
        <f>SUMIFS(Database!$G:$G,Database!$D:$D,"Import",Database!$E:$E,$B84,Database!$C:$C,Y$1,Database!$F:$F,"Total")</f>
        <v>0</v>
      </c>
      <c r="Z84" s="137">
        <f>SUMIFS(Database!$G:$G,Database!$D:$D,"Import",Database!$E:$E,$B84,Database!$C:$C,Z$1,Database!$F:$F,"Total")</f>
        <v>0</v>
      </c>
      <c r="AA84" s="137">
        <f>SUMIFS(Database!$G:$G,Database!$D:$D,"Import",Database!$E:$E,$B84,Database!$C:$C,AA$1,Database!$F:$F,"Total")</f>
        <v>0</v>
      </c>
      <c r="AB84" s="137">
        <f>SUMIFS(Database!$G:$G,Database!$D:$D,"Import",Database!$E:$E,$B84,Database!$C:$C,AB$1,Database!$F:$F,"Total")</f>
        <v>0</v>
      </c>
      <c r="AC84" s="137">
        <f>SUMIFS(Database!$G:$G,Database!$D:$D,"Import",Database!$E:$E,$B84,Database!$C:$C,AC$1,Database!$F:$F,"Total")</f>
        <v>0</v>
      </c>
      <c r="AD84" s="137">
        <f>SUMIFS(Database!$G:$G,Database!$D:$D,"Import",Database!$E:$E,$B84,Database!$C:$C,AD$1,Database!$F:$F,"Total")</f>
        <v>0</v>
      </c>
      <c r="AE84" s="137">
        <f>SUMIFS(Database!$G:$G,Database!$D:$D,"Import",Database!$E:$E,$B84,Database!$C:$C,AE$1,Database!$F:$F,"Total")</f>
        <v>0</v>
      </c>
      <c r="AF84" s="137">
        <f>SUMIFS(Database!$G:$G,Database!$D:$D,"Import",Database!$E:$E,$B84,Database!$C:$C,AF$1,Database!$F:$F,"Total")</f>
        <v>0</v>
      </c>
      <c r="AG84" s="137">
        <f>SUMIFS(Database!$G:$G,Database!$D:$D,"Import",Database!$E:$E,$B84,Database!$C:$C,AG$1,Database!$F:$F,"Total")</f>
        <v>0</v>
      </c>
      <c r="AH84" s="137">
        <f>SUMIFS(Database!$G:$G,Database!$D:$D,"Import",Database!$E:$E,$B84,Database!$C:$C,AH$1,Database!$F:$F,"Total")</f>
        <v>0</v>
      </c>
      <c r="AI84" s="137">
        <f>SUMIFS(Database!$G:$G,Database!$D:$D,"Import",Database!$E:$E,$B84,Database!$C:$C,AI$1,Database!$F:$F,"Total")</f>
        <v>0</v>
      </c>
      <c r="AJ84" s="137">
        <f>SUMIFS(Database!$G:$G,Database!$D:$D,"Import",Database!$E:$E,$B84,Database!$C:$C,AJ$1,Database!$F:$F,"Total")</f>
        <v>165</v>
      </c>
      <c r="AK84" s="137">
        <f>SUMIFS(Database!$G:$G,Database!$D:$D,"Import",Database!$E:$E,$B84,Database!$C:$C,AK$1,Database!$F:$F,"Total")</f>
        <v>0</v>
      </c>
      <c r="AL84" s="137">
        <f>SUMIFS(Database!$G:$G,Database!$D:$D,"Import",Database!$E:$E,$B84,Database!$C:$C,AL$1,Database!$F:$F,"Total")</f>
        <v>0</v>
      </c>
      <c r="AM84" s="137">
        <f>SUMIFS(Database!$G:$G,Database!$D:$D,"Import",Database!$E:$E,$B84,Database!$C:$C,AM$1,Database!$F:$F,"Total")</f>
        <v>0</v>
      </c>
      <c r="AN84" s="137">
        <f>SUMIFS(Database!$G:$G,Database!$D:$D,"Import",Database!$E:$E,$B84,Database!$C:$C,AN$1,Database!$F:$F,"Total")</f>
        <v>0</v>
      </c>
      <c r="AO84" s="137">
        <f>SUMIFS(Database!$G:$G,Database!$D:$D,"Import",Database!$E:$E,$B84,Database!$C:$C,AO$1,Database!$F:$F,"Total")</f>
        <v>0</v>
      </c>
      <c r="AP84" s="137">
        <f>SUMIFS(Database!$G:$G,Database!$D:$D,"Import",Database!$E:$E,$B84,Database!$C:$C,AP$1,Database!$F:$F,"Total")</f>
        <v>0</v>
      </c>
      <c r="AQ84" s="137">
        <f>SUMIFS(Database!$G:$G,Database!$D:$D,"Import",Database!$E:$E,$B84,Database!$C:$C,AQ$1,Database!$F:$F,"Total")</f>
        <v>0</v>
      </c>
      <c r="AR84" s="137">
        <f>SUMIFS(Database!$G:$G,Database!$D:$D,"Import",Database!$E:$E,$B84,Database!$C:$C,AR$1,Database!$F:$F,"Total")</f>
        <v>0</v>
      </c>
      <c r="AS84" s="137">
        <f>SUMIFS(Database!$G:$G,Database!$D:$D,"Import",Database!$E:$E,$B84,Database!$C:$C,AS$1,Database!$F:$F,"Total")</f>
        <v>0</v>
      </c>
      <c r="AT84" s="137">
        <f>SUMIFS(Database!$G:$G,Database!$D:$D,"Import",Database!$E:$E,$B84,Database!$C:$C,AT$1,Database!$F:$F,"Total")</f>
        <v>0</v>
      </c>
      <c r="AU84" s="137">
        <f>SUMIFS(Database!$G:$G,Database!$D:$D,"Import",Database!$E:$E,$B84,Database!$C:$C,AU$1,Database!$F:$F,"Total")</f>
        <v>0</v>
      </c>
      <c r="AV84" s="137">
        <f>SUMIFS(Database!$G:$G,Database!$D:$D,"Import",Database!$E:$E,$B84,Database!$C:$C,AV$1,Database!$F:$F,"Total")</f>
        <v>0</v>
      </c>
      <c r="AW84" s="137">
        <f>SUMIFS(Database!$G:$G,Database!$D:$D,"Import",Database!$E:$E,$B84,Database!$C:$C,AW$1,Database!$F:$F,"Total")</f>
        <v>0</v>
      </c>
      <c r="AX84" s="137">
        <f>SUMIFS(Database!$G:$G,Database!$D:$D,"Import",Database!$E:$E,$B84,Database!$C:$C,AX$1,Database!$F:$F,"Total")</f>
        <v>0</v>
      </c>
      <c r="AY84" s="137">
        <f>SUMIFS(Database!$G:$G,Database!$D:$D,"Import",Database!$E:$E,$B84,Database!$C:$C,AY$1,Database!$F:$F,"Total")</f>
        <v>0</v>
      </c>
      <c r="AZ84" s="137">
        <f>SUMIFS(Database!$G:$G,Database!$D:$D,"Import",Database!$E:$E,$B84,Database!$C:$C,AZ$1,Database!$F:$F,"Total")</f>
        <v>0</v>
      </c>
      <c r="BA84" s="137">
        <f>SUMIFS(Database!$G:$G,Database!$D:$D,"Import",Database!$E:$E,$B84,Database!$C:$C,BA$1,Database!$F:$F,"Total")</f>
        <v>0</v>
      </c>
      <c r="BB84" s="137">
        <f>SUMIFS(Database!$G:$G,Database!$D:$D,"Import",Database!$E:$E,$B84,Database!$C:$C,BB$1,Database!$F:$F,"Total")</f>
        <v>0</v>
      </c>
      <c r="BC84" s="137">
        <f>SUMIFS(Database!$G:$G,Database!$D:$D,"Import",Database!$E:$E,$B84,Database!$C:$C,BC$1,Database!$F:$F,"Total")</f>
        <v>0</v>
      </c>
      <c r="BD84" s="137">
        <f>SUMIFS(Database!$G:$G,Database!$D:$D,"Import",Database!$E:$E,$B84,Database!$C:$C,BD$1,Database!$F:$F,"Total")</f>
        <v>0</v>
      </c>
      <c r="BE84" s="137">
        <f>SUMIFS(Database!$G:$G,Database!$D:$D,"Import",Database!$E:$E,$B84,Database!$C:$C,BE$1,Database!$F:$F,"Total")</f>
        <v>0</v>
      </c>
      <c r="BF84" s="137">
        <f>SUMIFS(Database!$G:$G,Database!$D:$D,"Import",Database!$E:$E,$B84,Database!$C:$C,BF$1,Database!$F:$F,"Total")</f>
        <v>0</v>
      </c>
      <c r="BG84" s="137">
        <f>SUMIFS(Database!$G:$G,Database!$D:$D,"Import",Database!$E:$E,$B84,Database!$C:$C,BG$1,Database!$F:$F,"Total")</f>
        <v>0</v>
      </c>
      <c r="BH84" s="137">
        <f>SUMIFS(Database!$G:$G,Database!$D:$D,"Import",Database!$E:$E,$B84,Database!$C:$C,BH$1,Database!$F:$F,"Total")</f>
        <v>0</v>
      </c>
      <c r="BI84" s="137">
        <f>SUMIFS(Database!$G:$G,Database!$D:$D,"Import",Database!$E:$E,$B84,Database!$C:$C,BI$1,Database!$F:$F,"Total")</f>
        <v>0</v>
      </c>
      <c r="BJ84" s="137">
        <f>SUMIFS(Database!$G:$G,Database!$D:$D,"Import",Database!$E:$E,$B84,Database!$C:$C,BJ$1,Database!$F:$F,"Total")</f>
        <v>0</v>
      </c>
      <c r="BK84" s="137">
        <f>SUMIFS(Database!$G:$G,Database!$D:$D,"Import",Database!$E:$E,$B84,Database!$C:$C,BK$1,Database!$F:$F,"Total")</f>
        <v>0</v>
      </c>
      <c r="BL84" s="137">
        <f>SUMIFS(Database!$G:$G,Database!$D:$D,"Import",Database!$E:$E,$B84,Database!$C:$C,BL$1,Database!$F:$F,"Total")</f>
        <v>0</v>
      </c>
      <c r="BM84" s="137">
        <f>SUMIFS(Database!$G:$G,Database!$D:$D,"Import",Database!$E:$E,$B84,Database!$C:$C,BM$1,Database!$F:$F,"Total")</f>
        <v>0</v>
      </c>
      <c r="BN84" s="137">
        <f>SUMIFS(Database!$G:$G,Database!$D:$D,"Import",Database!$E:$E,$B84,Database!$C:$C,BN$1,Database!$F:$F,"Total")</f>
        <v>0</v>
      </c>
      <c r="BO84" s="137">
        <f>SUMIFS(Database!$G:$G,Database!$D:$D,"Import",Database!$E:$E,$B84,Database!$C:$C,BO$1,Database!$F:$F,"Total")</f>
        <v>0</v>
      </c>
      <c r="BP84" s="137">
        <f>SUMIFS(Database!$G:$G,Database!$D:$D,"Import",Database!$E:$E,$B84,Database!$C:$C,BP$1,Database!$F:$F,"Total")</f>
        <v>0</v>
      </c>
      <c r="BQ84" s="137">
        <f>SUMIFS(Database!$G:$G,Database!$D:$D,"Import",Database!$E:$E,$B84,Database!$C:$C,BQ$1,Database!$F:$F,"Total")</f>
        <v>0</v>
      </c>
      <c r="BR84" s="137">
        <f>SUMIFS(Database!$G:$G,Database!$D:$D,"Import",Database!$E:$E,$B84,Database!$C:$C,BR$1,Database!$F:$F,"Total")</f>
        <v>0</v>
      </c>
      <c r="BS84" s="137">
        <f>SUMIFS(Database!$G:$G,Database!$D:$D,"Import",Database!$E:$E,$B84,Database!$C:$C,BS$1,Database!$F:$F,"Total")</f>
        <v>0</v>
      </c>
      <c r="BT84" s="137">
        <f>SUMIFS(Database!$G:$G,Database!$D:$D,"Import",Database!$E:$E,$B84,Database!$C:$C,BT$1,Database!$F:$F,"Total")</f>
        <v>0</v>
      </c>
      <c r="BU84" s="137">
        <f>SUMIFS(Database!$G:$G,Database!$D:$D,"Import",Database!$E:$E,$B84,Database!$C:$C,BU$1,Database!$F:$F,"Total")</f>
        <v>0</v>
      </c>
      <c r="BV84" s="137">
        <f>SUMIFS(Database!$G:$G,Database!$D:$D,"Import",Database!$E:$E,$B84,Database!$C:$C,BV$1,Database!$F:$F,"Total")</f>
        <v>0</v>
      </c>
      <c r="BW84" s="137">
        <f>SUMIFS(Database!$G:$G,Database!$D:$D,"Import",Database!$E:$E,$B84,Database!$C:$C,BW$1,Database!$F:$F,"Total")</f>
        <v>0</v>
      </c>
      <c r="BX84" s="137">
        <f>SUMIFS(Database!$G:$G,Database!$D:$D,"Import",Database!$E:$E,$B84,Database!$C:$C,BX$1,Database!$F:$F,"Total")</f>
        <v>0</v>
      </c>
      <c r="BY84" s="137">
        <f>SUMIFS(Database!$G:$G,Database!$D:$D,"Import",Database!$E:$E,$B84,Database!$C:$C,BY$1,Database!$F:$F,"Total")</f>
        <v>0</v>
      </c>
      <c r="BZ84" s="137">
        <f>SUMIFS(Database!$G:$G,Database!$D:$D,"Import",Database!$E:$E,$B84,Database!$C:$C,BZ$1,Database!$F:$F,"Total")</f>
        <v>0</v>
      </c>
      <c r="CA84" s="137">
        <f>SUMIFS(Database!$G:$G,Database!$D:$D,"Import",Database!$E:$E,$B84,Database!$C:$C,CA$1,Database!$F:$F,"Total")</f>
        <v>0</v>
      </c>
      <c r="CB84" s="137">
        <f>SUMIFS(Database!$G:$G,Database!$D:$D,"Import",Database!$E:$E,$B84,Database!$C:$C,CB$1,Database!$F:$F,"Total")</f>
        <v>0</v>
      </c>
      <c r="CC84" s="137">
        <f>SUMIFS(Database!$G:$G,Database!$D:$D,"Import",Database!$E:$E,$B84,Database!$C:$C,CC$1,Database!$F:$F,"Total")</f>
        <v>0</v>
      </c>
      <c r="CD84" s="137">
        <f>SUMIFS(Database!$G:$G,Database!$D:$D,"Import",Database!$E:$E,$B84,Database!$C:$C,CD$1,Database!$F:$F,"Total")</f>
        <v>0</v>
      </c>
      <c r="CE84" s="137">
        <f>SUMIFS(Database!$G:$G,Database!$D:$D,"Import",Database!$E:$E,$B84,Database!$C:$C,CE$1,Database!$F:$F,"Total")</f>
        <v>0</v>
      </c>
      <c r="CF84" s="137">
        <f>SUMIFS(Database!$G:$G,Database!$D:$D,"Import",Database!$E:$E,$B84,Database!$C:$C,CF$1,Database!$F:$F,"Total")</f>
        <v>0</v>
      </c>
      <c r="CG84" s="137">
        <f>SUMIFS(Database!$G:$G,Database!$D:$D,"Import",Database!$E:$E,$B84,Database!$C:$C,CG$1,Database!$F:$F,"Total")</f>
        <v>0</v>
      </c>
      <c r="CH84" s="137">
        <f>SUMIFS(Database!$G:$G,Database!$D:$D,"Import",Database!$E:$E,$B84,Database!$C:$C,CH$1,Database!$F:$F,"Total")</f>
        <v>0</v>
      </c>
      <c r="CI84" s="137">
        <f>SUMIFS(Database!$G:$G,Database!$D:$D,"Import",Database!$E:$E,$B84,Database!$C:$C,CI$1,Database!$F:$F,"Total")</f>
        <v>0</v>
      </c>
      <c r="CJ84" s="137">
        <f>SUMIFS(Database!$G:$G,Database!$D:$D,"Import",Database!$E:$E,$B84,Database!$C:$C,CJ$1,Database!$F:$F,"Total")</f>
        <v>0</v>
      </c>
      <c r="CK84" s="137">
        <f>SUMIFS(Database!$G:$G,Database!$D:$D,"Import",Database!$E:$E,$B84,Database!$C:$C,CK$1,Database!$F:$F,"Total")</f>
        <v>0</v>
      </c>
      <c r="CL84" s="137">
        <f>SUMIFS(Database!$G:$G,Database!$D:$D,"Import",Database!$E:$E,$B84,Database!$C:$C,CL$1,Database!$F:$F,"Total")</f>
        <v>0</v>
      </c>
      <c r="CM84" s="137">
        <f>SUMIFS(Database!$G:$G,Database!$D:$D,"Import",Database!$E:$E,$B84,Database!$C:$C,CM$1,Database!$F:$F,"Total")</f>
        <v>0</v>
      </c>
      <c r="CN84" s="137">
        <f>SUMIFS(Database!$G:$G,Database!$D:$D,"Import",Database!$E:$E,$B84,Database!$C:$C,CN$1,Database!$F:$F,"Total")</f>
        <v>0</v>
      </c>
      <c r="CO84" s="137">
        <f>SUMIFS(Database!$G:$G,Database!$D:$D,"Import",Database!$E:$E,$B84,Database!$C:$C,CO$1,Database!$F:$F,"Total")</f>
        <v>0</v>
      </c>
      <c r="CP84" s="137">
        <f>SUMIFS(Database!$G:$G,Database!$D:$D,"Import",Database!$E:$E,$B84,Database!$C:$C,CP$1,Database!$F:$F,"Total")</f>
        <v>0</v>
      </c>
      <c r="CQ84" s="137">
        <f>SUMIFS(Database!$G:$G,Database!$D:$D,"Import",Database!$E:$E,$B84,Database!$C:$C,CQ$1,Database!$F:$F,"Total")</f>
        <v>0</v>
      </c>
      <c r="CR84" s="137">
        <f>SUMIFS(Database!$G:$G,Database!$D:$D,"Import",Database!$E:$E,$B84,Database!$C:$C,CR$1,Database!$F:$F,"Total")</f>
        <v>0</v>
      </c>
      <c r="CS84" s="137">
        <f>SUMIFS(Database!$G:$G,Database!$D:$D,"Import",Database!$E:$E,$B84,Database!$C:$C,CS$1,Database!$F:$F,"Total")</f>
        <v>0</v>
      </c>
      <c r="CT84" s="137">
        <f>SUMIFS(Database!$G:$G,Database!$D:$D,"Import",Database!$E:$E,$B84,Database!$C:$C,CT$1,Database!$F:$F,"Total")</f>
        <v>0</v>
      </c>
      <c r="CU84" s="137">
        <f>SUMIFS(Database!$G:$G,Database!$D:$D,"Import",Database!$E:$E,$B84,Database!$C:$C,CU$1,Database!$F:$F,"Total")</f>
        <v>0</v>
      </c>
    </row>
    <row r="85" spans="1:99" x14ac:dyDescent="0.25">
      <c r="A85" s="132" t="s">
        <v>484</v>
      </c>
      <c r="B85" s="133" t="s">
        <v>94</v>
      </c>
      <c r="C85" s="137">
        <f>SUMIFS(Database!$G:$G,Database!$D:$D,"Import",Database!$E:$E,$B85,Database!$C:$C,C$1,Database!$F:$F,"Total")</f>
        <v>0</v>
      </c>
      <c r="D85" s="137">
        <f>SUMIFS(Database!$G:$G,Database!$D:$D,"Import",Database!$E:$E,$B85,Database!$C:$C,D$1,Database!$F:$F,"Total")</f>
        <v>0</v>
      </c>
      <c r="E85" s="137">
        <f>SUMIFS(Database!$G:$G,Database!$D:$D,"Import",Database!$E:$E,$B85,Database!$C:$C,E$1,Database!$F:$F,"Total")</f>
        <v>0</v>
      </c>
      <c r="F85" s="137">
        <f>SUMIFS(Database!$G:$G,Database!$D:$D,"Import",Database!$E:$E,$B85,Database!$C:$C,F$1,Database!$F:$F,"Total")</f>
        <v>0</v>
      </c>
      <c r="G85" s="137">
        <f>SUMIFS(Database!$G:$G,Database!$D:$D,"Import",Database!$E:$E,$B85,Database!$C:$C,G$1,Database!$F:$F,"Total")</f>
        <v>0</v>
      </c>
      <c r="H85" s="137">
        <f>SUMIFS(Database!$G:$G,Database!$D:$D,"Import",Database!$E:$E,$B85,Database!$C:$C,H$1,Database!$F:$F,"Total")</f>
        <v>0</v>
      </c>
      <c r="I85" s="137">
        <f>SUMIFS(Database!$G:$G,Database!$D:$D,"Import",Database!$E:$E,$B85,Database!$C:$C,I$1,Database!$F:$F,"Total")</f>
        <v>0</v>
      </c>
      <c r="J85" s="137">
        <f>SUMIFS(Database!$G:$G,Database!$D:$D,"Import",Database!$E:$E,$B85,Database!$C:$C,J$1,Database!$F:$F,"Total")</f>
        <v>0</v>
      </c>
      <c r="K85" s="137">
        <f>SUMIFS(Database!$G:$G,Database!$D:$D,"Import",Database!$E:$E,$B85,Database!$C:$C,K$1,Database!$F:$F,"Total")</f>
        <v>0</v>
      </c>
      <c r="L85" s="137">
        <f>SUMIFS(Database!$G:$G,Database!$D:$D,"Import",Database!$E:$E,$B85,Database!$C:$C,L$1,Database!$F:$F,"Total")</f>
        <v>0</v>
      </c>
      <c r="M85" s="137">
        <f>SUMIFS(Database!$G:$G,Database!$D:$D,"Import",Database!$E:$E,$B85,Database!$C:$C,M$1,Database!$F:$F,"Total")</f>
        <v>0</v>
      </c>
      <c r="N85" s="137">
        <f>SUMIFS(Database!$G:$G,Database!$D:$D,"Import",Database!$E:$E,$B85,Database!$C:$C,N$1,Database!$F:$F,"Total")</f>
        <v>0</v>
      </c>
      <c r="O85" s="137">
        <f>SUMIFS(Database!$G:$G,Database!$D:$D,"Import",Database!$E:$E,$B85,Database!$C:$C,O$1,Database!$F:$F,"Total")</f>
        <v>0</v>
      </c>
      <c r="P85" s="137">
        <f>SUMIFS(Database!$G:$G,Database!$D:$D,"Import",Database!$E:$E,$B85,Database!$C:$C,P$1,Database!$F:$F,"Total")</f>
        <v>0</v>
      </c>
      <c r="Q85" s="137">
        <f>SUMIFS(Database!$G:$G,Database!$D:$D,"Import",Database!$E:$E,$B85,Database!$C:$C,Q$1,Database!$F:$F,"Total")</f>
        <v>0</v>
      </c>
      <c r="R85" s="137">
        <f>SUMIFS(Database!$G:$G,Database!$D:$D,"Import",Database!$E:$E,$B85,Database!$C:$C,R$1,Database!$F:$F,"Total")</f>
        <v>0</v>
      </c>
      <c r="S85" s="137">
        <f>SUMIFS(Database!$G:$G,Database!$D:$D,"Import",Database!$E:$E,$B85,Database!$C:$C,S$1,Database!$F:$F,"Total")</f>
        <v>0</v>
      </c>
      <c r="T85" s="137">
        <f>SUMIFS(Database!$G:$G,Database!$D:$D,"Import",Database!$E:$E,$B85,Database!$C:$C,T$1,Database!$F:$F,"Total")</f>
        <v>0</v>
      </c>
      <c r="U85" s="137">
        <f>SUMIFS(Database!$G:$G,Database!$D:$D,"Import",Database!$E:$E,$B85,Database!$C:$C,U$1,Database!$F:$F,"Total")</f>
        <v>0</v>
      </c>
      <c r="V85" s="137">
        <f>SUMIFS(Database!$G:$G,Database!$D:$D,"Import",Database!$E:$E,$B85,Database!$C:$C,V$1,Database!$F:$F,"Total")</f>
        <v>0</v>
      </c>
      <c r="W85" s="137">
        <f>SUMIFS(Database!$G:$G,Database!$D:$D,"Import",Database!$E:$E,$B85,Database!$C:$C,W$1,Database!$F:$F,"Total")</f>
        <v>0</v>
      </c>
      <c r="X85" s="137">
        <f>SUMIFS(Database!$G:$G,Database!$D:$D,"Import",Database!$E:$E,$B85,Database!$C:$C,X$1,Database!$F:$F,"Total")</f>
        <v>0</v>
      </c>
      <c r="Y85" s="137">
        <f>SUMIFS(Database!$G:$G,Database!$D:$D,"Import",Database!$E:$E,$B85,Database!$C:$C,Y$1,Database!$F:$F,"Total")</f>
        <v>0</v>
      </c>
      <c r="Z85" s="137">
        <f>SUMIFS(Database!$G:$G,Database!$D:$D,"Import",Database!$E:$E,$B85,Database!$C:$C,Z$1,Database!$F:$F,"Total")</f>
        <v>0</v>
      </c>
      <c r="AA85" s="137">
        <f>SUMIFS(Database!$G:$G,Database!$D:$D,"Import",Database!$E:$E,$B85,Database!$C:$C,AA$1,Database!$F:$F,"Total")</f>
        <v>0</v>
      </c>
      <c r="AB85" s="137">
        <f>SUMIFS(Database!$G:$G,Database!$D:$D,"Import",Database!$E:$E,$B85,Database!$C:$C,AB$1,Database!$F:$F,"Total")</f>
        <v>0</v>
      </c>
      <c r="AC85" s="137">
        <f>SUMIFS(Database!$G:$G,Database!$D:$D,"Import",Database!$E:$E,$B85,Database!$C:$C,AC$1,Database!$F:$F,"Total")</f>
        <v>0</v>
      </c>
      <c r="AD85" s="137">
        <f>SUMIFS(Database!$G:$G,Database!$D:$D,"Import",Database!$E:$E,$B85,Database!$C:$C,AD$1,Database!$F:$F,"Total")</f>
        <v>0</v>
      </c>
      <c r="AE85" s="137">
        <f>SUMIFS(Database!$G:$G,Database!$D:$D,"Import",Database!$E:$E,$B85,Database!$C:$C,AE$1,Database!$F:$F,"Total")</f>
        <v>0</v>
      </c>
      <c r="AF85" s="137">
        <f>SUMIFS(Database!$G:$G,Database!$D:$D,"Import",Database!$E:$E,$B85,Database!$C:$C,AF$1,Database!$F:$F,"Total")</f>
        <v>0</v>
      </c>
      <c r="AG85" s="137">
        <f>SUMIFS(Database!$G:$G,Database!$D:$D,"Import",Database!$E:$E,$B85,Database!$C:$C,AG$1,Database!$F:$F,"Total")</f>
        <v>0</v>
      </c>
      <c r="AH85" s="137">
        <f>SUMIFS(Database!$G:$G,Database!$D:$D,"Import",Database!$E:$E,$B85,Database!$C:$C,AH$1,Database!$F:$F,"Total")</f>
        <v>0</v>
      </c>
      <c r="AI85" s="137">
        <f>SUMIFS(Database!$G:$G,Database!$D:$D,"Import",Database!$E:$E,$B85,Database!$C:$C,AI$1,Database!$F:$F,"Total")</f>
        <v>0</v>
      </c>
      <c r="AJ85" s="137">
        <f>SUMIFS(Database!$G:$G,Database!$D:$D,"Import",Database!$E:$E,$B85,Database!$C:$C,AJ$1,Database!$F:$F,"Total")</f>
        <v>0</v>
      </c>
      <c r="AK85" s="137">
        <f>SUMIFS(Database!$G:$G,Database!$D:$D,"Import",Database!$E:$E,$B85,Database!$C:$C,AK$1,Database!$F:$F,"Total")</f>
        <v>0</v>
      </c>
      <c r="AL85" s="137">
        <f>SUMIFS(Database!$G:$G,Database!$D:$D,"Import",Database!$E:$E,$B85,Database!$C:$C,AL$1,Database!$F:$F,"Total")</f>
        <v>0</v>
      </c>
      <c r="AM85" s="137">
        <f>SUMIFS(Database!$G:$G,Database!$D:$D,"Import",Database!$E:$E,$B85,Database!$C:$C,AM$1,Database!$F:$F,"Total")</f>
        <v>0</v>
      </c>
      <c r="AN85" s="137">
        <f>SUMIFS(Database!$G:$G,Database!$D:$D,"Import",Database!$E:$E,$B85,Database!$C:$C,AN$1,Database!$F:$F,"Total")</f>
        <v>0</v>
      </c>
      <c r="AO85" s="137">
        <f>SUMIFS(Database!$G:$G,Database!$D:$D,"Import",Database!$E:$E,$B85,Database!$C:$C,AO$1,Database!$F:$F,"Total")</f>
        <v>0</v>
      </c>
      <c r="AP85" s="137">
        <f>SUMIFS(Database!$G:$G,Database!$D:$D,"Import",Database!$E:$E,$B85,Database!$C:$C,AP$1,Database!$F:$F,"Total")</f>
        <v>47</v>
      </c>
      <c r="AQ85" s="137">
        <f>SUMIFS(Database!$G:$G,Database!$D:$D,"Import",Database!$E:$E,$B85,Database!$C:$C,AQ$1,Database!$F:$F,"Total")</f>
        <v>0</v>
      </c>
      <c r="AR85" s="137">
        <f>SUMIFS(Database!$G:$G,Database!$D:$D,"Import",Database!$E:$E,$B85,Database!$C:$C,AR$1,Database!$F:$F,"Total")</f>
        <v>0</v>
      </c>
      <c r="AS85" s="137">
        <f>SUMIFS(Database!$G:$G,Database!$D:$D,"Import",Database!$E:$E,$B85,Database!$C:$C,AS$1,Database!$F:$F,"Total")</f>
        <v>0</v>
      </c>
      <c r="AT85" s="137">
        <f>SUMIFS(Database!$G:$G,Database!$D:$D,"Import",Database!$E:$E,$B85,Database!$C:$C,AT$1,Database!$F:$F,"Total")</f>
        <v>0</v>
      </c>
      <c r="AU85" s="137">
        <f>SUMIFS(Database!$G:$G,Database!$D:$D,"Import",Database!$E:$E,$B85,Database!$C:$C,AU$1,Database!$F:$F,"Total")</f>
        <v>7519</v>
      </c>
      <c r="AV85" s="137">
        <f>SUMIFS(Database!$G:$G,Database!$D:$D,"Import",Database!$E:$E,$B85,Database!$C:$C,AV$1,Database!$F:$F,"Total")</f>
        <v>6628</v>
      </c>
      <c r="AW85" s="137">
        <f>SUMIFS(Database!$G:$G,Database!$D:$D,"Import",Database!$E:$E,$B85,Database!$C:$C,AW$1,Database!$F:$F,"Total")</f>
        <v>4329</v>
      </c>
      <c r="AX85" s="137">
        <f>SUMIFS(Database!$G:$G,Database!$D:$D,"Import",Database!$E:$E,$B85,Database!$C:$C,AX$1,Database!$F:$F,"Total")</f>
        <v>2849</v>
      </c>
      <c r="AY85" s="137">
        <f>SUMIFS(Database!$G:$G,Database!$D:$D,"Import",Database!$E:$E,$B85,Database!$C:$C,AY$1,Database!$F:$F,"Total")</f>
        <v>4476</v>
      </c>
      <c r="AZ85" s="137">
        <f>SUMIFS(Database!$G:$G,Database!$D:$D,"Import",Database!$E:$E,$B85,Database!$C:$C,AZ$1,Database!$F:$F,"Total")</f>
        <v>3352</v>
      </c>
      <c r="BA85" s="137">
        <f>SUMIFS(Database!$G:$G,Database!$D:$D,"Import",Database!$E:$E,$B85,Database!$C:$C,BA$1,Database!$F:$F,"Total")</f>
        <v>9368</v>
      </c>
      <c r="BB85" s="137">
        <f>SUMIFS(Database!$G:$G,Database!$D:$D,"Import",Database!$E:$E,$B85,Database!$C:$C,BB$1,Database!$F:$F,"Total")</f>
        <v>10694</v>
      </c>
      <c r="BC85" s="137">
        <f>SUMIFS(Database!$G:$G,Database!$D:$D,"Import",Database!$E:$E,$B85,Database!$C:$C,BC$1,Database!$F:$F,"Total")</f>
        <v>5168</v>
      </c>
      <c r="BD85" s="137">
        <f>SUMIFS(Database!$G:$G,Database!$D:$D,"Import",Database!$E:$E,$B85,Database!$C:$C,BD$1,Database!$F:$F,"Total")</f>
        <v>11275</v>
      </c>
      <c r="BE85" s="137">
        <f>SUMIFS(Database!$G:$G,Database!$D:$D,"Import",Database!$E:$E,$B85,Database!$C:$C,BE$1,Database!$F:$F,"Total")</f>
        <v>579</v>
      </c>
      <c r="BF85" s="137">
        <f>SUMIFS(Database!$G:$G,Database!$D:$D,"Import",Database!$E:$E,$B85,Database!$C:$C,BF$1,Database!$F:$F,"Total")</f>
        <v>4628</v>
      </c>
      <c r="BG85" s="137">
        <f>SUMIFS(Database!$G:$G,Database!$D:$D,"Import",Database!$E:$E,$B85,Database!$C:$C,BG$1,Database!$F:$F,"Total")</f>
        <v>601</v>
      </c>
      <c r="BH85" s="137">
        <f>SUMIFS(Database!$G:$G,Database!$D:$D,"Import",Database!$E:$E,$B85,Database!$C:$C,BH$1,Database!$F:$F,"Total")</f>
        <v>0</v>
      </c>
      <c r="BI85" s="137">
        <f>SUMIFS(Database!$G:$G,Database!$D:$D,"Import",Database!$E:$E,$B85,Database!$C:$C,BI$1,Database!$F:$F,"Total")</f>
        <v>0</v>
      </c>
      <c r="BJ85" s="137">
        <f>SUMIFS(Database!$G:$G,Database!$D:$D,"Import",Database!$E:$E,$B85,Database!$C:$C,BJ$1,Database!$F:$F,"Total")</f>
        <v>0</v>
      </c>
      <c r="BK85" s="137">
        <f>SUMIFS(Database!$G:$G,Database!$D:$D,"Import",Database!$E:$E,$B85,Database!$C:$C,BK$1,Database!$F:$F,"Total")</f>
        <v>0</v>
      </c>
      <c r="BL85" s="137">
        <f>SUMIFS(Database!$G:$G,Database!$D:$D,"Import",Database!$E:$E,$B85,Database!$C:$C,BL$1,Database!$F:$F,"Total")</f>
        <v>0</v>
      </c>
      <c r="BM85" s="137">
        <f>SUMIFS(Database!$G:$G,Database!$D:$D,"Import",Database!$E:$E,$B85,Database!$C:$C,BM$1,Database!$F:$F,"Total")</f>
        <v>0</v>
      </c>
      <c r="BN85" s="137">
        <f>SUMIFS(Database!$G:$G,Database!$D:$D,"Import",Database!$E:$E,$B85,Database!$C:$C,BN$1,Database!$F:$F,"Total")</f>
        <v>0</v>
      </c>
      <c r="BO85" s="137">
        <f>SUMIFS(Database!$G:$G,Database!$D:$D,"Import",Database!$E:$E,$B85,Database!$C:$C,BO$1,Database!$F:$F,"Total")</f>
        <v>0</v>
      </c>
      <c r="BP85" s="137">
        <f>SUMIFS(Database!$G:$G,Database!$D:$D,"Import",Database!$E:$E,$B85,Database!$C:$C,BP$1,Database!$F:$F,"Total")</f>
        <v>0</v>
      </c>
      <c r="BQ85" s="137">
        <f>SUMIFS(Database!$G:$G,Database!$D:$D,"Import",Database!$E:$E,$B85,Database!$C:$C,BQ$1,Database!$F:$F,"Total")</f>
        <v>0</v>
      </c>
      <c r="BR85" s="137">
        <f>SUMIFS(Database!$G:$G,Database!$D:$D,"Import",Database!$E:$E,$B85,Database!$C:$C,BR$1,Database!$F:$F,"Total")</f>
        <v>60</v>
      </c>
      <c r="BS85" s="137">
        <f>SUMIFS(Database!$G:$G,Database!$D:$D,"Import",Database!$E:$E,$B85,Database!$C:$C,BS$1,Database!$F:$F,"Total")</f>
        <v>0</v>
      </c>
      <c r="BT85" s="137">
        <f>SUMIFS(Database!$G:$G,Database!$D:$D,"Import",Database!$E:$E,$B85,Database!$C:$C,BT$1,Database!$F:$F,"Total")</f>
        <v>0</v>
      </c>
      <c r="BU85" s="137">
        <f>SUMIFS(Database!$G:$G,Database!$D:$D,"Import",Database!$E:$E,$B85,Database!$C:$C,BU$1,Database!$F:$F,"Total")</f>
        <v>0</v>
      </c>
      <c r="BV85" s="137">
        <f>SUMIFS(Database!$G:$G,Database!$D:$D,"Import",Database!$E:$E,$B85,Database!$C:$C,BV$1,Database!$F:$F,"Total")</f>
        <v>0</v>
      </c>
      <c r="BW85" s="137">
        <f>SUMIFS(Database!$G:$G,Database!$D:$D,"Import",Database!$E:$E,$B85,Database!$C:$C,BW$1,Database!$F:$F,"Total")</f>
        <v>0</v>
      </c>
      <c r="BX85" s="137">
        <f>SUMIFS(Database!$G:$G,Database!$D:$D,"Import",Database!$E:$E,$B85,Database!$C:$C,BX$1,Database!$F:$F,"Total")</f>
        <v>0</v>
      </c>
      <c r="BY85" s="137">
        <f>SUMIFS(Database!$G:$G,Database!$D:$D,"Import",Database!$E:$E,$B85,Database!$C:$C,BY$1,Database!$F:$F,"Total")</f>
        <v>0</v>
      </c>
      <c r="BZ85" s="137">
        <f>SUMIFS(Database!$G:$G,Database!$D:$D,"Import",Database!$E:$E,$B85,Database!$C:$C,BZ$1,Database!$F:$F,"Total")</f>
        <v>0</v>
      </c>
      <c r="CA85" s="137">
        <f>SUMIFS(Database!$G:$G,Database!$D:$D,"Import",Database!$E:$E,$B85,Database!$C:$C,CA$1,Database!$F:$F,"Total")</f>
        <v>0</v>
      </c>
      <c r="CB85" s="137">
        <f>SUMIFS(Database!$G:$G,Database!$D:$D,"Import",Database!$E:$E,$B85,Database!$C:$C,CB$1,Database!$F:$F,"Total")</f>
        <v>0</v>
      </c>
      <c r="CC85" s="137">
        <f>SUMIFS(Database!$G:$G,Database!$D:$D,"Import",Database!$E:$E,$B85,Database!$C:$C,CC$1,Database!$F:$F,"Total")</f>
        <v>0</v>
      </c>
      <c r="CD85" s="137">
        <f>SUMIFS(Database!$G:$G,Database!$D:$D,"Import",Database!$E:$E,$B85,Database!$C:$C,CD$1,Database!$F:$F,"Total")</f>
        <v>0</v>
      </c>
      <c r="CE85" s="137">
        <f>SUMIFS(Database!$G:$G,Database!$D:$D,"Import",Database!$E:$E,$B85,Database!$C:$C,CE$1,Database!$F:$F,"Total")</f>
        <v>0</v>
      </c>
      <c r="CF85" s="137">
        <f>SUMIFS(Database!$G:$G,Database!$D:$D,"Import",Database!$E:$E,$B85,Database!$C:$C,CF$1,Database!$F:$F,"Total")</f>
        <v>0</v>
      </c>
      <c r="CG85" s="137">
        <f>SUMIFS(Database!$G:$G,Database!$D:$D,"Import",Database!$E:$E,$B85,Database!$C:$C,CG$1,Database!$F:$F,"Total")</f>
        <v>0</v>
      </c>
      <c r="CH85" s="137">
        <f>SUMIFS(Database!$G:$G,Database!$D:$D,"Import",Database!$E:$E,$B85,Database!$C:$C,CH$1,Database!$F:$F,"Total")</f>
        <v>0</v>
      </c>
      <c r="CI85" s="137">
        <f>SUMIFS(Database!$G:$G,Database!$D:$D,"Import",Database!$E:$E,$B85,Database!$C:$C,CI$1,Database!$F:$F,"Total")</f>
        <v>0</v>
      </c>
      <c r="CJ85" s="137">
        <f>SUMIFS(Database!$G:$G,Database!$D:$D,"Import",Database!$E:$E,$B85,Database!$C:$C,CJ$1,Database!$F:$F,"Total")</f>
        <v>0</v>
      </c>
      <c r="CK85" s="137">
        <f>SUMIFS(Database!$G:$G,Database!$D:$D,"Import",Database!$E:$E,$B85,Database!$C:$C,CK$1,Database!$F:$F,"Total")</f>
        <v>0</v>
      </c>
      <c r="CL85" s="137">
        <f>SUMIFS(Database!$G:$G,Database!$D:$D,"Import",Database!$E:$E,$B85,Database!$C:$C,CL$1,Database!$F:$F,"Total")</f>
        <v>0</v>
      </c>
      <c r="CM85" s="137">
        <f>SUMIFS(Database!$G:$G,Database!$D:$D,"Import",Database!$E:$E,$B85,Database!$C:$C,CM$1,Database!$F:$F,"Total")</f>
        <v>0</v>
      </c>
      <c r="CN85" s="137">
        <f>SUMIFS(Database!$G:$G,Database!$D:$D,"Import",Database!$E:$E,$B85,Database!$C:$C,CN$1,Database!$F:$F,"Total")</f>
        <v>0</v>
      </c>
      <c r="CO85" s="137">
        <f>SUMIFS(Database!$G:$G,Database!$D:$D,"Import",Database!$E:$E,$B85,Database!$C:$C,CO$1,Database!$F:$F,"Total")</f>
        <v>0</v>
      </c>
      <c r="CP85" s="137">
        <f>SUMIFS(Database!$G:$G,Database!$D:$D,"Import",Database!$E:$E,$B85,Database!$C:$C,CP$1,Database!$F:$F,"Total")</f>
        <v>0</v>
      </c>
      <c r="CQ85" s="137">
        <f>SUMIFS(Database!$G:$G,Database!$D:$D,"Import",Database!$E:$E,$B85,Database!$C:$C,CQ$1,Database!$F:$F,"Total")</f>
        <v>0</v>
      </c>
      <c r="CR85" s="137">
        <f>SUMIFS(Database!$G:$G,Database!$D:$D,"Import",Database!$E:$E,$B85,Database!$C:$C,CR$1,Database!$F:$F,"Total")</f>
        <v>0</v>
      </c>
      <c r="CS85" s="137">
        <f>SUMIFS(Database!$G:$G,Database!$D:$D,"Import",Database!$E:$E,$B85,Database!$C:$C,CS$1,Database!$F:$F,"Total")</f>
        <v>0</v>
      </c>
      <c r="CT85" s="137">
        <f>SUMIFS(Database!$G:$G,Database!$D:$D,"Import",Database!$E:$E,$B85,Database!$C:$C,CT$1,Database!$F:$F,"Total")</f>
        <v>0</v>
      </c>
      <c r="CU85" s="137">
        <f>SUMIFS(Database!$G:$G,Database!$D:$D,"Import",Database!$E:$E,$B85,Database!$C:$C,CU$1,Database!$F:$F,"Total")</f>
        <v>0</v>
      </c>
    </row>
    <row r="86" spans="1:99" x14ac:dyDescent="0.25">
      <c r="A86" s="132" t="s">
        <v>484</v>
      </c>
      <c r="B86" s="133" t="s">
        <v>95</v>
      </c>
      <c r="C86" s="137">
        <f>SUMIFS(Database!$G:$G,Database!$D:$D,"Import",Database!$E:$E,$B86,Database!$C:$C,C$1,Database!$F:$F,"Total")</f>
        <v>0</v>
      </c>
      <c r="D86" s="137">
        <f>SUMIFS(Database!$G:$G,Database!$D:$D,"Import",Database!$E:$E,$B86,Database!$C:$C,D$1,Database!$F:$F,"Total")</f>
        <v>0</v>
      </c>
      <c r="E86" s="137">
        <f>SUMIFS(Database!$G:$G,Database!$D:$D,"Import",Database!$E:$E,$B86,Database!$C:$C,E$1,Database!$F:$F,"Total")</f>
        <v>0</v>
      </c>
      <c r="F86" s="137">
        <f>SUMIFS(Database!$G:$G,Database!$D:$D,"Import",Database!$E:$E,$B86,Database!$C:$C,F$1,Database!$F:$F,"Total")</f>
        <v>0</v>
      </c>
      <c r="G86" s="137">
        <f>SUMIFS(Database!$G:$G,Database!$D:$D,"Import",Database!$E:$E,$B86,Database!$C:$C,G$1,Database!$F:$F,"Total")</f>
        <v>0</v>
      </c>
      <c r="H86" s="137">
        <f>SUMIFS(Database!$G:$G,Database!$D:$D,"Import",Database!$E:$E,$B86,Database!$C:$C,H$1,Database!$F:$F,"Total")</f>
        <v>0</v>
      </c>
      <c r="I86" s="137">
        <f>SUMIFS(Database!$G:$G,Database!$D:$D,"Import",Database!$E:$E,$B86,Database!$C:$C,I$1,Database!$F:$F,"Total")</f>
        <v>0</v>
      </c>
      <c r="J86" s="137">
        <f>SUMIFS(Database!$G:$G,Database!$D:$D,"Import",Database!$E:$E,$B86,Database!$C:$C,J$1,Database!$F:$F,"Total")</f>
        <v>0</v>
      </c>
      <c r="K86" s="137">
        <f>SUMIFS(Database!$G:$G,Database!$D:$D,"Import",Database!$E:$E,$B86,Database!$C:$C,K$1,Database!$F:$F,"Total")</f>
        <v>0</v>
      </c>
      <c r="L86" s="137">
        <f>SUMIFS(Database!$G:$G,Database!$D:$D,"Import",Database!$E:$E,$B86,Database!$C:$C,L$1,Database!$F:$F,"Total")</f>
        <v>0</v>
      </c>
      <c r="M86" s="137">
        <f>SUMIFS(Database!$G:$G,Database!$D:$D,"Import",Database!$E:$E,$B86,Database!$C:$C,M$1,Database!$F:$F,"Total")</f>
        <v>0</v>
      </c>
      <c r="N86" s="137">
        <f>SUMIFS(Database!$G:$G,Database!$D:$D,"Import",Database!$E:$E,$B86,Database!$C:$C,N$1,Database!$F:$F,"Total")</f>
        <v>0</v>
      </c>
      <c r="O86" s="137">
        <f>SUMIFS(Database!$G:$G,Database!$D:$D,"Import",Database!$E:$E,$B86,Database!$C:$C,O$1,Database!$F:$F,"Total")</f>
        <v>0</v>
      </c>
      <c r="P86" s="137">
        <f>SUMIFS(Database!$G:$G,Database!$D:$D,"Import",Database!$E:$E,$B86,Database!$C:$C,P$1,Database!$F:$F,"Total")</f>
        <v>0</v>
      </c>
      <c r="Q86" s="137">
        <f>SUMIFS(Database!$G:$G,Database!$D:$D,"Import",Database!$E:$E,$B86,Database!$C:$C,Q$1,Database!$F:$F,"Total")</f>
        <v>0</v>
      </c>
      <c r="R86" s="137">
        <f>SUMIFS(Database!$G:$G,Database!$D:$D,"Import",Database!$E:$E,$B86,Database!$C:$C,R$1,Database!$F:$F,"Total")</f>
        <v>0</v>
      </c>
      <c r="S86" s="137">
        <f>SUMIFS(Database!$G:$G,Database!$D:$D,"Import",Database!$E:$E,$B86,Database!$C:$C,S$1,Database!$F:$F,"Total")</f>
        <v>0</v>
      </c>
      <c r="T86" s="137">
        <f>SUMIFS(Database!$G:$G,Database!$D:$D,"Import",Database!$E:$E,$B86,Database!$C:$C,T$1,Database!$F:$F,"Total")</f>
        <v>0</v>
      </c>
      <c r="U86" s="137">
        <f>SUMIFS(Database!$G:$G,Database!$D:$D,"Import",Database!$E:$E,$B86,Database!$C:$C,U$1,Database!$F:$F,"Total")</f>
        <v>0</v>
      </c>
      <c r="V86" s="137">
        <f>SUMIFS(Database!$G:$G,Database!$D:$D,"Import",Database!$E:$E,$B86,Database!$C:$C,V$1,Database!$F:$F,"Total")</f>
        <v>0</v>
      </c>
      <c r="W86" s="137">
        <f>SUMIFS(Database!$G:$G,Database!$D:$D,"Import",Database!$E:$E,$B86,Database!$C:$C,W$1,Database!$F:$F,"Total")</f>
        <v>0</v>
      </c>
      <c r="X86" s="137">
        <f>SUMIFS(Database!$G:$G,Database!$D:$D,"Import",Database!$E:$E,$B86,Database!$C:$C,X$1,Database!$F:$F,"Total")</f>
        <v>0</v>
      </c>
      <c r="Y86" s="137">
        <f>SUMIFS(Database!$G:$G,Database!$D:$D,"Import",Database!$E:$E,$B86,Database!$C:$C,Y$1,Database!$F:$F,"Total")</f>
        <v>0</v>
      </c>
      <c r="Z86" s="137">
        <f>SUMIFS(Database!$G:$G,Database!$D:$D,"Import",Database!$E:$E,$B86,Database!$C:$C,Z$1,Database!$F:$F,"Total")</f>
        <v>0</v>
      </c>
      <c r="AA86" s="137">
        <f>SUMIFS(Database!$G:$G,Database!$D:$D,"Import",Database!$E:$E,$B86,Database!$C:$C,AA$1,Database!$F:$F,"Total")</f>
        <v>0</v>
      </c>
      <c r="AB86" s="137">
        <f>SUMIFS(Database!$G:$G,Database!$D:$D,"Import",Database!$E:$E,$B86,Database!$C:$C,AB$1,Database!$F:$F,"Total")</f>
        <v>0</v>
      </c>
      <c r="AC86" s="137">
        <f>SUMIFS(Database!$G:$G,Database!$D:$D,"Import",Database!$E:$E,$B86,Database!$C:$C,AC$1,Database!$F:$F,"Total")</f>
        <v>0</v>
      </c>
      <c r="AD86" s="137">
        <f>SUMIFS(Database!$G:$G,Database!$D:$D,"Import",Database!$E:$E,$B86,Database!$C:$C,AD$1,Database!$F:$F,"Total")</f>
        <v>0</v>
      </c>
      <c r="AE86" s="137">
        <f>SUMIFS(Database!$G:$G,Database!$D:$D,"Import",Database!$E:$E,$B86,Database!$C:$C,AE$1,Database!$F:$F,"Total")</f>
        <v>0</v>
      </c>
      <c r="AF86" s="137">
        <f>SUMIFS(Database!$G:$G,Database!$D:$D,"Import",Database!$E:$E,$B86,Database!$C:$C,AF$1,Database!$F:$F,"Total")</f>
        <v>0</v>
      </c>
      <c r="AG86" s="137">
        <f>SUMIFS(Database!$G:$G,Database!$D:$D,"Import",Database!$E:$E,$B86,Database!$C:$C,AG$1,Database!$F:$F,"Total")</f>
        <v>0</v>
      </c>
      <c r="AH86" s="137">
        <f>SUMIFS(Database!$G:$G,Database!$D:$D,"Import",Database!$E:$E,$B86,Database!$C:$C,AH$1,Database!$F:$F,"Total")</f>
        <v>0</v>
      </c>
      <c r="AI86" s="137">
        <f>SUMIFS(Database!$G:$G,Database!$D:$D,"Import",Database!$E:$E,$B86,Database!$C:$C,AI$1,Database!$F:$F,"Total")</f>
        <v>0</v>
      </c>
      <c r="AJ86" s="137">
        <f>SUMIFS(Database!$G:$G,Database!$D:$D,"Import",Database!$E:$E,$B86,Database!$C:$C,AJ$1,Database!$F:$F,"Total")</f>
        <v>0</v>
      </c>
      <c r="AK86" s="137">
        <f>SUMIFS(Database!$G:$G,Database!$D:$D,"Import",Database!$E:$E,$B86,Database!$C:$C,AK$1,Database!$F:$F,"Total")</f>
        <v>0</v>
      </c>
      <c r="AL86" s="137">
        <f>SUMIFS(Database!$G:$G,Database!$D:$D,"Import",Database!$E:$E,$B86,Database!$C:$C,AL$1,Database!$F:$F,"Total")</f>
        <v>0</v>
      </c>
      <c r="AM86" s="137">
        <f>SUMIFS(Database!$G:$G,Database!$D:$D,"Import",Database!$E:$E,$B86,Database!$C:$C,AM$1,Database!$F:$F,"Total")</f>
        <v>0</v>
      </c>
      <c r="AN86" s="137">
        <f>SUMIFS(Database!$G:$G,Database!$D:$D,"Import",Database!$E:$E,$B86,Database!$C:$C,AN$1,Database!$F:$F,"Total")</f>
        <v>0</v>
      </c>
      <c r="AO86" s="137">
        <f>SUMIFS(Database!$G:$G,Database!$D:$D,"Import",Database!$E:$E,$B86,Database!$C:$C,AO$1,Database!$F:$F,"Total")</f>
        <v>0</v>
      </c>
      <c r="AP86" s="137">
        <f>SUMIFS(Database!$G:$G,Database!$D:$D,"Import",Database!$E:$E,$B86,Database!$C:$C,AP$1,Database!$F:$F,"Total")</f>
        <v>0</v>
      </c>
      <c r="AQ86" s="137">
        <f>SUMIFS(Database!$G:$G,Database!$D:$D,"Import",Database!$E:$E,$B86,Database!$C:$C,AQ$1,Database!$F:$F,"Total")</f>
        <v>0</v>
      </c>
      <c r="AR86" s="137">
        <f>SUMIFS(Database!$G:$G,Database!$D:$D,"Import",Database!$E:$E,$B86,Database!$C:$C,AR$1,Database!$F:$F,"Total")</f>
        <v>0</v>
      </c>
      <c r="AS86" s="137">
        <f>SUMIFS(Database!$G:$G,Database!$D:$D,"Import",Database!$E:$E,$B86,Database!$C:$C,AS$1,Database!$F:$F,"Total")</f>
        <v>0</v>
      </c>
      <c r="AT86" s="137">
        <f>SUMIFS(Database!$G:$G,Database!$D:$D,"Import",Database!$E:$E,$B86,Database!$C:$C,AT$1,Database!$F:$F,"Total")</f>
        <v>0</v>
      </c>
      <c r="AU86" s="137">
        <f>SUMIFS(Database!$G:$G,Database!$D:$D,"Import",Database!$E:$E,$B86,Database!$C:$C,AU$1,Database!$F:$F,"Total")</f>
        <v>4696</v>
      </c>
      <c r="AV86" s="137">
        <f>SUMIFS(Database!$G:$G,Database!$D:$D,"Import",Database!$E:$E,$B86,Database!$C:$C,AV$1,Database!$F:$F,"Total")</f>
        <v>3503</v>
      </c>
      <c r="AW86" s="137">
        <f>SUMIFS(Database!$G:$G,Database!$D:$D,"Import",Database!$E:$E,$B86,Database!$C:$C,AW$1,Database!$F:$F,"Total")</f>
        <v>2603</v>
      </c>
      <c r="AX86" s="137">
        <f>SUMIFS(Database!$G:$G,Database!$D:$D,"Import",Database!$E:$E,$B86,Database!$C:$C,AX$1,Database!$F:$F,"Total")</f>
        <v>1740</v>
      </c>
      <c r="AY86" s="137">
        <f>SUMIFS(Database!$G:$G,Database!$D:$D,"Import",Database!$E:$E,$B86,Database!$C:$C,AY$1,Database!$F:$F,"Total")</f>
        <v>436</v>
      </c>
      <c r="AZ86" s="137">
        <f>SUMIFS(Database!$G:$G,Database!$D:$D,"Import",Database!$E:$E,$B86,Database!$C:$C,AZ$1,Database!$F:$F,"Total")</f>
        <v>213</v>
      </c>
      <c r="BA86" s="137">
        <f>SUMIFS(Database!$G:$G,Database!$D:$D,"Import",Database!$E:$E,$B86,Database!$C:$C,BA$1,Database!$F:$F,"Total")</f>
        <v>1435</v>
      </c>
      <c r="BB86" s="137">
        <f>SUMIFS(Database!$G:$G,Database!$D:$D,"Import",Database!$E:$E,$B86,Database!$C:$C,BB$1,Database!$F:$F,"Total")</f>
        <v>3134</v>
      </c>
      <c r="BC86" s="137">
        <f>SUMIFS(Database!$G:$G,Database!$D:$D,"Import",Database!$E:$E,$B86,Database!$C:$C,BC$1,Database!$F:$F,"Total")</f>
        <v>182</v>
      </c>
      <c r="BD86" s="137">
        <f>SUMIFS(Database!$G:$G,Database!$D:$D,"Import",Database!$E:$E,$B86,Database!$C:$C,BD$1,Database!$F:$F,"Total")</f>
        <v>51</v>
      </c>
      <c r="BE86" s="137">
        <f>SUMIFS(Database!$G:$G,Database!$D:$D,"Import",Database!$E:$E,$B86,Database!$C:$C,BE$1,Database!$F:$F,"Total")</f>
        <v>195</v>
      </c>
      <c r="BF86" s="137">
        <f>SUMIFS(Database!$G:$G,Database!$D:$D,"Import",Database!$E:$E,$B86,Database!$C:$C,BF$1,Database!$F:$F,"Total")</f>
        <v>10</v>
      </c>
      <c r="BG86" s="137">
        <f>SUMIFS(Database!$G:$G,Database!$D:$D,"Import",Database!$E:$E,$B86,Database!$C:$C,BG$1,Database!$F:$F,"Total")</f>
        <v>0</v>
      </c>
      <c r="BH86" s="137">
        <f>SUMIFS(Database!$G:$G,Database!$D:$D,"Import",Database!$E:$E,$B86,Database!$C:$C,BH$1,Database!$F:$F,"Total")</f>
        <v>0</v>
      </c>
      <c r="BI86" s="137">
        <f>SUMIFS(Database!$G:$G,Database!$D:$D,"Import",Database!$E:$E,$B86,Database!$C:$C,BI$1,Database!$F:$F,"Total")</f>
        <v>0</v>
      </c>
      <c r="BJ86" s="137">
        <f>SUMIFS(Database!$G:$G,Database!$D:$D,"Import",Database!$E:$E,$B86,Database!$C:$C,BJ$1,Database!$F:$F,"Total")</f>
        <v>0</v>
      </c>
      <c r="BK86" s="137">
        <f>SUMIFS(Database!$G:$G,Database!$D:$D,"Import",Database!$E:$E,$B86,Database!$C:$C,BK$1,Database!$F:$F,"Total")</f>
        <v>0</v>
      </c>
      <c r="BL86" s="137">
        <f>SUMIFS(Database!$G:$G,Database!$D:$D,"Import",Database!$E:$E,$B86,Database!$C:$C,BL$1,Database!$F:$F,"Total")</f>
        <v>0</v>
      </c>
      <c r="BM86" s="137">
        <f>SUMIFS(Database!$G:$G,Database!$D:$D,"Import",Database!$E:$E,$B86,Database!$C:$C,BM$1,Database!$F:$F,"Total")</f>
        <v>0</v>
      </c>
      <c r="BN86" s="137">
        <f>SUMIFS(Database!$G:$G,Database!$D:$D,"Import",Database!$E:$E,$B86,Database!$C:$C,BN$1,Database!$F:$F,"Total")</f>
        <v>0</v>
      </c>
      <c r="BO86" s="137">
        <f>SUMIFS(Database!$G:$G,Database!$D:$D,"Import",Database!$E:$E,$B86,Database!$C:$C,BO$1,Database!$F:$F,"Total")</f>
        <v>0</v>
      </c>
      <c r="BP86" s="137">
        <f>SUMIFS(Database!$G:$G,Database!$D:$D,"Import",Database!$E:$E,$B86,Database!$C:$C,BP$1,Database!$F:$F,"Total")</f>
        <v>0</v>
      </c>
      <c r="BQ86" s="137">
        <f>SUMIFS(Database!$G:$G,Database!$D:$D,"Import",Database!$E:$E,$B86,Database!$C:$C,BQ$1,Database!$F:$F,"Total")</f>
        <v>0</v>
      </c>
      <c r="BR86" s="137">
        <f>SUMIFS(Database!$G:$G,Database!$D:$D,"Import",Database!$E:$E,$B86,Database!$C:$C,BR$1,Database!$F:$F,"Total")</f>
        <v>0</v>
      </c>
      <c r="BS86" s="137">
        <f>SUMIFS(Database!$G:$G,Database!$D:$D,"Import",Database!$E:$E,$B86,Database!$C:$C,BS$1,Database!$F:$F,"Total")</f>
        <v>0</v>
      </c>
      <c r="BT86" s="137">
        <f>SUMIFS(Database!$G:$G,Database!$D:$D,"Import",Database!$E:$E,$B86,Database!$C:$C,BT$1,Database!$F:$F,"Total")</f>
        <v>0</v>
      </c>
      <c r="BU86" s="137">
        <f>SUMIFS(Database!$G:$G,Database!$D:$D,"Import",Database!$E:$E,$B86,Database!$C:$C,BU$1,Database!$F:$F,"Total")</f>
        <v>0</v>
      </c>
      <c r="BV86" s="137">
        <f>SUMIFS(Database!$G:$G,Database!$D:$D,"Import",Database!$E:$E,$B86,Database!$C:$C,BV$1,Database!$F:$F,"Total")</f>
        <v>0</v>
      </c>
      <c r="BW86" s="137">
        <f>SUMIFS(Database!$G:$G,Database!$D:$D,"Import",Database!$E:$E,$B86,Database!$C:$C,BW$1,Database!$F:$F,"Total")</f>
        <v>0</v>
      </c>
      <c r="BX86" s="137">
        <f>SUMIFS(Database!$G:$G,Database!$D:$D,"Import",Database!$E:$E,$B86,Database!$C:$C,BX$1,Database!$F:$F,"Total")</f>
        <v>0</v>
      </c>
      <c r="BY86" s="137">
        <f>SUMIFS(Database!$G:$G,Database!$D:$D,"Import",Database!$E:$E,$B86,Database!$C:$C,BY$1,Database!$F:$F,"Total")</f>
        <v>0</v>
      </c>
      <c r="BZ86" s="137">
        <f>SUMIFS(Database!$G:$G,Database!$D:$D,"Import",Database!$E:$E,$B86,Database!$C:$C,BZ$1,Database!$F:$F,"Total")</f>
        <v>0</v>
      </c>
      <c r="CA86" s="137">
        <f>SUMIFS(Database!$G:$G,Database!$D:$D,"Import",Database!$E:$E,$B86,Database!$C:$C,CA$1,Database!$F:$F,"Total")</f>
        <v>0</v>
      </c>
      <c r="CB86" s="137">
        <f>SUMIFS(Database!$G:$G,Database!$D:$D,"Import",Database!$E:$E,$B86,Database!$C:$C,CB$1,Database!$F:$F,"Total")</f>
        <v>0</v>
      </c>
      <c r="CC86" s="137">
        <f>SUMIFS(Database!$G:$G,Database!$D:$D,"Import",Database!$E:$E,$B86,Database!$C:$C,CC$1,Database!$F:$F,"Total")</f>
        <v>0</v>
      </c>
      <c r="CD86" s="137">
        <f>SUMIFS(Database!$G:$G,Database!$D:$D,"Import",Database!$E:$E,$B86,Database!$C:$C,CD$1,Database!$F:$F,"Total")</f>
        <v>0</v>
      </c>
      <c r="CE86" s="137">
        <f>SUMIFS(Database!$G:$G,Database!$D:$D,"Import",Database!$E:$E,$B86,Database!$C:$C,CE$1,Database!$F:$F,"Total")</f>
        <v>0</v>
      </c>
      <c r="CF86" s="137">
        <f>SUMIFS(Database!$G:$G,Database!$D:$D,"Import",Database!$E:$E,$B86,Database!$C:$C,CF$1,Database!$F:$F,"Total")</f>
        <v>0</v>
      </c>
      <c r="CG86" s="137">
        <f>SUMIFS(Database!$G:$G,Database!$D:$D,"Import",Database!$E:$E,$B86,Database!$C:$C,CG$1,Database!$F:$F,"Total")</f>
        <v>0</v>
      </c>
      <c r="CH86" s="137">
        <f>SUMIFS(Database!$G:$G,Database!$D:$D,"Import",Database!$E:$E,$B86,Database!$C:$C,CH$1,Database!$F:$F,"Total")</f>
        <v>0</v>
      </c>
      <c r="CI86" s="137">
        <f>SUMIFS(Database!$G:$G,Database!$D:$D,"Import",Database!$E:$E,$B86,Database!$C:$C,CI$1,Database!$F:$F,"Total")</f>
        <v>0</v>
      </c>
      <c r="CJ86" s="137">
        <f>SUMIFS(Database!$G:$G,Database!$D:$D,"Import",Database!$E:$E,$B86,Database!$C:$C,CJ$1,Database!$F:$F,"Total")</f>
        <v>0</v>
      </c>
      <c r="CK86" s="137">
        <f>SUMIFS(Database!$G:$G,Database!$D:$D,"Import",Database!$E:$E,$B86,Database!$C:$C,CK$1,Database!$F:$F,"Total")</f>
        <v>0</v>
      </c>
      <c r="CL86" s="137">
        <f>SUMIFS(Database!$G:$G,Database!$D:$D,"Import",Database!$E:$E,$B86,Database!$C:$C,CL$1,Database!$F:$F,"Total")</f>
        <v>0</v>
      </c>
      <c r="CM86" s="137">
        <f>SUMIFS(Database!$G:$G,Database!$D:$D,"Import",Database!$E:$E,$B86,Database!$C:$C,CM$1,Database!$F:$F,"Total")</f>
        <v>0</v>
      </c>
      <c r="CN86" s="137">
        <f>SUMIFS(Database!$G:$G,Database!$D:$D,"Import",Database!$E:$E,$B86,Database!$C:$C,CN$1,Database!$F:$F,"Total")</f>
        <v>0</v>
      </c>
      <c r="CO86" s="137">
        <f>SUMIFS(Database!$G:$G,Database!$D:$D,"Import",Database!$E:$E,$B86,Database!$C:$C,CO$1,Database!$F:$F,"Total")</f>
        <v>0</v>
      </c>
      <c r="CP86" s="137">
        <f>SUMIFS(Database!$G:$G,Database!$D:$D,"Import",Database!$E:$E,$B86,Database!$C:$C,CP$1,Database!$F:$F,"Total")</f>
        <v>0</v>
      </c>
      <c r="CQ86" s="137">
        <f>SUMIFS(Database!$G:$G,Database!$D:$D,"Import",Database!$E:$E,$B86,Database!$C:$C,CQ$1,Database!$F:$F,"Total")</f>
        <v>0</v>
      </c>
      <c r="CR86" s="137">
        <f>SUMIFS(Database!$G:$G,Database!$D:$D,"Import",Database!$E:$E,$B86,Database!$C:$C,CR$1,Database!$F:$F,"Total")</f>
        <v>0</v>
      </c>
      <c r="CS86" s="137">
        <f>SUMIFS(Database!$G:$G,Database!$D:$D,"Import",Database!$E:$E,$B86,Database!$C:$C,CS$1,Database!$F:$F,"Total")</f>
        <v>0</v>
      </c>
      <c r="CT86" s="137">
        <f>SUMIFS(Database!$G:$G,Database!$D:$D,"Import",Database!$E:$E,$B86,Database!$C:$C,CT$1,Database!$F:$F,"Total")</f>
        <v>0</v>
      </c>
      <c r="CU86" s="137">
        <f>SUMIFS(Database!$G:$G,Database!$D:$D,"Import",Database!$E:$E,$B86,Database!$C:$C,CU$1,Database!$F:$F,"Total")</f>
        <v>0</v>
      </c>
    </row>
    <row r="87" spans="1:99" x14ac:dyDescent="0.25">
      <c r="A87" s="132" t="s">
        <v>484</v>
      </c>
      <c r="B87" s="133" t="s">
        <v>96</v>
      </c>
      <c r="C87" s="137">
        <f>SUMIFS(Database!$G:$G,Database!$D:$D,"Import",Database!$E:$E,$B87,Database!$C:$C,C$1,Database!$F:$F,"Total")</f>
        <v>0</v>
      </c>
      <c r="D87" s="137">
        <f>SUMIFS(Database!$G:$G,Database!$D:$D,"Import",Database!$E:$E,$B87,Database!$C:$C,D$1,Database!$F:$F,"Total")</f>
        <v>0</v>
      </c>
      <c r="E87" s="137">
        <f>SUMIFS(Database!$G:$G,Database!$D:$D,"Import",Database!$E:$E,$B87,Database!$C:$C,E$1,Database!$F:$F,"Total")</f>
        <v>0</v>
      </c>
      <c r="F87" s="137">
        <f>SUMIFS(Database!$G:$G,Database!$D:$D,"Import",Database!$E:$E,$B87,Database!$C:$C,F$1,Database!$F:$F,"Total")</f>
        <v>0</v>
      </c>
      <c r="G87" s="137">
        <f>SUMIFS(Database!$G:$G,Database!$D:$D,"Import",Database!$E:$E,$B87,Database!$C:$C,G$1,Database!$F:$F,"Total")</f>
        <v>0</v>
      </c>
      <c r="H87" s="137">
        <f>SUMIFS(Database!$G:$G,Database!$D:$D,"Import",Database!$E:$E,$B87,Database!$C:$C,H$1,Database!$F:$F,"Total")</f>
        <v>0</v>
      </c>
      <c r="I87" s="137">
        <f>SUMIFS(Database!$G:$G,Database!$D:$D,"Import",Database!$E:$E,$B87,Database!$C:$C,I$1,Database!$F:$F,"Total")</f>
        <v>0</v>
      </c>
      <c r="J87" s="137">
        <f>SUMIFS(Database!$G:$G,Database!$D:$D,"Import",Database!$E:$E,$B87,Database!$C:$C,J$1,Database!$F:$F,"Total")</f>
        <v>0</v>
      </c>
      <c r="K87" s="137">
        <f>SUMIFS(Database!$G:$G,Database!$D:$D,"Import",Database!$E:$E,$B87,Database!$C:$C,K$1,Database!$F:$F,"Total")</f>
        <v>0</v>
      </c>
      <c r="L87" s="137">
        <f>SUMIFS(Database!$G:$G,Database!$D:$D,"Import",Database!$E:$E,$B87,Database!$C:$C,L$1,Database!$F:$F,"Total")</f>
        <v>0</v>
      </c>
      <c r="M87" s="137">
        <f>SUMIFS(Database!$G:$G,Database!$D:$D,"Import",Database!$E:$E,$B87,Database!$C:$C,M$1,Database!$F:$F,"Total")</f>
        <v>0</v>
      </c>
      <c r="N87" s="137">
        <f>SUMIFS(Database!$G:$G,Database!$D:$D,"Import",Database!$E:$E,$B87,Database!$C:$C,N$1,Database!$F:$F,"Total")</f>
        <v>0</v>
      </c>
      <c r="O87" s="137">
        <f>SUMIFS(Database!$G:$G,Database!$D:$D,"Import",Database!$E:$E,$B87,Database!$C:$C,O$1,Database!$F:$F,"Total")</f>
        <v>0</v>
      </c>
      <c r="P87" s="137">
        <f>SUMIFS(Database!$G:$G,Database!$D:$D,"Import",Database!$E:$E,$B87,Database!$C:$C,P$1,Database!$F:$F,"Total")</f>
        <v>0</v>
      </c>
      <c r="Q87" s="137">
        <f>SUMIFS(Database!$G:$G,Database!$D:$D,"Import",Database!$E:$E,$B87,Database!$C:$C,Q$1,Database!$F:$F,"Total")</f>
        <v>0</v>
      </c>
      <c r="R87" s="137">
        <f>SUMIFS(Database!$G:$G,Database!$D:$D,"Import",Database!$E:$E,$B87,Database!$C:$C,R$1,Database!$F:$F,"Total")</f>
        <v>0</v>
      </c>
      <c r="S87" s="137">
        <f>SUMIFS(Database!$G:$G,Database!$D:$D,"Import",Database!$E:$E,$B87,Database!$C:$C,S$1,Database!$F:$F,"Total")</f>
        <v>0</v>
      </c>
      <c r="T87" s="137">
        <f>SUMIFS(Database!$G:$G,Database!$D:$D,"Import",Database!$E:$E,$B87,Database!$C:$C,T$1,Database!$F:$F,"Total")</f>
        <v>0</v>
      </c>
      <c r="U87" s="137">
        <f>SUMIFS(Database!$G:$G,Database!$D:$D,"Import",Database!$E:$E,$B87,Database!$C:$C,U$1,Database!$F:$F,"Total")</f>
        <v>0</v>
      </c>
      <c r="V87" s="137">
        <f>SUMIFS(Database!$G:$G,Database!$D:$D,"Import",Database!$E:$E,$B87,Database!$C:$C,V$1,Database!$F:$F,"Total")</f>
        <v>0</v>
      </c>
      <c r="W87" s="137">
        <f>SUMIFS(Database!$G:$G,Database!$D:$D,"Import",Database!$E:$E,$B87,Database!$C:$C,W$1,Database!$F:$F,"Total")</f>
        <v>0</v>
      </c>
      <c r="X87" s="137">
        <f>SUMIFS(Database!$G:$G,Database!$D:$D,"Import",Database!$E:$E,$B87,Database!$C:$C,X$1,Database!$F:$F,"Total")</f>
        <v>0</v>
      </c>
      <c r="Y87" s="137">
        <f>SUMIFS(Database!$G:$G,Database!$D:$D,"Import",Database!$E:$E,$B87,Database!$C:$C,Y$1,Database!$F:$F,"Total")</f>
        <v>0</v>
      </c>
      <c r="Z87" s="137">
        <f>SUMIFS(Database!$G:$G,Database!$D:$D,"Import",Database!$E:$E,$B87,Database!$C:$C,Z$1,Database!$F:$F,"Total")</f>
        <v>0</v>
      </c>
      <c r="AA87" s="137">
        <f>SUMIFS(Database!$G:$G,Database!$D:$D,"Import",Database!$E:$E,$B87,Database!$C:$C,AA$1,Database!$F:$F,"Total")</f>
        <v>0</v>
      </c>
      <c r="AB87" s="137">
        <f>SUMIFS(Database!$G:$G,Database!$D:$D,"Import",Database!$E:$E,$B87,Database!$C:$C,AB$1,Database!$F:$F,"Total")</f>
        <v>0</v>
      </c>
      <c r="AC87" s="137">
        <f>SUMIFS(Database!$G:$G,Database!$D:$D,"Import",Database!$E:$E,$B87,Database!$C:$C,AC$1,Database!$F:$F,"Total")</f>
        <v>0</v>
      </c>
      <c r="AD87" s="137">
        <f>SUMIFS(Database!$G:$G,Database!$D:$D,"Import",Database!$E:$E,$B87,Database!$C:$C,AD$1,Database!$F:$F,"Total")</f>
        <v>0</v>
      </c>
      <c r="AE87" s="137">
        <f>SUMIFS(Database!$G:$G,Database!$D:$D,"Import",Database!$E:$E,$B87,Database!$C:$C,AE$1,Database!$F:$F,"Total")</f>
        <v>0</v>
      </c>
      <c r="AF87" s="137">
        <f>SUMIFS(Database!$G:$G,Database!$D:$D,"Import",Database!$E:$E,$B87,Database!$C:$C,AF$1,Database!$F:$F,"Total")</f>
        <v>0</v>
      </c>
      <c r="AG87" s="137">
        <f>SUMIFS(Database!$G:$G,Database!$D:$D,"Import",Database!$E:$E,$B87,Database!$C:$C,AG$1,Database!$F:$F,"Total")</f>
        <v>0</v>
      </c>
      <c r="AH87" s="137">
        <f>SUMIFS(Database!$G:$G,Database!$D:$D,"Import",Database!$E:$E,$B87,Database!$C:$C,AH$1,Database!$F:$F,"Total")</f>
        <v>0</v>
      </c>
      <c r="AI87" s="137">
        <f>SUMIFS(Database!$G:$G,Database!$D:$D,"Import",Database!$E:$E,$B87,Database!$C:$C,AI$1,Database!$F:$F,"Total")</f>
        <v>0</v>
      </c>
      <c r="AJ87" s="137">
        <f>SUMIFS(Database!$G:$G,Database!$D:$D,"Import",Database!$E:$E,$B87,Database!$C:$C,AJ$1,Database!$F:$F,"Total")</f>
        <v>0</v>
      </c>
      <c r="AK87" s="137">
        <f>SUMIFS(Database!$G:$G,Database!$D:$D,"Import",Database!$E:$E,$B87,Database!$C:$C,AK$1,Database!$F:$F,"Total")</f>
        <v>0</v>
      </c>
      <c r="AL87" s="137">
        <f>SUMIFS(Database!$G:$G,Database!$D:$D,"Import",Database!$E:$E,$B87,Database!$C:$C,AL$1,Database!$F:$F,"Total")</f>
        <v>0</v>
      </c>
      <c r="AM87" s="137">
        <f>SUMIFS(Database!$G:$G,Database!$D:$D,"Import",Database!$E:$E,$B87,Database!$C:$C,AM$1,Database!$F:$F,"Total")</f>
        <v>0</v>
      </c>
      <c r="AN87" s="137">
        <f>SUMIFS(Database!$G:$G,Database!$D:$D,"Import",Database!$E:$E,$B87,Database!$C:$C,AN$1,Database!$F:$F,"Total")</f>
        <v>0</v>
      </c>
      <c r="AO87" s="137">
        <f>SUMIFS(Database!$G:$G,Database!$D:$D,"Import",Database!$E:$E,$B87,Database!$C:$C,AO$1,Database!$F:$F,"Total")</f>
        <v>0</v>
      </c>
      <c r="AP87" s="137">
        <f>SUMIFS(Database!$G:$G,Database!$D:$D,"Import",Database!$E:$E,$B87,Database!$C:$C,AP$1,Database!$F:$F,"Total")</f>
        <v>0</v>
      </c>
      <c r="AQ87" s="137">
        <f>SUMIFS(Database!$G:$G,Database!$D:$D,"Import",Database!$E:$E,$B87,Database!$C:$C,AQ$1,Database!$F:$F,"Total")</f>
        <v>0</v>
      </c>
      <c r="AR87" s="137">
        <f>SUMIFS(Database!$G:$G,Database!$D:$D,"Import",Database!$E:$E,$B87,Database!$C:$C,AR$1,Database!$F:$F,"Total")</f>
        <v>0</v>
      </c>
      <c r="AS87" s="137">
        <f>SUMIFS(Database!$G:$G,Database!$D:$D,"Import",Database!$E:$E,$B87,Database!$C:$C,AS$1,Database!$F:$F,"Total")</f>
        <v>0</v>
      </c>
      <c r="AT87" s="137">
        <f>SUMIFS(Database!$G:$G,Database!$D:$D,"Import",Database!$E:$E,$B87,Database!$C:$C,AT$1,Database!$F:$F,"Total")</f>
        <v>0</v>
      </c>
      <c r="AU87" s="137">
        <f>SUMIFS(Database!$G:$G,Database!$D:$D,"Import",Database!$E:$E,$B87,Database!$C:$C,AU$1,Database!$F:$F,"Total")</f>
        <v>0</v>
      </c>
      <c r="AV87" s="137">
        <f>SUMIFS(Database!$G:$G,Database!$D:$D,"Import",Database!$E:$E,$B87,Database!$C:$C,AV$1,Database!$F:$F,"Total")</f>
        <v>0</v>
      </c>
      <c r="AW87" s="137">
        <f>SUMIFS(Database!$G:$G,Database!$D:$D,"Import",Database!$E:$E,$B87,Database!$C:$C,AW$1,Database!$F:$F,"Total")</f>
        <v>0</v>
      </c>
      <c r="AX87" s="137">
        <f>SUMIFS(Database!$G:$G,Database!$D:$D,"Import",Database!$E:$E,$B87,Database!$C:$C,AX$1,Database!$F:$F,"Total")</f>
        <v>0</v>
      </c>
      <c r="AY87" s="137">
        <f>SUMIFS(Database!$G:$G,Database!$D:$D,"Import",Database!$E:$E,$B87,Database!$C:$C,AY$1,Database!$F:$F,"Total")</f>
        <v>0</v>
      </c>
      <c r="AZ87" s="137">
        <f>SUMIFS(Database!$G:$G,Database!$D:$D,"Import",Database!$E:$E,$B87,Database!$C:$C,AZ$1,Database!$F:$F,"Total")</f>
        <v>0</v>
      </c>
      <c r="BA87" s="137">
        <f>SUMIFS(Database!$G:$G,Database!$D:$D,"Import",Database!$E:$E,$B87,Database!$C:$C,BA$1,Database!$F:$F,"Total")</f>
        <v>0</v>
      </c>
      <c r="BB87" s="137">
        <f>SUMIFS(Database!$G:$G,Database!$D:$D,"Import",Database!$E:$E,$B87,Database!$C:$C,BB$1,Database!$F:$F,"Total")</f>
        <v>0</v>
      </c>
      <c r="BC87" s="137">
        <f>SUMIFS(Database!$G:$G,Database!$D:$D,"Import",Database!$E:$E,$B87,Database!$C:$C,BC$1,Database!$F:$F,"Total")</f>
        <v>0</v>
      </c>
      <c r="BD87" s="137">
        <f>SUMIFS(Database!$G:$G,Database!$D:$D,"Import",Database!$E:$E,$B87,Database!$C:$C,BD$1,Database!$F:$F,"Total")</f>
        <v>0</v>
      </c>
      <c r="BE87" s="137">
        <f>SUMIFS(Database!$G:$G,Database!$D:$D,"Import",Database!$E:$E,$B87,Database!$C:$C,BE$1,Database!$F:$F,"Total")</f>
        <v>0</v>
      </c>
      <c r="BF87" s="137">
        <f>SUMIFS(Database!$G:$G,Database!$D:$D,"Import",Database!$E:$E,$B87,Database!$C:$C,BF$1,Database!$F:$F,"Total")</f>
        <v>0</v>
      </c>
      <c r="BG87" s="137">
        <f>SUMIFS(Database!$G:$G,Database!$D:$D,"Import",Database!$E:$E,$B87,Database!$C:$C,BG$1,Database!$F:$F,"Total")</f>
        <v>0</v>
      </c>
      <c r="BH87" s="137">
        <f>SUMIFS(Database!$G:$G,Database!$D:$D,"Import",Database!$E:$E,$B87,Database!$C:$C,BH$1,Database!$F:$F,"Total")</f>
        <v>0</v>
      </c>
      <c r="BI87" s="137">
        <f>SUMIFS(Database!$G:$G,Database!$D:$D,"Import",Database!$E:$E,$B87,Database!$C:$C,BI$1,Database!$F:$F,"Total")</f>
        <v>0</v>
      </c>
      <c r="BJ87" s="137">
        <f>SUMIFS(Database!$G:$G,Database!$D:$D,"Import",Database!$E:$E,$B87,Database!$C:$C,BJ$1,Database!$F:$F,"Total")</f>
        <v>0</v>
      </c>
      <c r="BK87" s="137">
        <f>SUMIFS(Database!$G:$G,Database!$D:$D,"Import",Database!$E:$E,$B87,Database!$C:$C,BK$1,Database!$F:$F,"Total")</f>
        <v>0</v>
      </c>
      <c r="BL87" s="137">
        <f>SUMIFS(Database!$G:$G,Database!$D:$D,"Import",Database!$E:$E,$B87,Database!$C:$C,BL$1,Database!$F:$F,"Total")</f>
        <v>0</v>
      </c>
      <c r="BM87" s="137">
        <f>SUMIFS(Database!$G:$G,Database!$D:$D,"Import",Database!$E:$E,$B87,Database!$C:$C,BM$1,Database!$F:$F,"Total")</f>
        <v>0</v>
      </c>
      <c r="BN87" s="137">
        <f>SUMIFS(Database!$G:$G,Database!$D:$D,"Import",Database!$E:$E,$B87,Database!$C:$C,BN$1,Database!$F:$F,"Total")</f>
        <v>3288</v>
      </c>
      <c r="BO87" s="137">
        <f>SUMIFS(Database!$G:$G,Database!$D:$D,"Import",Database!$E:$E,$B87,Database!$C:$C,BO$1,Database!$F:$F,"Total")</f>
        <v>0</v>
      </c>
      <c r="BP87" s="137">
        <f>SUMIFS(Database!$G:$G,Database!$D:$D,"Import",Database!$E:$E,$B87,Database!$C:$C,BP$1,Database!$F:$F,"Total")</f>
        <v>4082</v>
      </c>
      <c r="BQ87" s="137">
        <f>SUMIFS(Database!$G:$G,Database!$D:$D,"Import",Database!$E:$E,$B87,Database!$C:$C,BQ$1,Database!$F:$F,"Total")</f>
        <v>8568.5</v>
      </c>
      <c r="BR87" s="137">
        <f>SUMIFS(Database!$G:$G,Database!$D:$D,"Import",Database!$E:$E,$B87,Database!$C:$C,BR$1,Database!$F:$F,"Total")</f>
        <v>0</v>
      </c>
      <c r="BS87" s="137">
        <f>SUMIFS(Database!$G:$G,Database!$D:$D,"Import",Database!$E:$E,$B87,Database!$C:$C,BS$1,Database!$F:$F,"Total")</f>
        <v>10163</v>
      </c>
      <c r="BT87" s="137">
        <f>SUMIFS(Database!$G:$G,Database!$D:$D,"Import",Database!$E:$E,$B87,Database!$C:$C,BT$1,Database!$F:$F,"Total")</f>
        <v>17687</v>
      </c>
      <c r="BU87" s="137">
        <f>SUMIFS(Database!$G:$G,Database!$D:$D,"Import",Database!$E:$E,$B87,Database!$C:$C,BU$1,Database!$F:$F,"Total")</f>
        <v>8592</v>
      </c>
      <c r="BV87" s="137">
        <f>SUMIFS(Database!$G:$G,Database!$D:$D,"Import",Database!$E:$E,$B87,Database!$C:$C,BV$1,Database!$F:$F,"Total")</f>
        <v>0</v>
      </c>
      <c r="BW87" s="137">
        <f>SUMIFS(Database!$G:$G,Database!$D:$D,"Import",Database!$E:$E,$B87,Database!$C:$C,BW$1,Database!$F:$F,"Total")</f>
        <v>0</v>
      </c>
      <c r="BX87" s="137">
        <f>SUMIFS(Database!$G:$G,Database!$D:$D,"Import",Database!$E:$E,$B87,Database!$C:$C,BX$1,Database!$F:$F,"Total")</f>
        <v>0</v>
      </c>
      <c r="BY87" s="137">
        <f>SUMIFS(Database!$G:$G,Database!$D:$D,"Import",Database!$E:$E,$B87,Database!$C:$C,BY$1,Database!$F:$F,"Total")</f>
        <v>0</v>
      </c>
      <c r="BZ87" s="137">
        <f>SUMIFS(Database!$G:$G,Database!$D:$D,"Import",Database!$E:$E,$B87,Database!$C:$C,BZ$1,Database!$F:$F,"Total")</f>
        <v>0</v>
      </c>
      <c r="CA87" s="137">
        <f>SUMIFS(Database!$G:$G,Database!$D:$D,"Import",Database!$E:$E,$B87,Database!$C:$C,CA$1,Database!$F:$F,"Total")</f>
        <v>0</v>
      </c>
      <c r="CB87" s="137">
        <f>SUMIFS(Database!$G:$G,Database!$D:$D,"Import",Database!$E:$E,$B87,Database!$C:$C,CB$1,Database!$F:$F,"Total")</f>
        <v>0</v>
      </c>
      <c r="CC87" s="137">
        <f>SUMIFS(Database!$G:$G,Database!$D:$D,"Import",Database!$E:$E,$B87,Database!$C:$C,CC$1,Database!$F:$F,"Total")</f>
        <v>0</v>
      </c>
      <c r="CD87" s="137">
        <f>SUMIFS(Database!$G:$G,Database!$D:$D,"Import",Database!$E:$E,$B87,Database!$C:$C,CD$1,Database!$F:$F,"Total")</f>
        <v>0</v>
      </c>
      <c r="CE87" s="137">
        <f>SUMIFS(Database!$G:$G,Database!$D:$D,"Import",Database!$E:$E,$B87,Database!$C:$C,CE$1,Database!$F:$F,"Total")</f>
        <v>0</v>
      </c>
      <c r="CF87" s="137">
        <f>SUMIFS(Database!$G:$G,Database!$D:$D,"Import",Database!$E:$E,$B87,Database!$C:$C,CF$1,Database!$F:$F,"Total")</f>
        <v>0</v>
      </c>
      <c r="CG87" s="137">
        <f>SUMIFS(Database!$G:$G,Database!$D:$D,"Import",Database!$E:$E,$B87,Database!$C:$C,CG$1,Database!$F:$F,"Total")</f>
        <v>0</v>
      </c>
      <c r="CH87" s="137">
        <f>SUMIFS(Database!$G:$G,Database!$D:$D,"Import",Database!$E:$E,$B87,Database!$C:$C,CH$1,Database!$F:$F,"Total")</f>
        <v>0</v>
      </c>
      <c r="CI87" s="137">
        <f>SUMIFS(Database!$G:$G,Database!$D:$D,"Import",Database!$E:$E,$B87,Database!$C:$C,CI$1,Database!$F:$F,"Total")</f>
        <v>0</v>
      </c>
      <c r="CJ87" s="137">
        <f>SUMIFS(Database!$G:$G,Database!$D:$D,"Import",Database!$E:$E,$B87,Database!$C:$C,CJ$1,Database!$F:$F,"Total")</f>
        <v>0</v>
      </c>
      <c r="CK87" s="137">
        <f>SUMIFS(Database!$G:$G,Database!$D:$D,"Import",Database!$E:$E,$B87,Database!$C:$C,CK$1,Database!$F:$F,"Total")</f>
        <v>0</v>
      </c>
      <c r="CL87" s="137">
        <f>SUMIFS(Database!$G:$G,Database!$D:$D,"Import",Database!$E:$E,$B87,Database!$C:$C,CL$1,Database!$F:$F,"Total")</f>
        <v>0</v>
      </c>
      <c r="CM87" s="137">
        <f>SUMIFS(Database!$G:$G,Database!$D:$D,"Import",Database!$E:$E,$B87,Database!$C:$C,CM$1,Database!$F:$F,"Total")</f>
        <v>0</v>
      </c>
      <c r="CN87" s="137">
        <f>SUMIFS(Database!$G:$G,Database!$D:$D,"Import",Database!$E:$E,$B87,Database!$C:$C,CN$1,Database!$F:$F,"Total")</f>
        <v>0</v>
      </c>
      <c r="CO87" s="137">
        <f>SUMIFS(Database!$G:$G,Database!$D:$D,"Import",Database!$E:$E,$B87,Database!$C:$C,CO$1,Database!$F:$F,"Total")</f>
        <v>0</v>
      </c>
      <c r="CP87" s="137">
        <f>SUMIFS(Database!$G:$G,Database!$D:$D,"Import",Database!$E:$E,$B87,Database!$C:$C,CP$1,Database!$F:$F,"Total")</f>
        <v>0</v>
      </c>
      <c r="CQ87" s="137">
        <f>SUMIFS(Database!$G:$G,Database!$D:$D,"Import",Database!$E:$E,$B87,Database!$C:$C,CQ$1,Database!$F:$F,"Total")</f>
        <v>0</v>
      </c>
      <c r="CR87" s="137">
        <f>SUMIFS(Database!$G:$G,Database!$D:$D,"Import",Database!$E:$E,$B87,Database!$C:$C,CR$1,Database!$F:$F,"Total")</f>
        <v>0</v>
      </c>
      <c r="CS87" s="137">
        <f>SUMIFS(Database!$G:$G,Database!$D:$D,"Import",Database!$E:$E,$B87,Database!$C:$C,CS$1,Database!$F:$F,"Total")</f>
        <v>0</v>
      </c>
      <c r="CT87" s="137">
        <f>SUMIFS(Database!$G:$G,Database!$D:$D,"Import",Database!$E:$E,$B87,Database!$C:$C,CT$1,Database!$F:$F,"Total")</f>
        <v>0</v>
      </c>
      <c r="CU87" s="137">
        <f>SUMIFS(Database!$G:$G,Database!$D:$D,"Import",Database!$E:$E,$B87,Database!$C:$C,CU$1,Database!$F:$F,"Total")</f>
        <v>0</v>
      </c>
    </row>
    <row r="88" spans="1:99" x14ac:dyDescent="0.25">
      <c r="A88" s="132" t="s">
        <v>484</v>
      </c>
      <c r="B88" s="133" t="s">
        <v>459</v>
      </c>
      <c r="C88" s="137">
        <f>SUMIFS(Database!$G:$G,Database!$D:$D,"Import",Database!$E:$E,$B88,Database!$C:$C,C$1,Database!$F:$F,"Total")</f>
        <v>0</v>
      </c>
      <c r="D88" s="137">
        <f>SUMIFS(Database!$G:$G,Database!$D:$D,"Import",Database!$E:$E,$B88,Database!$C:$C,D$1,Database!$F:$F,"Total")</f>
        <v>0</v>
      </c>
      <c r="E88" s="137">
        <f>SUMIFS(Database!$G:$G,Database!$D:$D,"Import",Database!$E:$E,$B88,Database!$C:$C,E$1,Database!$F:$F,"Total")</f>
        <v>0</v>
      </c>
      <c r="F88" s="137">
        <f>SUMIFS(Database!$G:$G,Database!$D:$D,"Import",Database!$E:$E,$B88,Database!$C:$C,F$1,Database!$F:$F,"Total")</f>
        <v>0</v>
      </c>
      <c r="G88" s="137">
        <f>SUMIFS(Database!$G:$G,Database!$D:$D,"Import",Database!$E:$E,$B88,Database!$C:$C,G$1,Database!$F:$F,"Total")</f>
        <v>0</v>
      </c>
      <c r="H88" s="137">
        <f>SUMIFS(Database!$G:$G,Database!$D:$D,"Import",Database!$E:$E,$B88,Database!$C:$C,H$1,Database!$F:$F,"Total")</f>
        <v>0</v>
      </c>
      <c r="I88" s="137">
        <f>SUMIFS(Database!$G:$G,Database!$D:$D,"Import",Database!$E:$E,$B88,Database!$C:$C,I$1,Database!$F:$F,"Total")</f>
        <v>0</v>
      </c>
      <c r="J88" s="137">
        <f>SUMIFS(Database!$G:$G,Database!$D:$D,"Import",Database!$E:$E,$B88,Database!$C:$C,J$1,Database!$F:$F,"Total")</f>
        <v>0</v>
      </c>
      <c r="K88" s="137">
        <f>SUMIFS(Database!$G:$G,Database!$D:$D,"Import",Database!$E:$E,$B88,Database!$C:$C,K$1,Database!$F:$F,"Total")</f>
        <v>0</v>
      </c>
      <c r="L88" s="137">
        <f>SUMIFS(Database!$G:$G,Database!$D:$D,"Import",Database!$E:$E,$B88,Database!$C:$C,L$1,Database!$F:$F,"Total")</f>
        <v>0</v>
      </c>
      <c r="M88" s="137">
        <f>SUMIFS(Database!$G:$G,Database!$D:$D,"Import",Database!$E:$E,$B88,Database!$C:$C,M$1,Database!$F:$F,"Total")</f>
        <v>0</v>
      </c>
      <c r="N88" s="137">
        <f>SUMIFS(Database!$G:$G,Database!$D:$D,"Import",Database!$E:$E,$B88,Database!$C:$C,N$1,Database!$F:$F,"Total")</f>
        <v>0</v>
      </c>
      <c r="O88" s="137">
        <f>SUMIFS(Database!$G:$G,Database!$D:$D,"Import",Database!$E:$E,$B88,Database!$C:$C,O$1,Database!$F:$F,"Total")</f>
        <v>0</v>
      </c>
      <c r="P88" s="137">
        <f>SUMIFS(Database!$G:$G,Database!$D:$D,"Import",Database!$E:$E,$B88,Database!$C:$C,P$1,Database!$F:$F,"Total")</f>
        <v>0</v>
      </c>
      <c r="Q88" s="137">
        <f>SUMIFS(Database!$G:$G,Database!$D:$D,"Import",Database!$E:$E,$B88,Database!$C:$C,Q$1,Database!$F:$F,"Total")</f>
        <v>0</v>
      </c>
      <c r="R88" s="137">
        <f>SUMIFS(Database!$G:$G,Database!$D:$D,"Import",Database!$E:$E,$B88,Database!$C:$C,R$1,Database!$F:$F,"Total")</f>
        <v>0</v>
      </c>
      <c r="S88" s="137">
        <f>SUMIFS(Database!$G:$G,Database!$D:$D,"Import",Database!$E:$E,$B88,Database!$C:$C,S$1,Database!$F:$F,"Total")</f>
        <v>0</v>
      </c>
      <c r="T88" s="137">
        <f>SUMIFS(Database!$G:$G,Database!$D:$D,"Import",Database!$E:$E,$B88,Database!$C:$C,T$1,Database!$F:$F,"Total")</f>
        <v>0</v>
      </c>
      <c r="U88" s="137">
        <f>SUMIFS(Database!$G:$G,Database!$D:$D,"Import",Database!$E:$E,$B88,Database!$C:$C,U$1,Database!$F:$F,"Total")</f>
        <v>0</v>
      </c>
      <c r="V88" s="137">
        <f>SUMIFS(Database!$G:$G,Database!$D:$D,"Import",Database!$E:$E,$B88,Database!$C:$C,V$1,Database!$F:$F,"Total")</f>
        <v>0</v>
      </c>
      <c r="W88" s="137">
        <f>SUMIFS(Database!$G:$G,Database!$D:$D,"Import",Database!$E:$E,$B88,Database!$C:$C,W$1,Database!$F:$F,"Total")</f>
        <v>0</v>
      </c>
      <c r="X88" s="137">
        <f>SUMIFS(Database!$G:$G,Database!$D:$D,"Import",Database!$E:$E,$B88,Database!$C:$C,X$1,Database!$F:$F,"Total")</f>
        <v>0</v>
      </c>
      <c r="Y88" s="137">
        <f>SUMIFS(Database!$G:$G,Database!$D:$D,"Import",Database!$E:$E,$B88,Database!$C:$C,Y$1,Database!$F:$F,"Total")</f>
        <v>0</v>
      </c>
      <c r="Z88" s="137">
        <f>SUMIFS(Database!$G:$G,Database!$D:$D,"Import",Database!$E:$E,$B88,Database!$C:$C,Z$1,Database!$F:$F,"Total")</f>
        <v>0</v>
      </c>
      <c r="AA88" s="137">
        <f>SUMIFS(Database!$G:$G,Database!$D:$D,"Import",Database!$E:$E,$B88,Database!$C:$C,AA$1,Database!$F:$F,"Total")</f>
        <v>0</v>
      </c>
      <c r="AB88" s="137">
        <f>SUMIFS(Database!$G:$G,Database!$D:$D,"Import",Database!$E:$E,$B88,Database!$C:$C,AB$1,Database!$F:$F,"Total")</f>
        <v>0</v>
      </c>
      <c r="AC88" s="137">
        <f>SUMIFS(Database!$G:$G,Database!$D:$D,"Import",Database!$E:$E,$B88,Database!$C:$C,AC$1,Database!$F:$F,"Total")</f>
        <v>0</v>
      </c>
      <c r="AD88" s="137">
        <f>SUMIFS(Database!$G:$G,Database!$D:$D,"Import",Database!$E:$E,$B88,Database!$C:$C,AD$1,Database!$F:$F,"Total")</f>
        <v>0</v>
      </c>
      <c r="AE88" s="137">
        <f>SUMIFS(Database!$G:$G,Database!$D:$D,"Import",Database!$E:$E,$B88,Database!$C:$C,AE$1,Database!$F:$F,"Total")</f>
        <v>0</v>
      </c>
      <c r="AF88" s="137">
        <f>SUMIFS(Database!$G:$G,Database!$D:$D,"Import",Database!$E:$E,$B88,Database!$C:$C,AF$1,Database!$F:$F,"Total")</f>
        <v>0</v>
      </c>
      <c r="AG88" s="137">
        <f>SUMIFS(Database!$G:$G,Database!$D:$D,"Import",Database!$E:$E,$B88,Database!$C:$C,AG$1,Database!$F:$F,"Total")</f>
        <v>0</v>
      </c>
      <c r="AH88" s="137">
        <f>SUMIFS(Database!$G:$G,Database!$D:$D,"Import",Database!$E:$E,$B88,Database!$C:$C,AH$1,Database!$F:$F,"Total")</f>
        <v>0</v>
      </c>
      <c r="AI88" s="137">
        <f>SUMIFS(Database!$G:$G,Database!$D:$D,"Import",Database!$E:$E,$B88,Database!$C:$C,AI$1,Database!$F:$F,"Total")</f>
        <v>0</v>
      </c>
      <c r="AJ88" s="137">
        <f>SUMIFS(Database!$G:$G,Database!$D:$D,"Import",Database!$E:$E,$B88,Database!$C:$C,AJ$1,Database!$F:$F,"Total")</f>
        <v>0</v>
      </c>
      <c r="AK88" s="137">
        <f>SUMIFS(Database!$G:$G,Database!$D:$D,"Import",Database!$E:$E,$B88,Database!$C:$C,AK$1,Database!$F:$F,"Total")</f>
        <v>0</v>
      </c>
      <c r="AL88" s="137">
        <f>SUMIFS(Database!$G:$G,Database!$D:$D,"Import",Database!$E:$E,$B88,Database!$C:$C,AL$1,Database!$F:$F,"Total")</f>
        <v>0</v>
      </c>
      <c r="AM88" s="137">
        <f>SUMIFS(Database!$G:$G,Database!$D:$D,"Import",Database!$E:$E,$B88,Database!$C:$C,AM$1,Database!$F:$F,"Total")</f>
        <v>0</v>
      </c>
      <c r="AN88" s="137">
        <f>SUMIFS(Database!$G:$G,Database!$D:$D,"Import",Database!$E:$E,$B88,Database!$C:$C,AN$1,Database!$F:$F,"Total")</f>
        <v>0</v>
      </c>
      <c r="AO88" s="137">
        <f>SUMIFS(Database!$G:$G,Database!$D:$D,"Import",Database!$E:$E,$B88,Database!$C:$C,AO$1,Database!$F:$F,"Total")</f>
        <v>0</v>
      </c>
      <c r="AP88" s="137">
        <f>SUMIFS(Database!$G:$G,Database!$D:$D,"Import",Database!$E:$E,$B88,Database!$C:$C,AP$1,Database!$F:$F,"Total")</f>
        <v>0</v>
      </c>
      <c r="AQ88" s="137">
        <f>SUMIFS(Database!$G:$G,Database!$D:$D,"Import",Database!$E:$E,$B88,Database!$C:$C,AQ$1,Database!$F:$F,"Total")</f>
        <v>0</v>
      </c>
      <c r="AR88" s="137">
        <f>SUMIFS(Database!$G:$G,Database!$D:$D,"Import",Database!$E:$E,$B88,Database!$C:$C,AR$1,Database!$F:$F,"Total")</f>
        <v>0</v>
      </c>
      <c r="AS88" s="137">
        <f>SUMIFS(Database!$G:$G,Database!$D:$D,"Import",Database!$E:$E,$B88,Database!$C:$C,AS$1,Database!$F:$F,"Total")</f>
        <v>0</v>
      </c>
      <c r="AT88" s="137">
        <f>SUMIFS(Database!$G:$G,Database!$D:$D,"Import",Database!$E:$E,$B88,Database!$C:$C,AT$1,Database!$F:$F,"Total")</f>
        <v>0</v>
      </c>
      <c r="AU88" s="137">
        <f>SUMIFS(Database!$G:$G,Database!$D:$D,"Import",Database!$E:$E,$B88,Database!$C:$C,AU$1,Database!$F:$F,"Total")</f>
        <v>0</v>
      </c>
      <c r="AV88" s="137">
        <f>SUMIFS(Database!$G:$G,Database!$D:$D,"Import",Database!$E:$E,$B88,Database!$C:$C,AV$1,Database!$F:$F,"Total")</f>
        <v>0</v>
      </c>
      <c r="AW88" s="137">
        <f>SUMIFS(Database!$G:$G,Database!$D:$D,"Import",Database!$E:$E,$B88,Database!$C:$C,AW$1,Database!$F:$F,"Total")</f>
        <v>0</v>
      </c>
      <c r="AX88" s="137">
        <f>SUMIFS(Database!$G:$G,Database!$D:$D,"Import",Database!$E:$E,$B88,Database!$C:$C,AX$1,Database!$F:$F,"Total")</f>
        <v>0</v>
      </c>
      <c r="AY88" s="137">
        <f>SUMIFS(Database!$G:$G,Database!$D:$D,"Import",Database!$E:$E,$B88,Database!$C:$C,AY$1,Database!$F:$F,"Total")</f>
        <v>0</v>
      </c>
      <c r="AZ88" s="137">
        <f>SUMIFS(Database!$G:$G,Database!$D:$D,"Import",Database!$E:$E,$B88,Database!$C:$C,AZ$1,Database!$F:$F,"Total")</f>
        <v>0</v>
      </c>
      <c r="BA88" s="137">
        <f>SUMIFS(Database!$G:$G,Database!$D:$D,"Import",Database!$E:$E,$B88,Database!$C:$C,BA$1,Database!$F:$F,"Total")</f>
        <v>0</v>
      </c>
      <c r="BB88" s="137">
        <f>SUMIFS(Database!$G:$G,Database!$D:$D,"Import",Database!$E:$E,$B88,Database!$C:$C,BB$1,Database!$F:$F,"Total")</f>
        <v>0</v>
      </c>
      <c r="BC88" s="137">
        <f>SUMIFS(Database!$G:$G,Database!$D:$D,"Import",Database!$E:$E,$B88,Database!$C:$C,BC$1,Database!$F:$F,"Total")</f>
        <v>0</v>
      </c>
      <c r="BD88" s="137">
        <f>SUMIFS(Database!$G:$G,Database!$D:$D,"Import",Database!$E:$E,$B88,Database!$C:$C,BD$1,Database!$F:$F,"Total")</f>
        <v>0</v>
      </c>
      <c r="BE88" s="137">
        <f>SUMIFS(Database!$G:$G,Database!$D:$D,"Import",Database!$E:$E,$B88,Database!$C:$C,BE$1,Database!$F:$F,"Total")</f>
        <v>0</v>
      </c>
      <c r="BF88" s="137">
        <f>SUMIFS(Database!$G:$G,Database!$D:$D,"Import",Database!$E:$E,$B88,Database!$C:$C,BF$1,Database!$F:$F,"Total")</f>
        <v>0</v>
      </c>
      <c r="BG88" s="137">
        <f>SUMIFS(Database!$G:$G,Database!$D:$D,"Import",Database!$E:$E,$B88,Database!$C:$C,BG$1,Database!$F:$F,"Total")</f>
        <v>0</v>
      </c>
      <c r="BH88" s="137">
        <f>SUMIFS(Database!$G:$G,Database!$D:$D,"Import",Database!$E:$E,$B88,Database!$C:$C,BH$1,Database!$F:$F,"Total")</f>
        <v>0</v>
      </c>
      <c r="BI88" s="137">
        <f>SUMIFS(Database!$G:$G,Database!$D:$D,"Import",Database!$E:$E,$B88,Database!$C:$C,BI$1,Database!$F:$F,"Total")</f>
        <v>0</v>
      </c>
      <c r="BJ88" s="137">
        <f>SUMIFS(Database!$G:$G,Database!$D:$D,"Import",Database!$E:$E,$B88,Database!$C:$C,BJ$1,Database!$F:$F,"Total")</f>
        <v>0</v>
      </c>
      <c r="BK88" s="137">
        <f>SUMIFS(Database!$G:$G,Database!$D:$D,"Import",Database!$E:$E,$B88,Database!$C:$C,BK$1,Database!$F:$F,"Total")</f>
        <v>0</v>
      </c>
      <c r="BL88" s="137">
        <f>SUMIFS(Database!$G:$G,Database!$D:$D,"Import",Database!$E:$E,$B88,Database!$C:$C,BL$1,Database!$F:$F,"Total")</f>
        <v>0</v>
      </c>
      <c r="BM88" s="137">
        <f>SUMIFS(Database!$G:$G,Database!$D:$D,"Import",Database!$E:$E,$B88,Database!$C:$C,BM$1,Database!$F:$F,"Total")</f>
        <v>0</v>
      </c>
      <c r="BN88" s="137">
        <f>SUMIFS(Database!$G:$G,Database!$D:$D,"Import",Database!$E:$E,$B88,Database!$C:$C,BN$1,Database!$F:$F,"Total")</f>
        <v>0</v>
      </c>
      <c r="BO88" s="137">
        <f>SUMIFS(Database!$G:$G,Database!$D:$D,"Import",Database!$E:$E,$B88,Database!$C:$C,BO$1,Database!$F:$F,"Total")</f>
        <v>0</v>
      </c>
      <c r="BP88" s="137">
        <f>SUMIFS(Database!$G:$G,Database!$D:$D,"Import",Database!$E:$E,$B88,Database!$C:$C,BP$1,Database!$F:$F,"Total")</f>
        <v>0</v>
      </c>
      <c r="BQ88" s="137">
        <f>SUMIFS(Database!$G:$G,Database!$D:$D,"Import",Database!$E:$E,$B88,Database!$C:$C,BQ$1,Database!$F:$F,"Total")</f>
        <v>0</v>
      </c>
      <c r="BR88" s="137">
        <f>SUMIFS(Database!$G:$G,Database!$D:$D,"Import",Database!$E:$E,$B88,Database!$C:$C,BR$1,Database!$F:$F,"Total")</f>
        <v>5767</v>
      </c>
      <c r="BS88" s="137">
        <f>SUMIFS(Database!$G:$G,Database!$D:$D,"Import",Database!$E:$E,$B88,Database!$C:$C,BS$1,Database!$F:$F,"Total")</f>
        <v>0</v>
      </c>
      <c r="BT88" s="137">
        <f>SUMIFS(Database!$G:$G,Database!$D:$D,"Import",Database!$E:$E,$B88,Database!$C:$C,BT$1,Database!$F:$F,"Total")</f>
        <v>0</v>
      </c>
      <c r="BU88" s="137">
        <f>SUMIFS(Database!$G:$G,Database!$D:$D,"Import",Database!$E:$E,$B88,Database!$C:$C,BU$1,Database!$F:$F,"Total")</f>
        <v>0</v>
      </c>
      <c r="BV88" s="137">
        <f>SUMIFS(Database!$G:$G,Database!$D:$D,"Import",Database!$E:$E,$B88,Database!$C:$C,BV$1,Database!$F:$F,"Total")</f>
        <v>0</v>
      </c>
      <c r="BW88" s="137">
        <f>SUMIFS(Database!$G:$G,Database!$D:$D,"Import",Database!$E:$E,$B88,Database!$C:$C,BW$1,Database!$F:$F,"Total")</f>
        <v>0</v>
      </c>
      <c r="BX88" s="137">
        <f>SUMIFS(Database!$G:$G,Database!$D:$D,"Import",Database!$E:$E,$B88,Database!$C:$C,BX$1,Database!$F:$F,"Total")</f>
        <v>0</v>
      </c>
      <c r="BY88" s="137">
        <f>SUMIFS(Database!$G:$G,Database!$D:$D,"Import",Database!$E:$E,$B88,Database!$C:$C,BY$1,Database!$F:$F,"Total")</f>
        <v>0</v>
      </c>
      <c r="BZ88" s="137">
        <f>SUMIFS(Database!$G:$G,Database!$D:$D,"Import",Database!$E:$E,$B88,Database!$C:$C,BZ$1,Database!$F:$F,"Total")</f>
        <v>0</v>
      </c>
      <c r="CA88" s="137">
        <f>SUMIFS(Database!$G:$G,Database!$D:$D,"Import",Database!$E:$E,$B88,Database!$C:$C,CA$1,Database!$F:$F,"Total")</f>
        <v>0</v>
      </c>
      <c r="CB88" s="137">
        <f>SUMIFS(Database!$G:$G,Database!$D:$D,"Import",Database!$E:$E,$B88,Database!$C:$C,CB$1,Database!$F:$F,"Total")</f>
        <v>0</v>
      </c>
      <c r="CC88" s="137">
        <f>SUMIFS(Database!$G:$G,Database!$D:$D,"Import",Database!$E:$E,$B88,Database!$C:$C,CC$1,Database!$F:$F,"Total")</f>
        <v>0</v>
      </c>
      <c r="CD88" s="137">
        <f>SUMIFS(Database!$G:$G,Database!$D:$D,"Import",Database!$E:$E,$B88,Database!$C:$C,CD$1,Database!$F:$F,"Total")</f>
        <v>0</v>
      </c>
      <c r="CE88" s="137">
        <f>SUMIFS(Database!$G:$G,Database!$D:$D,"Import",Database!$E:$E,$B88,Database!$C:$C,CE$1,Database!$F:$F,"Total")</f>
        <v>0</v>
      </c>
      <c r="CF88" s="137">
        <f>SUMIFS(Database!$G:$G,Database!$D:$D,"Import",Database!$E:$E,$B88,Database!$C:$C,CF$1,Database!$F:$F,"Total")</f>
        <v>0</v>
      </c>
      <c r="CG88" s="137">
        <f>SUMIFS(Database!$G:$G,Database!$D:$D,"Import",Database!$E:$E,$B88,Database!$C:$C,CG$1,Database!$F:$F,"Total")</f>
        <v>0</v>
      </c>
      <c r="CH88" s="137">
        <f>SUMIFS(Database!$G:$G,Database!$D:$D,"Import",Database!$E:$E,$B88,Database!$C:$C,CH$1,Database!$F:$F,"Total")</f>
        <v>0</v>
      </c>
      <c r="CI88" s="137">
        <f>SUMIFS(Database!$G:$G,Database!$D:$D,"Import",Database!$E:$E,$B88,Database!$C:$C,CI$1,Database!$F:$F,"Total")</f>
        <v>0</v>
      </c>
      <c r="CJ88" s="137">
        <f>SUMIFS(Database!$G:$G,Database!$D:$D,"Import",Database!$E:$E,$B88,Database!$C:$C,CJ$1,Database!$F:$F,"Total")</f>
        <v>0</v>
      </c>
      <c r="CK88" s="137">
        <f>SUMIFS(Database!$G:$G,Database!$D:$D,"Import",Database!$E:$E,$B88,Database!$C:$C,CK$1,Database!$F:$F,"Total")</f>
        <v>0</v>
      </c>
      <c r="CL88" s="137">
        <f>SUMIFS(Database!$G:$G,Database!$D:$D,"Import",Database!$E:$E,$B88,Database!$C:$C,CL$1,Database!$F:$F,"Total")</f>
        <v>0</v>
      </c>
      <c r="CM88" s="137">
        <f>SUMIFS(Database!$G:$G,Database!$D:$D,"Import",Database!$E:$E,$B88,Database!$C:$C,CM$1,Database!$F:$F,"Total")</f>
        <v>0</v>
      </c>
      <c r="CN88" s="137">
        <f>SUMIFS(Database!$G:$G,Database!$D:$D,"Import",Database!$E:$E,$B88,Database!$C:$C,CN$1,Database!$F:$F,"Total")</f>
        <v>0</v>
      </c>
      <c r="CO88" s="137">
        <f>SUMIFS(Database!$G:$G,Database!$D:$D,"Import",Database!$E:$E,$B88,Database!$C:$C,CO$1,Database!$F:$F,"Total")</f>
        <v>0</v>
      </c>
      <c r="CP88" s="137">
        <f>SUMIFS(Database!$G:$G,Database!$D:$D,"Import",Database!$E:$E,$B88,Database!$C:$C,CP$1,Database!$F:$F,"Total")</f>
        <v>0</v>
      </c>
      <c r="CQ88" s="137">
        <f>SUMIFS(Database!$G:$G,Database!$D:$D,"Import",Database!$E:$E,$B88,Database!$C:$C,CQ$1,Database!$F:$F,"Total")</f>
        <v>0</v>
      </c>
      <c r="CR88" s="137">
        <f>SUMIFS(Database!$G:$G,Database!$D:$D,"Import",Database!$E:$E,$B88,Database!$C:$C,CR$1,Database!$F:$F,"Total")</f>
        <v>0</v>
      </c>
      <c r="CS88" s="137">
        <f>SUMIFS(Database!$G:$G,Database!$D:$D,"Import",Database!$E:$E,$B88,Database!$C:$C,CS$1,Database!$F:$F,"Total")</f>
        <v>0</v>
      </c>
      <c r="CT88" s="137">
        <f>SUMIFS(Database!$G:$G,Database!$D:$D,"Import",Database!$E:$E,$B88,Database!$C:$C,CT$1,Database!$F:$F,"Total")</f>
        <v>0</v>
      </c>
      <c r="CU88" s="137">
        <f>SUMIFS(Database!$G:$G,Database!$D:$D,"Import",Database!$E:$E,$B88,Database!$C:$C,CU$1,Database!$F:$F,"Total")</f>
        <v>0</v>
      </c>
    </row>
    <row r="89" spans="1:99" x14ac:dyDescent="0.25">
      <c r="A89" s="132" t="s">
        <v>484</v>
      </c>
      <c r="B89" s="133" t="s">
        <v>98</v>
      </c>
      <c r="C89" s="137">
        <f>SUMIFS(Database!$G:$G,Database!$D:$D,"Import",Database!$E:$E,$B89,Database!$C:$C,C$1,Database!$F:$F,"Total")</f>
        <v>0</v>
      </c>
      <c r="D89" s="137">
        <f>SUMIFS(Database!$G:$G,Database!$D:$D,"Import",Database!$E:$E,$B89,Database!$C:$C,D$1,Database!$F:$F,"Total")</f>
        <v>0</v>
      </c>
      <c r="E89" s="137">
        <f>SUMIFS(Database!$G:$G,Database!$D:$D,"Import",Database!$E:$E,$B89,Database!$C:$C,E$1,Database!$F:$F,"Total")</f>
        <v>0</v>
      </c>
      <c r="F89" s="137">
        <f>SUMIFS(Database!$G:$G,Database!$D:$D,"Import",Database!$E:$E,$B89,Database!$C:$C,F$1,Database!$F:$F,"Total")</f>
        <v>0</v>
      </c>
      <c r="G89" s="137">
        <f>SUMIFS(Database!$G:$G,Database!$D:$D,"Import",Database!$E:$E,$B89,Database!$C:$C,G$1,Database!$F:$F,"Total")</f>
        <v>0</v>
      </c>
      <c r="H89" s="137">
        <f>SUMIFS(Database!$G:$G,Database!$D:$D,"Import",Database!$E:$E,$B89,Database!$C:$C,H$1,Database!$F:$F,"Total")</f>
        <v>0</v>
      </c>
      <c r="I89" s="137">
        <f>SUMIFS(Database!$G:$G,Database!$D:$D,"Import",Database!$E:$E,$B89,Database!$C:$C,I$1,Database!$F:$F,"Total")</f>
        <v>0</v>
      </c>
      <c r="J89" s="137">
        <f>SUMIFS(Database!$G:$G,Database!$D:$D,"Import",Database!$E:$E,$B89,Database!$C:$C,J$1,Database!$F:$F,"Total")</f>
        <v>0</v>
      </c>
      <c r="K89" s="137">
        <f>SUMIFS(Database!$G:$G,Database!$D:$D,"Import",Database!$E:$E,$B89,Database!$C:$C,K$1,Database!$F:$F,"Total")</f>
        <v>0</v>
      </c>
      <c r="L89" s="137">
        <f>SUMIFS(Database!$G:$G,Database!$D:$D,"Import",Database!$E:$E,$B89,Database!$C:$C,L$1,Database!$F:$F,"Total")</f>
        <v>0</v>
      </c>
      <c r="M89" s="137">
        <f>SUMIFS(Database!$G:$G,Database!$D:$D,"Import",Database!$E:$E,$B89,Database!$C:$C,M$1,Database!$F:$F,"Total")</f>
        <v>0</v>
      </c>
      <c r="N89" s="137">
        <f>SUMIFS(Database!$G:$G,Database!$D:$D,"Import",Database!$E:$E,$B89,Database!$C:$C,N$1,Database!$F:$F,"Total")</f>
        <v>0</v>
      </c>
      <c r="O89" s="137">
        <f>SUMIFS(Database!$G:$G,Database!$D:$D,"Import",Database!$E:$E,$B89,Database!$C:$C,O$1,Database!$F:$F,"Total")</f>
        <v>0</v>
      </c>
      <c r="P89" s="137">
        <f>SUMIFS(Database!$G:$G,Database!$D:$D,"Import",Database!$E:$E,$B89,Database!$C:$C,P$1,Database!$F:$F,"Total")</f>
        <v>0</v>
      </c>
      <c r="Q89" s="137">
        <f>SUMIFS(Database!$G:$G,Database!$D:$D,"Import",Database!$E:$E,$B89,Database!$C:$C,Q$1,Database!$F:$F,"Total")</f>
        <v>0</v>
      </c>
      <c r="R89" s="137">
        <f>SUMIFS(Database!$G:$G,Database!$D:$D,"Import",Database!$E:$E,$B89,Database!$C:$C,R$1,Database!$F:$F,"Total")</f>
        <v>0</v>
      </c>
      <c r="S89" s="137">
        <f>SUMIFS(Database!$G:$G,Database!$D:$D,"Import",Database!$E:$E,$B89,Database!$C:$C,S$1,Database!$F:$F,"Total")</f>
        <v>0</v>
      </c>
      <c r="T89" s="137">
        <f>SUMIFS(Database!$G:$G,Database!$D:$D,"Import",Database!$E:$E,$B89,Database!$C:$C,T$1,Database!$F:$F,"Total")</f>
        <v>0</v>
      </c>
      <c r="U89" s="137">
        <f>SUMIFS(Database!$G:$G,Database!$D:$D,"Import",Database!$E:$E,$B89,Database!$C:$C,U$1,Database!$F:$F,"Total")</f>
        <v>0</v>
      </c>
      <c r="V89" s="137">
        <f>SUMIFS(Database!$G:$G,Database!$D:$D,"Import",Database!$E:$E,$B89,Database!$C:$C,V$1,Database!$F:$F,"Total")</f>
        <v>0</v>
      </c>
      <c r="W89" s="137">
        <f>SUMIFS(Database!$G:$G,Database!$D:$D,"Import",Database!$E:$E,$B89,Database!$C:$C,W$1,Database!$F:$F,"Total")</f>
        <v>0</v>
      </c>
      <c r="X89" s="137">
        <f>SUMIFS(Database!$G:$G,Database!$D:$D,"Import",Database!$E:$E,$B89,Database!$C:$C,X$1,Database!$F:$F,"Total")</f>
        <v>0</v>
      </c>
      <c r="Y89" s="137">
        <f>SUMIFS(Database!$G:$G,Database!$D:$D,"Import",Database!$E:$E,$B89,Database!$C:$C,Y$1,Database!$F:$F,"Total")</f>
        <v>0</v>
      </c>
      <c r="Z89" s="137">
        <f>SUMIFS(Database!$G:$G,Database!$D:$D,"Import",Database!$E:$E,$B89,Database!$C:$C,Z$1,Database!$F:$F,"Total")</f>
        <v>0</v>
      </c>
      <c r="AA89" s="137">
        <f>SUMIFS(Database!$G:$G,Database!$D:$D,"Import",Database!$E:$E,$B89,Database!$C:$C,AA$1,Database!$F:$F,"Total")</f>
        <v>0</v>
      </c>
      <c r="AB89" s="137">
        <f>SUMIFS(Database!$G:$G,Database!$D:$D,"Import",Database!$E:$E,$B89,Database!$C:$C,AB$1,Database!$F:$F,"Total")</f>
        <v>0</v>
      </c>
      <c r="AC89" s="137">
        <f>SUMIFS(Database!$G:$G,Database!$D:$D,"Import",Database!$E:$E,$B89,Database!$C:$C,AC$1,Database!$F:$F,"Total")</f>
        <v>0</v>
      </c>
      <c r="AD89" s="137">
        <f>SUMIFS(Database!$G:$G,Database!$D:$D,"Import",Database!$E:$E,$B89,Database!$C:$C,AD$1,Database!$F:$F,"Total")</f>
        <v>0</v>
      </c>
      <c r="AE89" s="137">
        <f>SUMIFS(Database!$G:$G,Database!$D:$D,"Import",Database!$E:$E,$B89,Database!$C:$C,AE$1,Database!$F:$F,"Total")</f>
        <v>0</v>
      </c>
      <c r="AF89" s="137">
        <f>SUMIFS(Database!$G:$G,Database!$D:$D,"Import",Database!$E:$E,$B89,Database!$C:$C,AF$1,Database!$F:$F,"Total")</f>
        <v>0</v>
      </c>
      <c r="AG89" s="137">
        <f>SUMIFS(Database!$G:$G,Database!$D:$D,"Import",Database!$E:$E,$B89,Database!$C:$C,AG$1,Database!$F:$F,"Total")</f>
        <v>0</v>
      </c>
      <c r="AH89" s="137">
        <f>SUMIFS(Database!$G:$G,Database!$D:$D,"Import",Database!$E:$E,$B89,Database!$C:$C,AH$1,Database!$F:$F,"Total")</f>
        <v>0</v>
      </c>
      <c r="AI89" s="137">
        <f>SUMIFS(Database!$G:$G,Database!$D:$D,"Import",Database!$E:$E,$B89,Database!$C:$C,AI$1,Database!$F:$F,"Total")</f>
        <v>0</v>
      </c>
      <c r="AJ89" s="137">
        <f>SUMIFS(Database!$G:$G,Database!$D:$D,"Import",Database!$E:$E,$B89,Database!$C:$C,AJ$1,Database!$F:$F,"Total")</f>
        <v>0</v>
      </c>
      <c r="AK89" s="137">
        <f>SUMIFS(Database!$G:$G,Database!$D:$D,"Import",Database!$E:$E,$B89,Database!$C:$C,AK$1,Database!$F:$F,"Total")</f>
        <v>0</v>
      </c>
      <c r="AL89" s="137">
        <f>SUMIFS(Database!$G:$G,Database!$D:$D,"Import",Database!$E:$E,$B89,Database!$C:$C,AL$1,Database!$F:$F,"Total")</f>
        <v>0</v>
      </c>
      <c r="AM89" s="137">
        <f>SUMIFS(Database!$G:$G,Database!$D:$D,"Import",Database!$E:$E,$B89,Database!$C:$C,AM$1,Database!$F:$F,"Total")</f>
        <v>0</v>
      </c>
      <c r="AN89" s="137">
        <f>SUMIFS(Database!$G:$G,Database!$D:$D,"Import",Database!$E:$E,$B89,Database!$C:$C,AN$1,Database!$F:$F,"Total")</f>
        <v>0</v>
      </c>
      <c r="AO89" s="137">
        <f>SUMIFS(Database!$G:$G,Database!$D:$D,"Import",Database!$E:$E,$B89,Database!$C:$C,AO$1,Database!$F:$F,"Total")</f>
        <v>0</v>
      </c>
      <c r="AP89" s="137">
        <f>SUMIFS(Database!$G:$G,Database!$D:$D,"Import",Database!$E:$E,$B89,Database!$C:$C,AP$1,Database!$F:$F,"Total")</f>
        <v>0</v>
      </c>
      <c r="AQ89" s="137">
        <f>SUMIFS(Database!$G:$G,Database!$D:$D,"Import",Database!$E:$E,$B89,Database!$C:$C,AQ$1,Database!$F:$F,"Total")</f>
        <v>0</v>
      </c>
      <c r="AR89" s="137">
        <f>SUMIFS(Database!$G:$G,Database!$D:$D,"Import",Database!$E:$E,$B89,Database!$C:$C,AR$1,Database!$F:$F,"Total")</f>
        <v>0</v>
      </c>
      <c r="AS89" s="137">
        <f>SUMIFS(Database!$G:$G,Database!$D:$D,"Import",Database!$E:$E,$B89,Database!$C:$C,AS$1,Database!$F:$F,"Total")</f>
        <v>0</v>
      </c>
      <c r="AT89" s="137">
        <f>SUMIFS(Database!$G:$G,Database!$D:$D,"Import",Database!$E:$E,$B89,Database!$C:$C,AT$1,Database!$F:$F,"Total")</f>
        <v>0</v>
      </c>
      <c r="AU89" s="137">
        <f>SUMIFS(Database!$G:$G,Database!$D:$D,"Import",Database!$E:$E,$B89,Database!$C:$C,AU$1,Database!$F:$F,"Total")</f>
        <v>0</v>
      </c>
      <c r="AV89" s="137">
        <f>SUMIFS(Database!$G:$G,Database!$D:$D,"Import",Database!$E:$E,$B89,Database!$C:$C,AV$1,Database!$F:$F,"Total")</f>
        <v>0</v>
      </c>
      <c r="AW89" s="137">
        <f>SUMIFS(Database!$G:$G,Database!$D:$D,"Import",Database!$E:$E,$B89,Database!$C:$C,AW$1,Database!$F:$F,"Total")</f>
        <v>0</v>
      </c>
      <c r="AX89" s="137">
        <f>SUMIFS(Database!$G:$G,Database!$D:$D,"Import",Database!$E:$E,$B89,Database!$C:$C,AX$1,Database!$F:$F,"Total")</f>
        <v>0</v>
      </c>
      <c r="AY89" s="137">
        <f>SUMIFS(Database!$G:$G,Database!$D:$D,"Import",Database!$E:$E,$B89,Database!$C:$C,AY$1,Database!$F:$F,"Total")</f>
        <v>0</v>
      </c>
      <c r="AZ89" s="137">
        <f>SUMIFS(Database!$G:$G,Database!$D:$D,"Import",Database!$E:$E,$B89,Database!$C:$C,AZ$1,Database!$F:$F,"Total")</f>
        <v>0</v>
      </c>
      <c r="BA89" s="137">
        <f>SUMIFS(Database!$G:$G,Database!$D:$D,"Import",Database!$E:$E,$B89,Database!$C:$C,BA$1,Database!$F:$F,"Total")</f>
        <v>0</v>
      </c>
      <c r="BB89" s="137">
        <f>SUMIFS(Database!$G:$G,Database!$D:$D,"Import",Database!$E:$E,$B89,Database!$C:$C,BB$1,Database!$F:$F,"Total")</f>
        <v>0</v>
      </c>
      <c r="BC89" s="137">
        <f>SUMIFS(Database!$G:$G,Database!$D:$D,"Import",Database!$E:$E,$B89,Database!$C:$C,BC$1,Database!$F:$F,"Total")</f>
        <v>0</v>
      </c>
      <c r="BD89" s="137">
        <f>SUMIFS(Database!$G:$G,Database!$D:$D,"Import",Database!$E:$E,$B89,Database!$C:$C,BD$1,Database!$F:$F,"Total")</f>
        <v>0</v>
      </c>
      <c r="BE89" s="137">
        <f>SUMIFS(Database!$G:$G,Database!$D:$D,"Import",Database!$E:$E,$B89,Database!$C:$C,BE$1,Database!$F:$F,"Total")</f>
        <v>0</v>
      </c>
      <c r="BF89" s="137">
        <f>SUMIFS(Database!$G:$G,Database!$D:$D,"Import",Database!$E:$E,$B89,Database!$C:$C,BF$1,Database!$F:$F,"Total")</f>
        <v>0</v>
      </c>
      <c r="BG89" s="137">
        <f>SUMIFS(Database!$G:$G,Database!$D:$D,"Import",Database!$E:$E,$B89,Database!$C:$C,BG$1,Database!$F:$F,"Total")</f>
        <v>0</v>
      </c>
      <c r="BH89" s="137">
        <f>SUMIFS(Database!$G:$G,Database!$D:$D,"Import",Database!$E:$E,$B89,Database!$C:$C,BH$1,Database!$F:$F,"Total")</f>
        <v>1411823</v>
      </c>
      <c r="BI89" s="137">
        <f>SUMIFS(Database!$G:$G,Database!$D:$D,"Import",Database!$E:$E,$B89,Database!$C:$C,BI$1,Database!$F:$F,"Total")</f>
        <v>1221034</v>
      </c>
      <c r="BJ89" s="137">
        <f>SUMIFS(Database!$G:$G,Database!$D:$D,"Import",Database!$E:$E,$B89,Database!$C:$C,BJ$1,Database!$F:$F,"Total")</f>
        <v>1809356</v>
      </c>
      <c r="BK89" s="137">
        <f>SUMIFS(Database!$G:$G,Database!$D:$D,"Import",Database!$E:$E,$B89,Database!$C:$C,BK$1,Database!$F:$F,"Total")</f>
        <v>745999</v>
      </c>
      <c r="BL89" s="137">
        <f>SUMIFS(Database!$G:$G,Database!$D:$D,"Import",Database!$E:$E,$B89,Database!$C:$C,BL$1,Database!$F:$F,"Total")</f>
        <v>0</v>
      </c>
      <c r="BM89" s="137">
        <f>SUMIFS(Database!$G:$G,Database!$D:$D,"Import",Database!$E:$E,$B89,Database!$C:$C,BM$1,Database!$F:$F,"Total")</f>
        <v>0</v>
      </c>
      <c r="BN89" s="137">
        <f>SUMIFS(Database!$G:$G,Database!$D:$D,"Import",Database!$E:$E,$B89,Database!$C:$C,BN$1,Database!$F:$F,"Total")</f>
        <v>1208434</v>
      </c>
      <c r="BO89" s="137">
        <f>SUMIFS(Database!$G:$G,Database!$D:$D,"Import",Database!$E:$E,$B89,Database!$C:$C,BO$1,Database!$F:$F,"Total")</f>
        <v>0</v>
      </c>
      <c r="BP89" s="137">
        <f>SUMIFS(Database!$G:$G,Database!$D:$D,"Import",Database!$E:$E,$B89,Database!$C:$C,BP$1,Database!$F:$F,"Total")</f>
        <v>1730680</v>
      </c>
      <c r="BQ89" s="137">
        <f>SUMIFS(Database!$G:$G,Database!$D:$D,"Import",Database!$E:$E,$B89,Database!$C:$C,BQ$1,Database!$F:$F,"Total")</f>
        <v>14571</v>
      </c>
      <c r="BR89" s="137">
        <f>SUMIFS(Database!$G:$G,Database!$D:$D,"Import",Database!$E:$E,$B89,Database!$C:$C,BR$1,Database!$F:$F,"Total")</f>
        <v>554214</v>
      </c>
      <c r="BS89" s="137">
        <f>SUMIFS(Database!$G:$G,Database!$D:$D,"Import",Database!$E:$E,$B89,Database!$C:$C,BS$1,Database!$F:$F,"Total")</f>
        <v>505132</v>
      </c>
      <c r="BT89" s="137">
        <f>SUMIFS(Database!$G:$G,Database!$D:$D,"Import",Database!$E:$E,$B89,Database!$C:$C,BT$1,Database!$F:$F,"Total")</f>
        <v>265082</v>
      </c>
      <c r="BU89" s="137">
        <f>SUMIFS(Database!$G:$G,Database!$D:$D,"Import",Database!$E:$E,$B89,Database!$C:$C,BU$1,Database!$F:$F,"Total")</f>
        <v>447183</v>
      </c>
      <c r="BV89" s="137">
        <f>SUMIFS(Database!$G:$G,Database!$D:$D,"Import",Database!$E:$E,$B89,Database!$C:$C,BV$1,Database!$F:$F,"Total")</f>
        <v>8074331</v>
      </c>
      <c r="BW89" s="137">
        <f>SUMIFS(Database!$G:$G,Database!$D:$D,"Import",Database!$E:$E,$B89,Database!$C:$C,BW$1,Database!$F:$F,"Total")</f>
        <v>3280167</v>
      </c>
      <c r="BX89" s="137">
        <f>SUMIFS(Database!$G:$G,Database!$D:$D,"Import",Database!$E:$E,$B89,Database!$C:$C,BX$1,Database!$F:$F,"Total")</f>
        <v>3822147</v>
      </c>
      <c r="BY89" s="137">
        <f>SUMIFS(Database!$G:$G,Database!$D:$D,"Import",Database!$E:$E,$B89,Database!$C:$C,BY$1,Database!$F:$F,"Total")</f>
        <v>1821117</v>
      </c>
      <c r="BZ89" s="137">
        <f>SUMIFS(Database!$G:$G,Database!$D:$D,"Import",Database!$E:$E,$B89,Database!$C:$C,BZ$1,Database!$F:$F,"Total")</f>
        <v>2181911</v>
      </c>
      <c r="CA89" s="137">
        <f>SUMIFS(Database!$G:$G,Database!$D:$D,"Import",Database!$E:$E,$B89,Database!$C:$C,CA$1,Database!$F:$F,"Total")</f>
        <v>3655393</v>
      </c>
      <c r="CB89" s="137">
        <f>SUMIFS(Database!$G:$G,Database!$D:$D,"Import",Database!$E:$E,$B89,Database!$C:$C,CB$1,Database!$F:$F,"Total")</f>
        <v>0</v>
      </c>
      <c r="CC89" s="137">
        <f>SUMIFS(Database!$G:$G,Database!$D:$D,"Import",Database!$E:$E,$B89,Database!$C:$C,CC$1,Database!$F:$F,"Total")</f>
        <v>0</v>
      </c>
      <c r="CD89" s="137">
        <f>SUMIFS(Database!$G:$G,Database!$D:$D,"Import",Database!$E:$E,$B89,Database!$C:$C,CD$1,Database!$F:$F,"Total")</f>
        <v>0</v>
      </c>
      <c r="CE89" s="137">
        <f>SUMIFS(Database!$G:$G,Database!$D:$D,"Import",Database!$E:$E,$B89,Database!$C:$C,CE$1,Database!$F:$F,"Total")</f>
        <v>0</v>
      </c>
      <c r="CF89" s="137">
        <f>SUMIFS(Database!$G:$G,Database!$D:$D,"Import",Database!$E:$E,$B89,Database!$C:$C,CF$1,Database!$F:$F,"Total")</f>
        <v>0</v>
      </c>
      <c r="CG89" s="137">
        <f>SUMIFS(Database!$G:$G,Database!$D:$D,"Import",Database!$E:$E,$B89,Database!$C:$C,CG$1,Database!$F:$F,"Total")</f>
        <v>0</v>
      </c>
      <c r="CH89" s="137">
        <f>SUMIFS(Database!$G:$G,Database!$D:$D,"Import",Database!$E:$E,$B89,Database!$C:$C,CH$1,Database!$F:$F,"Total")</f>
        <v>0</v>
      </c>
      <c r="CI89" s="137">
        <f>SUMIFS(Database!$G:$G,Database!$D:$D,"Import",Database!$E:$E,$B89,Database!$C:$C,CI$1,Database!$F:$F,"Total")</f>
        <v>0</v>
      </c>
      <c r="CJ89" s="137">
        <f>SUMIFS(Database!$G:$G,Database!$D:$D,"Import",Database!$E:$E,$B89,Database!$C:$C,CJ$1,Database!$F:$F,"Total")</f>
        <v>0</v>
      </c>
      <c r="CK89" s="137">
        <f>SUMIFS(Database!$G:$G,Database!$D:$D,"Import",Database!$E:$E,$B89,Database!$C:$C,CK$1,Database!$F:$F,"Total")</f>
        <v>0</v>
      </c>
      <c r="CL89" s="137">
        <f>SUMIFS(Database!$G:$G,Database!$D:$D,"Import",Database!$E:$E,$B89,Database!$C:$C,CL$1,Database!$F:$F,"Total")</f>
        <v>0</v>
      </c>
      <c r="CM89" s="137">
        <f>SUMIFS(Database!$G:$G,Database!$D:$D,"Import",Database!$E:$E,$B89,Database!$C:$C,CM$1,Database!$F:$F,"Total")</f>
        <v>0</v>
      </c>
      <c r="CN89" s="137">
        <f>SUMIFS(Database!$G:$G,Database!$D:$D,"Import",Database!$E:$E,$B89,Database!$C:$C,CN$1,Database!$F:$F,"Total")</f>
        <v>0</v>
      </c>
      <c r="CO89" s="137">
        <f>SUMIFS(Database!$G:$G,Database!$D:$D,"Import",Database!$E:$E,$B89,Database!$C:$C,CO$1,Database!$F:$F,"Total")</f>
        <v>0</v>
      </c>
      <c r="CP89" s="137">
        <f>SUMIFS(Database!$G:$G,Database!$D:$D,"Import",Database!$E:$E,$B89,Database!$C:$C,CP$1,Database!$F:$F,"Total")</f>
        <v>0</v>
      </c>
      <c r="CQ89" s="137">
        <f>SUMIFS(Database!$G:$G,Database!$D:$D,"Import",Database!$E:$E,$B89,Database!$C:$C,CQ$1,Database!$F:$F,"Total")</f>
        <v>0</v>
      </c>
      <c r="CR89" s="137">
        <f>SUMIFS(Database!$G:$G,Database!$D:$D,"Import",Database!$E:$E,$B89,Database!$C:$C,CR$1,Database!$F:$F,"Total")</f>
        <v>0</v>
      </c>
      <c r="CS89" s="137">
        <f>SUMIFS(Database!$G:$G,Database!$D:$D,"Import",Database!$E:$E,$B89,Database!$C:$C,CS$1,Database!$F:$F,"Total")</f>
        <v>0</v>
      </c>
      <c r="CT89" s="137">
        <f>SUMIFS(Database!$G:$G,Database!$D:$D,"Import",Database!$E:$E,$B89,Database!$C:$C,CT$1,Database!$F:$F,"Total")</f>
        <v>0</v>
      </c>
      <c r="CU89" s="137">
        <f>SUMIFS(Database!$G:$G,Database!$D:$D,"Import",Database!$E:$E,$B89,Database!$C:$C,CU$1,Database!$F:$F,"Total")</f>
        <v>0</v>
      </c>
    </row>
    <row r="90" spans="1:99" x14ac:dyDescent="0.25">
      <c r="A90" s="132" t="s">
        <v>484</v>
      </c>
      <c r="B90" s="133" t="s">
        <v>99</v>
      </c>
      <c r="C90" s="137">
        <f>SUMIFS(Database!$G:$G,Database!$D:$D,"Import",Database!$E:$E,$B90,Database!$C:$C,C$1,Database!$F:$F,"Total")</f>
        <v>0</v>
      </c>
      <c r="D90" s="137">
        <f>SUMIFS(Database!$G:$G,Database!$D:$D,"Import",Database!$E:$E,$B90,Database!$C:$C,D$1,Database!$F:$F,"Total")</f>
        <v>0</v>
      </c>
      <c r="E90" s="137">
        <f>SUMIFS(Database!$G:$G,Database!$D:$D,"Import",Database!$E:$E,$B90,Database!$C:$C,E$1,Database!$F:$F,"Total")</f>
        <v>0</v>
      </c>
      <c r="F90" s="137">
        <f>SUMIFS(Database!$G:$G,Database!$D:$D,"Import",Database!$E:$E,$B90,Database!$C:$C,F$1,Database!$F:$F,"Total")</f>
        <v>0</v>
      </c>
      <c r="G90" s="137">
        <f>SUMIFS(Database!$G:$G,Database!$D:$D,"Import",Database!$E:$E,$B90,Database!$C:$C,G$1,Database!$F:$F,"Total")</f>
        <v>0</v>
      </c>
      <c r="H90" s="137">
        <f>SUMIFS(Database!$G:$G,Database!$D:$D,"Import",Database!$E:$E,$B90,Database!$C:$C,H$1,Database!$F:$F,"Total")</f>
        <v>0</v>
      </c>
      <c r="I90" s="137">
        <f>SUMIFS(Database!$G:$G,Database!$D:$D,"Import",Database!$E:$E,$B90,Database!$C:$C,I$1,Database!$F:$F,"Total")</f>
        <v>0</v>
      </c>
      <c r="J90" s="137">
        <f>SUMIFS(Database!$G:$G,Database!$D:$D,"Import",Database!$E:$E,$B90,Database!$C:$C,J$1,Database!$F:$F,"Total")</f>
        <v>0</v>
      </c>
      <c r="K90" s="137">
        <f>SUMIFS(Database!$G:$G,Database!$D:$D,"Import",Database!$E:$E,$B90,Database!$C:$C,K$1,Database!$F:$F,"Total")</f>
        <v>0</v>
      </c>
      <c r="L90" s="137">
        <f>SUMIFS(Database!$G:$G,Database!$D:$D,"Import",Database!$E:$E,$B90,Database!$C:$C,L$1,Database!$F:$F,"Total")</f>
        <v>0</v>
      </c>
      <c r="M90" s="137">
        <f>SUMIFS(Database!$G:$G,Database!$D:$D,"Import",Database!$E:$E,$B90,Database!$C:$C,M$1,Database!$F:$F,"Total")</f>
        <v>0</v>
      </c>
      <c r="N90" s="137">
        <f>SUMIFS(Database!$G:$G,Database!$D:$D,"Import",Database!$E:$E,$B90,Database!$C:$C,N$1,Database!$F:$F,"Total")</f>
        <v>0</v>
      </c>
      <c r="O90" s="137">
        <f>SUMIFS(Database!$G:$G,Database!$D:$D,"Import",Database!$E:$E,$B90,Database!$C:$C,O$1,Database!$F:$F,"Total")</f>
        <v>0</v>
      </c>
      <c r="P90" s="137">
        <f>SUMIFS(Database!$G:$G,Database!$D:$D,"Import",Database!$E:$E,$B90,Database!$C:$C,P$1,Database!$F:$F,"Total")</f>
        <v>0</v>
      </c>
      <c r="Q90" s="137">
        <f>SUMIFS(Database!$G:$G,Database!$D:$D,"Import",Database!$E:$E,$B90,Database!$C:$C,Q$1,Database!$F:$F,"Total")</f>
        <v>0</v>
      </c>
      <c r="R90" s="137">
        <f>SUMIFS(Database!$G:$G,Database!$D:$D,"Import",Database!$E:$E,$B90,Database!$C:$C,R$1,Database!$F:$F,"Total")</f>
        <v>0</v>
      </c>
      <c r="S90" s="137">
        <f>SUMIFS(Database!$G:$G,Database!$D:$D,"Import",Database!$E:$E,$B90,Database!$C:$C,S$1,Database!$F:$F,"Total")</f>
        <v>0</v>
      </c>
      <c r="T90" s="137">
        <f>SUMIFS(Database!$G:$G,Database!$D:$D,"Import",Database!$E:$E,$B90,Database!$C:$C,T$1,Database!$F:$F,"Total")</f>
        <v>0</v>
      </c>
      <c r="U90" s="137">
        <f>SUMIFS(Database!$G:$G,Database!$D:$D,"Import",Database!$E:$E,$B90,Database!$C:$C,U$1,Database!$F:$F,"Total")</f>
        <v>0</v>
      </c>
      <c r="V90" s="137">
        <f>SUMIFS(Database!$G:$G,Database!$D:$D,"Import",Database!$E:$E,$B90,Database!$C:$C,V$1,Database!$F:$F,"Total")</f>
        <v>0</v>
      </c>
      <c r="W90" s="137">
        <f>SUMIFS(Database!$G:$G,Database!$D:$D,"Import",Database!$E:$E,$B90,Database!$C:$C,W$1,Database!$F:$F,"Total")</f>
        <v>0</v>
      </c>
      <c r="X90" s="137">
        <f>SUMIFS(Database!$G:$G,Database!$D:$D,"Import",Database!$E:$E,$B90,Database!$C:$C,X$1,Database!$F:$F,"Total")</f>
        <v>0</v>
      </c>
      <c r="Y90" s="137">
        <f>SUMIFS(Database!$G:$G,Database!$D:$D,"Import",Database!$E:$E,$B90,Database!$C:$C,Y$1,Database!$F:$F,"Total")</f>
        <v>0</v>
      </c>
      <c r="Z90" s="137">
        <f>SUMIFS(Database!$G:$G,Database!$D:$D,"Import",Database!$E:$E,$B90,Database!$C:$C,Z$1,Database!$F:$F,"Total")</f>
        <v>0</v>
      </c>
      <c r="AA90" s="137">
        <f>SUMIFS(Database!$G:$G,Database!$D:$D,"Import",Database!$E:$E,$B90,Database!$C:$C,AA$1,Database!$F:$F,"Total")</f>
        <v>0</v>
      </c>
      <c r="AB90" s="137">
        <f>SUMIFS(Database!$G:$G,Database!$D:$D,"Import",Database!$E:$E,$B90,Database!$C:$C,AB$1,Database!$F:$F,"Total")</f>
        <v>0</v>
      </c>
      <c r="AC90" s="137">
        <f>SUMIFS(Database!$G:$G,Database!$D:$D,"Import",Database!$E:$E,$B90,Database!$C:$C,AC$1,Database!$F:$F,"Total")</f>
        <v>0</v>
      </c>
      <c r="AD90" s="137">
        <f>SUMIFS(Database!$G:$G,Database!$D:$D,"Import",Database!$E:$E,$B90,Database!$C:$C,AD$1,Database!$F:$F,"Total")</f>
        <v>0</v>
      </c>
      <c r="AE90" s="137">
        <f>SUMIFS(Database!$G:$G,Database!$D:$D,"Import",Database!$E:$E,$B90,Database!$C:$C,AE$1,Database!$F:$F,"Total")</f>
        <v>0</v>
      </c>
      <c r="AF90" s="137">
        <f>SUMIFS(Database!$G:$G,Database!$D:$D,"Import",Database!$E:$E,$B90,Database!$C:$C,AF$1,Database!$F:$F,"Total")</f>
        <v>0</v>
      </c>
      <c r="AG90" s="137">
        <f>SUMIFS(Database!$G:$G,Database!$D:$D,"Import",Database!$E:$E,$B90,Database!$C:$C,AG$1,Database!$F:$F,"Total")</f>
        <v>0</v>
      </c>
      <c r="AH90" s="137">
        <f>SUMIFS(Database!$G:$G,Database!$D:$D,"Import",Database!$E:$E,$B90,Database!$C:$C,AH$1,Database!$F:$F,"Total")</f>
        <v>0</v>
      </c>
      <c r="AI90" s="137">
        <f>SUMIFS(Database!$G:$G,Database!$D:$D,"Import",Database!$E:$E,$B90,Database!$C:$C,AI$1,Database!$F:$F,"Total")</f>
        <v>0</v>
      </c>
      <c r="AJ90" s="137">
        <f>SUMIFS(Database!$G:$G,Database!$D:$D,"Import",Database!$E:$E,$B90,Database!$C:$C,AJ$1,Database!$F:$F,"Total")</f>
        <v>3851.5</v>
      </c>
      <c r="AK90" s="137">
        <f>SUMIFS(Database!$G:$G,Database!$D:$D,"Import",Database!$E:$E,$B90,Database!$C:$C,AK$1,Database!$F:$F,"Total")</f>
        <v>3333.5</v>
      </c>
      <c r="AL90" s="137">
        <f>SUMIFS(Database!$G:$G,Database!$D:$D,"Import",Database!$E:$E,$B90,Database!$C:$C,AL$1,Database!$F:$F,"Total")</f>
        <v>3624</v>
      </c>
      <c r="AM90" s="137">
        <f>SUMIFS(Database!$G:$G,Database!$D:$D,"Import",Database!$E:$E,$B90,Database!$C:$C,AM$1,Database!$F:$F,"Total")</f>
        <v>1191</v>
      </c>
      <c r="AN90" s="137">
        <f>SUMIFS(Database!$G:$G,Database!$D:$D,"Import",Database!$E:$E,$B90,Database!$C:$C,AN$1,Database!$F:$F,"Total")</f>
        <v>2128</v>
      </c>
      <c r="AO90" s="137">
        <f>SUMIFS(Database!$G:$G,Database!$D:$D,"Import",Database!$E:$E,$B90,Database!$C:$C,AO$1,Database!$F:$F,"Total")</f>
        <v>4178</v>
      </c>
      <c r="AP90" s="137">
        <f>SUMIFS(Database!$G:$G,Database!$D:$D,"Import",Database!$E:$E,$B90,Database!$C:$C,AP$1,Database!$F:$F,"Total")</f>
        <v>1759</v>
      </c>
      <c r="AQ90" s="137">
        <f>SUMIFS(Database!$G:$G,Database!$D:$D,"Import",Database!$E:$E,$B90,Database!$C:$C,AQ$1,Database!$F:$F,"Total")</f>
        <v>2128</v>
      </c>
      <c r="AR90" s="137">
        <f>SUMIFS(Database!$G:$G,Database!$D:$D,"Import",Database!$E:$E,$B90,Database!$C:$C,AR$1,Database!$F:$F,"Total")</f>
        <v>3425</v>
      </c>
      <c r="AS90" s="137">
        <f>SUMIFS(Database!$G:$G,Database!$D:$D,"Import",Database!$E:$E,$B90,Database!$C:$C,AS$1,Database!$F:$F,"Total")</f>
        <v>5276</v>
      </c>
      <c r="AT90" s="137">
        <f>SUMIFS(Database!$G:$G,Database!$D:$D,"Import",Database!$E:$E,$B90,Database!$C:$C,AT$1,Database!$F:$F,"Total")</f>
        <v>1687</v>
      </c>
      <c r="AU90" s="137">
        <f>SUMIFS(Database!$G:$G,Database!$D:$D,"Import",Database!$E:$E,$B90,Database!$C:$C,AU$1,Database!$F:$F,"Total")</f>
        <v>694</v>
      </c>
      <c r="AV90" s="137">
        <f>SUMIFS(Database!$G:$G,Database!$D:$D,"Import",Database!$E:$E,$B90,Database!$C:$C,AV$1,Database!$F:$F,"Total")</f>
        <v>1157</v>
      </c>
      <c r="AW90" s="137">
        <f>SUMIFS(Database!$G:$G,Database!$D:$D,"Import",Database!$E:$E,$B90,Database!$C:$C,AW$1,Database!$F:$F,"Total")</f>
        <v>1291</v>
      </c>
      <c r="AX90" s="137">
        <f>SUMIFS(Database!$G:$G,Database!$D:$D,"Import",Database!$E:$E,$B90,Database!$C:$C,AX$1,Database!$F:$F,"Total")</f>
        <v>2942</v>
      </c>
      <c r="AY90" s="137">
        <f>SUMIFS(Database!$G:$G,Database!$D:$D,"Import",Database!$E:$E,$B90,Database!$C:$C,AY$1,Database!$F:$F,"Total")</f>
        <v>2364</v>
      </c>
      <c r="AZ90" s="137">
        <f>SUMIFS(Database!$G:$G,Database!$D:$D,"Import",Database!$E:$E,$B90,Database!$C:$C,AZ$1,Database!$F:$F,"Total")</f>
        <v>1573</v>
      </c>
      <c r="BA90" s="137">
        <f>SUMIFS(Database!$G:$G,Database!$D:$D,"Import",Database!$E:$E,$B90,Database!$C:$C,BA$1,Database!$F:$F,"Total")</f>
        <v>1349</v>
      </c>
      <c r="BB90" s="137">
        <f>SUMIFS(Database!$G:$G,Database!$D:$D,"Import",Database!$E:$E,$B90,Database!$C:$C,BB$1,Database!$F:$F,"Total")</f>
        <v>864</v>
      </c>
      <c r="BC90" s="137">
        <f>SUMIFS(Database!$G:$G,Database!$D:$D,"Import",Database!$E:$E,$B90,Database!$C:$C,BC$1,Database!$F:$F,"Total")</f>
        <v>1108</v>
      </c>
      <c r="BD90" s="137">
        <f>SUMIFS(Database!$G:$G,Database!$D:$D,"Import",Database!$E:$E,$B90,Database!$C:$C,BD$1,Database!$F:$F,"Total")</f>
        <v>3160</v>
      </c>
      <c r="BE90" s="137">
        <f>SUMIFS(Database!$G:$G,Database!$D:$D,"Import",Database!$E:$E,$B90,Database!$C:$C,BE$1,Database!$F:$F,"Total")</f>
        <v>1757</v>
      </c>
      <c r="BF90" s="137">
        <f>SUMIFS(Database!$G:$G,Database!$D:$D,"Import",Database!$E:$E,$B90,Database!$C:$C,BF$1,Database!$F:$F,"Total")</f>
        <v>3559</v>
      </c>
      <c r="BG90" s="137">
        <f>SUMIFS(Database!$G:$G,Database!$D:$D,"Import",Database!$E:$E,$B90,Database!$C:$C,BG$1,Database!$F:$F,"Total")</f>
        <v>3107</v>
      </c>
      <c r="BH90" s="137">
        <f>SUMIFS(Database!$G:$G,Database!$D:$D,"Import",Database!$E:$E,$B90,Database!$C:$C,BH$1,Database!$F:$F,"Total")</f>
        <v>406</v>
      </c>
      <c r="BI90" s="137">
        <f>SUMIFS(Database!$G:$G,Database!$D:$D,"Import",Database!$E:$E,$B90,Database!$C:$C,BI$1,Database!$F:$F,"Total")</f>
        <v>0</v>
      </c>
      <c r="BJ90" s="137">
        <f>SUMIFS(Database!$G:$G,Database!$D:$D,"Import",Database!$E:$E,$B90,Database!$C:$C,BJ$1,Database!$F:$F,"Total")</f>
        <v>0</v>
      </c>
      <c r="BK90" s="137">
        <f>SUMIFS(Database!$G:$G,Database!$D:$D,"Import",Database!$E:$E,$B90,Database!$C:$C,BK$1,Database!$F:$F,"Total")</f>
        <v>0</v>
      </c>
      <c r="BL90" s="137">
        <f>SUMIFS(Database!$G:$G,Database!$D:$D,"Import",Database!$E:$E,$B90,Database!$C:$C,BL$1,Database!$F:$F,"Total")</f>
        <v>0</v>
      </c>
      <c r="BM90" s="137">
        <f>SUMIFS(Database!$G:$G,Database!$D:$D,"Import",Database!$E:$E,$B90,Database!$C:$C,BM$1,Database!$F:$F,"Total")</f>
        <v>0</v>
      </c>
      <c r="BN90" s="137">
        <f>SUMIFS(Database!$G:$G,Database!$D:$D,"Import",Database!$E:$E,$B90,Database!$C:$C,BN$1,Database!$F:$F,"Total")</f>
        <v>0</v>
      </c>
      <c r="BO90" s="137">
        <f>SUMIFS(Database!$G:$G,Database!$D:$D,"Import",Database!$E:$E,$B90,Database!$C:$C,BO$1,Database!$F:$F,"Total")</f>
        <v>0</v>
      </c>
      <c r="BP90" s="137">
        <f>SUMIFS(Database!$G:$G,Database!$D:$D,"Import",Database!$E:$E,$B90,Database!$C:$C,BP$1,Database!$F:$F,"Total")</f>
        <v>0</v>
      </c>
      <c r="BQ90" s="137">
        <f>SUMIFS(Database!$G:$G,Database!$D:$D,"Import",Database!$E:$E,$B90,Database!$C:$C,BQ$1,Database!$F:$F,"Total")</f>
        <v>0</v>
      </c>
      <c r="BR90" s="137">
        <f>SUMIFS(Database!$G:$G,Database!$D:$D,"Import",Database!$E:$E,$B90,Database!$C:$C,BR$1,Database!$F:$F,"Total")</f>
        <v>0</v>
      </c>
      <c r="BS90" s="137">
        <f>SUMIFS(Database!$G:$G,Database!$D:$D,"Import",Database!$E:$E,$B90,Database!$C:$C,BS$1,Database!$F:$F,"Total")</f>
        <v>0</v>
      </c>
      <c r="BT90" s="137">
        <f>SUMIFS(Database!$G:$G,Database!$D:$D,"Import",Database!$E:$E,$B90,Database!$C:$C,BT$1,Database!$F:$F,"Total")</f>
        <v>0</v>
      </c>
      <c r="BU90" s="137">
        <f>SUMIFS(Database!$G:$G,Database!$D:$D,"Import",Database!$E:$E,$B90,Database!$C:$C,BU$1,Database!$F:$F,"Total")</f>
        <v>0</v>
      </c>
      <c r="BV90" s="137">
        <f>SUMIFS(Database!$G:$G,Database!$D:$D,"Import",Database!$E:$E,$B90,Database!$C:$C,BV$1,Database!$F:$F,"Total")</f>
        <v>0</v>
      </c>
      <c r="BW90" s="137">
        <f>SUMIFS(Database!$G:$G,Database!$D:$D,"Import",Database!$E:$E,$B90,Database!$C:$C,BW$1,Database!$F:$F,"Total")</f>
        <v>0</v>
      </c>
      <c r="BX90" s="137">
        <f>SUMIFS(Database!$G:$G,Database!$D:$D,"Import",Database!$E:$E,$B90,Database!$C:$C,BX$1,Database!$F:$F,"Total")</f>
        <v>0</v>
      </c>
      <c r="BY90" s="137">
        <f>SUMIFS(Database!$G:$G,Database!$D:$D,"Import",Database!$E:$E,$B90,Database!$C:$C,BY$1,Database!$F:$F,"Total")</f>
        <v>0</v>
      </c>
      <c r="BZ90" s="137">
        <f>SUMIFS(Database!$G:$G,Database!$D:$D,"Import",Database!$E:$E,$B90,Database!$C:$C,BZ$1,Database!$F:$F,"Total")</f>
        <v>0</v>
      </c>
      <c r="CA90" s="137">
        <f>SUMIFS(Database!$G:$G,Database!$D:$D,"Import",Database!$E:$E,$B90,Database!$C:$C,CA$1,Database!$F:$F,"Total")</f>
        <v>0</v>
      </c>
      <c r="CB90" s="137">
        <f>SUMIFS(Database!$G:$G,Database!$D:$D,"Import",Database!$E:$E,$B90,Database!$C:$C,CB$1,Database!$F:$F,"Total")</f>
        <v>0</v>
      </c>
      <c r="CC90" s="137">
        <f>SUMIFS(Database!$G:$G,Database!$D:$D,"Import",Database!$E:$E,$B90,Database!$C:$C,CC$1,Database!$F:$F,"Total")</f>
        <v>0</v>
      </c>
      <c r="CD90" s="137">
        <f>SUMIFS(Database!$G:$G,Database!$D:$D,"Import",Database!$E:$E,$B90,Database!$C:$C,CD$1,Database!$F:$F,"Total")</f>
        <v>0</v>
      </c>
      <c r="CE90" s="137">
        <f>SUMIFS(Database!$G:$G,Database!$D:$D,"Import",Database!$E:$E,$B90,Database!$C:$C,CE$1,Database!$F:$F,"Total")</f>
        <v>0</v>
      </c>
      <c r="CF90" s="137">
        <f>SUMIFS(Database!$G:$G,Database!$D:$D,"Import",Database!$E:$E,$B90,Database!$C:$C,CF$1,Database!$F:$F,"Total")</f>
        <v>0</v>
      </c>
      <c r="CG90" s="137">
        <f>SUMIFS(Database!$G:$G,Database!$D:$D,"Import",Database!$E:$E,$B90,Database!$C:$C,CG$1,Database!$F:$F,"Total")</f>
        <v>0</v>
      </c>
      <c r="CH90" s="137">
        <f>SUMIFS(Database!$G:$G,Database!$D:$D,"Import",Database!$E:$E,$B90,Database!$C:$C,CH$1,Database!$F:$F,"Total")</f>
        <v>0</v>
      </c>
      <c r="CI90" s="137">
        <f>SUMIFS(Database!$G:$G,Database!$D:$D,"Import",Database!$E:$E,$B90,Database!$C:$C,CI$1,Database!$F:$F,"Total")</f>
        <v>0</v>
      </c>
      <c r="CJ90" s="137">
        <f>SUMIFS(Database!$G:$G,Database!$D:$D,"Import",Database!$E:$E,$B90,Database!$C:$C,CJ$1,Database!$F:$F,"Total")</f>
        <v>0</v>
      </c>
      <c r="CK90" s="137">
        <f>SUMIFS(Database!$G:$G,Database!$D:$D,"Import",Database!$E:$E,$B90,Database!$C:$C,CK$1,Database!$F:$F,"Total")</f>
        <v>0</v>
      </c>
      <c r="CL90" s="137">
        <f>SUMIFS(Database!$G:$G,Database!$D:$D,"Import",Database!$E:$E,$B90,Database!$C:$C,CL$1,Database!$F:$F,"Total")</f>
        <v>0</v>
      </c>
      <c r="CM90" s="137">
        <f>SUMIFS(Database!$G:$G,Database!$D:$D,"Import",Database!$E:$E,$B90,Database!$C:$C,CM$1,Database!$F:$F,"Total")</f>
        <v>0</v>
      </c>
      <c r="CN90" s="137">
        <f>SUMIFS(Database!$G:$G,Database!$D:$D,"Import",Database!$E:$E,$B90,Database!$C:$C,CN$1,Database!$F:$F,"Total")</f>
        <v>0</v>
      </c>
      <c r="CO90" s="137">
        <f>SUMIFS(Database!$G:$G,Database!$D:$D,"Import",Database!$E:$E,$B90,Database!$C:$C,CO$1,Database!$F:$F,"Total")</f>
        <v>0</v>
      </c>
      <c r="CP90" s="137">
        <f>SUMIFS(Database!$G:$G,Database!$D:$D,"Import",Database!$E:$E,$B90,Database!$C:$C,CP$1,Database!$F:$F,"Total")</f>
        <v>0</v>
      </c>
      <c r="CQ90" s="137">
        <f>SUMIFS(Database!$G:$G,Database!$D:$D,"Import",Database!$E:$E,$B90,Database!$C:$C,CQ$1,Database!$F:$F,"Total")</f>
        <v>0</v>
      </c>
      <c r="CR90" s="137">
        <f>SUMIFS(Database!$G:$G,Database!$D:$D,"Import",Database!$E:$E,$B90,Database!$C:$C,CR$1,Database!$F:$F,"Total")</f>
        <v>0</v>
      </c>
      <c r="CS90" s="137">
        <f>SUMIFS(Database!$G:$G,Database!$D:$D,"Import",Database!$E:$E,$B90,Database!$C:$C,CS$1,Database!$F:$F,"Total")</f>
        <v>0</v>
      </c>
      <c r="CT90" s="137">
        <f>SUMIFS(Database!$G:$G,Database!$D:$D,"Import",Database!$E:$E,$B90,Database!$C:$C,CT$1,Database!$F:$F,"Total")</f>
        <v>0</v>
      </c>
      <c r="CU90" s="137">
        <f>SUMIFS(Database!$G:$G,Database!$D:$D,"Import",Database!$E:$E,$B90,Database!$C:$C,CU$1,Database!$F:$F,"Total")</f>
        <v>0</v>
      </c>
    </row>
    <row r="91" spans="1:99" x14ac:dyDescent="0.25">
      <c r="A91" s="132" t="s">
        <v>484</v>
      </c>
      <c r="B91" s="133" t="s">
        <v>100</v>
      </c>
      <c r="C91" s="137">
        <f>SUMIFS(Database!$G:$G,Database!$D:$D,"Import",Database!$E:$E,$B91,Database!$C:$C,C$1,Database!$F:$F,"Total")</f>
        <v>0</v>
      </c>
      <c r="D91" s="137">
        <f>SUMIFS(Database!$G:$G,Database!$D:$D,"Import",Database!$E:$E,$B91,Database!$C:$C,D$1,Database!$F:$F,"Total")</f>
        <v>0</v>
      </c>
      <c r="E91" s="137">
        <f>SUMIFS(Database!$G:$G,Database!$D:$D,"Import",Database!$E:$E,$B91,Database!$C:$C,E$1,Database!$F:$F,"Total")</f>
        <v>0</v>
      </c>
      <c r="F91" s="137">
        <f>SUMIFS(Database!$G:$G,Database!$D:$D,"Import",Database!$E:$E,$B91,Database!$C:$C,F$1,Database!$F:$F,"Total")</f>
        <v>0</v>
      </c>
      <c r="G91" s="137">
        <f>SUMIFS(Database!$G:$G,Database!$D:$D,"Import",Database!$E:$E,$B91,Database!$C:$C,G$1,Database!$F:$F,"Total")</f>
        <v>0</v>
      </c>
      <c r="H91" s="137">
        <f>SUMIFS(Database!$G:$G,Database!$D:$D,"Import",Database!$E:$E,$B91,Database!$C:$C,H$1,Database!$F:$F,"Total")</f>
        <v>0</v>
      </c>
      <c r="I91" s="137">
        <f>SUMIFS(Database!$G:$G,Database!$D:$D,"Import",Database!$E:$E,$B91,Database!$C:$C,I$1,Database!$F:$F,"Total")</f>
        <v>0</v>
      </c>
      <c r="J91" s="137">
        <f>SUMIFS(Database!$G:$G,Database!$D:$D,"Import",Database!$E:$E,$B91,Database!$C:$C,J$1,Database!$F:$F,"Total")</f>
        <v>0</v>
      </c>
      <c r="K91" s="137">
        <f>SUMIFS(Database!$G:$G,Database!$D:$D,"Import",Database!$E:$E,$B91,Database!$C:$C,K$1,Database!$F:$F,"Total")</f>
        <v>0</v>
      </c>
      <c r="L91" s="137">
        <f>SUMIFS(Database!$G:$G,Database!$D:$D,"Import",Database!$E:$E,$B91,Database!$C:$C,L$1,Database!$F:$F,"Total")</f>
        <v>0</v>
      </c>
      <c r="M91" s="137">
        <f>SUMIFS(Database!$G:$G,Database!$D:$D,"Import",Database!$E:$E,$B91,Database!$C:$C,M$1,Database!$F:$F,"Total")</f>
        <v>0</v>
      </c>
      <c r="N91" s="137">
        <f>SUMIFS(Database!$G:$G,Database!$D:$D,"Import",Database!$E:$E,$B91,Database!$C:$C,N$1,Database!$F:$F,"Total")</f>
        <v>0</v>
      </c>
      <c r="O91" s="137">
        <f>SUMIFS(Database!$G:$G,Database!$D:$D,"Import",Database!$E:$E,$B91,Database!$C:$C,O$1,Database!$F:$F,"Total")</f>
        <v>0</v>
      </c>
      <c r="P91" s="137">
        <f>SUMIFS(Database!$G:$G,Database!$D:$D,"Import",Database!$E:$E,$B91,Database!$C:$C,P$1,Database!$F:$F,"Total")</f>
        <v>0</v>
      </c>
      <c r="Q91" s="137">
        <f>SUMIFS(Database!$G:$G,Database!$D:$D,"Import",Database!$E:$E,$B91,Database!$C:$C,Q$1,Database!$F:$F,"Total")</f>
        <v>0</v>
      </c>
      <c r="R91" s="137">
        <f>SUMIFS(Database!$G:$G,Database!$D:$D,"Import",Database!$E:$E,$B91,Database!$C:$C,R$1,Database!$F:$F,"Total")</f>
        <v>0</v>
      </c>
      <c r="S91" s="137">
        <f>SUMIFS(Database!$G:$G,Database!$D:$D,"Import",Database!$E:$E,$B91,Database!$C:$C,S$1,Database!$F:$F,"Total")</f>
        <v>0</v>
      </c>
      <c r="T91" s="137">
        <f>SUMIFS(Database!$G:$G,Database!$D:$D,"Import",Database!$E:$E,$B91,Database!$C:$C,T$1,Database!$F:$F,"Total")</f>
        <v>0</v>
      </c>
      <c r="U91" s="137">
        <f>SUMIFS(Database!$G:$G,Database!$D:$D,"Import",Database!$E:$E,$B91,Database!$C:$C,U$1,Database!$F:$F,"Total")</f>
        <v>0</v>
      </c>
      <c r="V91" s="137">
        <f>SUMIFS(Database!$G:$G,Database!$D:$D,"Import",Database!$E:$E,$B91,Database!$C:$C,V$1,Database!$F:$F,"Total")</f>
        <v>0</v>
      </c>
      <c r="W91" s="137">
        <f>SUMIFS(Database!$G:$G,Database!$D:$D,"Import",Database!$E:$E,$B91,Database!$C:$C,W$1,Database!$F:$F,"Total")</f>
        <v>0</v>
      </c>
      <c r="X91" s="137">
        <f>SUMIFS(Database!$G:$G,Database!$D:$D,"Import",Database!$E:$E,$B91,Database!$C:$C,X$1,Database!$F:$F,"Total")</f>
        <v>0</v>
      </c>
      <c r="Y91" s="137">
        <f>SUMIFS(Database!$G:$G,Database!$D:$D,"Import",Database!$E:$E,$B91,Database!$C:$C,Y$1,Database!$F:$F,"Total")</f>
        <v>0</v>
      </c>
      <c r="Z91" s="137">
        <f>SUMIFS(Database!$G:$G,Database!$D:$D,"Import",Database!$E:$E,$B91,Database!$C:$C,Z$1,Database!$F:$F,"Total")</f>
        <v>0</v>
      </c>
      <c r="AA91" s="137">
        <f>SUMIFS(Database!$G:$G,Database!$D:$D,"Import",Database!$E:$E,$B91,Database!$C:$C,AA$1,Database!$F:$F,"Total")</f>
        <v>0</v>
      </c>
      <c r="AB91" s="137">
        <f>SUMIFS(Database!$G:$G,Database!$D:$D,"Import",Database!$E:$E,$B91,Database!$C:$C,AB$1,Database!$F:$F,"Total")</f>
        <v>0</v>
      </c>
      <c r="AC91" s="137">
        <f>SUMIFS(Database!$G:$G,Database!$D:$D,"Import",Database!$E:$E,$B91,Database!$C:$C,AC$1,Database!$F:$F,"Total")</f>
        <v>0</v>
      </c>
      <c r="AD91" s="137">
        <f>SUMIFS(Database!$G:$G,Database!$D:$D,"Import",Database!$E:$E,$B91,Database!$C:$C,AD$1,Database!$F:$F,"Total")</f>
        <v>0</v>
      </c>
      <c r="AE91" s="137">
        <f>SUMIFS(Database!$G:$G,Database!$D:$D,"Import",Database!$E:$E,$B91,Database!$C:$C,AE$1,Database!$F:$F,"Total")</f>
        <v>0</v>
      </c>
      <c r="AF91" s="137">
        <f>SUMIFS(Database!$G:$G,Database!$D:$D,"Import",Database!$E:$E,$B91,Database!$C:$C,AF$1,Database!$F:$F,"Total")</f>
        <v>0</v>
      </c>
      <c r="AG91" s="137">
        <f>SUMIFS(Database!$G:$G,Database!$D:$D,"Import",Database!$E:$E,$B91,Database!$C:$C,AG$1,Database!$F:$F,"Total")</f>
        <v>0</v>
      </c>
      <c r="AH91" s="137">
        <f>SUMIFS(Database!$G:$G,Database!$D:$D,"Import",Database!$E:$E,$B91,Database!$C:$C,AH$1,Database!$F:$F,"Total")</f>
        <v>0</v>
      </c>
      <c r="AI91" s="137">
        <f>SUMIFS(Database!$G:$G,Database!$D:$D,"Import",Database!$E:$E,$B91,Database!$C:$C,AI$1,Database!$F:$F,"Total")</f>
        <v>0</v>
      </c>
      <c r="AJ91" s="137">
        <f>SUMIFS(Database!$G:$G,Database!$D:$D,"Import",Database!$E:$E,$B91,Database!$C:$C,AJ$1,Database!$F:$F,"Total")</f>
        <v>1050</v>
      </c>
      <c r="AK91" s="137">
        <f>SUMIFS(Database!$G:$G,Database!$D:$D,"Import",Database!$E:$E,$B91,Database!$C:$C,AK$1,Database!$F:$F,"Total")</f>
        <v>0</v>
      </c>
      <c r="AL91" s="137">
        <f>SUMIFS(Database!$G:$G,Database!$D:$D,"Import",Database!$E:$E,$B91,Database!$C:$C,AL$1,Database!$F:$F,"Total")</f>
        <v>0</v>
      </c>
      <c r="AM91" s="137">
        <f>SUMIFS(Database!$G:$G,Database!$D:$D,"Import",Database!$E:$E,$B91,Database!$C:$C,AM$1,Database!$F:$F,"Total")</f>
        <v>0</v>
      </c>
      <c r="AN91" s="137">
        <f>SUMIFS(Database!$G:$G,Database!$D:$D,"Import",Database!$E:$E,$B91,Database!$C:$C,AN$1,Database!$F:$F,"Total")</f>
        <v>0</v>
      </c>
      <c r="AO91" s="137">
        <f>SUMIFS(Database!$G:$G,Database!$D:$D,"Import",Database!$E:$E,$B91,Database!$C:$C,AO$1,Database!$F:$F,"Total")</f>
        <v>0</v>
      </c>
      <c r="AP91" s="137">
        <f>SUMIFS(Database!$G:$G,Database!$D:$D,"Import",Database!$E:$E,$B91,Database!$C:$C,AP$1,Database!$F:$F,"Total")</f>
        <v>0</v>
      </c>
      <c r="AQ91" s="137">
        <f>SUMIFS(Database!$G:$G,Database!$D:$D,"Import",Database!$E:$E,$B91,Database!$C:$C,AQ$1,Database!$F:$F,"Total")</f>
        <v>0</v>
      </c>
      <c r="AR91" s="137">
        <f>SUMIFS(Database!$G:$G,Database!$D:$D,"Import",Database!$E:$E,$B91,Database!$C:$C,AR$1,Database!$F:$F,"Total")</f>
        <v>0</v>
      </c>
      <c r="AS91" s="137">
        <f>SUMIFS(Database!$G:$G,Database!$D:$D,"Import",Database!$E:$E,$B91,Database!$C:$C,AS$1,Database!$F:$F,"Total")</f>
        <v>0</v>
      </c>
      <c r="AT91" s="137">
        <f>SUMIFS(Database!$G:$G,Database!$D:$D,"Import",Database!$E:$E,$B91,Database!$C:$C,AT$1,Database!$F:$F,"Total")</f>
        <v>0</v>
      </c>
      <c r="AU91" s="137">
        <f>SUMIFS(Database!$G:$G,Database!$D:$D,"Import",Database!$E:$E,$B91,Database!$C:$C,AU$1,Database!$F:$F,"Total")</f>
        <v>0</v>
      </c>
      <c r="AV91" s="137">
        <f>SUMIFS(Database!$G:$G,Database!$D:$D,"Import",Database!$E:$E,$B91,Database!$C:$C,AV$1,Database!$F:$F,"Total")</f>
        <v>0</v>
      </c>
      <c r="AW91" s="137">
        <f>SUMIFS(Database!$G:$G,Database!$D:$D,"Import",Database!$E:$E,$B91,Database!$C:$C,AW$1,Database!$F:$F,"Total")</f>
        <v>0</v>
      </c>
      <c r="AX91" s="137">
        <f>SUMIFS(Database!$G:$G,Database!$D:$D,"Import",Database!$E:$E,$B91,Database!$C:$C,AX$1,Database!$F:$F,"Total")</f>
        <v>0</v>
      </c>
      <c r="AY91" s="137">
        <f>SUMIFS(Database!$G:$G,Database!$D:$D,"Import",Database!$E:$E,$B91,Database!$C:$C,AY$1,Database!$F:$F,"Total")</f>
        <v>0</v>
      </c>
      <c r="AZ91" s="137">
        <f>SUMIFS(Database!$G:$G,Database!$D:$D,"Import",Database!$E:$E,$B91,Database!$C:$C,AZ$1,Database!$F:$F,"Total")</f>
        <v>0</v>
      </c>
      <c r="BA91" s="137">
        <f>SUMIFS(Database!$G:$G,Database!$D:$D,"Import",Database!$E:$E,$B91,Database!$C:$C,BA$1,Database!$F:$F,"Total")</f>
        <v>0</v>
      </c>
      <c r="BB91" s="137">
        <f>SUMIFS(Database!$G:$G,Database!$D:$D,"Import",Database!$E:$E,$B91,Database!$C:$C,BB$1,Database!$F:$F,"Total")</f>
        <v>0</v>
      </c>
      <c r="BC91" s="137">
        <f>SUMIFS(Database!$G:$G,Database!$D:$D,"Import",Database!$E:$E,$B91,Database!$C:$C,BC$1,Database!$F:$F,"Total")</f>
        <v>0</v>
      </c>
      <c r="BD91" s="137">
        <f>SUMIFS(Database!$G:$G,Database!$D:$D,"Import",Database!$E:$E,$B91,Database!$C:$C,BD$1,Database!$F:$F,"Total")</f>
        <v>0</v>
      </c>
      <c r="BE91" s="137">
        <f>SUMIFS(Database!$G:$G,Database!$D:$D,"Import",Database!$E:$E,$B91,Database!$C:$C,BE$1,Database!$F:$F,"Total")</f>
        <v>0</v>
      </c>
      <c r="BF91" s="137">
        <f>SUMIFS(Database!$G:$G,Database!$D:$D,"Import",Database!$E:$E,$B91,Database!$C:$C,BF$1,Database!$F:$F,"Total")</f>
        <v>0</v>
      </c>
      <c r="BG91" s="137">
        <f>SUMIFS(Database!$G:$G,Database!$D:$D,"Import",Database!$E:$E,$B91,Database!$C:$C,BG$1,Database!$F:$F,"Total")</f>
        <v>0</v>
      </c>
      <c r="BH91" s="137">
        <f>SUMIFS(Database!$G:$G,Database!$D:$D,"Import",Database!$E:$E,$B91,Database!$C:$C,BH$1,Database!$F:$F,"Total")</f>
        <v>0</v>
      </c>
      <c r="BI91" s="137">
        <f>SUMIFS(Database!$G:$G,Database!$D:$D,"Import",Database!$E:$E,$B91,Database!$C:$C,BI$1,Database!$F:$F,"Total")</f>
        <v>0</v>
      </c>
      <c r="BJ91" s="137">
        <f>SUMIFS(Database!$G:$G,Database!$D:$D,"Import",Database!$E:$E,$B91,Database!$C:$C,BJ$1,Database!$F:$F,"Total")</f>
        <v>0</v>
      </c>
      <c r="BK91" s="137">
        <f>SUMIFS(Database!$G:$G,Database!$D:$D,"Import",Database!$E:$E,$B91,Database!$C:$C,BK$1,Database!$F:$F,"Total")</f>
        <v>0</v>
      </c>
      <c r="BL91" s="137">
        <f>SUMIFS(Database!$G:$G,Database!$D:$D,"Import",Database!$E:$E,$B91,Database!$C:$C,BL$1,Database!$F:$F,"Total")</f>
        <v>0</v>
      </c>
      <c r="BM91" s="137">
        <f>SUMIFS(Database!$G:$G,Database!$D:$D,"Import",Database!$E:$E,$B91,Database!$C:$C,BM$1,Database!$F:$F,"Total")</f>
        <v>0</v>
      </c>
      <c r="BN91" s="137">
        <f>SUMIFS(Database!$G:$G,Database!$D:$D,"Import",Database!$E:$E,$B91,Database!$C:$C,BN$1,Database!$F:$F,"Total")</f>
        <v>0</v>
      </c>
      <c r="BO91" s="137">
        <f>SUMIFS(Database!$G:$G,Database!$D:$D,"Import",Database!$E:$E,$B91,Database!$C:$C,BO$1,Database!$F:$F,"Total")</f>
        <v>0</v>
      </c>
      <c r="BP91" s="137">
        <f>SUMIFS(Database!$G:$G,Database!$D:$D,"Import",Database!$E:$E,$B91,Database!$C:$C,BP$1,Database!$F:$F,"Total")</f>
        <v>0</v>
      </c>
      <c r="BQ91" s="137">
        <f>SUMIFS(Database!$G:$G,Database!$D:$D,"Import",Database!$E:$E,$B91,Database!$C:$C,BQ$1,Database!$F:$F,"Total")</f>
        <v>0</v>
      </c>
      <c r="BR91" s="137">
        <f>SUMIFS(Database!$G:$G,Database!$D:$D,"Import",Database!$E:$E,$B91,Database!$C:$C,BR$1,Database!$F:$F,"Total")</f>
        <v>0</v>
      </c>
      <c r="BS91" s="137">
        <f>SUMIFS(Database!$G:$G,Database!$D:$D,"Import",Database!$E:$E,$B91,Database!$C:$C,BS$1,Database!$F:$F,"Total")</f>
        <v>0</v>
      </c>
      <c r="BT91" s="137">
        <f>SUMIFS(Database!$G:$G,Database!$D:$D,"Import",Database!$E:$E,$B91,Database!$C:$C,BT$1,Database!$F:$F,"Total")</f>
        <v>0</v>
      </c>
      <c r="BU91" s="137">
        <f>SUMIFS(Database!$G:$G,Database!$D:$D,"Import",Database!$E:$E,$B91,Database!$C:$C,BU$1,Database!$F:$F,"Total")</f>
        <v>0</v>
      </c>
      <c r="BV91" s="137">
        <f>SUMIFS(Database!$G:$G,Database!$D:$D,"Import",Database!$E:$E,$B91,Database!$C:$C,BV$1,Database!$F:$F,"Total")</f>
        <v>0</v>
      </c>
      <c r="BW91" s="137">
        <f>SUMIFS(Database!$G:$G,Database!$D:$D,"Import",Database!$E:$E,$B91,Database!$C:$C,BW$1,Database!$F:$F,"Total")</f>
        <v>0</v>
      </c>
      <c r="BX91" s="137">
        <f>SUMIFS(Database!$G:$G,Database!$D:$D,"Import",Database!$E:$E,$B91,Database!$C:$C,BX$1,Database!$F:$F,"Total")</f>
        <v>0</v>
      </c>
      <c r="BY91" s="137">
        <f>SUMIFS(Database!$G:$G,Database!$D:$D,"Import",Database!$E:$E,$B91,Database!$C:$C,BY$1,Database!$F:$F,"Total")</f>
        <v>0</v>
      </c>
      <c r="BZ91" s="137">
        <f>SUMIFS(Database!$G:$G,Database!$D:$D,"Import",Database!$E:$E,$B91,Database!$C:$C,BZ$1,Database!$F:$F,"Total")</f>
        <v>0</v>
      </c>
      <c r="CA91" s="137">
        <f>SUMIFS(Database!$G:$G,Database!$D:$D,"Import",Database!$E:$E,$B91,Database!$C:$C,CA$1,Database!$F:$F,"Total")</f>
        <v>0</v>
      </c>
      <c r="CB91" s="137">
        <f>SUMIFS(Database!$G:$G,Database!$D:$D,"Import",Database!$E:$E,$B91,Database!$C:$C,CB$1,Database!$F:$F,"Total")</f>
        <v>0</v>
      </c>
      <c r="CC91" s="137">
        <f>SUMIFS(Database!$G:$G,Database!$D:$D,"Import",Database!$E:$E,$B91,Database!$C:$C,CC$1,Database!$F:$F,"Total")</f>
        <v>0</v>
      </c>
      <c r="CD91" s="137">
        <f>SUMIFS(Database!$G:$G,Database!$D:$D,"Import",Database!$E:$E,$B91,Database!$C:$C,CD$1,Database!$F:$F,"Total")</f>
        <v>0</v>
      </c>
      <c r="CE91" s="137">
        <f>SUMIFS(Database!$G:$G,Database!$D:$D,"Import",Database!$E:$E,$B91,Database!$C:$C,CE$1,Database!$F:$F,"Total")</f>
        <v>0</v>
      </c>
      <c r="CF91" s="137">
        <f>SUMIFS(Database!$G:$G,Database!$D:$D,"Import",Database!$E:$E,$B91,Database!$C:$C,CF$1,Database!$F:$F,"Total")</f>
        <v>0</v>
      </c>
      <c r="CG91" s="137">
        <f>SUMIFS(Database!$G:$G,Database!$D:$D,"Import",Database!$E:$E,$B91,Database!$C:$C,CG$1,Database!$F:$F,"Total")</f>
        <v>0</v>
      </c>
      <c r="CH91" s="137">
        <f>SUMIFS(Database!$G:$G,Database!$D:$D,"Import",Database!$E:$E,$B91,Database!$C:$C,CH$1,Database!$F:$F,"Total")</f>
        <v>0</v>
      </c>
      <c r="CI91" s="137">
        <f>SUMIFS(Database!$G:$G,Database!$D:$D,"Import",Database!$E:$E,$B91,Database!$C:$C,CI$1,Database!$F:$F,"Total")</f>
        <v>0</v>
      </c>
      <c r="CJ91" s="137">
        <f>SUMIFS(Database!$G:$G,Database!$D:$D,"Import",Database!$E:$E,$B91,Database!$C:$C,CJ$1,Database!$F:$F,"Total")</f>
        <v>0</v>
      </c>
      <c r="CK91" s="137">
        <f>SUMIFS(Database!$G:$G,Database!$D:$D,"Import",Database!$E:$E,$B91,Database!$C:$C,CK$1,Database!$F:$F,"Total")</f>
        <v>0</v>
      </c>
      <c r="CL91" s="137">
        <f>SUMIFS(Database!$G:$G,Database!$D:$D,"Import",Database!$E:$E,$B91,Database!$C:$C,CL$1,Database!$F:$F,"Total")</f>
        <v>0</v>
      </c>
      <c r="CM91" s="137">
        <f>SUMIFS(Database!$G:$G,Database!$D:$D,"Import",Database!$E:$E,$B91,Database!$C:$C,CM$1,Database!$F:$F,"Total")</f>
        <v>0</v>
      </c>
      <c r="CN91" s="137">
        <f>SUMIFS(Database!$G:$G,Database!$D:$D,"Import",Database!$E:$E,$B91,Database!$C:$C,CN$1,Database!$F:$F,"Total")</f>
        <v>0</v>
      </c>
      <c r="CO91" s="137">
        <f>SUMIFS(Database!$G:$G,Database!$D:$D,"Import",Database!$E:$E,$B91,Database!$C:$C,CO$1,Database!$F:$F,"Total")</f>
        <v>0</v>
      </c>
      <c r="CP91" s="137">
        <f>SUMIFS(Database!$G:$G,Database!$D:$D,"Import",Database!$E:$E,$B91,Database!$C:$C,CP$1,Database!$F:$F,"Total")</f>
        <v>0</v>
      </c>
      <c r="CQ91" s="137">
        <f>SUMIFS(Database!$G:$G,Database!$D:$D,"Import",Database!$E:$E,$B91,Database!$C:$C,CQ$1,Database!$F:$F,"Total")</f>
        <v>0</v>
      </c>
      <c r="CR91" s="137">
        <f>SUMIFS(Database!$G:$G,Database!$D:$D,"Import",Database!$E:$E,$B91,Database!$C:$C,CR$1,Database!$F:$F,"Total")</f>
        <v>0</v>
      </c>
      <c r="CS91" s="137">
        <f>SUMIFS(Database!$G:$G,Database!$D:$D,"Import",Database!$E:$E,$B91,Database!$C:$C,CS$1,Database!$F:$F,"Total")</f>
        <v>0</v>
      </c>
      <c r="CT91" s="137">
        <f>SUMIFS(Database!$G:$G,Database!$D:$D,"Import",Database!$E:$E,$B91,Database!$C:$C,CT$1,Database!$F:$F,"Total")</f>
        <v>0</v>
      </c>
      <c r="CU91" s="137">
        <f>SUMIFS(Database!$G:$G,Database!$D:$D,"Import",Database!$E:$E,$B91,Database!$C:$C,CU$1,Database!$F:$F,"Total")</f>
        <v>0</v>
      </c>
    </row>
    <row r="92" spans="1:99" x14ac:dyDescent="0.25">
      <c r="A92" s="132" t="s">
        <v>484</v>
      </c>
      <c r="B92" s="133" t="s">
        <v>101</v>
      </c>
      <c r="C92" s="137">
        <f>SUMIFS(Database!$G:$G,Database!$D:$D,"Import",Database!$E:$E,$B92,Database!$C:$C,C$1,Database!$F:$F,"Total")</f>
        <v>0</v>
      </c>
      <c r="D92" s="137">
        <f>SUMIFS(Database!$G:$G,Database!$D:$D,"Import",Database!$E:$E,$B92,Database!$C:$C,D$1,Database!$F:$F,"Total")</f>
        <v>0</v>
      </c>
      <c r="E92" s="137">
        <f>SUMIFS(Database!$G:$G,Database!$D:$D,"Import",Database!$E:$E,$B92,Database!$C:$C,E$1,Database!$F:$F,"Total")</f>
        <v>0</v>
      </c>
      <c r="F92" s="137">
        <f>SUMIFS(Database!$G:$G,Database!$D:$D,"Import",Database!$E:$E,$B92,Database!$C:$C,F$1,Database!$F:$F,"Total")</f>
        <v>0</v>
      </c>
      <c r="G92" s="137">
        <f>SUMIFS(Database!$G:$G,Database!$D:$D,"Import",Database!$E:$E,$B92,Database!$C:$C,G$1,Database!$F:$F,"Total")</f>
        <v>0</v>
      </c>
      <c r="H92" s="137">
        <f>SUMIFS(Database!$G:$G,Database!$D:$D,"Import",Database!$E:$E,$B92,Database!$C:$C,H$1,Database!$F:$F,"Total")</f>
        <v>0</v>
      </c>
      <c r="I92" s="137">
        <f>SUMIFS(Database!$G:$G,Database!$D:$D,"Import",Database!$E:$E,$B92,Database!$C:$C,I$1,Database!$F:$F,"Total")</f>
        <v>0</v>
      </c>
      <c r="J92" s="137">
        <f>SUMIFS(Database!$G:$G,Database!$D:$D,"Import",Database!$E:$E,$B92,Database!$C:$C,J$1,Database!$F:$F,"Total")</f>
        <v>0</v>
      </c>
      <c r="K92" s="137">
        <f>SUMIFS(Database!$G:$G,Database!$D:$D,"Import",Database!$E:$E,$B92,Database!$C:$C,K$1,Database!$F:$F,"Total")</f>
        <v>0</v>
      </c>
      <c r="L92" s="137">
        <f>SUMIFS(Database!$G:$G,Database!$D:$D,"Import",Database!$E:$E,$B92,Database!$C:$C,L$1,Database!$F:$F,"Total")</f>
        <v>0</v>
      </c>
      <c r="M92" s="137">
        <f>SUMIFS(Database!$G:$G,Database!$D:$D,"Import",Database!$E:$E,$B92,Database!$C:$C,M$1,Database!$F:$F,"Total")</f>
        <v>0</v>
      </c>
      <c r="N92" s="137">
        <f>SUMIFS(Database!$G:$G,Database!$D:$D,"Import",Database!$E:$E,$B92,Database!$C:$C,N$1,Database!$F:$F,"Total")</f>
        <v>0</v>
      </c>
      <c r="O92" s="137">
        <f>SUMIFS(Database!$G:$G,Database!$D:$D,"Import",Database!$E:$E,$B92,Database!$C:$C,O$1,Database!$F:$F,"Total")</f>
        <v>0</v>
      </c>
      <c r="P92" s="137">
        <f>SUMIFS(Database!$G:$G,Database!$D:$D,"Import",Database!$E:$E,$B92,Database!$C:$C,P$1,Database!$F:$F,"Total")</f>
        <v>0</v>
      </c>
      <c r="Q92" s="137">
        <f>SUMIFS(Database!$G:$G,Database!$D:$D,"Import",Database!$E:$E,$B92,Database!$C:$C,Q$1,Database!$F:$F,"Total")</f>
        <v>0</v>
      </c>
      <c r="R92" s="137">
        <f>SUMIFS(Database!$G:$G,Database!$D:$D,"Import",Database!$E:$E,$B92,Database!$C:$C,R$1,Database!$F:$F,"Total")</f>
        <v>0</v>
      </c>
      <c r="S92" s="137">
        <f>SUMIFS(Database!$G:$G,Database!$D:$D,"Import",Database!$E:$E,$B92,Database!$C:$C,S$1,Database!$F:$F,"Total")</f>
        <v>0</v>
      </c>
      <c r="T92" s="137">
        <f>SUMIFS(Database!$G:$G,Database!$D:$D,"Import",Database!$E:$E,$B92,Database!$C:$C,T$1,Database!$F:$F,"Total")</f>
        <v>0</v>
      </c>
      <c r="U92" s="137">
        <f>SUMIFS(Database!$G:$G,Database!$D:$D,"Import",Database!$E:$E,$B92,Database!$C:$C,U$1,Database!$F:$F,"Total")</f>
        <v>0</v>
      </c>
      <c r="V92" s="137">
        <f>SUMIFS(Database!$G:$G,Database!$D:$D,"Import",Database!$E:$E,$B92,Database!$C:$C,V$1,Database!$F:$F,"Total")</f>
        <v>0</v>
      </c>
      <c r="W92" s="137">
        <f>SUMIFS(Database!$G:$G,Database!$D:$D,"Import",Database!$E:$E,$B92,Database!$C:$C,W$1,Database!$F:$F,"Total")</f>
        <v>0</v>
      </c>
      <c r="X92" s="137">
        <f>SUMIFS(Database!$G:$G,Database!$D:$D,"Import",Database!$E:$E,$B92,Database!$C:$C,X$1,Database!$F:$F,"Total")</f>
        <v>0</v>
      </c>
      <c r="Y92" s="137">
        <f>SUMIFS(Database!$G:$G,Database!$D:$D,"Import",Database!$E:$E,$B92,Database!$C:$C,Y$1,Database!$F:$F,"Total")</f>
        <v>0</v>
      </c>
      <c r="Z92" s="137">
        <f>SUMIFS(Database!$G:$G,Database!$D:$D,"Import",Database!$E:$E,$B92,Database!$C:$C,Z$1,Database!$F:$F,"Total")</f>
        <v>0</v>
      </c>
      <c r="AA92" s="137">
        <f>SUMIFS(Database!$G:$G,Database!$D:$D,"Import",Database!$E:$E,$B92,Database!$C:$C,AA$1,Database!$F:$F,"Total")</f>
        <v>0</v>
      </c>
      <c r="AB92" s="137">
        <f>SUMIFS(Database!$G:$G,Database!$D:$D,"Import",Database!$E:$E,$B92,Database!$C:$C,AB$1,Database!$F:$F,"Total")</f>
        <v>0</v>
      </c>
      <c r="AC92" s="137">
        <f>SUMIFS(Database!$G:$G,Database!$D:$D,"Import",Database!$E:$E,$B92,Database!$C:$C,AC$1,Database!$F:$F,"Total")</f>
        <v>0</v>
      </c>
      <c r="AD92" s="137">
        <f>SUMIFS(Database!$G:$G,Database!$D:$D,"Import",Database!$E:$E,$B92,Database!$C:$C,AD$1,Database!$F:$F,"Total")</f>
        <v>0</v>
      </c>
      <c r="AE92" s="137">
        <f>SUMIFS(Database!$G:$G,Database!$D:$D,"Import",Database!$E:$E,$B92,Database!$C:$C,AE$1,Database!$F:$F,"Total")</f>
        <v>0</v>
      </c>
      <c r="AF92" s="137">
        <f>SUMIFS(Database!$G:$G,Database!$D:$D,"Import",Database!$E:$E,$B92,Database!$C:$C,AF$1,Database!$F:$F,"Total")</f>
        <v>0</v>
      </c>
      <c r="AG92" s="137">
        <f>SUMIFS(Database!$G:$G,Database!$D:$D,"Import",Database!$E:$E,$B92,Database!$C:$C,AG$1,Database!$F:$F,"Total")</f>
        <v>0</v>
      </c>
      <c r="AH92" s="137">
        <f>SUMIFS(Database!$G:$G,Database!$D:$D,"Import",Database!$E:$E,$B92,Database!$C:$C,AH$1,Database!$F:$F,"Total")</f>
        <v>0</v>
      </c>
      <c r="AI92" s="137">
        <f>SUMIFS(Database!$G:$G,Database!$D:$D,"Import",Database!$E:$E,$B92,Database!$C:$C,AI$1,Database!$F:$F,"Total")</f>
        <v>0</v>
      </c>
      <c r="AJ92" s="137">
        <f>SUMIFS(Database!$G:$G,Database!$D:$D,"Import",Database!$E:$E,$B92,Database!$C:$C,AJ$1,Database!$F:$F,"Total")</f>
        <v>9587350</v>
      </c>
      <c r="AK92" s="137">
        <f>SUMIFS(Database!$G:$G,Database!$D:$D,"Import",Database!$E:$E,$B92,Database!$C:$C,AK$1,Database!$F:$F,"Total")</f>
        <v>10621442</v>
      </c>
      <c r="AL92" s="137">
        <f>SUMIFS(Database!$G:$G,Database!$D:$D,"Import",Database!$E:$E,$B92,Database!$C:$C,AL$1,Database!$F:$F,"Total")</f>
        <v>13121657</v>
      </c>
      <c r="AM92" s="137">
        <f>SUMIFS(Database!$G:$G,Database!$D:$D,"Import",Database!$E:$E,$B92,Database!$C:$C,AM$1,Database!$F:$F,"Total")</f>
        <v>8840885</v>
      </c>
      <c r="AN92" s="137">
        <f>SUMIFS(Database!$G:$G,Database!$D:$D,"Import",Database!$E:$E,$B92,Database!$C:$C,AN$1,Database!$F:$F,"Total")</f>
        <v>17007287</v>
      </c>
      <c r="AO92" s="137">
        <f>SUMIFS(Database!$G:$G,Database!$D:$D,"Import",Database!$E:$E,$B92,Database!$C:$C,AO$1,Database!$F:$F,"Total")</f>
        <v>14827669</v>
      </c>
      <c r="AP92" s="137">
        <f>SUMIFS(Database!$G:$G,Database!$D:$D,"Import",Database!$E:$E,$B92,Database!$C:$C,AP$1,Database!$F:$F,"Total")</f>
        <v>4272020</v>
      </c>
      <c r="AQ92" s="137">
        <f>SUMIFS(Database!$G:$G,Database!$D:$D,"Import",Database!$E:$E,$B92,Database!$C:$C,AQ$1,Database!$F:$F,"Total")</f>
        <v>6492095</v>
      </c>
      <c r="AR92" s="137">
        <f>SUMIFS(Database!$G:$G,Database!$D:$D,"Import",Database!$E:$E,$B92,Database!$C:$C,AR$1,Database!$F:$F,"Total")</f>
        <v>5459090</v>
      </c>
      <c r="AS92" s="137">
        <f>SUMIFS(Database!$G:$G,Database!$D:$D,"Import",Database!$E:$E,$B92,Database!$C:$C,AS$1,Database!$F:$F,"Total")</f>
        <v>16156492</v>
      </c>
      <c r="AT92" s="137">
        <f>SUMIFS(Database!$G:$G,Database!$D:$D,"Import",Database!$E:$E,$B92,Database!$C:$C,AT$1,Database!$F:$F,"Total")</f>
        <v>10575720</v>
      </c>
      <c r="AU92" s="137">
        <f>SUMIFS(Database!$G:$G,Database!$D:$D,"Import",Database!$E:$E,$B92,Database!$C:$C,AU$1,Database!$F:$F,"Total")</f>
        <v>736420</v>
      </c>
      <c r="AV92" s="137">
        <f>SUMIFS(Database!$G:$G,Database!$D:$D,"Import",Database!$E:$E,$B92,Database!$C:$C,AV$1,Database!$F:$F,"Total")</f>
        <v>1060500</v>
      </c>
      <c r="AW92" s="137">
        <f>SUMIFS(Database!$G:$G,Database!$D:$D,"Import",Database!$E:$E,$B92,Database!$C:$C,AW$1,Database!$F:$F,"Total")</f>
        <v>1395955</v>
      </c>
      <c r="AX92" s="137">
        <f>SUMIFS(Database!$G:$G,Database!$D:$D,"Import",Database!$E:$E,$B92,Database!$C:$C,AX$1,Database!$F:$F,"Total")</f>
        <v>10071830</v>
      </c>
      <c r="AY92" s="137">
        <f>SUMIFS(Database!$G:$G,Database!$D:$D,"Import",Database!$E:$E,$B92,Database!$C:$C,AY$1,Database!$F:$F,"Total")</f>
        <v>15048386</v>
      </c>
      <c r="AZ92" s="137">
        <f>SUMIFS(Database!$G:$G,Database!$D:$D,"Import",Database!$E:$E,$B92,Database!$C:$C,AZ$1,Database!$F:$F,"Total")</f>
        <v>10299918</v>
      </c>
      <c r="BA92" s="137">
        <f>SUMIFS(Database!$G:$G,Database!$D:$D,"Import",Database!$E:$E,$B92,Database!$C:$C,BA$1,Database!$F:$F,"Total")</f>
        <v>8895741</v>
      </c>
      <c r="BB92" s="137">
        <f>SUMIFS(Database!$G:$G,Database!$D:$D,"Import",Database!$E:$E,$B92,Database!$C:$C,BB$1,Database!$F:$F,"Total")</f>
        <v>11360313</v>
      </c>
      <c r="BC92" s="137">
        <f>SUMIFS(Database!$G:$G,Database!$D:$D,"Import",Database!$E:$E,$B92,Database!$C:$C,BC$1,Database!$F:$F,"Total")</f>
        <v>9920739</v>
      </c>
      <c r="BD92" s="137">
        <f>SUMIFS(Database!$G:$G,Database!$D:$D,"Import",Database!$E:$E,$B92,Database!$C:$C,BD$1,Database!$F:$F,"Total")</f>
        <v>7671315</v>
      </c>
      <c r="BE92" s="137">
        <f>SUMIFS(Database!$G:$G,Database!$D:$D,"Import",Database!$E:$E,$B92,Database!$C:$C,BE$1,Database!$F:$F,"Total")</f>
        <v>8363115</v>
      </c>
      <c r="BF92" s="137">
        <f>SUMIFS(Database!$G:$G,Database!$D:$D,"Import",Database!$E:$E,$B92,Database!$C:$C,BF$1,Database!$F:$F,"Total")</f>
        <v>7977680</v>
      </c>
      <c r="BG92" s="137">
        <f>SUMIFS(Database!$G:$G,Database!$D:$D,"Import",Database!$E:$E,$B92,Database!$C:$C,BG$1,Database!$F:$F,"Total")</f>
        <v>5623219</v>
      </c>
      <c r="BH92" s="137">
        <f>SUMIFS(Database!$G:$G,Database!$D:$D,"Import",Database!$E:$E,$B92,Database!$C:$C,BH$1,Database!$F:$F,"Total")</f>
        <v>9148659</v>
      </c>
      <c r="BI92" s="137">
        <f>SUMIFS(Database!$G:$G,Database!$D:$D,"Import",Database!$E:$E,$B92,Database!$C:$C,BI$1,Database!$F:$F,"Total")</f>
        <v>6578604</v>
      </c>
      <c r="BJ92" s="137">
        <f>SUMIFS(Database!$G:$G,Database!$D:$D,"Import",Database!$E:$E,$B92,Database!$C:$C,BJ$1,Database!$F:$F,"Total")</f>
        <v>5552134</v>
      </c>
      <c r="BK92" s="137">
        <f>SUMIFS(Database!$G:$G,Database!$D:$D,"Import",Database!$E:$E,$B92,Database!$C:$C,BK$1,Database!$F:$F,"Total")</f>
        <v>6623969</v>
      </c>
      <c r="BL92" s="137">
        <f>SUMIFS(Database!$G:$G,Database!$D:$D,"Import",Database!$E:$E,$B92,Database!$C:$C,BL$1,Database!$F:$F,"Total")</f>
        <v>0</v>
      </c>
      <c r="BM92" s="137">
        <f>SUMIFS(Database!$G:$G,Database!$D:$D,"Import",Database!$E:$E,$B92,Database!$C:$C,BM$1,Database!$F:$F,"Total")</f>
        <v>0</v>
      </c>
      <c r="BN92" s="137">
        <f>SUMIFS(Database!$G:$G,Database!$D:$D,"Import",Database!$E:$E,$B92,Database!$C:$C,BN$1,Database!$F:$F,"Total")</f>
        <v>2744784</v>
      </c>
      <c r="BO92" s="137">
        <f>SUMIFS(Database!$G:$G,Database!$D:$D,"Import",Database!$E:$E,$B92,Database!$C:$C,BO$1,Database!$F:$F,"Total")</f>
        <v>0</v>
      </c>
      <c r="BP92" s="137">
        <f>SUMIFS(Database!$G:$G,Database!$D:$D,"Import",Database!$E:$E,$B92,Database!$C:$C,BP$1,Database!$F:$F,"Total")</f>
        <v>8300801</v>
      </c>
      <c r="BQ92" s="137">
        <f>SUMIFS(Database!$G:$G,Database!$D:$D,"Import",Database!$E:$E,$B92,Database!$C:$C,BQ$1,Database!$F:$F,"Total")</f>
        <v>5469194</v>
      </c>
      <c r="BR92" s="137">
        <f>SUMIFS(Database!$G:$G,Database!$D:$D,"Import",Database!$E:$E,$B92,Database!$C:$C,BR$1,Database!$F:$F,"Total")</f>
        <v>6864241</v>
      </c>
      <c r="BS92" s="137">
        <f>SUMIFS(Database!$G:$G,Database!$D:$D,"Import",Database!$E:$E,$B92,Database!$C:$C,BS$1,Database!$F:$F,"Total")</f>
        <v>11817410</v>
      </c>
      <c r="BT92" s="137">
        <f>SUMIFS(Database!$G:$G,Database!$D:$D,"Import",Database!$E:$E,$B92,Database!$C:$C,BT$1,Database!$F:$F,"Total")</f>
        <v>9407611</v>
      </c>
      <c r="BU92" s="137">
        <f>SUMIFS(Database!$G:$G,Database!$D:$D,"Import",Database!$E:$E,$B92,Database!$C:$C,BU$1,Database!$F:$F,"Total")</f>
        <v>7910965</v>
      </c>
      <c r="BV92" s="137">
        <f>SUMIFS(Database!$G:$G,Database!$D:$D,"Import",Database!$E:$E,$B92,Database!$C:$C,BV$1,Database!$F:$F,"Total")</f>
        <v>8331318</v>
      </c>
      <c r="BW92" s="137">
        <f>SUMIFS(Database!$G:$G,Database!$D:$D,"Import",Database!$E:$E,$B92,Database!$C:$C,BW$1,Database!$F:$F,"Total")</f>
        <v>14815163</v>
      </c>
      <c r="BX92" s="137">
        <f>SUMIFS(Database!$G:$G,Database!$D:$D,"Import",Database!$E:$E,$B92,Database!$C:$C,BX$1,Database!$F:$F,"Total")</f>
        <v>11920553</v>
      </c>
      <c r="BY92" s="137">
        <f>SUMIFS(Database!$G:$G,Database!$D:$D,"Import",Database!$E:$E,$B92,Database!$C:$C,BY$1,Database!$F:$F,"Total")</f>
        <v>9828010</v>
      </c>
      <c r="BZ92" s="137">
        <f>SUMIFS(Database!$G:$G,Database!$D:$D,"Import",Database!$E:$E,$B92,Database!$C:$C,BZ$1,Database!$F:$F,"Total")</f>
        <v>6743092</v>
      </c>
      <c r="CA92" s="137">
        <f>SUMIFS(Database!$G:$G,Database!$D:$D,"Import",Database!$E:$E,$B92,Database!$C:$C,CA$1,Database!$F:$F,"Total")</f>
        <v>7668018</v>
      </c>
      <c r="CB92" s="137">
        <f>SUMIFS(Database!$G:$G,Database!$D:$D,"Import",Database!$E:$E,$B92,Database!$C:$C,CB$1,Database!$F:$F,"Total")</f>
        <v>0</v>
      </c>
      <c r="CC92" s="137">
        <f>SUMIFS(Database!$G:$G,Database!$D:$D,"Import",Database!$E:$E,$B92,Database!$C:$C,CC$1,Database!$F:$F,"Total")</f>
        <v>0</v>
      </c>
      <c r="CD92" s="137">
        <f>SUMIFS(Database!$G:$G,Database!$D:$D,"Import",Database!$E:$E,$B92,Database!$C:$C,CD$1,Database!$F:$F,"Total")</f>
        <v>0</v>
      </c>
      <c r="CE92" s="137">
        <f>SUMIFS(Database!$G:$G,Database!$D:$D,"Import",Database!$E:$E,$B92,Database!$C:$C,CE$1,Database!$F:$F,"Total")</f>
        <v>0</v>
      </c>
      <c r="CF92" s="137">
        <f>SUMIFS(Database!$G:$G,Database!$D:$D,"Import",Database!$E:$E,$B92,Database!$C:$C,CF$1,Database!$F:$F,"Total")</f>
        <v>0</v>
      </c>
      <c r="CG92" s="137">
        <f>SUMIFS(Database!$G:$G,Database!$D:$D,"Import",Database!$E:$E,$B92,Database!$C:$C,CG$1,Database!$F:$F,"Total")</f>
        <v>0</v>
      </c>
      <c r="CH92" s="137">
        <f>SUMIFS(Database!$G:$G,Database!$D:$D,"Import",Database!$E:$E,$B92,Database!$C:$C,CH$1,Database!$F:$F,"Total")</f>
        <v>0</v>
      </c>
      <c r="CI92" s="137">
        <f>SUMIFS(Database!$G:$G,Database!$D:$D,"Import",Database!$E:$E,$B92,Database!$C:$C,CI$1,Database!$F:$F,"Total")</f>
        <v>0</v>
      </c>
      <c r="CJ92" s="137">
        <f>SUMIFS(Database!$G:$G,Database!$D:$D,"Import",Database!$E:$E,$B92,Database!$C:$C,CJ$1,Database!$F:$F,"Total")</f>
        <v>0</v>
      </c>
      <c r="CK92" s="137">
        <f>SUMIFS(Database!$G:$G,Database!$D:$D,"Import",Database!$E:$E,$B92,Database!$C:$C,CK$1,Database!$F:$F,"Total")</f>
        <v>0</v>
      </c>
      <c r="CL92" s="137">
        <f>SUMIFS(Database!$G:$G,Database!$D:$D,"Import",Database!$E:$E,$B92,Database!$C:$C,CL$1,Database!$F:$F,"Total")</f>
        <v>0</v>
      </c>
      <c r="CM92" s="137">
        <f>SUMIFS(Database!$G:$G,Database!$D:$D,"Import",Database!$E:$E,$B92,Database!$C:$C,CM$1,Database!$F:$F,"Total")</f>
        <v>0</v>
      </c>
      <c r="CN92" s="137">
        <f>SUMIFS(Database!$G:$G,Database!$D:$D,"Import",Database!$E:$E,$B92,Database!$C:$C,CN$1,Database!$F:$F,"Total")</f>
        <v>0</v>
      </c>
      <c r="CO92" s="137">
        <f>SUMIFS(Database!$G:$G,Database!$D:$D,"Import",Database!$E:$E,$B92,Database!$C:$C,CO$1,Database!$F:$F,"Total")</f>
        <v>0</v>
      </c>
      <c r="CP92" s="137">
        <f>SUMIFS(Database!$G:$G,Database!$D:$D,"Import",Database!$E:$E,$B92,Database!$C:$C,CP$1,Database!$F:$F,"Total")</f>
        <v>0</v>
      </c>
      <c r="CQ92" s="137">
        <f>SUMIFS(Database!$G:$G,Database!$D:$D,"Import",Database!$E:$E,$B92,Database!$C:$C,CQ$1,Database!$F:$F,"Total")</f>
        <v>0</v>
      </c>
      <c r="CR92" s="137">
        <f>SUMIFS(Database!$G:$G,Database!$D:$D,"Import",Database!$E:$E,$B92,Database!$C:$C,CR$1,Database!$F:$F,"Total")</f>
        <v>0</v>
      </c>
      <c r="CS92" s="137">
        <f>SUMIFS(Database!$G:$G,Database!$D:$D,"Import",Database!$E:$E,$B92,Database!$C:$C,CS$1,Database!$F:$F,"Total")</f>
        <v>0</v>
      </c>
      <c r="CT92" s="137">
        <f>SUMIFS(Database!$G:$G,Database!$D:$D,"Import",Database!$E:$E,$B92,Database!$C:$C,CT$1,Database!$F:$F,"Total")</f>
        <v>0</v>
      </c>
      <c r="CU92" s="137">
        <f>SUMIFS(Database!$G:$G,Database!$D:$D,"Import",Database!$E:$E,$B92,Database!$C:$C,CU$1,Database!$F:$F,"Total")</f>
        <v>0</v>
      </c>
    </row>
    <row r="93" spans="1:99" x14ac:dyDescent="0.25">
      <c r="A93" s="132" t="s">
        <v>484</v>
      </c>
      <c r="B93" s="133" t="s">
        <v>102</v>
      </c>
      <c r="C93" s="137">
        <f>SUMIFS(Database!$G:$G,Database!$D:$D,"Import",Database!$E:$E,$B93,Database!$C:$C,C$1,Database!$F:$F,"Total")</f>
        <v>0</v>
      </c>
      <c r="D93" s="137">
        <f>SUMIFS(Database!$G:$G,Database!$D:$D,"Import",Database!$E:$E,$B93,Database!$C:$C,D$1,Database!$F:$F,"Total")</f>
        <v>0</v>
      </c>
      <c r="E93" s="137">
        <f>SUMIFS(Database!$G:$G,Database!$D:$D,"Import",Database!$E:$E,$B93,Database!$C:$C,E$1,Database!$F:$F,"Total")</f>
        <v>0</v>
      </c>
      <c r="F93" s="137">
        <f>SUMIFS(Database!$G:$G,Database!$D:$D,"Import",Database!$E:$E,$B93,Database!$C:$C,F$1,Database!$F:$F,"Total")</f>
        <v>0</v>
      </c>
      <c r="G93" s="137">
        <f>SUMIFS(Database!$G:$G,Database!$D:$D,"Import",Database!$E:$E,$B93,Database!$C:$C,G$1,Database!$F:$F,"Total")</f>
        <v>0</v>
      </c>
      <c r="H93" s="137">
        <f>SUMIFS(Database!$G:$G,Database!$D:$D,"Import",Database!$E:$E,$B93,Database!$C:$C,H$1,Database!$F:$F,"Total")</f>
        <v>0</v>
      </c>
      <c r="I93" s="137">
        <f>SUMIFS(Database!$G:$G,Database!$D:$D,"Import",Database!$E:$E,$B93,Database!$C:$C,I$1,Database!$F:$F,"Total")</f>
        <v>0</v>
      </c>
      <c r="J93" s="137">
        <f>SUMIFS(Database!$G:$G,Database!$D:$D,"Import",Database!$E:$E,$B93,Database!$C:$C,J$1,Database!$F:$F,"Total")</f>
        <v>0</v>
      </c>
      <c r="K93" s="137">
        <f>SUMIFS(Database!$G:$G,Database!$D:$D,"Import",Database!$E:$E,$B93,Database!$C:$C,K$1,Database!$F:$F,"Total")</f>
        <v>0</v>
      </c>
      <c r="L93" s="137">
        <f>SUMIFS(Database!$G:$G,Database!$D:$D,"Import",Database!$E:$E,$B93,Database!$C:$C,L$1,Database!$F:$F,"Total")</f>
        <v>0</v>
      </c>
      <c r="M93" s="137">
        <f>SUMIFS(Database!$G:$G,Database!$D:$D,"Import",Database!$E:$E,$B93,Database!$C:$C,M$1,Database!$F:$F,"Total")</f>
        <v>0</v>
      </c>
      <c r="N93" s="137">
        <f>SUMIFS(Database!$G:$G,Database!$D:$D,"Import",Database!$E:$E,$B93,Database!$C:$C,N$1,Database!$F:$F,"Total")</f>
        <v>0</v>
      </c>
      <c r="O93" s="137">
        <f>SUMIFS(Database!$G:$G,Database!$D:$D,"Import",Database!$E:$E,$B93,Database!$C:$C,O$1,Database!$F:$F,"Total")</f>
        <v>0</v>
      </c>
      <c r="P93" s="137">
        <f>SUMIFS(Database!$G:$G,Database!$D:$D,"Import",Database!$E:$E,$B93,Database!$C:$C,P$1,Database!$F:$F,"Total")</f>
        <v>0</v>
      </c>
      <c r="Q93" s="137">
        <f>SUMIFS(Database!$G:$G,Database!$D:$D,"Import",Database!$E:$E,$B93,Database!$C:$C,Q$1,Database!$F:$F,"Total")</f>
        <v>0</v>
      </c>
      <c r="R93" s="137">
        <f>SUMIFS(Database!$G:$G,Database!$D:$D,"Import",Database!$E:$E,$B93,Database!$C:$C,R$1,Database!$F:$F,"Total")</f>
        <v>0</v>
      </c>
      <c r="S93" s="137">
        <f>SUMIFS(Database!$G:$G,Database!$D:$D,"Import",Database!$E:$E,$B93,Database!$C:$C,S$1,Database!$F:$F,"Total")</f>
        <v>0</v>
      </c>
      <c r="T93" s="137">
        <f>SUMIFS(Database!$G:$G,Database!$D:$D,"Import",Database!$E:$E,$B93,Database!$C:$C,T$1,Database!$F:$F,"Total")</f>
        <v>0</v>
      </c>
      <c r="U93" s="137">
        <f>SUMIFS(Database!$G:$G,Database!$D:$D,"Import",Database!$E:$E,$B93,Database!$C:$C,U$1,Database!$F:$F,"Total")</f>
        <v>0</v>
      </c>
      <c r="V93" s="137">
        <f>SUMIFS(Database!$G:$G,Database!$D:$D,"Import",Database!$E:$E,$B93,Database!$C:$C,V$1,Database!$F:$F,"Total")</f>
        <v>0</v>
      </c>
      <c r="W93" s="137">
        <f>SUMIFS(Database!$G:$G,Database!$D:$D,"Import",Database!$E:$E,$B93,Database!$C:$C,W$1,Database!$F:$F,"Total")</f>
        <v>0</v>
      </c>
      <c r="X93" s="137">
        <f>SUMIFS(Database!$G:$G,Database!$D:$D,"Import",Database!$E:$E,$B93,Database!$C:$C,X$1,Database!$F:$F,"Total")</f>
        <v>0</v>
      </c>
      <c r="Y93" s="137">
        <f>SUMIFS(Database!$G:$G,Database!$D:$D,"Import",Database!$E:$E,$B93,Database!$C:$C,Y$1,Database!$F:$F,"Total")</f>
        <v>0</v>
      </c>
      <c r="Z93" s="137">
        <f>SUMIFS(Database!$G:$G,Database!$D:$D,"Import",Database!$E:$E,$B93,Database!$C:$C,Z$1,Database!$F:$F,"Total")</f>
        <v>0</v>
      </c>
      <c r="AA93" s="137">
        <f>SUMIFS(Database!$G:$G,Database!$D:$D,"Import",Database!$E:$E,$B93,Database!$C:$C,AA$1,Database!$F:$F,"Total")</f>
        <v>0</v>
      </c>
      <c r="AB93" s="137">
        <f>SUMIFS(Database!$G:$G,Database!$D:$D,"Import",Database!$E:$E,$B93,Database!$C:$C,AB$1,Database!$F:$F,"Total")</f>
        <v>0</v>
      </c>
      <c r="AC93" s="137">
        <f>SUMIFS(Database!$G:$G,Database!$D:$D,"Import",Database!$E:$E,$B93,Database!$C:$C,AC$1,Database!$F:$F,"Total")</f>
        <v>0</v>
      </c>
      <c r="AD93" s="137">
        <f>SUMIFS(Database!$G:$G,Database!$D:$D,"Import",Database!$E:$E,$B93,Database!$C:$C,AD$1,Database!$F:$F,"Total")</f>
        <v>0</v>
      </c>
      <c r="AE93" s="137">
        <f>SUMIFS(Database!$G:$G,Database!$D:$D,"Import",Database!$E:$E,$B93,Database!$C:$C,AE$1,Database!$F:$F,"Total")</f>
        <v>0</v>
      </c>
      <c r="AF93" s="137">
        <f>SUMIFS(Database!$G:$G,Database!$D:$D,"Import",Database!$E:$E,$B93,Database!$C:$C,AF$1,Database!$F:$F,"Total")</f>
        <v>0</v>
      </c>
      <c r="AG93" s="137">
        <f>SUMIFS(Database!$G:$G,Database!$D:$D,"Import",Database!$E:$E,$B93,Database!$C:$C,AG$1,Database!$F:$F,"Total")</f>
        <v>0</v>
      </c>
      <c r="AH93" s="137">
        <f>SUMIFS(Database!$G:$G,Database!$D:$D,"Import",Database!$E:$E,$B93,Database!$C:$C,AH$1,Database!$F:$F,"Total")</f>
        <v>0</v>
      </c>
      <c r="AI93" s="137">
        <f>SUMIFS(Database!$G:$G,Database!$D:$D,"Import",Database!$E:$E,$B93,Database!$C:$C,AI$1,Database!$F:$F,"Total")</f>
        <v>0</v>
      </c>
      <c r="AJ93" s="137">
        <f>SUMIFS(Database!$G:$G,Database!$D:$D,"Import",Database!$E:$E,$B93,Database!$C:$C,AJ$1,Database!$F:$F,"Total")</f>
        <v>24</v>
      </c>
      <c r="AK93" s="137">
        <f>SUMIFS(Database!$G:$G,Database!$D:$D,"Import",Database!$E:$E,$B93,Database!$C:$C,AK$1,Database!$F:$F,"Total")</f>
        <v>0</v>
      </c>
      <c r="AL93" s="137">
        <f>SUMIFS(Database!$G:$G,Database!$D:$D,"Import",Database!$E:$E,$B93,Database!$C:$C,AL$1,Database!$F:$F,"Total")</f>
        <v>0</v>
      </c>
      <c r="AM93" s="137">
        <f>SUMIFS(Database!$G:$G,Database!$D:$D,"Import",Database!$E:$E,$B93,Database!$C:$C,AM$1,Database!$F:$F,"Total")</f>
        <v>0</v>
      </c>
      <c r="AN93" s="137">
        <f>SUMIFS(Database!$G:$G,Database!$D:$D,"Import",Database!$E:$E,$B93,Database!$C:$C,AN$1,Database!$F:$F,"Total")</f>
        <v>0</v>
      </c>
      <c r="AO93" s="137">
        <f>SUMIFS(Database!$G:$G,Database!$D:$D,"Import",Database!$E:$E,$B93,Database!$C:$C,AO$1,Database!$F:$F,"Total")</f>
        <v>0</v>
      </c>
      <c r="AP93" s="137">
        <f>SUMIFS(Database!$G:$G,Database!$D:$D,"Import",Database!$E:$E,$B93,Database!$C:$C,AP$1,Database!$F:$F,"Total")</f>
        <v>0</v>
      </c>
      <c r="AQ93" s="137">
        <f>SUMIFS(Database!$G:$G,Database!$D:$D,"Import",Database!$E:$E,$B93,Database!$C:$C,AQ$1,Database!$F:$F,"Total")</f>
        <v>0</v>
      </c>
      <c r="AR93" s="137">
        <f>SUMIFS(Database!$G:$G,Database!$D:$D,"Import",Database!$E:$E,$B93,Database!$C:$C,AR$1,Database!$F:$F,"Total")</f>
        <v>0</v>
      </c>
      <c r="AS93" s="137">
        <f>SUMIFS(Database!$G:$G,Database!$D:$D,"Import",Database!$E:$E,$B93,Database!$C:$C,AS$1,Database!$F:$F,"Total")</f>
        <v>0</v>
      </c>
      <c r="AT93" s="137">
        <f>SUMIFS(Database!$G:$G,Database!$D:$D,"Import",Database!$E:$E,$B93,Database!$C:$C,AT$1,Database!$F:$F,"Total")</f>
        <v>0</v>
      </c>
      <c r="AU93" s="137">
        <f>SUMIFS(Database!$G:$G,Database!$D:$D,"Import",Database!$E:$E,$B93,Database!$C:$C,AU$1,Database!$F:$F,"Total")</f>
        <v>0</v>
      </c>
      <c r="AV93" s="137">
        <f>SUMIFS(Database!$G:$G,Database!$D:$D,"Import",Database!$E:$E,$B93,Database!$C:$C,AV$1,Database!$F:$F,"Total")</f>
        <v>0</v>
      </c>
      <c r="AW93" s="137">
        <f>SUMIFS(Database!$G:$G,Database!$D:$D,"Import",Database!$E:$E,$B93,Database!$C:$C,AW$1,Database!$F:$F,"Total")</f>
        <v>0</v>
      </c>
      <c r="AX93" s="137">
        <f>SUMIFS(Database!$G:$G,Database!$D:$D,"Import",Database!$E:$E,$B93,Database!$C:$C,AX$1,Database!$F:$F,"Total")</f>
        <v>0</v>
      </c>
      <c r="AY93" s="137">
        <f>SUMIFS(Database!$G:$G,Database!$D:$D,"Import",Database!$E:$E,$B93,Database!$C:$C,AY$1,Database!$F:$F,"Total")</f>
        <v>0</v>
      </c>
      <c r="AZ93" s="137">
        <f>SUMIFS(Database!$G:$G,Database!$D:$D,"Import",Database!$E:$E,$B93,Database!$C:$C,AZ$1,Database!$F:$F,"Total")</f>
        <v>0</v>
      </c>
      <c r="BA93" s="137">
        <f>SUMIFS(Database!$G:$G,Database!$D:$D,"Import",Database!$E:$E,$B93,Database!$C:$C,BA$1,Database!$F:$F,"Total")</f>
        <v>0</v>
      </c>
      <c r="BB93" s="137">
        <f>SUMIFS(Database!$G:$G,Database!$D:$D,"Import",Database!$E:$E,$B93,Database!$C:$C,BB$1,Database!$F:$F,"Total")</f>
        <v>18287</v>
      </c>
      <c r="BC93" s="137">
        <f>SUMIFS(Database!$G:$G,Database!$D:$D,"Import",Database!$E:$E,$B93,Database!$C:$C,BC$1,Database!$F:$F,"Total")</f>
        <v>0</v>
      </c>
      <c r="BD93" s="137">
        <f>SUMIFS(Database!$G:$G,Database!$D:$D,"Import",Database!$E:$E,$B93,Database!$C:$C,BD$1,Database!$F:$F,"Total")</f>
        <v>0</v>
      </c>
      <c r="BE93" s="137">
        <f>SUMIFS(Database!$G:$G,Database!$D:$D,"Import",Database!$E:$E,$B93,Database!$C:$C,BE$1,Database!$F:$F,"Total")</f>
        <v>0</v>
      </c>
      <c r="BF93" s="137">
        <f>SUMIFS(Database!$G:$G,Database!$D:$D,"Import",Database!$E:$E,$B93,Database!$C:$C,BF$1,Database!$F:$F,"Total")</f>
        <v>0</v>
      </c>
      <c r="BG93" s="137">
        <f>SUMIFS(Database!$G:$G,Database!$D:$D,"Import",Database!$E:$E,$B93,Database!$C:$C,BG$1,Database!$F:$F,"Total")</f>
        <v>0</v>
      </c>
      <c r="BH93" s="137">
        <f>SUMIFS(Database!$G:$G,Database!$D:$D,"Import",Database!$E:$E,$B93,Database!$C:$C,BH$1,Database!$F:$F,"Total")</f>
        <v>0</v>
      </c>
      <c r="BI93" s="137">
        <f>SUMIFS(Database!$G:$G,Database!$D:$D,"Import",Database!$E:$E,$B93,Database!$C:$C,BI$1,Database!$F:$F,"Total")</f>
        <v>0</v>
      </c>
      <c r="BJ93" s="137">
        <f>SUMIFS(Database!$G:$G,Database!$D:$D,"Import",Database!$E:$E,$B93,Database!$C:$C,BJ$1,Database!$F:$F,"Total")</f>
        <v>0</v>
      </c>
      <c r="BK93" s="137">
        <f>SUMIFS(Database!$G:$G,Database!$D:$D,"Import",Database!$E:$E,$B93,Database!$C:$C,BK$1,Database!$F:$F,"Total")</f>
        <v>0</v>
      </c>
      <c r="BL93" s="137">
        <f>SUMIFS(Database!$G:$G,Database!$D:$D,"Import",Database!$E:$E,$B93,Database!$C:$C,BL$1,Database!$F:$F,"Total")</f>
        <v>0</v>
      </c>
      <c r="BM93" s="137">
        <f>SUMIFS(Database!$G:$G,Database!$D:$D,"Import",Database!$E:$E,$B93,Database!$C:$C,BM$1,Database!$F:$F,"Total")</f>
        <v>0</v>
      </c>
      <c r="BN93" s="137">
        <f>SUMIFS(Database!$G:$G,Database!$D:$D,"Import",Database!$E:$E,$B93,Database!$C:$C,BN$1,Database!$F:$F,"Total")</f>
        <v>10842</v>
      </c>
      <c r="BO93" s="137">
        <f>SUMIFS(Database!$G:$G,Database!$D:$D,"Import",Database!$E:$E,$B93,Database!$C:$C,BO$1,Database!$F:$F,"Total")</f>
        <v>0</v>
      </c>
      <c r="BP93" s="137">
        <f>SUMIFS(Database!$G:$G,Database!$D:$D,"Import",Database!$E:$E,$B93,Database!$C:$C,BP$1,Database!$F:$F,"Total")</f>
        <v>18866</v>
      </c>
      <c r="BQ93" s="137">
        <f>SUMIFS(Database!$G:$G,Database!$D:$D,"Import",Database!$E:$E,$B93,Database!$C:$C,BQ$1,Database!$F:$F,"Total")</f>
        <v>23213.5</v>
      </c>
      <c r="BR93" s="137">
        <f>SUMIFS(Database!$G:$G,Database!$D:$D,"Import",Database!$E:$E,$B93,Database!$C:$C,BR$1,Database!$F:$F,"Total")</f>
        <v>23376</v>
      </c>
      <c r="BS93" s="137">
        <f>SUMIFS(Database!$G:$G,Database!$D:$D,"Import",Database!$E:$E,$B93,Database!$C:$C,BS$1,Database!$F:$F,"Total")</f>
        <v>20594</v>
      </c>
      <c r="BT93" s="137">
        <f>SUMIFS(Database!$G:$G,Database!$D:$D,"Import",Database!$E:$E,$B93,Database!$C:$C,BT$1,Database!$F:$F,"Total")</f>
        <v>11350</v>
      </c>
      <c r="BU93" s="137">
        <f>SUMIFS(Database!$G:$G,Database!$D:$D,"Import",Database!$E:$E,$B93,Database!$C:$C,BU$1,Database!$F:$F,"Total")</f>
        <v>33577</v>
      </c>
      <c r="BV93" s="137">
        <f>SUMIFS(Database!$G:$G,Database!$D:$D,"Import",Database!$E:$E,$B93,Database!$C:$C,BV$1,Database!$F:$F,"Total")</f>
        <v>38864</v>
      </c>
      <c r="BW93" s="137">
        <f>SUMIFS(Database!$G:$G,Database!$D:$D,"Import",Database!$E:$E,$B93,Database!$C:$C,BW$1,Database!$F:$F,"Total")</f>
        <v>47101</v>
      </c>
      <c r="BX93" s="137">
        <f>SUMIFS(Database!$G:$G,Database!$D:$D,"Import",Database!$E:$E,$B93,Database!$C:$C,BX$1,Database!$F:$F,"Total")</f>
        <v>28650</v>
      </c>
      <c r="BY93" s="137">
        <f>SUMIFS(Database!$G:$G,Database!$D:$D,"Import",Database!$E:$E,$B93,Database!$C:$C,BY$1,Database!$F:$F,"Total")</f>
        <v>35870</v>
      </c>
      <c r="BZ93" s="137">
        <f>SUMIFS(Database!$G:$G,Database!$D:$D,"Import",Database!$E:$E,$B93,Database!$C:$C,BZ$1,Database!$F:$F,"Total")</f>
        <v>30934</v>
      </c>
      <c r="CA93" s="137">
        <f>SUMIFS(Database!$G:$G,Database!$D:$D,"Import",Database!$E:$E,$B93,Database!$C:$C,CA$1,Database!$F:$F,"Total")</f>
        <v>52277</v>
      </c>
      <c r="CB93" s="137">
        <f>SUMIFS(Database!$G:$G,Database!$D:$D,"Import",Database!$E:$E,$B93,Database!$C:$C,CB$1,Database!$F:$F,"Total")</f>
        <v>0</v>
      </c>
      <c r="CC93" s="137">
        <f>SUMIFS(Database!$G:$G,Database!$D:$D,"Import",Database!$E:$E,$B93,Database!$C:$C,CC$1,Database!$F:$F,"Total")</f>
        <v>0</v>
      </c>
      <c r="CD93" s="137">
        <f>SUMIFS(Database!$G:$G,Database!$D:$D,"Import",Database!$E:$E,$B93,Database!$C:$C,CD$1,Database!$F:$F,"Total")</f>
        <v>0</v>
      </c>
      <c r="CE93" s="137">
        <f>SUMIFS(Database!$G:$G,Database!$D:$D,"Import",Database!$E:$E,$B93,Database!$C:$C,CE$1,Database!$F:$F,"Total")</f>
        <v>0</v>
      </c>
      <c r="CF93" s="137">
        <f>SUMIFS(Database!$G:$G,Database!$D:$D,"Import",Database!$E:$E,$B93,Database!$C:$C,CF$1,Database!$F:$F,"Total")</f>
        <v>0</v>
      </c>
      <c r="CG93" s="137">
        <f>SUMIFS(Database!$G:$G,Database!$D:$D,"Import",Database!$E:$E,$B93,Database!$C:$C,CG$1,Database!$F:$F,"Total")</f>
        <v>0</v>
      </c>
      <c r="CH93" s="137">
        <f>SUMIFS(Database!$G:$G,Database!$D:$D,"Import",Database!$E:$E,$B93,Database!$C:$C,CH$1,Database!$F:$F,"Total")</f>
        <v>0</v>
      </c>
      <c r="CI93" s="137">
        <f>SUMIFS(Database!$G:$G,Database!$D:$D,"Import",Database!$E:$E,$B93,Database!$C:$C,CI$1,Database!$F:$F,"Total")</f>
        <v>0</v>
      </c>
      <c r="CJ93" s="137">
        <f>SUMIFS(Database!$G:$G,Database!$D:$D,"Import",Database!$E:$E,$B93,Database!$C:$C,CJ$1,Database!$F:$F,"Total")</f>
        <v>0</v>
      </c>
      <c r="CK93" s="137">
        <f>SUMIFS(Database!$G:$G,Database!$D:$D,"Import",Database!$E:$E,$B93,Database!$C:$C,CK$1,Database!$F:$F,"Total")</f>
        <v>0</v>
      </c>
      <c r="CL93" s="137">
        <f>SUMIFS(Database!$G:$G,Database!$D:$D,"Import",Database!$E:$E,$B93,Database!$C:$C,CL$1,Database!$F:$F,"Total")</f>
        <v>0</v>
      </c>
      <c r="CM93" s="137">
        <f>SUMIFS(Database!$G:$G,Database!$D:$D,"Import",Database!$E:$E,$B93,Database!$C:$C,CM$1,Database!$F:$F,"Total")</f>
        <v>0</v>
      </c>
      <c r="CN93" s="137">
        <f>SUMIFS(Database!$G:$G,Database!$D:$D,"Import",Database!$E:$E,$B93,Database!$C:$C,CN$1,Database!$F:$F,"Total")</f>
        <v>0</v>
      </c>
      <c r="CO93" s="137">
        <f>SUMIFS(Database!$G:$G,Database!$D:$D,"Import",Database!$E:$E,$B93,Database!$C:$C,CO$1,Database!$F:$F,"Total")</f>
        <v>0</v>
      </c>
      <c r="CP93" s="137">
        <f>SUMIFS(Database!$G:$G,Database!$D:$D,"Import",Database!$E:$E,$B93,Database!$C:$C,CP$1,Database!$F:$F,"Total")</f>
        <v>0</v>
      </c>
      <c r="CQ93" s="137">
        <f>SUMIFS(Database!$G:$G,Database!$D:$D,"Import",Database!$E:$E,$B93,Database!$C:$C,CQ$1,Database!$F:$F,"Total")</f>
        <v>0</v>
      </c>
      <c r="CR93" s="137">
        <f>SUMIFS(Database!$G:$G,Database!$D:$D,"Import",Database!$E:$E,$B93,Database!$C:$C,CR$1,Database!$F:$F,"Total")</f>
        <v>0</v>
      </c>
      <c r="CS93" s="137">
        <f>SUMIFS(Database!$G:$G,Database!$D:$D,"Import",Database!$E:$E,$B93,Database!$C:$C,CS$1,Database!$F:$F,"Total")</f>
        <v>0</v>
      </c>
      <c r="CT93" s="137">
        <f>SUMIFS(Database!$G:$G,Database!$D:$D,"Import",Database!$E:$E,$B93,Database!$C:$C,CT$1,Database!$F:$F,"Total")</f>
        <v>0</v>
      </c>
      <c r="CU93" s="137">
        <f>SUMIFS(Database!$G:$G,Database!$D:$D,"Import",Database!$E:$E,$B93,Database!$C:$C,CU$1,Database!$F:$F,"Total")</f>
        <v>0</v>
      </c>
    </row>
    <row r="94" spans="1:99" x14ac:dyDescent="0.25">
      <c r="A94" s="132" t="s">
        <v>484</v>
      </c>
      <c r="B94" s="133" t="s">
        <v>103</v>
      </c>
      <c r="C94" s="137">
        <f>SUMIFS(Database!$G:$G,Database!$D:$D,"Import",Database!$E:$E,$B94,Database!$C:$C,C$1,Database!$F:$F,"Total")</f>
        <v>0</v>
      </c>
      <c r="D94" s="137">
        <f>SUMIFS(Database!$G:$G,Database!$D:$D,"Import",Database!$E:$E,$B94,Database!$C:$C,D$1,Database!$F:$F,"Total")</f>
        <v>0</v>
      </c>
      <c r="E94" s="137">
        <f>SUMIFS(Database!$G:$G,Database!$D:$D,"Import",Database!$E:$E,$B94,Database!$C:$C,E$1,Database!$F:$F,"Total")</f>
        <v>0</v>
      </c>
      <c r="F94" s="137">
        <f>SUMIFS(Database!$G:$G,Database!$D:$D,"Import",Database!$E:$E,$B94,Database!$C:$C,F$1,Database!$F:$F,"Total")</f>
        <v>0</v>
      </c>
      <c r="G94" s="137">
        <f>SUMIFS(Database!$G:$G,Database!$D:$D,"Import",Database!$E:$E,$B94,Database!$C:$C,G$1,Database!$F:$F,"Total")</f>
        <v>0</v>
      </c>
      <c r="H94" s="137">
        <f>SUMIFS(Database!$G:$G,Database!$D:$D,"Import",Database!$E:$E,$B94,Database!$C:$C,H$1,Database!$F:$F,"Total")</f>
        <v>0</v>
      </c>
      <c r="I94" s="137">
        <f>SUMIFS(Database!$G:$G,Database!$D:$D,"Import",Database!$E:$E,$B94,Database!$C:$C,I$1,Database!$F:$F,"Total")</f>
        <v>0</v>
      </c>
      <c r="J94" s="137">
        <f>SUMIFS(Database!$G:$G,Database!$D:$D,"Import",Database!$E:$E,$B94,Database!$C:$C,J$1,Database!$F:$F,"Total")</f>
        <v>0</v>
      </c>
      <c r="K94" s="137">
        <f>SUMIFS(Database!$G:$G,Database!$D:$D,"Import",Database!$E:$E,$B94,Database!$C:$C,K$1,Database!$F:$F,"Total")</f>
        <v>0</v>
      </c>
      <c r="L94" s="137">
        <f>SUMIFS(Database!$G:$G,Database!$D:$D,"Import",Database!$E:$E,$B94,Database!$C:$C,L$1,Database!$F:$F,"Total")</f>
        <v>0</v>
      </c>
      <c r="M94" s="137">
        <f>SUMIFS(Database!$G:$G,Database!$D:$D,"Import",Database!$E:$E,$B94,Database!$C:$C,M$1,Database!$F:$F,"Total")</f>
        <v>0</v>
      </c>
      <c r="N94" s="137">
        <f>SUMIFS(Database!$G:$G,Database!$D:$D,"Import",Database!$E:$E,$B94,Database!$C:$C,N$1,Database!$F:$F,"Total")</f>
        <v>0</v>
      </c>
      <c r="O94" s="137">
        <f>SUMIFS(Database!$G:$G,Database!$D:$D,"Import",Database!$E:$E,$B94,Database!$C:$C,O$1,Database!$F:$F,"Total")</f>
        <v>0</v>
      </c>
      <c r="P94" s="137">
        <f>SUMIFS(Database!$G:$G,Database!$D:$D,"Import",Database!$E:$E,$B94,Database!$C:$C,P$1,Database!$F:$F,"Total")</f>
        <v>0</v>
      </c>
      <c r="Q94" s="137">
        <f>SUMIFS(Database!$G:$G,Database!$D:$D,"Import",Database!$E:$E,$B94,Database!$C:$C,Q$1,Database!$F:$F,"Total")</f>
        <v>0</v>
      </c>
      <c r="R94" s="137">
        <f>SUMIFS(Database!$G:$G,Database!$D:$D,"Import",Database!$E:$E,$B94,Database!$C:$C,R$1,Database!$F:$F,"Total")</f>
        <v>0</v>
      </c>
      <c r="S94" s="137">
        <f>SUMIFS(Database!$G:$G,Database!$D:$D,"Import",Database!$E:$E,$B94,Database!$C:$C,S$1,Database!$F:$F,"Total")</f>
        <v>0</v>
      </c>
      <c r="T94" s="137">
        <f>SUMIFS(Database!$G:$G,Database!$D:$D,"Import",Database!$E:$E,$B94,Database!$C:$C,T$1,Database!$F:$F,"Total")</f>
        <v>0</v>
      </c>
      <c r="U94" s="137">
        <f>SUMIFS(Database!$G:$G,Database!$D:$D,"Import",Database!$E:$E,$B94,Database!$C:$C,U$1,Database!$F:$F,"Total")</f>
        <v>0</v>
      </c>
      <c r="V94" s="137">
        <f>SUMIFS(Database!$G:$G,Database!$D:$D,"Import",Database!$E:$E,$B94,Database!$C:$C,V$1,Database!$F:$F,"Total")</f>
        <v>0</v>
      </c>
      <c r="W94" s="137">
        <f>SUMIFS(Database!$G:$G,Database!$D:$D,"Import",Database!$E:$E,$B94,Database!$C:$C,W$1,Database!$F:$F,"Total")</f>
        <v>0</v>
      </c>
      <c r="X94" s="137">
        <f>SUMIFS(Database!$G:$G,Database!$D:$D,"Import",Database!$E:$E,$B94,Database!$C:$C,X$1,Database!$F:$F,"Total")</f>
        <v>0</v>
      </c>
      <c r="Y94" s="137">
        <f>SUMIFS(Database!$G:$G,Database!$D:$D,"Import",Database!$E:$E,$B94,Database!$C:$C,Y$1,Database!$F:$F,"Total")</f>
        <v>0</v>
      </c>
      <c r="Z94" s="137">
        <f>SUMIFS(Database!$G:$G,Database!$D:$D,"Import",Database!$E:$E,$B94,Database!$C:$C,Z$1,Database!$F:$F,"Total")</f>
        <v>0</v>
      </c>
      <c r="AA94" s="137">
        <f>SUMIFS(Database!$G:$G,Database!$D:$D,"Import",Database!$E:$E,$B94,Database!$C:$C,AA$1,Database!$F:$F,"Total")</f>
        <v>0</v>
      </c>
      <c r="AB94" s="137">
        <f>SUMIFS(Database!$G:$G,Database!$D:$D,"Import",Database!$E:$E,$B94,Database!$C:$C,AB$1,Database!$F:$F,"Total")</f>
        <v>0</v>
      </c>
      <c r="AC94" s="137">
        <f>SUMIFS(Database!$G:$G,Database!$D:$D,"Import",Database!$E:$E,$B94,Database!$C:$C,AC$1,Database!$F:$F,"Total")</f>
        <v>0</v>
      </c>
      <c r="AD94" s="137">
        <f>SUMIFS(Database!$G:$G,Database!$D:$D,"Import",Database!$E:$E,$B94,Database!$C:$C,AD$1,Database!$F:$F,"Total")</f>
        <v>0</v>
      </c>
      <c r="AE94" s="137">
        <f>SUMIFS(Database!$G:$G,Database!$D:$D,"Import",Database!$E:$E,$B94,Database!$C:$C,AE$1,Database!$F:$F,"Total")</f>
        <v>0</v>
      </c>
      <c r="AF94" s="137">
        <f>SUMIFS(Database!$G:$G,Database!$D:$D,"Import",Database!$E:$E,$B94,Database!$C:$C,AF$1,Database!$F:$F,"Total")</f>
        <v>0</v>
      </c>
      <c r="AG94" s="137">
        <f>SUMIFS(Database!$G:$G,Database!$D:$D,"Import",Database!$E:$E,$B94,Database!$C:$C,AG$1,Database!$F:$F,"Total")</f>
        <v>0</v>
      </c>
      <c r="AH94" s="137">
        <f>SUMIFS(Database!$G:$G,Database!$D:$D,"Import",Database!$E:$E,$B94,Database!$C:$C,AH$1,Database!$F:$F,"Total")</f>
        <v>0</v>
      </c>
      <c r="AI94" s="137">
        <f>SUMIFS(Database!$G:$G,Database!$D:$D,"Import",Database!$E:$E,$B94,Database!$C:$C,AI$1,Database!$F:$F,"Total")</f>
        <v>0</v>
      </c>
      <c r="AJ94" s="137">
        <f>SUMIFS(Database!$G:$G,Database!$D:$D,"Import",Database!$E:$E,$B94,Database!$C:$C,AJ$1,Database!$F:$F,"Total")</f>
        <v>0</v>
      </c>
      <c r="AK94" s="137">
        <f>SUMIFS(Database!$G:$G,Database!$D:$D,"Import",Database!$E:$E,$B94,Database!$C:$C,AK$1,Database!$F:$F,"Total")</f>
        <v>0</v>
      </c>
      <c r="AL94" s="137">
        <f>SUMIFS(Database!$G:$G,Database!$D:$D,"Import",Database!$E:$E,$B94,Database!$C:$C,AL$1,Database!$F:$F,"Total")</f>
        <v>0</v>
      </c>
      <c r="AM94" s="137">
        <f>SUMIFS(Database!$G:$G,Database!$D:$D,"Import",Database!$E:$E,$B94,Database!$C:$C,AM$1,Database!$F:$F,"Total")</f>
        <v>0</v>
      </c>
      <c r="AN94" s="137">
        <f>SUMIFS(Database!$G:$G,Database!$D:$D,"Import",Database!$E:$E,$B94,Database!$C:$C,AN$1,Database!$F:$F,"Total")</f>
        <v>0</v>
      </c>
      <c r="AO94" s="137">
        <f>SUMIFS(Database!$G:$G,Database!$D:$D,"Import",Database!$E:$E,$B94,Database!$C:$C,AO$1,Database!$F:$F,"Total")</f>
        <v>0</v>
      </c>
      <c r="AP94" s="137">
        <f>SUMIFS(Database!$G:$G,Database!$D:$D,"Import",Database!$E:$E,$B94,Database!$C:$C,AP$1,Database!$F:$F,"Total")</f>
        <v>0</v>
      </c>
      <c r="AQ94" s="137">
        <f>SUMIFS(Database!$G:$G,Database!$D:$D,"Import",Database!$E:$E,$B94,Database!$C:$C,AQ$1,Database!$F:$F,"Total")</f>
        <v>0</v>
      </c>
      <c r="AR94" s="137">
        <f>SUMIFS(Database!$G:$G,Database!$D:$D,"Import",Database!$E:$E,$B94,Database!$C:$C,AR$1,Database!$F:$F,"Total")</f>
        <v>0</v>
      </c>
      <c r="AS94" s="137">
        <f>SUMIFS(Database!$G:$G,Database!$D:$D,"Import",Database!$E:$E,$B94,Database!$C:$C,AS$1,Database!$F:$F,"Total")</f>
        <v>0</v>
      </c>
      <c r="AT94" s="137">
        <f>SUMIFS(Database!$G:$G,Database!$D:$D,"Import",Database!$E:$E,$B94,Database!$C:$C,AT$1,Database!$F:$F,"Total")</f>
        <v>0</v>
      </c>
      <c r="AU94" s="137">
        <f>SUMIFS(Database!$G:$G,Database!$D:$D,"Import",Database!$E:$E,$B94,Database!$C:$C,AU$1,Database!$F:$F,"Total")</f>
        <v>0</v>
      </c>
      <c r="AV94" s="137">
        <f>SUMIFS(Database!$G:$G,Database!$D:$D,"Import",Database!$E:$E,$B94,Database!$C:$C,AV$1,Database!$F:$F,"Total")</f>
        <v>0</v>
      </c>
      <c r="AW94" s="137">
        <f>SUMIFS(Database!$G:$G,Database!$D:$D,"Import",Database!$E:$E,$B94,Database!$C:$C,AW$1,Database!$F:$F,"Total")</f>
        <v>0</v>
      </c>
      <c r="AX94" s="137">
        <f>SUMIFS(Database!$G:$G,Database!$D:$D,"Import",Database!$E:$E,$B94,Database!$C:$C,AX$1,Database!$F:$F,"Total")</f>
        <v>0</v>
      </c>
      <c r="AY94" s="137">
        <f>SUMIFS(Database!$G:$G,Database!$D:$D,"Import",Database!$E:$E,$B94,Database!$C:$C,AY$1,Database!$F:$F,"Total")</f>
        <v>0</v>
      </c>
      <c r="AZ94" s="137">
        <f>SUMIFS(Database!$G:$G,Database!$D:$D,"Import",Database!$E:$E,$B94,Database!$C:$C,AZ$1,Database!$F:$F,"Total")</f>
        <v>0</v>
      </c>
      <c r="BA94" s="137">
        <f>SUMIFS(Database!$G:$G,Database!$D:$D,"Import",Database!$E:$E,$B94,Database!$C:$C,BA$1,Database!$F:$F,"Total")</f>
        <v>0</v>
      </c>
      <c r="BB94" s="137">
        <f>SUMIFS(Database!$G:$G,Database!$D:$D,"Import",Database!$E:$E,$B94,Database!$C:$C,BB$1,Database!$F:$F,"Total")</f>
        <v>0</v>
      </c>
      <c r="BC94" s="137">
        <f>SUMIFS(Database!$G:$G,Database!$D:$D,"Import",Database!$E:$E,$B94,Database!$C:$C,BC$1,Database!$F:$F,"Total")</f>
        <v>0</v>
      </c>
      <c r="BD94" s="137">
        <f>SUMIFS(Database!$G:$G,Database!$D:$D,"Import",Database!$E:$E,$B94,Database!$C:$C,BD$1,Database!$F:$F,"Total")</f>
        <v>0</v>
      </c>
      <c r="BE94" s="137">
        <f>SUMIFS(Database!$G:$G,Database!$D:$D,"Import",Database!$E:$E,$B94,Database!$C:$C,BE$1,Database!$F:$F,"Total")</f>
        <v>0</v>
      </c>
      <c r="BF94" s="137">
        <f>SUMIFS(Database!$G:$G,Database!$D:$D,"Import",Database!$E:$E,$B94,Database!$C:$C,BF$1,Database!$F:$F,"Total")</f>
        <v>0</v>
      </c>
      <c r="BG94" s="137">
        <f>SUMIFS(Database!$G:$G,Database!$D:$D,"Import",Database!$E:$E,$B94,Database!$C:$C,BG$1,Database!$F:$F,"Total")</f>
        <v>0</v>
      </c>
      <c r="BH94" s="137">
        <f>SUMIFS(Database!$G:$G,Database!$D:$D,"Import",Database!$E:$E,$B94,Database!$C:$C,BH$1,Database!$F:$F,"Total")</f>
        <v>15582</v>
      </c>
      <c r="BI94" s="137">
        <f>SUMIFS(Database!$G:$G,Database!$D:$D,"Import",Database!$E:$E,$B94,Database!$C:$C,BI$1,Database!$F:$F,"Total")</f>
        <v>0</v>
      </c>
      <c r="BJ94" s="137">
        <f>SUMIFS(Database!$G:$G,Database!$D:$D,"Import",Database!$E:$E,$B94,Database!$C:$C,BJ$1,Database!$F:$F,"Total")</f>
        <v>0</v>
      </c>
      <c r="BK94" s="137">
        <f>SUMIFS(Database!$G:$G,Database!$D:$D,"Import",Database!$E:$E,$B94,Database!$C:$C,BK$1,Database!$F:$F,"Total")</f>
        <v>0</v>
      </c>
      <c r="BL94" s="137">
        <f>SUMIFS(Database!$G:$G,Database!$D:$D,"Import",Database!$E:$E,$B94,Database!$C:$C,BL$1,Database!$F:$F,"Total")</f>
        <v>0</v>
      </c>
      <c r="BM94" s="137">
        <f>SUMIFS(Database!$G:$G,Database!$D:$D,"Import",Database!$E:$E,$B94,Database!$C:$C,BM$1,Database!$F:$F,"Total")</f>
        <v>0</v>
      </c>
      <c r="BN94" s="137">
        <f>SUMIFS(Database!$G:$G,Database!$D:$D,"Import",Database!$E:$E,$B94,Database!$C:$C,BN$1,Database!$F:$F,"Total")</f>
        <v>0</v>
      </c>
      <c r="BO94" s="137">
        <f>SUMIFS(Database!$G:$G,Database!$D:$D,"Import",Database!$E:$E,$B94,Database!$C:$C,BO$1,Database!$F:$F,"Total")</f>
        <v>0</v>
      </c>
      <c r="BP94" s="137">
        <f>SUMIFS(Database!$G:$G,Database!$D:$D,"Import",Database!$E:$E,$B94,Database!$C:$C,BP$1,Database!$F:$F,"Total")</f>
        <v>0</v>
      </c>
      <c r="BQ94" s="137">
        <f>SUMIFS(Database!$G:$G,Database!$D:$D,"Import",Database!$E:$E,$B94,Database!$C:$C,BQ$1,Database!$F:$F,"Total")</f>
        <v>0</v>
      </c>
      <c r="BR94" s="137">
        <f>SUMIFS(Database!$G:$G,Database!$D:$D,"Import",Database!$E:$E,$B94,Database!$C:$C,BR$1,Database!$F:$F,"Total")</f>
        <v>0</v>
      </c>
      <c r="BS94" s="137">
        <f>SUMIFS(Database!$G:$G,Database!$D:$D,"Import",Database!$E:$E,$B94,Database!$C:$C,BS$1,Database!$F:$F,"Total")</f>
        <v>0</v>
      </c>
      <c r="BT94" s="137">
        <f>SUMIFS(Database!$G:$G,Database!$D:$D,"Import",Database!$E:$E,$B94,Database!$C:$C,BT$1,Database!$F:$F,"Total")</f>
        <v>0</v>
      </c>
      <c r="BU94" s="137">
        <f>SUMIFS(Database!$G:$G,Database!$D:$D,"Import",Database!$E:$E,$B94,Database!$C:$C,BU$1,Database!$F:$F,"Total")</f>
        <v>0</v>
      </c>
      <c r="BV94" s="137">
        <f>SUMIFS(Database!$G:$G,Database!$D:$D,"Import",Database!$E:$E,$B94,Database!$C:$C,BV$1,Database!$F:$F,"Total")</f>
        <v>0</v>
      </c>
      <c r="BW94" s="137">
        <f>SUMIFS(Database!$G:$G,Database!$D:$D,"Import",Database!$E:$E,$B94,Database!$C:$C,BW$1,Database!$F:$F,"Total")</f>
        <v>0</v>
      </c>
      <c r="BX94" s="137">
        <f>SUMIFS(Database!$G:$G,Database!$D:$D,"Import",Database!$E:$E,$B94,Database!$C:$C,BX$1,Database!$F:$F,"Total")</f>
        <v>0</v>
      </c>
      <c r="BY94" s="137">
        <f>SUMIFS(Database!$G:$G,Database!$D:$D,"Import",Database!$E:$E,$B94,Database!$C:$C,BY$1,Database!$F:$F,"Total")</f>
        <v>0</v>
      </c>
      <c r="BZ94" s="137">
        <f>SUMIFS(Database!$G:$G,Database!$D:$D,"Import",Database!$E:$E,$B94,Database!$C:$C,BZ$1,Database!$F:$F,"Total")</f>
        <v>0</v>
      </c>
      <c r="CA94" s="137">
        <f>SUMIFS(Database!$G:$G,Database!$D:$D,"Import",Database!$E:$E,$B94,Database!$C:$C,CA$1,Database!$F:$F,"Total")</f>
        <v>0</v>
      </c>
      <c r="CB94" s="137">
        <f>SUMIFS(Database!$G:$G,Database!$D:$D,"Import",Database!$E:$E,$B94,Database!$C:$C,CB$1,Database!$F:$F,"Total")</f>
        <v>0</v>
      </c>
      <c r="CC94" s="137">
        <f>SUMIFS(Database!$G:$G,Database!$D:$D,"Import",Database!$E:$E,$B94,Database!$C:$C,CC$1,Database!$F:$F,"Total")</f>
        <v>0</v>
      </c>
      <c r="CD94" s="137">
        <f>SUMIFS(Database!$G:$G,Database!$D:$D,"Import",Database!$E:$E,$B94,Database!$C:$C,CD$1,Database!$F:$F,"Total")</f>
        <v>0</v>
      </c>
      <c r="CE94" s="137">
        <f>SUMIFS(Database!$G:$G,Database!$D:$D,"Import",Database!$E:$E,$B94,Database!$C:$C,CE$1,Database!$F:$F,"Total")</f>
        <v>0</v>
      </c>
      <c r="CF94" s="137">
        <f>SUMIFS(Database!$G:$G,Database!$D:$D,"Import",Database!$E:$E,$B94,Database!$C:$C,CF$1,Database!$F:$F,"Total")</f>
        <v>0</v>
      </c>
      <c r="CG94" s="137">
        <f>SUMIFS(Database!$G:$G,Database!$D:$D,"Import",Database!$E:$E,$B94,Database!$C:$C,CG$1,Database!$F:$F,"Total")</f>
        <v>0</v>
      </c>
      <c r="CH94" s="137">
        <f>SUMIFS(Database!$G:$G,Database!$D:$D,"Import",Database!$E:$E,$B94,Database!$C:$C,CH$1,Database!$F:$F,"Total")</f>
        <v>0</v>
      </c>
      <c r="CI94" s="137">
        <f>SUMIFS(Database!$G:$G,Database!$D:$D,"Import",Database!$E:$E,$B94,Database!$C:$C,CI$1,Database!$F:$F,"Total")</f>
        <v>0</v>
      </c>
      <c r="CJ94" s="137">
        <f>SUMIFS(Database!$G:$G,Database!$D:$D,"Import",Database!$E:$E,$B94,Database!$C:$C,CJ$1,Database!$F:$F,"Total")</f>
        <v>0</v>
      </c>
      <c r="CK94" s="137">
        <f>SUMIFS(Database!$G:$G,Database!$D:$D,"Import",Database!$E:$E,$B94,Database!$C:$C,CK$1,Database!$F:$F,"Total")</f>
        <v>0</v>
      </c>
      <c r="CL94" s="137">
        <f>SUMIFS(Database!$G:$G,Database!$D:$D,"Import",Database!$E:$E,$B94,Database!$C:$C,CL$1,Database!$F:$F,"Total")</f>
        <v>0</v>
      </c>
      <c r="CM94" s="137">
        <f>SUMIFS(Database!$G:$G,Database!$D:$D,"Import",Database!$E:$E,$B94,Database!$C:$C,CM$1,Database!$F:$F,"Total")</f>
        <v>0</v>
      </c>
      <c r="CN94" s="137">
        <f>SUMIFS(Database!$G:$G,Database!$D:$D,"Import",Database!$E:$E,$B94,Database!$C:$C,CN$1,Database!$F:$F,"Total")</f>
        <v>0</v>
      </c>
      <c r="CO94" s="137">
        <f>SUMIFS(Database!$G:$G,Database!$D:$D,"Import",Database!$E:$E,$B94,Database!$C:$C,CO$1,Database!$F:$F,"Total")</f>
        <v>0</v>
      </c>
      <c r="CP94" s="137">
        <f>SUMIFS(Database!$G:$G,Database!$D:$D,"Import",Database!$E:$E,$B94,Database!$C:$C,CP$1,Database!$F:$F,"Total")</f>
        <v>0</v>
      </c>
      <c r="CQ94" s="137">
        <f>SUMIFS(Database!$G:$G,Database!$D:$D,"Import",Database!$E:$E,$B94,Database!$C:$C,CQ$1,Database!$F:$F,"Total")</f>
        <v>0</v>
      </c>
      <c r="CR94" s="137">
        <f>SUMIFS(Database!$G:$G,Database!$D:$D,"Import",Database!$E:$E,$B94,Database!$C:$C,CR$1,Database!$F:$F,"Total")</f>
        <v>0</v>
      </c>
      <c r="CS94" s="137">
        <f>SUMIFS(Database!$G:$G,Database!$D:$D,"Import",Database!$E:$E,$B94,Database!$C:$C,CS$1,Database!$F:$F,"Total")</f>
        <v>0</v>
      </c>
      <c r="CT94" s="137">
        <f>SUMIFS(Database!$G:$G,Database!$D:$D,"Import",Database!$E:$E,$B94,Database!$C:$C,CT$1,Database!$F:$F,"Total")</f>
        <v>0</v>
      </c>
      <c r="CU94" s="137">
        <f>SUMIFS(Database!$G:$G,Database!$D:$D,"Import",Database!$E:$E,$B94,Database!$C:$C,CU$1,Database!$F:$F,"Total")</f>
        <v>0</v>
      </c>
    </row>
    <row r="95" spans="1:99" x14ac:dyDescent="0.25">
      <c r="A95" s="132" t="s">
        <v>484</v>
      </c>
      <c r="B95" s="133" t="s">
        <v>104</v>
      </c>
      <c r="C95" s="137">
        <f>SUMIFS(Database!$G:$G,Database!$D:$D,"Import",Database!$E:$E,$B95,Database!$C:$C,C$1,Database!$F:$F,"Total")</f>
        <v>0</v>
      </c>
      <c r="D95" s="137">
        <f>SUMIFS(Database!$G:$G,Database!$D:$D,"Import",Database!$E:$E,$B95,Database!$C:$C,D$1,Database!$F:$F,"Total")</f>
        <v>0</v>
      </c>
      <c r="E95" s="137">
        <f>SUMIFS(Database!$G:$G,Database!$D:$D,"Import",Database!$E:$E,$B95,Database!$C:$C,E$1,Database!$F:$F,"Total")</f>
        <v>0</v>
      </c>
      <c r="F95" s="137">
        <f>SUMIFS(Database!$G:$G,Database!$D:$D,"Import",Database!$E:$E,$B95,Database!$C:$C,F$1,Database!$F:$F,"Total")</f>
        <v>0</v>
      </c>
      <c r="G95" s="137">
        <f>SUMIFS(Database!$G:$G,Database!$D:$D,"Import",Database!$E:$E,$B95,Database!$C:$C,G$1,Database!$F:$F,"Total")</f>
        <v>0</v>
      </c>
      <c r="H95" s="137">
        <f>SUMIFS(Database!$G:$G,Database!$D:$D,"Import",Database!$E:$E,$B95,Database!$C:$C,H$1,Database!$F:$F,"Total")</f>
        <v>0</v>
      </c>
      <c r="I95" s="137">
        <f>SUMIFS(Database!$G:$G,Database!$D:$D,"Import",Database!$E:$E,$B95,Database!$C:$C,I$1,Database!$F:$F,"Total")</f>
        <v>0</v>
      </c>
      <c r="J95" s="137">
        <f>SUMIFS(Database!$G:$G,Database!$D:$D,"Import",Database!$E:$E,$B95,Database!$C:$C,J$1,Database!$F:$F,"Total")</f>
        <v>0</v>
      </c>
      <c r="K95" s="137">
        <f>SUMIFS(Database!$G:$G,Database!$D:$D,"Import",Database!$E:$E,$B95,Database!$C:$C,K$1,Database!$F:$F,"Total")</f>
        <v>0</v>
      </c>
      <c r="L95" s="137">
        <f>SUMIFS(Database!$G:$G,Database!$D:$D,"Import",Database!$E:$E,$B95,Database!$C:$C,L$1,Database!$F:$F,"Total")</f>
        <v>0</v>
      </c>
      <c r="M95" s="137">
        <f>SUMIFS(Database!$G:$G,Database!$D:$D,"Import",Database!$E:$E,$B95,Database!$C:$C,M$1,Database!$F:$F,"Total")</f>
        <v>0</v>
      </c>
      <c r="N95" s="137">
        <f>SUMIFS(Database!$G:$G,Database!$D:$D,"Import",Database!$E:$E,$B95,Database!$C:$C,N$1,Database!$F:$F,"Total")</f>
        <v>0</v>
      </c>
      <c r="O95" s="137">
        <f>SUMIFS(Database!$G:$G,Database!$D:$D,"Import",Database!$E:$E,$B95,Database!$C:$C,O$1,Database!$F:$F,"Total")</f>
        <v>0</v>
      </c>
      <c r="P95" s="137">
        <f>SUMIFS(Database!$G:$G,Database!$D:$D,"Import",Database!$E:$E,$B95,Database!$C:$C,P$1,Database!$F:$F,"Total")</f>
        <v>0</v>
      </c>
      <c r="Q95" s="137">
        <f>SUMIFS(Database!$G:$G,Database!$D:$D,"Import",Database!$E:$E,$B95,Database!$C:$C,Q$1,Database!$F:$F,"Total")</f>
        <v>0</v>
      </c>
      <c r="R95" s="137">
        <f>SUMIFS(Database!$G:$G,Database!$D:$D,"Import",Database!$E:$E,$B95,Database!$C:$C,R$1,Database!$F:$F,"Total")</f>
        <v>0</v>
      </c>
      <c r="S95" s="137">
        <f>SUMIFS(Database!$G:$G,Database!$D:$D,"Import",Database!$E:$E,$B95,Database!$C:$C,S$1,Database!$F:$F,"Total")</f>
        <v>0</v>
      </c>
      <c r="T95" s="137">
        <f>SUMIFS(Database!$G:$G,Database!$D:$D,"Import",Database!$E:$E,$B95,Database!$C:$C,T$1,Database!$F:$F,"Total")</f>
        <v>0</v>
      </c>
      <c r="U95" s="137">
        <f>SUMIFS(Database!$G:$G,Database!$D:$D,"Import",Database!$E:$E,$B95,Database!$C:$C,U$1,Database!$F:$F,"Total")</f>
        <v>0</v>
      </c>
      <c r="V95" s="137">
        <f>SUMIFS(Database!$G:$G,Database!$D:$D,"Import",Database!$E:$E,$B95,Database!$C:$C,V$1,Database!$F:$F,"Total")</f>
        <v>0</v>
      </c>
      <c r="W95" s="137">
        <f>SUMIFS(Database!$G:$G,Database!$D:$D,"Import",Database!$E:$E,$B95,Database!$C:$C,W$1,Database!$F:$F,"Total")</f>
        <v>0</v>
      </c>
      <c r="X95" s="137">
        <f>SUMIFS(Database!$G:$G,Database!$D:$D,"Import",Database!$E:$E,$B95,Database!$C:$C,X$1,Database!$F:$F,"Total")</f>
        <v>0</v>
      </c>
      <c r="Y95" s="137">
        <f>SUMIFS(Database!$G:$G,Database!$D:$D,"Import",Database!$E:$E,$B95,Database!$C:$C,Y$1,Database!$F:$F,"Total")</f>
        <v>0</v>
      </c>
      <c r="Z95" s="137">
        <f>SUMIFS(Database!$G:$G,Database!$D:$D,"Import",Database!$E:$E,$B95,Database!$C:$C,Z$1,Database!$F:$F,"Total")</f>
        <v>0</v>
      </c>
      <c r="AA95" s="137">
        <f>SUMIFS(Database!$G:$G,Database!$D:$D,"Import",Database!$E:$E,$B95,Database!$C:$C,AA$1,Database!$F:$F,"Total")</f>
        <v>0</v>
      </c>
      <c r="AB95" s="137">
        <f>SUMIFS(Database!$G:$G,Database!$D:$D,"Import",Database!$E:$E,$B95,Database!$C:$C,AB$1,Database!$F:$F,"Total")</f>
        <v>0</v>
      </c>
      <c r="AC95" s="137">
        <f>SUMIFS(Database!$G:$G,Database!$D:$D,"Import",Database!$E:$E,$B95,Database!$C:$C,AC$1,Database!$F:$F,"Total")</f>
        <v>0</v>
      </c>
      <c r="AD95" s="137">
        <f>SUMIFS(Database!$G:$G,Database!$D:$D,"Import",Database!$E:$E,$B95,Database!$C:$C,AD$1,Database!$F:$F,"Total")</f>
        <v>0</v>
      </c>
      <c r="AE95" s="137">
        <f>SUMIFS(Database!$G:$G,Database!$D:$D,"Import",Database!$E:$E,$B95,Database!$C:$C,AE$1,Database!$F:$F,"Total")</f>
        <v>0</v>
      </c>
      <c r="AF95" s="137">
        <f>SUMIFS(Database!$G:$G,Database!$D:$D,"Import",Database!$E:$E,$B95,Database!$C:$C,AF$1,Database!$F:$F,"Total")</f>
        <v>0</v>
      </c>
      <c r="AG95" s="137">
        <f>SUMIFS(Database!$G:$G,Database!$D:$D,"Import",Database!$E:$E,$B95,Database!$C:$C,AG$1,Database!$F:$F,"Total")</f>
        <v>0</v>
      </c>
      <c r="AH95" s="137">
        <f>SUMIFS(Database!$G:$G,Database!$D:$D,"Import",Database!$E:$E,$B95,Database!$C:$C,AH$1,Database!$F:$F,"Total")</f>
        <v>0</v>
      </c>
      <c r="AI95" s="137">
        <f>SUMIFS(Database!$G:$G,Database!$D:$D,"Import",Database!$E:$E,$B95,Database!$C:$C,AI$1,Database!$F:$F,"Total")</f>
        <v>0</v>
      </c>
      <c r="AJ95" s="137">
        <f>SUMIFS(Database!$G:$G,Database!$D:$D,"Import",Database!$E:$E,$B95,Database!$C:$C,AJ$1,Database!$F:$F,"Total")</f>
        <v>137</v>
      </c>
      <c r="AK95" s="137">
        <f>SUMIFS(Database!$G:$G,Database!$D:$D,"Import",Database!$E:$E,$B95,Database!$C:$C,AK$1,Database!$F:$F,"Total")</f>
        <v>319</v>
      </c>
      <c r="AL95" s="137">
        <f>SUMIFS(Database!$G:$G,Database!$D:$D,"Import",Database!$E:$E,$B95,Database!$C:$C,AL$1,Database!$F:$F,"Total")</f>
        <v>0</v>
      </c>
      <c r="AM95" s="137">
        <f>SUMIFS(Database!$G:$G,Database!$D:$D,"Import",Database!$E:$E,$B95,Database!$C:$C,AM$1,Database!$F:$F,"Total")</f>
        <v>0</v>
      </c>
      <c r="AN95" s="137">
        <f>SUMIFS(Database!$G:$G,Database!$D:$D,"Import",Database!$E:$E,$B95,Database!$C:$C,AN$1,Database!$F:$F,"Total")</f>
        <v>0</v>
      </c>
      <c r="AO95" s="137">
        <f>SUMIFS(Database!$G:$G,Database!$D:$D,"Import",Database!$E:$E,$B95,Database!$C:$C,AO$1,Database!$F:$F,"Total")</f>
        <v>0</v>
      </c>
      <c r="AP95" s="137">
        <f>SUMIFS(Database!$G:$G,Database!$D:$D,"Import",Database!$E:$E,$B95,Database!$C:$C,AP$1,Database!$F:$F,"Total")</f>
        <v>0</v>
      </c>
      <c r="AQ95" s="137">
        <f>SUMIFS(Database!$G:$G,Database!$D:$D,"Import",Database!$E:$E,$B95,Database!$C:$C,AQ$1,Database!$F:$F,"Total")</f>
        <v>0</v>
      </c>
      <c r="AR95" s="137">
        <f>SUMIFS(Database!$G:$G,Database!$D:$D,"Import",Database!$E:$E,$B95,Database!$C:$C,AR$1,Database!$F:$F,"Total")</f>
        <v>0</v>
      </c>
      <c r="AS95" s="137">
        <f>SUMIFS(Database!$G:$G,Database!$D:$D,"Import",Database!$E:$E,$B95,Database!$C:$C,AS$1,Database!$F:$F,"Total")</f>
        <v>0</v>
      </c>
      <c r="AT95" s="137">
        <f>SUMIFS(Database!$G:$G,Database!$D:$D,"Import",Database!$E:$E,$B95,Database!$C:$C,AT$1,Database!$F:$F,"Total")</f>
        <v>0</v>
      </c>
      <c r="AU95" s="137">
        <f>SUMIFS(Database!$G:$G,Database!$D:$D,"Import",Database!$E:$E,$B95,Database!$C:$C,AU$1,Database!$F:$F,"Total")</f>
        <v>0</v>
      </c>
      <c r="AV95" s="137">
        <f>SUMIFS(Database!$G:$G,Database!$D:$D,"Import",Database!$E:$E,$B95,Database!$C:$C,AV$1,Database!$F:$F,"Total")</f>
        <v>0</v>
      </c>
      <c r="AW95" s="137">
        <f>SUMIFS(Database!$G:$G,Database!$D:$D,"Import",Database!$E:$E,$B95,Database!$C:$C,AW$1,Database!$F:$F,"Total")</f>
        <v>0</v>
      </c>
      <c r="AX95" s="137">
        <f>SUMIFS(Database!$G:$G,Database!$D:$D,"Import",Database!$E:$E,$B95,Database!$C:$C,AX$1,Database!$F:$F,"Total")</f>
        <v>0</v>
      </c>
      <c r="AY95" s="137">
        <f>SUMIFS(Database!$G:$G,Database!$D:$D,"Import",Database!$E:$E,$B95,Database!$C:$C,AY$1,Database!$F:$F,"Total")</f>
        <v>0</v>
      </c>
      <c r="AZ95" s="137">
        <f>SUMIFS(Database!$G:$G,Database!$D:$D,"Import",Database!$E:$E,$B95,Database!$C:$C,AZ$1,Database!$F:$F,"Total")</f>
        <v>0</v>
      </c>
      <c r="BA95" s="137">
        <f>SUMIFS(Database!$G:$G,Database!$D:$D,"Import",Database!$E:$E,$B95,Database!$C:$C,BA$1,Database!$F:$F,"Total")</f>
        <v>0</v>
      </c>
      <c r="BB95" s="137">
        <f>SUMIFS(Database!$G:$G,Database!$D:$D,"Import",Database!$E:$E,$B95,Database!$C:$C,BB$1,Database!$F:$F,"Total")</f>
        <v>0</v>
      </c>
      <c r="BC95" s="137">
        <f>SUMIFS(Database!$G:$G,Database!$D:$D,"Import",Database!$E:$E,$B95,Database!$C:$C,BC$1,Database!$F:$F,"Total")</f>
        <v>0</v>
      </c>
      <c r="BD95" s="137">
        <f>SUMIFS(Database!$G:$G,Database!$D:$D,"Import",Database!$E:$E,$B95,Database!$C:$C,BD$1,Database!$F:$F,"Total")</f>
        <v>0</v>
      </c>
      <c r="BE95" s="137">
        <f>SUMIFS(Database!$G:$G,Database!$D:$D,"Import",Database!$E:$E,$B95,Database!$C:$C,BE$1,Database!$F:$F,"Total")</f>
        <v>0</v>
      </c>
      <c r="BF95" s="137">
        <f>SUMIFS(Database!$G:$G,Database!$D:$D,"Import",Database!$E:$E,$B95,Database!$C:$C,BF$1,Database!$F:$F,"Total")</f>
        <v>0</v>
      </c>
      <c r="BG95" s="137">
        <f>SUMIFS(Database!$G:$G,Database!$D:$D,"Import",Database!$E:$E,$B95,Database!$C:$C,BG$1,Database!$F:$F,"Total")</f>
        <v>0</v>
      </c>
      <c r="BH95" s="137">
        <f>SUMIFS(Database!$G:$G,Database!$D:$D,"Import",Database!$E:$E,$B95,Database!$C:$C,BH$1,Database!$F:$F,"Total")</f>
        <v>0</v>
      </c>
      <c r="BI95" s="137">
        <f>SUMIFS(Database!$G:$G,Database!$D:$D,"Import",Database!$E:$E,$B95,Database!$C:$C,BI$1,Database!$F:$F,"Total")</f>
        <v>0</v>
      </c>
      <c r="BJ95" s="137">
        <f>SUMIFS(Database!$G:$G,Database!$D:$D,"Import",Database!$E:$E,$B95,Database!$C:$C,BJ$1,Database!$F:$F,"Total")</f>
        <v>0</v>
      </c>
      <c r="BK95" s="137">
        <f>SUMIFS(Database!$G:$G,Database!$D:$D,"Import",Database!$E:$E,$B95,Database!$C:$C,BK$1,Database!$F:$F,"Total")</f>
        <v>0</v>
      </c>
      <c r="BL95" s="137">
        <f>SUMIFS(Database!$G:$G,Database!$D:$D,"Import",Database!$E:$E,$B95,Database!$C:$C,BL$1,Database!$F:$F,"Total")</f>
        <v>0</v>
      </c>
      <c r="BM95" s="137">
        <f>SUMIFS(Database!$G:$G,Database!$D:$D,"Import",Database!$E:$E,$B95,Database!$C:$C,BM$1,Database!$F:$F,"Total")</f>
        <v>0</v>
      </c>
      <c r="BN95" s="137">
        <f>SUMIFS(Database!$G:$G,Database!$D:$D,"Import",Database!$E:$E,$B95,Database!$C:$C,BN$1,Database!$F:$F,"Total")</f>
        <v>0</v>
      </c>
      <c r="BO95" s="137">
        <f>SUMIFS(Database!$G:$G,Database!$D:$D,"Import",Database!$E:$E,$B95,Database!$C:$C,BO$1,Database!$F:$F,"Total")</f>
        <v>0</v>
      </c>
      <c r="BP95" s="137">
        <f>SUMIFS(Database!$G:$G,Database!$D:$D,"Import",Database!$E:$E,$B95,Database!$C:$C,BP$1,Database!$F:$F,"Total")</f>
        <v>0</v>
      </c>
      <c r="BQ95" s="137">
        <f>SUMIFS(Database!$G:$G,Database!$D:$D,"Import",Database!$E:$E,$B95,Database!$C:$C,BQ$1,Database!$F:$F,"Total")</f>
        <v>0</v>
      </c>
      <c r="BR95" s="137">
        <f>SUMIFS(Database!$G:$G,Database!$D:$D,"Import",Database!$E:$E,$B95,Database!$C:$C,BR$1,Database!$F:$F,"Total")</f>
        <v>0</v>
      </c>
      <c r="BS95" s="137">
        <f>SUMIFS(Database!$G:$G,Database!$D:$D,"Import",Database!$E:$E,$B95,Database!$C:$C,BS$1,Database!$F:$F,"Total")</f>
        <v>0</v>
      </c>
      <c r="BT95" s="137">
        <f>SUMIFS(Database!$G:$G,Database!$D:$D,"Import",Database!$E:$E,$B95,Database!$C:$C,BT$1,Database!$F:$F,"Total")</f>
        <v>0</v>
      </c>
      <c r="BU95" s="137">
        <f>SUMIFS(Database!$G:$G,Database!$D:$D,"Import",Database!$E:$E,$B95,Database!$C:$C,BU$1,Database!$F:$F,"Total")</f>
        <v>0</v>
      </c>
      <c r="BV95" s="137">
        <f>SUMIFS(Database!$G:$G,Database!$D:$D,"Import",Database!$E:$E,$B95,Database!$C:$C,BV$1,Database!$F:$F,"Total")</f>
        <v>0</v>
      </c>
      <c r="BW95" s="137">
        <f>SUMIFS(Database!$G:$G,Database!$D:$D,"Import",Database!$E:$E,$B95,Database!$C:$C,BW$1,Database!$F:$F,"Total")</f>
        <v>0</v>
      </c>
      <c r="BX95" s="137">
        <f>SUMIFS(Database!$G:$G,Database!$D:$D,"Import",Database!$E:$E,$B95,Database!$C:$C,BX$1,Database!$F:$F,"Total")</f>
        <v>0</v>
      </c>
      <c r="BY95" s="137">
        <f>SUMIFS(Database!$G:$G,Database!$D:$D,"Import",Database!$E:$E,$B95,Database!$C:$C,BY$1,Database!$F:$F,"Total")</f>
        <v>0</v>
      </c>
      <c r="BZ95" s="137">
        <f>SUMIFS(Database!$G:$G,Database!$D:$D,"Import",Database!$E:$E,$B95,Database!$C:$C,BZ$1,Database!$F:$F,"Total")</f>
        <v>0</v>
      </c>
      <c r="CA95" s="137">
        <f>SUMIFS(Database!$G:$G,Database!$D:$D,"Import",Database!$E:$E,$B95,Database!$C:$C,CA$1,Database!$F:$F,"Total")</f>
        <v>0</v>
      </c>
      <c r="CB95" s="137">
        <f>SUMIFS(Database!$G:$G,Database!$D:$D,"Import",Database!$E:$E,$B95,Database!$C:$C,CB$1,Database!$F:$F,"Total")</f>
        <v>0</v>
      </c>
      <c r="CC95" s="137">
        <f>SUMIFS(Database!$G:$G,Database!$D:$D,"Import",Database!$E:$E,$B95,Database!$C:$C,CC$1,Database!$F:$F,"Total")</f>
        <v>0</v>
      </c>
      <c r="CD95" s="137">
        <f>SUMIFS(Database!$G:$G,Database!$D:$D,"Import",Database!$E:$E,$B95,Database!$C:$C,CD$1,Database!$F:$F,"Total")</f>
        <v>0</v>
      </c>
      <c r="CE95" s="137">
        <f>SUMIFS(Database!$G:$G,Database!$D:$D,"Import",Database!$E:$E,$B95,Database!$C:$C,CE$1,Database!$F:$F,"Total")</f>
        <v>0</v>
      </c>
      <c r="CF95" s="137">
        <f>SUMIFS(Database!$G:$G,Database!$D:$D,"Import",Database!$E:$E,$B95,Database!$C:$C,CF$1,Database!$F:$F,"Total")</f>
        <v>0</v>
      </c>
      <c r="CG95" s="137">
        <f>SUMIFS(Database!$G:$G,Database!$D:$D,"Import",Database!$E:$E,$B95,Database!$C:$C,CG$1,Database!$F:$F,"Total")</f>
        <v>0</v>
      </c>
      <c r="CH95" s="137">
        <f>SUMIFS(Database!$G:$G,Database!$D:$D,"Import",Database!$E:$E,$B95,Database!$C:$C,CH$1,Database!$F:$F,"Total")</f>
        <v>0</v>
      </c>
      <c r="CI95" s="137">
        <f>SUMIFS(Database!$G:$G,Database!$D:$D,"Import",Database!$E:$E,$B95,Database!$C:$C,CI$1,Database!$F:$F,"Total")</f>
        <v>0</v>
      </c>
      <c r="CJ95" s="137">
        <f>SUMIFS(Database!$G:$G,Database!$D:$D,"Import",Database!$E:$E,$B95,Database!$C:$C,CJ$1,Database!$F:$F,"Total")</f>
        <v>0</v>
      </c>
      <c r="CK95" s="137">
        <f>SUMIFS(Database!$G:$G,Database!$D:$D,"Import",Database!$E:$E,$B95,Database!$C:$C,CK$1,Database!$F:$F,"Total")</f>
        <v>0</v>
      </c>
      <c r="CL95" s="137">
        <f>SUMIFS(Database!$G:$G,Database!$D:$D,"Import",Database!$E:$E,$B95,Database!$C:$C,CL$1,Database!$F:$F,"Total")</f>
        <v>0</v>
      </c>
      <c r="CM95" s="137">
        <f>SUMIFS(Database!$G:$G,Database!$D:$D,"Import",Database!$E:$E,$B95,Database!$C:$C,CM$1,Database!$F:$F,"Total")</f>
        <v>0</v>
      </c>
      <c r="CN95" s="137">
        <f>SUMIFS(Database!$G:$G,Database!$D:$D,"Import",Database!$E:$E,$B95,Database!$C:$C,CN$1,Database!$F:$F,"Total")</f>
        <v>0</v>
      </c>
      <c r="CO95" s="137">
        <f>SUMIFS(Database!$G:$G,Database!$D:$D,"Import",Database!$E:$E,$B95,Database!$C:$C,CO$1,Database!$F:$F,"Total")</f>
        <v>0</v>
      </c>
      <c r="CP95" s="137">
        <f>SUMIFS(Database!$G:$G,Database!$D:$D,"Import",Database!$E:$E,$B95,Database!$C:$C,CP$1,Database!$F:$F,"Total")</f>
        <v>0</v>
      </c>
      <c r="CQ95" s="137">
        <f>SUMIFS(Database!$G:$G,Database!$D:$D,"Import",Database!$E:$E,$B95,Database!$C:$C,CQ$1,Database!$F:$F,"Total")</f>
        <v>0</v>
      </c>
      <c r="CR95" s="137">
        <f>SUMIFS(Database!$G:$G,Database!$D:$D,"Import",Database!$E:$E,$B95,Database!$C:$C,CR$1,Database!$F:$F,"Total")</f>
        <v>0</v>
      </c>
      <c r="CS95" s="137">
        <f>SUMIFS(Database!$G:$G,Database!$D:$D,"Import",Database!$E:$E,$B95,Database!$C:$C,CS$1,Database!$F:$F,"Total")</f>
        <v>0</v>
      </c>
      <c r="CT95" s="137">
        <f>SUMIFS(Database!$G:$G,Database!$D:$D,"Import",Database!$E:$E,$B95,Database!$C:$C,CT$1,Database!$F:$F,"Total")</f>
        <v>0</v>
      </c>
      <c r="CU95" s="137">
        <f>SUMIFS(Database!$G:$G,Database!$D:$D,"Import",Database!$E:$E,$B95,Database!$C:$C,CU$1,Database!$F:$F,"Total")</f>
        <v>0</v>
      </c>
    </row>
    <row r="96" spans="1:99" x14ac:dyDescent="0.25">
      <c r="A96" s="132" t="s">
        <v>484</v>
      </c>
      <c r="B96" s="133" t="s">
        <v>493</v>
      </c>
      <c r="C96" s="137">
        <f>SUMIFS(Database!$G:$G,Database!$D:$D,"Import",Database!$E:$E,$B96,Database!$C:$C,C$1,Database!$F:$F,"Total")</f>
        <v>0</v>
      </c>
      <c r="D96" s="137">
        <f>SUMIFS(Database!$G:$G,Database!$D:$D,"Import",Database!$E:$E,$B96,Database!$C:$C,D$1,Database!$F:$F,"Total")</f>
        <v>0</v>
      </c>
      <c r="E96" s="137">
        <f>SUMIFS(Database!$G:$G,Database!$D:$D,"Import",Database!$E:$E,$B96,Database!$C:$C,E$1,Database!$F:$F,"Total")</f>
        <v>0</v>
      </c>
      <c r="F96" s="137">
        <f>SUMIFS(Database!$G:$G,Database!$D:$D,"Import",Database!$E:$E,$B96,Database!$C:$C,F$1,Database!$F:$F,"Total")</f>
        <v>0</v>
      </c>
      <c r="G96" s="137">
        <f>SUMIFS(Database!$G:$G,Database!$D:$D,"Import",Database!$E:$E,$B96,Database!$C:$C,G$1,Database!$F:$F,"Total")</f>
        <v>0</v>
      </c>
      <c r="H96" s="137">
        <f>SUMIFS(Database!$G:$G,Database!$D:$D,"Import",Database!$E:$E,$B96,Database!$C:$C,H$1,Database!$F:$F,"Total")</f>
        <v>0</v>
      </c>
      <c r="I96" s="137">
        <f>SUMIFS(Database!$G:$G,Database!$D:$D,"Import",Database!$E:$E,$B96,Database!$C:$C,I$1,Database!$F:$F,"Total")</f>
        <v>0</v>
      </c>
      <c r="J96" s="137">
        <f>SUMIFS(Database!$G:$G,Database!$D:$D,"Import",Database!$E:$E,$B96,Database!$C:$C,J$1,Database!$F:$F,"Total")</f>
        <v>0</v>
      </c>
      <c r="K96" s="137">
        <f>SUMIFS(Database!$G:$G,Database!$D:$D,"Import",Database!$E:$E,$B96,Database!$C:$C,K$1,Database!$F:$F,"Total")</f>
        <v>0</v>
      </c>
      <c r="L96" s="137">
        <f>SUMIFS(Database!$G:$G,Database!$D:$D,"Import",Database!$E:$E,$B96,Database!$C:$C,L$1,Database!$F:$F,"Total")</f>
        <v>0</v>
      </c>
      <c r="M96" s="137">
        <f>SUMIFS(Database!$G:$G,Database!$D:$D,"Import",Database!$E:$E,$B96,Database!$C:$C,M$1,Database!$F:$F,"Total")</f>
        <v>0</v>
      </c>
      <c r="N96" s="137">
        <f>SUMIFS(Database!$G:$G,Database!$D:$D,"Import",Database!$E:$E,$B96,Database!$C:$C,N$1,Database!$F:$F,"Total")</f>
        <v>0</v>
      </c>
      <c r="O96" s="137">
        <f>SUMIFS(Database!$G:$G,Database!$D:$D,"Import",Database!$E:$E,$B96,Database!$C:$C,O$1,Database!$F:$F,"Total")</f>
        <v>0</v>
      </c>
      <c r="P96" s="137">
        <f>SUMIFS(Database!$G:$G,Database!$D:$D,"Import",Database!$E:$E,$B96,Database!$C:$C,P$1,Database!$F:$F,"Total")</f>
        <v>0</v>
      </c>
      <c r="Q96" s="137">
        <f>SUMIFS(Database!$G:$G,Database!$D:$D,"Import",Database!$E:$E,$B96,Database!$C:$C,Q$1,Database!$F:$F,"Total")</f>
        <v>0</v>
      </c>
      <c r="R96" s="137">
        <f>SUMIFS(Database!$G:$G,Database!$D:$D,"Import",Database!$E:$E,$B96,Database!$C:$C,R$1,Database!$F:$F,"Total")</f>
        <v>0</v>
      </c>
      <c r="S96" s="137">
        <f>SUMIFS(Database!$G:$G,Database!$D:$D,"Import",Database!$E:$E,$B96,Database!$C:$C,S$1,Database!$F:$F,"Total")</f>
        <v>0</v>
      </c>
      <c r="T96" s="137">
        <f>SUMIFS(Database!$G:$G,Database!$D:$D,"Import",Database!$E:$E,$B96,Database!$C:$C,T$1,Database!$F:$F,"Total")</f>
        <v>0</v>
      </c>
      <c r="U96" s="137">
        <f>SUMIFS(Database!$G:$G,Database!$D:$D,"Import",Database!$E:$E,$B96,Database!$C:$C,U$1,Database!$F:$F,"Total")</f>
        <v>0</v>
      </c>
      <c r="V96" s="137">
        <f>SUMIFS(Database!$G:$G,Database!$D:$D,"Import",Database!$E:$E,$B96,Database!$C:$C,V$1,Database!$F:$F,"Total")</f>
        <v>0</v>
      </c>
      <c r="W96" s="137">
        <f>SUMIFS(Database!$G:$G,Database!$D:$D,"Import",Database!$E:$E,$B96,Database!$C:$C,W$1,Database!$F:$F,"Total")</f>
        <v>0</v>
      </c>
      <c r="X96" s="137">
        <f>SUMIFS(Database!$G:$G,Database!$D:$D,"Import",Database!$E:$E,$B96,Database!$C:$C,X$1,Database!$F:$F,"Total")</f>
        <v>0</v>
      </c>
      <c r="Y96" s="137">
        <f>SUMIFS(Database!$G:$G,Database!$D:$D,"Import",Database!$E:$E,$B96,Database!$C:$C,Y$1,Database!$F:$F,"Total")</f>
        <v>0</v>
      </c>
      <c r="Z96" s="137">
        <f>SUMIFS(Database!$G:$G,Database!$D:$D,"Import",Database!$E:$E,$B96,Database!$C:$C,Z$1,Database!$F:$F,"Total")</f>
        <v>0</v>
      </c>
      <c r="AA96" s="137">
        <f>SUMIFS(Database!$G:$G,Database!$D:$D,"Import",Database!$E:$E,$B96,Database!$C:$C,AA$1,Database!$F:$F,"Total")</f>
        <v>0</v>
      </c>
      <c r="AB96" s="137">
        <f>SUMIFS(Database!$G:$G,Database!$D:$D,"Import",Database!$E:$E,$B96,Database!$C:$C,AB$1,Database!$F:$F,"Total")</f>
        <v>0</v>
      </c>
      <c r="AC96" s="137">
        <f>SUMIFS(Database!$G:$G,Database!$D:$D,"Import",Database!$E:$E,$B96,Database!$C:$C,AC$1,Database!$F:$F,"Total")</f>
        <v>0</v>
      </c>
      <c r="AD96" s="137">
        <f>SUMIFS(Database!$G:$G,Database!$D:$D,"Import",Database!$E:$E,$B96,Database!$C:$C,AD$1,Database!$F:$F,"Total")</f>
        <v>0</v>
      </c>
      <c r="AE96" s="137">
        <f>SUMIFS(Database!$G:$G,Database!$D:$D,"Import",Database!$E:$E,$B96,Database!$C:$C,AE$1,Database!$F:$F,"Total")</f>
        <v>0</v>
      </c>
      <c r="AF96" s="137">
        <f>SUMIFS(Database!$G:$G,Database!$D:$D,"Import",Database!$E:$E,$B96,Database!$C:$C,AF$1,Database!$F:$F,"Total")</f>
        <v>0</v>
      </c>
      <c r="AG96" s="137">
        <f>SUMIFS(Database!$G:$G,Database!$D:$D,"Import",Database!$E:$E,$B96,Database!$C:$C,AG$1,Database!$F:$F,"Total")</f>
        <v>0</v>
      </c>
      <c r="AH96" s="137">
        <f>SUMIFS(Database!$G:$G,Database!$D:$D,"Import",Database!$E:$E,$B96,Database!$C:$C,AH$1,Database!$F:$F,"Total")</f>
        <v>0</v>
      </c>
      <c r="AI96" s="137">
        <f>SUMIFS(Database!$G:$G,Database!$D:$D,"Import",Database!$E:$E,$B96,Database!$C:$C,AI$1,Database!$F:$F,"Total")</f>
        <v>0</v>
      </c>
      <c r="AJ96" s="137">
        <f>SUMIFS(Database!$G:$G,Database!$D:$D,"Import",Database!$E:$E,$B96,Database!$C:$C,AJ$1,Database!$F:$F,"Total")</f>
        <v>0</v>
      </c>
      <c r="AK96" s="137">
        <f>SUMIFS(Database!$G:$G,Database!$D:$D,"Import",Database!$E:$E,$B96,Database!$C:$C,AK$1,Database!$F:$F,"Total")</f>
        <v>0</v>
      </c>
      <c r="AL96" s="137">
        <f>SUMIFS(Database!$G:$G,Database!$D:$D,"Import",Database!$E:$E,$B96,Database!$C:$C,AL$1,Database!$F:$F,"Total")</f>
        <v>0</v>
      </c>
      <c r="AM96" s="137">
        <f>SUMIFS(Database!$G:$G,Database!$D:$D,"Import",Database!$E:$E,$B96,Database!$C:$C,AM$1,Database!$F:$F,"Total")</f>
        <v>0</v>
      </c>
      <c r="AN96" s="137">
        <f>SUMIFS(Database!$G:$G,Database!$D:$D,"Import",Database!$E:$E,$B96,Database!$C:$C,AN$1,Database!$F:$F,"Total")</f>
        <v>0</v>
      </c>
      <c r="AO96" s="137">
        <f>SUMIFS(Database!$G:$G,Database!$D:$D,"Import",Database!$E:$E,$B96,Database!$C:$C,AO$1,Database!$F:$F,"Total")</f>
        <v>0</v>
      </c>
      <c r="AP96" s="137">
        <f>SUMIFS(Database!$G:$G,Database!$D:$D,"Import",Database!$E:$E,$B96,Database!$C:$C,AP$1,Database!$F:$F,"Total")</f>
        <v>0</v>
      </c>
      <c r="AQ96" s="137">
        <f>SUMIFS(Database!$G:$G,Database!$D:$D,"Import",Database!$E:$E,$B96,Database!$C:$C,AQ$1,Database!$F:$F,"Total")</f>
        <v>0</v>
      </c>
      <c r="AR96" s="137">
        <f>SUMIFS(Database!$G:$G,Database!$D:$D,"Import",Database!$E:$E,$B96,Database!$C:$C,AR$1,Database!$F:$F,"Total")</f>
        <v>0</v>
      </c>
      <c r="AS96" s="137">
        <f>SUMIFS(Database!$G:$G,Database!$D:$D,"Import",Database!$E:$E,$B96,Database!$C:$C,AS$1,Database!$F:$F,"Total")</f>
        <v>0</v>
      </c>
      <c r="AT96" s="137">
        <f>SUMIFS(Database!$G:$G,Database!$D:$D,"Import",Database!$E:$E,$B96,Database!$C:$C,AT$1,Database!$F:$F,"Total")</f>
        <v>0</v>
      </c>
      <c r="AU96" s="137">
        <f>SUMIFS(Database!$G:$G,Database!$D:$D,"Import",Database!$E:$E,$B96,Database!$C:$C,AU$1,Database!$F:$F,"Total")</f>
        <v>0</v>
      </c>
      <c r="AV96" s="137">
        <f>SUMIFS(Database!$G:$G,Database!$D:$D,"Import",Database!$E:$E,$B96,Database!$C:$C,AV$1,Database!$F:$F,"Total")</f>
        <v>0</v>
      </c>
      <c r="AW96" s="137">
        <f>SUMIFS(Database!$G:$G,Database!$D:$D,"Import",Database!$E:$E,$B96,Database!$C:$C,AW$1,Database!$F:$F,"Total")</f>
        <v>0</v>
      </c>
      <c r="AX96" s="137">
        <f>SUMIFS(Database!$G:$G,Database!$D:$D,"Import",Database!$E:$E,$B96,Database!$C:$C,AX$1,Database!$F:$F,"Total")</f>
        <v>0</v>
      </c>
      <c r="AY96" s="137">
        <f>SUMIFS(Database!$G:$G,Database!$D:$D,"Import",Database!$E:$E,$B96,Database!$C:$C,AY$1,Database!$F:$F,"Total")</f>
        <v>0</v>
      </c>
      <c r="AZ96" s="137">
        <f>SUMIFS(Database!$G:$G,Database!$D:$D,"Import",Database!$E:$E,$B96,Database!$C:$C,AZ$1,Database!$F:$F,"Total")</f>
        <v>0</v>
      </c>
      <c r="BA96" s="137">
        <f>SUMIFS(Database!$G:$G,Database!$D:$D,"Import",Database!$E:$E,$B96,Database!$C:$C,BA$1,Database!$F:$F,"Total")</f>
        <v>0</v>
      </c>
      <c r="BB96" s="137">
        <f>SUMIFS(Database!$G:$G,Database!$D:$D,"Import",Database!$E:$E,$B96,Database!$C:$C,BB$1,Database!$F:$F,"Total")</f>
        <v>19978</v>
      </c>
      <c r="BC96" s="137">
        <f>SUMIFS(Database!$G:$G,Database!$D:$D,"Import",Database!$E:$E,$B96,Database!$C:$C,BC$1,Database!$F:$F,"Total")</f>
        <v>0</v>
      </c>
      <c r="BD96" s="137">
        <f>SUMIFS(Database!$G:$G,Database!$D:$D,"Import",Database!$E:$E,$B96,Database!$C:$C,BD$1,Database!$F:$F,"Total")</f>
        <v>0</v>
      </c>
      <c r="BE96" s="137">
        <f>SUMIFS(Database!$G:$G,Database!$D:$D,"Import",Database!$E:$E,$B96,Database!$C:$C,BE$1,Database!$F:$F,"Total")</f>
        <v>0</v>
      </c>
      <c r="BF96" s="137">
        <f>SUMIFS(Database!$G:$G,Database!$D:$D,"Import",Database!$E:$E,$B96,Database!$C:$C,BF$1,Database!$F:$F,"Total")</f>
        <v>0</v>
      </c>
      <c r="BG96" s="137">
        <f>SUMIFS(Database!$G:$G,Database!$D:$D,"Import",Database!$E:$E,$B96,Database!$C:$C,BG$1,Database!$F:$F,"Total")</f>
        <v>0</v>
      </c>
      <c r="BH96" s="137">
        <f>SUMIFS(Database!$G:$G,Database!$D:$D,"Import",Database!$E:$E,$B96,Database!$C:$C,BH$1,Database!$F:$F,"Total")</f>
        <v>0</v>
      </c>
      <c r="BI96" s="137">
        <f>SUMIFS(Database!$G:$G,Database!$D:$D,"Import",Database!$E:$E,$B96,Database!$C:$C,BI$1,Database!$F:$F,"Total")</f>
        <v>0</v>
      </c>
      <c r="BJ96" s="137">
        <f>SUMIFS(Database!$G:$G,Database!$D:$D,"Import",Database!$E:$E,$B96,Database!$C:$C,BJ$1,Database!$F:$F,"Total")</f>
        <v>0</v>
      </c>
      <c r="BK96" s="137">
        <f>SUMIFS(Database!$G:$G,Database!$D:$D,"Import",Database!$E:$E,$B96,Database!$C:$C,BK$1,Database!$F:$F,"Total")</f>
        <v>0</v>
      </c>
      <c r="BL96" s="137">
        <f>SUMIFS(Database!$G:$G,Database!$D:$D,"Import",Database!$E:$E,$B96,Database!$C:$C,BL$1,Database!$F:$F,"Total")</f>
        <v>0</v>
      </c>
      <c r="BM96" s="137">
        <f>SUMIFS(Database!$G:$G,Database!$D:$D,"Import",Database!$E:$E,$B96,Database!$C:$C,BM$1,Database!$F:$F,"Total")</f>
        <v>0</v>
      </c>
      <c r="BN96" s="137">
        <f>SUMIFS(Database!$G:$G,Database!$D:$D,"Import",Database!$E:$E,$B96,Database!$C:$C,BN$1,Database!$F:$F,"Total")</f>
        <v>0</v>
      </c>
      <c r="BO96" s="137">
        <f>SUMIFS(Database!$G:$G,Database!$D:$D,"Import",Database!$E:$E,$B96,Database!$C:$C,BO$1,Database!$F:$F,"Total")</f>
        <v>0</v>
      </c>
      <c r="BP96" s="137">
        <f>SUMIFS(Database!$G:$G,Database!$D:$D,"Import",Database!$E:$E,$B96,Database!$C:$C,BP$1,Database!$F:$F,"Total")</f>
        <v>0</v>
      </c>
      <c r="BQ96" s="137">
        <f>SUMIFS(Database!$G:$G,Database!$D:$D,"Import",Database!$E:$E,$B96,Database!$C:$C,BQ$1,Database!$F:$F,"Total")</f>
        <v>0</v>
      </c>
      <c r="BR96" s="137">
        <f>SUMIFS(Database!$G:$G,Database!$D:$D,"Import",Database!$E:$E,$B96,Database!$C:$C,BR$1,Database!$F:$F,"Total")</f>
        <v>0</v>
      </c>
      <c r="BS96" s="137">
        <f>SUMIFS(Database!$G:$G,Database!$D:$D,"Import",Database!$E:$E,$B96,Database!$C:$C,BS$1,Database!$F:$F,"Total")</f>
        <v>0</v>
      </c>
      <c r="BT96" s="137">
        <f>SUMIFS(Database!$G:$G,Database!$D:$D,"Import",Database!$E:$E,$B96,Database!$C:$C,BT$1,Database!$F:$F,"Total")</f>
        <v>0</v>
      </c>
      <c r="BU96" s="137">
        <f>SUMIFS(Database!$G:$G,Database!$D:$D,"Import",Database!$E:$E,$B96,Database!$C:$C,BU$1,Database!$F:$F,"Total")</f>
        <v>0</v>
      </c>
      <c r="BV96" s="137">
        <f>SUMIFS(Database!$G:$G,Database!$D:$D,"Import",Database!$E:$E,$B96,Database!$C:$C,BV$1,Database!$F:$F,"Total")</f>
        <v>0</v>
      </c>
      <c r="BW96" s="137">
        <f>SUMIFS(Database!$G:$G,Database!$D:$D,"Import",Database!$E:$E,$B96,Database!$C:$C,BW$1,Database!$F:$F,"Total")</f>
        <v>0</v>
      </c>
      <c r="BX96" s="137">
        <f>SUMIFS(Database!$G:$G,Database!$D:$D,"Import",Database!$E:$E,$B96,Database!$C:$C,BX$1,Database!$F:$F,"Total")</f>
        <v>0</v>
      </c>
      <c r="BY96" s="137">
        <f>SUMIFS(Database!$G:$G,Database!$D:$D,"Import",Database!$E:$E,$B96,Database!$C:$C,BY$1,Database!$F:$F,"Total")</f>
        <v>0</v>
      </c>
      <c r="BZ96" s="137">
        <f>SUMIFS(Database!$G:$G,Database!$D:$D,"Import",Database!$E:$E,$B96,Database!$C:$C,BZ$1,Database!$F:$F,"Total")</f>
        <v>0</v>
      </c>
      <c r="CA96" s="137">
        <f>SUMIFS(Database!$G:$G,Database!$D:$D,"Import",Database!$E:$E,$B96,Database!$C:$C,CA$1,Database!$F:$F,"Total")</f>
        <v>0</v>
      </c>
      <c r="CB96" s="137">
        <f>SUMIFS(Database!$G:$G,Database!$D:$D,"Import",Database!$E:$E,$B96,Database!$C:$C,CB$1,Database!$F:$F,"Total")</f>
        <v>0</v>
      </c>
      <c r="CC96" s="137">
        <f>SUMIFS(Database!$G:$G,Database!$D:$D,"Import",Database!$E:$E,$B96,Database!$C:$C,CC$1,Database!$F:$F,"Total")</f>
        <v>0</v>
      </c>
      <c r="CD96" s="137">
        <f>SUMIFS(Database!$G:$G,Database!$D:$D,"Import",Database!$E:$E,$B96,Database!$C:$C,CD$1,Database!$F:$F,"Total")</f>
        <v>0</v>
      </c>
      <c r="CE96" s="137">
        <f>SUMIFS(Database!$G:$G,Database!$D:$D,"Import",Database!$E:$E,$B96,Database!$C:$C,CE$1,Database!$F:$F,"Total")</f>
        <v>0</v>
      </c>
      <c r="CF96" s="137">
        <f>SUMIFS(Database!$G:$G,Database!$D:$D,"Import",Database!$E:$E,$B96,Database!$C:$C,CF$1,Database!$F:$F,"Total")</f>
        <v>0</v>
      </c>
      <c r="CG96" s="137">
        <f>SUMIFS(Database!$G:$G,Database!$D:$D,"Import",Database!$E:$E,$B96,Database!$C:$C,CG$1,Database!$F:$F,"Total")</f>
        <v>0</v>
      </c>
      <c r="CH96" s="137">
        <f>SUMIFS(Database!$G:$G,Database!$D:$D,"Import",Database!$E:$E,$B96,Database!$C:$C,CH$1,Database!$F:$F,"Total")</f>
        <v>0</v>
      </c>
      <c r="CI96" s="137">
        <f>SUMIFS(Database!$G:$G,Database!$D:$D,"Import",Database!$E:$E,$B96,Database!$C:$C,CI$1,Database!$F:$F,"Total")</f>
        <v>0</v>
      </c>
      <c r="CJ96" s="137">
        <f>SUMIFS(Database!$G:$G,Database!$D:$D,"Import",Database!$E:$E,$B96,Database!$C:$C,CJ$1,Database!$F:$F,"Total")</f>
        <v>0</v>
      </c>
      <c r="CK96" s="137">
        <f>SUMIFS(Database!$G:$G,Database!$D:$D,"Import",Database!$E:$E,$B96,Database!$C:$C,CK$1,Database!$F:$F,"Total")</f>
        <v>0</v>
      </c>
      <c r="CL96" s="137">
        <f>SUMIFS(Database!$G:$G,Database!$D:$D,"Import",Database!$E:$E,$B96,Database!$C:$C,CL$1,Database!$F:$F,"Total")</f>
        <v>0</v>
      </c>
      <c r="CM96" s="137">
        <f>SUMIFS(Database!$G:$G,Database!$D:$D,"Import",Database!$E:$E,$B96,Database!$C:$C,CM$1,Database!$F:$F,"Total")</f>
        <v>0</v>
      </c>
      <c r="CN96" s="137">
        <f>SUMIFS(Database!$G:$G,Database!$D:$D,"Import",Database!$E:$E,$B96,Database!$C:$C,CN$1,Database!$F:$F,"Total")</f>
        <v>0</v>
      </c>
      <c r="CO96" s="137">
        <f>SUMIFS(Database!$G:$G,Database!$D:$D,"Import",Database!$E:$E,$B96,Database!$C:$C,CO$1,Database!$F:$F,"Total")</f>
        <v>0</v>
      </c>
      <c r="CP96" s="137">
        <f>SUMIFS(Database!$G:$G,Database!$D:$D,"Import",Database!$E:$E,$B96,Database!$C:$C,CP$1,Database!$F:$F,"Total")</f>
        <v>0</v>
      </c>
      <c r="CQ96" s="137">
        <f>SUMIFS(Database!$G:$G,Database!$D:$D,"Import",Database!$E:$E,$B96,Database!$C:$C,CQ$1,Database!$F:$F,"Total")</f>
        <v>0</v>
      </c>
      <c r="CR96" s="137">
        <f>SUMIFS(Database!$G:$G,Database!$D:$D,"Import",Database!$E:$E,$B96,Database!$C:$C,CR$1,Database!$F:$F,"Total")</f>
        <v>0</v>
      </c>
      <c r="CS96" s="137">
        <f>SUMIFS(Database!$G:$G,Database!$D:$D,"Import",Database!$E:$E,$B96,Database!$C:$C,CS$1,Database!$F:$F,"Total")</f>
        <v>0</v>
      </c>
      <c r="CT96" s="137">
        <f>SUMIFS(Database!$G:$G,Database!$D:$D,"Import",Database!$E:$E,$B96,Database!$C:$C,CT$1,Database!$F:$F,"Total")</f>
        <v>0</v>
      </c>
      <c r="CU96" s="137">
        <f>SUMIFS(Database!$G:$G,Database!$D:$D,"Import",Database!$E:$E,$B96,Database!$C:$C,CU$1,Database!$F:$F,"Total")</f>
        <v>0</v>
      </c>
    </row>
    <row r="97" spans="1:99" x14ac:dyDescent="0.25">
      <c r="A97" s="132" t="s">
        <v>484</v>
      </c>
      <c r="B97" s="133" t="s">
        <v>276</v>
      </c>
      <c r="C97" s="137">
        <f>SUMIFS(Database!$G:$G,Database!$D:$D,"Import",Database!$E:$E,$B97,Database!$C:$C,C$1,Database!$F:$F,"Total")</f>
        <v>0</v>
      </c>
      <c r="D97" s="137">
        <f>SUMIFS(Database!$G:$G,Database!$D:$D,"Import",Database!$E:$E,$B97,Database!$C:$C,D$1,Database!$F:$F,"Total")</f>
        <v>0</v>
      </c>
      <c r="E97" s="137">
        <f>SUMIFS(Database!$G:$G,Database!$D:$D,"Import",Database!$E:$E,$B97,Database!$C:$C,E$1,Database!$F:$F,"Total")</f>
        <v>0</v>
      </c>
      <c r="F97" s="137">
        <f>SUMIFS(Database!$G:$G,Database!$D:$D,"Import",Database!$E:$E,$B97,Database!$C:$C,F$1,Database!$F:$F,"Total")</f>
        <v>0</v>
      </c>
      <c r="G97" s="137">
        <f>SUMIFS(Database!$G:$G,Database!$D:$D,"Import",Database!$E:$E,$B97,Database!$C:$C,G$1,Database!$F:$F,"Total")</f>
        <v>0</v>
      </c>
      <c r="H97" s="137">
        <f>SUMIFS(Database!$G:$G,Database!$D:$D,"Import",Database!$E:$E,$B97,Database!$C:$C,H$1,Database!$F:$F,"Total")</f>
        <v>0</v>
      </c>
      <c r="I97" s="137">
        <f>SUMIFS(Database!$G:$G,Database!$D:$D,"Import",Database!$E:$E,$B97,Database!$C:$C,I$1,Database!$F:$F,"Total")</f>
        <v>0</v>
      </c>
      <c r="J97" s="137">
        <f>SUMIFS(Database!$G:$G,Database!$D:$D,"Import",Database!$E:$E,$B97,Database!$C:$C,J$1,Database!$F:$F,"Total")</f>
        <v>0</v>
      </c>
      <c r="K97" s="137">
        <f>SUMIFS(Database!$G:$G,Database!$D:$D,"Import",Database!$E:$E,$B97,Database!$C:$C,K$1,Database!$F:$F,"Total")</f>
        <v>0</v>
      </c>
      <c r="L97" s="137">
        <f>SUMIFS(Database!$G:$G,Database!$D:$D,"Import",Database!$E:$E,$B97,Database!$C:$C,L$1,Database!$F:$F,"Total")</f>
        <v>0</v>
      </c>
      <c r="M97" s="137">
        <f>SUMIFS(Database!$G:$G,Database!$D:$D,"Import",Database!$E:$E,$B97,Database!$C:$C,M$1,Database!$F:$F,"Total")</f>
        <v>0</v>
      </c>
      <c r="N97" s="137">
        <f>SUMIFS(Database!$G:$G,Database!$D:$D,"Import",Database!$E:$E,$B97,Database!$C:$C,N$1,Database!$F:$F,"Total")</f>
        <v>0</v>
      </c>
      <c r="O97" s="137">
        <f>SUMIFS(Database!$G:$G,Database!$D:$D,"Import",Database!$E:$E,$B97,Database!$C:$C,O$1,Database!$F:$F,"Total")</f>
        <v>0</v>
      </c>
      <c r="P97" s="137">
        <f>SUMIFS(Database!$G:$G,Database!$D:$D,"Import",Database!$E:$E,$B97,Database!$C:$C,P$1,Database!$F:$F,"Total")</f>
        <v>0</v>
      </c>
      <c r="Q97" s="137">
        <f>SUMIFS(Database!$G:$G,Database!$D:$D,"Import",Database!$E:$E,$B97,Database!$C:$C,Q$1,Database!$F:$F,"Total")</f>
        <v>0</v>
      </c>
      <c r="R97" s="137">
        <f>SUMIFS(Database!$G:$G,Database!$D:$D,"Import",Database!$E:$E,$B97,Database!$C:$C,R$1,Database!$F:$F,"Total")</f>
        <v>0</v>
      </c>
      <c r="S97" s="137">
        <f>SUMIFS(Database!$G:$G,Database!$D:$D,"Import",Database!$E:$E,$B97,Database!$C:$C,S$1,Database!$F:$F,"Total")</f>
        <v>0</v>
      </c>
      <c r="T97" s="137">
        <f>SUMIFS(Database!$G:$G,Database!$D:$D,"Import",Database!$E:$E,$B97,Database!$C:$C,T$1,Database!$F:$F,"Total")</f>
        <v>0</v>
      </c>
      <c r="U97" s="137">
        <f>SUMIFS(Database!$G:$G,Database!$D:$D,"Import",Database!$E:$E,$B97,Database!$C:$C,U$1,Database!$F:$F,"Total")</f>
        <v>0</v>
      </c>
      <c r="V97" s="137">
        <f>SUMIFS(Database!$G:$G,Database!$D:$D,"Import",Database!$E:$E,$B97,Database!$C:$C,V$1,Database!$F:$F,"Total")</f>
        <v>0</v>
      </c>
      <c r="W97" s="137">
        <f>SUMIFS(Database!$G:$G,Database!$D:$D,"Import",Database!$E:$E,$B97,Database!$C:$C,W$1,Database!$F:$F,"Total")</f>
        <v>0</v>
      </c>
      <c r="X97" s="137">
        <f>SUMIFS(Database!$G:$G,Database!$D:$D,"Import",Database!$E:$E,$B97,Database!$C:$C,X$1,Database!$F:$F,"Total")</f>
        <v>0</v>
      </c>
      <c r="Y97" s="137">
        <f>SUMIFS(Database!$G:$G,Database!$D:$D,"Import",Database!$E:$E,$B97,Database!$C:$C,Y$1,Database!$F:$F,"Total")</f>
        <v>0</v>
      </c>
      <c r="Z97" s="137">
        <f>SUMIFS(Database!$G:$G,Database!$D:$D,"Import",Database!$E:$E,$B97,Database!$C:$C,Z$1,Database!$F:$F,"Total")</f>
        <v>0</v>
      </c>
      <c r="AA97" s="137">
        <f>SUMIFS(Database!$G:$G,Database!$D:$D,"Import",Database!$E:$E,$B97,Database!$C:$C,AA$1,Database!$F:$F,"Total")</f>
        <v>0</v>
      </c>
      <c r="AB97" s="137">
        <f>SUMIFS(Database!$G:$G,Database!$D:$D,"Import",Database!$E:$E,$B97,Database!$C:$C,AB$1,Database!$F:$F,"Total")</f>
        <v>0</v>
      </c>
      <c r="AC97" s="137">
        <f>SUMIFS(Database!$G:$G,Database!$D:$D,"Import",Database!$E:$E,$B97,Database!$C:$C,AC$1,Database!$F:$F,"Total")</f>
        <v>0</v>
      </c>
      <c r="AD97" s="137">
        <f>SUMIFS(Database!$G:$G,Database!$D:$D,"Import",Database!$E:$E,$B97,Database!$C:$C,AD$1,Database!$F:$F,"Total")</f>
        <v>0</v>
      </c>
      <c r="AE97" s="137">
        <f>SUMIFS(Database!$G:$G,Database!$D:$D,"Import",Database!$E:$E,$B97,Database!$C:$C,AE$1,Database!$F:$F,"Total")</f>
        <v>0</v>
      </c>
      <c r="AF97" s="137">
        <f>SUMIFS(Database!$G:$G,Database!$D:$D,"Import",Database!$E:$E,$B97,Database!$C:$C,AF$1,Database!$F:$F,"Total")</f>
        <v>0</v>
      </c>
      <c r="AG97" s="137">
        <f>SUMIFS(Database!$G:$G,Database!$D:$D,"Import",Database!$E:$E,$B97,Database!$C:$C,AG$1,Database!$F:$F,"Total")</f>
        <v>0</v>
      </c>
      <c r="AH97" s="137">
        <f>SUMIFS(Database!$G:$G,Database!$D:$D,"Import",Database!$E:$E,$B97,Database!$C:$C,AH$1,Database!$F:$F,"Total")</f>
        <v>0</v>
      </c>
      <c r="AI97" s="137">
        <f>SUMIFS(Database!$G:$G,Database!$D:$D,"Import",Database!$E:$E,$B97,Database!$C:$C,AI$1,Database!$F:$F,"Total")</f>
        <v>0</v>
      </c>
      <c r="AJ97" s="137">
        <f>SUMIFS(Database!$G:$G,Database!$D:$D,"Import",Database!$E:$E,$B97,Database!$C:$C,AJ$1,Database!$F:$F,"Total")</f>
        <v>0</v>
      </c>
      <c r="AK97" s="137">
        <f>SUMIFS(Database!$G:$G,Database!$D:$D,"Import",Database!$E:$E,$B97,Database!$C:$C,AK$1,Database!$F:$F,"Total")</f>
        <v>7784817</v>
      </c>
      <c r="AL97" s="137">
        <f>SUMIFS(Database!$G:$G,Database!$D:$D,"Import",Database!$E:$E,$B97,Database!$C:$C,AL$1,Database!$F:$F,"Total")</f>
        <v>0</v>
      </c>
      <c r="AM97" s="137">
        <f>SUMIFS(Database!$G:$G,Database!$D:$D,"Import",Database!$E:$E,$B97,Database!$C:$C,AM$1,Database!$F:$F,"Total")</f>
        <v>0</v>
      </c>
      <c r="AN97" s="137">
        <f>SUMIFS(Database!$G:$G,Database!$D:$D,"Import",Database!$E:$E,$B97,Database!$C:$C,AN$1,Database!$F:$F,"Total")</f>
        <v>0</v>
      </c>
      <c r="AO97" s="137">
        <f>SUMIFS(Database!$G:$G,Database!$D:$D,"Import",Database!$E:$E,$B97,Database!$C:$C,AO$1,Database!$F:$F,"Total")</f>
        <v>0</v>
      </c>
      <c r="AP97" s="137">
        <f>SUMIFS(Database!$G:$G,Database!$D:$D,"Import",Database!$E:$E,$B97,Database!$C:$C,AP$1,Database!$F:$F,"Total")</f>
        <v>0</v>
      </c>
      <c r="AQ97" s="137">
        <f>SUMIFS(Database!$G:$G,Database!$D:$D,"Import",Database!$E:$E,$B97,Database!$C:$C,AQ$1,Database!$F:$F,"Total")</f>
        <v>0</v>
      </c>
      <c r="AR97" s="137">
        <f>SUMIFS(Database!$G:$G,Database!$D:$D,"Import",Database!$E:$E,$B97,Database!$C:$C,AR$1,Database!$F:$F,"Total")</f>
        <v>0</v>
      </c>
      <c r="AS97" s="137">
        <f>SUMIFS(Database!$G:$G,Database!$D:$D,"Import",Database!$E:$E,$B97,Database!$C:$C,AS$1,Database!$F:$F,"Total")</f>
        <v>0</v>
      </c>
      <c r="AT97" s="137">
        <f>SUMIFS(Database!$G:$G,Database!$D:$D,"Import",Database!$E:$E,$B97,Database!$C:$C,AT$1,Database!$F:$F,"Total")</f>
        <v>0</v>
      </c>
      <c r="AU97" s="137">
        <f>SUMIFS(Database!$G:$G,Database!$D:$D,"Import",Database!$E:$E,$B97,Database!$C:$C,AU$1,Database!$F:$F,"Total")</f>
        <v>0</v>
      </c>
      <c r="AV97" s="137">
        <f>SUMIFS(Database!$G:$G,Database!$D:$D,"Import",Database!$E:$E,$B97,Database!$C:$C,AV$1,Database!$F:$F,"Total")</f>
        <v>0</v>
      </c>
      <c r="AW97" s="137">
        <f>SUMIFS(Database!$G:$G,Database!$D:$D,"Import",Database!$E:$E,$B97,Database!$C:$C,AW$1,Database!$F:$F,"Total")</f>
        <v>0</v>
      </c>
      <c r="AX97" s="137">
        <f>SUMIFS(Database!$G:$G,Database!$D:$D,"Import",Database!$E:$E,$B97,Database!$C:$C,AX$1,Database!$F:$F,"Total")</f>
        <v>0</v>
      </c>
      <c r="AY97" s="137">
        <f>SUMIFS(Database!$G:$G,Database!$D:$D,"Import",Database!$E:$E,$B97,Database!$C:$C,AY$1,Database!$F:$F,"Total")</f>
        <v>0</v>
      </c>
      <c r="AZ97" s="137">
        <f>SUMIFS(Database!$G:$G,Database!$D:$D,"Import",Database!$E:$E,$B97,Database!$C:$C,AZ$1,Database!$F:$F,"Total")</f>
        <v>0</v>
      </c>
      <c r="BA97" s="137">
        <f>SUMIFS(Database!$G:$G,Database!$D:$D,"Import",Database!$E:$E,$B97,Database!$C:$C,BA$1,Database!$F:$F,"Total")</f>
        <v>0</v>
      </c>
      <c r="BB97" s="137">
        <f>SUMIFS(Database!$G:$G,Database!$D:$D,"Import",Database!$E:$E,$B97,Database!$C:$C,BB$1,Database!$F:$F,"Total")</f>
        <v>0</v>
      </c>
      <c r="BC97" s="137">
        <f>SUMIFS(Database!$G:$G,Database!$D:$D,"Import",Database!$E:$E,$B97,Database!$C:$C,BC$1,Database!$F:$F,"Total")</f>
        <v>0</v>
      </c>
      <c r="BD97" s="137">
        <f>SUMIFS(Database!$G:$G,Database!$D:$D,"Import",Database!$E:$E,$B97,Database!$C:$C,BD$1,Database!$F:$F,"Total")</f>
        <v>0</v>
      </c>
      <c r="BE97" s="137">
        <f>SUMIFS(Database!$G:$G,Database!$D:$D,"Import",Database!$E:$E,$B97,Database!$C:$C,BE$1,Database!$F:$F,"Total")</f>
        <v>0</v>
      </c>
      <c r="BF97" s="137">
        <f>SUMIFS(Database!$G:$G,Database!$D:$D,"Import",Database!$E:$E,$B97,Database!$C:$C,BF$1,Database!$F:$F,"Total")</f>
        <v>0</v>
      </c>
      <c r="BG97" s="137">
        <f>SUMIFS(Database!$G:$G,Database!$D:$D,"Import",Database!$E:$E,$B97,Database!$C:$C,BG$1,Database!$F:$F,"Total")</f>
        <v>0</v>
      </c>
      <c r="BH97" s="137">
        <f>SUMIFS(Database!$G:$G,Database!$D:$D,"Import",Database!$E:$E,$B97,Database!$C:$C,BH$1,Database!$F:$F,"Total")</f>
        <v>0</v>
      </c>
      <c r="BI97" s="137">
        <f>SUMIFS(Database!$G:$G,Database!$D:$D,"Import",Database!$E:$E,$B97,Database!$C:$C,BI$1,Database!$F:$F,"Total")</f>
        <v>0</v>
      </c>
      <c r="BJ97" s="137">
        <f>SUMIFS(Database!$G:$G,Database!$D:$D,"Import",Database!$E:$E,$B97,Database!$C:$C,BJ$1,Database!$F:$F,"Total")</f>
        <v>0</v>
      </c>
      <c r="BK97" s="137">
        <f>SUMIFS(Database!$G:$G,Database!$D:$D,"Import",Database!$E:$E,$B97,Database!$C:$C,BK$1,Database!$F:$F,"Total")</f>
        <v>0</v>
      </c>
      <c r="BL97" s="137">
        <f>SUMIFS(Database!$G:$G,Database!$D:$D,"Import",Database!$E:$E,$B97,Database!$C:$C,BL$1,Database!$F:$F,"Total")</f>
        <v>0</v>
      </c>
      <c r="BM97" s="137">
        <f>SUMIFS(Database!$G:$G,Database!$D:$D,"Import",Database!$E:$E,$B97,Database!$C:$C,BM$1,Database!$F:$F,"Total")</f>
        <v>0</v>
      </c>
      <c r="BN97" s="137">
        <f>SUMIFS(Database!$G:$G,Database!$D:$D,"Import",Database!$E:$E,$B97,Database!$C:$C,BN$1,Database!$F:$F,"Total")</f>
        <v>0</v>
      </c>
      <c r="BO97" s="137">
        <f>SUMIFS(Database!$G:$G,Database!$D:$D,"Import",Database!$E:$E,$B97,Database!$C:$C,BO$1,Database!$F:$F,"Total")</f>
        <v>0</v>
      </c>
      <c r="BP97" s="137">
        <f>SUMIFS(Database!$G:$G,Database!$D:$D,"Import",Database!$E:$E,$B97,Database!$C:$C,BP$1,Database!$F:$F,"Total")</f>
        <v>0</v>
      </c>
      <c r="BQ97" s="137">
        <f>SUMIFS(Database!$G:$G,Database!$D:$D,"Import",Database!$E:$E,$B97,Database!$C:$C,BQ$1,Database!$F:$F,"Total")</f>
        <v>0</v>
      </c>
      <c r="BR97" s="137">
        <f>SUMIFS(Database!$G:$G,Database!$D:$D,"Import",Database!$E:$E,$B97,Database!$C:$C,BR$1,Database!$F:$F,"Total")</f>
        <v>0</v>
      </c>
      <c r="BS97" s="137">
        <f>SUMIFS(Database!$G:$G,Database!$D:$D,"Import",Database!$E:$E,$B97,Database!$C:$C,BS$1,Database!$F:$F,"Total")</f>
        <v>0</v>
      </c>
      <c r="BT97" s="137">
        <f>SUMIFS(Database!$G:$G,Database!$D:$D,"Import",Database!$E:$E,$B97,Database!$C:$C,BT$1,Database!$F:$F,"Total")</f>
        <v>0</v>
      </c>
      <c r="BU97" s="137">
        <f>SUMIFS(Database!$G:$G,Database!$D:$D,"Import",Database!$E:$E,$B97,Database!$C:$C,BU$1,Database!$F:$F,"Total")</f>
        <v>0</v>
      </c>
      <c r="BV97" s="137">
        <f>SUMIFS(Database!$G:$G,Database!$D:$D,"Import",Database!$E:$E,$B97,Database!$C:$C,BV$1,Database!$F:$F,"Total")</f>
        <v>0</v>
      </c>
      <c r="BW97" s="137">
        <f>SUMIFS(Database!$G:$G,Database!$D:$D,"Import",Database!$E:$E,$B97,Database!$C:$C,BW$1,Database!$F:$F,"Total")</f>
        <v>0</v>
      </c>
      <c r="BX97" s="137">
        <f>SUMIFS(Database!$G:$G,Database!$D:$D,"Import",Database!$E:$E,$B97,Database!$C:$C,BX$1,Database!$F:$F,"Total")</f>
        <v>0</v>
      </c>
      <c r="BY97" s="137">
        <f>SUMIFS(Database!$G:$G,Database!$D:$D,"Import",Database!$E:$E,$B97,Database!$C:$C,BY$1,Database!$F:$F,"Total")</f>
        <v>0</v>
      </c>
      <c r="BZ97" s="137">
        <f>SUMIFS(Database!$G:$G,Database!$D:$D,"Import",Database!$E:$E,$B97,Database!$C:$C,BZ$1,Database!$F:$F,"Total")</f>
        <v>0</v>
      </c>
      <c r="CA97" s="137">
        <f>SUMIFS(Database!$G:$G,Database!$D:$D,"Import",Database!$E:$E,$B97,Database!$C:$C,CA$1,Database!$F:$F,"Total")</f>
        <v>0</v>
      </c>
      <c r="CB97" s="137">
        <f>SUMIFS(Database!$G:$G,Database!$D:$D,"Import",Database!$E:$E,$B97,Database!$C:$C,CB$1,Database!$F:$F,"Total")</f>
        <v>0</v>
      </c>
      <c r="CC97" s="137">
        <f>SUMIFS(Database!$G:$G,Database!$D:$D,"Import",Database!$E:$E,$B97,Database!$C:$C,CC$1,Database!$F:$F,"Total")</f>
        <v>0</v>
      </c>
      <c r="CD97" s="137">
        <f>SUMIFS(Database!$G:$G,Database!$D:$D,"Import",Database!$E:$E,$B97,Database!$C:$C,CD$1,Database!$F:$F,"Total")</f>
        <v>0</v>
      </c>
      <c r="CE97" s="137">
        <f>SUMIFS(Database!$G:$G,Database!$D:$D,"Import",Database!$E:$E,$B97,Database!$C:$C,CE$1,Database!$F:$F,"Total")</f>
        <v>0</v>
      </c>
      <c r="CF97" s="137">
        <f>SUMIFS(Database!$G:$G,Database!$D:$D,"Import",Database!$E:$E,$B97,Database!$C:$C,CF$1,Database!$F:$F,"Total")</f>
        <v>0</v>
      </c>
      <c r="CG97" s="137">
        <f>SUMIFS(Database!$G:$G,Database!$D:$D,"Import",Database!$E:$E,$B97,Database!$C:$C,CG$1,Database!$F:$F,"Total")</f>
        <v>0</v>
      </c>
      <c r="CH97" s="137">
        <f>SUMIFS(Database!$G:$G,Database!$D:$D,"Import",Database!$E:$E,$B97,Database!$C:$C,CH$1,Database!$F:$F,"Total")</f>
        <v>0</v>
      </c>
      <c r="CI97" s="137">
        <f>SUMIFS(Database!$G:$G,Database!$D:$D,"Import",Database!$E:$E,$B97,Database!$C:$C,CI$1,Database!$F:$F,"Total")</f>
        <v>0</v>
      </c>
      <c r="CJ97" s="137">
        <f>SUMIFS(Database!$G:$G,Database!$D:$D,"Import",Database!$E:$E,$B97,Database!$C:$C,CJ$1,Database!$F:$F,"Total")</f>
        <v>0</v>
      </c>
      <c r="CK97" s="137">
        <f>SUMIFS(Database!$G:$G,Database!$D:$D,"Import",Database!$E:$E,$B97,Database!$C:$C,CK$1,Database!$F:$F,"Total")</f>
        <v>0</v>
      </c>
      <c r="CL97" s="137">
        <f>SUMIFS(Database!$G:$G,Database!$D:$D,"Import",Database!$E:$E,$B97,Database!$C:$C,CL$1,Database!$F:$F,"Total")</f>
        <v>0</v>
      </c>
      <c r="CM97" s="137">
        <f>SUMIFS(Database!$G:$G,Database!$D:$D,"Import",Database!$E:$E,$B97,Database!$C:$C,CM$1,Database!$F:$F,"Total")</f>
        <v>0</v>
      </c>
      <c r="CN97" s="137">
        <f>SUMIFS(Database!$G:$G,Database!$D:$D,"Import",Database!$E:$E,$B97,Database!$C:$C,CN$1,Database!$F:$F,"Total")</f>
        <v>0</v>
      </c>
      <c r="CO97" s="137">
        <f>SUMIFS(Database!$G:$G,Database!$D:$D,"Import",Database!$E:$E,$B97,Database!$C:$C,CO$1,Database!$F:$F,"Total")</f>
        <v>0</v>
      </c>
      <c r="CP97" s="137">
        <f>SUMIFS(Database!$G:$G,Database!$D:$D,"Import",Database!$E:$E,$B97,Database!$C:$C,CP$1,Database!$F:$F,"Total")</f>
        <v>0</v>
      </c>
      <c r="CQ97" s="137">
        <f>SUMIFS(Database!$G:$G,Database!$D:$D,"Import",Database!$E:$E,$B97,Database!$C:$C,CQ$1,Database!$F:$F,"Total")</f>
        <v>0</v>
      </c>
      <c r="CR97" s="137">
        <f>SUMIFS(Database!$G:$G,Database!$D:$D,"Import",Database!$E:$E,$B97,Database!$C:$C,CR$1,Database!$F:$F,"Total")</f>
        <v>0</v>
      </c>
      <c r="CS97" s="137">
        <f>SUMIFS(Database!$G:$G,Database!$D:$D,"Import",Database!$E:$E,$B97,Database!$C:$C,CS$1,Database!$F:$F,"Total")</f>
        <v>0</v>
      </c>
      <c r="CT97" s="137">
        <f>SUMIFS(Database!$G:$G,Database!$D:$D,"Import",Database!$E:$E,$B97,Database!$C:$C,CT$1,Database!$F:$F,"Total")</f>
        <v>0</v>
      </c>
      <c r="CU97" s="137">
        <f>SUMIFS(Database!$G:$G,Database!$D:$D,"Import",Database!$E:$E,$B97,Database!$C:$C,CU$1,Database!$F:$F,"Total")</f>
        <v>0</v>
      </c>
    </row>
    <row r="98" spans="1:99" x14ac:dyDescent="0.25">
      <c r="A98" s="132" t="s">
        <v>484</v>
      </c>
      <c r="B98" s="133" t="s">
        <v>105</v>
      </c>
      <c r="C98" s="137">
        <f>SUMIFS(Database!$G:$G,Database!$D:$D,"Import",Database!$E:$E,$B98,Database!$C:$C,C$1,Database!$F:$F,"Total")</f>
        <v>0</v>
      </c>
      <c r="D98" s="137">
        <f>SUMIFS(Database!$G:$G,Database!$D:$D,"Import",Database!$E:$E,$B98,Database!$C:$C,D$1,Database!$F:$F,"Total")</f>
        <v>0</v>
      </c>
      <c r="E98" s="137">
        <f>SUMIFS(Database!$G:$G,Database!$D:$D,"Import",Database!$E:$E,$B98,Database!$C:$C,E$1,Database!$F:$F,"Total")</f>
        <v>0</v>
      </c>
      <c r="F98" s="137">
        <f>SUMIFS(Database!$G:$G,Database!$D:$D,"Import",Database!$E:$E,$B98,Database!$C:$C,F$1,Database!$F:$F,"Total")</f>
        <v>0</v>
      </c>
      <c r="G98" s="137">
        <f>SUMIFS(Database!$G:$G,Database!$D:$D,"Import",Database!$E:$E,$B98,Database!$C:$C,G$1,Database!$F:$F,"Total")</f>
        <v>0</v>
      </c>
      <c r="H98" s="137">
        <f>SUMIFS(Database!$G:$G,Database!$D:$D,"Import",Database!$E:$E,$B98,Database!$C:$C,H$1,Database!$F:$F,"Total")</f>
        <v>0</v>
      </c>
      <c r="I98" s="137">
        <f>SUMIFS(Database!$G:$G,Database!$D:$D,"Import",Database!$E:$E,$B98,Database!$C:$C,I$1,Database!$F:$F,"Total")</f>
        <v>0</v>
      </c>
      <c r="J98" s="137">
        <f>SUMIFS(Database!$G:$G,Database!$D:$D,"Import",Database!$E:$E,$B98,Database!$C:$C,J$1,Database!$F:$F,"Total")</f>
        <v>0</v>
      </c>
      <c r="K98" s="137">
        <f>SUMIFS(Database!$G:$G,Database!$D:$D,"Import",Database!$E:$E,$B98,Database!$C:$C,K$1,Database!$F:$F,"Total")</f>
        <v>0</v>
      </c>
      <c r="L98" s="137">
        <f>SUMIFS(Database!$G:$G,Database!$D:$D,"Import",Database!$E:$E,$B98,Database!$C:$C,L$1,Database!$F:$F,"Total")</f>
        <v>0</v>
      </c>
      <c r="M98" s="137">
        <f>SUMIFS(Database!$G:$G,Database!$D:$D,"Import",Database!$E:$E,$B98,Database!$C:$C,M$1,Database!$F:$F,"Total")</f>
        <v>0</v>
      </c>
      <c r="N98" s="137">
        <f>SUMIFS(Database!$G:$G,Database!$D:$D,"Import",Database!$E:$E,$B98,Database!$C:$C,N$1,Database!$F:$F,"Total")</f>
        <v>0</v>
      </c>
      <c r="O98" s="137">
        <f>SUMIFS(Database!$G:$G,Database!$D:$D,"Import",Database!$E:$E,$B98,Database!$C:$C,O$1,Database!$F:$F,"Total")</f>
        <v>0</v>
      </c>
      <c r="P98" s="137">
        <f>SUMIFS(Database!$G:$G,Database!$D:$D,"Import",Database!$E:$E,$B98,Database!$C:$C,P$1,Database!$F:$F,"Total")</f>
        <v>0</v>
      </c>
      <c r="Q98" s="137">
        <f>SUMIFS(Database!$G:$G,Database!$D:$D,"Import",Database!$E:$E,$B98,Database!$C:$C,Q$1,Database!$F:$F,"Total")</f>
        <v>0</v>
      </c>
      <c r="R98" s="137">
        <f>SUMIFS(Database!$G:$G,Database!$D:$D,"Import",Database!$E:$E,$B98,Database!$C:$C,R$1,Database!$F:$F,"Total")</f>
        <v>0</v>
      </c>
      <c r="S98" s="137">
        <f>SUMIFS(Database!$G:$G,Database!$D:$D,"Import",Database!$E:$E,$B98,Database!$C:$C,S$1,Database!$F:$F,"Total")</f>
        <v>0</v>
      </c>
      <c r="T98" s="137">
        <f>SUMIFS(Database!$G:$G,Database!$D:$D,"Import",Database!$E:$E,$B98,Database!$C:$C,T$1,Database!$F:$F,"Total")</f>
        <v>0</v>
      </c>
      <c r="U98" s="137">
        <f>SUMIFS(Database!$G:$G,Database!$D:$D,"Import",Database!$E:$E,$B98,Database!$C:$C,U$1,Database!$F:$F,"Total")</f>
        <v>0</v>
      </c>
      <c r="V98" s="137">
        <f>SUMIFS(Database!$G:$G,Database!$D:$D,"Import",Database!$E:$E,$B98,Database!$C:$C,V$1,Database!$F:$F,"Total")</f>
        <v>0</v>
      </c>
      <c r="W98" s="137">
        <f>SUMIFS(Database!$G:$G,Database!$D:$D,"Import",Database!$E:$E,$B98,Database!$C:$C,W$1,Database!$F:$F,"Total")</f>
        <v>0</v>
      </c>
      <c r="X98" s="137">
        <f>SUMIFS(Database!$G:$G,Database!$D:$D,"Import",Database!$E:$E,$B98,Database!$C:$C,X$1,Database!$F:$F,"Total")</f>
        <v>0</v>
      </c>
      <c r="Y98" s="137">
        <f>SUMIFS(Database!$G:$G,Database!$D:$D,"Import",Database!$E:$E,$B98,Database!$C:$C,Y$1,Database!$F:$F,"Total")</f>
        <v>0</v>
      </c>
      <c r="Z98" s="137">
        <f>SUMIFS(Database!$G:$G,Database!$D:$D,"Import",Database!$E:$E,$B98,Database!$C:$C,Z$1,Database!$F:$F,"Total")</f>
        <v>0</v>
      </c>
      <c r="AA98" s="137">
        <f>SUMIFS(Database!$G:$G,Database!$D:$D,"Import",Database!$E:$E,$B98,Database!$C:$C,AA$1,Database!$F:$F,"Total")</f>
        <v>0</v>
      </c>
      <c r="AB98" s="137">
        <f>SUMIFS(Database!$G:$G,Database!$D:$D,"Import",Database!$E:$E,$B98,Database!$C:$C,AB$1,Database!$F:$F,"Total")</f>
        <v>0</v>
      </c>
      <c r="AC98" s="137">
        <f>SUMIFS(Database!$G:$G,Database!$D:$D,"Import",Database!$E:$E,$B98,Database!$C:$C,AC$1,Database!$F:$F,"Total")</f>
        <v>0</v>
      </c>
      <c r="AD98" s="137">
        <f>SUMIFS(Database!$G:$G,Database!$D:$D,"Import",Database!$E:$E,$B98,Database!$C:$C,AD$1,Database!$F:$F,"Total")</f>
        <v>0</v>
      </c>
      <c r="AE98" s="137">
        <f>SUMIFS(Database!$G:$G,Database!$D:$D,"Import",Database!$E:$E,$B98,Database!$C:$C,AE$1,Database!$F:$F,"Total")</f>
        <v>0</v>
      </c>
      <c r="AF98" s="137">
        <f>SUMIFS(Database!$G:$G,Database!$D:$D,"Import",Database!$E:$E,$B98,Database!$C:$C,AF$1,Database!$F:$F,"Total")</f>
        <v>0</v>
      </c>
      <c r="AG98" s="137">
        <f>SUMIFS(Database!$G:$G,Database!$D:$D,"Import",Database!$E:$E,$B98,Database!$C:$C,AG$1,Database!$F:$F,"Total")</f>
        <v>0</v>
      </c>
      <c r="AH98" s="137">
        <f>SUMIFS(Database!$G:$G,Database!$D:$D,"Import",Database!$E:$E,$B98,Database!$C:$C,AH$1,Database!$F:$F,"Total")</f>
        <v>0</v>
      </c>
      <c r="AI98" s="137">
        <f>SUMIFS(Database!$G:$G,Database!$D:$D,"Import",Database!$E:$E,$B98,Database!$C:$C,AI$1,Database!$F:$F,"Total")</f>
        <v>0</v>
      </c>
      <c r="AJ98" s="137">
        <f>SUMIFS(Database!$G:$G,Database!$D:$D,"Import",Database!$E:$E,$B98,Database!$C:$C,AJ$1,Database!$F:$F,"Total")</f>
        <v>0</v>
      </c>
      <c r="AK98" s="137">
        <f>SUMIFS(Database!$G:$G,Database!$D:$D,"Import",Database!$E:$E,$B98,Database!$C:$C,AK$1,Database!$F:$F,"Total")</f>
        <v>0</v>
      </c>
      <c r="AL98" s="137">
        <f>SUMIFS(Database!$G:$G,Database!$D:$D,"Import",Database!$E:$E,$B98,Database!$C:$C,AL$1,Database!$F:$F,"Total")</f>
        <v>0</v>
      </c>
      <c r="AM98" s="137">
        <f>SUMIFS(Database!$G:$G,Database!$D:$D,"Import",Database!$E:$E,$B98,Database!$C:$C,AM$1,Database!$F:$F,"Total")</f>
        <v>0</v>
      </c>
      <c r="AN98" s="137">
        <f>SUMIFS(Database!$G:$G,Database!$D:$D,"Import",Database!$E:$E,$B98,Database!$C:$C,AN$1,Database!$F:$F,"Total")</f>
        <v>0</v>
      </c>
      <c r="AO98" s="137">
        <f>SUMIFS(Database!$G:$G,Database!$D:$D,"Import",Database!$E:$E,$B98,Database!$C:$C,AO$1,Database!$F:$F,"Total")</f>
        <v>0</v>
      </c>
      <c r="AP98" s="137">
        <f>SUMIFS(Database!$G:$G,Database!$D:$D,"Import",Database!$E:$E,$B98,Database!$C:$C,AP$1,Database!$F:$F,"Total")</f>
        <v>0</v>
      </c>
      <c r="AQ98" s="137">
        <f>SUMIFS(Database!$G:$G,Database!$D:$D,"Import",Database!$E:$E,$B98,Database!$C:$C,AQ$1,Database!$F:$F,"Total")</f>
        <v>0</v>
      </c>
      <c r="AR98" s="137">
        <f>SUMIFS(Database!$G:$G,Database!$D:$D,"Import",Database!$E:$E,$B98,Database!$C:$C,AR$1,Database!$F:$F,"Total")</f>
        <v>0</v>
      </c>
      <c r="AS98" s="137">
        <f>SUMIFS(Database!$G:$G,Database!$D:$D,"Import",Database!$E:$E,$B98,Database!$C:$C,AS$1,Database!$F:$F,"Total")</f>
        <v>0</v>
      </c>
      <c r="AT98" s="137">
        <f>SUMIFS(Database!$G:$G,Database!$D:$D,"Import",Database!$E:$E,$B98,Database!$C:$C,AT$1,Database!$F:$F,"Total")</f>
        <v>0</v>
      </c>
      <c r="AU98" s="137">
        <f>SUMIFS(Database!$G:$G,Database!$D:$D,"Import",Database!$E:$E,$B98,Database!$C:$C,AU$1,Database!$F:$F,"Total")</f>
        <v>0</v>
      </c>
      <c r="AV98" s="137">
        <f>SUMIFS(Database!$G:$G,Database!$D:$D,"Import",Database!$E:$E,$B98,Database!$C:$C,AV$1,Database!$F:$F,"Total")</f>
        <v>0</v>
      </c>
      <c r="AW98" s="137">
        <f>SUMIFS(Database!$G:$G,Database!$D:$D,"Import",Database!$E:$E,$B98,Database!$C:$C,AW$1,Database!$F:$F,"Total")</f>
        <v>0</v>
      </c>
      <c r="AX98" s="137">
        <f>SUMIFS(Database!$G:$G,Database!$D:$D,"Import",Database!$E:$E,$B98,Database!$C:$C,AX$1,Database!$F:$F,"Total")</f>
        <v>0</v>
      </c>
      <c r="AY98" s="137">
        <f>SUMIFS(Database!$G:$G,Database!$D:$D,"Import",Database!$E:$E,$B98,Database!$C:$C,AY$1,Database!$F:$F,"Total")</f>
        <v>0</v>
      </c>
      <c r="AZ98" s="137">
        <f>SUMIFS(Database!$G:$G,Database!$D:$D,"Import",Database!$E:$E,$B98,Database!$C:$C,AZ$1,Database!$F:$F,"Total")</f>
        <v>0</v>
      </c>
      <c r="BA98" s="137">
        <f>SUMIFS(Database!$G:$G,Database!$D:$D,"Import",Database!$E:$E,$B98,Database!$C:$C,BA$1,Database!$F:$F,"Total")</f>
        <v>0</v>
      </c>
      <c r="BB98" s="137">
        <f>SUMIFS(Database!$G:$G,Database!$D:$D,"Import",Database!$E:$E,$B98,Database!$C:$C,BB$1,Database!$F:$F,"Total")</f>
        <v>0</v>
      </c>
      <c r="BC98" s="137">
        <f>SUMIFS(Database!$G:$G,Database!$D:$D,"Import",Database!$E:$E,$B98,Database!$C:$C,BC$1,Database!$F:$F,"Total")</f>
        <v>0</v>
      </c>
      <c r="BD98" s="137">
        <f>SUMIFS(Database!$G:$G,Database!$D:$D,"Import",Database!$E:$E,$B98,Database!$C:$C,BD$1,Database!$F:$F,"Total")</f>
        <v>0</v>
      </c>
      <c r="BE98" s="137">
        <f>SUMIFS(Database!$G:$G,Database!$D:$D,"Import",Database!$E:$E,$B98,Database!$C:$C,BE$1,Database!$F:$F,"Total")</f>
        <v>0</v>
      </c>
      <c r="BF98" s="137">
        <f>SUMIFS(Database!$G:$G,Database!$D:$D,"Import",Database!$E:$E,$B98,Database!$C:$C,BF$1,Database!$F:$F,"Total")</f>
        <v>0</v>
      </c>
      <c r="BG98" s="137">
        <f>SUMIFS(Database!$G:$G,Database!$D:$D,"Import",Database!$E:$E,$B98,Database!$C:$C,BG$1,Database!$F:$F,"Total")</f>
        <v>0</v>
      </c>
      <c r="BH98" s="137">
        <f>SUMIFS(Database!$G:$G,Database!$D:$D,"Import",Database!$E:$E,$B98,Database!$C:$C,BH$1,Database!$F:$F,"Total")</f>
        <v>0</v>
      </c>
      <c r="BI98" s="137">
        <f>SUMIFS(Database!$G:$G,Database!$D:$D,"Import",Database!$E:$E,$B98,Database!$C:$C,BI$1,Database!$F:$F,"Total")</f>
        <v>3629602</v>
      </c>
      <c r="BJ98" s="137">
        <f>SUMIFS(Database!$G:$G,Database!$D:$D,"Import",Database!$E:$E,$B98,Database!$C:$C,BJ$1,Database!$F:$F,"Total")</f>
        <v>0</v>
      </c>
      <c r="BK98" s="137">
        <f>SUMIFS(Database!$G:$G,Database!$D:$D,"Import",Database!$E:$E,$B98,Database!$C:$C,BK$1,Database!$F:$F,"Total")</f>
        <v>0</v>
      </c>
      <c r="BL98" s="137">
        <f>SUMIFS(Database!$G:$G,Database!$D:$D,"Import",Database!$E:$E,$B98,Database!$C:$C,BL$1,Database!$F:$F,"Total")</f>
        <v>0</v>
      </c>
      <c r="BM98" s="137">
        <f>SUMIFS(Database!$G:$G,Database!$D:$D,"Import",Database!$E:$E,$B98,Database!$C:$C,BM$1,Database!$F:$F,"Total")</f>
        <v>0</v>
      </c>
      <c r="BN98" s="137">
        <f>SUMIFS(Database!$G:$G,Database!$D:$D,"Import",Database!$E:$E,$B98,Database!$C:$C,BN$1,Database!$F:$F,"Total")</f>
        <v>2378551</v>
      </c>
      <c r="BO98" s="137">
        <f>SUMIFS(Database!$G:$G,Database!$D:$D,"Import",Database!$E:$E,$B98,Database!$C:$C,BO$1,Database!$F:$F,"Total")</f>
        <v>0</v>
      </c>
      <c r="BP98" s="137">
        <f>SUMIFS(Database!$G:$G,Database!$D:$D,"Import",Database!$E:$E,$B98,Database!$C:$C,BP$1,Database!$F:$F,"Total")</f>
        <v>2908532</v>
      </c>
      <c r="BQ98" s="137">
        <f>SUMIFS(Database!$G:$G,Database!$D:$D,"Import",Database!$E:$E,$B98,Database!$C:$C,BQ$1,Database!$F:$F,"Total")</f>
        <v>2367114</v>
      </c>
      <c r="BR98" s="137">
        <f>SUMIFS(Database!$G:$G,Database!$D:$D,"Import",Database!$E:$E,$B98,Database!$C:$C,BR$1,Database!$F:$F,"Total")</f>
        <v>2688233</v>
      </c>
      <c r="BS98" s="137">
        <f>SUMIFS(Database!$G:$G,Database!$D:$D,"Import",Database!$E:$E,$B98,Database!$C:$C,BS$1,Database!$F:$F,"Total")</f>
        <v>2405020</v>
      </c>
      <c r="BT98" s="137">
        <f>SUMIFS(Database!$G:$G,Database!$D:$D,"Import",Database!$E:$E,$B98,Database!$C:$C,BT$1,Database!$F:$F,"Total")</f>
        <v>2017490</v>
      </c>
      <c r="BU98" s="137">
        <f>SUMIFS(Database!$G:$G,Database!$D:$D,"Import",Database!$E:$E,$B98,Database!$C:$C,BU$1,Database!$F:$F,"Total")</f>
        <v>1587500</v>
      </c>
      <c r="BV98" s="137">
        <f>SUMIFS(Database!$G:$G,Database!$D:$D,"Import",Database!$E:$E,$B98,Database!$C:$C,BV$1,Database!$F:$F,"Total")</f>
        <v>5056365</v>
      </c>
      <c r="BW98" s="137">
        <f>SUMIFS(Database!$G:$G,Database!$D:$D,"Import",Database!$E:$E,$B98,Database!$C:$C,BW$1,Database!$F:$F,"Total")</f>
        <v>1064823</v>
      </c>
      <c r="BX98" s="137">
        <f>SUMIFS(Database!$G:$G,Database!$D:$D,"Import",Database!$E:$E,$B98,Database!$C:$C,BX$1,Database!$F:$F,"Total")</f>
        <v>1810100</v>
      </c>
      <c r="BY98" s="137">
        <f>SUMIFS(Database!$G:$G,Database!$D:$D,"Import",Database!$E:$E,$B98,Database!$C:$C,BY$1,Database!$F:$F,"Total")</f>
        <v>2149992</v>
      </c>
      <c r="BZ98" s="137">
        <f>SUMIFS(Database!$G:$G,Database!$D:$D,"Import",Database!$E:$E,$B98,Database!$C:$C,BZ$1,Database!$F:$F,"Total")</f>
        <v>567374</v>
      </c>
      <c r="CA98" s="137">
        <f>SUMIFS(Database!$G:$G,Database!$D:$D,"Import",Database!$E:$E,$B98,Database!$C:$C,CA$1,Database!$F:$F,"Total")</f>
        <v>965901</v>
      </c>
      <c r="CB98" s="137">
        <f>SUMIFS(Database!$G:$G,Database!$D:$D,"Import",Database!$E:$E,$B98,Database!$C:$C,CB$1,Database!$F:$F,"Total")</f>
        <v>0</v>
      </c>
      <c r="CC98" s="137">
        <f>SUMIFS(Database!$G:$G,Database!$D:$D,"Import",Database!$E:$E,$B98,Database!$C:$C,CC$1,Database!$F:$F,"Total")</f>
        <v>0</v>
      </c>
      <c r="CD98" s="137">
        <f>SUMIFS(Database!$G:$G,Database!$D:$D,"Import",Database!$E:$E,$B98,Database!$C:$C,CD$1,Database!$F:$F,"Total")</f>
        <v>0</v>
      </c>
      <c r="CE98" s="137">
        <f>SUMIFS(Database!$G:$G,Database!$D:$D,"Import",Database!$E:$E,$B98,Database!$C:$C,CE$1,Database!$F:$F,"Total")</f>
        <v>0</v>
      </c>
      <c r="CF98" s="137">
        <f>SUMIFS(Database!$G:$G,Database!$D:$D,"Import",Database!$E:$E,$B98,Database!$C:$C,CF$1,Database!$F:$F,"Total")</f>
        <v>0</v>
      </c>
      <c r="CG98" s="137">
        <f>SUMIFS(Database!$G:$G,Database!$D:$D,"Import",Database!$E:$E,$B98,Database!$C:$C,CG$1,Database!$F:$F,"Total")</f>
        <v>0</v>
      </c>
      <c r="CH98" s="137">
        <f>SUMIFS(Database!$G:$G,Database!$D:$D,"Import",Database!$E:$E,$B98,Database!$C:$C,CH$1,Database!$F:$F,"Total")</f>
        <v>0</v>
      </c>
      <c r="CI98" s="137">
        <f>SUMIFS(Database!$G:$G,Database!$D:$D,"Import",Database!$E:$E,$B98,Database!$C:$C,CI$1,Database!$F:$F,"Total")</f>
        <v>0</v>
      </c>
      <c r="CJ98" s="137">
        <f>SUMIFS(Database!$G:$G,Database!$D:$D,"Import",Database!$E:$E,$B98,Database!$C:$C,CJ$1,Database!$F:$F,"Total")</f>
        <v>0</v>
      </c>
      <c r="CK98" s="137">
        <f>SUMIFS(Database!$G:$G,Database!$D:$D,"Import",Database!$E:$E,$B98,Database!$C:$C,CK$1,Database!$F:$F,"Total")</f>
        <v>0</v>
      </c>
      <c r="CL98" s="137">
        <f>SUMIFS(Database!$G:$G,Database!$D:$D,"Import",Database!$E:$E,$B98,Database!$C:$C,CL$1,Database!$F:$F,"Total")</f>
        <v>0</v>
      </c>
      <c r="CM98" s="137">
        <f>SUMIFS(Database!$G:$G,Database!$D:$D,"Import",Database!$E:$E,$B98,Database!$C:$C,CM$1,Database!$F:$F,"Total")</f>
        <v>0</v>
      </c>
      <c r="CN98" s="137">
        <f>SUMIFS(Database!$G:$G,Database!$D:$D,"Import",Database!$E:$E,$B98,Database!$C:$C,CN$1,Database!$F:$F,"Total")</f>
        <v>0</v>
      </c>
      <c r="CO98" s="137">
        <f>SUMIFS(Database!$G:$G,Database!$D:$D,"Import",Database!$E:$E,$B98,Database!$C:$C,CO$1,Database!$F:$F,"Total")</f>
        <v>0</v>
      </c>
      <c r="CP98" s="137">
        <f>SUMIFS(Database!$G:$G,Database!$D:$D,"Import",Database!$E:$E,$B98,Database!$C:$C,CP$1,Database!$F:$F,"Total")</f>
        <v>0</v>
      </c>
      <c r="CQ98" s="137">
        <f>SUMIFS(Database!$G:$G,Database!$D:$D,"Import",Database!$E:$E,$B98,Database!$C:$C,CQ$1,Database!$F:$F,"Total")</f>
        <v>0</v>
      </c>
      <c r="CR98" s="137">
        <f>SUMIFS(Database!$G:$G,Database!$D:$D,"Import",Database!$E:$E,$B98,Database!$C:$C,CR$1,Database!$F:$F,"Total")</f>
        <v>0</v>
      </c>
      <c r="CS98" s="137">
        <f>SUMIFS(Database!$G:$G,Database!$D:$D,"Import",Database!$E:$E,$B98,Database!$C:$C,CS$1,Database!$F:$F,"Total")</f>
        <v>0</v>
      </c>
      <c r="CT98" s="137">
        <f>SUMIFS(Database!$G:$G,Database!$D:$D,"Import",Database!$E:$E,$B98,Database!$C:$C,CT$1,Database!$F:$F,"Total")</f>
        <v>0</v>
      </c>
      <c r="CU98" s="137">
        <f>SUMIFS(Database!$G:$G,Database!$D:$D,"Import",Database!$E:$E,$B98,Database!$C:$C,CU$1,Database!$F:$F,"Total")</f>
        <v>0</v>
      </c>
    </row>
    <row r="99" spans="1:99" x14ac:dyDescent="0.25">
      <c r="A99" s="132" t="s">
        <v>484</v>
      </c>
      <c r="B99" s="133" t="s">
        <v>106</v>
      </c>
      <c r="C99" s="137">
        <f>SUMIFS(Database!$G:$G,Database!$D:$D,"Import",Database!$E:$E,$B99,Database!$C:$C,C$1,Database!$F:$F,"Total")</f>
        <v>0</v>
      </c>
      <c r="D99" s="137">
        <f>SUMIFS(Database!$G:$G,Database!$D:$D,"Import",Database!$E:$E,$B99,Database!$C:$C,D$1,Database!$F:$F,"Total")</f>
        <v>0</v>
      </c>
      <c r="E99" s="137">
        <f>SUMIFS(Database!$G:$G,Database!$D:$D,"Import",Database!$E:$E,$B99,Database!$C:$C,E$1,Database!$F:$F,"Total")</f>
        <v>0</v>
      </c>
      <c r="F99" s="137">
        <f>SUMIFS(Database!$G:$G,Database!$D:$D,"Import",Database!$E:$E,$B99,Database!$C:$C,F$1,Database!$F:$F,"Total")</f>
        <v>0</v>
      </c>
      <c r="G99" s="137">
        <f>SUMIFS(Database!$G:$G,Database!$D:$D,"Import",Database!$E:$E,$B99,Database!$C:$C,G$1,Database!$F:$F,"Total")</f>
        <v>0</v>
      </c>
      <c r="H99" s="137">
        <f>SUMIFS(Database!$G:$G,Database!$D:$D,"Import",Database!$E:$E,$B99,Database!$C:$C,H$1,Database!$F:$F,"Total")</f>
        <v>0</v>
      </c>
      <c r="I99" s="137">
        <f>SUMIFS(Database!$G:$G,Database!$D:$D,"Import",Database!$E:$E,$B99,Database!$C:$C,I$1,Database!$F:$F,"Total")</f>
        <v>0</v>
      </c>
      <c r="J99" s="137">
        <f>SUMIFS(Database!$G:$G,Database!$D:$D,"Import",Database!$E:$E,$B99,Database!$C:$C,J$1,Database!$F:$F,"Total")</f>
        <v>0</v>
      </c>
      <c r="K99" s="137">
        <f>SUMIFS(Database!$G:$G,Database!$D:$D,"Import",Database!$E:$E,$B99,Database!$C:$C,K$1,Database!$F:$F,"Total")</f>
        <v>0</v>
      </c>
      <c r="L99" s="137">
        <f>SUMIFS(Database!$G:$G,Database!$D:$D,"Import",Database!$E:$E,$B99,Database!$C:$C,L$1,Database!$F:$F,"Total")</f>
        <v>0</v>
      </c>
      <c r="M99" s="137">
        <f>SUMIFS(Database!$G:$G,Database!$D:$D,"Import",Database!$E:$E,$B99,Database!$C:$C,M$1,Database!$F:$F,"Total")</f>
        <v>0</v>
      </c>
      <c r="N99" s="137">
        <f>SUMIFS(Database!$G:$G,Database!$D:$D,"Import",Database!$E:$E,$B99,Database!$C:$C,N$1,Database!$F:$F,"Total")</f>
        <v>0</v>
      </c>
      <c r="O99" s="137">
        <f>SUMIFS(Database!$G:$G,Database!$D:$D,"Import",Database!$E:$E,$B99,Database!$C:$C,O$1,Database!$F:$F,"Total")</f>
        <v>0</v>
      </c>
      <c r="P99" s="137">
        <f>SUMIFS(Database!$G:$G,Database!$D:$D,"Import",Database!$E:$E,$B99,Database!$C:$C,P$1,Database!$F:$F,"Total")</f>
        <v>0</v>
      </c>
      <c r="Q99" s="137">
        <f>SUMIFS(Database!$G:$G,Database!$D:$D,"Import",Database!$E:$E,$B99,Database!$C:$C,Q$1,Database!$F:$F,"Total")</f>
        <v>0</v>
      </c>
      <c r="R99" s="137">
        <f>SUMIFS(Database!$G:$G,Database!$D:$D,"Import",Database!$E:$E,$B99,Database!$C:$C,R$1,Database!$F:$F,"Total")</f>
        <v>0</v>
      </c>
      <c r="S99" s="137">
        <f>SUMIFS(Database!$G:$G,Database!$D:$D,"Import",Database!$E:$E,$B99,Database!$C:$C,S$1,Database!$F:$F,"Total")</f>
        <v>0</v>
      </c>
      <c r="T99" s="137">
        <f>SUMIFS(Database!$G:$G,Database!$D:$D,"Import",Database!$E:$E,$B99,Database!$C:$C,T$1,Database!$F:$F,"Total")</f>
        <v>0</v>
      </c>
      <c r="U99" s="137">
        <f>SUMIFS(Database!$G:$G,Database!$D:$D,"Import",Database!$E:$E,$B99,Database!$C:$C,U$1,Database!$F:$F,"Total")</f>
        <v>0</v>
      </c>
      <c r="V99" s="137">
        <f>SUMIFS(Database!$G:$G,Database!$D:$D,"Import",Database!$E:$E,$B99,Database!$C:$C,V$1,Database!$F:$F,"Total")</f>
        <v>0</v>
      </c>
      <c r="W99" s="137">
        <f>SUMIFS(Database!$G:$G,Database!$D:$D,"Import",Database!$E:$E,$B99,Database!$C:$C,W$1,Database!$F:$F,"Total")</f>
        <v>0</v>
      </c>
      <c r="X99" s="137">
        <f>SUMIFS(Database!$G:$G,Database!$D:$D,"Import",Database!$E:$E,$B99,Database!$C:$C,X$1,Database!$F:$F,"Total")</f>
        <v>0</v>
      </c>
      <c r="Y99" s="137">
        <f>SUMIFS(Database!$G:$G,Database!$D:$D,"Import",Database!$E:$E,$B99,Database!$C:$C,Y$1,Database!$F:$F,"Total")</f>
        <v>0</v>
      </c>
      <c r="Z99" s="137">
        <f>SUMIFS(Database!$G:$G,Database!$D:$D,"Import",Database!$E:$E,$B99,Database!$C:$C,Z$1,Database!$F:$F,"Total")</f>
        <v>0</v>
      </c>
      <c r="AA99" s="137">
        <f>SUMIFS(Database!$G:$G,Database!$D:$D,"Import",Database!$E:$E,$B99,Database!$C:$C,AA$1,Database!$F:$F,"Total")</f>
        <v>0</v>
      </c>
      <c r="AB99" s="137">
        <f>SUMIFS(Database!$G:$G,Database!$D:$D,"Import",Database!$E:$E,$B99,Database!$C:$C,AB$1,Database!$F:$F,"Total")</f>
        <v>0</v>
      </c>
      <c r="AC99" s="137">
        <f>SUMIFS(Database!$G:$G,Database!$D:$D,"Import",Database!$E:$E,$B99,Database!$C:$C,AC$1,Database!$F:$F,"Total")</f>
        <v>0</v>
      </c>
      <c r="AD99" s="137">
        <f>SUMIFS(Database!$G:$G,Database!$D:$D,"Import",Database!$E:$E,$B99,Database!$C:$C,AD$1,Database!$F:$F,"Total")</f>
        <v>0</v>
      </c>
      <c r="AE99" s="137">
        <f>SUMIFS(Database!$G:$G,Database!$D:$D,"Import",Database!$E:$E,$B99,Database!$C:$C,AE$1,Database!$F:$F,"Total")</f>
        <v>0</v>
      </c>
      <c r="AF99" s="137">
        <f>SUMIFS(Database!$G:$G,Database!$D:$D,"Import",Database!$E:$E,$B99,Database!$C:$C,AF$1,Database!$F:$F,"Total")</f>
        <v>0</v>
      </c>
      <c r="AG99" s="137">
        <f>SUMIFS(Database!$G:$G,Database!$D:$D,"Import",Database!$E:$E,$B99,Database!$C:$C,AG$1,Database!$F:$F,"Total")</f>
        <v>0</v>
      </c>
      <c r="AH99" s="137">
        <f>SUMIFS(Database!$G:$G,Database!$D:$D,"Import",Database!$E:$E,$B99,Database!$C:$C,AH$1,Database!$F:$F,"Total")</f>
        <v>0</v>
      </c>
      <c r="AI99" s="137">
        <f>SUMIFS(Database!$G:$G,Database!$D:$D,"Import",Database!$E:$E,$B99,Database!$C:$C,AI$1,Database!$F:$F,"Total")</f>
        <v>0</v>
      </c>
      <c r="AJ99" s="137">
        <f>SUMIFS(Database!$G:$G,Database!$D:$D,"Import",Database!$E:$E,$B99,Database!$C:$C,AJ$1,Database!$F:$F,"Total")</f>
        <v>0</v>
      </c>
      <c r="AK99" s="137">
        <f>SUMIFS(Database!$G:$G,Database!$D:$D,"Import",Database!$E:$E,$B99,Database!$C:$C,AK$1,Database!$F:$F,"Total")</f>
        <v>0</v>
      </c>
      <c r="AL99" s="137">
        <f>SUMIFS(Database!$G:$G,Database!$D:$D,"Import",Database!$E:$E,$B99,Database!$C:$C,AL$1,Database!$F:$F,"Total")</f>
        <v>0</v>
      </c>
      <c r="AM99" s="137">
        <f>SUMIFS(Database!$G:$G,Database!$D:$D,"Import",Database!$E:$E,$B99,Database!$C:$C,AM$1,Database!$F:$F,"Total")</f>
        <v>0</v>
      </c>
      <c r="AN99" s="137">
        <f>SUMIFS(Database!$G:$G,Database!$D:$D,"Import",Database!$E:$E,$B99,Database!$C:$C,AN$1,Database!$F:$F,"Total")</f>
        <v>0</v>
      </c>
      <c r="AO99" s="137">
        <f>SUMIFS(Database!$G:$G,Database!$D:$D,"Import",Database!$E:$E,$B99,Database!$C:$C,AO$1,Database!$F:$F,"Total")</f>
        <v>0</v>
      </c>
      <c r="AP99" s="137">
        <f>SUMIFS(Database!$G:$G,Database!$D:$D,"Import",Database!$E:$E,$B99,Database!$C:$C,AP$1,Database!$F:$F,"Total")</f>
        <v>0</v>
      </c>
      <c r="AQ99" s="137">
        <f>SUMIFS(Database!$G:$G,Database!$D:$D,"Import",Database!$E:$E,$B99,Database!$C:$C,AQ$1,Database!$F:$F,"Total")</f>
        <v>0</v>
      </c>
      <c r="AR99" s="137">
        <f>SUMIFS(Database!$G:$G,Database!$D:$D,"Import",Database!$E:$E,$B99,Database!$C:$C,AR$1,Database!$F:$F,"Total")</f>
        <v>0</v>
      </c>
      <c r="AS99" s="137">
        <f>SUMIFS(Database!$G:$G,Database!$D:$D,"Import",Database!$E:$E,$B99,Database!$C:$C,AS$1,Database!$F:$F,"Total")</f>
        <v>0</v>
      </c>
      <c r="AT99" s="137">
        <f>SUMIFS(Database!$G:$G,Database!$D:$D,"Import",Database!$E:$E,$B99,Database!$C:$C,AT$1,Database!$F:$F,"Total")</f>
        <v>0</v>
      </c>
      <c r="AU99" s="137">
        <f>SUMIFS(Database!$G:$G,Database!$D:$D,"Import",Database!$E:$E,$B99,Database!$C:$C,AU$1,Database!$F:$F,"Total")</f>
        <v>0</v>
      </c>
      <c r="AV99" s="137">
        <f>SUMIFS(Database!$G:$G,Database!$D:$D,"Import",Database!$E:$E,$B99,Database!$C:$C,AV$1,Database!$F:$F,"Total")</f>
        <v>0</v>
      </c>
      <c r="AW99" s="137">
        <f>SUMIFS(Database!$G:$G,Database!$D:$D,"Import",Database!$E:$E,$B99,Database!$C:$C,AW$1,Database!$F:$F,"Total")</f>
        <v>0</v>
      </c>
      <c r="AX99" s="137">
        <f>SUMIFS(Database!$G:$G,Database!$D:$D,"Import",Database!$E:$E,$B99,Database!$C:$C,AX$1,Database!$F:$F,"Total")</f>
        <v>0</v>
      </c>
      <c r="AY99" s="137">
        <f>SUMIFS(Database!$G:$G,Database!$D:$D,"Import",Database!$E:$E,$B99,Database!$C:$C,AY$1,Database!$F:$F,"Total")</f>
        <v>0</v>
      </c>
      <c r="AZ99" s="137">
        <f>SUMIFS(Database!$G:$G,Database!$D:$D,"Import",Database!$E:$E,$B99,Database!$C:$C,AZ$1,Database!$F:$F,"Total")</f>
        <v>0</v>
      </c>
      <c r="BA99" s="137">
        <f>SUMIFS(Database!$G:$G,Database!$D:$D,"Import",Database!$E:$E,$B99,Database!$C:$C,BA$1,Database!$F:$F,"Total")</f>
        <v>0</v>
      </c>
      <c r="BB99" s="137">
        <f>SUMIFS(Database!$G:$G,Database!$D:$D,"Import",Database!$E:$E,$B99,Database!$C:$C,BB$1,Database!$F:$F,"Total")</f>
        <v>0</v>
      </c>
      <c r="BC99" s="137">
        <f>SUMIFS(Database!$G:$G,Database!$D:$D,"Import",Database!$E:$E,$B99,Database!$C:$C,BC$1,Database!$F:$F,"Total")</f>
        <v>0</v>
      </c>
      <c r="BD99" s="137">
        <f>SUMIFS(Database!$G:$G,Database!$D:$D,"Import",Database!$E:$E,$B99,Database!$C:$C,BD$1,Database!$F:$F,"Total")</f>
        <v>0</v>
      </c>
      <c r="BE99" s="137">
        <f>SUMIFS(Database!$G:$G,Database!$D:$D,"Import",Database!$E:$E,$B99,Database!$C:$C,BE$1,Database!$F:$F,"Total")</f>
        <v>0</v>
      </c>
      <c r="BF99" s="137">
        <f>SUMIFS(Database!$G:$G,Database!$D:$D,"Import",Database!$E:$E,$B99,Database!$C:$C,BF$1,Database!$F:$F,"Total")</f>
        <v>0</v>
      </c>
      <c r="BG99" s="137">
        <f>SUMIFS(Database!$G:$G,Database!$D:$D,"Import",Database!$E:$E,$B99,Database!$C:$C,BG$1,Database!$F:$F,"Total")</f>
        <v>0</v>
      </c>
      <c r="BH99" s="137">
        <f>SUMIFS(Database!$G:$G,Database!$D:$D,"Import",Database!$E:$E,$B99,Database!$C:$C,BH$1,Database!$F:$F,"Total")</f>
        <v>0</v>
      </c>
      <c r="BI99" s="137">
        <f>SUMIFS(Database!$G:$G,Database!$D:$D,"Import",Database!$E:$E,$B99,Database!$C:$C,BI$1,Database!$F:$F,"Total")</f>
        <v>1807100</v>
      </c>
      <c r="BJ99" s="137">
        <f>SUMIFS(Database!$G:$G,Database!$D:$D,"Import",Database!$E:$E,$B99,Database!$C:$C,BJ$1,Database!$F:$F,"Total")</f>
        <v>0</v>
      </c>
      <c r="BK99" s="137">
        <f>SUMIFS(Database!$G:$G,Database!$D:$D,"Import",Database!$E:$E,$B99,Database!$C:$C,BK$1,Database!$F:$F,"Total")</f>
        <v>0</v>
      </c>
      <c r="BL99" s="137">
        <f>SUMIFS(Database!$G:$G,Database!$D:$D,"Import",Database!$E:$E,$B99,Database!$C:$C,BL$1,Database!$F:$F,"Total")</f>
        <v>0</v>
      </c>
      <c r="BM99" s="137">
        <f>SUMIFS(Database!$G:$G,Database!$D:$D,"Import",Database!$E:$E,$B99,Database!$C:$C,BM$1,Database!$F:$F,"Total")</f>
        <v>0</v>
      </c>
      <c r="BN99" s="137">
        <f>SUMIFS(Database!$G:$G,Database!$D:$D,"Import",Database!$E:$E,$B99,Database!$C:$C,BN$1,Database!$F:$F,"Total")</f>
        <v>933307</v>
      </c>
      <c r="BO99" s="137">
        <f>SUMIFS(Database!$G:$G,Database!$D:$D,"Import",Database!$E:$E,$B99,Database!$C:$C,BO$1,Database!$F:$F,"Total")</f>
        <v>0</v>
      </c>
      <c r="BP99" s="137">
        <f>SUMIFS(Database!$G:$G,Database!$D:$D,"Import",Database!$E:$E,$B99,Database!$C:$C,BP$1,Database!$F:$F,"Total")</f>
        <v>1242174</v>
      </c>
      <c r="BQ99" s="137">
        <f>SUMIFS(Database!$G:$G,Database!$D:$D,"Import",Database!$E:$E,$B99,Database!$C:$C,BQ$1,Database!$F:$F,"Total")</f>
        <v>1370524</v>
      </c>
      <c r="BR99" s="137">
        <f>SUMIFS(Database!$G:$G,Database!$D:$D,"Import",Database!$E:$E,$B99,Database!$C:$C,BR$1,Database!$F:$F,"Total")</f>
        <v>1078483</v>
      </c>
      <c r="BS99" s="137">
        <f>SUMIFS(Database!$G:$G,Database!$D:$D,"Import",Database!$E:$E,$B99,Database!$C:$C,BS$1,Database!$F:$F,"Total")</f>
        <v>1606239</v>
      </c>
      <c r="BT99" s="137">
        <f>SUMIFS(Database!$G:$G,Database!$D:$D,"Import",Database!$E:$E,$B99,Database!$C:$C,BT$1,Database!$F:$F,"Total")</f>
        <v>1283571</v>
      </c>
      <c r="BU99" s="137">
        <f>SUMIFS(Database!$G:$G,Database!$D:$D,"Import",Database!$E:$E,$B99,Database!$C:$C,BU$1,Database!$F:$F,"Total")</f>
        <v>1107055</v>
      </c>
      <c r="BV99" s="137">
        <f>SUMIFS(Database!$G:$G,Database!$D:$D,"Import",Database!$E:$E,$B99,Database!$C:$C,BV$1,Database!$F:$F,"Total")</f>
        <v>502389</v>
      </c>
      <c r="BW99" s="137">
        <f>SUMIFS(Database!$G:$G,Database!$D:$D,"Import",Database!$E:$E,$B99,Database!$C:$C,BW$1,Database!$F:$F,"Total")</f>
        <v>509192</v>
      </c>
      <c r="BX99" s="137">
        <f>SUMIFS(Database!$G:$G,Database!$D:$D,"Import",Database!$E:$E,$B99,Database!$C:$C,BX$1,Database!$F:$F,"Total")</f>
        <v>887983</v>
      </c>
      <c r="BY99" s="137">
        <f>SUMIFS(Database!$G:$G,Database!$D:$D,"Import",Database!$E:$E,$B99,Database!$C:$C,BY$1,Database!$F:$F,"Total")</f>
        <v>1313327</v>
      </c>
      <c r="BZ99" s="137">
        <f>SUMIFS(Database!$G:$G,Database!$D:$D,"Import",Database!$E:$E,$B99,Database!$C:$C,BZ$1,Database!$F:$F,"Total")</f>
        <v>159888</v>
      </c>
      <c r="CA99" s="137">
        <f>SUMIFS(Database!$G:$G,Database!$D:$D,"Import",Database!$E:$E,$B99,Database!$C:$C,CA$1,Database!$F:$F,"Total")</f>
        <v>602630</v>
      </c>
      <c r="CB99" s="137">
        <f>SUMIFS(Database!$G:$G,Database!$D:$D,"Import",Database!$E:$E,$B99,Database!$C:$C,CB$1,Database!$F:$F,"Total")</f>
        <v>0</v>
      </c>
      <c r="CC99" s="137">
        <f>SUMIFS(Database!$G:$G,Database!$D:$D,"Import",Database!$E:$E,$B99,Database!$C:$C,CC$1,Database!$F:$F,"Total")</f>
        <v>0</v>
      </c>
      <c r="CD99" s="137">
        <f>SUMIFS(Database!$G:$G,Database!$D:$D,"Import",Database!$E:$E,$B99,Database!$C:$C,CD$1,Database!$F:$F,"Total")</f>
        <v>0</v>
      </c>
      <c r="CE99" s="137">
        <f>SUMIFS(Database!$G:$G,Database!$D:$D,"Import",Database!$E:$E,$B99,Database!$C:$C,CE$1,Database!$F:$F,"Total")</f>
        <v>0</v>
      </c>
      <c r="CF99" s="137">
        <f>SUMIFS(Database!$G:$G,Database!$D:$D,"Import",Database!$E:$E,$B99,Database!$C:$C,CF$1,Database!$F:$F,"Total")</f>
        <v>0</v>
      </c>
      <c r="CG99" s="137">
        <f>SUMIFS(Database!$G:$G,Database!$D:$D,"Import",Database!$E:$E,$B99,Database!$C:$C,CG$1,Database!$F:$F,"Total")</f>
        <v>0</v>
      </c>
      <c r="CH99" s="137">
        <f>SUMIFS(Database!$G:$G,Database!$D:$D,"Import",Database!$E:$E,$B99,Database!$C:$C,CH$1,Database!$F:$F,"Total")</f>
        <v>0</v>
      </c>
      <c r="CI99" s="137">
        <f>SUMIFS(Database!$G:$G,Database!$D:$D,"Import",Database!$E:$E,$B99,Database!$C:$C,CI$1,Database!$F:$F,"Total")</f>
        <v>0</v>
      </c>
      <c r="CJ99" s="137">
        <f>SUMIFS(Database!$G:$G,Database!$D:$D,"Import",Database!$E:$E,$B99,Database!$C:$C,CJ$1,Database!$F:$F,"Total")</f>
        <v>0</v>
      </c>
      <c r="CK99" s="137">
        <f>SUMIFS(Database!$G:$G,Database!$D:$D,"Import",Database!$E:$E,$B99,Database!$C:$C,CK$1,Database!$F:$F,"Total")</f>
        <v>0</v>
      </c>
      <c r="CL99" s="137">
        <f>SUMIFS(Database!$G:$G,Database!$D:$D,"Import",Database!$E:$E,$B99,Database!$C:$C,CL$1,Database!$F:$F,"Total")</f>
        <v>0</v>
      </c>
      <c r="CM99" s="137">
        <f>SUMIFS(Database!$G:$G,Database!$D:$D,"Import",Database!$E:$E,$B99,Database!$C:$C,CM$1,Database!$F:$F,"Total")</f>
        <v>0</v>
      </c>
      <c r="CN99" s="137">
        <f>SUMIFS(Database!$G:$G,Database!$D:$D,"Import",Database!$E:$E,$B99,Database!$C:$C,CN$1,Database!$F:$F,"Total")</f>
        <v>0</v>
      </c>
      <c r="CO99" s="137">
        <f>SUMIFS(Database!$G:$G,Database!$D:$D,"Import",Database!$E:$E,$B99,Database!$C:$C,CO$1,Database!$F:$F,"Total")</f>
        <v>0</v>
      </c>
      <c r="CP99" s="137">
        <f>SUMIFS(Database!$G:$G,Database!$D:$D,"Import",Database!$E:$E,$B99,Database!$C:$C,CP$1,Database!$F:$F,"Total")</f>
        <v>0</v>
      </c>
      <c r="CQ99" s="137">
        <f>SUMIFS(Database!$G:$G,Database!$D:$D,"Import",Database!$E:$E,$B99,Database!$C:$C,CQ$1,Database!$F:$F,"Total")</f>
        <v>0</v>
      </c>
      <c r="CR99" s="137">
        <f>SUMIFS(Database!$G:$G,Database!$D:$D,"Import",Database!$E:$E,$B99,Database!$C:$C,CR$1,Database!$F:$F,"Total")</f>
        <v>0</v>
      </c>
      <c r="CS99" s="137">
        <f>SUMIFS(Database!$G:$G,Database!$D:$D,"Import",Database!$E:$E,$B99,Database!$C:$C,CS$1,Database!$F:$F,"Total")</f>
        <v>0</v>
      </c>
      <c r="CT99" s="137">
        <f>SUMIFS(Database!$G:$G,Database!$D:$D,"Import",Database!$E:$E,$B99,Database!$C:$C,CT$1,Database!$F:$F,"Total")</f>
        <v>0</v>
      </c>
      <c r="CU99" s="137">
        <f>SUMIFS(Database!$G:$G,Database!$D:$D,"Import",Database!$E:$E,$B99,Database!$C:$C,CU$1,Database!$F:$F,"Total")</f>
        <v>0</v>
      </c>
    </row>
    <row r="100" spans="1:99" x14ac:dyDescent="0.25">
      <c r="A100" s="132" t="s">
        <v>484</v>
      </c>
      <c r="B100" s="133" t="s">
        <v>107</v>
      </c>
      <c r="C100" s="137">
        <f>SUMIFS(Database!$G:$G,Database!$D:$D,"Import",Database!$E:$E,$B100,Database!$C:$C,C$1,Database!$F:$F,"Total")</f>
        <v>0</v>
      </c>
      <c r="D100" s="137">
        <f>SUMIFS(Database!$G:$G,Database!$D:$D,"Import",Database!$E:$E,$B100,Database!$C:$C,D$1,Database!$F:$F,"Total")</f>
        <v>0</v>
      </c>
      <c r="E100" s="137">
        <f>SUMIFS(Database!$G:$G,Database!$D:$D,"Import",Database!$E:$E,$B100,Database!$C:$C,E$1,Database!$F:$F,"Total")</f>
        <v>0</v>
      </c>
      <c r="F100" s="137">
        <f>SUMIFS(Database!$G:$G,Database!$D:$D,"Import",Database!$E:$E,$B100,Database!$C:$C,F$1,Database!$F:$F,"Total")</f>
        <v>0</v>
      </c>
      <c r="G100" s="137">
        <f>SUMIFS(Database!$G:$G,Database!$D:$D,"Import",Database!$E:$E,$B100,Database!$C:$C,G$1,Database!$F:$F,"Total")</f>
        <v>0</v>
      </c>
      <c r="H100" s="137">
        <f>SUMIFS(Database!$G:$G,Database!$D:$D,"Import",Database!$E:$E,$B100,Database!$C:$C,H$1,Database!$F:$F,"Total")</f>
        <v>0</v>
      </c>
      <c r="I100" s="137">
        <f>SUMIFS(Database!$G:$G,Database!$D:$D,"Import",Database!$E:$E,$B100,Database!$C:$C,I$1,Database!$F:$F,"Total")</f>
        <v>0</v>
      </c>
      <c r="J100" s="137">
        <f>SUMIFS(Database!$G:$G,Database!$D:$D,"Import",Database!$E:$E,$B100,Database!$C:$C,J$1,Database!$F:$F,"Total")</f>
        <v>0</v>
      </c>
      <c r="K100" s="137">
        <f>SUMIFS(Database!$G:$G,Database!$D:$D,"Import",Database!$E:$E,$B100,Database!$C:$C,K$1,Database!$F:$F,"Total")</f>
        <v>0</v>
      </c>
      <c r="L100" s="137">
        <f>SUMIFS(Database!$G:$G,Database!$D:$D,"Import",Database!$E:$E,$B100,Database!$C:$C,L$1,Database!$F:$F,"Total")</f>
        <v>0</v>
      </c>
      <c r="M100" s="137">
        <f>SUMIFS(Database!$G:$G,Database!$D:$D,"Import",Database!$E:$E,$B100,Database!$C:$C,M$1,Database!$F:$F,"Total")</f>
        <v>0</v>
      </c>
      <c r="N100" s="137">
        <f>SUMIFS(Database!$G:$G,Database!$D:$D,"Import",Database!$E:$E,$B100,Database!$C:$C,N$1,Database!$F:$F,"Total")</f>
        <v>0</v>
      </c>
      <c r="O100" s="137">
        <f>SUMIFS(Database!$G:$G,Database!$D:$D,"Import",Database!$E:$E,$B100,Database!$C:$C,O$1,Database!$F:$F,"Total")</f>
        <v>0</v>
      </c>
      <c r="P100" s="137">
        <f>SUMIFS(Database!$G:$G,Database!$D:$D,"Import",Database!$E:$E,$B100,Database!$C:$C,P$1,Database!$F:$F,"Total")</f>
        <v>0</v>
      </c>
      <c r="Q100" s="137">
        <f>SUMIFS(Database!$G:$G,Database!$D:$D,"Import",Database!$E:$E,$B100,Database!$C:$C,Q$1,Database!$F:$F,"Total")</f>
        <v>0</v>
      </c>
      <c r="R100" s="137">
        <f>SUMIFS(Database!$G:$G,Database!$D:$D,"Import",Database!$E:$E,$B100,Database!$C:$C,R$1,Database!$F:$F,"Total")</f>
        <v>0</v>
      </c>
      <c r="S100" s="137">
        <f>SUMIFS(Database!$G:$G,Database!$D:$D,"Import",Database!$E:$E,$B100,Database!$C:$C,S$1,Database!$F:$F,"Total")</f>
        <v>0</v>
      </c>
      <c r="T100" s="137">
        <f>SUMIFS(Database!$G:$G,Database!$D:$D,"Import",Database!$E:$E,$B100,Database!$C:$C,T$1,Database!$F:$F,"Total")</f>
        <v>0</v>
      </c>
      <c r="U100" s="137">
        <f>SUMIFS(Database!$G:$G,Database!$D:$D,"Import",Database!$E:$E,$B100,Database!$C:$C,U$1,Database!$F:$F,"Total")</f>
        <v>0</v>
      </c>
      <c r="V100" s="137">
        <f>SUMIFS(Database!$G:$G,Database!$D:$D,"Import",Database!$E:$E,$B100,Database!$C:$C,V$1,Database!$F:$F,"Total")</f>
        <v>0</v>
      </c>
      <c r="W100" s="137">
        <f>SUMIFS(Database!$G:$G,Database!$D:$D,"Import",Database!$E:$E,$B100,Database!$C:$C,W$1,Database!$F:$F,"Total")</f>
        <v>0</v>
      </c>
      <c r="X100" s="137">
        <f>SUMIFS(Database!$G:$G,Database!$D:$D,"Import",Database!$E:$E,$B100,Database!$C:$C,X$1,Database!$F:$F,"Total")</f>
        <v>0</v>
      </c>
      <c r="Y100" s="137">
        <f>SUMIFS(Database!$G:$G,Database!$D:$D,"Import",Database!$E:$E,$B100,Database!$C:$C,Y$1,Database!$F:$F,"Total")</f>
        <v>0</v>
      </c>
      <c r="Z100" s="137">
        <f>SUMIFS(Database!$G:$G,Database!$D:$D,"Import",Database!$E:$E,$B100,Database!$C:$C,Z$1,Database!$F:$F,"Total")</f>
        <v>0</v>
      </c>
      <c r="AA100" s="137">
        <f>SUMIFS(Database!$G:$G,Database!$D:$D,"Import",Database!$E:$E,$B100,Database!$C:$C,AA$1,Database!$F:$F,"Total")</f>
        <v>0</v>
      </c>
      <c r="AB100" s="137">
        <f>SUMIFS(Database!$G:$G,Database!$D:$D,"Import",Database!$E:$E,$B100,Database!$C:$C,AB$1,Database!$F:$F,"Total")</f>
        <v>0</v>
      </c>
      <c r="AC100" s="137">
        <f>SUMIFS(Database!$G:$G,Database!$D:$D,"Import",Database!$E:$E,$B100,Database!$C:$C,AC$1,Database!$F:$F,"Total")</f>
        <v>0</v>
      </c>
      <c r="AD100" s="137">
        <f>SUMIFS(Database!$G:$G,Database!$D:$D,"Import",Database!$E:$E,$B100,Database!$C:$C,AD$1,Database!$F:$F,"Total")</f>
        <v>0</v>
      </c>
      <c r="AE100" s="137">
        <f>SUMIFS(Database!$G:$G,Database!$D:$D,"Import",Database!$E:$E,$B100,Database!$C:$C,AE$1,Database!$F:$F,"Total")</f>
        <v>0</v>
      </c>
      <c r="AF100" s="137">
        <f>SUMIFS(Database!$G:$G,Database!$D:$D,"Import",Database!$E:$E,$B100,Database!$C:$C,AF$1,Database!$F:$F,"Total")</f>
        <v>0</v>
      </c>
      <c r="AG100" s="137">
        <f>SUMIFS(Database!$G:$G,Database!$D:$D,"Import",Database!$E:$E,$B100,Database!$C:$C,AG$1,Database!$F:$F,"Total")</f>
        <v>0</v>
      </c>
      <c r="AH100" s="137">
        <f>SUMIFS(Database!$G:$G,Database!$D:$D,"Import",Database!$E:$E,$B100,Database!$C:$C,AH$1,Database!$F:$F,"Total")</f>
        <v>0</v>
      </c>
      <c r="AI100" s="137">
        <f>SUMIFS(Database!$G:$G,Database!$D:$D,"Import",Database!$E:$E,$B100,Database!$C:$C,AI$1,Database!$F:$F,"Total")</f>
        <v>0</v>
      </c>
      <c r="AJ100" s="137">
        <f>SUMIFS(Database!$G:$G,Database!$D:$D,"Import",Database!$E:$E,$B100,Database!$C:$C,AJ$1,Database!$F:$F,"Total")</f>
        <v>16092295</v>
      </c>
      <c r="AK100" s="137">
        <f>SUMIFS(Database!$G:$G,Database!$D:$D,"Import",Database!$E:$E,$B100,Database!$C:$C,AK$1,Database!$F:$F,"Total")</f>
        <v>194432</v>
      </c>
      <c r="AL100" s="137">
        <f>SUMIFS(Database!$G:$G,Database!$D:$D,"Import",Database!$E:$E,$B100,Database!$C:$C,AL$1,Database!$F:$F,"Total")</f>
        <v>8712689</v>
      </c>
      <c r="AM100" s="137">
        <f>SUMIFS(Database!$G:$G,Database!$D:$D,"Import",Database!$E:$E,$B100,Database!$C:$C,AM$1,Database!$F:$F,"Total")</f>
        <v>9706478</v>
      </c>
      <c r="AN100" s="137">
        <f>SUMIFS(Database!$G:$G,Database!$D:$D,"Import",Database!$E:$E,$B100,Database!$C:$C,AN$1,Database!$F:$F,"Total")</f>
        <v>15635616</v>
      </c>
      <c r="AO100" s="137">
        <f>SUMIFS(Database!$G:$G,Database!$D:$D,"Import",Database!$E:$E,$B100,Database!$C:$C,AO$1,Database!$F:$F,"Total")</f>
        <v>9164148</v>
      </c>
      <c r="AP100" s="137">
        <f>SUMIFS(Database!$G:$G,Database!$D:$D,"Import",Database!$E:$E,$B100,Database!$C:$C,AP$1,Database!$F:$F,"Total")</f>
        <v>3332926</v>
      </c>
      <c r="AQ100" s="137">
        <f>SUMIFS(Database!$G:$G,Database!$D:$D,"Import",Database!$E:$E,$B100,Database!$C:$C,AQ$1,Database!$F:$F,"Total")</f>
        <v>2827225</v>
      </c>
      <c r="AR100" s="137">
        <f>SUMIFS(Database!$G:$G,Database!$D:$D,"Import",Database!$E:$E,$B100,Database!$C:$C,AR$1,Database!$F:$F,"Total")</f>
        <v>4351881</v>
      </c>
      <c r="AS100" s="137">
        <f>SUMIFS(Database!$G:$G,Database!$D:$D,"Import",Database!$E:$E,$B100,Database!$C:$C,AS$1,Database!$F:$F,"Total")</f>
        <v>7791601</v>
      </c>
      <c r="AT100" s="137">
        <f>SUMIFS(Database!$G:$G,Database!$D:$D,"Import",Database!$E:$E,$B100,Database!$C:$C,AT$1,Database!$F:$F,"Total")</f>
        <v>6865415</v>
      </c>
      <c r="AU100" s="137">
        <f>SUMIFS(Database!$G:$G,Database!$D:$D,"Import",Database!$E:$E,$B100,Database!$C:$C,AU$1,Database!$F:$F,"Total")</f>
        <v>1231549</v>
      </c>
      <c r="AV100" s="137">
        <f>SUMIFS(Database!$G:$G,Database!$D:$D,"Import",Database!$E:$E,$B100,Database!$C:$C,AV$1,Database!$F:$F,"Total")</f>
        <v>1248560</v>
      </c>
      <c r="AW100" s="137">
        <f>SUMIFS(Database!$G:$G,Database!$D:$D,"Import",Database!$E:$E,$B100,Database!$C:$C,AW$1,Database!$F:$F,"Total")</f>
        <v>1565752</v>
      </c>
      <c r="AX100" s="137">
        <f>SUMIFS(Database!$G:$G,Database!$D:$D,"Import",Database!$E:$E,$B100,Database!$C:$C,AX$1,Database!$F:$F,"Total")</f>
        <v>9375943</v>
      </c>
      <c r="AY100" s="137">
        <f>SUMIFS(Database!$G:$G,Database!$D:$D,"Import",Database!$E:$E,$B100,Database!$C:$C,AY$1,Database!$F:$F,"Total")</f>
        <v>5362859</v>
      </c>
      <c r="AZ100" s="137">
        <f>SUMIFS(Database!$G:$G,Database!$D:$D,"Import",Database!$E:$E,$B100,Database!$C:$C,AZ$1,Database!$F:$F,"Total")</f>
        <v>4422132</v>
      </c>
      <c r="BA100" s="137">
        <f>SUMIFS(Database!$G:$G,Database!$D:$D,"Import",Database!$E:$E,$B100,Database!$C:$C,BA$1,Database!$F:$F,"Total")</f>
        <v>5821597</v>
      </c>
      <c r="BB100" s="137">
        <f>SUMIFS(Database!$G:$G,Database!$D:$D,"Import",Database!$E:$E,$B100,Database!$C:$C,BB$1,Database!$F:$F,"Total")</f>
        <v>7649319</v>
      </c>
      <c r="BC100" s="137">
        <f>SUMIFS(Database!$G:$G,Database!$D:$D,"Import",Database!$E:$E,$B100,Database!$C:$C,BC$1,Database!$F:$F,"Total")</f>
        <v>6684039</v>
      </c>
      <c r="BD100" s="137">
        <f>SUMIFS(Database!$G:$G,Database!$D:$D,"Import",Database!$E:$E,$B100,Database!$C:$C,BD$1,Database!$F:$F,"Total")</f>
        <v>3432198</v>
      </c>
      <c r="BE100" s="137">
        <f>SUMIFS(Database!$G:$G,Database!$D:$D,"Import",Database!$E:$E,$B100,Database!$C:$C,BE$1,Database!$F:$F,"Total")</f>
        <v>3218477</v>
      </c>
      <c r="BF100" s="137">
        <f>SUMIFS(Database!$G:$G,Database!$D:$D,"Import",Database!$E:$E,$B100,Database!$C:$C,BF$1,Database!$F:$F,"Total")</f>
        <v>5926430</v>
      </c>
      <c r="BG100" s="137">
        <f>SUMIFS(Database!$G:$G,Database!$D:$D,"Import",Database!$E:$E,$B100,Database!$C:$C,BG$1,Database!$F:$F,"Total")</f>
        <v>4452131</v>
      </c>
      <c r="BH100" s="137">
        <f>SUMIFS(Database!$G:$G,Database!$D:$D,"Import",Database!$E:$E,$B100,Database!$C:$C,BH$1,Database!$F:$F,"Total")</f>
        <v>5105433</v>
      </c>
      <c r="BI100" s="137">
        <f>SUMIFS(Database!$G:$G,Database!$D:$D,"Import",Database!$E:$E,$B100,Database!$C:$C,BI$1,Database!$F:$F,"Total")</f>
        <v>5436702</v>
      </c>
      <c r="BJ100" s="137">
        <f>SUMIFS(Database!$G:$G,Database!$D:$D,"Import",Database!$E:$E,$B100,Database!$C:$C,BJ$1,Database!$F:$F,"Total")</f>
        <v>5945058</v>
      </c>
      <c r="BK100" s="137">
        <f>SUMIFS(Database!$G:$G,Database!$D:$D,"Import",Database!$E:$E,$B100,Database!$C:$C,BK$1,Database!$F:$F,"Total")</f>
        <v>6017816</v>
      </c>
      <c r="BL100" s="137">
        <f>SUMIFS(Database!$G:$G,Database!$D:$D,"Import",Database!$E:$E,$B100,Database!$C:$C,BL$1,Database!$F:$F,"Total")</f>
        <v>0</v>
      </c>
      <c r="BM100" s="137">
        <f>SUMIFS(Database!$G:$G,Database!$D:$D,"Import",Database!$E:$E,$B100,Database!$C:$C,BM$1,Database!$F:$F,"Total")</f>
        <v>0</v>
      </c>
      <c r="BN100" s="137">
        <f>SUMIFS(Database!$G:$G,Database!$D:$D,"Import",Database!$E:$E,$B100,Database!$C:$C,BN$1,Database!$F:$F,"Total")</f>
        <v>0</v>
      </c>
      <c r="BO100" s="137">
        <f>SUMIFS(Database!$G:$G,Database!$D:$D,"Import",Database!$E:$E,$B100,Database!$C:$C,BO$1,Database!$F:$F,"Total")</f>
        <v>0</v>
      </c>
      <c r="BP100" s="137">
        <f>SUMIFS(Database!$G:$G,Database!$D:$D,"Import",Database!$E:$E,$B100,Database!$C:$C,BP$1,Database!$F:$F,"Total")</f>
        <v>0</v>
      </c>
      <c r="BQ100" s="137">
        <f>SUMIFS(Database!$G:$G,Database!$D:$D,"Import",Database!$E:$E,$B100,Database!$C:$C,BQ$1,Database!$F:$F,"Total")</f>
        <v>0</v>
      </c>
      <c r="BR100" s="137">
        <f>SUMIFS(Database!$G:$G,Database!$D:$D,"Import",Database!$E:$E,$B100,Database!$C:$C,BR$1,Database!$F:$F,"Total")</f>
        <v>0</v>
      </c>
      <c r="BS100" s="137">
        <f>SUMIFS(Database!$G:$G,Database!$D:$D,"Import",Database!$E:$E,$B100,Database!$C:$C,BS$1,Database!$F:$F,"Total")</f>
        <v>0</v>
      </c>
      <c r="BT100" s="137">
        <f>SUMIFS(Database!$G:$G,Database!$D:$D,"Import",Database!$E:$E,$B100,Database!$C:$C,BT$1,Database!$F:$F,"Total")</f>
        <v>0</v>
      </c>
      <c r="BU100" s="137">
        <f>SUMIFS(Database!$G:$G,Database!$D:$D,"Import",Database!$E:$E,$B100,Database!$C:$C,BU$1,Database!$F:$F,"Total")</f>
        <v>0</v>
      </c>
      <c r="BV100" s="137">
        <f>SUMIFS(Database!$G:$G,Database!$D:$D,"Import",Database!$E:$E,$B100,Database!$C:$C,BV$1,Database!$F:$F,"Total")</f>
        <v>5558754</v>
      </c>
      <c r="BW100" s="137">
        <f>SUMIFS(Database!$G:$G,Database!$D:$D,"Import",Database!$E:$E,$B100,Database!$C:$C,BW$1,Database!$F:$F,"Total")</f>
        <v>1574015</v>
      </c>
      <c r="BX100" s="137">
        <f>SUMIFS(Database!$G:$G,Database!$D:$D,"Import",Database!$E:$E,$B100,Database!$C:$C,BX$1,Database!$F:$F,"Total")</f>
        <v>2698083</v>
      </c>
      <c r="BY100" s="137">
        <f>SUMIFS(Database!$G:$G,Database!$D:$D,"Import",Database!$E:$E,$B100,Database!$C:$C,BY$1,Database!$F:$F,"Total")</f>
        <v>3463319</v>
      </c>
      <c r="BZ100" s="137">
        <f>SUMIFS(Database!$G:$G,Database!$D:$D,"Import",Database!$E:$E,$B100,Database!$C:$C,BZ$1,Database!$F:$F,"Total")</f>
        <v>727262</v>
      </c>
      <c r="CA100" s="137">
        <f>SUMIFS(Database!$G:$G,Database!$D:$D,"Import",Database!$E:$E,$B100,Database!$C:$C,CA$1,Database!$F:$F,"Total")</f>
        <v>1568531</v>
      </c>
      <c r="CB100" s="137">
        <f>SUMIFS(Database!$G:$G,Database!$D:$D,"Import",Database!$E:$E,$B100,Database!$C:$C,CB$1,Database!$F:$F,"Total")</f>
        <v>0</v>
      </c>
      <c r="CC100" s="137">
        <f>SUMIFS(Database!$G:$G,Database!$D:$D,"Import",Database!$E:$E,$B100,Database!$C:$C,CC$1,Database!$F:$F,"Total")</f>
        <v>0</v>
      </c>
      <c r="CD100" s="137">
        <f>SUMIFS(Database!$G:$G,Database!$D:$D,"Import",Database!$E:$E,$B100,Database!$C:$C,CD$1,Database!$F:$F,"Total")</f>
        <v>0</v>
      </c>
      <c r="CE100" s="137">
        <f>SUMIFS(Database!$G:$G,Database!$D:$D,"Import",Database!$E:$E,$B100,Database!$C:$C,CE$1,Database!$F:$F,"Total")</f>
        <v>0</v>
      </c>
      <c r="CF100" s="137">
        <f>SUMIFS(Database!$G:$G,Database!$D:$D,"Import",Database!$E:$E,$B100,Database!$C:$C,CF$1,Database!$F:$F,"Total")</f>
        <v>0</v>
      </c>
      <c r="CG100" s="137">
        <f>SUMIFS(Database!$G:$G,Database!$D:$D,"Import",Database!$E:$E,$B100,Database!$C:$C,CG$1,Database!$F:$F,"Total")</f>
        <v>0</v>
      </c>
      <c r="CH100" s="137">
        <f>SUMIFS(Database!$G:$G,Database!$D:$D,"Import",Database!$E:$E,$B100,Database!$C:$C,CH$1,Database!$F:$F,"Total")</f>
        <v>0</v>
      </c>
      <c r="CI100" s="137">
        <f>SUMIFS(Database!$G:$G,Database!$D:$D,"Import",Database!$E:$E,$B100,Database!$C:$C,CI$1,Database!$F:$F,"Total")</f>
        <v>0</v>
      </c>
      <c r="CJ100" s="137">
        <f>SUMIFS(Database!$G:$G,Database!$D:$D,"Import",Database!$E:$E,$B100,Database!$C:$C,CJ$1,Database!$F:$F,"Total")</f>
        <v>0</v>
      </c>
      <c r="CK100" s="137">
        <f>SUMIFS(Database!$G:$G,Database!$D:$D,"Import",Database!$E:$E,$B100,Database!$C:$C,CK$1,Database!$F:$F,"Total")</f>
        <v>0</v>
      </c>
      <c r="CL100" s="137">
        <f>SUMIFS(Database!$G:$G,Database!$D:$D,"Import",Database!$E:$E,$B100,Database!$C:$C,CL$1,Database!$F:$F,"Total")</f>
        <v>0</v>
      </c>
      <c r="CM100" s="137">
        <f>SUMIFS(Database!$G:$G,Database!$D:$D,"Import",Database!$E:$E,$B100,Database!$C:$C,CM$1,Database!$F:$F,"Total")</f>
        <v>0</v>
      </c>
      <c r="CN100" s="137">
        <f>SUMIFS(Database!$G:$G,Database!$D:$D,"Import",Database!$E:$E,$B100,Database!$C:$C,CN$1,Database!$F:$F,"Total")</f>
        <v>0</v>
      </c>
      <c r="CO100" s="137">
        <f>SUMIFS(Database!$G:$G,Database!$D:$D,"Import",Database!$E:$E,$B100,Database!$C:$C,CO$1,Database!$F:$F,"Total")</f>
        <v>0</v>
      </c>
      <c r="CP100" s="137">
        <f>SUMIFS(Database!$G:$G,Database!$D:$D,"Import",Database!$E:$E,$B100,Database!$C:$C,CP$1,Database!$F:$F,"Total")</f>
        <v>0</v>
      </c>
      <c r="CQ100" s="137">
        <f>SUMIFS(Database!$G:$G,Database!$D:$D,"Import",Database!$E:$E,$B100,Database!$C:$C,CQ$1,Database!$F:$F,"Total")</f>
        <v>0</v>
      </c>
      <c r="CR100" s="137">
        <f>SUMIFS(Database!$G:$G,Database!$D:$D,"Import",Database!$E:$E,$B100,Database!$C:$C,CR$1,Database!$F:$F,"Total")</f>
        <v>0</v>
      </c>
      <c r="CS100" s="137">
        <f>SUMIFS(Database!$G:$G,Database!$D:$D,"Import",Database!$E:$E,$B100,Database!$C:$C,CS$1,Database!$F:$F,"Total")</f>
        <v>0</v>
      </c>
      <c r="CT100" s="137">
        <f>SUMIFS(Database!$G:$G,Database!$D:$D,"Import",Database!$E:$E,$B100,Database!$C:$C,CT$1,Database!$F:$F,"Total")</f>
        <v>0</v>
      </c>
      <c r="CU100" s="137">
        <f>SUMIFS(Database!$G:$G,Database!$D:$D,"Import",Database!$E:$E,$B100,Database!$C:$C,CU$1,Database!$F:$F,"Total")</f>
        <v>0</v>
      </c>
    </row>
    <row r="101" spans="1:99" x14ac:dyDescent="0.25">
      <c r="A101" s="132" t="s">
        <v>484</v>
      </c>
      <c r="B101" s="133" t="s">
        <v>496</v>
      </c>
      <c r="C101" s="137">
        <f>SUMIFS(Database!$G:$G,Database!$D:$D,"Import",Database!$E:$E,$B101,Database!$C:$C,C$1,Database!$F:$F,"Total")</f>
        <v>0</v>
      </c>
      <c r="D101" s="137">
        <f>SUMIFS(Database!$G:$G,Database!$D:$D,"Import",Database!$E:$E,$B101,Database!$C:$C,D$1,Database!$F:$F,"Total")</f>
        <v>0</v>
      </c>
      <c r="E101" s="137">
        <f>SUMIFS(Database!$G:$G,Database!$D:$D,"Import",Database!$E:$E,$B101,Database!$C:$C,E$1,Database!$F:$F,"Total")</f>
        <v>0</v>
      </c>
      <c r="F101" s="137">
        <f>SUMIFS(Database!$G:$G,Database!$D:$D,"Import",Database!$E:$E,$B101,Database!$C:$C,F$1,Database!$F:$F,"Total")</f>
        <v>0</v>
      </c>
      <c r="G101" s="137">
        <f>SUMIFS(Database!$G:$G,Database!$D:$D,"Import",Database!$E:$E,$B101,Database!$C:$C,G$1,Database!$F:$F,"Total")</f>
        <v>0</v>
      </c>
      <c r="H101" s="137">
        <f>SUMIFS(Database!$G:$G,Database!$D:$D,"Import",Database!$E:$E,$B101,Database!$C:$C,H$1,Database!$F:$F,"Total")</f>
        <v>0</v>
      </c>
      <c r="I101" s="137">
        <f>SUMIFS(Database!$G:$G,Database!$D:$D,"Import",Database!$E:$E,$B101,Database!$C:$C,I$1,Database!$F:$F,"Total")</f>
        <v>0</v>
      </c>
      <c r="J101" s="137">
        <f>SUMIFS(Database!$G:$G,Database!$D:$D,"Import",Database!$E:$E,$B101,Database!$C:$C,J$1,Database!$F:$F,"Total")</f>
        <v>0</v>
      </c>
      <c r="K101" s="137">
        <f>SUMIFS(Database!$G:$G,Database!$D:$D,"Import",Database!$E:$E,$B101,Database!$C:$C,K$1,Database!$F:$F,"Total")</f>
        <v>0</v>
      </c>
      <c r="L101" s="137">
        <f>SUMIFS(Database!$G:$G,Database!$D:$D,"Import",Database!$E:$E,$B101,Database!$C:$C,L$1,Database!$F:$F,"Total")</f>
        <v>0</v>
      </c>
      <c r="M101" s="137">
        <f>SUMIFS(Database!$G:$G,Database!$D:$D,"Import",Database!$E:$E,$B101,Database!$C:$C,M$1,Database!$F:$F,"Total")</f>
        <v>0</v>
      </c>
      <c r="N101" s="137">
        <f>SUMIFS(Database!$G:$G,Database!$D:$D,"Import",Database!$E:$E,$B101,Database!$C:$C,N$1,Database!$F:$F,"Total")</f>
        <v>0</v>
      </c>
      <c r="O101" s="137">
        <f>SUMIFS(Database!$G:$G,Database!$D:$D,"Import",Database!$E:$E,$B101,Database!$C:$C,O$1,Database!$F:$F,"Total")</f>
        <v>0</v>
      </c>
      <c r="P101" s="137">
        <f>SUMIFS(Database!$G:$G,Database!$D:$D,"Import",Database!$E:$E,$B101,Database!$C:$C,P$1,Database!$F:$F,"Total")</f>
        <v>0</v>
      </c>
      <c r="Q101" s="137">
        <f>SUMIFS(Database!$G:$G,Database!$D:$D,"Import",Database!$E:$E,$B101,Database!$C:$C,Q$1,Database!$F:$F,"Total")</f>
        <v>0</v>
      </c>
      <c r="R101" s="137">
        <f>SUMIFS(Database!$G:$G,Database!$D:$D,"Import",Database!$E:$E,$B101,Database!$C:$C,R$1,Database!$F:$F,"Total")</f>
        <v>0</v>
      </c>
      <c r="S101" s="137">
        <f>SUMIFS(Database!$G:$G,Database!$D:$D,"Import",Database!$E:$E,$B101,Database!$C:$C,S$1,Database!$F:$F,"Total")</f>
        <v>0</v>
      </c>
      <c r="T101" s="137">
        <f>SUMIFS(Database!$G:$G,Database!$D:$D,"Import",Database!$E:$E,$B101,Database!$C:$C,T$1,Database!$F:$F,"Total")</f>
        <v>0</v>
      </c>
      <c r="U101" s="137">
        <f>SUMIFS(Database!$G:$G,Database!$D:$D,"Import",Database!$E:$E,$B101,Database!$C:$C,U$1,Database!$F:$F,"Total")</f>
        <v>0</v>
      </c>
      <c r="V101" s="137">
        <f>SUMIFS(Database!$G:$G,Database!$D:$D,"Import",Database!$E:$E,$B101,Database!$C:$C,V$1,Database!$F:$F,"Total")</f>
        <v>0</v>
      </c>
      <c r="W101" s="137">
        <f>SUMIFS(Database!$G:$G,Database!$D:$D,"Import",Database!$E:$E,$B101,Database!$C:$C,W$1,Database!$F:$F,"Total")</f>
        <v>0</v>
      </c>
      <c r="X101" s="137">
        <f>SUMIFS(Database!$G:$G,Database!$D:$D,"Import",Database!$E:$E,$B101,Database!$C:$C,X$1,Database!$F:$F,"Total")</f>
        <v>0</v>
      </c>
      <c r="Y101" s="137">
        <f>SUMIFS(Database!$G:$G,Database!$D:$D,"Import",Database!$E:$E,$B101,Database!$C:$C,Y$1,Database!$F:$F,"Total")</f>
        <v>0</v>
      </c>
      <c r="Z101" s="137">
        <f>SUMIFS(Database!$G:$G,Database!$D:$D,"Import",Database!$E:$E,$B101,Database!$C:$C,Z$1,Database!$F:$F,"Total")</f>
        <v>0</v>
      </c>
      <c r="AA101" s="137">
        <f>SUMIFS(Database!$G:$G,Database!$D:$D,"Import",Database!$E:$E,$B101,Database!$C:$C,AA$1,Database!$F:$F,"Total")</f>
        <v>0</v>
      </c>
      <c r="AB101" s="137">
        <f>SUMIFS(Database!$G:$G,Database!$D:$D,"Import",Database!$E:$E,$B101,Database!$C:$C,AB$1,Database!$F:$F,"Total")</f>
        <v>0</v>
      </c>
      <c r="AC101" s="137">
        <f>SUMIFS(Database!$G:$G,Database!$D:$D,"Import",Database!$E:$E,$B101,Database!$C:$C,AC$1,Database!$F:$F,"Total")</f>
        <v>0</v>
      </c>
      <c r="AD101" s="137">
        <f>SUMIFS(Database!$G:$G,Database!$D:$D,"Import",Database!$E:$E,$B101,Database!$C:$C,AD$1,Database!$F:$F,"Total")</f>
        <v>0</v>
      </c>
      <c r="AE101" s="137">
        <f>SUMIFS(Database!$G:$G,Database!$D:$D,"Import",Database!$E:$E,$B101,Database!$C:$C,AE$1,Database!$F:$F,"Total")</f>
        <v>0</v>
      </c>
      <c r="AF101" s="137">
        <f>SUMIFS(Database!$G:$G,Database!$D:$D,"Import",Database!$E:$E,$B101,Database!$C:$C,AF$1,Database!$F:$F,"Total")</f>
        <v>0</v>
      </c>
      <c r="AG101" s="137">
        <f>SUMIFS(Database!$G:$G,Database!$D:$D,"Import",Database!$E:$E,$B101,Database!$C:$C,AG$1,Database!$F:$F,"Total")</f>
        <v>0</v>
      </c>
      <c r="AH101" s="137">
        <f>SUMIFS(Database!$G:$G,Database!$D:$D,"Import",Database!$E:$E,$B101,Database!$C:$C,AH$1,Database!$F:$F,"Total")</f>
        <v>0</v>
      </c>
      <c r="AI101" s="137">
        <f>SUMIFS(Database!$G:$G,Database!$D:$D,"Import",Database!$E:$E,$B101,Database!$C:$C,AI$1,Database!$F:$F,"Total")</f>
        <v>0</v>
      </c>
      <c r="AJ101" s="137">
        <f>SUMIFS(Database!$G:$G,Database!$D:$D,"Import",Database!$E:$E,$B101,Database!$C:$C,AJ$1,Database!$F:$F,"Total")</f>
        <v>0</v>
      </c>
      <c r="AK101" s="137">
        <f>SUMIFS(Database!$G:$G,Database!$D:$D,"Import",Database!$E:$E,$B101,Database!$C:$C,AK$1,Database!$F:$F,"Total")</f>
        <v>0</v>
      </c>
      <c r="AL101" s="137">
        <f>SUMIFS(Database!$G:$G,Database!$D:$D,"Import",Database!$E:$E,$B101,Database!$C:$C,AL$1,Database!$F:$F,"Total")</f>
        <v>0</v>
      </c>
      <c r="AM101" s="137">
        <f>SUMIFS(Database!$G:$G,Database!$D:$D,"Import",Database!$E:$E,$B101,Database!$C:$C,AM$1,Database!$F:$F,"Total")</f>
        <v>0</v>
      </c>
      <c r="AN101" s="137">
        <f>SUMIFS(Database!$G:$G,Database!$D:$D,"Import",Database!$E:$E,$B101,Database!$C:$C,AN$1,Database!$F:$F,"Total")</f>
        <v>0</v>
      </c>
      <c r="AO101" s="137">
        <f>SUMIFS(Database!$G:$G,Database!$D:$D,"Import",Database!$E:$E,$B101,Database!$C:$C,AO$1,Database!$F:$F,"Total")</f>
        <v>0</v>
      </c>
      <c r="AP101" s="137">
        <f>SUMIFS(Database!$G:$G,Database!$D:$D,"Import",Database!$E:$E,$B101,Database!$C:$C,AP$1,Database!$F:$F,"Total")</f>
        <v>0</v>
      </c>
      <c r="AQ101" s="137">
        <f>SUMIFS(Database!$G:$G,Database!$D:$D,"Import",Database!$E:$E,$B101,Database!$C:$C,AQ$1,Database!$F:$F,"Total")</f>
        <v>0</v>
      </c>
      <c r="AR101" s="137">
        <f>SUMIFS(Database!$G:$G,Database!$D:$D,"Import",Database!$E:$E,$B101,Database!$C:$C,AR$1,Database!$F:$F,"Total")</f>
        <v>0</v>
      </c>
      <c r="AS101" s="137">
        <f>SUMIFS(Database!$G:$G,Database!$D:$D,"Import",Database!$E:$E,$B101,Database!$C:$C,AS$1,Database!$F:$F,"Total")</f>
        <v>0</v>
      </c>
      <c r="AT101" s="137">
        <f>SUMIFS(Database!$G:$G,Database!$D:$D,"Import",Database!$E:$E,$B101,Database!$C:$C,AT$1,Database!$F:$F,"Total")</f>
        <v>0</v>
      </c>
      <c r="AU101" s="137">
        <f>SUMIFS(Database!$G:$G,Database!$D:$D,"Import",Database!$E:$E,$B101,Database!$C:$C,AU$1,Database!$F:$F,"Total")</f>
        <v>0</v>
      </c>
      <c r="AV101" s="137">
        <f>SUMIFS(Database!$G:$G,Database!$D:$D,"Import",Database!$E:$E,$B101,Database!$C:$C,AV$1,Database!$F:$F,"Total")</f>
        <v>0</v>
      </c>
      <c r="AW101" s="137">
        <f>SUMIFS(Database!$G:$G,Database!$D:$D,"Import",Database!$E:$E,$B101,Database!$C:$C,AW$1,Database!$F:$F,"Total")</f>
        <v>0</v>
      </c>
      <c r="AX101" s="137">
        <f>SUMIFS(Database!$G:$G,Database!$D:$D,"Import",Database!$E:$E,$B101,Database!$C:$C,AX$1,Database!$F:$F,"Total")</f>
        <v>0</v>
      </c>
      <c r="AY101" s="137">
        <f>SUMIFS(Database!$G:$G,Database!$D:$D,"Import",Database!$E:$E,$B101,Database!$C:$C,AY$1,Database!$F:$F,"Total")</f>
        <v>0</v>
      </c>
      <c r="AZ101" s="137">
        <f>SUMIFS(Database!$G:$G,Database!$D:$D,"Import",Database!$E:$E,$B101,Database!$C:$C,AZ$1,Database!$F:$F,"Total")</f>
        <v>0</v>
      </c>
      <c r="BA101" s="137">
        <f>SUMIFS(Database!$G:$G,Database!$D:$D,"Import",Database!$E:$E,$B101,Database!$C:$C,BA$1,Database!$F:$F,"Total")</f>
        <v>0</v>
      </c>
      <c r="BB101" s="137">
        <f>SUMIFS(Database!$G:$G,Database!$D:$D,"Import",Database!$E:$E,$B101,Database!$C:$C,BB$1,Database!$F:$F,"Total")</f>
        <v>41452</v>
      </c>
      <c r="BC101" s="137">
        <f>SUMIFS(Database!$G:$G,Database!$D:$D,"Import",Database!$E:$E,$B101,Database!$C:$C,BC$1,Database!$F:$F,"Total")</f>
        <v>0</v>
      </c>
      <c r="BD101" s="137">
        <f>SUMIFS(Database!$G:$G,Database!$D:$D,"Import",Database!$E:$E,$B101,Database!$C:$C,BD$1,Database!$F:$F,"Total")</f>
        <v>0</v>
      </c>
      <c r="BE101" s="137">
        <f>SUMIFS(Database!$G:$G,Database!$D:$D,"Import",Database!$E:$E,$B101,Database!$C:$C,BE$1,Database!$F:$F,"Total")</f>
        <v>0</v>
      </c>
      <c r="BF101" s="137">
        <f>SUMIFS(Database!$G:$G,Database!$D:$D,"Import",Database!$E:$E,$B101,Database!$C:$C,BF$1,Database!$F:$F,"Total")</f>
        <v>0</v>
      </c>
      <c r="BG101" s="137">
        <f>SUMIFS(Database!$G:$G,Database!$D:$D,"Import",Database!$E:$E,$B101,Database!$C:$C,BG$1,Database!$F:$F,"Total")</f>
        <v>0</v>
      </c>
      <c r="BH101" s="137">
        <f>SUMIFS(Database!$G:$G,Database!$D:$D,"Import",Database!$E:$E,$B101,Database!$C:$C,BH$1,Database!$F:$F,"Total")</f>
        <v>0</v>
      </c>
      <c r="BI101" s="137">
        <f>SUMIFS(Database!$G:$G,Database!$D:$D,"Import",Database!$E:$E,$B101,Database!$C:$C,BI$1,Database!$F:$F,"Total")</f>
        <v>0</v>
      </c>
      <c r="BJ101" s="137">
        <f>SUMIFS(Database!$G:$G,Database!$D:$D,"Import",Database!$E:$E,$B101,Database!$C:$C,BJ$1,Database!$F:$F,"Total")</f>
        <v>0</v>
      </c>
      <c r="BK101" s="137">
        <f>SUMIFS(Database!$G:$G,Database!$D:$D,"Import",Database!$E:$E,$B101,Database!$C:$C,BK$1,Database!$F:$F,"Total")</f>
        <v>0</v>
      </c>
      <c r="BL101" s="137">
        <f>SUMIFS(Database!$G:$G,Database!$D:$D,"Import",Database!$E:$E,$B101,Database!$C:$C,BL$1,Database!$F:$F,"Total")</f>
        <v>0</v>
      </c>
      <c r="BM101" s="137">
        <f>SUMIFS(Database!$G:$G,Database!$D:$D,"Import",Database!$E:$E,$B101,Database!$C:$C,BM$1,Database!$F:$F,"Total")</f>
        <v>0</v>
      </c>
      <c r="BN101" s="137">
        <f>SUMIFS(Database!$G:$G,Database!$D:$D,"Import",Database!$E:$E,$B101,Database!$C:$C,BN$1,Database!$F:$F,"Total")</f>
        <v>0</v>
      </c>
      <c r="BO101" s="137">
        <f>SUMIFS(Database!$G:$G,Database!$D:$D,"Import",Database!$E:$E,$B101,Database!$C:$C,BO$1,Database!$F:$F,"Total")</f>
        <v>0</v>
      </c>
      <c r="BP101" s="137">
        <f>SUMIFS(Database!$G:$G,Database!$D:$D,"Import",Database!$E:$E,$B101,Database!$C:$C,BP$1,Database!$F:$F,"Total")</f>
        <v>0</v>
      </c>
      <c r="BQ101" s="137">
        <f>SUMIFS(Database!$G:$G,Database!$D:$D,"Import",Database!$E:$E,$B101,Database!$C:$C,BQ$1,Database!$F:$F,"Total")</f>
        <v>0</v>
      </c>
      <c r="BR101" s="137">
        <f>SUMIFS(Database!$G:$G,Database!$D:$D,"Import",Database!$E:$E,$B101,Database!$C:$C,BR$1,Database!$F:$F,"Total")</f>
        <v>0</v>
      </c>
      <c r="BS101" s="137">
        <f>SUMIFS(Database!$G:$G,Database!$D:$D,"Import",Database!$E:$E,$B101,Database!$C:$C,BS$1,Database!$F:$F,"Total")</f>
        <v>0</v>
      </c>
      <c r="BT101" s="137">
        <f>SUMIFS(Database!$G:$G,Database!$D:$D,"Import",Database!$E:$E,$B101,Database!$C:$C,BT$1,Database!$F:$F,"Total")</f>
        <v>0</v>
      </c>
      <c r="BU101" s="137">
        <f>SUMIFS(Database!$G:$G,Database!$D:$D,"Import",Database!$E:$E,$B101,Database!$C:$C,BU$1,Database!$F:$F,"Total")</f>
        <v>0</v>
      </c>
      <c r="BV101" s="137">
        <f>SUMIFS(Database!$G:$G,Database!$D:$D,"Import",Database!$E:$E,$B101,Database!$C:$C,BV$1,Database!$F:$F,"Total")</f>
        <v>0</v>
      </c>
      <c r="BW101" s="137">
        <f>SUMIFS(Database!$G:$G,Database!$D:$D,"Import",Database!$E:$E,$B101,Database!$C:$C,BW$1,Database!$F:$F,"Total")</f>
        <v>0</v>
      </c>
      <c r="BX101" s="137">
        <f>SUMIFS(Database!$G:$G,Database!$D:$D,"Import",Database!$E:$E,$B101,Database!$C:$C,BX$1,Database!$F:$F,"Total")</f>
        <v>0</v>
      </c>
      <c r="BY101" s="137">
        <f>SUMIFS(Database!$G:$G,Database!$D:$D,"Import",Database!$E:$E,$B101,Database!$C:$C,BY$1,Database!$F:$F,"Total")</f>
        <v>0</v>
      </c>
      <c r="BZ101" s="137">
        <f>SUMIFS(Database!$G:$G,Database!$D:$D,"Import",Database!$E:$E,$B101,Database!$C:$C,BZ$1,Database!$F:$F,"Total")</f>
        <v>0</v>
      </c>
      <c r="CA101" s="137">
        <f>SUMIFS(Database!$G:$G,Database!$D:$D,"Import",Database!$E:$E,$B101,Database!$C:$C,CA$1,Database!$F:$F,"Total")</f>
        <v>0</v>
      </c>
      <c r="CB101" s="137">
        <f>SUMIFS(Database!$G:$G,Database!$D:$D,"Import",Database!$E:$E,$B101,Database!$C:$C,CB$1,Database!$F:$F,"Total")</f>
        <v>0</v>
      </c>
      <c r="CC101" s="137">
        <f>SUMIFS(Database!$G:$G,Database!$D:$D,"Import",Database!$E:$E,$B101,Database!$C:$C,CC$1,Database!$F:$F,"Total")</f>
        <v>0</v>
      </c>
      <c r="CD101" s="137">
        <f>SUMIFS(Database!$G:$G,Database!$D:$D,"Import",Database!$E:$E,$B101,Database!$C:$C,CD$1,Database!$F:$F,"Total")</f>
        <v>0</v>
      </c>
      <c r="CE101" s="137">
        <f>SUMIFS(Database!$G:$G,Database!$D:$D,"Import",Database!$E:$E,$B101,Database!$C:$C,CE$1,Database!$F:$F,"Total")</f>
        <v>0</v>
      </c>
      <c r="CF101" s="137">
        <f>SUMIFS(Database!$G:$G,Database!$D:$D,"Import",Database!$E:$E,$B101,Database!$C:$C,CF$1,Database!$F:$F,"Total")</f>
        <v>0</v>
      </c>
      <c r="CG101" s="137">
        <f>SUMIFS(Database!$G:$G,Database!$D:$D,"Import",Database!$E:$E,$B101,Database!$C:$C,CG$1,Database!$F:$F,"Total")</f>
        <v>0</v>
      </c>
      <c r="CH101" s="137">
        <f>SUMIFS(Database!$G:$G,Database!$D:$D,"Import",Database!$E:$E,$B101,Database!$C:$C,CH$1,Database!$F:$F,"Total")</f>
        <v>0</v>
      </c>
      <c r="CI101" s="137">
        <f>SUMIFS(Database!$G:$G,Database!$D:$D,"Import",Database!$E:$E,$B101,Database!$C:$C,CI$1,Database!$F:$F,"Total")</f>
        <v>0</v>
      </c>
      <c r="CJ101" s="137">
        <f>SUMIFS(Database!$G:$G,Database!$D:$D,"Import",Database!$E:$E,$B101,Database!$C:$C,CJ$1,Database!$F:$F,"Total")</f>
        <v>0</v>
      </c>
      <c r="CK101" s="137">
        <f>SUMIFS(Database!$G:$G,Database!$D:$D,"Import",Database!$E:$E,$B101,Database!$C:$C,CK$1,Database!$F:$F,"Total")</f>
        <v>0</v>
      </c>
      <c r="CL101" s="137">
        <f>SUMIFS(Database!$G:$G,Database!$D:$D,"Import",Database!$E:$E,$B101,Database!$C:$C,CL$1,Database!$F:$F,"Total")</f>
        <v>0</v>
      </c>
      <c r="CM101" s="137">
        <f>SUMIFS(Database!$G:$G,Database!$D:$D,"Import",Database!$E:$E,$B101,Database!$C:$C,CM$1,Database!$F:$F,"Total")</f>
        <v>0</v>
      </c>
      <c r="CN101" s="137">
        <f>SUMIFS(Database!$G:$G,Database!$D:$D,"Import",Database!$E:$E,$B101,Database!$C:$C,CN$1,Database!$F:$F,"Total")</f>
        <v>0</v>
      </c>
      <c r="CO101" s="137">
        <f>SUMIFS(Database!$G:$G,Database!$D:$D,"Import",Database!$E:$E,$B101,Database!$C:$C,CO$1,Database!$F:$F,"Total")</f>
        <v>0</v>
      </c>
      <c r="CP101" s="137">
        <f>SUMIFS(Database!$G:$G,Database!$D:$D,"Import",Database!$E:$E,$B101,Database!$C:$C,CP$1,Database!$F:$F,"Total")</f>
        <v>0</v>
      </c>
      <c r="CQ101" s="137">
        <f>SUMIFS(Database!$G:$G,Database!$D:$D,"Import",Database!$E:$E,$B101,Database!$C:$C,CQ$1,Database!$F:$F,"Total")</f>
        <v>0</v>
      </c>
      <c r="CR101" s="137">
        <f>SUMIFS(Database!$G:$G,Database!$D:$D,"Import",Database!$E:$E,$B101,Database!$C:$C,CR$1,Database!$F:$F,"Total")</f>
        <v>0</v>
      </c>
      <c r="CS101" s="137">
        <f>SUMIFS(Database!$G:$G,Database!$D:$D,"Import",Database!$E:$E,$B101,Database!$C:$C,CS$1,Database!$F:$F,"Total")</f>
        <v>0</v>
      </c>
      <c r="CT101" s="137">
        <f>SUMIFS(Database!$G:$G,Database!$D:$D,"Import",Database!$E:$E,$B101,Database!$C:$C,CT$1,Database!$F:$F,"Total")</f>
        <v>0</v>
      </c>
      <c r="CU101" s="137">
        <f>SUMIFS(Database!$G:$G,Database!$D:$D,"Import",Database!$E:$E,$B101,Database!$C:$C,CU$1,Database!$F:$F,"Total")</f>
        <v>0</v>
      </c>
    </row>
    <row r="102" spans="1:99" x14ac:dyDescent="0.25">
      <c r="A102" s="132" t="s">
        <v>484</v>
      </c>
      <c r="B102" s="133" t="s">
        <v>108</v>
      </c>
      <c r="C102" s="137">
        <f>SUMIFS(Database!$G:$G,Database!$D:$D,"Import",Database!$E:$E,$B102,Database!$C:$C,C$1,Database!$F:$F,"Total")</f>
        <v>0</v>
      </c>
      <c r="D102" s="137">
        <f>SUMIFS(Database!$G:$G,Database!$D:$D,"Import",Database!$E:$E,$B102,Database!$C:$C,D$1,Database!$F:$F,"Total")</f>
        <v>0</v>
      </c>
      <c r="E102" s="137">
        <f>SUMIFS(Database!$G:$G,Database!$D:$D,"Import",Database!$E:$E,$B102,Database!$C:$C,E$1,Database!$F:$F,"Total")</f>
        <v>0</v>
      </c>
      <c r="F102" s="137">
        <f>SUMIFS(Database!$G:$G,Database!$D:$D,"Import",Database!$E:$E,$B102,Database!$C:$C,F$1,Database!$F:$F,"Total")</f>
        <v>0</v>
      </c>
      <c r="G102" s="137">
        <f>SUMIFS(Database!$G:$G,Database!$D:$D,"Import",Database!$E:$E,$B102,Database!$C:$C,G$1,Database!$F:$F,"Total")</f>
        <v>0</v>
      </c>
      <c r="H102" s="137">
        <f>SUMIFS(Database!$G:$G,Database!$D:$D,"Import",Database!$E:$E,$B102,Database!$C:$C,H$1,Database!$F:$F,"Total")</f>
        <v>0</v>
      </c>
      <c r="I102" s="137">
        <f>SUMIFS(Database!$G:$G,Database!$D:$D,"Import",Database!$E:$E,$B102,Database!$C:$C,I$1,Database!$F:$F,"Total")</f>
        <v>0</v>
      </c>
      <c r="J102" s="137">
        <f>SUMIFS(Database!$G:$G,Database!$D:$D,"Import",Database!$E:$E,$B102,Database!$C:$C,J$1,Database!$F:$F,"Total")</f>
        <v>0</v>
      </c>
      <c r="K102" s="137">
        <f>SUMIFS(Database!$G:$G,Database!$D:$D,"Import",Database!$E:$E,$B102,Database!$C:$C,K$1,Database!$F:$F,"Total")</f>
        <v>0</v>
      </c>
      <c r="L102" s="137">
        <f>SUMIFS(Database!$G:$G,Database!$D:$D,"Import",Database!$E:$E,$B102,Database!$C:$C,L$1,Database!$F:$F,"Total")</f>
        <v>0</v>
      </c>
      <c r="M102" s="137">
        <f>SUMIFS(Database!$G:$G,Database!$D:$D,"Import",Database!$E:$E,$B102,Database!$C:$C,M$1,Database!$F:$F,"Total")</f>
        <v>0</v>
      </c>
      <c r="N102" s="137">
        <f>SUMIFS(Database!$G:$G,Database!$D:$D,"Import",Database!$E:$E,$B102,Database!$C:$C,N$1,Database!$F:$F,"Total")</f>
        <v>0</v>
      </c>
      <c r="O102" s="137">
        <f>SUMIFS(Database!$G:$G,Database!$D:$D,"Import",Database!$E:$E,$B102,Database!$C:$C,O$1,Database!$F:$F,"Total")</f>
        <v>0</v>
      </c>
      <c r="P102" s="137">
        <f>SUMIFS(Database!$G:$G,Database!$D:$D,"Import",Database!$E:$E,$B102,Database!$C:$C,P$1,Database!$F:$F,"Total")</f>
        <v>0</v>
      </c>
      <c r="Q102" s="137">
        <f>SUMIFS(Database!$G:$G,Database!$D:$D,"Import",Database!$E:$E,$B102,Database!$C:$C,Q$1,Database!$F:$F,"Total")</f>
        <v>0</v>
      </c>
      <c r="R102" s="137">
        <f>SUMIFS(Database!$G:$G,Database!$D:$D,"Import",Database!$E:$E,$B102,Database!$C:$C,R$1,Database!$F:$F,"Total")</f>
        <v>0</v>
      </c>
      <c r="S102" s="137">
        <f>SUMIFS(Database!$G:$G,Database!$D:$D,"Import",Database!$E:$E,$B102,Database!$C:$C,S$1,Database!$F:$F,"Total")</f>
        <v>0</v>
      </c>
      <c r="T102" s="137">
        <f>SUMIFS(Database!$G:$G,Database!$D:$D,"Import",Database!$E:$E,$B102,Database!$C:$C,T$1,Database!$F:$F,"Total")</f>
        <v>0</v>
      </c>
      <c r="U102" s="137">
        <f>SUMIFS(Database!$G:$G,Database!$D:$D,"Import",Database!$E:$E,$B102,Database!$C:$C,U$1,Database!$F:$F,"Total")</f>
        <v>0</v>
      </c>
      <c r="V102" s="137">
        <f>SUMIFS(Database!$G:$G,Database!$D:$D,"Import",Database!$E:$E,$B102,Database!$C:$C,V$1,Database!$F:$F,"Total")</f>
        <v>0</v>
      </c>
      <c r="W102" s="137">
        <f>SUMIFS(Database!$G:$G,Database!$D:$D,"Import",Database!$E:$E,$B102,Database!$C:$C,W$1,Database!$F:$F,"Total")</f>
        <v>0</v>
      </c>
      <c r="X102" s="137">
        <f>SUMIFS(Database!$G:$G,Database!$D:$D,"Import",Database!$E:$E,$B102,Database!$C:$C,X$1,Database!$F:$F,"Total")</f>
        <v>0</v>
      </c>
      <c r="Y102" s="137">
        <f>SUMIFS(Database!$G:$G,Database!$D:$D,"Import",Database!$E:$E,$B102,Database!$C:$C,Y$1,Database!$F:$F,"Total")</f>
        <v>0</v>
      </c>
      <c r="Z102" s="137">
        <f>SUMIFS(Database!$G:$G,Database!$D:$D,"Import",Database!$E:$E,$B102,Database!$C:$C,Z$1,Database!$F:$F,"Total")</f>
        <v>0</v>
      </c>
      <c r="AA102" s="137">
        <f>SUMIFS(Database!$G:$G,Database!$D:$D,"Import",Database!$E:$E,$B102,Database!$C:$C,AA$1,Database!$F:$F,"Total")</f>
        <v>0</v>
      </c>
      <c r="AB102" s="137">
        <f>SUMIFS(Database!$G:$G,Database!$D:$D,"Import",Database!$E:$E,$B102,Database!$C:$C,AB$1,Database!$F:$F,"Total")</f>
        <v>0</v>
      </c>
      <c r="AC102" s="137">
        <f>SUMIFS(Database!$G:$G,Database!$D:$D,"Import",Database!$E:$E,$B102,Database!$C:$C,AC$1,Database!$F:$F,"Total")</f>
        <v>0</v>
      </c>
      <c r="AD102" s="137">
        <f>SUMIFS(Database!$G:$G,Database!$D:$D,"Import",Database!$E:$E,$B102,Database!$C:$C,AD$1,Database!$F:$F,"Total")</f>
        <v>0</v>
      </c>
      <c r="AE102" s="137">
        <f>SUMIFS(Database!$G:$G,Database!$D:$D,"Import",Database!$E:$E,$B102,Database!$C:$C,AE$1,Database!$F:$F,"Total")</f>
        <v>0</v>
      </c>
      <c r="AF102" s="137">
        <f>SUMIFS(Database!$G:$G,Database!$D:$D,"Import",Database!$E:$E,$B102,Database!$C:$C,AF$1,Database!$F:$F,"Total")</f>
        <v>0</v>
      </c>
      <c r="AG102" s="137">
        <f>SUMIFS(Database!$G:$G,Database!$D:$D,"Import",Database!$E:$E,$B102,Database!$C:$C,AG$1,Database!$F:$F,"Total")</f>
        <v>0</v>
      </c>
      <c r="AH102" s="137">
        <f>SUMIFS(Database!$G:$G,Database!$D:$D,"Import",Database!$E:$E,$B102,Database!$C:$C,AH$1,Database!$F:$F,"Total")</f>
        <v>0</v>
      </c>
      <c r="AI102" s="137">
        <f>SUMIFS(Database!$G:$G,Database!$D:$D,"Import",Database!$E:$E,$B102,Database!$C:$C,AI$1,Database!$F:$F,"Total")</f>
        <v>0</v>
      </c>
      <c r="AJ102" s="137">
        <f>SUMIFS(Database!$G:$G,Database!$D:$D,"Import",Database!$E:$E,$B102,Database!$C:$C,AJ$1,Database!$F:$F,"Total")</f>
        <v>80</v>
      </c>
      <c r="AK102" s="137">
        <f>SUMIFS(Database!$G:$G,Database!$D:$D,"Import",Database!$E:$E,$B102,Database!$C:$C,AK$1,Database!$F:$F,"Total")</f>
        <v>0</v>
      </c>
      <c r="AL102" s="137">
        <f>SUMIFS(Database!$G:$G,Database!$D:$D,"Import",Database!$E:$E,$B102,Database!$C:$C,AL$1,Database!$F:$F,"Total")</f>
        <v>0</v>
      </c>
      <c r="AM102" s="137">
        <f>SUMIFS(Database!$G:$G,Database!$D:$D,"Import",Database!$E:$E,$B102,Database!$C:$C,AM$1,Database!$F:$F,"Total")</f>
        <v>0</v>
      </c>
      <c r="AN102" s="137">
        <f>SUMIFS(Database!$G:$G,Database!$D:$D,"Import",Database!$E:$E,$B102,Database!$C:$C,AN$1,Database!$F:$F,"Total")</f>
        <v>0</v>
      </c>
      <c r="AO102" s="137">
        <f>SUMIFS(Database!$G:$G,Database!$D:$D,"Import",Database!$E:$E,$B102,Database!$C:$C,AO$1,Database!$F:$F,"Total")</f>
        <v>0</v>
      </c>
      <c r="AP102" s="137">
        <f>SUMIFS(Database!$G:$G,Database!$D:$D,"Import",Database!$E:$E,$B102,Database!$C:$C,AP$1,Database!$F:$F,"Total")</f>
        <v>0</v>
      </c>
      <c r="AQ102" s="137">
        <f>SUMIFS(Database!$G:$G,Database!$D:$D,"Import",Database!$E:$E,$B102,Database!$C:$C,AQ$1,Database!$F:$F,"Total")</f>
        <v>0</v>
      </c>
      <c r="AR102" s="137">
        <f>SUMIFS(Database!$G:$G,Database!$D:$D,"Import",Database!$E:$E,$B102,Database!$C:$C,AR$1,Database!$F:$F,"Total")</f>
        <v>0</v>
      </c>
      <c r="AS102" s="137">
        <f>SUMIFS(Database!$G:$G,Database!$D:$D,"Import",Database!$E:$E,$B102,Database!$C:$C,AS$1,Database!$F:$F,"Total")</f>
        <v>0</v>
      </c>
      <c r="AT102" s="137">
        <f>SUMIFS(Database!$G:$G,Database!$D:$D,"Import",Database!$E:$E,$B102,Database!$C:$C,AT$1,Database!$F:$F,"Total")</f>
        <v>0</v>
      </c>
      <c r="AU102" s="137">
        <f>SUMIFS(Database!$G:$G,Database!$D:$D,"Import",Database!$E:$E,$B102,Database!$C:$C,AU$1,Database!$F:$F,"Total")</f>
        <v>0</v>
      </c>
      <c r="AV102" s="137">
        <f>SUMIFS(Database!$G:$G,Database!$D:$D,"Import",Database!$E:$E,$B102,Database!$C:$C,AV$1,Database!$F:$F,"Total")</f>
        <v>0</v>
      </c>
      <c r="AW102" s="137">
        <f>SUMIFS(Database!$G:$G,Database!$D:$D,"Import",Database!$E:$E,$B102,Database!$C:$C,AW$1,Database!$F:$F,"Total")</f>
        <v>0</v>
      </c>
      <c r="AX102" s="137">
        <f>SUMIFS(Database!$G:$G,Database!$D:$D,"Import",Database!$E:$E,$B102,Database!$C:$C,AX$1,Database!$F:$F,"Total")</f>
        <v>0</v>
      </c>
      <c r="AY102" s="137">
        <f>SUMIFS(Database!$G:$G,Database!$D:$D,"Import",Database!$E:$E,$B102,Database!$C:$C,AY$1,Database!$F:$F,"Total")</f>
        <v>0</v>
      </c>
      <c r="AZ102" s="137">
        <f>SUMIFS(Database!$G:$G,Database!$D:$D,"Import",Database!$E:$E,$B102,Database!$C:$C,AZ$1,Database!$F:$F,"Total")</f>
        <v>0</v>
      </c>
      <c r="BA102" s="137">
        <f>SUMIFS(Database!$G:$G,Database!$D:$D,"Import",Database!$E:$E,$B102,Database!$C:$C,BA$1,Database!$F:$F,"Total")</f>
        <v>0</v>
      </c>
      <c r="BB102" s="137">
        <f>SUMIFS(Database!$G:$G,Database!$D:$D,"Import",Database!$E:$E,$B102,Database!$C:$C,BB$1,Database!$F:$F,"Total")</f>
        <v>0</v>
      </c>
      <c r="BC102" s="137">
        <f>SUMIFS(Database!$G:$G,Database!$D:$D,"Import",Database!$E:$E,$B102,Database!$C:$C,BC$1,Database!$F:$F,"Total")</f>
        <v>0</v>
      </c>
      <c r="BD102" s="137">
        <f>SUMIFS(Database!$G:$G,Database!$D:$D,"Import",Database!$E:$E,$B102,Database!$C:$C,BD$1,Database!$F:$F,"Total")</f>
        <v>0</v>
      </c>
      <c r="BE102" s="137">
        <f>SUMIFS(Database!$G:$G,Database!$D:$D,"Import",Database!$E:$E,$B102,Database!$C:$C,BE$1,Database!$F:$F,"Total")</f>
        <v>0</v>
      </c>
      <c r="BF102" s="137">
        <f>SUMIFS(Database!$G:$G,Database!$D:$D,"Import",Database!$E:$E,$B102,Database!$C:$C,BF$1,Database!$F:$F,"Total")</f>
        <v>0</v>
      </c>
      <c r="BG102" s="137">
        <f>SUMIFS(Database!$G:$G,Database!$D:$D,"Import",Database!$E:$E,$B102,Database!$C:$C,BG$1,Database!$F:$F,"Total")</f>
        <v>0</v>
      </c>
      <c r="BH102" s="137">
        <f>SUMIFS(Database!$G:$G,Database!$D:$D,"Import",Database!$E:$E,$B102,Database!$C:$C,BH$1,Database!$F:$F,"Total")</f>
        <v>0</v>
      </c>
      <c r="BI102" s="137">
        <f>SUMIFS(Database!$G:$G,Database!$D:$D,"Import",Database!$E:$E,$B102,Database!$C:$C,BI$1,Database!$F:$F,"Total")</f>
        <v>0</v>
      </c>
      <c r="BJ102" s="137">
        <f>SUMIFS(Database!$G:$G,Database!$D:$D,"Import",Database!$E:$E,$B102,Database!$C:$C,BJ$1,Database!$F:$F,"Total")</f>
        <v>0</v>
      </c>
      <c r="BK102" s="137">
        <f>SUMIFS(Database!$G:$G,Database!$D:$D,"Import",Database!$E:$E,$B102,Database!$C:$C,BK$1,Database!$F:$F,"Total")</f>
        <v>0</v>
      </c>
      <c r="BL102" s="137">
        <f>SUMIFS(Database!$G:$G,Database!$D:$D,"Import",Database!$E:$E,$B102,Database!$C:$C,BL$1,Database!$F:$F,"Total")</f>
        <v>0</v>
      </c>
      <c r="BM102" s="137">
        <f>SUMIFS(Database!$G:$G,Database!$D:$D,"Import",Database!$E:$E,$B102,Database!$C:$C,BM$1,Database!$F:$F,"Total")</f>
        <v>0</v>
      </c>
      <c r="BN102" s="137">
        <f>SUMIFS(Database!$G:$G,Database!$D:$D,"Import",Database!$E:$E,$B102,Database!$C:$C,BN$1,Database!$F:$F,"Total")</f>
        <v>0</v>
      </c>
      <c r="BO102" s="137">
        <f>SUMIFS(Database!$G:$G,Database!$D:$D,"Import",Database!$E:$E,$B102,Database!$C:$C,BO$1,Database!$F:$F,"Total")</f>
        <v>0</v>
      </c>
      <c r="BP102" s="137">
        <f>SUMIFS(Database!$G:$G,Database!$D:$D,"Import",Database!$E:$E,$B102,Database!$C:$C,BP$1,Database!$F:$F,"Total")</f>
        <v>0</v>
      </c>
      <c r="BQ102" s="137">
        <f>SUMIFS(Database!$G:$G,Database!$D:$D,"Import",Database!$E:$E,$B102,Database!$C:$C,BQ$1,Database!$F:$F,"Total")</f>
        <v>0</v>
      </c>
      <c r="BR102" s="137">
        <f>SUMIFS(Database!$G:$G,Database!$D:$D,"Import",Database!$E:$E,$B102,Database!$C:$C,BR$1,Database!$F:$F,"Total")</f>
        <v>0</v>
      </c>
      <c r="BS102" s="137">
        <f>SUMIFS(Database!$G:$G,Database!$D:$D,"Import",Database!$E:$E,$B102,Database!$C:$C,BS$1,Database!$F:$F,"Total")</f>
        <v>0</v>
      </c>
      <c r="BT102" s="137">
        <f>SUMIFS(Database!$G:$G,Database!$D:$D,"Import",Database!$E:$E,$B102,Database!$C:$C,BT$1,Database!$F:$F,"Total")</f>
        <v>0</v>
      </c>
      <c r="BU102" s="137">
        <f>SUMIFS(Database!$G:$G,Database!$D:$D,"Import",Database!$E:$E,$B102,Database!$C:$C,BU$1,Database!$F:$F,"Total")</f>
        <v>0</v>
      </c>
      <c r="BV102" s="137">
        <f>SUMIFS(Database!$G:$G,Database!$D:$D,"Import",Database!$E:$E,$B102,Database!$C:$C,BV$1,Database!$F:$F,"Total")</f>
        <v>0</v>
      </c>
      <c r="BW102" s="137">
        <f>SUMIFS(Database!$G:$G,Database!$D:$D,"Import",Database!$E:$E,$B102,Database!$C:$C,BW$1,Database!$F:$F,"Total")</f>
        <v>0</v>
      </c>
      <c r="BX102" s="137">
        <f>SUMIFS(Database!$G:$G,Database!$D:$D,"Import",Database!$E:$E,$B102,Database!$C:$C,BX$1,Database!$F:$F,"Total")</f>
        <v>0</v>
      </c>
      <c r="BY102" s="137">
        <f>SUMIFS(Database!$G:$G,Database!$D:$D,"Import",Database!$E:$E,$B102,Database!$C:$C,BY$1,Database!$F:$F,"Total")</f>
        <v>0</v>
      </c>
      <c r="BZ102" s="137">
        <f>SUMIFS(Database!$G:$G,Database!$D:$D,"Import",Database!$E:$E,$B102,Database!$C:$C,BZ$1,Database!$F:$F,"Total")</f>
        <v>0</v>
      </c>
      <c r="CA102" s="137">
        <f>SUMIFS(Database!$G:$G,Database!$D:$D,"Import",Database!$E:$E,$B102,Database!$C:$C,CA$1,Database!$F:$F,"Total")</f>
        <v>0</v>
      </c>
      <c r="CB102" s="137">
        <f>SUMIFS(Database!$G:$G,Database!$D:$D,"Import",Database!$E:$E,$B102,Database!$C:$C,CB$1,Database!$F:$F,"Total")</f>
        <v>0</v>
      </c>
      <c r="CC102" s="137">
        <f>SUMIFS(Database!$G:$G,Database!$D:$D,"Import",Database!$E:$E,$B102,Database!$C:$C,CC$1,Database!$F:$F,"Total")</f>
        <v>0</v>
      </c>
      <c r="CD102" s="137">
        <f>SUMIFS(Database!$G:$G,Database!$D:$D,"Import",Database!$E:$E,$B102,Database!$C:$C,CD$1,Database!$F:$F,"Total")</f>
        <v>0</v>
      </c>
      <c r="CE102" s="137">
        <f>SUMIFS(Database!$G:$G,Database!$D:$D,"Import",Database!$E:$E,$B102,Database!$C:$C,CE$1,Database!$F:$F,"Total")</f>
        <v>0</v>
      </c>
      <c r="CF102" s="137">
        <f>SUMIFS(Database!$G:$G,Database!$D:$D,"Import",Database!$E:$E,$B102,Database!$C:$C,CF$1,Database!$F:$F,"Total")</f>
        <v>0</v>
      </c>
      <c r="CG102" s="137">
        <f>SUMIFS(Database!$G:$G,Database!$D:$D,"Import",Database!$E:$E,$B102,Database!$C:$C,CG$1,Database!$F:$F,"Total")</f>
        <v>0</v>
      </c>
      <c r="CH102" s="137">
        <f>SUMIFS(Database!$G:$G,Database!$D:$D,"Import",Database!$E:$E,$B102,Database!$C:$C,CH$1,Database!$F:$F,"Total")</f>
        <v>0</v>
      </c>
      <c r="CI102" s="137">
        <f>SUMIFS(Database!$G:$G,Database!$D:$D,"Import",Database!$E:$E,$B102,Database!$C:$C,CI$1,Database!$F:$F,"Total")</f>
        <v>0</v>
      </c>
      <c r="CJ102" s="137">
        <f>SUMIFS(Database!$G:$G,Database!$D:$D,"Import",Database!$E:$E,$B102,Database!$C:$C,CJ$1,Database!$F:$F,"Total")</f>
        <v>0</v>
      </c>
      <c r="CK102" s="137">
        <f>SUMIFS(Database!$G:$G,Database!$D:$D,"Import",Database!$E:$E,$B102,Database!$C:$C,CK$1,Database!$F:$F,"Total")</f>
        <v>0</v>
      </c>
      <c r="CL102" s="137">
        <f>SUMIFS(Database!$G:$G,Database!$D:$D,"Import",Database!$E:$E,$B102,Database!$C:$C,CL$1,Database!$F:$F,"Total")</f>
        <v>0</v>
      </c>
      <c r="CM102" s="137">
        <f>SUMIFS(Database!$G:$G,Database!$D:$D,"Import",Database!$E:$E,$B102,Database!$C:$C,CM$1,Database!$F:$F,"Total")</f>
        <v>0</v>
      </c>
      <c r="CN102" s="137">
        <f>SUMIFS(Database!$G:$G,Database!$D:$D,"Import",Database!$E:$E,$B102,Database!$C:$C,CN$1,Database!$F:$F,"Total")</f>
        <v>0</v>
      </c>
      <c r="CO102" s="137">
        <f>SUMIFS(Database!$G:$G,Database!$D:$D,"Import",Database!$E:$E,$B102,Database!$C:$C,CO$1,Database!$F:$F,"Total")</f>
        <v>0</v>
      </c>
      <c r="CP102" s="137">
        <f>SUMIFS(Database!$G:$G,Database!$D:$D,"Import",Database!$E:$E,$B102,Database!$C:$C,CP$1,Database!$F:$F,"Total")</f>
        <v>0</v>
      </c>
      <c r="CQ102" s="137">
        <f>SUMIFS(Database!$G:$G,Database!$D:$D,"Import",Database!$E:$E,$B102,Database!$C:$C,CQ$1,Database!$F:$F,"Total")</f>
        <v>0</v>
      </c>
      <c r="CR102" s="137">
        <f>SUMIFS(Database!$G:$G,Database!$D:$D,"Import",Database!$E:$E,$B102,Database!$C:$C,CR$1,Database!$F:$F,"Total")</f>
        <v>0</v>
      </c>
      <c r="CS102" s="137">
        <f>SUMIFS(Database!$G:$G,Database!$D:$D,"Import",Database!$E:$E,$B102,Database!$C:$C,CS$1,Database!$F:$F,"Total")</f>
        <v>0</v>
      </c>
      <c r="CT102" s="137">
        <f>SUMIFS(Database!$G:$G,Database!$D:$D,"Import",Database!$E:$E,$B102,Database!$C:$C,CT$1,Database!$F:$F,"Total")</f>
        <v>0</v>
      </c>
      <c r="CU102" s="137">
        <f>SUMIFS(Database!$G:$G,Database!$D:$D,"Import",Database!$E:$E,$B102,Database!$C:$C,CU$1,Database!$F:$F,"Total")</f>
        <v>0</v>
      </c>
    </row>
    <row r="103" spans="1:99" x14ac:dyDescent="0.25">
      <c r="A103" s="132" t="s">
        <v>484</v>
      </c>
      <c r="B103" s="133" t="s">
        <v>109</v>
      </c>
      <c r="C103" s="137">
        <f>SUMIFS(Database!$G:$G,Database!$D:$D,"Import",Database!$E:$E,$B103,Database!$C:$C,C$1,Database!$F:$F,"Total")</f>
        <v>0</v>
      </c>
      <c r="D103" s="137">
        <f>SUMIFS(Database!$G:$G,Database!$D:$D,"Import",Database!$E:$E,$B103,Database!$C:$C,D$1,Database!$F:$F,"Total")</f>
        <v>0</v>
      </c>
      <c r="E103" s="137">
        <f>SUMIFS(Database!$G:$G,Database!$D:$D,"Import",Database!$E:$E,$B103,Database!$C:$C,E$1,Database!$F:$F,"Total")</f>
        <v>0</v>
      </c>
      <c r="F103" s="137">
        <f>SUMIFS(Database!$G:$G,Database!$D:$D,"Import",Database!$E:$E,$B103,Database!$C:$C,F$1,Database!$F:$F,"Total")</f>
        <v>0</v>
      </c>
      <c r="G103" s="137">
        <f>SUMIFS(Database!$G:$G,Database!$D:$D,"Import",Database!$E:$E,$B103,Database!$C:$C,G$1,Database!$F:$F,"Total")</f>
        <v>0</v>
      </c>
      <c r="H103" s="137">
        <f>SUMIFS(Database!$G:$G,Database!$D:$D,"Import",Database!$E:$E,$B103,Database!$C:$C,H$1,Database!$F:$F,"Total")</f>
        <v>0</v>
      </c>
      <c r="I103" s="137">
        <f>SUMIFS(Database!$G:$G,Database!$D:$D,"Import",Database!$E:$E,$B103,Database!$C:$C,I$1,Database!$F:$F,"Total")</f>
        <v>0</v>
      </c>
      <c r="J103" s="137">
        <f>SUMIFS(Database!$G:$G,Database!$D:$D,"Import",Database!$E:$E,$B103,Database!$C:$C,J$1,Database!$F:$F,"Total")</f>
        <v>0</v>
      </c>
      <c r="K103" s="137">
        <f>SUMIFS(Database!$G:$G,Database!$D:$D,"Import",Database!$E:$E,$B103,Database!$C:$C,K$1,Database!$F:$F,"Total")</f>
        <v>0</v>
      </c>
      <c r="L103" s="137">
        <f>SUMIFS(Database!$G:$G,Database!$D:$D,"Import",Database!$E:$E,$B103,Database!$C:$C,L$1,Database!$F:$F,"Total")</f>
        <v>0</v>
      </c>
      <c r="M103" s="137">
        <f>SUMIFS(Database!$G:$G,Database!$D:$D,"Import",Database!$E:$E,$B103,Database!$C:$C,M$1,Database!$F:$F,"Total")</f>
        <v>0</v>
      </c>
      <c r="N103" s="137">
        <f>SUMIFS(Database!$G:$G,Database!$D:$D,"Import",Database!$E:$E,$B103,Database!$C:$C,N$1,Database!$F:$F,"Total")</f>
        <v>0</v>
      </c>
      <c r="O103" s="137">
        <f>SUMIFS(Database!$G:$G,Database!$D:$D,"Import",Database!$E:$E,$B103,Database!$C:$C,O$1,Database!$F:$F,"Total")</f>
        <v>0</v>
      </c>
      <c r="P103" s="137">
        <f>SUMIFS(Database!$G:$G,Database!$D:$D,"Import",Database!$E:$E,$B103,Database!$C:$C,P$1,Database!$F:$F,"Total")</f>
        <v>0</v>
      </c>
      <c r="Q103" s="137">
        <f>SUMIFS(Database!$G:$G,Database!$D:$D,"Import",Database!$E:$E,$B103,Database!$C:$C,Q$1,Database!$F:$F,"Total")</f>
        <v>0</v>
      </c>
      <c r="R103" s="137">
        <f>SUMIFS(Database!$G:$G,Database!$D:$D,"Import",Database!$E:$E,$B103,Database!$C:$C,R$1,Database!$F:$F,"Total")</f>
        <v>0</v>
      </c>
      <c r="S103" s="137">
        <f>SUMIFS(Database!$G:$G,Database!$D:$D,"Import",Database!$E:$E,$B103,Database!$C:$C,S$1,Database!$F:$F,"Total")</f>
        <v>0</v>
      </c>
      <c r="T103" s="137">
        <f>SUMIFS(Database!$G:$G,Database!$D:$D,"Import",Database!$E:$E,$B103,Database!$C:$C,T$1,Database!$F:$F,"Total")</f>
        <v>0</v>
      </c>
      <c r="U103" s="137">
        <f>SUMIFS(Database!$G:$G,Database!$D:$D,"Import",Database!$E:$E,$B103,Database!$C:$C,U$1,Database!$F:$F,"Total")</f>
        <v>0</v>
      </c>
      <c r="V103" s="137">
        <f>SUMIFS(Database!$G:$G,Database!$D:$D,"Import",Database!$E:$E,$B103,Database!$C:$C,V$1,Database!$F:$F,"Total")</f>
        <v>0</v>
      </c>
      <c r="W103" s="137">
        <f>SUMIFS(Database!$G:$G,Database!$D:$D,"Import",Database!$E:$E,$B103,Database!$C:$C,W$1,Database!$F:$F,"Total")</f>
        <v>0</v>
      </c>
      <c r="X103" s="137">
        <f>SUMIFS(Database!$G:$G,Database!$D:$D,"Import",Database!$E:$E,$B103,Database!$C:$C,X$1,Database!$F:$F,"Total")</f>
        <v>0</v>
      </c>
      <c r="Y103" s="137">
        <f>SUMIFS(Database!$G:$G,Database!$D:$D,"Import",Database!$E:$E,$B103,Database!$C:$C,Y$1,Database!$F:$F,"Total")</f>
        <v>0</v>
      </c>
      <c r="Z103" s="137">
        <f>SUMIFS(Database!$G:$G,Database!$D:$D,"Import",Database!$E:$E,$B103,Database!$C:$C,Z$1,Database!$F:$F,"Total")</f>
        <v>0</v>
      </c>
      <c r="AA103" s="137">
        <f>SUMIFS(Database!$G:$G,Database!$D:$D,"Import",Database!$E:$E,$B103,Database!$C:$C,AA$1,Database!$F:$F,"Total")</f>
        <v>0</v>
      </c>
      <c r="AB103" s="137">
        <f>SUMIFS(Database!$G:$G,Database!$D:$D,"Import",Database!$E:$E,$B103,Database!$C:$C,AB$1,Database!$F:$F,"Total")</f>
        <v>0</v>
      </c>
      <c r="AC103" s="137">
        <f>SUMIFS(Database!$G:$G,Database!$D:$D,"Import",Database!$E:$E,$B103,Database!$C:$C,AC$1,Database!$F:$F,"Total")</f>
        <v>0</v>
      </c>
      <c r="AD103" s="137">
        <f>SUMIFS(Database!$G:$G,Database!$D:$D,"Import",Database!$E:$E,$B103,Database!$C:$C,AD$1,Database!$F:$F,"Total")</f>
        <v>0</v>
      </c>
      <c r="AE103" s="137">
        <f>SUMIFS(Database!$G:$G,Database!$D:$D,"Import",Database!$E:$E,$B103,Database!$C:$C,AE$1,Database!$F:$F,"Total")</f>
        <v>0</v>
      </c>
      <c r="AF103" s="137">
        <f>SUMIFS(Database!$G:$G,Database!$D:$D,"Import",Database!$E:$E,$B103,Database!$C:$C,AF$1,Database!$F:$F,"Total")</f>
        <v>0</v>
      </c>
      <c r="AG103" s="137">
        <f>SUMIFS(Database!$G:$G,Database!$D:$D,"Import",Database!$E:$E,$B103,Database!$C:$C,AG$1,Database!$F:$F,"Total")</f>
        <v>0</v>
      </c>
      <c r="AH103" s="137">
        <f>SUMIFS(Database!$G:$G,Database!$D:$D,"Import",Database!$E:$E,$B103,Database!$C:$C,AH$1,Database!$F:$F,"Total")</f>
        <v>0</v>
      </c>
      <c r="AI103" s="137">
        <f>SUMIFS(Database!$G:$G,Database!$D:$D,"Import",Database!$E:$E,$B103,Database!$C:$C,AI$1,Database!$F:$F,"Total")</f>
        <v>0</v>
      </c>
      <c r="AJ103" s="137">
        <f>SUMIFS(Database!$G:$G,Database!$D:$D,"Import",Database!$E:$E,$B103,Database!$C:$C,AJ$1,Database!$F:$F,"Total")</f>
        <v>0</v>
      </c>
      <c r="AK103" s="137">
        <f>SUMIFS(Database!$G:$G,Database!$D:$D,"Import",Database!$E:$E,$B103,Database!$C:$C,AK$1,Database!$F:$F,"Total")</f>
        <v>0</v>
      </c>
      <c r="AL103" s="137">
        <f>SUMIFS(Database!$G:$G,Database!$D:$D,"Import",Database!$E:$E,$B103,Database!$C:$C,AL$1,Database!$F:$F,"Total")</f>
        <v>0</v>
      </c>
      <c r="AM103" s="137">
        <f>SUMIFS(Database!$G:$G,Database!$D:$D,"Import",Database!$E:$E,$B103,Database!$C:$C,AM$1,Database!$F:$F,"Total")</f>
        <v>0</v>
      </c>
      <c r="AN103" s="137">
        <f>SUMIFS(Database!$G:$G,Database!$D:$D,"Import",Database!$E:$E,$B103,Database!$C:$C,AN$1,Database!$F:$F,"Total")</f>
        <v>0</v>
      </c>
      <c r="AO103" s="137">
        <f>SUMIFS(Database!$G:$G,Database!$D:$D,"Import",Database!$E:$E,$B103,Database!$C:$C,AO$1,Database!$F:$F,"Total")</f>
        <v>0</v>
      </c>
      <c r="AP103" s="137">
        <f>SUMIFS(Database!$G:$G,Database!$D:$D,"Import",Database!$E:$E,$B103,Database!$C:$C,AP$1,Database!$F:$F,"Total")</f>
        <v>22204</v>
      </c>
      <c r="AQ103" s="137">
        <f>SUMIFS(Database!$G:$G,Database!$D:$D,"Import",Database!$E:$E,$B103,Database!$C:$C,AQ$1,Database!$F:$F,"Total")</f>
        <v>0</v>
      </c>
      <c r="AR103" s="137">
        <f>SUMIFS(Database!$G:$G,Database!$D:$D,"Import",Database!$E:$E,$B103,Database!$C:$C,AR$1,Database!$F:$F,"Total")</f>
        <v>0</v>
      </c>
      <c r="AS103" s="137">
        <f>SUMIFS(Database!$G:$G,Database!$D:$D,"Import",Database!$E:$E,$B103,Database!$C:$C,AS$1,Database!$F:$F,"Total")</f>
        <v>0</v>
      </c>
      <c r="AT103" s="137">
        <f>SUMIFS(Database!$G:$G,Database!$D:$D,"Import",Database!$E:$E,$B103,Database!$C:$C,AT$1,Database!$F:$F,"Total")</f>
        <v>0</v>
      </c>
      <c r="AU103" s="137">
        <f>SUMIFS(Database!$G:$G,Database!$D:$D,"Import",Database!$E:$E,$B103,Database!$C:$C,AU$1,Database!$F:$F,"Total")</f>
        <v>0</v>
      </c>
      <c r="AV103" s="137">
        <f>SUMIFS(Database!$G:$G,Database!$D:$D,"Import",Database!$E:$E,$B103,Database!$C:$C,AV$1,Database!$F:$F,"Total")</f>
        <v>0</v>
      </c>
      <c r="AW103" s="137">
        <f>SUMIFS(Database!$G:$G,Database!$D:$D,"Import",Database!$E:$E,$B103,Database!$C:$C,AW$1,Database!$F:$F,"Total")</f>
        <v>0</v>
      </c>
      <c r="AX103" s="137">
        <f>SUMIFS(Database!$G:$G,Database!$D:$D,"Import",Database!$E:$E,$B103,Database!$C:$C,AX$1,Database!$F:$F,"Total")</f>
        <v>0</v>
      </c>
      <c r="AY103" s="137">
        <f>SUMIFS(Database!$G:$G,Database!$D:$D,"Import",Database!$E:$E,$B103,Database!$C:$C,AY$1,Database!$F:$F,"Total")</f>
        <v>0</v>
      </c>
      <c r="AZ103" s="137">
        <f>SUMIFS(Database!$G:$G,Database!$D:$D,"Import",Database!$E:$E,$B103,Database!$C:$C,AZ$1,Database!$F:$F,"Total")</f>
        <v>0</v>
      </c>
      <c r="BA103" s="137">
        <f>SUMIFS(Database!$G:$G,Database!$D:$D,"Import",Database!$E:$E,$B103,Database!$C:$C,BA$1,Database!$F:$F,"Total")</f>
        <v>0</v>
      </c>
      <c r="BB103" s="137">
        <f>SUMIFS(Database!$G:$G,Database!$D:$D,"Import",Database!$E:$E,$B103,Database!$C:$C,BB$1,Database!$F:$F,"Total")</f>
        <v>9340</v>
      </c>
      <c r="BC103" s="137">
        <f>SUMIFS(Database!$G:$G,Database!$D:$D,"Import",Database!$E:$E,$B103,Database!$C:$C,BC$1,Database!$F:$F,"Total")</f>
        <v>0</v>
      </c>
      <c r="BD103" s="137">
        <f>SUMIFS(Database!$G:$G,Database!$D:$D,"Import",Database!$E:$E,$B103,Database!$C:$C,BD$1,Database!$F:$F,"Total")</f>
        <v>0</v>
      </c>
      <c r="BE103" s="137">
        <f>SUMIFS(Database!$G:$G,Database!$D:$D,"Import",Database!$E:$E,$B103,Database!$C:$C,BE$1,Database!$F:$F,"Total")</f>
        <v>0</v>
      </c>
      <c r="BF103" s="137">
        <f>SUMIFS(Database!$G:$G,Database!$D:$D,"Import",Database!$E:$E,$B103,Database!$C:$C,BF$1,Database!$F:$F,"Total")</f>
        <v>0</v>
      </c>
      <c r="BG103" s="137">
        <f>SUMIFS(Database!$G:$G,Database!$D:$D,"Import",Database!$E:$E,$B103,Database!$C:$C,BG$1,Database!$F:$F,"Total")</f>
        <v>0</v>
      </c>
      <c r="BH103" s="137">
        <f>SUMIFS(Database!$G:$G,Database!$D:$D,"Import",Database!$E:$E,$B103,Database!$C:$C,BH$1,Database!$F:$F,"Total")</f>
        <v>0</v>
      </c>
      <c r="BI103" s="137">
        <f>SUMIFS(Database!$G:$G,Database!$D:$D,"Import",Database!$E:$E,$B103,Database!$C:$C,BI$1,Database!$F:$F,"Total")</f>
        <v>0</v>
      </c>
      <c r="BJ103" s="137">
        <f>SUMIFS(Database!$G:$G,Database!$D:$D,"Import",Database!$E:$E,$B103,Database!$C:$C,BJ$1,Database!$F:$F,"Total")</f>
        <v>0</v>
      </c>
      <c r="BK103" s="137">
        <f>SUMIFS(Database!$G:$G,Database!$D:$D,"Import",Database!$E:$E,$B103,Database!$C:$C,BK$1,Database!$F:$F,"Total")</f>
        <v>0</v>
      </c>
      <c r="BL103" s="137">
        <f>SUMIFS(Database!$G:$G,Database!$D:$D,"Import",Database!$E:$E,$B103,Database!$C:$C,BL$1,Database!$F:$F,"Total")</f>
        <v>0</v>
      </c>
      <c r="BM103" s="137">
        <f>SUMIFS(Database!$G:$G,Database!$D:$D,"Import",Database!$E:$E,$B103,Database!$C:$C,BM$1,Database!$F:$F,"Total")</f>
        <v>0</v>
      </c>
      <c r="BN103" s="137">
        <f>SUMIFS(Database!$G:$G,Database!$D:$D,"Import",Database!$E:$E,$B103,Database!$C:$C,BN$1,Database!$F:$F,"Total")</f>
        <v>0</v>
      </c>
      <c r="BO103" s="137">
        <f>SUMIFS(Database!$G:$G,Database!$D:$D,"Import",Database!$E:$E,$B103,Database!$C:$C,BO$1,Database!$F:$F,"Total")</f>
        <v>0</v>
      </c>
      <c r="BP103" s="137">
        <f>SUMIFS(Database!$G:$G,Database!$D:$D,"Import",Database!$E:$E,$B103,Database!$C:$C,BP$1,Database!$F:$F,"Total")</f>
        <v>0</v>
      </c>
      <c r="BQ103" s="137">
        <f>SUMIFS(Database!$G:$G,Database!$D:$D,"Import",Database!$E:$E,$B103,Database!$C:$C,BQ$1,Database!$F:$F,"Total")</f>
        <v>0</v>
      </c>
      <c r="BR103" s="137">
        <f>SUMIFS(Database!$G:$G,Database!$D:$D,"Import",Database!$E:$E,$B103,Database!$C:$C,BR$1,Database!$F:$F,"Total")</f>
        <v>0</v>
      </c>
      <c r="BS103" s="137">
        <f>SUMIFS(Database!$G:$G,Database!$D:$D,"Import",Database!$E:$E,$B103,Database!$C:$C,BS$1,Database!$F:$F,"Total")</f>
        <v>0</v>
      </c>
      <c r="BT103" s="137">
        <f>SUMIFS(Database!$G:$G,Database!$D:$D,"Import",Database!$E:$E,$B103,Database!$C:$C,BT$1,Database!$F:$F,"Total")</f>
        <v>0</v>
      </c>
      <c r="BU103" s="137">
        <f>SUMIFS(Database!$G:$G,Database!$D:$D,"Import",Database!$E:$E,$B103,Database!$C:$C,BU$1,Database!$F:$F,"Total")</f>
        <v>0</v>
      </c>
      <c r="BV103" s="137">
        <f>SUMIFS(Database!$G:$G,Database!$D:$D,"Import",Database!$E:$E,$B103,Database!$C:$C,BV$1,Database!$F:$F,"Total")</f>
        <v>0</v>
      </c>
      <c r="BW103" s="137">
        <f>SUMIFS(Database!$G:$G,Database!$D:$D,"Import",Database!$E:$E,$B103,Database!$C:$C,BW$1,Database!$F:$F,"Total")</f>
        <v>0</v>
      </c>
      <c r="BX103" s="137">
        <f>SUMIFS(Database!$G:$G,Database!$D:$D,"Import",Database!$E:$E,$B103,Database!$C:$C,BX$1,Database!$F:$F,"Total")</f>
        <v>0</v>
      </c>
      <c r="BY103" s="137">
        <f>SUMIFS(Database!$G:$G,Database!$D:$D,"Import",Database!$E:$E,$B103,Database!$C:$C,BY$1,Database!$F:$F,"Total")</f>
        <v>0</v>
      </c>
      <c r="BZ103" s="137">
        <f>SUMIFS(Database!$G:$G,Database!$D:$D,"Import",Database!$E:$E,$B103,Database!$C:$C,BZ$1,Database!$F:$F,"Total")</f>
        <v>0</v>
      </c>
      <c r="CA103" s="137">
        <f>SUMIFS(Database!$G:$G,Database!$D:$D,"Import",Database!$E:$E,$B103,Database!$C:$C,CA$1,Database!$F:$F,"Total")</f>
        <v>0</v>
      </c>
      <c r="CB103" s="137">
        <f>SUMIFS(Database!$G:$G,Database!$D:$D,"Import",Database!$E:$E,$B103,Database!$C:$C,CB$1,Database!$F:$F,"Total")</f>
        <v>0</v>
      </c>
      <c r="CC103" s="137">
        <f>SUMIFS(Database!$G:$G,Database!$D:$D,"Import",Database!$E:$E,$B103,Database!$C:$C,CC$1,Database!$F:$F,"Total")</f>
        <v>0</v>
      </c>
      <c r="CD103" s="137">
        <f>SUMIFS(Database!$G:$G,Database!$D:$D,"Import",Database!$E:$E,$B103,Database!$C:$C,CD$1,Database!$F:$F,"Total")</f>
        <v>0</v>
      </c>
      <c r="CE103" s="137">
        <f>SUMIFS(Database!$G:$G,Database!$D:$D,"Import",Database!$E:$E,$B103,Database!$C:$C,CE$1,Database!$F:$F,"Total")</f>
        <v>0</v>
      </c>
      <c r="CF103" s="137">
        <f>SUMIFS(Database!$G:$G,Database!$D:$D,"Import",Database!$E:$E,$B103,Database!$C:$C,CF$1,Database!$F:$F,"Total")</f>
        <v>0</v>
      </c>
      <c r="CG103" s="137">
        <f>SUMIFS(Database!$G:$G,Database!$D:$D,"Import",Database!$E:$E,$B103,Database!$C:$C,CG$1,Database!$F:$F,"Total")</f>
        <v>0</v>
      </c>
      <c r="CH103" s="137">
        <f>SUMIFS(Database!$G:$G,Database!$D:$D,"Import",Database!$E:$E,$B103,Database!$C:$C,CH$1,Database!$F:$F,"Total")</f>
        <v>0</v>
      </c>
      <c r="CI103" s="137">
        <f>SUMIFS(Database!$G:$G,Database!$D:$D,"Import",Database!$E:$E,$B103,Database!$C:$C,CI$1,Database!$F:$F,"Total")</f>
        <v>0</v>
      </c>
      <c r="CJ103" s="137">
        <f>SUMIFS(Database!$G:$G,Database!$D:$D,"Import",Database!$E:$E,$B103,Database!$C:$C,CJ$1,Database!$F:$F,"Total")</f>
        <v>0</v>
      </c>
      <c r="CK103" s="137">
        <f>SUMIFS(Database!$G:$G,Database!$D:$D,"Import",Database!$E:$E,$B103,Database!$C:$C,CK$1,Database!$F:$F,"Total")</f>
        <v>0</v>
      </c>
      <c r="CL103" s="137">
        <f>SUMIFS(Database!$G:$G,Database!$D:$D,"Import",Database!$E:$E,$B103,Database!$C:$C,CL$1,Database!$F:$F,"Total")</f>
        <v>0</v>
      </c>
      <c r="CM103" s="137">
        <f>SUMIFS(Database!$G:$G,Database!$D:$D,"Import",Database!$E:$E,$B103,Database!$C:$C,CM$1,Database!$F:$F,"Total")</f>
        <v>0</v>
      </c>
      <c r="CN103" s="137">
        <f>SUMIFS(Database!$G:$G,Database!$D:$D,"Import",Database!$E:$E,$B103,Database!$C:$C,CN$1,Database!$F:$F,"Total")</f>
        <v>0</v>
      </c>
      <c r="CO103" s="137">
        <f>SUMIFS(Database!$G:$G,Database!$D:$D,"Import",Database!$E:$E,$B103,Database!$C:$C,CO$1,Database!$F:$F,"Total")</f>
        <v>0</v>
      </c>
      <c r="CP103" s="137">
        <f>SUMIFS(Database!$G:$G,Database!$D:$D,"Import",Database!$E:$E,$B103,Database!$C:$C,CP$1,Database!$F:$F,"Total")</f>
        <v>0</v>
      </c>
      <c r="CQ103" s="137">
        <f>SUMIFS(Database!$G:$G,Database!$D:$D,"Import",Database!$E:$E,$B103,Database!$C:$C,CQ$1,Database!$F:$F,"Total")</f>
        <v>0</v>
      </c>
      <c r="CR103" s="137">
        <f>SUMIFS(Database!$G:$G,Database!$D:$D,"Import",Database!$E:$E,$B103,Database!$C:$C,CR$1,Database!$F:$F,"Total")</f>
        <v>0</v>
      </c>
      <c r="CS103" s="137">
        <f>SUMIFS(Database!$G:$G,Database!$D:$D,"Import",Database!$E:$E,$B103,Database!$C:$C,CS$1,Database!$F:$F,"Total")</f>
        <v>0</v>
      </c>
      <c r="CT103" s="137">
        <f>SUMIFS(Database!$G:$G,Database!$D:$D,"Import",Database!$E:$E,$B103,Database!$C:$C,CT$1,Database!$F:$F,"Total")</f>
        <v>0</v>
      </c>
      <c r="CU103" s="137">
        <f>SUMIFS(Database!$G:$G,Database!$D:$D,"Import",Database!$E:$E,$B103,Database!$C:$C,CU$1,Database!$F:$F,"Total")</f>
        <v>0</v>
      </c>
    </row>
    <row r="104" spans="1:99" x14ac:dyDescent="0.25">
      <c r="A104" s="132" t="s">
        <v>484</v>
      </c>
      <c r="B104" s="133" t="s">
        <v>110</v>
      </c>
      <c r="C104" s="137">
        <f>SUMIFS(Database!$G:$G,Database!$D:$D,"Import",Database!$E:$E,$B104,Database!$C:$C,C$1,Database!$F:$F,"Total")</f>
        <v>0</v>
      </c>
      <c r="D104" s="137">
        <f>SUMIFS(Database!$G:$G,Database!$D:$D,"Import",Database!$E:$E,$B104,Database!$C:$C,D$1,Database!$F:$F,"Total")</f>
        <v>0</v>
      </c>
      <c r="E104" s="137">
        <f>SUMIFS(Database!$G:$G,Database!$D:$D,"Import",Database!$E:$E,$B104,Database!$C:$C,E$1,Database!$F:$F,"Total")</f>
        <v>0</v>
      </c>
      <c r="F104" s="137">
        <f>SUMIFS(Database!$G:$G,Database!$D:$D,"Import",Database!$E:$E,$B104,Database!$C:$C,F$1,Database!$F:$F,"Total")</f>
        <v>0</v>
      </c>
      <c r="G104" s="137">
        <f>SUMIFS(Database!$G:$G,Database!$D:$D,"Import",Database!$E:$E,$B104,Database!$C:$C,G$1,Database!$F:$F,"Total")</f>
        <v>0</v>
      </c>
      <c r="H104" s="137">
        <f>SUMIFS(Database!$G:$G,Database!$D:$D,"Import",Database!$E:$E,$B104,Database!$C:$C,H$1,Database!$F:$F,"Total")</f>
        <v>0</v>
      </c>
      <c r="I104" s="137">
        <f>SUMIFS(Database!$G:$G,Database!$D:$D,"Import",Database!$E:$E,$B104,Database!$C:$C,I$1,Database!$F:$F,"Total")</f>
        <v>0</v>
      </c>
      <c r="J104" s="137">
        <f>SUMIFS(Database!$G:$G,Database!$D:$D,"Import",Database!$E:$E,$B104,Database!$C:$C,J$1,Database!$F:$F,"Total")</f>
        <v>0</v>
      </c>
      <c r="K104" s="137">
        <f>SUMIFS(Database!$G:$G,Database!$D:$D,"Import",Database!$E:$E,$B104,Database!$C:$C,K$1,Database!$F:$F,"Total")</f>
        <v>0</v>
      </c>
      <c r="L104" s="137">
        <f>SUMIFS(Database!$G:$G,Database!$D:$D,"Import",Database!$E:$E,$B104,Database!$C:$C,L$1,Database!$F:$F,"Total")</f>
        <v>0</v>
      </c>
      <c r="M104" s="137">
        <f>SUMIFS(Database!$G:$G,Database!$D:$D,"Import",Database!$E:$E,$B104,Database!$C:$C,M$1,Database!$F:$F,"Total")</f>
        <v>0</v>
      </c>
      <c r="N104" s="137">
        <f>SUMIFS(Database!$G:$G,Database!$D:$D,"Import",Database!$E:$E,$B104,Database!$C:$C,N$1,Database!$F:$F,"Total")</f>
        <v>0</v>
      </c>
      <c r="O104" s="137">
        <f>SUMIFS(Database!$G:$G,Database!$D:$D,"Import",Database!$E:$E,$B104,Database!$C:$C,O$1,Database!$F:$F,"Total")</f>
        <v>0</v>
      </c>
      <c r="P104" s="137">
        <f>SUMIFS(Database!$G:$G,Database!$D:$D,"Import",Database!$E:$E,$B104,Database!$C:$C,P$1,Database!$F:$F,"Total")</f>
        <v>0</v>
      </c>
      <c r="Q104" s="137">
        <f>SUMIFS(Database!$G:$G,Database!$D:$D,"Import",Database!$E:$E,$B104,Database!$C:$C,Q$1,Database!$F:$F,"Total")</f>
        <v>0</v>
      </c>
      <c r="R104" s="137">
        <f>SUMIFS(Database!$G:$G,Database!$D:$D,"Import",Database!$E:$E,$B104,Database!$C:$C,R$1,Database!$F:$F,"Total")</f>
        <v>0</v>
      </c>
      <c r="S104" s="137">
        <f>SUMIFS(Database!$G:$G,Database!$D:$D,"Import",Database!$E:$E,$B104,Database!$C:$C,S$1,Database!$F:$F,"Total")</f>
        <v>0</v>
      </c>
      <c r="T104" s="137">
        <f>SUMIFS(Database!$G:$G,Database!$D:$D,"Import",Database!$E:$E,$B104,Database!$C:$C,T$1,Database!$F:$F,"Total")</f>
        <v>0</v>
      </c>
      <c r="U104" s="137">
        <f>SUMIFS(Database!$G:$G,Database!$D:$D,"Import",Database!$E:$E,$B104,Database!$C:$C,U$1,Database!$F:$F,"Total")</f>
        <v>0</v>
      </c>
      <c r="V104" s="137">
        <f>SUMIFS(Database!$G:$G,Database!$D:$D,"Import",Database!$E:$E,$B104,Database!$C:$C,V$1,Database!$F:$F,"Total")</f>
        <v>0</v>
      </c>
      <c r="W104" s="137">
        <f>SUMIFS(Database!$G:$G,Database!$D:$D,"Import",Database!$E:$E,$B104,Database!$C:$C,W$1,Database!$F:$F,"Total")</f>
        <v>0</v>
      </c>
      <c r="X104" s="137">
        <f>SUMIFS(Database!$G:$G,Database!$D:$D,"Import",Database!$E:$E,$B104,Database!$C:$C,X$1,Database!$F:$F,"Total")</f>
        <v>0</v>
      </c>
      <c r="Y104" s="137">
        <f>SUMIFS(Database!$G:$G,Database!$D:$D,"Import",Database!$E:$E,$B104,Database!$C:$C,Y$1,Database!$F:$F,"Total")</f>
        <v>0</v>
      </c>
      <c r="Z104" s="137">
        <f>SUMIFS(Database!$G:$G,Database!$D:$D,"Import",Database!$E:$E,$B104,Database!$C:$C,Z$1,Database!$F:$F,"Total")</f>
        <v>0</v>
      </c>
      <c r="AA104" s="137">
        <f>SUMIFS(Database!$G:$G,Database!$D:$D,"Import",Database!$E:$E,$B104,Database!$C:$C,AA$1,Database!$F:$F,"Total")</f>
        <v>0</v>
      </c>
      <c r="AB104" s="137">
        <f>SUMIFS(Database!$G:$G,Database!$D:$D,"Import",Database!$E:$E,$B104,Database!$C:$C,AB$1,Database!$F:$F,"Total")</f>
        <v>0</v>
      </c>
      <c r="AC104" s="137">
        <f>SUMIFS(Database!$G:$G,Database!$D:$D,"Import",Database!$E:$E,$B104,Database!$C:$C,AC$1,Database!$F:$F,"Total")</f>
        <v>0</v>
      </c>
      <c r="AD104" s="137">
        <f>SUMIFS(Database!$G:$G,Database!$D:$D,"Import",Database!$E:$E,$B104,Database!$C:$C,AD$1,Database!$F:$F,"Total")</f>
        <v>0</v>
      </c>
      <c r="AE104" s="137">
        <f>SUMIFS(Database!$G:$G,Database!$D:$D,"Import",Database!$E:$E,$B104,Database!$C:$C,AE$1,Database!$F:$F,"Total")</f>
        <v>0</v>
      </c>
      <c r="AF104" s="137">
        <f>SUMIFS(Database!$G:$G,Database!$D:$D,"Import",Database!$E:$E,$B104,Database!$C:$C,AF$1,Database!$F:$F,"Total")</f>
        <v>0</v>
      </c>
      <c r="AG104" s="137">
        <f>SUMIFS(Database!$G:$G,Database!$D:$D,"Import",Database!$E:$E,$B104,Database!$C:$C,AG$1,Database!$F:$F,"Total")</f>
        <v>0</v>
      </c>
      <c r="AH104" s="137">
        <f>SUMIFS(Database!$G:$G,Database!$D:$D,"Import",Database!$E:$E,$B104,Database!$C:$C,AH$1,Database!$F:$F,"Total")</f>
        <v>0</v>
      </c>
      <c r="AI104" s="137">
        <f>SUMIFS(Database!$G:$G,Database!$D:$D,"Import",Database!$E:$E,$B104,Database!$C:$C,AI$1,Database!$F:$F,"Total")</f>
        <v>0</v>
      </c>
      <c r="AJ104" s="137">
        <f>SUMIFS(Database!$G:$G,Database!$D:$D,"Import",Database!$E:$E,$B104,Database!$C:$C,AJ$1,Database!$F:$F,"Total")</f>
        <v>0</v>
      </c>
      <c r="AK104" s="137">
        <f>SUMIFS(Database!$G:$G,Database!$D:$D,"Import",Database!$E:$E,$B104,Database!$C:$C,AK$1,Database!$F:$F,"Total")</f>
        <v>0</v>
      </c>
      <c r="AL104" s="137">
        <f>SUMIFS(Database!$G:$G,Database!$D:$D,"Import",Database!$E:$E,$B104,Database!$C:$C,AL$1,Database!$F:$F,"Total")</f>
        <v>0</v>
      </c>
      <c r="AM104" s="137">
        <f>SUMIFS(Database!$G:$G,Database!$D:$D,"Import",Database!$E:$E,$B104,Database!$C:$C,AM$1,Database!$F:$F,"Total")</f>
        <v>0</v>
      </c>
      <c r="AN104" s="137">
        <f>SUMIFS(Database!$G:$G,Database!$D:$D,"Import",Database!$E:$E,$B104,Database!$C:$C,AN$1,Database!$F:$F,"Total")</f>
        <v>0</v>
      </c>
      <c r="AO104" s="137">
        <f>SUMIFS(Database!$G:$G,Database!$D:$D,"Import",Database!$E:$E,$B104,Database!$C:$C,AO$1,Database!$F:$F,"Total")</f>
        <v>0</v>
      </c>
      <c r="AP104" s="137">
        <f>SUMIFS(Database!$G:$G,Database!$D:$D,"Import",Database!$E:$E,$B104,Database!$C:$C,AP$1,Database!$F:$F,"Total")</f>
        <v>0</v>
      </c>
      <c r="AQ104" s="137">
        <f>SUMIFS(Database!$G:$G,Database!$D:$D,"Import",Database!$E:$E,$B104,Database!$C:$C,AQ$1,Database!$F:$F,"Total")</f>
        <v>0</v>
      </c>
      <c r="AR104" s="137">
        <f>SUMIFS(Database!$G:$G,Database!$D:$D,"Import",Database!$E:$E,$B104,Database!$C:$C,AR$1,Database!$F:$F,"Total")</f>
        <v>0</v>
      </c>
      <c r="AS104" s="137">
        <f>SUMIFS(Database!$G:$G,Database!$D:$D,"Import",Database!$E:$E,$B104,Database!$C:$C,AS$1,Database!$F:$F,"Total")</f>
        <v>0</v>
      </c>
      <c r="AT104" s="137">
        <f>SUMIFS(Database!$G:$G,Database!$D:$D,"Import",Database!$E:$E,$B104,Database!$C:$C,AT$1,Database!$F:$F,"Total")</f>
        <v>0</v>
      </c>
      <c r="AU104" s="137">
        <f>SUMIFS(Database!$G:$G,Database!$D:$D,"Import",Database!$E:$E,$B104,Database!$C:$C,AU$1,Database!$F:$F,"Total")</f>
        <v>0</v>
      </c>
      <c r="AV104" s="137">
        <f>SUMIFS(Database!$G:$G,Database!$D:$D,"Import",Database!$E:$E,$B104,Database!$C:$C,AV$1,Database!$F:$F,"Total")</f>
        <v>0</v>
      </c>
      <c r="AW104" s="137">
        <f>SUMIFS(Database!$G:$G,Database!$D:$D,"Import",Database!$E:$E,$B104,Database!$C:$C,AW$1,Database!$F:$F,"Total")</f>
        <v>0</v>
      </c>
      <c r="AX104" s="137">
        <f>SUMIFS(Database!$G:$G,Database!$D:$D,"Import",Database!$E:$E,$B104,Database!$C:$C,AX$1,Database!$F:$F,"Total")</f>
        <v>0</v>
      </c>
      <c r="AY104" s="137">
        <f>SUMIFS(Database!$G:$G,Database!$D:$D,"Import",Database!$E:$E,$B104,Database!$C:$C,AY$1,Database!$F:$F,"Total")</f>
        <v>0</v>
      </c>
      <c r="AZ104" s="137">
        <f>SUMIFS(Database!$G:$G,Database!$D:$D,"Import",Database!$E:$E,$B104,Database!$C:$C,AZ$1,Database!$F:$F,"Total")</f>
        <v>0</v>
      </c>
      <c r="BA104" s="137">
        <f>SUMIFS(Database!$G:$G,Database!$D:$D,"Import",Database!$E:$E,$B104,Database!$C:$C,BA$1,Database!$F:$F,"Total")</f>
        <v>0</v>
      </c>
      <c r="BB104" s="137">
        <f>SUMIFS(Database!$G:$G,Database!$D:$D,"Import",Database!$E:$E,$B104,Database!$C:$C,BB$1,Database!$F:$F,"Total")</f>
        <v>40243</v>
      </c>
      <c r="BC104" s="137">
        <f>SUMIFS(Database!$G:$G,Database!$D:$D,"Import",Database!$E:$E,$B104,Database!$C:$C,BC$1,Database!$F:$F,"Total")</f>
        <v>0</v>
      </c>
      <c r="BD104" s="137">
        <f>SUMIFS(Database!$G:$G,Database!$D:$D,"Import",Database!$E:$E,$B104,Database!$C:$C,BD$1,Database!$F:$F,"Total")</f>
        <v>0</v>
      </c>
      <c r="BE104" s="137">
        <f>SUMIFS(Database!$G:$G,Database!$D:$D,"Import",Database!$E:$E,$B104,Database!$C:$C,BE$1,Database!$F:$F,"Total")</f>
        <v>0</v>
      </c>
      <c r="BF104" s="137">
        <f>SUMIFS(Database!$G:$G,Database!$D:$D,"Import",Database!$E:$E,$B104,Database!$C:$C,BF$1,Database!$F:$F,"Total")</f>
        <v>0</v>
      </c>
      <c r="BG104" s="137">
        <f>SUMIFS(Database!$G:$G,Database!$D:$D,"Import",Database!$E:$E,$B104,Database!$C:$C,BG$1,Database!$F:$F,"Total")</f>
        <v>0</v>
      </c>
      <c r="BH104" s="137">
        <f>SUMIFS(Database!$G:$G,Database!$D:$D,"Import",Database!$E:$E,$B104,Database!$C:$C,BH$1,Database!$F:$F,"Total")</f>
        <v>36370</v>
      </c>
      <c r="BI104" s="137">
        <f>SUMIFS(Database!$G:$G,Database!$D:$D,"Import",Database!$E:$E,$B104,Database!$C:$C,BI$1,Database!$F:$F,"Total")</f>
        <v>0</v>
      </c>
      <c r="BJ104" s="137">
        <f>SUMIFS(Database!$G:$G,Database!$D:$D,"Import",Database!$E:$E,$B104,Database!$C:$C,BJ$1,Database!$F:$F,"Total")</f>
        <v>0</v>
      </c>
      <c r="BK104" s="137">
        <f>SUMIFS(Database!$G:$G,Database!$D:$D,"Import",Database!$E:$E,$B104,Database!$C:$C,BK$1,Database!$F:$F,"Total")</f>
        <v>0</v>
      </c>
      <c r="BL104" s="137">
        <f>SUMIFS(Database!$G:$G,Database!$D:$D,"Import",Database!$E:$E,$B104,Database!$C:$C,BL$1,Database!$F:$F,"Total")</f>
        <v>0</v>
      </c>
      <c r="BM104" s="137">
        <f>SUMIFS(Database!$G:$G,Database!$D:$D,"Import",Database!$E:$E,$B104,Database!$C:$C,BM$1,Database!$F:$F,"Total")</f>
        <v>0</v>
      </c>
      <c r="BN104" s="137">
        <f>SUMIFS(Database!$G:$G,Database!$D:$D,"Import",Database!$E:$E,$B104,Database!$C:$C,BN$1,Database!$F:$F,"Total")</f>
        <v>0</v>
      </c>
      <c r="BO104" s="137">
        <f>SUMIFS(Database!$G:$G,Database!$D:$D,"Import",Database!$E:$E,$B104,Database!$C:$C,BO$1,Database!$F:$F,"Total")</f>
        <v>0</v>
      </c>
      <c r="BP104" s="137">
        <f>SUMIFS(Database!$G:$G,Database!$D:$D,"Import",Database!$E:$E,$B104,Database!$C:$C,BP$1,Database!$F:$F,"Total")</f>
        <v>0</v>
      </c>
      <c r="BQ104" s="137">
        <f>SUMIFS(Database!$G:$G,Database!$D:$D,"Import",Database!$E:$E,$B104,Database!$C:$C,BQ$1,Database!$F:$F,"Total")</f>
        <v>0</v>
      </c>
      <c r="BR104" s="137">
        <f>SUMIFS(Database!$G:$G,Database!$D:$D,"Import",Database!$E:$E,$B104,Database!$C:$C,BR$1,Database!$F:$F,"Total")</f>
        <v>0</v>
      </c>
      <c r="BS104" s="137">
        <f>SUMIFS(Database!$G:$G,Database!$D:$D,"Import",Database!$E:$E,$B104,Database!$C:$C,BS$1,Database!$F:$F,"Total")</f>
        <v>0</v>
      </c>
      <c r="BT104" s="137">
        <f>SUMIFS(Database!$G:$G,Database!$D:$D,"Import",Database!$E:$E,$B104,Database!$C:$C,BT$1,Database!$F:$F,"Total")</f>
        <v>0</v>
      </c>
      <c r="BU104" s="137">
        <f>SUMIFS(Database!$G:$G,Database!$D:$D,"Import",Database!$E:$E,$B104,Database!$C:$C,BU$1,Database!$F:$F,"Total")</f>
        <v>0</v>
      </c>
      <c r="BV104" s="137">
        <f>SUMIFS(Database!$G:$G,Database!$D:$D,"Import",Database!$E:$E,$B104,Database!$C:$C,BV$1,Database!$F:$F,"Total")</f>
        <v>0</v>
      </c>
      <c r="BW104" s="137">
        <f>SUMIFS(Database!$G:$G,Database!$D:$D,"Import",Database!$E:$E,$B104,Database!$C:$C,BW$1,Database!$F:$F,"Total")</f>
        <v>0</v>
      </c>
      <c r="BX104" s="137">
        <f>SUMIFS(Database!$G:$G,Database!$D:$D,"Import",Database!$E:$E,$B104,Database!$C:$C,BX$1,Database!$F:$F,"Total")</f>
        <v>0</v>
      </c>
      <c r="BY104" s="137">
        <f>SUMIFS(Database!$G:$G,Database!$D:$D,"Import",Database!$E:$E,$B104,Database!$C:$C,BY$1,Database!$F:$F,"Total")</f>
        <v>0</v>
      </c>
      <c r="BZ104" s="137">
        <f>SUMIFS(Database!$G:$G,Database!$D:$D,"Import",Database!$E:$E,$B104,Database!$C:$C,BZ$1,Database!$F:$F,"Total")</f>
        <v>0</v>
      </c>
      <c r="CA104" s="137">
        <f>SUMIFS(Database!$G:$G,Database!$D:$D,"Import",Database!$E:$E,$B104,Database!$C:$C,CA$1,Database!$F:$F,"Total")</f>
        <v>0</v>
      </c>
      <c r="CB104" s="137">
        <f>SUMIFS(Database!$G:$G,Database!$D:$D,"Import",Database!$E:$E,$B104,Database!$C:$C,CB$1,Database!$F:$F,"Total")</f>
        <v>0</v>
      </c>
      <c r="CC104" s="137">
        <f>SUMIFS(Database!$G:$G,Database!$D:$D,"Import",Database!$E:$E,$B104,Database!$C:$C,CC$1,Database!$F:$F,"Total")</f>
        <v>0</v>
      </c>
      <c r="CD104" s="137">
        <f>SUMIFS(Database!$G:$G,Database!$D:$D,"Import",Database!$E:$E,$B104,Database!$C:$C,CD$1,Database!$F:$F,"Total")</f>
        <v>0</v>
      </c>
      <c r="CE104" s="137">
        <f>SUMIFS(Database!$G:$G,Database!$D:$D,"Import",Database!$E:$E,$B104,Database!$C:$C,CE$1,Database!$F:$F,"Total")</f>
        <v>0</v>
      </c>
      <c r="CF104" s="137">
        <f>SUMIFS(Database!$G:$G,Database!$D:$D,"Import",Database!$E:$E,$B104,Database!$C:$C,CF$1,Database!$F:$F,"Total")</f>
        <v>0</v>
      </c>
      <c r="CG104" s="137">
        <f>SUMIFS(Database!$G:$G,Database!$D:$D,"Import",Database!$E:$E,$B104,Database!$C:$C,CG$1,Database!$F:$F,"Total")</f>
        <v>0</v>
      </c>
      <c r="CH104" s="137">
        <f>SUMIFS(Database!$G:$G,Database!$D:$D,"Import",Database!$E:$E,$B104,Database!$C:$C,CH$1,Database!$F:$F,"Total")</f>
        <v>0</v>
      </c>
      <c r="CI104" s="137">
        <f>SUMIFS(Database!$G:$G,Database!$D:$D,"Import",Database!$E:$E,$B104,Database!$C:$C,CI$1,Database!$F:$F,"Total")</f>
        <v>0</v>
      </c>
      <c r="CJ104" s="137">
        <f>SUMIFS(Database!$G:$G,Database!$D:$D,"Import",Database!$E:$E,$B104,Database!$C:$C,CJ$1,Database!$F:$F,"Total")</f>
        <v>0</v>
      </c>
      <c r="CK104" s="137">
        <f>SUMIFS(Database!$G:$G,Database!$D:$D,"Import",Database!$E:$E,$B104,Database!$C:$C,CK$1,Database!$F:$F,"Total")</f>
        <v>0</v>
      </c>
      <c r="CL104" s="137">
        <f>SUMIFS(Database!$G:$G,Database!$D:$D,"Import",Database!$E:$E,$B104,Database!$C:$C,CL$1,Database!$F:$F,"Total")</f>
        <v>0</v>
      </c>
      <c r="CM104" s="137">
        <f>SUMIFS(Database!$G:$G,Database!$D:$D,"Import",Database!$E:$E,$B104,Database!$C:$C,CM$1,Database!$F:$F,"Total")</f>
        <v>0</v>
      </c>
      <c r="CN104" s="137">
        <f>SUMIFS(Database!$G:$G,Database!$D:$D,"Import",Database!$E:$E,$B104,Database!$C:$C,CN$1,Database!$F:$F,"Total")</f>
        <v>0</v>
      </c>
      <c r="CO104" s="137">
        <f>SUMIFS(Database!$G:$G,Database!$D:$D,"Import",Database!$E:$E,$B104,Database!$C:$C,CO$1,Database!$F:$F,"Total")</f>
        <v>0</v>
      </c>
      <c r="CP104" s="137">
        <f>SUMIFS(Database!$G:$G,Database!$D:$D,"Import",Database!$E:$E,$B104,Database!$C:$C,CP$1,Database!$F:$F,"Total")</f>
        <v>0</v>
      </c>
      <c r="CQ104" s="137">
        <f>SUMIFS(Database!$G:$G,Database!$D:$D,"Import",Database!$E:$E,$B104,Database!$C:$C,CQ$1,Database!$F:$F,"Total")</f>
        <v>0</v>
      </c>
      <c r="CR104" s="137">
        <f>SUMIFS(Database!$G:$G,Database!$D:$D,"Import",Database!$E:$E,$B104,Database!$C:$C,CR$1,Database!$F:$F,"Total")</f>
        <v>0</v>
      </c>
      <c r="CS104" s="137">
        <f>SUMIFS(Database!$G:$G,Database!$D:$D,"Import",Database!$E:$E,$B104,Database!$C:$C,CS$1,Database!$F:$F,"Total")</f>
        <v>0</v>
      </c>
      <c r="CT104" s="137">
        <f>SUMIFS(Database!$G:$G,Database!$D:$D,"Import",Database!$E:$E,$B104,Database!$C:$C,CT$1,Database!$F:$F,"Total")</f>
        <v>0</v>
      </c>
      <c r="CU104" s="137">
        <f>SUMIFS(Database!$G:$G,Database!$D:$D,"Import",Database!$E:$E,$B104,Database!$C:$C,CU$1,Database!$F:$F,"Total")</f>
        <v>0</v>
      </c>
    </row>
    <row r="105" spans="1:99" x14ac:dyDescent="0.25">
      <c r="A105" s="132" t="s">
        <v>484</v>
      </c>
      <c r="B105" s="133" t="s">
        <v>328</v>
      </c>
      <c r="C105" s="137">
        <f>SUMIFS(Database!$G:$G,Database!$D:$D,"Import",Database!$E:$E,$B105,Database!$C:$C,C$1,Database!$F:$F,"Total")</f>
        <v>0</v>
      </c>
      <c r="D105" s="137">
        <f>SUMIFS(Database!$G:$G,Database!$D:$D,"Import",Database!$E:$E,$B105,Database!$C:$C,D$1,Database!$F:$F,"Total")</f>
        <v>0</v>
      </c>
      <c r="E105" s="137">
        <f>SUMIFS(Database!$G:$G,Database!$D:$D,"Import",Database!$E:$E,$B105,Database!$C:$C,E$1,Database!$F:$F,"Total")</f>
        <v>0</v>
      </c>
      <c r="F105" s="137">
        <f>SUMIFS(Database!$G:$G,Database!$D:$D,"Import",Database!$E:$E,$B105,Database!$C:$C,F$1,Database!$F:$F,"Total")</f>
        <v>0</v>
      </c>
      <c r="G105" s="137">
        <f>SUMIFS(Database!$G:$G,Database!$D:$D,"Import",Database!$E:$E,$B105,Database!$C:$C,G$1,Database!$F:$F,"Total")</f>
        <v>0</v>
      </c>
      <c r="H105" s="137">
        <f>SUMIFS(Database!$G:$G,Database!$D:$D,"Import",Database!$E:$E,$B105,Database!$C:$C,H$1,Database!$F:$F,"Total")</f>
        <v>0</v>
      </c>
      <c r="I105" s="137">
        <f>SUMIFS(Database!$G:$G,Database!$D:$D,"Import",Database!$E:$E,$B105,Database!$C:$C,I$1,Database!$F:$F,"Total")</f>
        <v>0</v>
      </c>
      <c r="J105" s="137">
        <f>SUMIFS(Database!$G:$G,Database!$D:$D,"Import",Database!$E:$E,$B105,Database!$C:$C,J$1,Database!$F:$F,"Total")</f>
        <v>0</v>
      </c>
      <c r="K105" s="137">
        <f>SUMIFS(Database!$G:$G,Database!$D:$D,"Import",Database!$E:$E,$B105,Database!$C:$C,K$1,Database!$F:$F,"Total")</f>
        <v>0</v>
      </c>
      <c r="L105" s="137">
        <f>SUMIFS(Database!$G:$G,Database!$D:$D,"Import",Database!$E:$E,$B105,Database!$C:$C,L$1,Database!$F:$F,"Total")</f>
        <v>0</v>
      </c>
      <c r="M105" s="137">
        <f>SUMIFS(Database!$G:$G,Database!$D:$D,"Import",Database!$E:$E,$B105,Database!$C:$C,M$1,Database!$F:$F,"Total")</f>
        <v>0</v>
      </c>
      <c r="N105" s="137">
        <f>SUMIFS(Database!$G:$G,Database!$D:$D,"Import",Database!$E:$E,$B105,Database!$C:$C,N$1,Database!$F:$F,"Total")</f>
        <v>0</v>
      </c>
      <c r="O105" s="137">
        <f>SUMIFS(Database!$G:$G,Database!$D:$D,"Import",Database!$E:$E,$B105,Database!$C:$C,O$1,Database!$F:$F,"Total")</f>
        <v>0</v>
      </c>
      <c r="P105" s="137">
        <f>SUMIFS(Database!$G:$G,Database!$D:$D,"Import",Database!$E:$E,$B105,Database!$C:$C,P$1,Database!$F:$F,"Total")</f>
        <v>0</v>
      </c>
      <c r="Q105" s="137">
        <f>SUMIFS(Database!$G:$G,Database!$D:$D,"Import",Database!$E:$E,$B105,Database!$C:$C,Q$1,Database!$F:$F,"Total")</f>
        <v>0</v>
      </c>
      <c r="R105" s="137">
        <f>SUMIFS(Database!$G:$G,Database!$D:$D,"Import",Database!$E:$E,$B105,Database!$C:$C,R$1,Database!$F:$F,"Total")</f>
        <v>0</v>
      </c>
      <c r="S105" s="137">
        <f>SUMIFS(Database!$G:$G,Database!$D:$D,"Import",Database!$E:$E,$B105,Database!$C:$C,S$1,Database!$F:$F,"Total")</f>
        <v>0</v>
      </c>
      <c r="T105" s="137">
        <f>SUMIFS(Database!$G:$G,Database!$D:$D,"Import",Database!$E:$E,$B105,Database!$C:$C,T$1,Database!$F:$F,"Total")</f>
        <v>0</v>
      </c>
      <c r="U105" s="137">
        <f>SUMIFS(Database!$G:$G,Database!$D:$D,"Import",Database!$E:$E,$B105,Database!$C:$C,U$1,Database!$F:$F,"Total")</f>
        <v>0</v>
      </c>
      <c r="V105" s="137">
        <f>SUMIFS(Database!$G:$G,Database!$D:$D,"Import",Database!$E:$E,$B105,Database!$C:$C,V$1,Database!$F:$F,"Total")</f>
        <v>0</v>
      </c>
      <c r="W105" s="137">
        <f>SUMIFS(Database!$G:$G,Database!$D:$D,"Import",Database!$E:$E,$B105,Database!$C:$C,W$1,Database!$F:$F,"Total")</f>
        <v>0</v>
      </c>
      <c r="X105" s="137">
        <f>SUMIFS(Database!$G:$G,Database!$D:$D,"Import",Database!$E:$E,$B105,Database!$C:$C,X$1,Database!$F:$F,"Total")</f>
        <v>0</v>
      </c>
      <c r="Y105" s="137">
        <f>SUMIFS(Database!$G:$G,Database!$D:$D,"Import",Database!$E:$E,$B105,Database!$C:$C,Y$1,Database!$F:$F,"Total")</f>
        <v>0</v>
      </c>
      <c r="Z105" s="137">
        <f>SUMIFS(Database!$G:$G,Database!$D:$D,"Import",Database!$E:$E,$B105,Database!$C:$C,Z$1,Database!$F:$F,"Total")</f>
        <v>0</v>
      </c>
      <c r="AA105" s="137">
        <f>SUMIFS(Database!$G:$G,Database!$D:$D,"Import",Database!$E:$E,$B105,Database!$C:$C,AA$1,Database!$F:$F,"Total")</f>
        <v>0</v>
      </c>
      <c r="AB105" s="137">
        <f>SUMIFS(Database!$G:$G,Database!$D:$D,"Import",Database!$E:$E,$B105,Database!$C:$C,AB$1,Database!$F:$F,"Total")</f>
        <v>0</v>
      </c>
      <c r="AC105" s="137">
        <f>SUMIFS(Database!$G:$G,Database!$D:$D,"Import",Database!$E:$E,$B105,Database!$C:$C,AC$1,Database!$F:$F,"Total")</f>
        <v>0</v>
      </c>
      <c r="AD105" s="137">
        <f>SUMIFS(Database!$G:$G,Database!$D:$D,"Import",Database!$E:$E,$B105,Database!$C:$C,AD$1,Database!$F:$F,"Total")</f>
        <v>0</v>
      </c>
      <c r="AE105" s="137">
        <f>SUMIFS(Database!$G:$G,Database!$D:$D,"Import",Database!$E:$E,$B105,Database!$C:$C,AE$1,Database!$F:$F,"Total")</f>
        <v>0</v>
      </c>
      <c r="AF105" s="137">
        <f>SUMIFS(Database!$G:$G,Database!$D:$D,"Import",Database!$E:$E,$B105,Database!$C:$C,AF$1,Database!$F:$F,"Total")</f>
        <v>0</v>
      </c>
      <c r="AG105" s="137">
        <f>SUMIFS(Database!$G:$G,Database!$D:$D,"Import",Database!$E:$E,$B105,Database!$C:$C,AG$1,Database!$F:$F,"Total")</f>
        <v>0</v>
      </c>
      <c r="AH105" s="137">
        <f>SUMIFS(Database!$G:$G,Database!$D:$D,"Import",Database!$E:$E,$B105,Database!$C:$C,AH$1,Database!$F:$F,"Total")</f>
        <v>0</v>
      </c>
      <c r="AI105" s="137">
        <f>SUMIFS(Database!$G:$G,Database!$D:$D,"Import",Database!$E:$E,$B105,Database!$C:$C,AI$1,Database!$F:$F,"Total")</f>
        <v>0</v>
      </c>
      <c r="AJ105" s="137">
        <f>SUMIFS(Database!$G:$G,Database!$D:$D,"Import",Database!$E:$E,$B105,Database!$C:$C,AJ$1,Database!$F:$F,"Total")</f>
        <v>0</v>
      </c>
      <c r="AK105" s="137">
        <f>SUMIFS(Database!$G:$G,Database!$D:$D,"Import",Database!$E:$E,$B105,Database!$C:$C,AK$1,Database!$F:$F,"Total")</f>
        <v>0</v>
      </c>
      <c r="AL105" s="137">
        <f>SUMIFS(Database!$G:$G,Database!$D:$D,"Import",Database!$E:$E,$B105,Database!$C:$C,AL$1,Database!$F:$F,"Total")</f>
        <v>93</v>
      </c>
      <c r="AM105" s="137">
        <f>SUMIFS(Database!$G:$G,Database!$D:$D,"Import",Database!$E:$E,$B105,Database!$C:$C,AM$1,Database!$F:$F,"Total")</f>
        <v>0</v>
      </c>
      <c r="AN105" s="137">
        <f>SUMIFS(Database!$G:$G,Database!$D:$D,"Import",Database!$E:$E,$B105,Database!$C:$C,AN$1,Database!$F:$F,"Total")</f>
        <v>0</v>
      </c>
      <c r="AO105" s="137">
        <f>SUMIFS(Database!$G:$G,Database!$D:$D,"Import",Database!$E:$E,$B105,Database!$C:$C,AO$1,Database!$F:$F,"Total")</f>
        <v>0</v>
      </c>
      <c r="AP105" s="137">
        <f>SUMIFS(Database!$G:$G,Database!$D:$D,"Import",Database!$E:$E,$B105,Database!$C:$C,AP$1,Database!$F:$F,"Total")</f>
        <v>0</v>
      </c>
      <c r="AQ105" s="137">
        <f>SUMIFS(Database!$G:$G,Database!$D:$D,"Import",Database!$E:$E,$B105,Database!$C:$C,AQ$1,Database!$F:$F,"Total")</f>
        <v>0</v>
      </c>
      <c r="AR105" s="137">
        <f>SUMIFS(Database!$G:$G,Database!$D:$D,"Import",Database!$E:$E,$B105,Database!$C:$C,AR$1,Database!$F:$F,"Total")</f>
        <v>0</v>
      </c>
      <c r="AS105" s="137">
        <f>SUMIFS(Database!$G:$G,Database!$D:$D,"Import",Database!$E:$E,$B105,Database!$C:$C,AS$1,Database!$F:$F,"Total")</f>
        <v>0</v>
      </c>
      <c r="AT105" s="137">
        <f>SUMIFS(Database!$G:$G,Database!$D:$D,"Import",Database!$E:$E,$B105,Database!$C:$C,AT$1,Database!$F:$F,"Total")</f>
        <v>0</v>
      </c>
      <c r="AU105" s="137">
        <f>SUMIFS(Database!$G:$G,Database!$D:$D,"Import",Database!$E:$E,$B105,Database!$C:$C,AU$1,Database!$F:$F,"Total")</f>
        <v>0</v>
      </c>
      <c r="AV105" s="137">
        <f>SUMIFS(Database!$G:$G,Database!$D:$D,"Import",Database!$E:$E,$B105,Database!$C:$C,AV$1,Database!$F:$F,"Total")</f>
        <v>0</v>
      </c>
      <c r="AW105" s="137">
        <f>SUMIFS(Database!$G:$G,Database!$D:$D,"Import",Database!$E:$E,$B105,Database!$C:$C,AW$1,Database!$F:$F,"Total")</f>
        <v>0</v>
      </c>
      <c r="AX105" s="137">
        <f>SUMIFS(Database!$G:$G,Database!$D:$D,"Import",Database!$E:$E,$B105,Database!$C:$C,AX$1,Database!$F:$F,"Total")</f>
        <v>0</v>
      </c>
      <c r="AY105" s="137">
        <f>SUMIFS(Database!$G:$G,Database!$D:$D,"Import",Database!$E:$E,$B105,Database!$C:$C,AY$1,Database!$F:$F,"Total")</f>
        <v>0</v>
      </c>
      <c r="AZ105" s="137">
        <f>SUMIFS(Database!$G:$G,Database!$D:$D,"Import",Database!$E:$E,$B105,Database!$C:$C,AZ$1,Database!$F:$F,"Total")</f>
        <v>0</v>
      </c>
      <c r="BA105" s="137">
        <f>SUMIFS(Database!$G:$G,Database!$D:$D,"Import",Database!$E:$E,$B105,Database!$C:$C,BA$1,Database!$F:$F,"Total")</f>
        <v>0</v>
      </c>
      <c r="BB105" s="137">
        <f>SUMIFS(Database!$G:$G,Database!$D:$D,"Import",Database!$E:$E,$B105,Database!$C:$C,BB$1,Database!$F:$F,"Total")</f>
        <v>0</v>
      </c>
      <c r="BC105" s="137">
        <f>SUMIFS(Database!$G:$G,Database!$D:$D,"Import",Database!$E:$E,$B105,Database!$C:$C,BC$1,Database!$F:$F,"Total")</f>
        <v>0</v>
      </c>
      <c r="BD105" s="137">
        <f>SUMIFS(Database!$G:$G,Database!$D:$D,"Import",Database!$E:$E,$B105,Database!$C:$C,BD$1,Database!$F:$F,"Total")</f>
        <v>0</v>
      </c>
      <c r="BE105" s="137">
        <f>SUMIFS(Database!$G:$G,Database!$D:$D,"Import",Database!$E:$E,$B105,Database!$C:$C,BE$1,Database!$F:$F,"Total")</f>
        <v>0</v>
      </c>
      <c r="BF105" s="137">
        <f>SUMIFS(Database!$G:$G,Database!$D:$D,"Import",Database!$E:$E,$B105,Database!$C:$C,BF$1,Database!$F:$F,"Total")</f>
        <v>0</v>
      </c>
      <c r="BG105" s="137">
        <f>SUMIFS(Database!$G:$G,Database!$D:$D,"Import",Database!$E:$E,$B105,Database!$C:$C,BG$1,Database!$F:$F,"Total")</f>
        <v>0</v>
      </c>
      <c r="BH105" s="137">
        <f>SUMIFS(Database!$G:$G,Database!$D:$D,"Import",Database!$E:$E,$B105,Database!$C:$C,BH$1,Database!$F:$F,"Total")</f>
        <v>0</v>
      </c>
      <c r="BI105" s="137">
        <f>SUMIFS(Database!$G:$G,Database!$D:$D,"Import",Database!$E:$E,$B105,Database!$C:$C,BI$1,Database!$F:$F,"Total")</f>
        <v>0</v>
      </c>
      <c r="BJ105" s="137">
        <f>SUMIFS(Database!$G:$G,Database!$D:$D,"Import",Database!$E:$E,$B105,Database!$C:$C,BJ$1,Database!$F:$F,"Total")</f>
        <v>0</v>
      </c>
      <c r="BK105" s="137">
        <f>SUMIFS(Database!$G:$G,Database!$D:$D,"Import",Database!$E:$E,$B105,Database!$C:$C,BK$1,Database!$F:$F,"Total")</f>
        <v>0</v>
      </c>
      <c r="BL105" s="137">
        <f>SUMIFS(Database!$G:$G,Database!$D:$D,"Import",Database!$E:$E,$B105,Database!$C:$C,BL$1,Database!$F:$F,"Total")</f>
        <v>0</v>
      </c>
      <c r="BM105" s="137">
        <f>SUMIFS(Database!$G:$G,Database!$D:$D,"Import",Database!$E:$E,$B105,Database!$C:$C,BM$1,Database!$F:$F,"Total")</f>
        <v>0</v>
      </c>
      <c r="BN105" s="137">
        <f>SUMIFS(Database!$G:$G,Database!$D:$D,"Import",Database!$E:$E,$B105,Database!$C:$C,BN$1,Database!$F:$F,"Total")</f>
        <v>0</v>
      </c>
      <c r="BO105" s="137">
        <f>SUMIFS(Database!$G:$G,Database!$D:$D,"Import",Database!$E:$E,$B105,Database!$C:$C,BO$1,Database!$F:$F,"Total")</f>
        <v>0</v>
      </c>
      <c r="BP105" s="137">
        <f>SUMIFS(Database!$G:$G,Database!$D:$D,"Import",Database!$E:$E,$B105,Database!$C:$C,BP$1,Database!$F:$F,"Total")</f>
        <v>0</v>
      </c>
      <c r="BQ105" s="137">
        <f>SUMIFS(Database!$G:$G,Database!$D:$D,"Import",Database!$E:$E,$B105,Database!$C:$C,BQ$1,Database!$F:$F,"Total")</f>
        <v>0</v>
      </c>
      <c r="BR105" s="137">
        <f>SUMIFS(Database!$G:$G,Database!$D:$D,"Import",Database!$E:$E,$B105,Database!$C:$C,BR$1,Database!$F:$F,"Total")</f>
        <v>0</v>
      </c>
      <c r="BS105" s="137">
        <f>SUMIFS(Database!$G:$G,Database!$D:$D,"Import",Database!$E:$E,$B105,Database!$C:$C,BS$1,Database!$F:$F,"Total")</f>
        <v>0</v>
      </c>
      <c r="BT105" s="137">
        <f>SUMIFS(Database!$G:$G,Database!$D:$D,"Import",Database!$E:$E,$B105,Database!$C:$C,BT$1,Database!$F:$F,"Total")</f>
        <v>0</v>
      </c>
      <c r="BU105" s="137">
        <f>SUMIFS(Database!$G:$G,Database!$D:$D,"Import",Database!$E:$E,$B105,Database!$C:$C,BU$1,Database!$F:$F,"Total")</f>
        <v>0</v>
      </c>
      <c r="BV105" s="137">
        <f>SUMIFS(Database!$G:$G,Database!$D:$D,"Import",Database!$E:$E,$B105,Database!$C:$C,BV$1,Database!$F:$F,"Total")</f>
        <v>0</v>
      </c>
      <c r="BW105" s="137">
        <f>SUMIFS(Database!$G:$G,Database!$D:$D,"Import",Database!$E:$E,$B105,Database!$C:$C,BW$1,Database!$F:$F,"Total")</f>
        <v>0</v>
      </c>
      <c r="BX105" s="137">
        <f>SUMIFS(Database!$G:$G,Database!$D:$D,"Import",Database!$E:$E,$B105,Database!$C:$C,BX$1,Database!$F:$F,"Total")</f>
        <v>0</v>
      </c>
      <c r="BY105" s="137">
        <f>SUMIFS(Database!$G:$G,Database!$D:$D,"Import",Database!$E:$E,$B105,Database!$C:$C,BY$1,Database!$F:$F,"Total")</f>
        <v>0</v>
      </c>
      <c r="BZ105" s="137">
        <f>SUMIFS(Database!$G:$G,Database!$D:$D,"Import",Database!$E:$E,$B105,Database!$C:$C,BZ$1,Database!$F:$F,"Total")</f>
        <v>0</v>
      </c>
      <c r="CA105" s="137">
        <f>SUMIFS(Database!$G:$G,Database!$D:$D,"Import",Database!$E:$E,$B105,Database!$C:$C,CA$1,Database!$F:$F,"Total")</f>
        <v>0</v>
      </c>
      <c r="CB105" s="137">
        <f>SUMIFS(Database!$G:$G,Database!$D:$D,"Import",Database!$E:$E,$B105,Database!$C:$C,CB$1,Database!$F:$F,"Total")</f>
        <v>0</v>
      </c>
      <c r="CC105" s="137">
        <f>SUMIFS(Database!$G:$G,Database!$D:$D,"Import",Database!$E:$E,$B105,Database!$C:$C,CC$1,Database!$F:$F,"Total")</f>
        <v>0</v>
      </c>
      <c r="CD105" s="137">
        <f>SUMIFS(Database!$G:$G,Database!$D:$D,"Import",Database!$E:$E,$B105,Database!$C:$C,CD$1,Database!$F:$F,"Total")</f>
        <v>0</v>
      </c>
      <c r="CE105" s="137">
        <f>SUMIFS(Database!$G:$G,Database!$D:$D,"Import",Database!$E:$E,$B105,Database!$C:$C,CE$1,Database!$F:$F,"Total")</f>
        <v>0</v>
      </c>
      <c r="CF105" s="137">
        <f>SUMIFS(Database!$G:$G,Database!$D:$D,"Import",Database!$E:$E,$B105,Database!$C:$C,CF$1,Database!$F:$F,"Total")</f>
        <v>0</v>
      </c>
      <c r="CG105" s="137">
        <f>SUMIFS(Database!$G:$G,Database!$D:$D,"Import",Database!$E:$E,$B105,Database!$C:$C,CG$1,Database!$F:$F,"Total")</f>
        <v>0</v>
      </c>
      <c r="CH105" s="137">
        <f>SUMIFS(Database!$G:$G,Database!$D:$D,"Import",Database!$E:$E,$B105,Database!$C:$C,CH$1,Database!$F:$F,"Total")</f>
        <v>0</v>
      </c>
      <c r="CI105" s="137">
        <f>SUMIFS(Database!$G:$G,Database!$D:$D,"Import",Database!$E:$E,$B105,Database!$C:$C,CI$1,Database!$F:$F,"Total")</f>
        <v>0</v>
      </c>
      <c r="CJ105" s="137">
        <f>SUMIFS(Database!$G:$G,Database!$D:$D,"Import",Database!$E:$E,$B105,Database!$C:$C,CJ$1,Database!$F:$F,"Total")</f>
        <v>0</v>
      </c>
      <c r="CK105" s="137">
        <f>SUMIFS(Database!$G:$G,Database!$D:$D,"Import",Database!$E:$E,$B105,Database!$C:$C,CK$1,Database!$F:$F,"Total")</f>
        <v>0</v>
      </c>
      <c r="CL105" s="137">
        <f>SUMIFS(Database!$G:$G,Database!$D:$D,"Import",Database!$E:$E,$B105,Database!$C:$C,CL$1,Database!$F:$F,"Total")</f>
        <v>0</v>
      </c>
      <c r="CM105" s="137">
        <f>SUMIFS(Database!$G:$G,Database!$D:$D,"Import",Database!$E:$E,$B105,Database!$C:$C,CM$1,Database!$F:$F,"Total")</f>
        <v>0</v>
      </c>
      <c r="CN105" s="137">
        <f>SUMIFS(Database!$G:$G,Database!$D:$D,"Import",Database!$E:$E,$B105,Database!$C:$C,CN$1,Database!$F:$F,"Total")</f>
        <v>0</v>
      </c>
      <c r="CO105" s="137">
        <f>SUMIFS(Database!$G:$G,Database!$D:$D,"Import",Database!$E:$E,$B105,Database!$C:$C,CO$1,Database!$F:$F,"Total")</f>
        <v>0</v>
      </c>
      <c r="CP105" s="137">
        <f>SUMIFS(Database!$G:$G,Database!$D:$D,"Import",Database!$E:$E,$B105,Database!$C:$C,CP$1,Database!$F:$F,"Total")</f>
        <v>0</v>
      </c>
      <c r="CQ105" s="137">
        <f>SUMIFS(Database!$G:$G,Database!$D:$D,"Import",Database!$E:$E,$B105,Database!$C:$C,CQ$1,Database!$F:$F,"Total")</f>
        <v>0</v>
      </c>
      <c r="CR105" s="137">
        <f>SUMIFS(Database!$G:$G,Database!$D:$D,"Import",Database!$E:$E,$B105,Database!$C:$C,CR$1,Database!$F:$F,"Total")</f>
        <v>0</v>
      </c>
      <c r="CS105" s="137">
        <f>SUMIFS(Database!$G:$G,Database!$D:$D,"Import",Database!$E:$E,$B105,Database!$C:$C,CS$1,Database!$F:$F,"Total")</f>
        <v>0</v>
      </c>
      <c r="CT105" s="137">
        <f>SUMIFS(Database!$G:$G,Database!$D:$D,"Import",Database!$E:$E,$B105,Database!$C:$C,CT$1,Database!$F:$F,"Total")</f>
        <v>0</v>
      </c>
      <c r="CU105" s="137">
        <f>SUMIFS(Database!$G:$G,Database!$D:$D,"Import",Database!$E:$E,$B105,Database!$C:$C,CU$1,Database!$F:$F,"Total")</f>
        <v>0</v>
      </c>
    </row>
    <row r="106" spans="1:99" x14ac:dyDescent="0.25">
      <c r="A106" s="132" t="s">
        <v>484</v>
      </c>
      <c r="B106" s="133" t="s">
        <v>111</v>
      </c>
      <c r="C106" s="137">
        <f>SUMIFS(Database!$G:$G,Database!$D:$D,"Import",Database!$E:$E,$B106,Database!$C:$C,C$1,Database!$F:$F,"Total")</f>
        <v>0</v>
      </c>
      <c r="D106" s="137">
        <f>SUMIFS(Database!$G:$G,Database!$D:$D,"Import",Database!$E:$E,$B106,Database!$C:$C,D$1,Database!$F:$F,"Total")</f>
        <v>0</v>
      </c>
      <c r="E106" s="137">
        <f>SUMIFS(Database!$G:$G,Database!$D:$D,"Import",Database!$E:$E,$B106,Database!$C:$C,E$1,Database!$F:$F,"Total")</f>
        <v>0</v>
      </c>
      <c r="F106" s="137">
        <f>SUMIFS(Database!$G:$G,Database!$D:$D,"Import",Database!$E:$E,$B106,Database!$C:$C,F$1,Database!$F:$F,"Total")</f>
        <v>0</v>
      </c>
      <c r="G106" s="137">
        <f>SUMIFS(Database!$G:$G,Database!$D:$D,"Import",Database!$E:$E,$B106,Database!$C:$C,G$1,Database!$F:$F,"Total")</f>
        <v>0</v>
      </c>
      <c r="H106" s="137">
        <f>SUMIFS(Database!$G:$G,Database!$D:$D,"Import",Database!$E:$E,$B106,Database!$C:$C,H$1,Database!$F:$F,"Total")</f>
        <v>0</v>
      </c>
      <c r="I106" s="137">
        <f>SUMIFS(Database!$G:$G,Database!$D:$D,"Import",Database!$E:$E,$B106,Database!$C:$C,I$1,Database!$F:$F,"Total")</f>
        <v>0</v>
      </c>
      <c r="J106" s="137">
        <f>SUMIFS(Database!$G:$G,Database!$D:$D,"Import",Database!$E:$E,$B106,Database!$C:$C,J$1,Database!$F:$F,"Total")</f>
        <v>0</v>
      </c>
      <c r="K106" s="137">
        <f>SUMIFS(Database!$G:$G,Database!$D:$D,"Import",Database!$E:$E,$B106,Database!$C:$C,K$1,Database!$F:$F,"Total")</f>
        <v>0</v>
      </c>
      <c r="L106" s="137">
        <f>SUMIFS(Database!$G:$G,Database!$D:$D,"Import",Database!$E:$E,$B106,Database!$C:$C,L$1,Database!$F:$F,"Total")</f>
        <v>0</v>
      </c>
      <c r="M106" s="137">
        <f>SUMIFS(Database!$G:$G,Database!$D:$D,"Import",Database!$E:$E,$B106,Database!$C:$C,M$1,Database!$F:$F,"Total")</f>
        <v>0</v>
      </c>
      <c r="N106" s="137">
        <f>SUMIFS(Database!$G:$G,Database!$D:$D,"Import",Database!$E:$E,$B106,Database!$C:$C,N$1,Database!$F:$F,"Total")</f>
        <v>0</v>
      </c>
      <c r="O106" s="137">
        <f>SUMIFS(Database!$G:$G,Database!$D:$D,"Import",Database!$E:$E,$B106,Database!$C:$C,O$1,Database!$F:$F,"Total")</f>
        <v>0</v>
      </c>
      <c r="P106" s="137">
        <f>SUMIFS(Database!$G:$G,Database!$D:$D,"Import",Database!$E:$E,$B106,Database!$C:$C,P$1,Database!$F:$F,"Total")</f>
        <v>0</v>
      </c>
      <c r="Q106" s="137">
        <f>SUMIFS(Database!$G:$G,Database!$D:$D,"Import",Database!$E:$E,$B106,Database!$C:$C,Q$1,Database!$F:$F,"Total")</f>
        <v>0</v>
      </c>
      <c r="R106" s="137">
        <f>SUMIFS(Database!$G:$G,Database!$D:$D,"Import",Database!$E:$E,$B106,Database!$C:$C,R$1,Database!$F:$F,"Total")</f>
        <v>0</v>
      </c>
      <c r="S106" s="137">
        <f>SUMIFS(Database!$G:$G,Database!$D:$D,"Import",Database!$E:$E,$B106,Database!$C:$C,S$1,Database!$F:$F,"Total")</f>
        <v>0</v>
      </c>
      <c r="T106" s="137">
        <f>SUMIFS(Database!$G:$G,Database!$D:$D,"Import",Database!$E:$E,$B106,Database!$C:$C,T$1,Database!$F:$F,"Total")</f>
        <v>0</v>
      </c>
      <c r="U106" s="137">
        <f>SUMIFS(Database!$G:$G,Database!$D:$D,"Import",Database!$E:$E,$B106,Database!$C:$C,U$1,Database!$F:$F,"Total")</f>
        <v>0</v>
      </c>
      <c r="V106" s="137">
        <f>SUMIFS(Database!$G:$G,Database!$D:$D,"Import",Database!$E:$E,$B106,Database!$C:$C,V$1,Database!$F:$F,"Total")</f>
        <v>0</v>
      </c>
      <c r="W106" s="137">
        <f>SUMIFS(Database!$G:$G,Database!$D:$D,"Import",Database!$E:$E,$B106,Database!$C:$C,W$1,Database!$F:$F,"Total")</f>
        <v>0</v>
      </c>
      <c r="X106" s="137">
        <f>SUMIFS(Database!$G:$G,Database!$D:$D,"Import",Database!$E:$E,$B106,Database!$C:$C,X$1,Database!$F:$F,"Total")</f>
        <v>0</v>
      </c>
      <c r="Y106" s="137">
        <f>SUMIFS(Database!$G:$G,Database!$D:$D,"Import",Database!$E:$E,$B106,Database!$C:$C,Y$1,Database!$F:$F,"Total")</f>
        <v>0</v>
      </c>
      <c r="Z106" s="137">
        <f>SUMIFS(Database!$G:$G,Database!$D:$D,"Import",Database!$E:$E,$B106,Database!$C:$C,Z$1,Database!$F:$F,"Total")</f>
        <v>0</v>
      </c>
      <c r="AA106" s="137">
        <f>SUMIFS(Database!$G:$G,Database!$D:$D,"Import",Database!$E:$E,$B106,Database!$C:$C,AA$1,Database!$F:$F,"Total")</f>
        <v>0</v>
      </c>
      <c r="AB106" s="137">
        <f>SUMIFS(Database!$G:$G,Database!$D:$D,"Import",Database!$E:$E,$B106,Database!$C:$C,AB$1,Database!$F:$F,"Total")</f>
        <v>0</v>
      </c>
      <c r="AC106" s="137">
        <f>SUMIFS(Database!$G:$G,Database!$D:$D,"Import",Database!$E:$E,$B106,Database!$C:$C,AC$1,Database!$F:$F,"Total")</f>
        <v>0</v>
      </c>
      <c r="AD106" s="137">
        <f>SUMIFS(Database!$G:$G,Database!$D:$D,"Import",Database!$E:$E,$B106,Database!$C:$C,AD$1,Database!$F:$F,"Total")</f>
        <v>0</v>
      </c>
      <c r="AE106" s="137">
        <f>SUMIFS(Database!$G:$G,Database!$D:$D,"Import",Database!$E:$E,$B106,Database!$C:$C,AE$1,Database!$F:$F,"Total")</f>
        <v>0</v>
      </c>
      <c r="AF106" s="137">
        <f>SUMIFS(Database!$G:$G,Database!$D:$D,"Import",Database!$E:$E,$B106,Database!$C:$C,AF$1,Database!$F:$F,"Total")</f>
        <v>0</v>
      </c>
      <c r="AG106" s="137">
        <f>SUMIFS(Database!$G:$G,Database!$D:$D,"Import",Database!$E:$E,$B106,Database!$C:$C,AG$1,Database!$F:$F,"Total")</f>
        <v>0</v>
      </c>
      <c r="AH106" s="137">
        <f>SUMIFS(Database!$G:$G,Database!$D:$D,"Import",Database!$E:$E,$B106,Database!$C:$C,AH$1,Database!$F:$F,"Total")</f>
        <v>0</v>
      </c>
      <c r="AI106" s="137">
        <f>SUMIFS(Database!$G:$G,Database!$D:$D,"Import",Database!$E:$E,$B106,Database!$C:$C,AI$1,Database!$F:$F,"Total")</f>
        <v>0</v>
      </c>
      <c r="AJ106" s="137">
        <f>SUMIFS(Database!$G:$G,Database!$D:$D,"Import",Database!$E:$E,$B106,Database!$C:$C,AJ$1,Database!$F:$F,"Total")</f>
        <v>0</v>
      </c>
      <c r="AK106" s="137">
        <f>SUMIFS(Database!$G:$G,Database!$D:$D,"Import",Database!$E:$E,$B106,Database!$C:$C,AK$1,Database!$F:$F,"Total")</f>
        <v>0</v>
      </c>
      <c r="AL106" s="137">
        <f>SUMIFS(Database!$G:$G,Database!$D:$D,"Import",Database!$E:$E,$B106,Database!$C:$C,AL$1,Database!$F:$F,"Total")</f>
        <v>0</v>
      </c>
      <c r="AM106" s="137">
        <f>SUMIFS(Database!$G:$G,Database!$D:$D,"Import",Database!$E:$E,$B106,Database!$C:$C,AM$1,Database!$F:$F,"Total")</f>
        <v>0</v>
      </c>
      <c r="AN106" s="137">
        <f>SUMIFS(Database!$G:$G,Database!$D:$D,"Import",Database!$E:$E,$B106,Database!$C:$C,AN$1,Database!$F:$F,"Total")</f>
        <v>0</v>
      </c>
      <c r="AO106" s="137">
        <f>SUMIFS(Database!$G:$G,Database!$D:$D,"Import",Database!$E:$E,$B106,Database!$C:$C,AO$1,Database!$F:$F,"Total")</f>
        <v>0</v>
      </c>
      <c r="AP106" s="137">
        <f>SUMIFS(Database!$G:$G,Database!$D:$D,"Import",Database!$E:$E,$B106,Database!$C:$C,AP$1,Database!$F:$F,"Total")</f>
        <v>0</v>
      </c>
      <c r="AQ106" s="137">
        <f>SUMIFS(Database!$G:$G,Database!$D:$D,"Import",Database!$E:$E,$B106,Database!$C:$C,AQ$1,Database!$F:$F,"Total")</f>
        <v>0</v>
      </c>
      <c r="AR106" s="137">
        <f>SUMIFS(Database!$G:$G,Database!$D:$D,"Import",Database!$E:$E,$B106,Database!$C:$C,AR$1,Database!$F:$F,"Total")</f>
        <v>0</v>
      </c>
      <c r="AS106" s="137">
        <f>SUMIFS(Database!$G:$G,Database!$D:$D,"Import",Database!$E:$E,$B106,Database!$C:$C,AS$1,Database!$F:$F,"Total")</f>
        <v>0</v>
      </c>
      <c r="AT106" s="137">
        <f>SUMIFS(Database!$G:$G,Database!$D:$D,"Import",Database!$E:$E,$B106,Database!$C:$C,AT$1,Database!$F:$F,"Total")</f>
        <v>0</v>
      </c>
      <c r="AU106" s="137">
        <f>SUMIFS(Database!$G:$G,Database!$D:$D,"Import",Database!$E:$E,$B106,Database!$C:$C,AU$1,Database!$F:$F,"Total")</f>
        <v>0</v>
      </c>
      <c r="AV106" s="137">
        <f>SUMIFS(Database!$G:$G,Database!$D:$D,"Import",Database!$E:$E,$B106,Database!$C:$C,AV$1,Database!$F:$F,"Total")</f>
        <v>0</v>
      </c>
      <c r="AW106" s="137">
        <f>SUMIFS(Database!$G:$G,Database!$D:$D,"Import",Database!$E:$E,$B106,Database!$C:$C,AW$1,Database!$F:$F,"Total")</f>
        <v>0</v>
      </c>
      <c r="AX106" s="137">
        <f>SUMIFS(Database!$G:$G,Database!$D:$D,"Import",Database!$E:$E,$B106,Database!$C:$C,AX$1,Database!$F:$F,"Total")</f>
        <v>0</v>
      </c>
      <c r="AY106" s="137">
        <f>SUMIFS(Database!$G:$G,Database!$D:$D,"Import",Database!$E:$E,$B106,Database!$C:$C,AY$1,Database!$F:$F,"Total")</f>
        <v>0</v>
      </c>
      <c r="AZ106" s="137">
        <f>SUMIFS(Database!$G:$G,Database!$D:$D,"Import",Database!$E:$E,$B106,Database!$C:$C,AZ$1,Database!$F:$F,"Total")</f>
        <v>0</v>
      </c>
      <c r="BA106" s="137">
        <f>SUMIFS(Database!$G:$G,Database!$D:$D,"Import",Database!$E:$E,$B106,Database!$C:$C,BA$1,Database!$F:$F,"Total")</f>
        <v>0</v>
      </c>
      <c r="BB106" s="137">
        <f>SUMIFS(Database!$G:$G,Database!$D:$D,"Import",Database!$E:$E,$B106,Database!$C:$C,BB$1,Database!$F:$F,"Total")</f>
        <v>0</v>
      </c>
      <c r="BC106" s="137">
        <f>SUMIFS(Database!$G:$G,Database!$D:$D,"Import",Database!$E:$E,$B106,Database!$C:$C,BC$1,Database!$F:$F,"Total")</f>
        <v>0</v>
      </c>
      <c r="BD106" s="137">
        <f>SUMIFS(Database!$G:$G,Database!$D:$D,"Import",Database!$E:$E,$B106,Database!$C:$C,BD$1,Database!$F:$F,"Total")</f>
        <v>0</v>
      </c>
      <c r="BE106" s="137">
        <f>SUMIFS(Database!$G:$G,Database!$D:$D,"Import",Database!$E:$E,$B106,Database!$C:$C,BE$1,Database!$F:$F,"Total")</f>
        <v>0</v>
      </c>
      <c r="BF106" s="137">
        <f>SUMIFS(Database!$G:$G,Database!$D:$D,"Import",Database!$E:$E,$B106,Database!$C:$C,BF$1,Database!$F:$F,"Total")</f>
        <v>0</v>
      </c>
      <c r="BG106" s="137">
        <f>SUMIFS(Database!$G:$G,Database!$D:$D,"Import",Database!$E:$E,$B106,Database!$C:$C,BG$1,Database!$F:$F,"Total")</f>
        <v>0</v>
      </c>
      <c r="BH106" s="137">
        <f>SUMIFS(Database!$G:$G,Database!$D:$D,"Import",Database!$E:$E,$B106,Database!$C:$C,BH$1,Database!$F:$F,"Total")</f>
        <v>2003</v>
      </c>
      <c r="BI106" s="137">
        <f>SUMIFS(Database!$G:$G,Database!$D:$D,"Import",Database!$E:$E,$B106,Database!$C:$C,BI$1,Database!$F:$F,"Total")</f>
        <v>0</v>
      </c>
      <c r="BJ106" s="137">
        <f>SUMIFS(Database!$G:$G,Database!$D:$D,"Import",Database!$E:$E,$B106,Database!$C:$C,BJ$1,Database!$F:$F,"Total")</f>
        <v>0</v>
      </c>
      <c r="BK106" s="137">
        <f>SUMIFS(Database!$G:$G,Database!$D:$D,"Import",Database!$E:$E,$B106,Database!$C:$C,BK$1,Database!$F:$F,"Total")</f>
        <v>0</v>
      </c>
      <c r="BL106" s="137">
        <f>SUMIFS(Database!$G:$G,Database!$D:$D,"Import",Database!$E:$E,$B106,Database!$C:$C,BL$1,Database!$F:$F,"Total")</f>
        <v>0</v>
      </c>
      <c r="BM106" s="137">
        <f>SUMIFS(Database!$G:$G,Database!$D:$D,"Import",Database!$E:$E,$B106,Database!$C:$C,BM$1,Database!$F:$F,"Total")</f>
        <v>0</v>
      </c>
      <c r="BN106" s="137">
        <f>SUMIFS(Database!$G:$G,Database!$D:$D,"Import",Database!$E:$E,$B106,Database!$C:$C,BN$1,Database!$F:$F,"Total")</f>
        <v>0</v>
      </c>
      <c r="BO106" s="137">
        <f>SUMIFS(Database!$G:$G,Database!$D:$D,"Import",Database!$E:$E,$B106,Database!$C:$C,BO$1,Database!$F:$F,"Total")</f>
        <v>0</v>
      </c>
      <c r="BP106" s="137">
        <f>SUMIFS(Database!$G:$G,Database!$D:$D,"Import",Database!$E:$E,$B106,Database!$C:$C,BP$1,Database!$F:$F,"Total")</f>
        <v>0</v>
      </c>
      <c r="BQ106" s="137">
        <f>SUMIFS(Database!$G:$G,Database!$D:$D,"Import",Database!$E:$E,$B106,Database!$C:$C,BQ$1,Database!$F:$F,"Total")</f>
        <v>0</v>
      </c>
      <c r="BR106" s="137">
        <f>SUMIFS(Database!$G:$G,Database!$D:$D,"Import",Database!$E:$E,$B106,Database!$C:$C,BR$1,Database!$F:$F,"Total")</f>
        <v>0</v>
      </c>
      <c r="BS106" s="137">
        <f>SUMIFS(Database!$G:$G,Database!$D:$D,"Import",Database!$E:$E,$B106,Database!$C:$C,BS$1,Database!$F:$F,"Total")</f>
        <v>0</v>
      </c>
      <c r="BT106" s="137">
        <f>SUMIFS(Database!$G:$G,Database!$D:$D,"Import",Database!$E:$E,$B106,Database!$C:$C,BT$1,Database!$F:$F,"Total")</f>
        <v>0</v>
      </c>
      <c r="BU106" s="137">
        <f>SUMIFS(Database!$G:$G,Database!$D:$D,"Import",Database!$E:$E,$B106,Database!$C:$C,BU$1,Database!$F:$F,"Total")</f>
        <v>0</v>
      </c>
      <c r="BV106" s="137">
        <f>SUMIFS(Database!$G:$G,Database!$D:$D,"Import",Database!$E:$E,$B106,Database!$C:$C,BV$1,Database!$F:$F,"Total")</f>
        <v>0</v>
      </c>
      <c r="BW106" s="137">
        <f>SUMIFS(Database!$G:$G,Database!$D:$D,"Import",Database!$E:$E,$B106,Database!$C:$C,BW$1,Database!$F:$F,"Total")</f>
        <v>0</v>
      </c>
      <c r="BX106" s="137">
        <f>SUMIFS(Database!$G:$G,Database!$D:$D,"Import",Database!$E:$E,$B106,Database!$C:$C,BX$1,Database!$F:$F,"Total")</f>
        <v>0</v>
      </c>
      <c r="BY106" s="137">
        <f>SUMIFS(Database!$G:$G,Database!$D:$D,"Import",Database!$E:$E,$B106,Database!$C:$C,BY$1,Database!$F:$F,"Total")</f>
        <v>0</v>
      </c>
      <c r="BZ106" s="137">
        <f>SUMIFS(Database!$G:$G,Database!$D:$D,"Import",Database!$E:$E,$B106,Database!$C:$C,BZ$1,Database!$F:$F,"Total")</f>
        <v>0</v>
      </c>
      <c r="CA106" s="137">
        <f>SUMIFS(Database!$G:$G,Database!$D:$D,"Import",Database!$E:$E,$B106,Database!$C:$C,CA$1,Database!$F:$F,"Total")</f>
        <v>0</v>
      </c>
      <c r="CB106" s="137">
        <f>SUMIFS(Database!$G:$G,Database!$D:$D,"Import",Database!$E:$E,$B106,Database!$C:$C,CB$1,Database!$F:$F,"Total")</f>
        <v>0</v>
      </c>
      <c r="CC106" s="137">
        <f>SUMIFS(Database!$G:$G,Database!$D:$D,"Import",Database!$E:$E,$B106,Database!$C:$C,CC$1,Database!$F:$F,"Total")</f>
        <v>0</v>
      </c>
      <c r="CD106" s="137">
        <f>SUMIFS(Database!$G:$G,Database!$D:$D,"Import",Database!$E:$E,$B106,Database!$C:$C,CD$1,Database!$F:$F,"Total")</f>
        <v>0</v>
      </c>
      <c r="CE106" s="137">
        <f>SUMIFS(Database!$G:$G,Database!$D:$D,"Import",Database!$E:$E,$B106,Database!$C:$C,CE$1,Database!$F:$F,"Total")</f>
        <v>0</v>
      </c>
      <c r="CF106" s="137">
        <f>SUMIFS(Database!$G:$G,Database!$D:$D,"Import",Database!$E:$E,$B106,Database!$C:$C,CF$1,Database!$F:$F,"Total")</f>
        <v>0</v>
      </c>
      <c r="CG106" s="137">
        <f>SUMIFS(Database!$G:$G,Database!$D:$D,"Import",Database!$E:$E,$B106,Database!$C:$C,CG$1,Database!$F:$F,"Total")</f>
        <v>0</v>
      </c>
      <c r="CH106" s="137">
        <f>SUMIFS(Database!$G:$G,Database!$D:$D,"Import",Database!$E:$E,$B106,Database!$C:$C,CH$1,Database!$F:$F,"Total")</f>
        <v>0</v>
      </c>
      <c r="CI106" s="137">
        <f>SUMIFS(Database!$G:$G,Database!$D:$D,"Import",Database!$E:$E,$B106,Database!$C:$C,CI$1,Database!$F:$F,"Total")</f>
        <v>0</v>
      </c>
      <c r="CJ106" s="137">
        <f>SUMIFS(Database!$G:$G,Database!$D:$D,"Import",Database!$E:$E,$B106,Database!$C:$C,CJ$1,Database!$F:$F,"Total")</f>
        <v>0</v>
      </c>
      <c r="CK106" s="137">
        <f>SUMIFS(Database!$G:$G,Database!$D:$D,"Import",Database!$E:$E,$B106,Database!$C:$C,CK$1,Database!$F:$F,"Total")</f>
        <v>0</v>
      </c>
      <c r="CL106" s="137">
        <f>SUMIFS(Database!$G:$G,Database!$D:$D,"Import",Database!$E:$E,$B106,Database!$C:$C,CL$1,Database!$F:$F,"Total")</f>
        <v>0</v>
      </c>
      <c r="CM106" s="137">
        <f>SUMIFS(Database!$G:$G,Database!$D:$D,"Import",Database!$E:$E,$B106,Database!$C:$C,CM$1,Database!$F:$F,"Total")</f>
        <v>0</v>
      </c>
      <c r="CN106" s="137">
        <f>SUMIFS(Database!$G:$G,Database!$D:$D,"Import",Database!$E:$E,$B106,Database!$C:$C,CN$1,Database!$F:$F,"Total")</f>
        <v>0</v>
      </c>
      <c r="CO106" s="137">
        <f>SUMIFS(Database!$G:$G,Database!$D:$D,"Import",Database!$E:$E,$B106,Database!$C:$C,CO$1,Database!$F:$F,"Total")</f>
        <v>0</v>
      </c>
      <c r="CP106" s="137">
        <f>SUMIFS(Database!$G:$G,Database!$D:$D,"Import",Database!$E:$E,$B106,Database!$C:$C,CP$1,Database!$F:$F,"Total")</f>
        <v>0</v>
      </c>
      <c r="CQ106" s="137">
        <f>SUMIFS(Database!$G:$G,Database!$D:$D,"Import",Database!$E:$E,$B106,Database!$C:$C,CQ$1,Database!$F:$F,"Total")</f>
        <v>0</v>
      </c>
      <c r="CR106" s="137">
        <f>SUMIFS(Database!$G:$G,Database!$D:$D,"Import",Database!$E:$E,$B106,Database!$C:$C,CR$1,Database!$F:$F,"Total")</f>
        <v>0</v>
      </c>
      <c r="CS106" s="137">
        <f>SUMIFS(Database!$G:$G,Database!$D:$D,"Import",Database!$E:$E,$B106,Database!$C:$C,CS$1,Database!$F:$F,"Total")</f>
        <v>0</v>
      </c>
      <c r="CT106" s="137">
        <f>SUMIFS(Database!$G:$G,Database!$D:$D,"Import",Database!$E:$E,$B106,Database!$C:$C,CT$1,Database!$F:$F,"Total")</f>
        <v>0</v>
      </c>
      <c r="CU106" s="137">
        <f>SUMIFS(Database!$G:$G,Database!$D:$D,"Import",Database!$E:$E,$B106,Database!$C:$C,CU$1,Database!$F:$F,"Total")</f>
        <v>0</v>
      </c>
    </row>
    <row r="107" spans="1:99" x14ac:dyDescent="0.25">
      <c r="A107" s="132" t="s">
        <v>484</v>
      </c>
      <c r="B107" s="133" t="s">
        <v>112</v>
      </c>
      <c r="C107" s="137">
        <f>SUMIFS(Database!$G:$G,Database!$D:$D,"Import",Database!$E:$E,$B107,Database!$C:$C,C$1,Database!$F:$F,"Total")</f>
        <v>0</v>
      </c>
      <c r="D107" s="137">
        <f>SUMIFS(Database!$G:$G,Database!$D:$D,"Import",Database!$E:$E,$B107,Database!$C:$C,D$1,Database!$F:$F,"Total")</f>
        <v>0</v>
      </c>
      <c r="E107" s="137">
        <f>SUMIFS(Database!$G:$G,Database!$D:$D,"Import",Database!$E:$E,$B107,Database!$C:$C,E$1,Database!$F:$F,"Total")</f>
        <v>0</v>
      </c>
      <c r="F107" s="137">
        <f>SUMIFS(Database!$G:$G,Database!$D:$D,"Import",Database!$E:$E,$B107,Database!$C:$C,F$1,Database!$F:$F,"Total")</f>
        <v>0</v>
      </c>
      <c r="G107" s="137">
        <f>SUMIFS(Database!$G:$G,Database!$D:$D,"Import",Database!$E:$E,$B107,Database!$C:$C,G$1,Database!$F:$F,"Total")</f>
        <v>0</v>
      </c>
      <c r="H107" s="137">
        <f>SUMIFS(Database!$G:$G,Database!$D:$D,"Import",Database!$E:$E,$B107,Database!$C:$C,H$1,Database!$F:$F,"Total")</f>
        <v>0</v>
      </c>
      <c r="I107" s="137">
        <f>SUMIFS(Database!$G:$G,Database!$D:$D,"Import",Database!$E:$E,$B107,Database!$C:$C,I$1,Database!$F:$F,"Total")</f>
        <v>0</v>
      </c>
      <c r="J107" s="137">
        <f>SUMIFS(Database!$G:$G,Database!$D:$D,"Import",Database!$E:$E,$B107,Database!$C:$C,J$1,Database!$F:$F,"Total")</f>
        <v>0</v>
      </c>
      <c r="K107" s="137">
        <f>SUMIFS(Database!$G:$G,Database!$D:$D,"Import",Database!$E:$E,$B107,Database!$C:$C,K$1,Database!$F:$F,"Total")</f>
        <v>0</v>
      </c>
      <c r="L107" s="137">
        <f>SUMIFS(Database!$G:$G,Database!$D:$D,"Import",Database!$E:$E,$B107,Database!$C:$C,L$1,Database!$F:$F,"Total")</f>
        <v>0</v>
      </c>
      <c r="M107" s="137">
        <f>SUMIFS(Database!$G:$G,Database!$D:$D,"Import",Database!$E:$E,$B107,Database!$C:$C,M$1,Database!$F:$F,"Total")</f>
        <v>0</v>
      </c>
      <c r="N107" s="137">
        <f>SUMIFS(Database!$G:$G,Database!$D:$D,"Import",Database!$E:$E,$B107,Database!$C:$C,N$1,Database!$F:$F,"Total")</f>
        <v>0</v>
      </c>
      <c r="O107" s="137">
        <f>SUMIFS(Database!$G:$G,Database!$D:$D,"Import",Database!$E:$E,$B107,Database!$C:$C,O$1,Database!$F:$F,"Total")</f>
        <v>0</v>
      </c>
      <c r="P107" s="137">
        <f>SUMIFS(Database!$G:$G,Database!$D:$D,"Import",Database!$E:$E,$B107,Database!$C:$C,P$1,Database!$F:$F,"Total")</f>
        <v>0</v>
      </c>
      <c r="Q107" s="137">
        <f>SUMIFS(Database!$G:$G,Database!$D:$D,"Import",Database!$E:$E,$B107,Database!$C:$C,Q$1,Database!$F:$F,"Total")</f>
        <v>0</v>
      </c>
      <c r="R107" s="137">
        <f>SUMIFS(Database!$G:$G,Database!$D:$D,"Import",Database!$E:$E,$B107,Database!$C:$C,R$1,Database!$F:$F,"Total")</f>
        <v>0</v>
      </c>
      <c r="S107" s="137">
        <f>SUMIFS(Database!$G:$G,Database!$D:$D,"Import",Database!$E:$E,$B107,Database!$C:$C,S$1,Database!$F:$F,"Total")</f>
        <v>0</v>
      </c>
      <c r="T107" s="137">
        <f>SUMIFS(Database!$G:$G,Database!$D:$D,"Import",Database!$E:$E,$B107,Database!$C:$C,T$1,Database!$F:$F,"Total")</f>
        <v>0</v>
      </c>
      <c r="U107" s="137">
        <f>SUMIFS(Database!$G:$G,Database!$D:$D,"Import",Database!$E:$E,$B107,Database!$C:$C,U$1,Database!$F:$F,"Total")</f>
        <v>0</v>
      </c>
      <c r="V107" s="137">
        <f>SUMIFS(Database!$G:$G,Database!$D:$D,"Import",Database!$E:$E,$B107,Database!$C:$C,V$1,Database!$F:$F,"Total")</f>
        <v>0</v>
      </c>
      <c r="W107" s="137">
        <f>SUMIFS(Database!$G:$G,Database!$D:$D,"Import",Database!$E:$E,$B107,Database!$C:$C,W$1,Database!$F:$F,"Total")</f>
        <v>0</v>
      </c>
      <c r="X107" s="137">
        <f>SUMIFS(Database!$G:$G,Database!$D:$D,"Import",Database!$E:$E,$B107,Database!$C:$C,X$1,Database!$F:$F,"Total")</f>
        <v>0</v>
      </c>
      <c r="Y107" s="137">
        <f>SUMIFS(Database!$G:$G,Database!$D:$D,"Import",Database!$E:$E,$B107,Database!$C:$C,Y$1,Database!$F:$F,"Total")</f>
        <v>0</v>
      </c>
      <c r="Z107" s="137">
        <f>SUMIFS(Database!$G:$G,Database!$D:$D,"Import",Database!$E:$E,$B107,Database!$C:$C,Z$1,Database!$F:$F,"Total")</f>
        <v>0</v>
      </c>
      <c r="AA107" s="137">
        <f>SUMIFS(Database!$G:$G,Database!$D:$D,"Import",Database!$E:$E,$B107,Database!$C:$C,AA$1,Database!$F:$F,"Total")</f>
        <v>0</v>
      </c>
      <c r="AB107" s="137">
        <f>SUMIFS(Database!$G:$G,Database!$D:$D,"Import",Database!$E:$E,$B107,Database!$C:$C,AB$1,Database!$F:$F,"Total")</f>
        <v>0</v>
      </c>
      <c r="AC107" s="137">
        <f>SUMIFS(Database!$G:$G,Database!$D:$D,"Import",Database!$E:$E,$B107,Database!$C:$C,AC$1,Database!$F:$F,"Total")</f>
        <v>0</v>
      </c>
      <c r="AD107" s="137">
        <f>SUMIFS(Database!$G:$G,Database!$D:$D,"Import",Database!$E:$E,$B107,Database!$C:$C,AD$1,Database!$F:$F,"Total")</f>
        <v>0</v>
      </c>
      <c r="AE107" s="137">
        <f>SUMIFS(Database!$G:$G,Database!$D:$D,"Import",Database!$E:$E,$B107,Database!$C:$C,AE$1,Database!$F:$F,"Total")</f>
        <v>0</v>
      </c>
      <c r="AF107" s="137">
        <f>SUMIFS(Database!$G:$G,Database!$D:$D,"Import",Database!$E:$E,$B107,Database!$C:$C,AF$1,Database!$F:$F,"Total")</f>
        <v>0</v>
      </c>
      <c r="AG107" s="137">
        <f>SUMIFS(Database!$G:$G,Database!$D:$D,"Import",Database!$E:$E,$B107,Database!$C:$C,AG$1,Database!$F:$F,"Total")</f>
        <v>0</v>
      </c>
      <c r="AH107" s="137">
        <f>SUMIFS(Database!$G:$G,Database!$D:$D,"Import",Database!$E:$E,$B107,Database!$C:$C,AH$1,Database!$F:$F,"Total")</f>
        <v>0</v>
      </c>
      <c r="AI107" s="137">
        <f>SUMIFS(Database!$G:$G,Database!$D:$D,"Import",Database!$E:$E,$B107,Database!$C:$C,AI$1,Database!$F:$F,"Total")</f>
        <v>0</v>
      </c>
      <c r="AJ107" s="137">
        <f>SUMIFS(Database!$G:$G,Database!$D:$D,"Import",Database!$E:$E,$B107,Database!$C:$C,AJ$1,Database!$F:$F,"Total")</f>
        <v>0</v>
      </c>
      <c r="AK107" s="137">
        <f>SUMIFS(Database!$G:$G,Database!$D:$D,"Import",Database!$E:$E,$B107,Database!$C:$C,AK$1,Database!$F:$F,"Total")</f>
        <v>0</v>
      </c>
      <c r="AL107" s="137">
        <f>SUMIFS(Database!$G:$G,Database!$D:$D,"Import",Database!$E:$E,$B107,Database!$C:$C,AL$1,Database!$F:$F,"Total")</f>
        <v>0</v>
      </c>
      <c r="AM107" s="137">
        <f>SUMIFS(Database!$G:$G,Database!$D:$D,"Import",Database!$E:$E,$B107,Database!$C:$C,AM$1,Database!$F:$F,"Total")</f>
        <v>0</v>
      </c>
      <c r="AN107" s="137">
        <f>SUMIFS(Database!$G:$G,Database!$D:$D,"Import",Database!$E:$E,$B107,Database!$C:$C,AN$1,Database!$F:$F,"Total")</f>
        <v>0</v>
      </c>
      <c r="AO107" s="137">
        <f>SUMIFS(Database!$G:$G,Database!$D:$D,"Import",Database!$E:$E,$B107,Database!$C:$C,AO$1,Database!$F:$F,"Total")</f>
        <v>0</v>
      </c>
      <c r="AP107" s="137">
        <f>SUMIFS(Database!$G:$G,Database!$D:$D,"Import",Database!$E:$E,$B107,Database!$C:$C,AP$1,Database!$F:$F,"Total")</f>
        <v>0</v>
      </c>
      <c r="AQ107" s="137">
        <f>SUMIFS(Database!$G:$G,Database!$D:$D,"Import",Database!$E:$E,$B107,Database!$C:$C,AQ$1,Database!$F:$F,"Total")</f>
        <v>0</v>
      </c>
      <c r="AR107" s="137">
        <f>SUMIFS(Database!$G:$G,Database!$D:$D,"Import",Database!$E:$E,$B107,Database!$C:$C,AR$1,Database!$F:$F,"Total")</f>
        <v>0</v>
      </c>
      <c r="AS107" s="137">
        <f>SUMIFS(Database!$G:$G,Database!$D:$D,"Import",Database!$E:$E,$B107,Database!$C:$C,AS$1,Database!$F:$F,"Total")</f>
        <v>0</v>
      </c>
      <c r="AT107" s="137">
        <f>SUMIFS(Database!$G:$G,Database!$D:$D,"Import",Database!$E:$E,$B107,Database!$C:$C,AT$1,Database!$F:$F,"Total")</f>
        <v>0</v>
      </c>
      <c r="AU107" s="137">
        <f>SUMIFS(Database!$G:$G,Database!$D:$D,"Import",Database!$E:$E,$B107,Database!$C:$C,AU$1,Database!$F:$F,"Total")</f>
        <v>0</v>
      </c>
      <c r="AV107" s="137">
        <f>SUMIFS(Database!$G:$G,Database!$D:$D,"Import",Database!$E:$E,$B107,Database!$C:$C,AV$1,Database!$F:$F,"Total")</f>
        <v>0</v>
      </c>
      <c r="AW107" s="137">
        <f>SUMIFS(Database!$G:$G,Database!$D:$D,"Import",Database!$E:$E,$B107,Database!$C:$C,AW$1,Database!$F:$F,"Total")</f>
        <v>0</v>
      </c>
      <c r="AX107" s="137">
        <f>SUMIFS(Database!$G:$G,Database!$D:$D,"Import",Database!$E:$E,$B107,Database!$C:$C,AX$1,Database!$F:$F,"Total")</f>
        <v>0</v>
      </c>
      <c r="AY107" s="137">
        <f>SUMIFS(Database!$G:$G,Database!$D:$D,"Import",Database!$E:$E,$B107,Database!$C:$C,AY$1,Database!$F:$F,"Total")</f>
        <v>0</v>
      </c>
      <c r="AZ107" s="137">
        <f>SUMIFS(Database!$G:$G,Database!$D:$D,"Import",Database!$E:$E,$B107,Database!$C:$C,AZ$1,Database!$F:$F,"Total")</f>
        <v>0</v>
      </c>
      <c r="BA107" s="137">
        <f>SUMIFS(Database!$G:$G,Database!$D:$D,"Import",Database!$E:$E,$B107,Database!$C:$C,BA$1,Database!$F:$F,"Total")</f>
        <v>0</v>
      </c>
      <c r="BB107" s="137">
        <f>SUMIFS(Database!$G:$G,Database!$D:$D,"Import",Database!$E:$E,$B107,Database!$C:$C,BB$1,Database!$F:$F,"Total")</f>
        <v>1108</v>
      </c>
      <c r="BC107" s="137">
        <f>SUMIFS(Database!$G:$G,Database!$D:$D,"Import",Database!$E:$E,$B107,Database!$C:$C,BC$1,Database!$F:$F,"Total")</f>
        <v>0</v>
      </c>
      <c r="BD107" s="137">
        <f>SUMIFS(Database!$G:$G,Database!$D:$D,"Import",Database!$E:$E,$B107,Database!$C:$C,BD$1,Database!$F:$F,"Total")</f>
        <v>0</v>
      </c>
      <c r="BE107" s="137">
        <f>SUMIFS(Database!$G:$G,Database!$D:$D,"Import",Database!$E:$E,$B107,Database!$C:$C,BE$1,Database!$F:$F,"Total")</f>
        <v>0</v>
      </c>
      <c r="BF107" s="137">
        <f>SUMIFS(Database!$G:$G,Database!$D:$D,"Import",Database!$E:$E,$B107,Database!$C:$C,BF$1,Database!$F:$F,"Total")</f>
        <v>0</v>
      </c>
      <c r="BG107" s="137">
        <f>SUMIFS(Database!$G:$G,Database!$D:$D,"Import",Database!$E:$E,$B107,Database!$C:$C,BG$1,Database!$F:$F,"Total")</f>
        <v>0</v>
      </c>
      <c r="BH107" s="137">
        <f>SUMIFS(Database!$G:$G,Database!$D:$D,"Import",Database!$E:$E,$B107,Database!$C:$C,BH$1,Database!$F:$F,"Total")</f>
        <v>0</v>
      </c>
      <c r="BI107" s="137">
        <f>SUMIFS(Database!$G:$G,Database!$D:$D,"Import",Database!$E:$E,$B107,Database!$C:$C,BI$1,Database!$F:$F,"Total")</f>
        <v>0</v>
      </c>
      <c r="BJ107" s="137">
        <f>SUMIFS(Database!$G:$G,Database!$D:$D,"Import",Database!$E:$E,$B107,Database!$C:$C,BJ$1,Database!$F:$F,"Total")</f>
        <v>711</v>
      </c>
      <c r="BK107" s="137">
        <f>SUMIFS(Database!$G:$G,Database!$D:$D,"Import",Database!$E:$E,$B107,Database!$C:$C,BK$1,Database!$F:$F,"Total")</f>
        <v>0</v>
      </c>
      <c r="BL107" s="137">
        <f>SUMIFS(Database!$G:$G,Database!$D:$D,"Import",Database!$E:$E,$B107,Database!$C:$C,BL$1,Database!$F:$F,"Total")</f>
        <v>0</v>
      </c>
      <c r="BM107" s="137">
        <f>SUMIFS(Database!$G:$G,Database!$D:$D,"Import",Database!$E:$E,$B107,Database!$C:$C,BM$1,Database!$F:$F,"Total")</f>
        <v>0</v>
      </c>
      <c r="BN107" s="137">
        <f>SUMIFS(Database!$G:$G,Database!$D:$D,"Import",Database!$E:$E,$B107,Database!$C:$C,BN$1,Database!$F:$F,"Total")</f>
        <v>0</v>
      </c>
      <c r="BO107" s="137">
        <f>SUMIFS(Database!$G:$G,Database!$D:$D,"Import",Database!$E:$E,$B107,Database!$C:$C,BO$1,Database!$F:$F,"Total")</f>
        <v>0</v>
      </c>
      <c r="BP107" s="137">
        <f>SUMIFS(Database!$G:$G,Database!$D:$D,"Import",Database!$E:$E,$B107,Database!$C:$C,BP$1,Database!$F:$F,"Total")</f>
        <v>0</v>
      </c>
      <c r="BQ107" s="137">
        <f>SUMIFS(Database!$G:$G,Database!$D:$D,"Import",Database!$E:$E,$B107,Database!$C:$C,BQ$1,Database!$F:$F,"Total")</f>
        <v>0</v>
      </c>
      <c r="BR107" s="137">
        <f>SUMIFS(Database!$G:$G,Database!$D:$D,"Import",Database!$E:$E,$B107,Database!$C:$C,BR$1,Database!$F:$F,"Total")</f>
        <v>0</v>
      </c>
      <c r="BS107" s="137">
        <f>SUMIFS(Database!$G:$G,Database!$D:$D,"Import",Database!$E:$E,$B107,Database!$C:$C,BS$1,Database!$F:$F,"Total")</f>
        <v>0</v>
      </c>
      <c r="BT107" s="137">
        <f>SUMIFS(Database!$G:$G,Database!$D:$D,"Import",Database!$E:$E,$B107,Database!$C:$C,BT$1,Database!$F:$F,"Total")</f>
        <v>0</v>
      </c>
      <c r="BU107" s="137">
        <f>SUMIFS(Database!$G:$G,Database!$D:$D,"Import",Database!$E:$E,$B107,Database!$C:$C,BU$1,Database!$F:$F,"Total")</f>
        <v>0</v>
      </c>
      <c r="BV107" s="137">
        <f>SUMIFS(Database!$G:$G,Database!$D:$D,"Import",Database!$E:$E,$B107,Database!$C:$C,BV$1,Database!$F:$F,"Total")</f>
        <v>0</v>
      </c>
      <c r="BW107" s="137">
        <f>SUMIFS(Database!$G:$G,Database!$D:$D,"Import",Database!$E:$E,$B107,Database!$C:$C,BW$1,Database!$F:$F,"Total")</f>
        <v>214</v>
      </c>
      <c r="BX107" s="137">
        <f>SUMIFS(Database!$G:$G,Database!$D:$D,"Import",Database!$E:$E,$B107,Database!$C:$C,BX$1,Database!$F:$F,"Total")</f>
        <v>141</v>
      </c>
      <c r="BY107" s="137">
        <f>SUMIFS(Database!$G:$G,Database!$D:$D,"Import",Database!$E:$E,$B107,Database!$C:$C,BY$1,Database!$F:$F,"Total")</f>
        <v>103</v>
      </c>
      <c r="BZ107" s="137">
        <f>SUMIFS(Database!$G:$G,Database!$D:$D,"Import",Database!$E:$E,$B107,Database!$C:$C,BZ$1,Database!$F:$F,"Total")</f>
        <v>135</v>
      </c>
      <c r="CA107" s="137">
        <f>SUMIFS(Database!$G:$G,Database!$D:$D,"Import",Database!$E:$E,$B107,Database!$C:$C,CA$1,Database!$F:$F,"Total")</f>
        <v>0</v>
      </c>
      <c r="CB107" s="137">
        <f>SUMIFS(Database!$G:$G,Database!$D:$D,"Import",Database!$E:$E,$B107,Database!$C:$C,CB$1,Database!$F:$F,"Total")</f>
        <v>0</v>
      </c>
      <c r="CC107" s="137">
        <f>SUMIFS(Database!$G:$G,Database!$D:$D,"Import",Database!$E:$E,$B107,Database!$C:$C,CC$1,Database!$F:$F,"Total")</f>
        <v>0</v>
      </c>
      <c r="CD107" s="137">
        <f>SUMIFS(Database!$G:$G,Database!$D:$D,"Import",Database!$E:$E,$B107,Database!$C:$C,CD$1,Database!$F:$F,"Total")</f>
        <v>0</v>
      </c>
      <c r="CE107" s="137">
        <f>SUMIFS(Database!$G:$G,Database!$D:$D,"Import",Database!$E:$E,$B107,Database!$C:$C,CE$1,Database!$F:$F,"Total")</f>
        <v>0</v>
      </c>
      <c r="CF107" s="137">
        <f>SUMIFS(Database!$G:$G,Database!$D:$D,"Import",Database!$E:$E,$B107,Database!$C:$C,CF$1,Database!$F:$F,"Total")</f>
        <v>0</v>
      </c>
      <c r="CG107" s="137">
        <f>SUMIFS(Database!$G:$G,Database!$D:$D,"Import",Database!$E:$E,$B107,Database!$C:$C,CG$1,Database!$F:$F,"Total")</f>
        <v>0</v>
      </c>
      <c r="CH107" s="137">
        <f>SUMIFS(Database!$G:$G,Database!$D:$D,"Import",Database!$E:$E,$B107,Database!$C:$C,CH$1,Database!$F:$F,"Total")</f>
        <v>0</v>
      </c>
      <c r="CI107" s="137">
        <f>SUMIFS(Database!$G:$G,Database!$D:$D,"Import",Database!$E:$E,$B107,Database!$C:$C,CI$1,Database!$F:$F,"Total")</f>
        <v>0</v>
      </c>
      <c r="CJ107" s="137">
        <f>SUMIFS(Database!$G:$G,Database!$D:$D,"Import",Database!$E:$E,$B107,Database!$C:$C,CJ$1,Database!$F:$F,"Total")</f>
        <v>0</v>
      </c>
      <c r="CK107" s="137">
        <f>SUMIFS(Database!$G:$G,Database!$D:$D,"Import",Database!$E:$E,$B107,Database!$C:$C,CK$1,Database!$F:$F,"Total")</f>
        <v>0</v>
      </c>
      <c r="CL107" s="137">
        <f>SUMIFS(Database!$G:$G,Database!$D:$D,"Import",Database!$E:$E,$B107,Database!$C:$C,CL$1,Database!$F:$F,"Total")</f>
        <v>0</v>
      </c>
      <c r="CM107" s="137">
        <f>SUMIFS(Database!$G:$G,Database!$D:$D,"Import",Database!$E:$E,$B107,Database!$C:$C,CM$1,Database!$F:$F,"Total")</f>
        <v>0</v>
      </c>
      <c r="CN107" s="137">
        <f>SUMIFS(Database!$G:$G,Database!$D:$D,"Import",Database!$E:$E,$B107,Database!$C:$C,CN$1,Database!$F:$F,"Total")</f>
        <v>0</v>
      </c>
      <c r="CO107" s="137">
        <f>SUMIFS(Database!$G:$G,Database!$D:$D,"Import",Database!$E:$E,$B107,Database!$C:$C,CO$1,Database!$F:$F,"Total")</f>
        <v>0</v>
      </c>
      <c r="CP107" s="137">
        <f>SUMIFS(Database!$G:$G,Database!$D:$D,"Import",Database!$E:$E,$B107,Database!$C:$C,CP$1,Database!$F:$F,"Total")</f>
        <v>0</v>
      </c>
      <c r="CQ107" s="137">
        <f>SUMIFS(Database!$G:$G,Database!$D:$D,"Import",Database!$E:$E,$B107,Database!$C:$C,CQ$1,Database!$F:$F,"Total")</f>
        <v>0</v>
      </c>
      <c r="CR107" s="137">
        <f>SUMIFS(Database!$G:$G,Database!$D:$D,"Import",Database!$E:$E,$B107,Database!$C:$C,CR$1,Database!$F:$F,"Total")</f>
        <v>0</v>
      </c>
      <c r="CS107" s="137">
        <f>SUMIFS(Database!$G:$G,Database!$D:$D,"Import",Database!$E:$E,$B107,Database!$C:$C,CS$1,Database!$F:$F,"Total")</f>
        <v>0</v>
      </c>
      <c r="CT107" s="137">
        <f>SUMIFS(Database!$G:$G,Database!$D:$D,"Import",Database!$E:$E,$B107,Database!$C:$C,CT$1,Database!$F:$F,"Total")</f>
        <v>0</v>
      </c>
      <c r="CU107" s="137">
        <f>SUMIFS(Database!$G:$G,Database!$D:$D,"Import",Database!$E:$E,$B107,Database!$C:$C,CU$1,Database!$F:$F,"Total")</f>
        <v>0</v>
      </c>
    </row>
    <row r="108" spans="1:99" s="197" customFormat="1" ht="25.5" customHeight="1" thickBot="1" x14ac:dyDescent="0.3">
      <c r="A108" s="202" t="s">
        <v>484</v>
      </c>
      <c r="B108" s="203" t="s">
        <v>113</v>
      </c>
      <c r="C108" s="137">
        <f>SUMIFS(Database!$G:$G,Database!$D:$D,"Import",Database!$E:$E,$B108,Database!$C:$C,C$1,Database!$F:$F,"Total")</f>
        <v>0</v>
      </c>
      <c r="D108" s="137">
        <f>SUMIFS(Database!$G:$G,Database!$D:$D,"Import",Database!$E:$E,$B108,Database!$C:$C,D$1,Database!$F:$F,"Total")</f>
        <v>0</v>
      </c>
      <c r="E108" s="137">
        <f>SUMIFS(Database!$G:$G,Database!$D:$D,"Import",Database!$E:$E,$B108,Database!$C:$C,E$1,Database!$F:$F,"Total")</f>
        <v>0</v>
      </c>
      <c r="F108" s="137">
        <f>SUMIFS(Database!$G:$G,Database!$D:$D,"Import",Database!$E:$E,$B108,Database!$C:$C,F$1,Database!$F:$F,"Total")</f>
        <v>0</v>
      </c>
      <c r="G108" s="137">
        <f>SUMIFS(Database!$G:$G,Database!$D:$D,"Import",Database!$E:$E,$B108,Database!$C:$C,G$1,Database!$F:$F,"Total")</f>
        <v>0</v>
      </c>
      <c r="H108" s="137">
        <f>SUMIFS(Database!$G:$G,Database!$D:$D,"Import",Database!$E:$E,$B108,Database!$C:$C,H$1,Database!$F:$F,"Total")</f>
        <v>0</v>
      </c>
      <c r="I108" s="137">
        <f>SUMIFS(Database!$G:$G,Database!$D:$D,"Import",Database!$E:$E,$B108,Database!$C:$C,I$1,Database!$F:$F,"Total")</f>
        <v>0</v>
      </c>
      <c r="J108" s="137">
        <f>SUMIFS(Database!$G:$G,Database!$D:$D,"Import",Database!$E:$E,$B108,Database!$C:$C,J$1,Database!$F:$F,"Total")</f>
        <v>0</v>
      </c>
      <c r="K108" s="137">
        <f>SUMIFS(Database!$G:$G,Database!$D:$D,"Import",Database!$E:$E,$B108,Database!$C:$C,K$1,Database!$F:$F,"Total")</f>
        <v>0</v>
      </c>
      <c r="L108" s="137">
        <f>SUMIFS(Database!$G:$G,Database!$D:$D,"Import",Database!$E:$E,$B108,Database!$C:$C,L$1,Database!$F:$F,"Total")</f>
        <v>0</v>
      </c>
      <c r="M108" s="137">
        <f>SUMIFS(Database!$G:$G,Database!$D:$D,"Import",Database!$E:$E,$B108,Database!$C:$C,M$1,Database!$F:$F,"Total")</f>
        <v>0</v>
      </c>
      <c r="N108" s="137">
        <f>SUMIFS(Database!$G:$G,Database!$D:$D,"Import",Database!$E:$E,$B108,Database!$C:$C,N$1,Database!$F:$F,"Total")</f>
        <v>0</v>
      </c>
      <c r="O108" s="137">
        <f>SUMIFS(Database!$G:$G,Database!$D:$D,"Import",Database!$E:$E,$B108,Database!$C:$C,O$1,Database!$F:$F,"Total")</f>
        <v>0</v>
      </c>
      <c r="P108" s="137">
        <f>SUMIFS(Database!$G:$G,Database!$D:$D,"Import",Database!$E:$E,$B108,Database!$C:$C,P$1,Database!$F:$F,"Total")</f>
        <v>0</v>
      </c>
      <c r="Q108" s="137">
        <f>SUMIFS(Database!$G:$G,Database!$D:$D,"Import",Database!$E:$E,$B108,Database!$C:$C,Q$1,Database!$F:$F,"Total")</f>
        <v>0</v>
      </c>
      <c r="R108" s="137">
        <f>SUMIFS(Database!$G:$G,Database!$D:$D,"Import",Database!$E:$E,$B108,Database!$C:$C,R$1,Database!$F:$F,"Total")</f>
        <v>0</v>
      </c>
      <c r="S108" s="137">
        <f>SUMIFS(Database!$G:$G,Database!$D:$D,"Import",Database!$E:$E,$B108,Database!$C:$C,S$1,Database!$F:$F,"Total")</f>
        <v>0</v>
      </c>
      <c r="T108" s="137">
        <f>SUMIFS(Database!$G:$G,Database!$D:$D,"Import",Database!$E:$E,$B108,Database!$C:$C,T$1,Database!$F:$F,"Total")</f>
        <v>0</v>
      </c>
      <c r="U108" s="137">
        <f>SUMIFS(Database!$G:$G,Database!$D:$D,"Import",Database!$E:$E,$B108,Database!$C:$C,U$1,Database!$F:$F,"Total")</f>
        <v>0</v>
      </c>
      <c r="V108" s="137">
        <f>SUMIFS(Database!$G:$G,Database!$D:$D,"Import",Database!$E:$E,$B108,Database!$C:$C,V$1,Database!$F:$F,"Total")</f>
        <v>0</v>
      </c>
      <c r="W108" s="137">
        <f>SUMIFS(Database!$G:$G,Database!$D:$D,"Import",Database!$E:$E,$B108,Database!$C:$C,W$1,Database!$F:$F,"Total")</f>
        <v>0</v>
      </c>
      <c r="X108" s="137">
        <f>SUMIFS(Database!$G:$G,Database!$D:$D,"Import",Database!$E:$E,$B108,Database!$C:$C,X$1,Database!$F:$F,"Total")</f>
        <v>0</v>
      </c>
      <c r="Y108" s="137">
        <f>SUMIFS(Database!$G:$G,Database!$D:$D,"Import",Database!$E:$E,$B108,Database!$C:$C,Y$1,Database!$F:$F,"Total")</f>
        <v>0</v>
      </c>
      <c r="Z108" s="137">
        <f>SUMIFS(Database!$G:$G,Database!$D:$D,"Import",Database!$E:$E,$B108,Database!$C:$C,Z$1,Database!$F:$F,"Total")</f>
        <v>0</v>
      </c>
      <c r="AA108" s="137">
        <f>SUMIFS(Database!$G:$G,Database!$D:$D,"Import",Database!$E:$E,$B108,Database!$C:$C,AA$1,Database!$F:$F,"Total")</f>
        <v>0</v>
      </c>
      <c r="AB108" s="137">
        <f>SUMIFS(Database!$G:$G,Database!$D:$D,"Import",Database!$E:$E,$B108,Database!$C:$C,AB$1,Database!$F:$F,"Total")</f>
        <v>0</v>
      </c>
      <c r="AC108" s="137">
        <f>SUMIFS(Database!$G:$G,Database!$D:$D,"Import",Database!$E:$E,$B108,Database!$C:$C,AC$1,Database!$F:$F,"Total")</f>
        <v>0</v>
      </c>
      <c r="AD108" s="137">
        <f>SUMIFS(Database!$G:$G,Database!$D:$D,"Import",Database!$E:$E,$B108,Database!$C:$C,AD$1,Database!$F:$F,"Total")</f>
        <v>0</v>
      </c>
      <c r="AE108" s="137">
        <f>SUMIFS(Database!$G:$G,Database!$D:$D,"Import",Database!$E:$E,$B108,Database!$C:$C,AE$1,Database!$F:$F,"Total")</f>
        <v>0</v>
      </c>
      <c r="AF108" s="204">
        <f>SUMIFS(Database!$G:$G,Database!$D:$D,"Import",Database!$E:$E,$B108,Database!$C:$C,AF$1,Database!$F:$F,"Total")</f>
        <v>0</v>
      </c>
      <c r="AG108" s="204">
        <f>SUMIFS(Database!$G:$G,Database!$D:$D,"Import",Database!$E:$E,$B108,Database!$C:$C,AG$1,Database!$F:$F,"Total")</f>
        <v>0</v>
      </c>
      <c r="AH108" s="204">
        <f>SUMIFS(Database!$G:$G,Database!$D:$D,"Import",Database!$E:$E,$B108,Database!$C:$C,AH$1,Database!$F:$F,"Total")</f>
        <v>0</v>
      </c>
      <c r="AI108" s="204">
        <f>SUMIFS(Database!$G:$G,Database!$D:$D,"Import",Database!$E:$E,$B108,Database!$C:$C,AI$1,Database!$F:$F,"Total")</f>
        <v>0</v>
      </c>
      <c r="AJ108" s="204">
        <f>SUMIFS(Database!$G:$G,Database!$D:$D,"Import",Database!$E:$E,$B108,Database!$C:$C,AJ$1,Database!$F:$F,"Total")</f>
        <v>0</v>
      </c>
      <c r="AK108" s="204">
        <f>SUMIFS(Database!$G:$G,Database!$D:$D,"Import",Database!$E:$E,$B108,Database!$C:$C,AK$1,Database!$F:$F,"Total")</f>
        <v>0</v>
      </c>
      <c r="AL108" s="204">
        <f>SUMIFS(Database!$G:$G,Database!$D:$D,"Import",Database!$E:$E,$B108,Database!$C:$C,AL$1,Database!$F:$F,"Total")</f>
        <v>0</v>
      </c>
      <c r="AM108" s="204">
        <f>SUMIFS(Database!$G:$G,Database!$D:$D,"Import",Database!$E:$E,$B108,Database!$C:$C,AM$1,Database!$F:$F,"Total")</f>
        <v>0</v>
      </c>
      <c r="AN108" s="204">
        <f>SUMIFS(Database!$G:$G,Database!$D:$D,"Import",Database!$E:$E,$B108,Database!$C:$C,AN$1,Database!$F:$F,"Total")</f>
        <v>0</v>
      </c>
      <c r="AO108" s="204">
        <f>SUMIFS(Database!$G:$G,Database!$D:$D,"Import",Database!$E:$E,$B108,Database!$C:$C,AO$1,Database!$F:$F,"Total")</f>
        <v>0</v>
      </c>
      <c r="AP108" s="204">
        <f>SUMIFS(Database!$G:$G,Database!$D:$D,"Import",Database!$E:$E,$B108,Database!$C:$C,AP$1,Database!$F:$F,"Total")</f>
        <v>0</v>
      </c>
      <c r="AQ108" s="204">
        <f>SUMIFS(Database!$G:$G,Database!$D:$D,"Import",Database!$E:$E,$B108,Database!$C:$C,AQ$1,Database!$F:$F,"Total")</f>
        <v>0</v>
      </c>
      <c r="AR108" s="204">
        <f>SUMIFS(Database!$G:$G,Database!$D:$D,"Import",Database!$E:$E,$B108,Database!$C:$C,AR$1,Database!$F:$F,"Total")</f>
        <v>0</v>
      </c>
      <c r="AS108" s="204">
        <f>SUMIFS(Database!$G:$G,Database!$D:$D,"Import",Database!$E:$E,$B108,Database!$C:$C,AS$1,Database!$F:$F,"Total")</f>
        <v>0</v>
      </c>
      <c r="AT108" s="204">
        <f>SUMIFS(Database!$G:$G,Database!$D:$D,"Import",Database!$E:$E,$B108,Database!$C:$C,AT$1,Database!$F:$F,"Total")</f>
        <v>0</v>
      </c>
      <c r="AU108" s="204">
        <f>SUMIFS(Database!$G:$G,Database!$D:$D,"Import",Database!$E:$E,$B108,Database!$C:$C,AU$1,Database!$F:$F,"Total")</f>
        <v>0</v>
      </c>
      <c r="AV108" s="204">
        <f>SUMIFS(Database!$G:$G,Database!$D:$D,"Import",Database!$E:$E,$B108,Database!$C:$C,AV$1,Database!$F:$F,"Total")</f>
        <v>0</v>
      </c>
      <c r="AW108" s="204">
        <f>SUMIFS(Database!$G:$G,Database!$D:$D,"Import",Database!$E:$E,$B108,Database!$C:$C,AW$1,Database!$F:$F,"Total")</f>
        <v>0</v>
      </c>
      <c r="AX108" s="204">
        <f>SUMIFS(Database!$G:$G,Database!$D:$D,"Import",Database!$E:$E,$B108,Database!$C:$C,AX$1,Database!$F:$F,"Total")</f>
        <v>0</v>
      </c>
      <c r="AY108" s="204">
        <f>SUMIFS(Database!$G:$G,Database!$D:$D,"Import",Database!$E:$E,$B108,Database!$C:$C,AY$1,Database!$F:$F,"Total")</f>
        <v>0</v>
      </c>
      <c r="AZ108" s="204">
        <f>SUMIFS(Database!$G:$G,Database!$D:$D,"Import",Database!$E:$E,$B108,Database!$C:$C,AZ$1,Database!$F:$F,"Total")</f>
        <v>0</v>
      </c>
      <c r="BA108" s="204">
        <f>SUMIFS(Database!$G:$G,Database!$D:$D,"Import",Database!$E:$E,$B108,Database!$C:$C,BA$1,Database!$F:$F,"Total")</f>
        <v>0</v>
      </c>
      <c r="BB108" s="204">
        <f>SUMIFS(Database!$G:$G,Database!$D:$D,"Import",Database!$E:$E,$B108,Database!$C:$C,BB$1,Database!$F:$F,"Total")</f>
        <v>1036</v>
      </c>
      <c r="BC108" s="204">
        <f>SUMIFS(Database!$G:$G,Database!$D:$D,"Import",Database!$E:$E,$B108,Database!$C:$C,BC$1,Database!$F:$F,"Total")</f>
        <v>0</v>
      </c>
      <c r="BD108" s="204">
        <f>SUMIFS(Database!$G:$G,Database!$D:$D,"Import",Database!$E:$E,$B108,Database!$C:$C,BD$1,Database!$F:$F,"Total")</f>
        <v>0</v>
      </c>
      <c r="BE108" s="204">
        <f>SUMIFS(Database!$G:$G,Database!$D:$D,"Import",Database!$E:$E,$B108,Database!$C:$C,BE$1,Database!$F:$F,"Total")</f>
        <v>0</v>
      </c>
      <c r="BF108" s="204">
        <f>SUMIFS(Database!$G:$G,Database!$D:$D,"Import",Database!$E:$E,$B108,Database!$C:$C,BF$1,Database!$F:$F,"Total")</f>
        <v>0</v>
      </c>
      <c r="BG108" s="204">
        <f>SUMIFS(Database!$G:$G,Database!$D:$D,"Import",Database!$E:$E,$B108,Database!$C:$C,BG$1,Database!$F:$F,"Total")</f>
        <v>0</v>
      </c>
      <c r="BH108" s="204">
        <f>SUMIFS(Database!$G:$G,Database!$D:$D,"Import",Database!$E:$E,$B108,Database!$C:$C,BH$1,Database!$F:$F,"Total")</f>
        <v>0</v>
      </c>
      <c r="BI108" s="204">
        <f>SUMIFS(Database!$G:$G,Database!$D:$D,"Import",Database!$E:$E,$B108,Database!$C:$C,BI$1,Database!$F:$F,"Total")</f>
        <v>0</v>
      </c>
      <c r="BJ108" s="204">
        <f>SUMIFS(Database!$G:$G,Database!$D:$D,"Import",Database!$E:$E,$B108,Database!$C:$C,BJ$1,Database!$F:$F,"Total")</f>
        <v>462</v>
      </c>
      <c r="BK108" s="204">
        <f>SUMIFS(Database!$G:$G,Database!$D:$D,"Import",Database!$E:$E,$B108,Database!$C:$C,BK$1,Database!$F:$F,"Total")</f>
        <v>0</v>
      </c>
      <c r="BL108" s="204">
        <f>SUMIFS(Database!$G:$G,Database!$D:$D,"Import",Database!$E:$E,$B108,Database!$C:$C,BL$1,Database!$F:$F,"Total")</f>
        <v>0</v>
      </c>
      <c r="BM108" s="204">
        <f>SUMIFS(Database!$G:$G,Database!$D:$D,"Import",Database!$E:$E,$B108,Database!$C:$C,BM$1,Database!$F:$F,"Total")</f>
        <v>0</v>
      </c>
      <c r="BN108" s="204">
        <f>SUMIFS(Database!$G:$G,Database!$D:$D,"Import",Database!$E:$E,$B108,Database!$C:$C,BN$1,Database!$F:$F,"Total")</f>
        <v>0</v>
      </c>
      <c r="BO108" s="204">
        <f>SUMIFS(Database!$G:$G,Database!$D:$D,"Import",Database!$E:$E,$B108,Database!$C:$C,BO$1,Database!$F:$F,"Total")</f>
        <v>0</v>
      </c>
      <c r="BP108" s="204">
        <f>SUMIFS(Database!$G:$G,Database!$D:$D,"Import",Database!$E:$E,$B108,Database!$C:$C,BP$1,Database!$F:$F,"Total")</f>
        <v>0</v>
      </c>
      <c r="BQ108" s="204">
        <f>SUMIFS(Database!$G:$G,Database!$D:$D,"Import",Database!$E:$E,$B108,Database!$C:$C,BQ$1,Database!$F:$F,"Total")</f>
        <v>0</v>
      </c>
      <c r="BR108" s="204">
        <f>SUMIFS(Database!$G:$G,Database!$D:$D,"Import",Database!$E:$E,$B108,Database!$C:$C,BR$1,Database!$F:$F,"Total")</f>
        <v>0</v>
      </c>
      <c r="BS108" s="204">
        <f>SUMIFS(Database!$G:$G,Database!$D:$D,"Import",Database!$E:$E,$B108,Database!$C:$C,BS$1,Database!$F:$F,"Total")</f>
        <v>0</v>
      </c>
      <c r="BT108" s="204">
        <f>SUMIFS(Database!$G:$G,Database!$D:$D,"Import",Database!$E:$E,$B108,Database!$C:$C,BT$1,Database!$F:$F,"Total")</f>
        <v>0</v>
      </c>
      <c r="BU108" s="137">
        <f>SUMIFS(Database!$G:$G,Database!$D:$D,"Import",Database!$E:$E,$B108,Database!$C:$C,BU$1,Database!$F:$F,"Total")</f>
        <v>0</v>
      </c>
      <c r="BV108" s="137">
        <f>SUMIFS(Database!$G:$G,Database!$D:$D,"Import",Database!$E:$E,$B108,Database!$C:$C,BV$1,Database!$F:$F,"Total")</f>
        <v>0</v>
      </c>
      <c r="BW108" s="137">
        <f>SUMIFS(Database!$G:$G,Database!$D:$D,"Import",Database!$E:$E,$B108,Database!$C:$C,BW$1,Database!$F:$F,"Total")</f>
        <v>294</v>
      </c>
      <c r="BX108" s="137">
        <f>SUMIFS(Database!$G:$G,Database!$D:$D,"Import",Database!$E:$E,$B108,Database!$C:$C,BX$1,Database!$F:$F,"Total")</f>
        <v>559</v>
      </c>
      <c r="BY108" s="137">
        <f>SUMIFS(Database!$G:$G,Database!$D:$D,"Import",Database!$E:$E,$B108,Database!$C:$C,BY$1,Database!$F:$F,"Total")</f>
        <v>220</v>
      </c>
      <c r="BZ108" s="137">
        <f>SUMIFS(Database!$G:$G,Database!$D:$D,"Import",Database!$E:$E,$B108,Database!$C:$C,BZ$1,Database!$F:$F,"Total")</f>
        <v>308</v>
      </c>
      <c r="CA108" s="137">
        <f>SUMIFS(Database!$G:$G,Database!$D:$D,"Import",Database!$E:$E,$B108,Database!$C:$C,CA$1,Database!$F:$F,"Total")</f>
        <v>0</v>
      </c>
      <c r="CB108" s="137">
        <f>SUMIFS(Database!$G:$G,Database!$D:$D,"Import",Database!$E:$E,$B108,Database!$C:$C,CB$1,Database!$F:$F,"Total")</f>
        <v>0</v>
      </c>
      <c r="CC108" s="137">
        <f>SUMIFS(Database!$G:$G,Database!$D:$D,"Import",Database!$E:$E,$B108,Database!$C:$C,CC$1,Database!$F:$F,"Total")</f>
        <v>0</v>
      </c>
      <c r="CD108" s="137">
        <f>SUMIFS(Database!$G:$G,Database!$D:$D,"Import",Database!$E:$E,$B108,Database!$C:$C,CD$1,Database!$F:$F,"Total")</f>
        <v>0</v>
      </c>
      <c r="CE108" s="137">
        <f>SUMIFS(Database!$G:$G,Database!$D:$D,"Import",Database!$E:$E,$B108,Database!$C:$C,CE$1,Database!$F:$F,"Total")</f>
        <v>0</v>
      </c>
      <c r="CF108" s="137">
        <f>SUMIFS(Database!$G:$G,Database!$D:$D,"Import",Database!$E:$E,$B108,Database!$C:$C,CF$1,Database!$F:$F,"Total")</f>
        <v>0</v>
      </c>
      <c r="CG108" s="137">
        <f>SUMIFS(Database!$G:$G,Database!$D:$D,"Import",Database!$E:$E,$B108,Database!$C:$C,CG$1,Database!$F:$F,"Total")</f>
        <v>0</v>
      </c>
      <c r="CH108" s="137">
        <f>SUMIFS(Database!$G:$G,Database!$D:$D,"Import",Database!$E:$E,$B108,Database!$C:$C,CH$1,Database!$F:$F,"Total")</f>
        <v>0</v>
      </c>
      <c r="CI108" s="137">
        <f>SUMIFS(Database!$G:$G,Database!$D:$D,"Import",Database!$E:$E,$B108,Database!$C:$C,CI$1,Database!$F:$F,"Total")</f>
        <v>0</v>
      </c>
      <c r="CJ108" s="137">
        <f>SUMIFS(Database!$G:$G,Database!$D:$D,"Import",Database!$E:$E,$B108,Database!$C:$C,CJ$1,Database!$F:$F,"Total")</f>
        <v>0</v>
      </c>
      <c r="CK108" s="137">
        <f>SUMIFS(Database!$G:$G,Database!$D:$D,"Import",Database!$E:$E,$B108,Database!$C:$C,CK$1,Database!$F:$F,"Total")</f>
        <v>0</v>
      </c>
      <c r="CL108" s="137">
        <f>SUMIFS(Database!$G:$G,Database!$D:$D,"Import",Database!$E:$E,$B108,Database!$C:$C,CL$1,Database!$F:$F,"Total")</f>
        <v>0</v>
      </c>
      <c r="CM108" s="137">
        <f>SUMIFS(Database!$G:$G,Database!$D:$D,"Import",Database!$E:$E,$B108,Database!$C:$C,CM$1,Database!$F:$F,"Total")</f>
        <v>0</v>
      </c>
      <c r="CN108" s="137">
        <f>SUMIFS(Database!$G:$G,Database!$D:$D,"Import",Database!$E:$E,$B108,Database!$C:$C,CN$1,Database!$F:$F,"Total")</f>
        <v>0</v>
      </c>
      <c r="CO108" s="137">
        <f>SUMIFS(Database!$G:$G,Database!$D:$D,"Import",Database!$E:$E,$B108,Database!$C:$C,CO$1,Database!$F:$F,"Total")</f>
        <v>0</v>
      </c>
      <c r="CP108" s="137">
        <f>SUMIFS(Database!$G:$G,Database!$D:$D,"Import",Database!$E:$E,$B108,Database!$C:$C,CP$1,Database!$F:$F,"Total")</f>
        <v>0</v>
      </c>
      <c r="CQ108" s="137">
        <f>SUMIFS(Database!$G:$G,Database!$D:$D,"Import",Database!$E:$E,$B108,Database!$C:$C,CQ$1,Database!$F:$F,"Total")</f>
        <v>0</v>
      </c>
      <c r="CR108" s="137">
        <f>SUMIFS(Database!$G:$G,Database!$D:$D,"Import",Database!$E:$E,$B108,Database!$C:$C,CR$1,Database!$F:$F,"Total")</f>
        <v>0</v>
      </c>
      <c r="CS108" s="137">
        <f>SUMIFS(Database!$G:$G,Database!$D:$D,"Import",Database!$E:$E,$B108,Database!$C:$C,CS$1,Database!$F:$F,"Total")</f>
        <v>0</v>
      </c>
      <c r="CT108" s="137">
        <f>SUMIFS(Database!$G:$G,Database!$D:$D,"Import",Database!$E:$E,$B108,Database!$C:$C,CT$1,Database!$F:$F,"Total")</f>
        <v>0</v>
      </c>
      <c r="CU108" s="137">
        <f>SUMIFS(Database!$G:$G,Database!$D:$D,"Import",Database!$E:$E,$B108,Database!$C:$C,CU$1,Database!$F:$F,"Total")</f>
        <v>0</v>
      </c>
    </row>
    <row r="109" spans="1:99" s="201" customFormat="1" ht="26.25" customHeight="1" thickTop="1" x14ac:dyDescent="0.25">
      <c r="A109" s="198" t="s">
        <v>485</v>
      </c>
      <c r="B109" s="199" t="s">
        <v>114</v>
      </c>
      <c r="C109" s="200">
        <f>SUMIFS(Database!$G:$G,Database!$D:$D,"Export",Database!$E:$E,$B109,Database!$C:$C,C$1,Database!$F:$F,"Total")</f>
        <v>0</v>
      </c>
      <c r="D109" s="200">
        <f>SUMIFS(Database!$G:$G,Database!$D:$D,"Export",Database!$E:$E,$B109,Database!$C:$C,D$1,Database!$F:$F,"Total")</f>
        <v>0</v>
      </c>
      <c r="E109" s="200">
        <f>SUMIFS(Database!$G:$G,Database!$D:$D,"Export",Database!$E:$E,$B109,Database!$C:$C,E$1,Database!$F:$F,"Total")</f>
        <v>0</v>
      </c>
      <c r="F109" s="200">
        <f>SUMIFS(Database!$G:$G,Database!$D:$D,"Export",Database!$E:$E,$B109,Database!$C:$C,F$1,Database!$F:$F,"Total")</f>
        <v>0</v>
      </c>
      <c r="G109" s="200">
        <f>SUMIFS(Database!$G:$G,Database!$D:$D,"Export",Database!$E:$E,$B109,Database!$C:$C,G$1,Database!$F:$F,"Total")</f>
        <v>0</v>
      </c>
      <c r="H109" s="200">
        <f>SUMIFS(Database!$G:$G,Database!$D:$D,"Export",Database!$E:$E,$B109,Database!$C:$C,H$1,Database!$F:$F,"Total")</f>
        <v>0</v>
      </c>
      <c r="I109" s="200">
        <f>SUMIFS(Database!$G:$G,Database!$D:$D,"Export",Database!$E:$E,$B109,Database!$C:$C,I$1,Database!$F:$F,"Total")</f>
        <v>0</v>
      </c>
      <c r="J109" s="200">
        <f>SUMIFS(Database!$G:$G,Database!$D:$D,"Export",Database!$E:$E,$B109,Database!$C:$C,J$1,Database!$F:$F,"Total")</f>
        <v>0</v>
      </c>
      <c r="K109" s="200">
        <f>SUMIFS(Database!$G:$G,Database!$D:$D,"Export",Database!$E:$E,$B109,Database!$C:$C,K$1,Database!$F:$F,"Total")</f>
        <v>0</v>
      </c>
      <c r="L109" s="200">
        <f>SUMIFS(Database!$G:$G,Database!$D:$D,"Export",Database!$E:$E,$B109,Database!$C:$C,L$1,Database!$F:$F,"Total")</f>
        <v>0</v>
      </c>
      <c r="M109" s="200">
        <f>SUMIFS(Database!$G:$G,Database!$D:$D,"Export",Database!$E:$E,$B109,Database!$C:$C,M$1,Database!$F:$F,"Total")</f>
        <v>0</v>
      </c>
      <c r="N109" s="200">
        <f>SUMIFS(Database!$G:$G,Database!$D:$D,"Export",Database!$E:$E,$B109,Database!$C:$C,N$1,Database!$F:$F,"Total")</f>
        <v>0</v>
      </c>
      <c r="O109" s="200">
        <f>SUMIFS(Database!$G:$G,Database!$D:$D,"Export",Database!$E:$E,$B109,Database!$C:$C,O$1,Database!$F:$F,"Total")</f>
        <v>0</v>
      </c>
      <c r="P109" s="200">
        <f>SUMIFS(Database!$G:$G,Database!$D:$D,"Export",Database!$E:$E,$B109,Database!$C:$C,P$1,Database!$F:$F,"Total")</f>
        <v>0</v>
      </c>
      <c r="Q109" s="200">
        <f>SUMIFS(Database!$G:$G,Database!$D:$D,"Export",Database!$E:$E,$B109,Database!$C:$C,Q$1,Database!$F:$F,"Total")</f>
        <v>0</v>
      </c>
      <c r="R109" s="200">
        <f>SUMIFS(Database!$G:$G,Database!$D:$D,"Export",Database!$E:$E,$B109,Database!$C:$C,R$1,Database!$F:$F,"Total")</f>
        <v>0</v>
      </c>
      <c r="S109" s="200">
        <f>SUMIFS(Database!$G:$G,Database!$D:$D,"Export",Database!$E:$E,$B109,Database!$C:$C,S$1,Database!$F:$F,"Total")</f>
        <v>0</v>
      </c>
      <c r="T109" s="200">
        <f>SUMIFS(Database!$G:$G,Database!$D:$D,"Export",Database!$E:$E,$B109,Database!$C:$C,T$1,Database!$F:$F,"Total")</f>
        <v>0</v>
      </c>
      <c r="U109" s="200">
        <f>SUMIFS(Database!$G:$G,Database!$D:$D,"Export",Database!$E:$E,$B109,Database!$C:$C,U$1,Database!$F:$F,"Total")</f>
        <v>0</v>
      </c>
      <c r="V109" s="200">
        <f>SUMIFS(Database!$G:$G,Database!$D:$D,"Export",Database!$E:$E,$B109,Database!$C:$C,V$1,Database!$F:$F,"Total")</f>
        <v>0</v>
      </c>
      <c r="W109" s="200">
        <f>SUMIFS(Database!$G:$G,Database!$D:$D,"Export",Database!$E:$E,$B109,Database!$C:$C,W$1,Database!$F:$F,"Total")</f>
        <v>0</v>
      </c>
      <c r="X109" s="200">
        <f>SUMIFS(Database!$G:$G,Database!$D:$D,"Export",Database!$E:$E,$B109,Database!$C:$C,X$1,Database!$F:$F,"Total")</f>
        <v>0</v>
      </c>
      <c r="Y109" s="200">
        <f>SUMIFS(Database!$G:$G,Database!$D:$D,"Export",Database!$E:$E,$B109,Database!$C:$C,Y$1,Database!$F:$F,"Total")</f>
        <v>0</v>
      </c>
      <c r="Z109" s="200">
        <f>SUMIFS(Database!$G:$G,Database!$D:$D,"Export",Database!$E:$E,$B109,Database!$C:$C,Z$1,Database!$F:$F,"Total")</f>
        <v>0</v>
      </c>
      <c r="AA109" s="200">
        <f>SUMIFS(Database!$G:$G,Database!$D:$D,"Export",Database!$E:$E,$B109,Database!$C:$C,AA$1,Database!$F:$F,"Total")</f>
        <v>0</v>
      </c>
      <c r="AB109" s="200">
        <f>SUMIFS(Database!$G:$G,Database!$D:$D,"Export",Database!$E:$E,$B109,Database!$C:$C,AB$1,Database!$F:$F,"Total")</f>
        <v>0</v>
      </c>
      <c r="AC109" s="200">
        <f>SUMIFS(Database!$G:$G,Database!$D:$D,"Export",Database!$E:$E,$B109,Database!$C:$C,AC$1,Database!$F:$F,"Total")</f>
        <v>0</v>
      </c>
      <c r="AD109" s="200">
        <f>SUMIFS(Database!$G:$G,Database!$D:$D,"Export",Database!$E:$E,$B109,Database!$C:$C,AD$1,Database!$F:$F,"Total")</f>
        <v>0</v>
      </c>
      <c r="AE109" s="200">
        <f>SUMIFS(Database!$G:$G,Database!$D:$D,"Export",Database!$E:$E,$B109,Database!$C:$C,AE$1,Database!$F:$F,"Total")</f>
        <v>0</v>
      </c>
      <c r="AF109" s="200">
        <f>SUMIFS(Database!$G:$G,Database!$D:$D,"Export",Database!$E:$E,$B109,Database!$C:$C,AF$1,Database!$F:$F,"Total")</f>
        <v>0</v>
      </c>
      <c r="AG109" s="200">
        <f>SUMIFS(Database!$G:$G,Database!$D:$D,"Export",Database!$E:$E,$B109,Database!$C:$C,AG$1,Database!$F:$F,"Total")</f>
        <v>0</v>
      </c>
      <c r="AH109" s="200">
        <f>SUMIFS(Database!$G:$G,Database!$D:$D,"Export",Database!$E:$E,$B109,Database!$C:$C,AH$1,Database!$F:$F,"Total")</f>
        <v>0</v>
      </c>
      <c r="AI109" s="200">
        <f>SUMIFS(Database!$G:$G,Database!$D:$D,"Export",Database!$E:$E,$B109,Database!$C:$C,AI$1,Database!$F:$F,"Total")</f>
        <v>0</v>
      </c>
      <c r="AJ109" s="200">
        <f>SUMIFS(Database!$G:$G,Database!$D:$D,"Export",Database!$E:$E,$B109,Database!$C:$C,AJ$1,Database!$F:$F,"Total")</f>
        <v>0</v>
      </c>
      <c r="AK109" s="200">
        <f>SUMIFS(Database!$G:$G,Database!$D:$D,"Export",Database!$E:$E,$B109,Database!$C:$C,AK$1,Database!$F:$F,"Total")</f>
        <v>0</v>
      </c>
      <c r="AL109" s="200">
        <f>SUMIFS(Database!$G:$G,Database!$D:$D,"Export",Database!$E:$E,$B109,Database!$C:$C,AL$1,Database!$F:$F,"Total")</f>
        <v>0</v>
      </c>
      <c r="AM109" s="200">
        <f>SUMIFS(Database!$G:$G,Database!$D:$D,"Export",Database!$E:$E,$B109,Database!$C:$C,AM$1,Database!$F:$F,"Total")</f>
        <v>0</v>
      </c>
      <c r="AN109" s="200">
        <f>SUMIFS(Database!$G:$G,Database!$D:$D,"Export",Database!$E:$E,$B109,Database!$C:$C,AN$1,Database!$F:$F,"Total")</f>
        <v>0</v>
      </c>
      <c r="AO109" s="200">
        <f>SUMIFS(Database!$G:$G,Database!$D:$D,"Export",Database!$E:$E,$B109,Database!$C:$C,AO$1,Database!$F:$F,"Total")</f>
        <v>0</v>
      </c>
      <c r="AP109" s="200">
        <f>SUMIFS(Database!$G:$G,Database!$D:$D,"Export",Database!$E:$E,$B109,Database!$C:$C,AP$1,Database!$F:$F,"Total")</f>
        <v>0</v>
      </c>
      <c r="AQ109" s="200">
        <f>SUMIFS(Database!$G:$G,Database!$D:$D,"Export",Database!$E:$E,$B109,Database!$C:$C,AQ$1,Database!$F:$F,"Total")</f>
        <v>0</v>
      </c>
      <c r="AR109" s="200">
        <f>SUMIFS(Database!$G:$G,Database!$D:$D,"Export",Database!$E:$E,$B109,Database!$C:$C,AR$1,Database!$F:$F,"Total")</f>
        <v>0</v>
      </c>
      <c r="AS109" s="200">
        <f>SUMIFS(Database!$G:$G,Database!$D:$D,"Export",Database!$E:$E,$B109,Database!$C:$C,AS$1,Database!$F:$F,"Total")</f>
        <v>0</v>
      </c>
      <c r="AT109" s="200">
        <f>SUMIFS(Database!$G:$G,Database!$D:$D,"Export",Database!$E:$E,$B109,Database!$C:$C,AT$1,Database!$F:$F,"Total")</f>
        <v>0</v>
      </c>
      <c r="AU109" s="200">
        <f>SUMIFS(Database!$G:$G,Database!$D:$D,"Export",Database!$E:$E,$B109,Database!$C:$C,AU$1,Database!$F:$F,"Total")</f>
        <v>0</v>
      </c>
      <c r="AV109" s="200">
        <f>SUMIFS(Database!$G:$G,Database!$D:$D,"Export",Database!$E:$E,$B109,Database!$C:$C,AV$1,Database!$F:$F,"Total")</f>
        <v>0</v>
      </c>
      <c r="AW109" s="200">
        <f>SUMIFS(Database!$G:$G,Database!$D:$D,"Export",Database!$E:$E,$B109,Database!$C:$C,AW$1,Database!$F:$F,"Total")</f>
        <v>0</v>
      </c>
      <c r="AX109" s="200">
        <f>SUMIFS(Database!$G:$G,Database!$D:$D,"Export",Database!$E:$E,$B109,Database!$C:$C,AX$1,Database!$F:$F,"Total")</f>
        <v>0</v>
      </c>
      <c r="AY109" s="200">
        <f>SUMIFS(Database!$G:$G,Database!$D:$D,"Export",Database!$E:$E,$B109,Database!$C:$C,AY$1,Database!$F:$F,"Total")</f>
        <v>0</v>
      </c>
      <c r="AZ109" s="200">
        <f>SUMIFS(Database!$G:$G,Database!$D:$D,"Export",Database!$E:$E,$B109,Database!$C:$C,AZ$1,Database!$F:$F,"Total")</f>
        <v>0</v>
      </c>
      <c r="BA109" s="200">
        <f>SUMIFS(Database!$G:$G,Database!$D:$D,"Export",Database!$E:$E,$B109,Database!$C:$C,BA$1,Database!$F:$F,"Total")</f>
        <v>0</v>
      </c>
      <c r="BB109" s="200">
        <f>SUMIFS(Database!$G:$G,Database!$D:$D,"Export",Database!$E:$E,$B109,Database!$C:$C,BB$1,Database!$F:$F,"Total")</f>
        <v>0</v>
      </c>
      <c r="BC109" s="200">
        <f>SUMIFS(Database!$G:$G,Database!$D:$D,"Export",Database!$E:$E,$B109,Database!$C:$C,BC$1,Database!$F:$F,"Total")</f>
        <v>0</v>
      </c>
      <c r="BD109" s="200">
        <f>SUMIFS(Database!$G:$G,Database!$D:$D,"Export",Database!$E:$E,$B109,Database!$C:$C,BD$1,Database!$F:$F,"Total")</f>
        <v>0</v>
      </c>
      <c r="BE109" s="200">
        <f>SUMIFS(Database!$G:$G,Database!$D:$D,"Export",Database!$E:$E,$B109,Database!$C:$C,BE$1,Database!$F:$F,"Total")</f>
        <v>0</v>
      </c>
      <c r="BF109" s="200">
        <f>SUMIFS(Database!$G:$G,Database!$D:$D,"Export",Database!$E:$E,$B109,Database!$C:$C,BF$1,Database!$F:$F,"Total")</f>
        <v>0</v>
      </c>
      <c r="BG109" s="200">
        <f>SUMIFS(Database!$G:$G,Database!$D:$D,"Export",Database!$E:$E,$B109,Database!$C:$C,BG$1,Database!$F:$F,"Total")</f>
        <v>0</v>
      </c>
      <c r="BH109" s="200">
        <f>SUMIFS(Database!$G:$G,Database!$D:$D,"Export",Database!$E:$E,$B109,Database!$C:$C,BH$1,Database!$F:$F,"Total")</f>
        <v>0</v>
      </c>
      <c r="BI109" s="200">
        <f>SUMIFS(Database!$G:$G,Database!$D:$D,"Export",Database!$E:$E,$B109,Database!$C:$C,BI$1,Database!$F:$F,"Total")</f>
        <v>0</v>
      </c>
      <c r="BJ109" s="200">
        <f>SUMIFS(Database!$G:$G,Database!$D:$D,"Export",Database!$E:$E,$B109,Database!$C:$C,BJ$1,Database!$F:$F,"Total")</f>
        <v>1097</v>
      </c>
      <c r="BK109" s="200">
        <f>SUMIFS(Database!$G:$G,Database!$D:$D,"Export",Database!$E:$E,$B109,Database!$C:$C,BK$1,Database!$F:$F,"Total")</f>
        <v>184</v>
      </c>
      <c r="BL109" s="200">
        <f>SUMIFS(Database!$G:$G,Database!$D:$D,"Export",Database!$E:$E,$B109,Database!$C:$C,BL$1,Database!$F:$F,"Total")</f>
        <v>0</v>
      </c>
      <c r="BM109" s="200">
        <f>SUMIFS(Database!$G:$G,Database!$D:$D,"Export",Database!$E:$E,$B109,Database!$C:$C,BM$1,Database!$F:$F,"Total")</f>
        <v>0</v>
      </c>
      <c r="BN109" s="200">
        <f>SUMIFS(Database!$G:$G,Database!$D:$D,"Export",Database!$E:$E,$B109,Database!$C:$C,BN$1,Database!$F:$F,"Total")</f>
        <v>0</v>
      </c>
      <c r="BO109" s="200">
        <f>SUMIFS(Database!$G:$G,Database!$D:$D,"Export",Database!$E:$E,$B109,Database!$C:$C,BO$1,Database!$F:$F,"Total")</f>
        <v>0</v>
      </c>
      <c r="BP109" s="200">
        <f>SUMIFS(Database!$G:$G,Database!$D:$D,"Export",Database!$E:$E,$B109,Database!$C:$C,BP$1,Database!$F:$F,"Total")</f>
        <v>0</v>
      </c>
      <c r="BQ109" s="200">
        <f>SUMIFS(Database!$G:$G,Database!$D:$D,"Export",Database!$E:$E,$B109,Database!$C:$C,BQ$1,Database!$F:$F,"Total")</f>
        <v>0</v>
      </c>
      <c r="BR109" s="200">
        <f>SUMIFS(Database!$G:$G,Database!$D:$D,"Export",Database!$E:$E,$B109,Database!$C:$C,BR$1,Database!$F:$F,"Total")</f>
        <v>0</v>
      </c>
      <c r="BS109" s="200">
        <f>SUMIFS(Database!$G:$G,Database!$D:$D,"Export",Database!$E:$E,$B109,Database!$C:$C,BS$1,Database!$F:$F,"Total")</f>
        <v>0</v>
      </c>
      <c r="BT109" s="200">
        <f>SUMIFS(Database!$G:$G,Database!$D:$D,"Export",Database!$E:$E,$B109,Database!$C:$C,BT$1,Database!$F:$F,"Total")</f>
        <v>0</v>
      </c>
      <c r="BU109" s="200">
        <f>SUMIFS(Database!$G:$G,Database!$D:$D,"Export",Database!$E:$E,$B109,Database!$C:$C,BU$1,Database!$F:$F,"Total")</f>
        <v>0</v>
      </c>
      <c r="BV109" s="200">
        <f>SUMIFS(Database!$G:$G,Database!$D:$D,"Export",Database!$E:$E,$B109,Database!$C:$C,BV$1,Database!$F:$F,"Total")</f>
        <v>0</v>
      </c>
      <c r="BW109" s="200">
        <f>SUMIFS(Database!$G:$G,Database!$D:$D,"Export",Database!$E:$E,$B109,Database!$C:$C,BW$1,Database!$F:$F,"Total")</f>
        <v>0</v>
      </c>
      <c r="BX109" s="200">
        <f>SUMIFS(Database!$G:$G,Database!$D:$D,"Export",Database!$E:$E,$B109,Database!$C:$C,BX$1,Database!$F:$F,"Total")</f>
        <v>0</v>
      </c>
      <c r="BY109" s="200">
        <f>SUMIFS(Database!$G:$G,Database!$D:$D,"Export",Database!$E:$E,$B109,Database!$C:$C,BY$1,Database!$F:$F,"Total")</f>
        <v>0</v>
      </c>
      <c r="BZ109" s="200">
        <f>SUMIFS(Database!$G:$G,Database!$D:$D,"Export",Database!$E:$E,$B109,Database!$C:$C,BZ$1,Database!$F:$F,"Total")</f>
        <v>0</v>
      </c>
      <c r="CA109" s="200">
        <f>SUMIFS(Database!$G:$G,Database!$D:$D,"Export",Database!$E:$E,$B109,Database!$C:$C,CA$1,Database!$F:$F,"Total")</f>
        <v>0</v>
      </c>
      <c r="CB109" s="200">
        <f>SUMIFS(Database!$G:$G,Database!$D:$D,"Export",Database!$E:$E,$B109,Database!$C:$C,CB$1,Database!$F:$F,"Total")</f>
        <v>0</v>
      </c>
      <c r="CC109" s="200">
        <f>SUMIFS(Database!$G:$G,Database!$D:$D,"Export",Database!$E:$E,$B109,Database!$C:$C,CC$1,Database!$F:$F,"Total")</f>
        <v>0</v>
      </c>
      <c r="CD109" s="200">
        <f>SUMIFS(Database!$G:$G,Database!$D:$D,"Export",Database!$E:$E,$B109,Database!$C:$C,CD$1,Database!$F:$F,"Total")</f>
        <v>0</v>
      </c>
      <c r="CE109" s="200">
        <f>SUMIFS(Database!$G:$G,Database!$D:$D,"Export",Database!$E:$E,$B109,Database!$C:$C,CE$1,Database!$F:$F,"Total")</f>
        <v>0</v>
      </c>
      <c r="CF109" s="200">
        <f>SUMIFS(Database!$G:$G,Database!$D:$D,"Export",Database!$E:$E,$B109,Database!$C:$C,CF$1,Database!$F:$F,"Total")</f>
        <v>0</v>
      </c>
      <c r="CG109" s="200">
        <f>SUMIFS(Database!$G:$G,Database!$D:$D,"Export",Database!$E:$E,$B109,Database!$C:$C,CG$1,Database!$F:$F,"Total")</f>
        <v>0</v>
      </c>
      <c r="CH109" s="200">
        <f>SUMIFS(Database!$G:$G,Database!$D:$D,"Export",Database!$E:$E,$B109,Database!$C:$C,CH$1,Database!$F:$F,"Total")</f>
        <v>0</v>
      </c>
      <c r="CI109" s="200">
        <f>SUMIFS(Database!$G:$G,Database!$D:$D,"Export",Database!$E:$E,$B109,Database!$C:$C,CI$1,Database!$F:$F,"Total")</f>
        <v>0</v>
      </c>
      <c r="CJ109" s="200">
        <f>SUMIFS(Database!$G:$G,Database!$D:$D,"Export",Database!$E:$E,$B109,Database!$C:$C,CJ$1,Database!$F:$F,"Total")</f>
        <v>0</v>
      </c>
      <c r="CK109" s="200">
        <f>SUMIFS(Database!$G:$G,Database!$D:$D,"Export",Database!$E:$E,$B109,Database!$C:$C,CK$1,Database!$F:$F,"Total")</f>
        <v>0</v>
      </c>
      <c r="CL109" s="200">
        <f>SUMIFS(Database!$G:$G,Database!$D:$D,"Export",Database!$E:$E,$B109,Database!$C:$C,CL$1,Database!$F:$F,"Total")</f>
        <v>0</v>
      </c>
      <c r="CM109" s="200">
        <f>SUMIFS(Database!$G:$G,Database!$D:$D,"Export",Database!$E:$E,$B109,Database!$C:$C,CM$1,Database!$F:$F,"Total")</f>
        <v>0</v>
      </c>
      <c r="CN109" s="200">
        <f>SUMIFS(Database!$G:$G,Database!$D:$D,"Export",Database!$E:$E,$B109,Database!$C:$C,CN$1,Database!$F:$F,"Total")</f>
        <v>0</v>
      </c>
      <c r="CO109" s="200">
        <f>SUMIFS(Database!$G:$G,Database!$D:$D,"Export",Database!$E:$E,$B109,Database!$C:$C,CO$1,Database!$F:$F,"Total")</f>
        <v>0</v>
      </c>
      <c r="CP109" s="200">
        <f>SUMIFS(Database!$G:$G,Database!$D:$D,"Export",Database!$E:$E,$B109,Database!$C:$C,CP$1,Database!$F:$F,"Total")</f>
        <v>0</v>
      </c>
      <c r="CQ109" s="200">
        <f>SUMIFS(Database!$G:$G,Database!$D:$D,"Export",Database!$E:$E,$B109,Database!$C:$C,CQ$1,Database!$F:$F,"Total")</f>
        <v>0</v>
      </c>
      <c r="CR109" s="200">
        <f>SUMIFS(Database!$G:$G,Database!$D:$D,"Export",Database!$E:$E,$B109,Database!$C:$C,CR$1,Database!$F:$F,"Total")</f>
        <v>0</v>
      </c>
      <c r="CS109" s="200">
        <f>SUMIFS(Database!$G:$G,Database!$D:$D,"Export",Database!$E:$E,$B109,Database!$C:$C,CS$1,Database!$F:$F,"Total")</f>
        <v>0</v>
      </c>
      <c r="CT109" s="200">
        <f>SUMIFS(Database!$G:$G,Database!$D:$D,"Export",Database!$E:$E,$B109,Database!$C:$C,CT$1,Database!$F:$F,"Total")</f>
        <v>0</v>
      </c>
      <c r="CU109" s="200">
        <f>SUMIFS(Database!$G:$G,Database!$D:$D,"Export",Database!$E:$E,$B109,Database!$C:$C,CU$1,Database!$F:$F,"Total")</f>
        <v>0</v>
      </c>
    </row>
    <row r="110" spans="1:99" x14ac:dyDescent="0.25">
      <c r="A110" s="132" t="s">
        <v>485</v>
      </c>
      <c r="B110" s="133" t="s">
        <v>115</v>
      </c>
      <c r="C110" s="137">
        <f>SUMIFS(Database!$G:$G,Database!$D:$D,"Export",Database!$E:$E,$B110,Database!$C:$C,C$1,Database!$F:$F,"Total")</f>
        <v>0</v>
      </c>
      <c r="D110" s="137">
        <f>SUMIFS(Database!$G:$G,Database!$D:$D,"Export",Database!$E:$E,$B110,Database!$C:$C,D$1,Database!$F:$F,"Total")</f>
        <v>0</v>
      </c>
      <c r="E110" s="137">
        <f>SUMIFS(Database!$G:$G,Database!$D:$D,"Export",Database!$E:$E,$B110,Database!$C:$C,E$1,Database!$F:$F,"Total")</f>
        <v>0</v>
      </c>
      <c r="F110" s="137">
        <f>SUMIFS(Database!$G:$G,Database!$D:$D,"Export",Database!$E:$E,$B110,Database!$C:$C,F$1,Database!$F:$F,"Total")</f>
        <v>0</v>
      </c>
      <c r="G110" s="137">
        <f>SUMIFS(Database!$G:$G,Database!$D:$D,"Export",Database!$E:$E,$B110,Database!$C:$C,G$1,Database!$F:$F,"Total")</f>
        <v>0</v>
      </c>
      <c r="H110" s="137">
        <f>SUMIFS(Database!$G:$G,Database!$D:$D,"Export",Database!$E:$E,$B110,Database!$C:$C,H$1,Database!$F:$F,"Total")</f>
        <v>0</v>
      </c>
      <c r="I110" s="137">
        <f>SUMIFS(Database!$G:$G,Database!$D:$D,"Export",Database!$E:$E,$B110,Database!$C:$C,I$1,Database!$F:$F,"Total")</f>
        <v>0</v>
      </c>
      <c r="J110" s="137">
        <f>SUMIFS(Database!$G:$G,Database!$D:$D,"Export",Database!$E:$E,$B110,Database!$C:$C,J$1,Database!$F:$F,"Total")</f>
        <v>0</v>
      </c>
      <c r="K110" s="137">
        <f>SUMIFS(Database!$G:$G,Database!$D:$D,"Export",Database!$E:$E,$B110,Database!$C:$C,K$1,Database!$F:$F,"Total")</f>
        <v>0</v>
      </c>
      <c r="L110" s="137">
        <f>SUMIFS(Database!$G:$G,Database!$D:$D,"Export",Database!$E:$E,$B110,Database!$C:$C,L$1,Database!$F:$F,"Total")</f>
        <v>0</v>
      </c>
      <c r="M110" s="137">
        <f>SUMIFS(Database!$G:$G,Database!$D:$D,"Export",Database!$E:$E,$B110,Database!$C:$C,M$1,Database!$F:$F,"Total")</f>
        <v>0</v>
      </c>
      <c r="N110" s="137">
        <f>SUMIFS(Database!$G:$G,Database!$D:$D,"Export",Database!$E:$E,$B110,Database!$C:$C,N$1,Database!$F:$F,"Total")</f>
        <v>0</v>
      </c>
      <c r="O110" s="137">
        <f>SUMIFS(Database!$G:$G,Database!$D:$D,"Export",Database!$E:$E,$B110,Database!$C:$C,O$1,Database!$F:$F,"Total")</f>
        <v>0</v>
      </c>
      <c r="P110" s="137">
        <f>SUMIFS(Database!$G:$G,Database!$D:$D,"Export",Database!$E:$E,$B110,Database!$C:$C,P$1,Database!$F:$F,"Total")</f>
        <v>0</v>
      </c>
      <c r="Q110" s="137">
        <f>SUMIFS(Database!$G:$G,Database!$D:$D,"Export",Database!$E:$E,$B110,Database!$C:$C,Q$1,Database!$F:$F,"Total")</f>
        <v>0</v>
      </c>
      <c r="R110" s="137">
        <f>SUMIFS(Database!$G:$G,Database!$D:$D,"Export",Database!$E:$E,$B110,Database!$C:$C,R$1,Database!$F:$F,"Total")</f>
        <v>0</v>
      </c>
      <c r="S110" s="137">
        <f>SUMIFS(Database!$G:$G,Database!$D:$D,"Export",Database!$E:$E,$B110,Database!$C:$C,S$1,Database!$F:$F,"Total")</f>
        <v>0</v>
      </c>
      <c r="T110" s="137">
        <f>SUMIFS(Database!$G:$G,Database!$D:$D,"Export",Database!$E:$E,$B110,Database!$C:$C,T$1,Database!$F:$F,"Total")</f>
        <v>0</v>
      </c>
      <c r="U110" s="137">
        <f>SUMIFS(Database!$G:$G,Database!$D:$D,"Export",Database!$E:$E,$B110,Database!$C:$C,U$1,Database!$F:$F,"Total")</f>
        <v>0</v>
      </c>
      <c r="V110" s="137">
        <f>SUMIFS(Database!$G:$G,Database!$D:$D,"Export",Database!$E:$E,$B110,Database!$C:$C,V$1,Database!$F:$F,"Total")</f>
        <v>0</v>
      </c>
      <c r="W110" s="137">
        <f>SUMIFS(Database!$G:$G,Database!$D:$D,"Export",Database!$E:$E,$B110,Database!$C:$C,W$1,Database!$F:$F,"Total")</f>
        <v>0</v>
      </c>
      <c r="X110" s="137">
        <f>SUMIFS(Database!$G:$G,Database!$D:$D,"Export",Database!$E:$E,$B110,Database!$C:$C,X$1,Database!$F:$F,"Total")</f>
        <v>0</v>
      </c>
      <c r="Y110" s="137">
        <f>SUMIFS(Database!$G:$G,Database!$D:$D,"Export",Database!$E:$E,$B110,Database!$C:$C,Y$1,Database!$F:$F,"Total")</f>
        <v>0</v>
      </c>
      <c r="Z110" s="137">
        <f>SUMIFS(Database!$G:$G,Database!$D:$D,"Export",Database!$E:$E,$B110,Database!$C:$C,Z$1,Database!$F:$F,"Total")</f>
        <v>0</v>
      </c>
      <c r="AA110" s="137">
        <f>SUMIFS(Database!$G:$G,Database!$D:$D,"Export",Database!$E:$E,$B110,Database!$C:$C,AA$1,Database!$F:$F,"Total")</f>
        <v>0</v>
      </c>
      <c r="AB110" s="137">
        <f>SUMIFS(Database!$G:$G,Database!$D:$D,"Export",Database!$E:$E,$B110,Database!$C:$C,AB$1,Database!$F:$F,"Total")</f>
        <v>0</v>
      </c>
      <c r="AC110" s="137">
        <f>SUMIFS(Database!$G:$G,Database!$D:$D,"Export",Database!$E:$E,$B110,Database!$C:$C,AC$1,Database!$F:$F,"Total")</f>
        <v>0</v>
      </c>
      <c r="AD110" s="137">
        <f>SUMIFS(Database!$G:$G,Database!$D:$D,"Export",Database!$E:$E,$B110,Database!$C:$C,AD$1,Database!$F:$F,"Total")</f>
        <v>0</v>
      </c>
      <c r="AE110" s="137">
        <f>SUMIFS(Database!$G:$G,Database!$D:$D,"Export",Database!$E:$E,$B110,Database!$C:$C,AE$1,Database!$F:$F,"Total")</f>
        <v>0</v>
      </c>
      <c r="AF110" s="137">
        <f>SUMIFS(Database!$G:$G,Database!$D:$D,"Export",Database!$E:$E,$B110,Database!$C:$C,AF$1,Database!$F:$F,"Total")</f>
        <v>0</v>
      </c>
      <c r="AG110" s="137">
        <f>SUMIFS(Database!$G:$G,Database!$D:$D,"Export",Database!$E:$E,$B110,Database!$C:$C,AG$1,Database!$F:$F,"Total")</f>
        <v>0</v>
      </c>
      <c r="AH110" s="137">
        <f>SUMIFS(Database!$G:$G,Database!$D:$D,"Export",Database!$E:$E,$B110,Database!$C:$C,AH$1,Database!$F:$F,"Total")</f>
        <v>0</v>
      </c>
      <c r="AI110" s="137">
        <f>SUMIFS(Database!$G:$G,Database!$D:$D,"Export",Database!$E:$E,$B110,Database!$C:$C,AI$1,Database!$F:$F,"Total")</f>
        <v>0</v>
      </c>
      <c r="AJ110" s="137">
        <f>SUMIFS(Database!$G:$G,Database!$D:$D,"Export",Database!$E:$E,$B110,Database!$C:$C,AJ$1,Database!$F:$F,"Total")</f>
        <v>0</v>
      </c>
      <c r="AK110" s="137">
        <f>SUMIFS(Database!$G:$G,Database!$D:$D,"Export",Database!$E:$E,$B110,Database!$C:$C,AK$1,Database!$F:$F,"Total")</f>
        <v>0</v>
      </c>
      <c r="AL110" s="137">
        <f>SUMIFS(Database!$G:$G,Database!$D:$D,"Export",Database!$E:$E,$B110,Database!$C:$C,AL$1,Database!$F:$F,"Total")</f>
        <v>0</v>
      </c>
      <c r="AM110" s="137">
        <f>SUMIFS(Database!$G:$G,Database!$D:$D,"Export",Database!$E:$E,$B110,Database!$C:$C,AM$1,Database!$F:$F,"Total")</f>
        <v>0</v>
      </c>
      <c r="AN110" s="137">
        <f>SUMIFS(Database!$G:$G,Database!$D:$D,"Export",Database!$E:$E,$B110,Database!$C:$C,AN$1,Database!$F:$F,"Total")</f>
        <v>0</v>
      </c>
      <c r="AO110" s="137">
        <f>SUMIFS(Database!$G:$G,Database!$D:$D,"Export",Database!$E:$E,$B110,Database!$C:$C,AO$1,Database!$F:$F,"Total")</f>
        <v>0</v>
      </c>
      <c r="AP110" s="137">
        <f>SUMIFS(Database!$G:$G,Database!$D:$D,"Export",Database!$E:$E,$B110,Database!$C:$C,AP$1,Database!$F:$F,"Total")</f>
        <v>0</v>
      </c>
      <c r="AQ110" s="137">
        <f>SUMIFS(Database!$G:$G,Database!$D:$D,"Export",Database!$E:$E,$B110,Database!$C:$C,AQ$1,Database!$F:$F,"Total")</f>
        <v>0</v>
      </c>
      <c r="AR110" s="137">
        <f>SUMIFS(Database!$G:$G,Database!$D:$D,"Export",Database!$E:$E,$B110,Database!$C:$C,AR$1,Database!$F:$F,"Total")</f>
        <v>0</v>
      </c>
      <c r="AS110" s="137">
        <f>SUMIFS(Database!$G:$G,Database!$D:$D,"Export",Database!$E:$E,$B110,Database!$C:$C,AS$1,Database!$F:$F,"Total")</f>
        <v>0</v>
      </c>
      <c r="AT110" s="137">
        <f>SUMIFS(Database!$G:$G,Database!$D:$D,"Export",Database!$E:$E,$B110,Database!$C:$C,AT$1,Database!$F:$F,"Total")</f>
        <v>0</v>
      </c>
      <c r="AU110" s="137">
        <f>SUMIFS(Database!$G:$G,Database!$D:$D,"Export",Database!$E:$E,$B110,Database!$C:$C,AU$1,Database!$F:$F,"Total")</f>
        <v>0</v>
      </c>
      <c r="AV110" s="137">
        <f>SUMIFS(Database!$G:$G,Database!$D:$D,"Export",Database!$E:$E,$B110,Database!$C:$C,AV$1,Database!$F:$F,"Total")</f>
        <v>0</v>
      </c>
      <c r="AW110" s="137">
        <f>SUMIFS(Database!$G:$G,Database!$D:$D,"Export",Database!$E:$E,$B110,Database!$C:$C,AW$1,Database!$F:$F,"Total")</f>
        <v>0</v>
      </c>
      <c r="AX110" s="137">
        <f>SUMIFS(Database!$G:$G,Database!$D:$D,"Export",Database!$E:$E,$B110,Database!$C:$C,AX$1,Database!$F:$F,"Total")</f>
        <v>0</v>
      </c>
      <c r="AY110" s="137">
        <f>SUMIFS(Database!$G:$G,Database!$D:$D,"Export",Database!$E:$E,$B110,Database!$C:$C,AY$1,Database!$F:$F,"Total")</f>
        <v>0</v>
      </c>
      <c r="AZ110" s="137">
        <f>SUMIFS(Database!$G:$G,Database!$D:$D,"Export",Database!$E:$E,$B110,Database!$C:$C,AZ$1,Database!$F:$F,"Total")</f>
        <v>0</v>
      </c>
      <c r="BA110" s="137">
        <f>SUMIFS(Database!$G:$G,Database!$D:$D,"Export",Database!$E:$E,$B110,Database!$C:$C,BA$1,Database!$F:$F,"Total")</f>
        <v>0</v>
      </c>
      <c r="BB110" s="137">
        <f>SUMIFS(Database!$G:$G,Database!$D:$D,"Export",Database!$E:$E,$B110,Database!$C:$C,BB$1,Database!$F:$F,"Total")</f>
        <v>0</v>
      </c>
      <c r="BC110" s="137">
        <f>SUMIFS(Database!$G:$G,Database!$D:$D,"Export",Database!$E:$E,$B110,Database!$C:$C,BC$1,Database!$F:$F,"Total")</f>
        <v>0</v>
      </c>
      <c r="BD110" s="137">
        <f>SUMIFS(Database!$G:$G,Database!$D:$D,"Export",Database!$E:$E,$B110,Database!$C:$C,BD$1,Database!$F:$F,"Total")</f>
        <v>0</v>
      </c>
      <c r="BE110" s="137">
        <f>SUMIFS(Database!$G:$G,Database!$D:$D,"Export",Database!$E:$E,$B110,Database!$C:$C,BE$1,Database!$F:$F,"Total")</f>
        <v>0</v>
      </c>
      <c r="BF110" s="137">
        <f>SUMIFS(Database!$G:$G,Database!$D:$D,"Export",Database!$E:$E,$B110,Database!$C:$C,BF$1,Database!$F:$F,"Total")</f>
        <v>0</v>
      </c>
      <c r="BG110" s="137">
        <f>SUMIFS(Database!$G:$G,Database!$D:$D,"Export",Database!$E:$E,$B110,Database!$C:$C,BG$1,Database!$F:$F,"Total")</f>
        <v>0</v>
      </c>
      <c r="BH110" s="137">
        <f>SUMIFS(Database!$G:$G,Database!$D:$D,"Export",Database!$E:$E,$B110,Database!$C:$C,BH$1,Database!$F:$F,"Total")</f>
        <v>358</v>
      </c>
      <c r="BI110" s="137">
        <f>SUMIFS(Database!$G:$G,Database!$D:$D,"Export",Database!$E:$E,$B110,Database!$C:$C,BI$1,Database!$F:$F,"Total")</f>
        <v>0</v>
      </c>
      <c r="BJ110" s="137">
        <f>SUMIFS(Database!$G:$G,Database!$D:$D,"Export",Database!$E:$E,$B110,Database!$C:$C,BJ$1,Database!$F:$F,"Total")</f>
        <v>0</v>
      </c>
      <c r="BK110" s="137">
        <f>SUMIFS(Database!$G:$G,Database!$D:$D,"Export",Database!$E:$E,$B110,Database!$C:$C,BK$1,Database!$F:$F,"Total")</f>
        <v>0</v>
      </c>
      <c r="BL110" s="137">
        <f>SUMIFS(Database!$G:$G,Database!$D:$D,"Export",Database!$E:$E,$B110,Database!$C:$C,BL$1,Database!$F:$F,"Total")</f>
        <v>0</v>
      </c>
      <c r="BM110" s="137">
        <f>SUMIFS(Database!$G:$G,Database!$D:$D,"Export",Database!$E:$E,$B110,Database!$C:$C,BM$1,Database!$F:$F,"Total")</f>
        <v>0</v>
      </c>
      <c r="BN110" s="137">
        <f>SUMIFS(Database!$G:$G,Database!$D:$D,"Export",Database!$E:$E,$B110,Database!$C:$C,BN$1,Database!$F:$F,"Total")</f>
        <v>0</v>
      </c>
      <c r="BO110" s="137">
        <f>SUMIFS(Database!$G:$G,Database!$D:$D,"Export",Database!$E:$E,$B110,Database!$C:$C,BO$1,Database!$F:$F,"Total")</f>
        <v>0</v>
      </c>
      <c r="BP110" s="137">
        <f>SUMIFS(Database!$G:$G,Database!$D:$D,"Export",Database!$E:$E,$B110,Database!$C:$C,BP$1,Database!$F:$F,"Total")</f>
        <v>0</v>
      </c>
      <c r="BQ110" s="137">
        <f>SUMIFS(Database!$G:$G,Database!$D:$D,"Export",Database!$E:$E,$B110,Database!$C:$C,BQ$1,Database!$F:$F,"Total")</f>
        <v>0</v>
      </c>
      <c r="BR110" s="137">
        <f>SUMIFS(Database!$G:$G,Database!$D:$D,"Export",Database!$E:$E,$B110,Database!$C:$C,BR$1,Database!$F:$F,"Total")</f>
        <v>0</v>
      </c>
      <c r="BS110" s="137">
        <f>SUMIFS(Database!$G:$G,Database!$D:$D,"Export",Database!$E:$E,$B110,Database!$C:$C,BS$1,Database!$F:$F,"Total")</f>
        <v>0</v>
      </c>
      <c r="BT110" s="137">
        <f>SUMIFS(Database!$G:$G,Database!$D:$D,"Export",Database!$E:$E,$B110,Database!$C:$C,BT$1,Database!$F:$F,"Total")</f>
        <v>0</v>
      </c>
      <c r="BU110" s="137">
        <f>SUMIFS(Database!$G:$G,Database!$D:$D,"Export",Database!$E:$E,$B110,Database!$C:$C,BU$1,Database!$F:$F,"Total")</f>
        <v>0</v>
      </c>
      <c r="BV110" s="137">
        <f>SUMIFS(Database!$G:$G,Database!$D:$D,"Export",Database!$E:$E,$B110,Database!$C:$C,BV$1,Database!$F:$F,"Total")</f>
        <v>0</v>
      </c>
      <c r="BW110" s="137">
        <f>SUMIFS(Database!$G:$G,Database!$D:$D,"Export",Database!$E:$E,$B110,Database!$C:$C,BW$1,Database!$F:$F,"Total")</f>
        <v>0</v>
      </c>
      <c r="BX110" s="137">
        <f>SUMIFS(Database!$G:$G,Database!$D:$D,"Export",Database!$E:$E,$B110,Database!$C:$C,BX$1,Database!$F:$F,"Total")</f>
        <v>0</v>
      </c>
      <c r="BY110" s="137">
        <f>SUMIFS(Database!$G:$G,Database!$D:$D,"Export",Database!$E:$E,$B110,Database!$C:$C,BY$1,Database!$F:$F,"Total")</f>
        <v>0</v>
      </c>
      <c r="BZ110" s="137">
        <f>SUMIFS(Database!$G:$G,Database!$D:$D,"Export",Database!$E:$E,$B110,Database!$C:$C,BZ$1,Database!$F:$F,"Total")</f>
        <v>0</v>
      </c>
      <c r="CA110" s="137">
        <f>SUMIFS(Database!$G:$G,Database!$D:$D,"Export",Database!$E:$E,$B110,Database!$C:$C,CA$1,Database!$F:$F,"Total")</f>
        <v>0</v>
      </c>
      <c r="CB110" s="137">
        <f>SUMIFS(Database!$G:$G,Database!$D:$D,"Export",Database!$E:$E,$B110,Database!$C:$C,CB$1,Database!$F:$F,"Total")</f>
        <v>0</v>
      </c>
      <c r="CC110" s="137">
        <f>SUMIFS(Database!$G:$G,Database!$D:$D,"Export",Database!$E:$E,$B110,Database!$C:$C,CC$1,Database!$F:$F,"Total")</f>
        <v>0</v>
      </c>
      <c r="CD110" s="137">
        <f>SUMIFS(Database!$G:$G,Database!$D:$D,"Export",Database!$E:$E,$B110,Database!$C:$C,CD$1,Database!$F:$F,"Total")</f>
        <v>0</v>
      </c>
      <c r="CE110" s="137">
        <f>SUMIFS(Database!$G:$G,Database!$D:$D,"Export",Database!$E:$E,$B110,Database!$C:$C,CE$1,Database!$F:$F,"Total")</f>
        <v>0</v>
      </c>
      <c r="CF110" s="137">
        <f>SUMIFS(Database!$G:$G,Database!$D:$D,"Export",Database!$E:$E,$B110,Database!$C:$C,CF$1,Database!$F:$F,"Total")</f>
        <v>0</v>
      </c>
      <c r="CG110" s="137">
        <f>SUMIFS(Database!$G:$G,Database!$D:$D,"Export",Database!$E:$E,$B110,Database!$C:$C,CG$1,Database!$F:$F,"Total")</f>
        <v>0</v>
      </c>
      <c r="CH110" s="137">
        <f>SUMIFS(Database!$G:$G,Database!$D:$D,"Export",Database!$E:$E,$B110,Database!$C:$C,CH$1,Database!$F:$F,"Total")</f>
        <v>0</v>
      </c>
      <c r="CI110" s="137">
        <f>SUMIFS(Database!$G:$G,Database!$D:$D,"Export",Database!$E:$E,$B110,Database!$C:$C,CI$1,Database!$F:$F,"Total")</f>
        <v>0</v>
      </c>
      <c r="CJ110" s="137">
        <f>SUMIFS(Database!$G:$G,Database!$D:$D,"Export",Database!$E:$E,$B110,Database!$C:$C,CJ$1,Database!$F:$F,"Total")</f>
        <v>0</v>
      </c>
      <c r="CK110" s="137">
        <f>SUMIFS(Database!$G:$G,Database!$D:$D,"Export",Database!$E:$E,$B110,Database!$C:$C,CK$1,Database!$F:$F,"Total")</f>
        <v>0</v>
      </c>
      <c r="CL110" s="137">
        <f>SUMIFS(Database!$G:$G,Database!$D:$D,"Export",Database!$E:$E,$B110,Database!$C:$C,CL$1,Database!$F:$F,"Total")</f>
        <v>0</v>
      </c>
      <c r="CM110" s="137">
        <f>SUMIFS(Database!$G:$G,Database!$D:$D,"Export",Database!$E:$E,$B110,Database!$C:$C,CM$1,Database!$F:$F,"Total")</f>
        <v>0</v>
      </c>
      <c r="CN110" s="137">
        <f>SUMIFS(Database!$G:$G,Database!$D:$D,"Export",Database!$E:$E,$B110,Database!$C:$C,CN$1,Database!$F:$F,"Total")</f>
        <v>0</v>
      </c>
      <c r="CO110" s="137">
        <f>SUMIFS(Database!$G:$G,Database!$D:$D,"Export",Database!$E:$E,$B110,Database!$C:$C,CO$1,Database!$F:$F,"Total")</f>
        <v>0</v>
      </c>
      <c r="CP110" s="137">
        <f>SUMIFS(Database!$G:$G,Database!$D:$D,"Export",Database!$E:$E,$B110,Database!$C:$C,CP$1,Database!$F:$F,"Total")</f>
        <v>0</v>
      </c>
      <c r="CQ110" s="137">
        <f>SUMIFS(Database!$G:$G,Database!$D:$D,"Export",Database!$E:$E,$B110,Database!$C:$C,CQ$1,Database!$F:$F,"Total")</f>
        <v>0</v>
      </c>
      <c r="CR110" s="137">
        <f>SUMIFS(Database!$G:$G,Database!$D:$D,"Export",Database!$E:$E,$B110,Database!$C:$C,CR$1,Database!$F:$F,"Total")</f>
        <v>0</v>
      </c>
      <c r="CS110" s="137">
        <f>SUMIFS(Database!$G:$G,Database!$D:$D,"Export",Database!$E:$E,$B110,Database!$C:$C,CS$1,Database!$F:$F,"Total")</f>
        <v>0</v>
      </c>
      <c r="CT110" s="137">
        <f>SUMIFS(Database!$G:$G,Database!$D:$D,"Export",Database!$E:$E,$B110,Database!$C:$C,CT$1,Database!$F:$F,"Total")</f>
        <v>0</v>
      </c>
      <c r="CU110" s="137">
        <f>SUMIFS(Database!$G:$G,Database!$D:$D,"Export",Database!$E:$E,$B110,Database!$C:$C,CU$1,Database!$F:$F,"Total")</f>
        <v>0</v>
      </c>
    </row>
    <row r="111" spans="1:99" x14ac:dyDescent="0.25">
      <c r="A111" s="132" t="s">
        <v>485</v>
      </c>
      <c r="B111" s="133" t="s">
        <v>116</v>
      </c>
      <c r="C111" s="137">
        <f>SUMIFS(Database!$G:$G,Database!$D:$D,"Export",Database!$E:$E,$B111,Database!$C:$C,C$1,Database!$F:$F,"Total")</f>
        <v>0</v>
      </c>
      <c r="D111" s="137">
        <f>SUMIFS(Database!$G:$G,Database!$D:$D,"Export",Database!$E:$E,$B111,Database!$C:$C,D$1,Database!$F:$F,"Total")</f>
        <v>0</v>
      </c>
      <c r="E111" s="137">
        <f>SUMIFS(Database!$G:$G,Database!$D:$D,"Export",Database!$E:$E,$B111,Database!$C:$C,E$1,Database!$F:$F,"Total")</f>
        <v>0</v>
      </c>
      <c r="F111" s="137">
        <f>SUMIFS(Database!$G:$G,Database!$D:$D,"Export",Database!$E:$E,$B111,Database!$C:$C,F$1,Database!$F:$F,"Total")</f>
        <v>0</v>
      </c>
      <c r="G111" s="137">
        <f>SUMIFS(Database!$G:$G,Database!$D:$D,"Export",Database!$E:$E,$B111,Database!$C:$C,G$1,Database!$F:$F,"Total")</f>
        <v>0</v>
      </c>
      <c r="H111" s="137">
        <f>SUMIFS(Database!$G:$G,Database!$D:$D,"Export",Database!$E:$E,$B111,Database!$C:$C,H$1,Database!$F:$F,"Total")</f>
        <v>0</v>
      </c>
      <c r="I111" s="137">
        <f>SUMIFS(Database!$G:$G,Database!$D:$D,"Export",Database!$E:$E,$B111,Database!$C:$C,I$1,Database!$F:$F,"Total")</f>
        <v>0</v>
      </c>
      <c r="J111" s="137">
        <f>SUMIFS(Database!$G:$G,Database!$D:$D,"Export",Database!$E:$E,$B111,Database!$C:$C,J$1,Database!$F:$F,"Total")</f>
        <v>0</v>
      </c>
      <c r="K111" s="137">
        <f>SUMIFS(Database!$G:$G,Database!$D:$D,"Export",Database!$E:$E,$B111,Database!$C:$C,K$1,Database!$F:$F,"Total")</f>
        <v>0</v>
      </c>
      <c r="L111" s="137">
        <f>SUMIFS(Database!$G:$G,Database!$D:$D,"Export",Database!$E:$E,$B111,Database!$C:$C,L$1,Database!$F:$F,"Total")</f>
        <v>0</v>
      </c>
      <c r="M111" s="137">
        <f>SUMIFS(Database!$G:$G,Database!$D:$D,"Export",Database!$E:$E,$B111,Database!$C:$C,M$1,Database!$F:$F,"Total")</f>
        <v>0</v>
      </c>
      <c r="N111" s="137">
        <f>SUMIFS(Database!$G:$G,Database!$D:$D,"Export",Database!$E:$E,$B111,Database!$C:$C,N$1,Database!$F:$F,"Total")</f>
        <v>0</v>
      </c>
      <c r="O111" s="137">
        <f>SUMIFS(Database!$G:$G,Database!$D:$D,"Export",Database!$E:$E,$B111,Database!$C:$C,O$1,Database!$F:$F,"Total")</f>
        <v>0</v>
      </c>
      <c r="P111" s="137">
        <f>SUMIFS(Database!$G:$G,Database!$D:$D,"Export",Database!$E:$E,$B111,Database!$C:$C,P$1,Database!$F:$F,"Total")</f>
        <v>0</v>
      </c>
      <c r="Q111" s="137">
        <f>SUMIFS(Database!$G:$G,Database!$D:$D,"Export",Database!$E:$E,$B111,Database!$C:$C,Q$1,Database!$F:$F,"Total")</f>
        <v>0</v>
      </c>
      <c r="R111" s="137">
        <f>SUMIFS(Database!$G:$G,Database!$D:$D,"Export",Database!$E:$E,$B111,Database!$C:$C,R$1,Database!$F:$F,"Total")</f>
        <v>0</v>
      </c>
      <c r="S111" s="137">
        <f>SUMIFS(Database!$G:$G,Database!$D:$D,"Export",Database!$E:$E,$B111,Database!$C:$C,S$1,Database!$F:$F,"Total")</f>
        <v>0</v>
      </c>
      <c r="T111" s="137">
        <f>SUMIFS(Database!$G:$G,Database!$D:$D,"Export",Database!$E:$E,$B111,Database!$C:$C,T$1,Database!$F:$F,"Total")</f>
        <v>0</v>
      </c>
      <c r="U111" s="137">
        <f>SUMIFS(Database!$G:$G,Database!$D:$D,"Export",Database!$E:$E,$B111,Database!$C:$C,U$1,Database!$F:$F,"Total")</f>
        <v>0</v>
      </c>
      <c r="V111" s="137">
        <f>SUMIFS(Database!$G:$G,Database!$D:$D,"Export",Database!$E:$E,$B111,Database!$C:$C,V$1,Database!$F:$F,"Total")</f>
        <v>0</v>
      </c>
      <c r="W111" s="137">
        <f>SUMIFS(Database!$G:$G,Database!$D:$D,"Export",Database!$E:$E,$B111,Database!$C:$C,W$1,Database!$F:$F,"Total")</f>
        <v>0</v>
      </c>
      <c r="X111" s="137">
        <f>SUMIFS(Database!$G:$G,Database!$D:$D,"Export",Database!$E:$E,$B111,Database!$C:$C,X$1,Database!$F:$F,"Total")</f>
        <v>0</v>
      </c>
      <c r="Y111" s="137">
        <f>SUMIFS(Database!$G:$G,Database!$D:$D,"Export",Database!$E:$E,$B111,Database!$C:$C,Y$1,Database!$F:$F,"Total")</f>
        <v>0</v>
      </c>
      <c r="Z111" s="137">
        <f>SUMIFS(Database!$G:$G,Database!$D:$D,"Export",Database!$E:$E,$B111,Database!$C:$C,Z$1,Database!$F:$F,"Total")</f>
        <v>0</v>
      </c>
      <c r="AA111" s="137">
        <f>SUMIFS(Database!$G:$G,Database!$D:$D,"Export",Database!$E:$E,$B111,Database!$C:$C,AA$1,Database!$F:$F,"Total")</f>
        <v>0</v>
      </c>
      <c r="AB111" s="137">
        <f>SUMIFS(Database!$G:$G,Database!$D:$D,"Export",Database!$E:$E,$B111,Database!$C:$C,AB$1,Database!$F:$F,"Total")</f>
        <v>0</v>
      </c>
      <c r="AC111" s="137">
        <f>SUMIFS(Database!$G:$G,Database!$D:$D,"Export",Database!$E:$E,$B111,Database!$C:$C,AC$1,Database!$F:$F,"Total")</f>
        <v>0</v>
      </c>
      <c r="AD111" s="137">
        <f>SUMIFS(Database!$G:$G,Database!$D:$D,"Export",Database!$E:$E,$B111,Database!$C:$C,AD$1,Database!$F:$F,"Total")</f>
        <v>0</v>
      </c>
      <c r="AE111" s="137">
        <f>SUMIFS(Database!$G:$G,Database!$D:$D,"Export",Database!$E:$E,$B111,Database!$C:$C,AE$1,Database!$F:$F,"Total")</f>
        <v>0</v>
      </c>
      <c r="AF111" s="137">
        <f>SUMIFS(Database!$G:$G,Database!$D:$D,"Export",Database!$E:$E,$B111,Database!$C:$C,AF$1,Database!$F:$F,"Total")</f>
        <v>0</v>
      </c>
      <c r="AG111" s="137">
        <f>SUMIFS(Database!$G:$G,Database!$D:$D,"Export",Database!$E:$E,$B111,Database!$C:$C,AG$1,Database!$F:$F,"Total")</f>
        <v>0</v>
      </c>
      <c r="AH111" s="137">
        <f>SUMIFS(Database!$G:$G,Database!$D:$D,"Export",Database!$E:$E,$B111,Database!$C:$C,AH$1,Database!$F:$F,"Total")</f>
        <v>0</v>
      </c>
      <c r="AI111" s="137">
        <f>SUMIFS(Database!$G:$G,Database!$D:$D,"Export",Database!$E:$E,$B111,Database!$C:$C,AI$1,Database!$F:$F,"Total")</f>
        <v>0</v>
      </c>
      <c r="AJ111" s="137">
        <f>SUMIFS(Database!$G:$G,Database!$D:$D,"Export",Database!$E:$E,$B111,Database!$C:$C,AJ$1,Database!$F:$F,"Total")</f>
        <v>0</v>
      </c>
      <c r="AK111" s="137">
        <f>SUMIFS(Database!$G:$G,Database!$D:$D,"Export",Database!$E:$E,$B111,Database!$C:$C,AK$1,Database!$F:$F,"Total")</f>
        <v>0</v>
      </c>
      <c r="AL111" s="137">
        <f>SUMIFS(Database!$G:$G,Database!$D:$D,"Export",Database!$E:$E,$B111,Database!$C:$C,AL$1,Database!$F:$F,"Total")</f>
        <v>0</v>
      </c>
      <c r="AM111" s="137">
        <f>SUMIFS(Database!$G:$G,Database!$D:$D,"Export",Database!$E:$E,$B111,Database!$C:$C,AM$1,Database!$F:$F,"Total")</f>
        <v>0</v>
      </c>
      <c r="AN111" s="137">
        <f>SUMIFS(Database!$G:$G,Database!$D:$D,"Export",Database!$E:$E,$B111,Database!$C:$C,AN$1,Database!$F:$F,"Total")</f>
        <v>0</v>
      </c>
      <c r="AO111" s="137">
        <f>SUMIFS(Database!$G:$G,Database!$D:$D,"Export",Database!$E:$E,$B111,Database!$C:$C,AO$1,Database!$F:$F,"Total")</f>
        <v>0</v>
      </c>
      <c r="AP111" s="137">
        <f>SUMIFS(Database!$G:$G,Database!$D:$D,"Export",Database!$E:$E,$B111,Database!$C:$C,AP$1,Database!$F:$F,"Total")</f>
        <v>0</v>
      </c>
      <c r="AQ111" s="137">
        <f>SUMIFS(Database!$G:$G,Database!$D:$D,"Export",Database!$E:$E,$B111,Database!$C:$C,AQ$1,Database!$F:$F,"Total")</f>
        <v>0</v>
      </c>
      <c r="AR111" s="137">
        <f>SUMIFS(Database!$G:$G,Database!$D:$D,"Export",Database!$E:$E,$B111,Database!$C:$C,AR$1,Database!$F:$F,"Total")</f>
        <v>0</v>
      </c>
      <c r="AS111" s="137">
        <f>SUMIFS(Database!$G:$G,Database!$D:$D,"Export",Database!$E:$E,$B111,Database!$C:$C,AS$1,Database!$F:$F,"Total")</f>
        <v>0</v>
      </c>
      <c r="AT111" s="137">
        <f>SUMIFS(Database!$G:$G,Database!$D:$D,"Export",Database!$E:$E,$B111,Database!$C:$C,AT$1,Database!$F:$F,"Total")</f>
        <v>0</v>
      </c>
      <c r="AU111" s="137">
        <f>SUMIFS(Database!$G:$G,Database!$D:$D,"Export",Database!$E:$E,$B111,Database!$C:$C,AU$1,Database!$F:$F,"Total")</f>
        <v>0</v>
      </c>
      <c r="AV111" s="137">
        <f>SUMIFS(Database!$G:$G,Database!$D:$D,"Export",Database!$E:$E,$B111,Database!$C:$C,AV$1,Database!$F:$F,"Total")</f>
        <v>0</v>
      </c>
      <c r="AW111" s="137">
        <f>SUMIFS(Database!$G:$G,Database!$D:$D,"Export",Database!$E:$E,$B111,Database!$C:$C,AW$1,Database!$F:$F,"Total")</f>
        <v>0</v>
      </c>
      <c r="AX111" s="137">
        <f>SUMIFS(Database!$G:$G,Database!$D:$D,"Export",Database!$E:$E,$B111,Database!$C:$C,AX$1,Database!$F:$F,"Total")</f>
        <v>0</v>
      </c>
      <c r="AY111" s="137">
        <f>SUMIFS(Database!$G:$G,Database!$D:$D,"Export",Database!$E:$E,$B111,Database!$C:$C,AY$1,Database!$F:$F,"Total")</f>
        <v>0</v>
      </c>
      <c r="AZ111" s="137">
        <f>SUMIFS(Database!$G:$G,Database!$D:$D,"Export",Database!$E:$E,$B111,Database!$C:$C,AZ$1,Database!$F:$F,"Total")</f>
        <v>0</v>
      </c>
      <c r="BA111" s="137">
        <f>SUMIFS(Database!$G:$G,Database!$D:$D,"Export",Database!$E:$E,$B111,Database!$C:$C,BA$1,Database!$F:$F,"Total")</f>
        <v>0</v>
      </c>
      <c r="BB111" s="137">
        <f>SUMIFS(Database!$G:$G,Database!$D:$D,"Export",Database!$E:$E,$B111,Database!$C:$C,BB$1,Database!$F:$F,"Total")</f>
        <v>0</v>
      </c>
      <c r="BC111" s="137">
        <f>SUMIFS(Database!$G:$G,Database!$D:$D,"Export",Database!$E:$E,$B111,Database!$C:$C,BC$1,Database!$F:$F,"Total")</f>
        <v>0</v>
      </c>
      <c r="BD111" s="137">
        <f>SUMIFS(Database!$G:$G,Database!$D:$D,"Export",Database!$E:$E,$B111,Database!$C:$C,BD$1,Database!$F:$F,"Total")</f>
        <v>0</v>
      </c>
      <c r="BE111" s="137">
        <f>SUMIFS(Database!$G:$G,Database!$D:$D,"Export",Database!$E:$E,$B111,Database!$C:$C,BE$1,Database!$F:$F,"Total")</f>
        <v>0</v>
      </c>
      <c r="BF111" s="137">
        <f>SUMIFS(Database!$G:$G,Database!$D:$D,"Export",Database!$E:$E,$B111,Database!$C:$C,BF$1,Database!$F:$F,"Total")</f>
        <v>0</v>
      </c>
      <c r="BG111" s="137">
        <f>SUMIFS(Database!$G:$G,Database!$D:$D,"Export",Database!$E:$E,$B111,Database!$C:$C,BG$1,Database!$F:$F,"Total")</f>
        <v>0</v>
      </c>
      <c r="BH111" s="137">
        <f>SUMIFS(Database!$G:$G,Database!$D:$D,"Export",Database!$E:$E,$B111,Database!$C:$C,BH$1,Database!$F:$F,"Total")</f>
        <v>1912</v>
      </c>
      <c r="BI111" s="137">
        <f>SUMIFS(Database!$G:$G,Database!$D:$D,"Export",Database!$E:$E,$B111,Database!$C:$C,BI$1,Database!$F:$F,"Total")</f>
        <v>0</v>
      </c>
      <c r="BJ111" s="137">
        <f>SUMIFS(Database!$G:$G,Database!$D:$D,"Export",Database!$E:$E,$B111,Database!$C:$C,BJ$1,Database!$F:$F,"Total")</f>
        <v>2365</v>
      </c>
      <c r="BK111" s="137">
        <f>SUMIFS(Database!$G:$G,Database!$D:$D,"Export",Database!$E:$E,$B111,Database!$C:$C,BK$1,Database!$F:$F,"Total")</f>
        <v>4098</v>
      </c>
      <c r="BL111" s="137">
        <f>SUMIFS(Database!$G:$G,Database!$D:$D,"Export",Database!$E:$E,$B111,Database!$C:$C,BL$1,Database!$F:$F,"Total")</f>
        <v>0</v>
      </c>
      <c r="BM111" s="137">
        <f>SUMIFS(Database!$G:$G,Database!$D:$D,"Export",Database!$E:$E,$B111,Database!$C:$C,BM$1,Database!$F:$F,"Total")</f>
        <v>0</v>
      </c>
      <c r="BN111" s="137">
        <f>SUMIFS(Database!$G:$G,Database!$D:$D,"Export",Database!$E:$E,$B111,Database!$C:$C,BN$1,Database!$F:$F,"Total")</f>
        <v>0</v>
      </c>
      <c r="BO111" s="137">
        <f>SUMIFS(Database!$G:$G,Database!$D:$D,"Export",Database!$E:$E,$B111,Database!$C:$C,BO$1,Database!$F:$F,"Total")</f>
        <v>0</v>
      </c>
      <c r="BP111" s="137">
        <f>SUMIFS(Database!$G:$G,Database!$D:$D,"Export",Database!$E:$E,$B111,Database!$C:$C,BP$1,Database!$F:$F,"Total")</f>
        <v>0</v>
      </c>
      <c r="BQ111" s="137">
        <f>SUMIFS(Database!$G:$G,Database!$D:$D,"Export",Database!$E:$E,$B111,Database!$C:$C,BQ$1,Database!$F:$F,"Total")</f>
        <v>0</v>
      </c>
      <c r="BR111" s="137">
        <f>SUMIFS(Database!$G:$G,Database!$D:$D,"Export",Database!$E:$E,$B111,Database!$C:$C,BR$1,Database!$F:$F,"Total")</f>
        <v>0</v>
      </c>
      <c r="BS111" s="137">
        <f>SUMIFS(Database!$G:$G,Database!$D:$D,"Export",Database!$E:$E,$B111,Database!$C:$C,BS$1,Database!$F:$F,"Total")</f>
        <v>0</v>
      </c>
      <c r="BT111" s="137">
        <f>SUMIFS(Database!$G:$G,Database!$D:$D,"Export",Database!$E:$E,$B111,Database!$C:$C,BT$1,Database!$F:$F,"Total")</f>
        <v>0</v>
      </c>
      <c r="BU111" s="137">
        <f>SUMIFS(Database!$G:$G,Database!$D:$D,"Export",Database!$E:$E,$B111,Database!$C:$C,BU$1,Database!$F:$F,"Total")</f>
        <v>0</v>
      </c>
      <c r="BV111" s="137">
        <f>SUMIFS(Database!$G:$G,Database!$D:$D,"Export",Database!$E:$E,$B111,Database!$C:$C,BV$1,Database!$F:$F,"Total")</f>
        <v>0</v>
      </c>
      <c r="BW111" s="137">
        <f>SUMIFS(Database!$G:$G,Database!$D:$D,"Export",Database!$E:$E,$B111,Database!$C:$C,BW$1,Database!$F:$F,"Total")</f>
        <v>0</v>
      </c>
      <c r="BX111" s="137">
        <f>SUMIFS(Database!$G:$G,Database!$D:$D,"Export",Database!$E:$E,$B111,Database!$C:$C,BX$1,Database!$F:$F,"Total")</f>
        <v>0</v>
      </c>
      <c r="BY111" s="137">
        <f>SUMIFS(Database!$G:$G,Database!$D:$D,"Export",Database!$E:$E,$B111,Database!$C:$C,BY$1,Database!$F:$F,"Total")</f>
        <v>0</v>
      </c>
      <c r="BZ111" s="137">
        <f>SUMIFS(Database!$G:$G,Database!$D:$D,"Export",Database!$E:$E,$B111,Database!$C:$C,BZ$1,Database!$F:$F,"Total")</f>
        <v>0</v>
      </c>
      <c r="CA111" s="137">
        <f>SUMIFS(Database!$G:$G,Database!$D:$D,"Export",Database!$E:$E,$B111,Database!$C:$C,CA$1,Database!$F:$F,"Total")</f>
        <v>0</v>
      </c>
      <c r="CB111" s="137">
        <f>SUMIFS(Database!$G:$G,Database!$D:$D,"Export",Database!$E:$E,$B111,Database!$C:$C,CB$1,Database!$F:$F,"Total")</f>
        <v>0</v>
      </c>
      <c r="CC111" s="137">
        <f>SUMIFS(Database!$G:$G,Database!$D:$D,"Export",Database!$E:$E,$B111,Database!$C:$C,CC$1,Database!$F:$F,"Total")</f>
        <v>0</v>
      </c>
      <c r="CD111" s="137">
        <f>SUMIFS(Database!$G:$G,Database!$D:$D,"Export",Database!$E:$E,$B111,Database!$C:$C,CD$1,Database!$F:$F,"Total")</f>
        <v>0</v>
      </c>
      <c r="CE111" s="137">
        <f>SUMIFS(Database!$G:$G,Database!$D:$D,"Export",Database!$E:$E,$B111,Database!$C:$C,CE$1,Database!$F:$F,"Total")</f>
        <v>0</v>
      </c>
      <c r="CF111" s="137">
        <f>SUMIFS(Database!$G:$G,Database!$D:$D,"Export",Database!$E:$E,$B111,Database!$C:$C,CF$1,Database!$F:$F,"Total")</f>
        <v>0</v>
      </c>
      <c r="CG111" s="137">
        <f>SUMIFS(Database!$G:$G,Database!$D:$D,"Export",Database!$E:$E,$B111,Database!$C:$C,CG$1,Database!$F:$F,"Total")</f>
        <v>0</v>
      </c>
      <c r="CH111" s="137">
        <f>SUMIFS(Database!$G:$G,Database!$D:$D,"Export",Database!$E:$E,$B111,Database!$C:$C,CH$1,Database!$F:$F,"Total")</f>
        <v>0</v>
      </c>
      <c r="CI111" s="137">
        <f>SUMIFS(Database!$G:$G,Database!$D:$D,"Export",Database!$E:$E,$B111,Database!$C:$C,CI$1,Database!$F:$F,"Total")</f>
        <v>0</v>
      </c>
      <c r="CJ111" s="137">
        <f>SUMIFS(Database!$G:$G,Database!$D:$D,"Export",Database!$E:$E,$B111,Database!$C:$C,CJ$1,Database!$F:$F,"Total")</f>
        <v>0</v>
      </c>
      <c r="CK111" s="137">
        <f>SUMIFS(Database!$G:$G,Database!$D:$D,"Export",Database!$E:$E,$B111,Database!$C:$C,CK$1,Database!$F:$F,"Total")</f>
        <v>0</v>
      </c>
      <c r="CL111" s="137">
        <f>SUMIFS(Database!$G:$G,Database!$D:$D,"Export",Database!$E:$E,$B111,Database!$C:$C,CL$1,Database!$F:$F,"Total")</f>
        <v>0</v>
      </c>
      <c r="CM111" s="137">
        <f>SUMIFS(Database!$G:$G,Database!$D:$D,"Export",Database!$E:$E,$B111,Database!$C:$C,CM$1,Database!$F:$F,"Total")</f>
        <v>0</v>
      </c>
      <c r="CN111" s="137">
        <f>SUMIFS(Database!$G:$G,Database!$D:$D,"Export",Database!$E:$E,$B111,Database!$C:$C,CN$1,Database!$F:$F,"Total")</f>
        <v>0</v>
      </c>
      <c r="CO111" s="137">
        <f>SUMIFS(Database!$G:$G,Database!$D:$D,"Export",Database!$E:$E,$B111,Database!$C:$C,CO$1,Database!$F:$F,"Total")</f>
        <v>0</v>
      </c>
      <c r="CP111" s="137">
        <f>SUMIFS(Database!$G:$G,Database!$D:$D,"Export",Database!$E:$E,$B111,Database!$C:$C,CP$1,Database!$F:$F,"Total")</f>
        <v>0</v>
      </c>
      <c r="CQ111" s="137">
        <f>SUMIFS(Database!$G:$G,Database!$D:$D,"Export",Database!$E:$E,$B111,Database!$C:$C,CQ$1,Database!$F:$F,"Total")</f>
        <v>0</v>
      </c>
      <c r="CR111" s="137">
        <f>SUMIFS(Database!$G:$G,Database!$D:$D,"Export",Database!$E:$E,$B111,Database!$C:$C,CR$1,Database!$F:$F,"Total")</f>
        <v>0</v>
      </c>
      <c r="CS111" s="137">
        <f>SUMIFS(Database!$G:$G,Database!$D:$D,"Export",Database!$E:$E,$B111,Database!$C:$C,CS$1,Database!$F:$F,"Total")</f>
        <v>0</v>
      </c>
      <c r="CT111" s="137">
        <f>SUMIFS(Database!$G:$G,Database!$D:$D,"Export",Database!$E:$E,$B111,Database!$C:$C,CT$1,Database!$F:$F,"Total")</f>
        <v>0</v>
      </c>
      <c r="CU111" s="137">
        <f>SUMIFS(Database!$G:$G,Database!$D:$D,"Export",Database!$E:$E,$B111,Database!$C:$C,CU$1,Database!$F:$F,"Total")</f>
        <v>0</v>
      </c>
    </row>
    <row r="112" spans="1:99" x14ac:dyDescent="0.25">
      <c r="A112" s="132" t="s">
        <v>485</v>
      </c>
      <c r="B112" s="133" t="s">
        <v>117</v>
      </c>
      <c r="C112" s="137">
        <f>SUMIFS(Database!$G:$G,Database!$D:$D,"Export",Database!$E:$E,$B112,Database!$C:$C,C$1,Database!$F:$F,"Total")</f>
        <v>0</v>
      </c>
      <c r="D112" s="137">
        <f>SUMIFS(Database!$G:$G,Database!$D:$D,"Export",Database!$E:$E,$B112,Database!$C:$C,D$1,Database!$F:$F,"Total")</f>
        <v>0</v>
      </c>
      <c r="E112" s="137">
        <f>SUMIFS(Database!$G:$G,Database!$D:$D,"Export",Database!$E:$E,$B112,Database!$C:$C,E$1,Database!$F:$F,"Total")</f>
        <v>0</v>
      </c>
      <c r="F112" s="137">
        <f>SUMIFS(Database!$G:$G,Database!$D:$D,"Export",Database!$E:$E,$B112,Database!$C:$C,F$1,Database!$F:$F,"Total")</f>
        <v>0</v>
      </c>
      <c r="G112" s="137">
        <f>SUMIFS(Database!$G:$G,Database!$D:$D,"Export",Database!$E:$E,$B112,Database!$C:$C,G$1,Database!$F:$F,"Total")</f>
        <v>0</v>
      </c>
      <c r="H112" s="137">
        <f>SUMIFS(Database!$G:$G,Database!$D:$D,"Export",Database!$E:$E,$B112,Database!$C:$C,H$1,Database!$F:$F,"Total")</f>
        <v>0</v>
      </c>
      <c r="I112" s="137">
        <f>SUMIFS(Database!$G:$G,Database!$D:$D,"Export",Database!$E:$E,$B112,Database!$C:$C,I$1,Database!$F:$F,"Total")</f>
        <v>0</v>
      </c>
      <c r="J112" s="137">
        <f>SUMIFS(Database!$G:$G,Database!$D:$D,"Export",Database!$E:$E,$B112,Database!$C:$C,J$1,Database!$F:$F,"Total")</f>
        <v>0</v>
      </c>
      <c r="K112" s="137">
        <f>SUMIFS(Database!$G:$G,Database!$D:$D,"Export",Database!$E:$E,$B112,Database!$C:$C,K$1,Database!$F:$F,"Total")</f>
        <v>0</v>
      </c>
      <c r="L112" s="137">
        <f>SUMIFS(Database!$G:$G,Database!$D:$D,"Export",Database!$E:$E,$B112,Database!$C:$C,L$1,Database!$F:$F,"Total")</f>
        <v>0</v>
      </c>
      <c r="M112" s="137">
        <f>SUMIFS(Database!$G:$G,Database!$D:$D,"Export",Database!$E:$E,$B112,Database!$C:$C,M$1,Database!$F:$F,"Total")</f>
        <v>0</v>
      </c>
      <c r="N112" s="137">
        <f>SUMIFS(Database!$G:$G,Database!$D:$D,"Export",Database!$E:$E,$B112,Database!$C:$C,N$1,Database!$F:$F,"Total")</f>
        <v>0</v>
      </c>
      <c r="O112" s="137">
        <f>SUMIFS(Database!$G:$G,Database!$D:$D,"Export",Database!$E:$E,$B112,Database!$C:$C,O$1,Database!$F:$F,"Total")</f>
        <v>0</v>
      </c>
      <c r="P112" s="137">
        <f>SUMIFS(Database!$G:$G,Database!$D:$D,"Export",Database!$E:$E,$B112,Database!$C:$C,P$1,Database!$F:$F,"Total")</f>
        <v>0</v>
      </c>
      <c r="Q112" s="137">
        <f>SUMIFS(Database!$G:$G,Database!$D:$D,"Export",Database!$E:$E,$B112,Database!$C:$C,Q$1,Database!$F:$F,"Total")</f>
        <v>0</v>
      </c>
      <c r="R112" s="137">
        <f>SUMIFS(Database!$G:$G,Database!$D:$D,"Export",Database!$E:$E,$B112,Database!$C:$C,R$1,Database!$F:$F,"Total")</f>
        <v>0</v>
      </c>
      <c r="S112" s="137">
        <f>SUMIFS(Database!$G:$G,Database!$D:$D,"Export",Database!$E:$E,$B112,Database!$C:$C,S$1,Database!$F:$F,"Total")</f>
        <v>0</v>
      </c>
      <c r="T112" s="137">
        <f>SUMIFS(Database!$G:$G,Database!$D:$D,"Export",Database!$E:$E,$B112,Database!$C:$C,T$1,Database!$F:$F,"Total")</f>
        <v>0</v>
      </c>
      <c r="U112" s="137">
        <f>SUMIFS(Database!$G:$G,Database!$D:$D,"Export",Database!$E:$E,$B112,Database!$C:$C,U$1,Database!$F:$F,"Total")</f>
        <v>0</v>
      </c>
      <c r="V112" s="137">
        <f>SUMIFS(Database!$G:$G,Database!$D:$D,"Export",Database!$E:$E,$B112,Database!$C:$C,V$1,Database!$F:$F,"Total")</f>
        <v>0</v>
      </c>
      <c r="W112" s="137">
        <f>SUMIFS(Database!$G:$G,Database!$D:$D,"Export",Database!$E:$E,$B112,Database!$C:$C,W$1,Database!$F:$F,"Total")</f>
        <v>0</v>
      </c>
      <c r="X112" s="137">
        <f>SUMIFS(Database!$G:$G,Database!$D:$D,"Export",Database!$E:$E,$B112,Database!$C:$C,X$1,Database!$F:$F,"Total")</f>
        <v>0</v>
      </c>
      <c r="Y112" s="137">
        <f>SUMIFS(Database!$G:$G,Database!$D:$D,"Export",Database!$E:$E,$B112,Database!$C:$C,Y$1,Database!$F:$F,"Total")</f>
        <v>0</v>
      </c>
      <c r="Z112" s="137">
        <f>SUMIFS(Database!$G:$G,Database!$D:$D,"Export",Database!$E:$E,$B112,Database!$C:$C,Z$1,Database!$F:$F,"Total")</f>
        <v>0</v>
      </c>
      <c r="AA112" s="137">
        <f>SUMIFS(Database!$G:$G,Database!$D:$D,"Export",Database!$E:$E,$B112,Database!$C:$C,AA$1,Database!$F:$F,"Total")</f>
        <v>0</v>
      </c>
      <c r="AB112" s="137">
        <f>SUMIFS(Database!$G:$G,Database!$D:$D,"Export",Database!$E:$E,$B112,Database!$C:$C,AB$1,Database!$F:$F,"Total")</f>
        <v>0</v>
      </c>
      <c r="AC112" s="137">
        <f>SUMIFS(Database!$G:$G,Database!$D:$D,"Export",Database!$E:$E,$B112,Database!$C:$C,AC$1,Database!$F:$F,"Total")</f>
        <v>0</v>
      </c>
      <c r="AD112" s="137">
        <f>SUMIFS(Database!$G:$G,Database!$D:$D,"Export",Database!$E:$E,$B112,Database!$C:$C,AD$1,Database!$F:$F,"Total")</f>
        <v>0</v>
      </c>
      <c r="AE112" s="137">
        <f>SUMIFS(Database!$G:$G,Database!$D:$D,"Export",Database!$E:$E,$B112,Database!$C:$C,AE$1,Database!$F:$F,"Total")</f>
        <v>0</v>
      </c>
      <c r="AF112" s="137">
        <f>SUMIFS(Database!$G:$G,Database!$D:$D,"Export",Database!$E:$E,$B112,Database!$C:$C,AF$1,Database!$F:$F,"Total")</f>
        <v>0</v>
      </c>
      <c r="AG112" s="137">
        <f>SUMIFS(Database!$G:$G,Database!$D:$D,"Export",Database!$E:$E,$B112,Database!$C:$C,AG$1,Database!$F:$F,"Total")</f>
        <v>0</v>
      </c>
      <c r="AH112" s="137">
        <f>SUMIFS(Database!$G:$G,Database!$D:$D,"Export",Database!$E:$E,$B112,Database!$C:$C,AH$1,Database!$F:$F,"Total")</f>
        <v>0</v>
      </c>
      <c r="AI112" s="137">
        <f>SUMIFS(Database!$G:$G,Database!$D:$D,"Export",Database!$E:$E,$B112,Database!$C:$C,AI$1,Database!$F:$F,"Total")</f>
        <v>0</v>
      </c>
      <c r="AJ112" s="137">
        <f>SUMIFS(Database!$G:$G,Database!$D:$D,"Export",Database!$E:$E,$B112,Database!$C:$C,AJ$1,Database!$F:$F,"Total")</f>
        <v>2</v>
      </c>
      <c r="AK112" s="137">
        <f>SUMIFS(Database!$G:$G,Database!$D:$D,"Export",Database!$E:$E,$B112,Database!$C:$C,AK$1,Database!$F:$F,"Total")</f>
        <v>0</v>
      </c>
      <c r="AL112" s="137">
        <f>SUMIFS(Database!$G:$G,Database!$D:$D,"Export",Database!$E:$E,$B112,Database!$C:$C,AL$1,Database!$F:$F,"Total")</f>
        <v>0</v>
      </c>
      <c r="AM112" s="137">
        <f>SUMIFS(Database!$G:$G,Database!$D:$D,"Export",Database!$E:$E,$B112,Database!$C:$C,AM$1,Database!$F:$F,"Total")</f>
        <v>0</v>
      </c>
      <c r="AN112" s="137">
        <f>SUMIFS(Database!$G:$G,Database!$D:$D,"Export",Database!$E:$E,$B112,Database!$C:$C,AN$1,Database!$F:$F,"Total")</f>
        <v>0</v>
      </c>
      <c r="AO112" s="137">
        <f>SUMIFS(Database!$G:$G,Database!$D:$D,"Export",Database!$E:$E,$B112,Database!$C:$C,AO$1,Database!$F:$F,"Total")</f>
        <v>0</v>
      </c>
      <c r="AP112" s="137">
        <f>SUMIFS(Database!$G:$G,Database!$D:$D,"Export",Database!$E:$E,$B112,Database!$C:$C,AP$1,Database!$F:$F,"Total")</f>
        <v>0</v>
      </c>
      <c r="AQ112" s="137">
        <f>SUMIFS(Database!$G:$G,Database!$D:$D,"Export",Database!$E:$E,$B112,Database!$C:$C,AQ$1,Database!$F:$F,"Total")</f>
        <v>0</v>
      </c>
      <c r="AR112" s="137">
        <f>SUMIFS(Database!$G:$G,Database!$D:$D,"Export",Database!$E:$E,$B112,Database!$C:$C,AR$1,Database!$F:$F,"Total")</f>
        <v>0</v>
      </c>
      <c r="AS112" s="137">
        <f>SUMIFS(Database!$G:$G,Database!$D:$D,"Export",Database!$E:$E,$B112,Database!$C:$C,AS$1,Database!$F:$F,"Total")</f>
        <v>0</v>
      </c>
      <c r="AT112" s="137">
        <f>SUMIFS(Database!$G:$G,Database!$D:$D,"Export",Database!$E:$E,$B112,Database!$C:$C,AT$1,Database!$F:$F,"Total")</f>
        <v>0</v>
      </c>
      <c r="AU112" s="137">
        <f>SUMIFS(Database!$G:$G,Database!$D:$D,"Export",Database!$E:$E,$B112,Database!$C:$C,AU$1,Database!$F:$F,"Total")</f>
        <v>0</v>
      </c>
      <c r="AV112" s="137">
        <f>SUMIFS(Database!$G:$G,Database!$D:$D,"Export",Database!$E:$E,$B112,Database!$C:$C,AV$1,Database!$F:$F,"Total")</f>
        <v>0</v>
      </c>
      <c r="AW112" s="137">
        <f>SUMIFS(Database!$G:$G,Database!$D:$D,"Export",Database!$E:$E,$B112,Database!$C:$C,AW$1,Database!$F:$F,"Total")</f>
        <v>0</v>
      </c>
      <c r="AX112" s="137">
        <f>SUMIFS(Database!$G:$G,Database!$D:$D,"Export",Database!$E:$E,$B112,Database!$C:$C,AX$1,Database!$F:$F,"Total")</f>
        <v>0</v>
      </c>
      <c r="AY112" s="137">
        <f>SUMIFS(Database!$G:$G,Database!$D:$D,"Export",Database!$E:$E,$B112,Database!$C:$C,AY$1,Database!$F:$F,"Total")</f>
        <v>0</v>
      </c>
      <c r="AZ112" s="137">
        <f>SUMIFS(Database!$G:$G,Database!$D:$D,"Export",Database!$E:$E,$B112,Database!$C:$C,AZ$1,Database!$F:$F,"Total")</f>
        <v>0</v>
      </c>
      <c r="BA112" s="137">
        <f>SUMIFS(Database!$G:$G,Database!$D:$D,"Export",Database!$E:$E,$B112,Database!$C:$C,BA$1,Database!$F:$F,"Total")</f>
        <v>0</v>
      </c>
      <c r="BB112" s="137">
        <f>SUMIFS(Database!$G:$G,Database!$D:$D,"Export",Database!$E:$E,$B112,Database!$C:$C,BB$1,Database!$F:$F,"Total")</f>
        <v>0</v>
      </c>
      <c r="BC112" s="137">
        <f>SUMIFS(Database!$G:$G,Database!$D:$D,"Export",Database!$E:$E,$B112,Database!$C:$C,BC$1,Database!$F:$F,"Total")</f>
        <v>0</v>
      </c>
      <c r="BD112" s="137">
        <f>SUMIFS(Database!$G:$G,Database!$D:$D,"Export",Database!$E:$E,$B112,Database!$C:$C,BD$1,Database!$F:$F,"Total")</f>
        <v>0</v>
      </c>
      <c r="BE112" s="137">
        <f>SUMIFS(Database!$G:$G,Database!$D:$D,"Export",Database!$E:$E,$B112,Database!$C:$C,BE$1,Database!$F:$F,"Total")</f>
        <v>0</v>
      </c>
      <c r="BF112" s="137">
        <f>SUMIFS(Database!$G:$G,Database!$D:$D,"Export",Database!$E:$E,$B112,Database!$C:$C,BF$1,Database!$F:$F,"Total")</f>
        <v>0</v>
      </c>
      <c r="BG112" s="137">
        <f>SUMIFS(Database!$G:$G,Database!$D:$D,"Export",Database!$E:$E,$B112,Database!$C:$C,BG$1,Database!$F:$F,"Total")</f>
        <v>0</v>
      </c>
      <c r="BH112" s="137">
        <f>SUMIFS(Database!$G:$G,Database!$D:$D,"Export",Database!$E:$E,$B112,Database!$C:$C,BH$1,Database!$F:$F,"Total")</f>
        <v>0</v>
      </c>
      <c r="BI112" s="137">
        <f>SUMIFS(Database!$G:$G,Database!$D:$D,"Export",Database!$E:$E,$B112,Database!$C:$C,BI$1,Database!$F:$F,"Total")</f>
        <v>0</v>
      </c>
      <c r="BJ112" s="137">
        <f>SUMIFS(Database!$G:$G,Database!$D:$D,"Export",Database!$E:$E,$B112,Database!$C:$C,BJ$1,Database!$F:$F,"Total")</f>
        <v>0</v>
      </c>
      <c r="BK112" s="137">
        <f>SUMIFS(Database!$G:$G,Database!$D:$D,"Export",Database!$E:$E,$B112,Database!$C:$C,BK$1,Database!$F:$F,"Total")</f>
        <v>0</v>
      </c>
      <c r="BL112" s="137">
        <f>SUMIFS(Database!$G:$G,Database!$D:$D,"Export",Database!$E:$E,$B112,Database!$C:$C,BL$1,Database!$F:$F,"Total")</f>
        <v>0</v>
      </c>
      <c r="BM112" s="137">
        <f>SUMIFS(Database!$G:$G,Database!$D:$D,"Export",Database!$E:$E,$B112,Database!$C:$C,BM$1,Database!$F:$F,"Total")</f>
        <v>0</v>
      </c>
      <c r="BN112" s="137">
        <f>SUMIFS(Database!$G:$G,Database!$D:$D,"Export",Database!$E:$E,$B112,Database!$C:$C,BN$1,Database!$F:$F,"Total")</f>
        <v>0</v>
      </c>
      <c r="BO112" s="137">
        <f>SUMIFS(Database!$G:$G,Database!$D:$D,"Export",Database!$E:$E,$B112,Database!$C:$C,BO$1,Database!$F:$F,"Total")</f>
        <v>0</v>
      </c>
      <c r="BP112" s="137">
        <f>SUMIFS(Database!$G:$G,Database!$D:$D,"Export",Database!$E:$E,$B112,Database!$C:$C,BP$1,Database!$F:$F,"Total")</f>
        <v>0</v>
      </c>
      <c r="BQ112" s="137">
        <f>SUMIFS(Database!$G:$G,Database!$D:$D,"Export",Database!$E:$E,$B112,Database!$C:$C,BQ$1,Database!$F:$F,"Total")</f>
        <v>0</v>
      </c>
      <c r="BR112" s="137">
        <f>SUMIFS(Database!$G:$G,Database!$D:$D,"Export",Database!$E:$E,$B112,Database!$C:$C,BR$1,Database!$F:$F,"Total")</f>
        <v>0</v>
      </c>
      <c r="BS112" s="137">
        <f>SUMIFS(Database!$G:$G,Database!$D:$D,"Export",Database!$E:$E,$B112,Database!$C:$C,BS$1,Database!$F:$F,"Total")</f>
        <v>0</v>
      </c>
      <c r="BT112" s="137">
        <f>SUMIFS(Database!$G:$G,Database!$D:$D,"Export",Database!$E:$E,$B112,Database!$C:$C,BT$1,Database!$F:$F,"Total")</f>
        <v>0</v>
      </c>
      <c r="BU112" s="137">
        <f>SUMIFS(Database!$G:$G,Database!$D:$D,"Export",Database!$E:$E,$B112,Database!$C:$C,BU$1,Database!$F:$F,"Total")</f>
        <v>0</v>
      </c>
      <c r="BV112" s="137">
        <f>SUMIFS(Database!$G:$G,Database!$D:$D,"Export",Database!$E:$E,$B112,Database!$C:$C,BV$1,Database!$F:$F,"Total")</f>
        <v>0</v>
      </c>
      <c r="BW112" s="137">
        <f>SUMIFS(Database!$G:$G,Database!$D:$D,"Export",Database!$E:$E,$B112,Database!$C:$C,BW$1,Database!$F:$F,"Total")</f>
        <v>0</v>
      </c>
      <c r="BX112" s="137">
        <f>SUMIFS(Database!$G:$G,Database!$D:$D,"Export",Database!$E:$E,$B112,Database!$C:$C,BX$1,Database!$F:$F,"Total")</f>
        <v>0</v>
      </c>
      <c r="BY112" s="137">
        <f>SUMIFS(Database!$G:$G,Database!$D:$D,"Export",Database!$E:$E,$B112,Database!$C:$C,BY$1,Database!$F:$F,"Total")</f>
        <v>0</v>
      </c>
      <c r="BZ112" s="137">
        <f>SUMIFS(Database!$G:$G,Database!$D:$D,"Export",Database!$E:$E,$B112,Database!$C:$C,BZ$1,Database!$F:$F,"Total")</f>
        <v>0</v>
      </c>
      <c r="CA112" s="137">
        <f>SUMIFS(Database!$G:$G,Database!$D:$D,"Export",Database!$E:$E,$B112,Database!$C:$C,CA$1,Database!$F:$F,"Total")</f>
        <v>0</v>
      </c>
      <c r="CB112" s="137">
        <f>SUMIFS(Database!$G:$G,Database!$D:$D,"Export",Database!$E:$E,$B112,Database!$C:$C,CB$1,Database!$F:$F,"Total")</f>
        <v>0</v>
      </c>
      <c r="CC112" s="137">
        <f>SUMIFS(Database!$G:$G,Database!$D:$D,"Export",Database!$E:$E,$B112,Database!$C:$C,CC$1,Database!$F:$F,"Total")</f>
        <v>0</v>
      </c>
      <c r="CD112" s="137">
        <f>SUMIFS(Database!$G:$G,Database!$D:$D,"Export",Database!$E:$E,$B112,Database!$C:$C,CD$1,Database!$F:$F,"Total")</f>
        <v>0</v>
      </c>
      <c r="CE112" s="137">
        <f>SUMIFS(Database!$G:$G,Database!$D:$D,"Export",Database!$E:$E,$B112,Database!$C:$C,CE$1,Database!$F:$F,"Total")</f>
        <v>0</v>
      </c>
      <c r="CF112" s="137">
        <f>SUMIFS(Database!$G:$G,Database!$D:$D,"Export",Database!$E:$E,$B112,Database!$C:$C,CF$1,Database!$F:$F,"Total")</f>
        <v>0</v>
      </c>
      <c r="CG112" s="137">
        <f>SUMIFS(Database!$G:$G,Database!$D:$D,"Export",Database!$E:$E,$B112,Database!$C:$C,CG$1,Database!$F:$F,"Total")</f>
        <v>0</v>
      </c>
      <c r="CH112" s="137">
        <f>SUMIFS(Database!$G:$G,Database!$D:$D,"Export",Database!$E:$E,$B112,Database!$C:$C,CH$1,Database!$F:$F,"Total")</f>
        <v>0</v>
      </c>
      <c r="CI112" s="137">
        <f>SUMIFS(Database!$G:$G,Database!$D:$D,"Export",Database!$E:$E,$B112,Database!$C:$C,CI$1,Database!$F:$F,"Total")</f>
        <v>0</v>
      </c>
      <c r="CJ112" s="137">
        <f>SUMIFS(Database!$G:$G,Database!$D:$D,"Export",Database!$E:$E,$B112,Database!$C:$C,CJ$1,Database!$F:$F,"Total")</f>
        <v>0</v>
      </c>
      <c r="CK112" s="137">
        <f>SUMIFS(Database!$G:$G,Database!$D:$D,"Export",Database!$E:$E,$B112,Database!$C:$C,CK$1,Database!$F:$F,"Total")</f>
        <v>0</v>
      </c>
      <c r="CL112" s="137">
        <f>SUMIFS(Database!$G:$G,Database!$D:$D,"Export",Database!$E:$E,$B112,Database!$C:$C,CL$1,Database!$F:$F,"Total")</f>
        <v>0</v>
      </c>
      <c r="CM112" s="137">
        <f>SUMIFS(Database!$G:$G,Database!$D:$D,"Export",Database!$E:$E,$B112,Database!$C:$C,CM$1,Database!$F:$F,"Total")</f>
        <v>0</v>
      </c>
      <c r="CN112" s="137">
        <f>SUMIFS(Database!$G:$G,Database!$D:$D,"Export",Database!$E:$E,$B112,Database!$C:$C,CN$1,Database!$F:$F,"Total")</f>
        <v>0</v>
      </c>
      <c r="CO112" s="137">
        <f>SUMIFS(Database!$G:$G,Database!$D:$D,"Export",Database!$E:$E,$B112,Database!$C:$C,CO$1,Database!$F:$F,"Total")</f>
        <v>0</v>
      </c>
      <c r="CP112" s="137">
        <f>SUMIFS(Database!$G:$G,Database!$D:$D,"Export",Database!$E:$E,$B112,Database!$C:$C,CP$1,Database!$F:$F,"Total")</f>
        <v>0</v>
      </c>
      <c r="CQ112" s="137">
        <f>SUMIFS(Database!$G:$G,Database!$D:$D,"Export",Database!$E:$E,$B112,Database!$C:$C,CQ$1,Database!$F:$F,"Total")</f>
        <v>0</v>
      </c>
      <c r="CR112" s="137">
        <f>SUMIFS(Database!$G:$G,Database!$D:$D,"Export",Database!$E:$E,$B112,Database!$C:$C,CR$1,Database!$F:$F,"Total")</f>
        <v>0</v>
      </c>
      <c r="CS112" s="137">
        <f>SUMIFS(Database!$G:$G,Database!$D:$D,"Export",Database!$E:$E,$B112,Database!$C:$C,CS$1,Database!$F:$F,"Total")</f>
        <v>0</v>
      </c>
      <c r="CT112" s="137">
        <f>SUMIFS(Database!$G:$G,Database!$D:$D,"Export",Database!$E:$E,$B112,Database!$C:$C,CT$1,Database!$F:$F,"Total")</f>
        <v>0</v>
      </c>
      <c r="CU112" s="137">
        <f>SUMIFS(Database!$G:$G,Database!$D:$D,"Export",Database!$E:$E,$B112,Database!$C:$C,CU$1,Database!$F:$F,"Total")</f>
        <v>0</v>
      </c>
    </row>
    <row r="113" spans="1:99" x14ac:dyDescent="0.25">
      <c r="A113" s="132" t="s">
        <v>485</v>
      </c>
      <c r="B113" s="133" t="s">
        <v>36</v>
      </c>
      <c r="C113" s="137">
        <f>SUMIFS(Database!$G:$G,Database!$D:$D,"Export",Database!$E:$E,$B113,Database!$C:$C,C$1,Database!$F:$F,"Total")</f>
        <v>0</v>
      </c>
      <c r="D113" s="137">
        <f>SUMIFS(Database!$G:$G,Database!$D:$D,"Export",Database!$E:$E,$B113,Database!$C:$C,D$1,Database!$F:$F,"Total")</f>
        <v>0</v>
      </c>
      <c r="E113" s="137">
        <f>SUMIFS(Database!$G:$G,Database!$D:$D,"Export",Database!$E:$E,$B113,Database!$C:$C,E$1,Database!$F:$F,"Total")</f>
        <v>0</v>
      </c>
      <c r="F113" s="137">
        <f>SUMIFS(Database!$G:$G,Database!$D:$D,"Export",Database!$E:$E,$B113,Database!$C:$C,F$1,Database!$F:$F,"Total")</f>
        <v>0</v>
      </c>
      <c r="G113" s="137">
        <f>SUMIFS(Database!$G:$G,Database!$D:$D,"Export",Database!$E:$E,$B113,Database!$C:$C,G$1,Database!$F:$F,"Total")</f>
        <v>0</v>
      </c>
      <c r="H113" s="137">
        <f>SUMIFS(Database!$G:$G,Database!$D:$D,"Export",Database!$E:$E,$B113,Database!$C:$C,H$1,Database!$F:$F,"Total")</f>
        <v>0</v>
      </c>
      <c r="I113" s="137">
        <f>SUMIFS(Database!$G:$G,Database!$D:$D,"Export",Database!$E:$E,$B113,Database!$C:$C,I$1,Database!$F:$F,"Total")</f>
        <v>0</v>
      </c>
      <c r="J113" s="137">
        <f>SUMIFS(Database!$G:$G,Database!$D:$D,"Export",Database!$E:$E,$B113,Database!$C:$C,J$1,Database!$F:$F,"Total")</f>
        <v>0</v>
      </c>
      <c r="K113" s="137">
        <f>SUMIFS(Database!$G:$G,Database!$D:$D,"Export",Database!$E:$E,$B113,Database!$C:$C,K$1,Database!$F:$F,"Total")</f>
        <v>0</v>
      </c>
      <c r="L113" s="137">
        <f>SUMIFS(Database!$G:$G,Database!$D:$D,"Export",Database!$E:$E,$B113,Database!$C:$C,L$1,Database!$F:$F,"Total")</f>
        <v>0</v>
      </c>
      <c r="M113" s="137">
        <f>SUMIFS(Database!$G:$G,Database!$D:$D,"Export",Database!$E:$E,$B113,Database!$C:$C,M$1,Database!$F:$F,"Total")</f>
        <v>0</v>
      </c>
      <c r="N113" s="137">
        <f>SUMIFS(Database!$G:$G,Database!$D:$D,"Export",Database!$E:$E,$B113,Database!$C:$C,N$1,Database!$F:$F,"Total")</f>
        <v>0</v>
      </c>
      <c r="O113" s="137">
        <f>SUMIFS(Database!$G:$G,Database!$D:$D,"Export",Database!$E:$E,$B113,Database!$C:$C,O$1,Database!$F:$F,"Total")</f>
        <v>0</v>
      </c>
      <c r="P113" s="137">
        <f>SUMIFS(Database!$G:$G,Database!$D:$D,"Export",Database!$E:$E,$B113,Database!$C:$C,P$1,Database!$F:$F,"Total")</f>
        <v>0</v>
      </c>
      <c r="Q113" s="137">
        <f>SUMIFS(Database!$G:$G,Database!$D:$D,"Export",Database!$E:$E,$B113,Database!$C:$C,Q$1,Database!$F:$F,"Total")</f>
        <v>0</v>
      </c>
      <c r="R113" s="137">
        <f>SUMIFS(Database!$G:$G,Database!$D:$D,"Export",Database!$E:$E,$B113,Database!$C:$C,R$1,Database!$F:$F,"Total")</f>
        <v>0</v>
      </c>
      <c r="S113" s="137">
        <f>SUMIFS(Database!$G:$G,Database!$D:$D,"Export",Database!$E:$E,$B113,Database!$C:$C,S$1,Database!$F:$F,"Total")</f>
        <v>0</v>
      </c>
      <c r="T113" s="137">
        <f>SUMIFS(Database!$G:$G,Database!$D:$D,"Export",Database!$E:$E,$B113,Database!$C:$C,T$1,Database!$F:$F,"Total")</f>
        <v>0</v>
      </c>
      <c r="U113" s="137">
        <f>SUMIFS(Database!$G:$G,Database!$D:$D,"Export",Database!$E:$E,$B113,Database!$C:$C,U$1,Database!$F:$F,"Total")</f>
        <v>0</v>
      </c>
      <c r="V113" s="137">
        <f>SUMIFS(Database!$G:$G,Database!$D:$D,"Export",Database!$E:$E,$B113,Database!$C:$C,V$1,Database!$F:$F,"Total")</f>
        <v>0</v>
      </c>
      <c r="W113" s="137">
        <f>SUMIFS(Database!$G:$G,Database!$D:$D,"Export",Database!$E:$E,$B113,Database!$C:$C,W$1,Database!$F:$F,"Total")</f>
        <v>0</v>
      </c>
      <c r="X113" s="137">
        <f>SUMIFS(Database!$G:$G,Database!$D:$D,"Export",Database!$E:$E,$B113,Database!$C:$C,X$1,Database!$F:$F,"Total")</f>
        <v>0</v>
      </c>
      <c r="Y113" s="137">
        <f>SUMIFS(Database!$G:$G,Database!$D:$D,"Export",Database!$E:$E,$B113,Database!$C:$C,Y$1,Database!$F:$F,"Total")</f>
        <v>0</v>
      </c>
      <c r="Z113" s="137">
        <f>SUMIFS(Database!$G:$G,Database!$D:$D,"Export",Database!$E:$E,$B113,Database!$C:$C,Z$1,Database!$F:$F,"Total")</f>
        <v>0</v>
      </c>
      <c r="AA113" s="137">
        <f>SUMIFS(Database!$G:$G,Database!$D:$D,"Export",Database!$E:$E,$B113,Database!$C:$C,AA$1,Database!$F:$F,"Total")</f>
        <v>0</v>
      </c>
      <c r="AB113" s="137">
        <f>SUMIFS(Database!$G:$G,Database!$D:$D,"Export",Database!$E:$E,$B113,Database!$C:$C,AB$1,Database!$F:$F,"Total")</f>
        <v>0</v>
      </c>
      <c r="AC113" s="137">
        <f>SUMIFS(Database!$G:$G,Database!$D:$D,"Export",Database!$E:$E,$B113,Database!$C:$C,AC$1,Database!$F:$F,"Total")</f>
        <v>0</v>
      </c>
      <c r="AD113" s="137">
        <f>SUMIFS(Database!$G:$G,Database!$D:$D,"Export",Database!$E:$E,$B113,Database!$C:$C,AD$1,Database!$F:$F,"Total")</f>
        <v>0</v>
      </c>
      <c r="AE113" s="137">
        <f>SUMIFS(Database!$G:$G,Database!$D:$D,"Export",Database!$E:$E,$B113,Database!$C:$C,AE$1,Database!$F:$F,"Total")</f>
        <v>0</v>
      </c>
      <c r="AF113" s="137">
        <f>SUMIFS(Database!$G:$G,Database!$D:$D,"Export",Database!$E:$E,$B113,Database!$C:$C,AF$1,Database!$F:$F,"Total")</f>
        <v>0</v>
      </c>
      <c r="AG113" s="137">
        <f>SUMIFS(Database!$G:$G,Database!$D:$D,"Export",Database!$E:$E,$B113,Database!$C:$C,AG$1,Database!$F:$F,"Total")</f>
        <v>0</v>
      </c>
      <c r="AH113" s="137">
        <f>SUMIFS(Database!$G:$G,Database!$D:$D,"Export",Database!$E:$E,$B113,Database!$C:$C,AH$1,Database!$F:$F,"Total")</f>
        <v>0</v>
      </c>
      <c r="AI113" s="137">
        <f>SUMIFS(Database!$G:$G,Database!$D:$D,"Export",Database!$E:$E,$B113,Database!$C:$C,AI$1,Database!$F:$F,"Total")</f>
        <v>0</v>
      </c>
      <c r="AJ113" s="137">
        <f>SUMIFS(Database!$G:$G,Database!$D:$D,"Export",Database!$E:$E,$B113,Database!$C:$C,AJ$1,Database!$F:$F,"Total")</f>
        <v>281</v>
      </c>
      <c r="AK113" s="137">
        <f>SUMIFS(Database!$G:$G,Database!$D:$D,"Export",Database!$E:$E,$B113,Database!$C:$C,AK$1,Database!$F:$F,"Total")</f>
        <v>0</v>
      </c>
      <c r="AL113" s="137">
        <f>SUMIFS(Database!$G:$G,Database!$D:$D,"Export",Database!$E:$E,$B113,Database!$C:$C,AL$1,Database!$F:$F,"Total")</f>
        <v>0</v>
      </c>
      <c r="AM113" s="137">
        <f>SUMIFS(Database!$G:$G,Database!$D:$D,"Export",Database!$E:$E,$B113,Database!$C:$C,AM$1,Database!$F:$F,"Total")</f>
        <v>0</v>
      </c>
      <c r="AN113" s="137">
        <f>SUMIFS(Database!$G:$G,Database!$D:$D,"Export",Database!$E:$E,$B113,Database!$C:$C,AN$1,Database!$F:$F,"Total")</f>
        <v>0</v>
      </c>
      <c r="AO113" s="137">
        <f>SUMIFS(Database!$G:$G,Database!$D:$D,"Export",Database!$E:$E,$B113,Database!$C:$C,AO$1,Database!$F:$F,"Total")</f>
        <v>0</v>
      </c>
      <c r="AP113" s="137">
        <f>SUMIFS(Database!$G:$G,Database!$D:$D,"Export",Database!$E:$E,$B113,Database!$C:$C,AP$1,Database!$F:$F,"Total")</f>
        <v>0</v>
      </c>
      <c r="AQ113" s="137">
        <f>SUMIFS(Database!$G:$G,Database!$D:$D,"Export",Database!$E:$E,$B113,Database!$C:$C,AQ$1,Database!$F:$F,"Total")</f>
        <v>0</v>
      </c>
      <c r="AR113" s="137">
        <f>SUMIFS(Database!$G:$G,Database!$D:$D,"Export",Database!$E:$E,$B113,Database!$C:$C,AR$1,Database!$F:$F,"Total")</f>
        <v>0</v>
      </c>
      <c r="AS113" s="137">
        <f>SUMIFS(Database!$G:$G,Database!$D:$D,"Export",Database!$E:$E,$B113,Database!$C:$C,AS$1,Database!$F:$F,"Total")</f>
        <v>0</v>
      </c>
      <c r="AT113" s="137">
        <f>SUMIFS(Database!$G:$G,Database!$D:$D,"Export",Database!$E:$E,$B113,Database!$C:$C,AT$1,Database!$F:$F,"Total")</f>
        <v>0</v>
      </c>
      <c r="AU113" s="137">
        <f>SUMIFS(Database!$G:$G,Database!$D:$D,"Export",Database!$E:$E,$B113,Database!$C:$C,AU$1,Database!$F:$F,"Total")</f>
        <v>0</v>
      </c>
      <c r="AV113" s="137">
        <f>SUMIFS(Database!$G:$G,Database!$D:$D,"Export",Database!$E:$E,$B113,Database!$C:$C,AV$1,Database!$F:$F,"Total")</f>
        <v>0</v>
      </c>
      <c r="AW113" s="137">
        <f>SUMIFS(Database!$G:$G,Database!$D:$D,"Export",Database!$E:$E,$B113,Database!$C:$C,AW$1,Database!$F:$F,"Total")</f>
        <v>0</v>
      </c>
      <c r="AX113" s="137">
        <f>SUMIFS(Database!$G:$G,Database!$D:$D,"Export",Database!$E:$E,$B113,Database!$C:$C,AX$1,Database!$F:$F,"Total")</f>
        <v>0</v>
      </c>
      <c r="AY113" s="137">
        <f>SUMIFS(Database!$G:$G,Database!$D:$D,"Export",Database!$E:$E,$B113,Database!$C:$C,AY$1,Database!$F:$F,"Total")</f>
        <v>0</v>
      </c>
      <c r="AZ113" s="137">
        <f>SUMIFS(Database!$G:$G,Database!$D:$D,"Export",Database!$E:$E,$B113,Database!$C:$C,AZ$1,Database!$F:$F,"Total")</f>
        <v>0</v>
      </c>
      <c r="BA113" s="137">
        <f>SUMIFS(Database!$G:$G,Database!$D:$D,"Export",Database!$E:$E,$B113,Database!$C:$C,BA$1,Database!$F:$F,"Total")</f>
        <v>0</v>
      </c>
      <c r="BB113" s="137">
        <f>SUMIFS(Database!$G:$G,Database!$D:$D,"Export",Database!$E:$E,$B113,Database!$C:$C,BB$1,Database!$F:$F,"Total")</f>
        <v>0</v>
      </c>
      <c r="BC113" s="137">
        <f>SUMIFS(Database!$G:$G,Database!$D:$D,"Export",Database!$E:$E,$B113,Database!$C:$C,BC$1,Database!$F:$F,"Total")</f>
        <v>0</v>
      </c>
      <c r="BD113" s="137">
        <f>SUMIFS(Database!$G:$G,Database!$D:$D,"Export",Database!$E:$E,$B113,Database!$C:$C,BD$1,Database!$F:$F,"Total")</f>
        <v>0</v>
      </c>
      <c r="BE113" s="137">
        <f>SUMIFS(Database!$G:$G,Database!$D:$D,"Export",Database!$E:$E,$B113,Database!$C:$C,BE$1,Database!$F:$F,"Total")</f>
        <v>0</v>
      </c>
      <c r="BF113" s="137">
        <f>SUMIFS(Database!$G:$G,Database!$D:$D,"Export",Database!$E:$E,$B113,Database!$C:$C,BF$1,Database!$F:$F,"Total")</f>
        <v>0</v>
      </c>
      <c r="BG113" s="137">
        <f>SUMIFS(Database!$G:$G,Database!$D:$D,"Export",Database!$E:$E,$B113,Database!$C:$C,BG$1,Database!$F:$F,"Total")</f>
        <v>0</v>
      </c>
      <c r="BH113" s="137">
        <f>SUMIFS(Database!$G:$G,Database!$D:$D,"Export",Database!$E:$E,$B113,Database!$C:$C,BH$1,Database!$F:$F,"Total")</f>
        <v>0</v>
      </c>
      <c r="BI113" s="137">
        <f>SUMIFS(Database!$G:$G,Database!$D:$D,"Export",Database!$E:$E,$B113,Database!$C:$C,BI$1,Database!$F:$F,"Total")</f>
        <v>0</v>
      </c>
      <c r="BJ113" s="137">
        <f>SUMIFS(Database!$G:$G,Database!$D:$D,"Export",Database!$E:$E,$B113,Database!$C:$C,BJ$1,Database!$F:$F,"Total")</f>
        <v>0</v>
      </c>
      <c r="BK113" s="137">
        <f>SUMIFS(Database!$G:$G,Database!$D:$D,"Export",Database!$E:$E,$B113,Database!$C:$C,BK$1,Database!$F:$F,"Total")</f>
        <v>0</v>
      </c>
      <c r="BL113" s="137">
        <f>SUMIFS(Database!$G:$G,Database!$D:$D,"Export",Database!$E:$E,$B113,Database!$C:$C,BL$1,Database!$F:$F,"Total")</f>
        <v>0</v>
      </c>
      <c r="BM113" s="137">
        <f>SUMIFS(Database!$G:$G,Database!$D:$D,"Export",Database!$E:$E,$B113,Database!$C:$C,BM$1,Database!$F:$F,"Total")</f>
        <v>0</v>
      </c>
      <c r="BN113" s="137">
        <f>SUMIFS(Database!$G:$G,Database!$D:$D,"Export",Database!$E:$E,$B113,Database!$C:$C,BN$1,Database!$F:$F,"Total")</f>
        <v>0</v>
      </c>
      <c r="BO113" s="137">
        <f>SUMIFS(Database!$G:$G,Database!$D:$D,"Export",Database!$E:$E,$B113,Database!$C:$C,BO$1,Database!$F:$F,"Total")</f>
        <v>0</v>
      </c>
      <c r="BP113" s="137">
        <f>SUMIFS(Database!$G:$G,Database!$D:$D,"Export",Database!$E:$E,$B113,Database!$C:$C,BP$1,Database!$F:$F,"Total")</f>
        <v>0</v>
      </c>
      <c r="BQ113" s="137">
        <f>SUMIFS(Database!$G:$G,Database!$D:$D,"Export",Database!$E:$E,$B113,Database!$C:$C,BQ$1,Database!$F:$F,"Total")</f>
        <v>0</v>
      </c>
      <c r="BR113" s="137">
        <f>SUMIFS(Database!$G:$G,Database!$D:$D,"Export",Database!$E:$E,$B113,Database!$C:$C,BR$1,Database!$F:$F,"Total")</f>
        <v>0</v>
      </c>
      <c r="BS113" s="137">
        <f>SUMIFS(Database!$G:$G,Database!$D:$D,"Export",Database!$E:$E,$B113,Database!$C:$C,BS$1,Database!$F:$F,"Total")</f>
        <v>0</v>
      </c>
      <c r="BT113" s="137">
        <f>SUMIFS(Database!$G:$G,Database!$D:$D,"Export",Database!$E:$E,$B113,Database!$C:$C,BT$1,Database!$F:$F,"Total")</f>
        <v>0</v>
      </c>
      <c r="BU113" s="137">
        <f>SUMIFS(Database!$G:$G,Database!$D:$D,"Export",Database!$E:$E,$B113,Database!$C:$C,BU$1,Database!$F:$F,"Total")</f>
        <v>0</v>
      </c>
      <c r="BV113" s="137">
        <f>SUMIFS(Database!$G:$G,Database!$D:$D,"Export",Database!$E:$E,$B113,Database!$C:$C,BV$1,Database!$F:$F,"Total")</f>
        <v>0</v>
      </c>
      <c r="BW113" s="137">
        <f>SUMIFS(Database!$G:$G,Database!$D:$D,"Export",Database!$E:$E,$B113,Database!$C:$C,BW$1,Database!$F:$F,"Total")</f>
        <v>0</v>
      </c>
      <c r="BX113" s="137">
        <f>SUMIFS(Database!$G:$G,Database!$D:$D,"Export",Database!$E:$E,$B113,Database!$C:$C,BX$1,Database!$F:$F,"Total")</f>
        <v>0</v>
      </c>
      <c r="BY113" s="137">
        <f>SUMIFS(Database!$G:$G,Database!$D:$D,"Export",Database!$E:$E,$B113,Database!$C:$C,BY$1,Database!$F:$F,"Total")</f>
        <v>0</v>
      </c>
      <c r="BZ113" s="137">
        <f>SUMIFS(Database!$G:$G,Database!$D:$D,"Export",Database!$E:$E,$B113,Database!$C:$C,BZ$1,Database!$F:$F,"Total")</f>
        <v>0</v>
      </c>
      <c r="CA113" s="137">
        <f>SUMIFS(Database!$G:$G,Database!$D:$D,"Export",Database!$E:$E,$B113,Database!$C:$C,CA$1,Database!$F:$F,"Total")</f>
        <v>0</v>
      </c>
      <c r="CB113" s="137">
        <f>SUMIFS(Database!$G:$G,Database!$D:$D,"Export",Database!$E:$E,$B113,Database!$C:$C,CB$1,Database!$F:$F,"Total")</f>
        <v>0</v>
      </c>
      <c r="CC113" s="137">
        <f>SUMIFS(Database!$G:$G,Database!$D:$D,"Export",Database!$E:$E,$B113,Database!$C:$C,CC$1,Database!$F:$F,"Total")</f>
        <v>0</v>
      </c>
      <c r="CD113" s="137">
        <f>SUMIFS(Database!$G:$G,Database!$D:$D,"Export",Database!$E:$E,$B113,Database!$C:$C,CD$1,Database!$F:$F,"Total")</f>
        <v>0</v>
      </c>
      <c r="CE113" s="137">
        <f>SUMIFS(Database!$G:$G,Database!$D:$D,"Export",Database!$E:$E,$B113,Database!$C:$C,CE$1,Database!$F:$F,"Total")</f>
        <v>0</v>
      </c>
      <c r="CF113" s="137">
        <f>SUMIFS(Database!$G:$G,Database!$D:$D,"Export",Database!$E:$E,$B113,Database!$C:$C,CF$1,Database!$F:$F,"Total")</f>
        <v>0</v>
      </c>
      <c r="CG113" s="137">
        <f>SUMIFS(Database!$G:$G,Database!$D:$D,"Export",Database!$E:$E,$B113,Database!$C:$C,CG$1,Database!$F:$F,"Total")</f>
        <v>0</v>
      </c>
      <c r="CH113" s="137">
        <f>SUMIFS(Database!$G:$G,Database!$D:$D,"Export",Database!$E:$E,$B113,Database!$C:$C,CH$1,Database!$F:$F,"Total")</f>
        <v>0</v>
      </c>
      <c r="CI113" s="137">
        <f>SUMIFS(Database!$G:$G,Database!$D:$D,"Export",Database!$E:$E,$B113,Database!$C:$C,CI$1,Database!$F:$F,"Total")</f>
        <v>0</v>
      </c>
      <c r="CJ113" s="137">
        <f>SUMIFS(Database!$G:$G,Database!$D:$D,"Export",Database!$E:$E,$B113,Database!$C:$C,CJ$1,Database!$F:$F,"Total")</f>
        <v>0</v>
      </c>
      <c r="CK113" s="137">
        <f>SUMIFS(Database!$G:$G,Database!$D:$D,"Export",Database!$E:$E,$B113,Database!$C:$C,CK$1,Database!$F:$F,"Total")</f>
        <v>0</v>
      </c>
      <c r="CL113" s="137">
        <f>SUMIFS(Database!$G:$G,Database!$D:$D,"Export",Database!$E:$E,$B113,Database!$C:$C,CL$1,Database!$F:$F,"Total")</f>
        <v>0</v>
      </c>
      <c r="CM113" s="137">
        <f>SUMIFS(Database!$G:$G,Database!$D:$D,"Export",Database!$E:$E,$B113,Database!$C:$C,CM$1,Database!$F:$F,"Total")</f>
        <v>0</v>
      </c>
      <c r="CN113" s="137">
        <f>SUMIFS(Database!$G:$G,Database!$D:$D,"Export",Database!$E:$E,$B113,Database!$C:$C,CN$1,Database!$F:$F,"Total")</f>
        <v>0</v>
      </c>
      <c r="CO113" s="137">
        <f>SUMIFS(Database!$G:$G,Database!$D:$D,"Export",Database!$E:$E,$B113,Database!$C:$C,CO$1,Database!$F:$F,"Total")</f>
        <v>0</v>
      </c>
      <c r="CP113" s="137">
        <f>SUMIFS(Database!$G:$G,Database!$D:$D,"Export",Database!$E:$E,$B113,Database!$C:$C,CP$1,Database!$F:$F,"Total")</f>
        <v>0</v>
      </c>
      <c r="CQ113" s="137">
        <f>SUMIFS(Database!$G:$G,Database!$D:$D,"Export",Database!$E:$E,$B113,Database!$C:$C,CQ$1,Database!$F:$F,"Total")</f>
        <v>0</v>
      </c>
      <c r="CR113" s="137">
        <f>SUMIFS(Database!$G:$G,Database!$D:$D,"Export",Database!$E:$E,$B113,Database!$C:$C,CR$1,Database!$F:$F,"Total")</f>
        <v>0</v>
      </c>
      <c r="CS113" s="137">
        <f>SUMIFS(Database!$G:$G,Database!$D:$D,"Export",Database!$E:$E,$B113,Database!$C:$C,CS$1,Database!$F:$F,"Total")</f>
        <v>0</v>
      </c>
      <c r="CT113" s="137">
        <f>SUMIFS(Database!$G:$G,Database!$D:$D,"Export",Database!$E:$E,$B113,Database!$C:$C,CT$1,Database!$F:$F,"Total")</f>
        <v>0</v>
      </c>
      <c r="CU113" s="137">
        <f>SUMIFS(Database!$G:$G,Database!$D:$D,"Export",Database!$E:$E,$B113,Database!$C:$C,CU$1,Database!$F:$F,"Total")</f>
        <v>0</v>
      </c>
    </row>
    <row r="114" spans="1:99" x14ac:dyDescent="0.25">
      <c r="A114" s="132" t="s">
        <v>485</v>
      </c>
      <c r="B114" s="133" t="s">
        <v>45</v>
      </c>
      <c r="C114" s="137">
        <f>SUMIFS(Database!$G:$G,Database!$D:$D,"Export",Database!$E:$E,$B114,Database!$C:$C,C$1,Database!$F:$F,"Total")</f>
        <v>0</v>
      </c>
      <c r="D114" s="137">
        <f>SUMIFS(Database!$G:$G,Database!$D:$D,"Export",Database!$E:$E,$B114,Database!$C:$C,D$1,Database!$F:$F,"Total")</f>
        <v>0</v>
      </c>
      <c r="E114" s="137">
        <f>SUMIFS(Database!$G:$G,Database!$D:$D,"Export",Database!$E:$E,$B114,Database!$C:$C,E$1,Database!$F:$F,"Total")</f>
        <v>0</v>
      </c>
      <c r="F114" s="137">
        <f>SUMIFS(Database!$G:$G,Database!$D:$D,"Export",Database!$E:$E,$B114,Database!$C:$C,F$1,Database!$F:$F,"Total")</f>
        <v>0</v>
      </c>
      <c r="G114" s="137">
        <f>SUMIFS(Database!$G:$G,Database!$D:$D,"Export",Database!$E:$E,$B114,Database!$C:$C,G$1,Database!$F:$F,"Total")</f>
        <v>0</v>
      </c>
      <c r="H114" s="137">
        <f>SUMIFS(Database!$G:$G,Database!$D:$D,"Export",Database!$E:$E,$B114,Database!$C:$C,H$1,Database!$F:$F,"Total")</f>
        <v>0</v>
      </c>
      <c r="I114" s="137">
        <f>SUMIFS(Database!$G:$G,Database!$D:$D,"Export",Database!$E:$E,$B114,Database!$C:$C,I$1,Database!$F:$F,"Total")</f>
        <v>0</v>
      </c>
      <c r="J114" s="137">
        <f>SUMIFS(Database!$G:$G,Database!$D:$D,"Export",Database!$E:$E,$B114,Database!$C:$C,J$1,Database!$F:$F,"Total")</f>
        <v>0</v>
      </c>
      <c r="K114" s="137">
        <f>SUMIFS(Database!$G:$G,Database!$D:$D,"Export",Database!$E:$E,$B114,Database!$C:$C,K$1,Database!$F:$F,"Total")</f>
        <v>0</v>
      </c>
      <c r="L114" s="137">
        <f>SUMIFS(Database!$G:$G,Database!$D:$D,"Export",Database!$E:$E,$B114,Database!$C:$C,L$1,Database!$F:$F,"Total")</f>
        <v>0</v>
      </c>
      <c r="M114" s="137">
        <f>SUMIFS(Database!$G:$G,Database!$D:$D,"Export",Database!$E:$E,$B114,Database!$C:$C,M$1,Database!$F:$F,"Total")</f>
        <v>0</v>
      </c>
      <c r="N114" s="137">
        <f>SUMIFS(Database!$G:$G,Database!$D:$D,"Export",Database!$E:$E,$B114,Database!$C:$C,N$1,Database!$F:$F,"Total")</f>
        <v>0</v>
      </c>
      <c r="O114" s="137">
        <f>SUMIFS(Database!$G:$G,Database!$D:$D,"Export",Database!$E:$E,$B114,Database!$C:$C,O$1,Database!$F:$F,"Total")</f>
        <v>0</v>
      </c>
      <c r="P114" s="137">
        <f>SUMIFS(Database!$G:$G,Database!$D:$D,"Export",Database!$E:$E,$B114,Database!$C:$C,P$1,Database!$F:$F,"Total")</f>
        <v>0</v>
      </c>
      <c r="Q114" s="137">
        <f>SUMIFS(Database!$G:$G,Database!$D:$D,"Export",Database!$E:$E,$B114,Database!$C:$C,Q$1,Database!$F:$F,"Total")</f>
        <v>0</v>
      </c>
      <c r="R114" s="137">
        <f>SUMIFS(Database!$G:$G,Database!$D:$D,"Export",Database!$E:$E,$B114,Database!$C:$C,R$1,Database!$F:$F,"Total")</f>
        <v>0</v>
      </c>
      <c r="S114" s="137">
        <f>SUMIFS(Database!$G:$G,Database!$D:$D,"Export",Database!$E:$E,$B114,Database!$C:$C,S$1,Database!$F:$F,"Total")</f>
        <v>0</v>
      </c>
      <c r="T114" s="137">
        <f>SUMIFS(Database!$G:$G,Database!$D:$D,"Export",Database!$E:$E,$B114,Database!$C:$C,T$1,Database!$F:$F,"Total")</f>
        <v>0</v>
      </c>
      <c r="U114" s="137">
        <f>SUMIFS(Database!$G:$G,Database!$D:$D,"Export",Database!$E:$E,$B114,Database!$C:$C,U$1,Database!$F:$F,"Total")</f>
        <v>0</v>
      </c>
      <c r="V114" s="137">
        <f>SUMIFS(Database!$G:$G,Database!$D:$D,"Export",Database!$E:$E,$B114,Database!$C:$C,V$1,Database!$F:$F,"Total")</f>
        <v>0</v>
      </c>
      <c r="W114" s="137">
        <f>SUMIFS(Database!$G:$G,Database!$D:$D,"Export",Database!$E:$E,$B114,Database!$C:$C,W$1,Database!$F:$F,"Total")</f>
        <v>0</v>
      </c>
      <c r="X114" s="137">
        <f>SUMIFS(Database!$G:$G,Database!$D:$D,"Export",Database!$E:$E,$B114,Database!$C:$C,X$1,Database!$F:$F,"Total")</f>
        <v>0</v>
      </c>
      <c r="Y114" s="137">
        <f>SUMIFS(Database!$G:$G,Database!$D:$D,"Export",Database!$E:$E,$B114,Database!$C:$C,Y$1,Database!$F:$F,"Total")</f>
        <v>0</v>
      </c>
      <c r="Z114" s="137">
        <f>SUMIFS(Database!$G:$G,Database!$D:$D,"Export",Database!$E:$E,$B114,Database!$C:$C,Z$1,Database!$F:$F,"Total")</f>
        <v>0</v>
      </c>
      <c r="AA114" s="137">
        <f>SUMIFS(Database!$G:$G,Database!$D:$D,"Export",Database!$E:$E,$B114,Database!$C:$C,AA$1,Database!$F:$F,"Total")</f>
        <v>0</v>
      </c>
      <c r="AB114" s="137">
        <f>SUMIFS(Database!$G:$G,Database!$D:$D,"Export",Database!$E:$E,$B114,Database!$C:$C,AB$1,Database!$F:$F,"Total")</f>
        <v>0</v>
      </c>
      <c r="AC114" s="137">
        <f>SUMIFS(Database!$G:$G,Database!$D:$D,"Export",Database!$E:$E,$B114,Database!$C:$C,AC$1,Database!$F:$F,"Total")</f>
        <v>0</v>
      </c>
      <c r="AD114" s="137">
        <f>SUMIFS(Database!$G:$G,Database!$D:$D,"Export",Database!$E:$E,$B114,Database!$C:$C,AD$1,Database!$F:$F,"Total")</f>
        <v>0</v>
      </c>
      <c r="AE114" s="137">
        <f>SUMIFS(Database!$G:$G,Database!$D:$D,"Export",Database!$E:$E,$B114,Database!$C:$C,AE$1,Database!$F:$F,"Total")</f>
        <v>0</v>
      </c>
      <c r="AF114" s="137">
        <f>SUMIFS(Database!$G:$G,Database!$D:$D,"Export",Database!$E:$E,$B114,Database!$C:$C,AF$1,Database!$F:$F,"Total")</f>
        <v>0</v>
      </c>
      <c r="AG114" s="137">
        <f>SUMIFS(Database!$G:$G,Database!$D:$D,"Export",Database!$E:$E,$B114,Database!$C:$C,AG$1,Database!$F:$F,"Total")</f>
        <v>0</v>
      </c>
      <c r="AH114" s="137">
        <f>SUMIFS(Database!$G:$G,Database!$D:$D,"Export",Database!$E:$E,$B114,Database!$C:$C,AH$1,Database!$F:$F,"Total")</f>
        <v>0</v>
      </c>
      <c r="AI114" s="137">
        <f>SUMIFS(Database!$G:$G,Database!$D:$D,"Export",Database!$E:$E,$B114,Database!$C:$C,AI$1,Database!$F:$F,"Total")</f>
        <v>0</v>
      </c>
      <c r="AJ114" s="137">
        <f>SUMIFS(Database!$G:$G,Database!$D:$D,"Export",Database!$E:$E,$B114,Database!$C:$C,AJ$1,Database!$F:$F,"Total")</f>
        <v>36</v>
      </c>
      <c r="AK114" s="137">
        <f>SUMIFS(Database!$G:$G,Database!$D:$D,"Export",Database!$E:$E,$B114,Database!$C:$C,AK$1,Database!$F:$F,"Total")</f>
        <v>0</v>
      </c>
      <c r="AL114" s="137">
        <f>SUMIFS(Database!$G:$G,Database!$D:$D,"Export",Database!$E:$E,$B114,Database!$C:$C,AL$1,Database!$F:$F,"Total")</f>
        <v>0</v>
      </c>
      <c r="AM114" s="137">
        <f>SUMIFS(Database!$G:$G,Database!$D:$D,"Export",Database!$E:$E,$B114,Database!$C:$C,AM$1,Database!$F:$F,"Total")</f>
        <v>0</v>
      </c>
      <c r="AN114" s="137">
        <f>SUMIFS(Database!$G:$G,Database!$D:$D,"Export",Database!$E:$E,$B114,Database!$C:$C,AN$1,Database!$F:$F,"Total")</f>
        <v>0</v>
      </c>
      <c r="AO114" s="137">
        <f>SUMIFS(Database!$G:$G,Database!$D:$D,"Export",Database!$E:$E,$B114,Database!$C:$C,AO$1,Database!$F:$F,"Total")</f>
        <v>0</v>
      </c>
      <c r="AP114" s="137">
        <f>SUMIFS(Database!$G:$G,Database!$D:$D,"Export",Database!$E:$E,$B114,Database!$C:$C,AP$1,Database!$F:$F,"Total")</f>
        <v>0</v>
      </c>
      <c r="AQ114" s="137">
        <f>SUMIFS(Database!$G:$G,Database!$D:$D,"Export",Database!$E:$E,$B114,Database!$C:$C,AQ$1,Database!$F:$F,"Total")</f>
        <v>0</v>
      </c>
      <c r="AR114" s="137">
        <f>SUMIFS(Database!$G:$G,Database!$D:$D,"Export",Database!$E:$E,$B114,Database!$C:$C,AR$1,Database!$F:$F,"Total")</f>
        <v>0</v>
      </c>
      <c r="AS114" s="137">
        <f>SUMIFS(Database!$G:$G,Database!$D:$D,"Export",Database!$E:$E,$B114,Database!$C:$C,AS$1,Database!$F:$F,"Total")</f>
        <v>0</v>
      </c>
      <c r="AT114" s="137">
        <f>SUMIFS(Database!$G:$G,Database!$D:$D,"Export",Database!$E:$E,$B114,Database!$C:$C,AT$1,Database!$F:$F,"Total")</f>
        <v>0</v>
      </c>
      <c r="AU114" s="137">
        <f>SUMIFS(Database!$G:$G,Database!$D:$D,"Export",Database!$E:$E,$B114,Database!$C:$C,AU$1,Database!$F:$F,"Total")</f>
        <v>0</v>
      </c>
      <c r="AV114" s="137">
        <f>SUMIFS(Database!$G:$G,Database!$D:$D,"Export",Database!$E:$E,$B114,Database!$C:$C,AV$1,Database!$F:$F,"Total")</f>
        <v>0</v>
      </c>
      <c r="AW114" s="137">
        <f>SUMIFS(Database!$G:$G,Database!$D:$D,"Export",Database!$E:$E,$B114,Database!$C:$C,AW$1,Database!$F:$F,"Total")</f>
        <v>0</v>
      </c>
      <c r="AX114" s="137">
        <f>SUMIFS(Database!$G:$G,Database!$D:$D,"Export",Database!$E:$E,$B114,Database!$C:$C,AX$1,Database!$F:$F,"Total")</f>
        <v>0</v>
      </c>
      <c r="AY114" s="137">
        <f>SUMIFS(Database!$G:$G,Database!$D:$D,"Export",Database!$E:$E,$B114,Database!$C:$C,AY$1,Database!$F:$F,"Total")</f>
        <v>0</v>
      </c>
      <c r="AZ114" s="137">
        <f>SUMIFS(Database!$G:$G,Database!$D:$D,"Export",Database!$E:$E,$B114,Database!$C:$C,AZ$1,Database!$F:$F,"Total")</f>
        <v>0</v>
      </c>
      <c r="BA114" s="137">
        <f>SUMIFS(Database!$G:$G,Database!$D:$D,"Export",Database!$E:$E,$B114,Database!$C:$C,BA$1,Database!$F:$F,"Total")</f>
        <v>0</v>
      </c>
      <c r="BB114" s="137">
        <f>SUMIFS(Database!$G:$G,Database!$D:$D,"Export",Database!$E:$E,$B114,Database!$C:$C,BB$1,Database!$F:$F,"Total")</f>
        <v>0</v>
      </c>
      <c r="BC114" s="137">
        <f>SUMIFS(Database!$G:$G,Database!$D:$D,"Export",Database!$E:$E,$B114,Database!$C:$C,BC$1,Database!$F:$F,"Total")</f>
        <v>0</v>
      </c>
      <c r="BD114" s="137">
        <f>SUMIFS(Database!$G:$G,Database!$D:$D,"Export",Database!$E:$E,$B114,Database!$C:$C,BD$1,Database!$F:$F,"Total")</f>
        <v>0</v>
      </c>
      <c r="BE114" s="137">
        <f>SUMIFS(Database!$G:$G,Database!$D:$D,"Export",Database!$E:$E,$B114,Database!$C:$C,BE$1,Database!$F:$F,"Total")</f>
        <v>0</v>
      </c>
      <c r="BF114" s="137">
        <f>SUMIFS(Database!$G:$G,Database!$D:$D,"Export",Database!$E:$E,$B114,Database!$C:$C,BF$1,Database!$F:$F,"Total")</f>
        <v>0</v>
      </c>
      <c r="BG114" s="137">
        <f>SUMIFS(Database!$G:$G,Database!$D:$D,"Export",Database!$E:$E,$B114,Database!$C:$C,BG$1,Database!$F:$F,"Total")</f>
        <v>0</v>
      </c>
      <c r="BH114" s="137">
        <f>SUMIFS(Database!$G:$G,Database!$D:$D,"Export",Database!$E:$E,$B114,Database!$C:$C,BH$1,Database!$F:$F,"Total")</f>
        <v>0</v>
      </c>
      <c r="BI114" s="137">
        <f>SUMIFS(Database!$G:$G,Database!$D:$D,"Export",Database!$E:$E,$B114,Database!$C:$C,BI$1,Database!$F:$F,"Total")</f>
        <v>0</v>
      </c>
      <c r="BJ114" s="137">
        <f>SUMIFS(Database!$G:$G,Database!$D:$D,"Export",Database!$E:$E,$B114,Database!$C:$C,BJ$1,Database!$F:$F,"Total")</f>
        <v>0</v>
      </c>
      <c r="BK114" s="137">
        <f>SUMIFS(Database!$G:$G,Database!$D:$D,"Export",Database!$E:$E,$B114,Database!$C:$C,BK$1,Database!$F:$F,"Total")</f>
        <v>0</v>
      </c>
      <c r="BL114" s="137">
        <f>SUMIFS(Database!$G:$G,Database!$D:$D,"Export",Database!$E:$E,$B114,Database!$C:$C,BL$1,Database!$F:$F,"Total")</f>
        <v>0</v>
      </c>
      <c r="BM114" s="137">
        <f>SUMIFS(Database!$G:$G,Database!$D:$D,"Export",Database!$E:$E,$B114,Database!$C:$C,BM$1,Database!$F:$F,"Total")</f>
        <v>0</v>
      </c>
      <c r="BN114" s="137">
        <f>SUMIFS(Database!$G:$G,Database!$D:$D,"Export",Database!$E:$E,$B114,Database!$C:$C,BN$1,Database!$F:$F,"Total")</f>
        <v>0</v>
      </c>
      <c r="BO114" s="137">
        <f>SUMIFS(Database!$G:$G,Database!$D:$D,"Export",Database!$E:$E,$B114,Database!$C:$C,BO$1,Database!$F:$F,"Total")</f>
        <v>0</v>
      </c>
      <c r="BP114" s="137">
        <f>SUMIFS(Database!$G:$G,Database!$D:$D,"Export",Database!$E:$E,$B114,Database!$C:$C,BP$1,Database!$F:$F,"Total")</f>
        <v>0</v>
      </c>
      <c r="BQ114" s="137">
        <f>SUMIFS(Database!$G:$G,Database!$D:$D,"Export",Database!$E:$E,$B114,Database!$C:$C,BQ$1,Database!$F:$F,"Total")</f>
        <v>0</v>
      </c>
      <c r="BR114" s="137">
        <f>SUMIFS(Database!$G:$G,Database!$D:$D,"Export",Database!$E:$E,$B114,Database!$C:$C,BR$1,Database!$F:$F,"Total")</f>
        <v>0</v>
      </c>
      <c r="BS114" s="137">
        <f>SUMIFS(Database!$G:$G,Database!$D:$D,"Export",Database!$E:$E,$B114,Database!$C:$C,BS$1,Database!$F:$F,"Total")</f>
        <v>0</v>
      </c>
      <c r="BT114" s="137">
        <f>SUMIFS(Database!$G:$G,Database!$D:$D,"Export",Database!$E:$E,$B114,Database!$C:$C,BT$1,Database!$F:$F,"Total")</f>
        <v>0</v>
      </c>
      <c r="BU114" s="137">
        <f>SUMIFS(Database!$G:$G,Database!$D:$D,"Export",Database!$E:$E,$B114,Database!$C:$C,BU$1,Database!$F:$F,"Total")</f>
        <v>0</v>
      </c>
      <c r="BV114" s="137">
        <f>SUMIFS(Database!$G:$G,Database!$D:$D,"Export",Database!$E:$E,$B114,Database!$C:$C,BV$1,Database!$F:$F,"Total")</f>
        <v>0</v>
      </c>
      <c r="BW114" s="137">
        <f>SUMIFS(Database!$G:$G,Database!$D:$D,"Export",Database!$E:$E,$B114,Database!$C:$C,BW$1,Database!$F:$F,"Total")</f>
        <v>0</v>
      </c>
      <c r="BX114" s="137">
        <f>SUMIFS(Database!$G:$G,Database!$D:$D,"Export",Database!$E:$E,$B114,Database!$C:$C,BX$1,Database!$F:$F,"Total")</f>
        <v>0</v>
      </c>
      <c r="BY114" s="137">
        <f>SUMIFS(Database!$G:$G,Database!$D:$D,"Export",Database!$E:$E,$B114,Database!$C:$C,BY$1,Database!$F:$F,"Total")</f>
        <v>0</v>
      </c>
      <c r="BZ114" s="137">
        <f>SUMIFS(Database!$G:$G,Database!$D:$D,"Export",Database!$E:$E,$B114,Database!$C:$C,BZ$1,Database!$F:$F,"Total")</f>
        <v>0</v>
      </c>
      <c r="CA114" s="137">
        <f>SUMIFS(Database!$G:$G,Database!$D:$D,"Export",Database!$E:$E,$B114,Database!$C:$C,CA$1,Database!$F:$F,"Total")</f>
        <v>0</v>
      </c>
      <c r="CB114" s="137">
        <f>SUMIFS(Database!$G:$G,Database!$D:$D,"Export",Database!$E:$E,$B114,Database!$C:$C,CB$1,Database!$F:$F,"Total")</f>
        <v>0</v>
      </c>
      <c r="CC114" s="137">
        <f>SUMIFS(Database!$G:$G,Database!$D:$D,"Export",Database!$E:$E,$B114,Database!$C:$C,CC$1,Database!$F:$F,"Total")</f>
        <v>0</v>
      </c>
      <c r="CD114" s="137">
        <f>SUMIFS(Database!$G:$G,Database!$D:$D,"Export",Database!$E:$E,$B114,Database!$C:$C,CD$1,Database!$F:$F,"Total")</f>
        <v>0</v>
      </c>
      <c r="CE114" s="137">
        <f>SUMIFS(Database!$G:$G,Database!$D:$D,"Export",Database!$E:$E,$B114,Database!$C:$C,CE$1,Database!$F:$F,"Total")</f>
        <v>0</v>
      </c>
      <c r="CF114" s="137">
        <f>SUMIFS(Database!$G:$G,Database!$D:$D,"Export",Database!$E:$E,$B114,Database!$C:$C,CF$1,Database!$F:$F,"Total")</f>
        <v>0</v>
      </c>
      <c r="CG114" s="137">
        <f>SUMIFS(Database!$G:$G,Database!$D:$D,"Export",Database!$E:$E,$B114,Database!$C:$C,CG$1,Database!$F:$F,"Total")</f>
        <v>0</v>
      </c>
      <c r="CH114" s="137">
        <f>SUMIFS(Database!$G:$G,Database!$D:$D,"Export",Database!$E:$E,$B114,Database!$C:$C,CH$1,Database!$F:$F,"Total")</f>
        <v>0</v>
      </c>
      <c r="CI114" s="137">
        <f>SUMIFS(Database!$G:$G,Database!$D:$D,"Export",Database!$E:$E,$B114,Database!$C:$C,CI$1,Database!$F:$F,"Total")</f>
        <v>0</v>
      </c>
      <c r="CJ114" s="137">
        <f>SUMIFS(Database!$G:$G,Database!$D:$D,"Export",Database!$E:$E,$B114,Database!$C:$C,CJ$1,Database!$F:$F,"Total")</f>
        <v>0</v>
      </c>
      <c r="CK114" s="137">
        <f>SUMIFS(Database!$G:$G,Database!$D:$D,"Export",Database!$E:$E,$B114,Database!$C:$C,CK$1,Database!$F:$F,"Total")</f>
        <v>0</v>
      </c>
      <c r="CL114" s="137">
        <f>SUMIFS(Database!$G:$G,Database!$D:$D,"Export",Database!$E:$E,$B114,Database!$C:$C,CL$1,Database!$F:$F,"Total")</f>
        <v>0</v>
      </c>
      <c r="CM114" s="137">
        <f>SUMIFS(Database!$G:$G,Database!$D:$D,"Export",Database!$E:$E,$B114,Database!$C:$C,CM$1,Database!$F:$F,"Total")</f>
        <v>0</v>
      </c>
      <c r="CN114" s="137">
        <f>SUMIFS(Database!$G:$G,Database!$D:$D,"Export",Database!$E:$E,$B114,Database!$C:$C,CN$1,Database!$F:$F,"Total")</f>
        <v>0</v>
      </c>
      <c r="CO114" s="137">
        <f>SUMIFS(Database!$G:$G,Database!$D:$D,"Export",Database!$E:$E,$B114,Database!$C:$C,CO$1,Database!$F:$F,"Total")</f>
        <v>0</v>
      </c>
      <c r="CP114" s="137">
        <f>SUMIFS(Database!$G:$G,Database!$D:$D,"Export",Database!$E:$E,$B114,Database!$C:$C,CP$1,Database!$F:$F,"Total")</f>
        <v>0</v>
      </c>
      <c r="CQ114" s="137">
        <f>SUMIFS(Database!$G:$G,Database!$D:$D,"Export",Database!$E:$E,$B114,Database!$C:$C,CQ$1,Database!$F:$F,"Total")</f>
        <v>0</v>
      </c>
      <c r="CR114" s="137">
        <f>SUMIFS(Database!$G:$G,Database!$D:$D,"Export",Database!$E:$E,$B114,Database!$C:$C,CR$1,Database!$F:$F,"Total")</f>
        <v>0</v>
      </c>
      <c r="CS114" s="137">
        <f>SUMIFS(Database!$G:$G,Database!$D:$D,"Export",Database!$E:$E,$B114,Database!$C:$C,CS$1,Database!$F:$F,"Total")</f>
        <v>0</v>
      </c>
      <c r="CT114" s="137">
        <f>SUMIFS(Database!$G:$G,Database!$D:$D,"Export",Database!$E:$E,$B114,Database!$C:$C,CT$1,Database!$F:$F,"Total")</f>
        <v>0</v>
      </c>
      <c r="CU114" s="137">
        <f>SUMIFS(Database!$G:$G,Database!$D:$D,"Export",Database!$E:$E,$B114,Database!$C:$C,CU$1,Database!$F:$F,"Total")</f>
        <v>0</v>
      </c>
    </row>
    <row r="115" spans="1:99" x14ac:dyDescent="0.25">
      <c r="A115" s="132" t="s">
        <v>485</v>
      </c>
      <c r="B115" s="133" t="s">
        <v>118</v>
      </c>
      <c r="C115" s="137">
        <f>SUMIFS(Database!$G:$G,Database!$D:$D,"Export",Database!$E:$E,$B115,Database!$C:$C,C$1,Database!$F:$F,"Total")</f>
        <v>0</v>
      </c>
      <c r="D115" s="137">
        <f>SUMIFS(Database!$G:$G,Database!$D:$D,"Export",Database!$E:$E,$B115,Database!$C:$C,D$1,Database!$F:$F,"Total")</f>
        <v>0</v>
      </c>
      <c r="E115" s="137">
        <f>SUMIFS(Database!$G:$G,Database!$D:$D,"Export",Database!$E:$E,$B115,Database!$C:$C,E$1,Database!$F:$F,"Total")</f>
        <v>0</v>
      </c>
      <c r="F115" s="137">
        <f>SUMIFS(Database!$G:$G,Database!$D:$D,"Export",Database!$E:$E,$B115,Database!$C:$C,F$1,Database!$F:$F,"Total")</f>
        <v>0</v>
      </c>
      <c r="G115" s="137">
        <f>SUMIFS(Database!$G:$G,Database!$D:$D,"Export",Database!$E:$E,$B115,Database!$C:$C,G$1,Database!$F:$F,"Total")</f>
        <v>0</v>
      </c>
      <c r="H115" s="137">
        <f>SUMIFS(Database!$G:$G,Database!$D:$D,"Export",Database!$E:$E,$B115,Database!$C:$C,H$1,Database!$F:$F,"Total")</f>
        <v>0</v>
      </c>
      <c r="I115" s="137">
        <f>SUMIFS(Database!$G:$G,Database!$D:$D,"Export",Database!$E:$E,$B115,Database!$C:$C,I$1,Database!$F:$F,"Total")</f>
        <v>0</v>
      </c>
      <c r="J115" s="137">
        <f>SUMIFS(Database!$G:$G,Database!$D:$D,"Export",Database!$E:$E,$B115,Database!$C:$C,J$1,Database!$F:$F,"Total")</f>
        <v>0</v>
      </c>
      <c r="K115" s="137">
        <f>SUMIFS(Database!$G:$G,Database!$D:$D,"Export",Database!$E:$E,$B115,Database!$C:$C,K$1,Database!$F:$F,"Total")</f>
        <v>0</v>
      </c>
      <c r="L115" s="137">
        <f>SUMIFS(Database!$G:$G,Database!$D:$D,"Export",Database!$E:$E,$B115,Database!$C:$C,L$1,Database!$F:$F,"Total")</f>
        <v>0</v>
      </c>
      <c r="M115" s="137">
        <f>SUMIFS(Database!$G:$G,Database!$D:$D,"Export",Database!$E:$E,$B115,Database!$C:$C,M$1,Database!$F:$F,"Total")</f>
        <v>0</v>
      </c>
      <c r="N115" s="137">
        <f>SUMIFS(Database!$G:$G,Database!$D:$D,"Export",Database!$E:$E,$B115,Database!$C:$C,N$1,Database!$F:$F,"Total")</f>
        <v>0</v>
      </c>
      <c r="O115" s="137">
        <f>SUMIFS(Database!$G:$G,Database!$D:$D,"Export",Database!$E:$E,$B115,Database!$C:$C,O$1,Database!$F:$F,"Total")</f>
        <v>0</v>
      </c>
      <c r="P115" s="137">
        <f>SUMIFS(Database!$G:$G,Database!$D:$D,"Export",Database!$E:$E,$B115,Database!$C:$C,P$1,Database!$F:$F,"Total")</f>
        <v>0</v>
      </c>
      <c r="Q115" s="137">
        <f>SUMIFS(Database!$G:$G,Database!$D:$D,"Export",Database!$E:$E,$B115,Database!$C:$C,Q$1,Database!$F:$F,"Total")</f>
        <v>0</v>
      </c>
      <c r="R115" s="137">
        <f>SUMIFS(Database!$G:$G,Database!$D:$D,"Export",Database!$E:$E,$B115,Database!$C:$C,R$1,Database!$F:$F,"Total")</f>
        <v>0</v>
      </c>
      <c r="S115" s="137">
        <f>SUMIFS(Database!$G:$G,Database!$D:$D,"Export",Database!$E:$E,$B115,Database!$C:$C,S$1,Database!$F:$F,"Total")</f>
        <v>0</v>
      </c>
      <c r="T115" s="137">
        <f>SUMIFS(Database!$G:$G,Database!$D:$D,"Export",Database!$E:$E,$B115,Database!$C:$C,T$1,Database!$F:$F,"Total")</f>
        <v>0</v>
      </c>
      <c r="U115" s="137">
        <f>SUMIFS(Database!$G:$G,Database!$D:$D,"Export",Database!$E:$E,$B115,Database!$C:$C,U$1,Database!$F:$F,"Total")</f>
        <v>0</v>
      </c>
      <c r="V115" s="137">
        <f>SUMIFS(Database!$G:$G,Database!$D:$D,"Export",Database!$E:$E,$B115,Database!$C:$C,V$1,Database!$F:$F,"Total")</f>
        <v>0</v>
      </c>
      <c r="W115" s="137">
        <f>SUMIFS(Database!$G:$G,Database!$D:$D,"Export",Database!$E:$E,$B115,Database!$C:$C,W$1,Database!$F:$F,"Total")</f>
        <v>0</v>
      </c>
      <c r="X115" s="137">
        <f>SUMIFS(Database!$G:$G,Database!$D:$D,"Export",Database!$E:$E,$B115,Database!$C:$C,X$1,Database!$F:$F,"Total")</f>
        <v>0</v>
      </c>
      <c r="Y115" s="137">
        <f>SUMIFS(Database!$G:$G,Database!$D:$D,"Export",Database!$E:$E,$B115,Database!$C:$C,Y$1,Database!$F:$F,"Total")</f>
        <v>0</v>
      </c>
      <c r="Z115" s="137">
        <f>SUMIFS(Database!$G:$G,Database!$D:$D,"Export",Database!$E:$E,$B115,Database!$C:$C,Z$1,Database!$F:$F,"Total")</f>
        <v>0</v>
      </c>
      <c r="AA115" s="137">
        <f>SUMIFS(Database!$G:$G,Database!$D:$D,"Export",Database!$E:$E,$B115,Database!$C:$C,AA$1,Database!$F:$F,"Total")</f>
        <v>0</v>
      </c>
      <c r="AB115" s="137">
        <f>SUMIFS(Database!$G:$G,Database!$D:$D,"Export",Database!$E:$E,$B115,Database!$C:$C,AB$1,Database!$F:$F,"Total")</f>
        <v>0</v>
      </c>
      <c r="AC115" s="137">
        <f>SUMIFS(Database!$G:$G,Database!$D:$D,"Export",Database!$E:$E,$B115,Database!$C:$C,AC$1,Database!$F:$F,"Total")</f>
        <v>0</v>
      </c>
      <c r="AD115" s="137">
        <f>SUMIFS(Database!$G:$G,Database!$D:$D,"Export",Database!$E:$E,$B115,Database!$C:$C,AD$1,Database!$F:$F,"Total")</f>
        <v>0</v>
      </c>
      <c r="AE115" s="137">
        <f>SUMIFS(Database!$G:$G,Database!$D:$D,"Export",Database!$E:$E,$B115,Database!$C:$C,AE$1,Database!$F:$F,"Total")</f>
        <v>0</v>
      </c>
      <c r="AF115" s="137">
        <f>SUMIFS(Database!$G:$G,Database!$D:$D,"Export",Database!$E:$E,$B115,Database!$C:$C,AF$1,Database!$F:$F,"Total")</f>
        <v>0</v>
      </c>
      <c r="AG115" s="137">
        <f>SUMIFS(Database!$G:$G,Database!$D:$D,"Export",Database!$E:$E,$B115,Database!$C:$C,AG$1,Database!$F:$F,"Total")</f>
        <v>0</v>
      </c>
      <c r="AH115" s="137">
        <f>SUMIFS(Database!$G:$G,Database!$D:$D,"Export",Database!$E:$E,$B115,Database!$C:$C,AH$1,Database!$F:$F,"Total")</f>
        <v>0</v>
      </c>
      <c r="AI115" s="137">
        <f>SUMIFS(Database!$G:$G,Database!$D:$D,"Export",Database!$E:$E,$B115,Database!$C:$C,AI$1,Database!$F:$F,"Total")</f>
        <v>0</v>
      </c>
      <c r="AJ115" s="137">
        <f>SUMIFS(Database!$G:$G,Database!$D:$D,"Export",Database!$E:$E,$B115,Database!$C:$C,AJ$1,Database!$F:$F,"Total")</f>
        <v>0</v>
      </c>
      <c r="AK115" s="137">
        <f>SUMIFS(Database!$G:$G,Database!$D:$D,"Export",Database!$E:$E,$B115,Database!$C:$C,AK$1,Database!$F:$F,"Total")</f>
        <v>0</v>
      </c>
      <c r="AL115" s="137">
        <f>SUMIFS(Database!$G:$G,Database!$D:$D,"Export",Database!$E:$E,$B115,Database!$C:$C,AL$1,Database!$F:$F,"Total")</f>
        <v>0</v>
      </c>
      <c r="AM115" s="137">
        <f>SUMIFS(Database!$G:$G,Database!$D:$D,"Export",Database!$E:$E,$B115,Database!$C:$C,AM$1,Database!$F:$F,"Total")</f>
        <v>0</v>
      </c>
      <c r="AN115" s="137">
        <f>SUMIFS(Database!$G:$G,Database!$D:$D,"Export",Database!$E:$E,$B115,Database!$C:$C,AN$1,Database!$F:$F,"Total")</f>
        <v>0</v>
      </c>
      <c r="AO115" s="137">
        <f>SUMIFS(Database!$G:$G,Database!$D:$D,"Export",Database!$E:$E,$B115,Database!$C:$C,AO$1,Database!$F:$F,"Total")</f>
        <v>0</v>
      </c>
      <c r="AP115" s="137">
        <f>SUMIFS(Database!$G:$G,Database!$D:$D,"Export",Database!$E:$E,$B115,Database!$C:$C,AP$1,Database!$F:$F,"Total")</f>
        <v>0</v>
      </c>
      <c r="AQ115" s="137">
        <f>SUMIFS(Database!$G:$G,Database!$D:$D,"Export",Database!$E:$E,$B115,Database!$C:$C,AQ$1,Database!$F:$F,"Total")</f>
        <v>0</v>
      </c>
      <c r="AR115" s="137">
        <f>SUMIFS(Database!$G:$G,Database!$D:$D,"Export",Database!$E:$E,$B115,Database!$C:$C,AR$1,Database!$F:$F,"Total")</f>
        <v>0</v>
      </c>
      <c r="AS115" s="137">
        <f>SUMIFS(Database!$G:$G,Database!$D:$D,"Export",Database!$E:$E,$B115,Database!$C:$C,AS$1,Database!$F:$F,"Total")</f>
        <v>0</v>
      </c>
      <c r="AT115" s="137">
        <f>SUMIFS(Database!$G:$G,Database!$D:$D,"Export",Database!$E:$E,$B115,Database!$C:$C,AT$1,Database!$F:$F,"Total")</f>
        <v>0</v>
      </c>
      <c r="AU115" s="137">
        <f>SUMIFS(Database!$G:$G,Database!$D:$D,"Export",Database!$E:$E,$B115,Database!$C:$C,AU$1,Database!$F:$F,"Total")</f>
        <v>0</v>
      </c>
      <c r="AV115" s="137">
        <f>SUMIFS(Database!$G:$G,Database!$D:$D,"Export",Database!$E:$E,$B115,Database!$C:$C,AV$1,Database!$F:$F,"Total")</f>
        <v>0</v>
      </c>
      <c r="AW115" s="137">
        <f>SUMIFS(Database!$G:$G,Database!$D:$D,"Export",Database!$E:$E,$B115,Database!$C:$C,AW$1,Database!$F:$F,"Total")</f>
        <v>0</v>
      </c>
      <c r="AX115" s="137">
        <f>SUMIFS(Database!$G:$G,Database!$D:$D,"Export",Database!$E:$E,$B115,Database!$C:$C,AX$1,Database!$F:$F,"Total")</f>
        <v>0</v>
      </c>
      <c r="AY115" s="137">
        <f>SUMIFS(Database!$G:$G,Database!$D:$D,"Export",Database!$E:$E,$B115,Database!$C:$C,AY$1,Database!$F:$F,"Total")</f>
        <v>0</v>
      </c>
      <c r="AZ115" s="137">
        <f>SUMIFS(Database!$G:$G,Database!$D:$D,"Export",Database!$E:$E,$B115,Database!$C:$C,AZ$1,Database!$F:$F,"Total")</f>
        <v>0</v>
      </c>
      <c r="BA115" s="137">
        <f>SUMIFS(Database!$G:$G,Database!$D:$D,"Export",Database!$E:$E,$B115,Database!$C:$C,BA$1,Database!$F:$F,"Total")</f>
        <v>0</v>
      </c>
      <c r="BB115" s="137">
        <f>SUMIFS(Database!$G:$G,Database!$D:$D,"Export",Database!$E:$E,$B115,Database!$C:$C,BB$1,Database!$F:$F,"Total")</f>
        <v>0</v>
      </c>
      <c r="BC115" s="137">
        <f>SUMIFS(Database!$G:$G,Database!$D:$D,"Export",Database!$E:$E,$B115,Database!$C:$C,BC$1,Database!$F:$F,"Total")</f>
        <v>0</v>
      </c>
      <c r="BD115" s="137">
        <f>SUMIFS(Database!$G:$G,Database!$D:$D,"Export",Database!$E:$E,$B115,Database!$C:$C,BD$1,Database!$F:$F,"Total")</f>
        <v>0</v>
      </c>
      <c r="BE115" s="137">
        <f>SUMIFS(Database!$G:$G,Database!$D:$D,"Export",Database!$E:$E,$B115,Database!$C:$C,BE$1,Database!$F:$F,"Total")</f>
        <v>0</v>
      </c>
      <c r="BF115" s="137">
        <f>SUMIFS(Database!$G:$G,Database!$D:$D,"Export",Database!$E:$E,$B115,Database!$C:$C,BF$1,Database!$F:$F,"Total")</f>
        <v>0</v>
      </c>
      <c r="BG115" s="137">
        <f>SUMIFS(Database!$G:$G,Database!$D:$D,"Export",Database!$E:$E,$B115,Database!$C:$C,BG$1,Database!$F:$F,"Total")</f>
        <v>0</v>
      </c>
      <c r="BH115" s="137">
        <f>SUMIFS(Database!$G:$G,Database!$D:$D,"Export",Database!$E:$E,$B115,Database!$C:$C,BH$1,Database!$F:$F,"Total")</f>
        <v>0</v>
      </c>
      <c r="BI115" s="137">
        <f>SUMIFS(Database!$G:$G,Database!$D:$D,"Export",Database!$E:$E,$B115,Database!$C:$C,BI$1,Database!$F:$F,"Total")</f>
        <v>0</v>
      </c>
      <c r="BJ115" s="137">
        <f>SUMIFS(Database!$G:$G,Database!$D:$D,"Export",Database!$E:$E,$B115,Database!$C:$C,BJ$1,Database!$F:$F,"Total")</f>
        <v>1083</v>
      </c>
      <c r="BK115" s="137">
        <f>SUMIFS(Database!$G:$G,Database!$D:$D,"Export",Database!$E:$E,$B115,Database!$C:$C,BK$1,Database!$F:$F,"Total")</f>
        <v>1750</v>
      </c>
      <c r="BL115" s="137">
        <f>SUMIFS(Database!$G:$G,Database!$D:$D,"Export",Database!$E:$E,$B115,Database!$C:$C,BL$1,Database!$F:$F,"Total")</f>
        <v>0</v>
      </c>
      <c r="BM115" s="137">
        <f>SUMIFS(Database!$G:$G,Database!$D:$D,"Export",Database!$E:$E,$B115,Database!$C:$C,BM$1,Database!$F:$F,"Total")</f>
        <v>0</v>
      </c>
      <c r="BN115" s="137">
        <f>SUMIFS(Database!$G:$G,Database!$D:$D,"Export",Database!$E:$E,$B115,Database!$C:$C,BN$1,Database!$F:$F,"Total")</f>
        <v>0</v>
      </c>
      <c r="BO115" s="137">
        <f>SUMIFS(Database!$G:$G,Database!$D:$D,"Export",Database!$E:$E,$B115,Database!$C:$C,BO$1,Database!$F:$F,"Total")</f>
        <v>0</v>
      </c>
      <c r="BP115" s="137">
        <f>SUMIFS(Database!$G:$G,Database!$D:$D,"Export",Database!$E:$E,$B115,Database!$C:$C,BP$1,Database!$F:$F,"Total")</f>
        <v>0</v>
      </c>
      <c r="BQ115" s="137">
        <f>SUMIFS(Database!$G:$G,Database!$D:$D,"Export",Database!$E:$E,$B115,Database!$C:$C,BQ$1,Database!$F:$F,"Total")</f>
        <v>0</v>
      </c>
      <c r="BR115" s="137">
        <f>SUMIFS(Database!$G:$G,Database!$D:$D,"Export",Database!$E:$E,$B115,Database!$C:$C,BR$1,Database!$F:$F,"Total")</f>
        <v>0</v>
      </c>
      <c r="BS115" s="137">
        <f>SUMIFS(Database!$G:$G,Database!$D:$D,"Export",Database!$E:$E,$B115,Database!$C:$C,BS$1,Database!$F:$F,"Total")</f>
        <v>0</v>
      </c>
      <c r="BT115" s="137">
        <f>SUMIFS(Database!$G:$G,Database!$D:$D,"Export",Database!$E:$E,$B115,Database!$C:$C,BT$1,Database!$F:$F,"Total")</f>
        <v>0</v>
      </c>
      <c r="BU115" s="137">
        <f>SUMIFS(Database!$G:$G,Database!$D:$D,"Export",Database!$E:$E,$B115,Database!$C:$C,BU$1,Database!$F:$F,"Total")</f>
        <v>0</v>
      </c>
      <c r="BV115" s="137">
        <f>SUMIFS(Database!$G:$G,Database!$D:$D,"Export",Database!$E:$E,$B115,Database!$C:$C,BV$1,Database!$F:$F,"Total")</f>
        <v>0</v>
      </c>
      <c r="BW115" s="137">
        <f>SUMIFS(Database!$G:$G,Database!$D:$D,"Export",Database!$E:$E,$B115,Database!$C:$C,BW$1,Database!$F:$F,"Total")</f>
        <v>0</v>
      </c>
      <c r="BX115" s="137">
        <f>SUMIFS(Database!$G:$G,Database!$D:$D,"Export",Database!$E:$E,$B115,Database!$C:$C,BX$1,Database!$F:$F,"Total")</f>
        <v>0</v>
      </c>
      <c r="BY115" s="137">
        <f>SUMIFS(Database!$G:$G,Database!$D:$D,"Export",Database!$E:$E,$B115,Database!$C:$C,BY$1,Database!$F:$F,"Total")</f>
        <v>0</v>
      </c>
      <c r="BZ115" s="137">
        <f>SUMIFS(Database!$G:$G,Database!$D:$D,"Export",Database!$E:$E,$B115,Database!$C:$C,BZ$1,Database!$F:$F,"Total")</f>
        <v>0</v>
      </c>
      <c r="CA115" s="137">
        <f>SUMIFS(Database!$G:$G,Database!$D:$D,"Export",Database!$E:$E,$B115,Database!$C:$C,CA$1,Database!$F:$F,"Total")</f>
        <v>0</v>
      </c>
      <c r="CB115" s="137">
        <f>SUMIFS(Database!$G:$G,Database!$D:$D,"Export",Database!$E:$E,$B115,Database!$C:$C,CB$1,Database!$F:$F,"Total")</f>
        <v>0</v>
      </c>
      <c r="CC115" s="137">
        <f>SUMIFS(Database!$G:$G,Database!$D:$D,"Export",Database!$E:$E,$B115,Database!$C:$C,CC$1,Database!$F:$F,"Total")</f>
        <v>0</v>
      </c>
      <c r="CD115" s="137">
        <f>SUMIFS(Database!$G:$G,Database!$D:$D,"Export",Database!$E:$E,$B115,Database!$C:$C,CD$1,Database!$F:$F,"Total")</f>
        <v>0</v>
      </c>
      <c r="CE115" s="137">
        <f>SUMIFS(Database!$G:$G,Database!$D:$D,"Export",Database!$E:$E,$B115,Database!$C:$C,CE$1,Database!$F:$F,"Total")</f>
        <v>0</v>
      </c>
      <c r="CF115" s="137">
        <f>SUMIFS(Database!$G:$G,Database!$D:$D,"Export",Database!$E:$E,$B115,Database!$C:$C,CF$1,Database!$F:$F,"Total")</f>
        <v>0</v>
      </c>
      <c r="CG115" s="137">
        <f>SUMIFS(Database!$G:$G,Database!$D:$D,"Export",Database!$E:$E,$B115,Database!$C:$C,CG$1,Database!$F:$F,"Total")</f>
        <v>0</v>
      </c>
      <c r="CH115" s="137">
        <f>SUMIFS(Database!$G:$G,Database!$D:$D,"Export",Database!$E:$E,$B115,Database!$C:$C,CH$1,Database!$F:$F,"Total")</f>
        <v>0</v>
      </c>
      <c r="CI115" s="137">
        <f>SUMIFS(Database!$G:$G,Database!$D:$D,"Export",Database!$E:$E,$B115,Database!$C:$C,CI$1,Database!$F:$F,"Total")</f>
        <v>0</v>
      </c>
      <c r="CJ115" s="137">
        <f>SUMIFS(Database!$G:$G,Database!$D:$D,"Export",Database!$E:$E,$B115,Database!$C:$C,CJ$1,Database!$F:$F,"Total")</f>
        <v>0</v>
      </c>
      <c r="CK115" s="137">
        <f>SUMIFS(Database!$G:$G,Database!$D:$D,"Export",Database!$E:$E,$B115,Database!$C:$C,CK$1,Database!$F:$F,"Total")</f>
        <v>0</v>
      </c>
      <c r="CL115" s="137">
        <f>SUMIFS(Database!$G:$G,Database!$D:$D,"Export",Database!$E:$E,$B115,Database!$C:$C,CL$1,Database!$F:$F,"Total")</f>
        <v>0</v>
      </c>
      <c r="CM115" s="137">
        <f>SUMIFS(Database!$G:$G,Database!$D:$D,"Export",Database!$E:$E,$B115,Database!$C:$C,CM$1,Database!$F:$F,"Total")</f>
        <v>0</v>
      </c>
      <c r="CN115" s="137">
        <f>SUMIFS(Database!$G:$G,Database!$D:$D,"Export",Database!$E:$E,$B115,Database!$C:$C,CN$1,Database!$F:$F,"Total")</f>
        <v>0</v>
      </c>
      <c r="CO115" s="137">
        <f>SUMIFS(Database!$G:$G,Database!$D:$D,"Export",Database!$E:$E,$B115,Database!$C:$C,CO$1,Database!$F:$F,"Total")</f>
        <v>0</v>
      </c>
      <c r="CP115" s="137">
        <f>SUMIFS(Database!$G:$G,Database!$D:$D,"Export",Database!$E:$E,$B115,Database!$C:$C,CP$1,Database!$F:$F,"Total")</f>
        <v>0</v>
      </c>
      <c r="CQ115" s="137">
        <f>SUMIFS(Database!$G:$G,Database!$D:$D,"Export",Database!$E:$E,$B115,Database!$C:$C,CQ$1,Database!$F:$F,"Total")</f>
        <v>0</v>
      </c>
      <c r="CR115" s="137">
        <f>SUMIFS(Database!$G:$G,Database!$D:$D,"Export",Database!$E:$E,$B115,Database!$C:$C,CR$1,Database!$F:$F,"Total")</f>
        <v>0</v>
      </c>
      <c r="CS115" s="137">
        <f>SUMIFS(Database!$G:$G,Database!$D:$D,"Export",Database!$E:$E,$B115,Database!$C:$C,CS$1,Database!$F:$F,"Total")</f>
        <v>0</v>
      </c>
      <c r="CT115" s="137">
        <f>SUMIFS(Database!$G:$G,Database!$D:$D,"Export",Database!$E:$E,$B115,Database!$C:$C,CT$1,Database!$F:$F,"Total")</f>
        <v>0</v>
      </c>
      <c r="CU115" s="137">
        <f>SUMIFS(Database!$G:$G,Database!$D:$D,"Export",Database!$E:$E,$B115,Database!$C:$C,CU$1,Database!$F:$F,"Total")</f>
        <v>0</v>
      </c>
    </row>
    <row r="116" spans="1:99" x14ac:dyDescent="0.25">
      <c r="A116" s="132" t="s">
        <v>484</v>
      </c>
      <c r="B116" s="154" t="s">
        <v>305</v>
      </c>
      <c r="C116" s="137">
        <f>SUMIFS(Database!$G:$G,Database!$D:$D,"Export",Database!$E:$E,$B116,Database!$C:$C,C$1,Database!$F:$F,"Total")</f>
        <v>0</v>
      </c>
      <c r="D116" s="137">
        <f>SUMIFS(Database!$G:$G,Database!$D:$D,"Export",Database!$E:$E,$B116,Database!$C:$C,D$1,Database!$F:$F,"Total")</f>
        <v>0</v>
      </c>
      <c r="E116" s="137">
        <f>SUMIFS(Database!$G:$G,Database!$D:$D,"Export",Database!$E:$E,$B116,Database!$C:$C,E$1,Database!$F:$F,"Total")</f>
        <v>0</v>
      </c>
      <c r="F116" s="137">
        <f>SUMIFS(Database!$G:$G,Database!$D:$D,"Export",Database!$E:$E,$B116,Database!$C:$C,F$1,Database!$F:$F,"Total")</f>
        <v>0</v>
      </c>
      <c r="G116" s="137">
        <f>SUMIFS(Database!$G:$G,Database!$D:$D,"Export",Database!$E:$E,$B116,Database!$C:$C,G$1,Database!$F:$F,"Total")</f>
        <v>0</v>
      </c>
      <c r="H116" s="137">
        <f>SUMIFS(Database!$G:$G,Database!$D:$D,"Export",Database!$E:$E,$B116,Database!$C:$C,H$1,Database!$F:$F,"Total")</f>
        <v>0</v>
      </c>
      <c r="I116" s="137">
        <f>SUMIFS(Database!$G:$G,Database!$D:$D,"Export",Database!$E:$E,$B116,Database!$C:$C,I$1,Database!$F:$F,"Total")</f>
        <v>0</v>
      </c>
      <c r="J116" s="137">
        <f>SUMIFS(Database!$G:$G,Database!$D:$D,"Export",Database!$E:$E,$B116,Database!$C:$C,J$1,Database!$F:$F,"Total")</f>
        <v>0</v>
      </c>
      <c r="K116" s="137">
        <f>SUMIFS(Database!$G:$G,Database!$D:$D,"Export",Database!$E:$E,$B116,Database!$C:$C,K$1,Database!$F:$F,"Total")</f>
        <v>0</v>
      </c>
      <c r="L116" s="137">
        <f>SUMIFS(Database!$G:$G,Database!$D:$D,"Export",Database!$E:$E,$B116,Database!$C:$C,L$1,Database!$F:$F,"Total")</f>
        <v>0</v>
      </c>
      <c r="M116" s="137">
        <f>SUMIFS(Database!$G:$G,Database!$D:$D,"Export",Database!$E:$E,$B116,Database!$C:$C,M$1,Database!$F:$F,"Total")</f>
        <v>0</v>
      </c>
      <c r="N116" s="137">
        <f>SUMIFS(Database!$G:$G,Database!$D:$D,"Export",Database!$E:$E,$B116,Database!$C:$C,N$1,Database!$F:$F,"Total")</f>
        <v>0</v>
      </c>
      <c r="O116" s="137">
        <f>SUMIFS(Database!$G:$G,Database!$D:$D,"Export",Database!$E:$E,$B116,Database!$C:$C,O$1,Database!$F:$F,"Total")</f>
        <v>0</v>
      </c>
      <c r="P116" s="137">
        <f>SUMIFS(Database!$G:$G,Database!$D:$D,"Export",Database!$E:$E,$B116,Database!$C:$C,P$1,Database!$F:$F,"Total")</f>
        <v>0</v>
      </c>
      <c r="Q116" s="137">
        <f>SUMIFS(Database!$G:$G,Database!$D:$D,"Export",Database!$E:$E,$B116,Database!$C:$C,Q$1,Database!$F:$F,"Total")</f>
        <v>0</v>
      </c>
      <c r="R116" s="137">
        <f>SUMIFS(Database!$G:$G,Database!$D:$D,"Export",Database!$E:$E,$B116,Database!$C:$C,R$1,Database!$F:$F,"Total")</f>
        <v>0</v>
      </c>
      <c r="S116" s="137">
        <f>SUMIFS(Database!$G:$G,Database!$D:$D,"Export",Database!$E:$E,$B116,Database!$C:$C,S$1,Database!$F:$F,"Total")</f>
        <v>0</v>
      </c>
      <c r="T116" s="137">
        <f>SUMIFS(Database!$G:$G,Database!$D:$D,"Export",Database!$E:$E,$B116,Database!$C:$C,T$1,Database!$F:$F,"Total")</f>
        <v>0</v>
      </c>
      <c r="U116" s="137">
        <f>SUMIFS(Database!$G:$G,Database!$D:$D,"Export",Database!$E:$E,$B116,Database!$C:$C,U$1,Database!$F:$F,"Total")</f>
        <v>0</v>
      </c>
      <c r="V116" s="137">
        <f>SUMIFS(Database!$G:$G,Database!$D:$D,"Export",Database!$E:$E,$B116,Database!$C:$C,V$1,Database!$F:$F,"Total")</f>
        <v>0</v>
      </c>
      <c r="W116" s="137">
        <f>SUMIFS(Database!$G:$G,Database!$D:$D,"Export",Database!$E:$E,$B116,Database!$C:$C,W$1,Database!$F:$F,"Total")</f>
        <v>0</v>
      </c>
      <c r="X116" s="137">
        <f>SUMIFS(Database!$G:$G,Database!$D:$D,"Export",Database!$E:$E,$B116,Database!$C:$C,X$1,Database!$F:$F,"Total")</f>
        <v>0</v>
      </c>
      <c r="Y116" s="137">
        <f>SUMIFS(Database!$G:$G,Database!$D:$D,"Export",Database!$E:$E,$B116,Database!$C:$C,Y$1,Database!$F:$F,"Total")</f>
        <v>0</v>
      </c>
      <c r="Z116" s="137">
        <f>SUMIFS(Database!$G:$G,Database!$D:$D,"Export",Database!$E:$E,$B116,Database!$C:$C,Z$1,Database!$F:$F,"Total")</f>
        <v>0</v>
      </c>
      <c r="AA116" s="137">
        <f>SUMIFS(Database!$G:$G,Database!$D:$D,"Export",Database!$E:$E,$B116,Database!$C:$C,AA$1,Database!$F:$F,"Total")</f>
        <v>0</v>
      </c>
      <c r="AB116" s="137">
        <f>SUMIFS(Database!$G:$G,Database!$D:$D,"Export",Database!$E:$E,$B116,Database!$C:$C,AB$1,Database!$F:$F,"Total")</f>
        <v>0</v>
      </c>
      <c r="AC116" s="137">
        <f>SUMIFS(Database!$G:$G,Database!$D:$D,"Export",Database!$E:$E,$B116,Database!$C:$C,AC$1,Database!$F:$F,"Total")</f>
        <v>0</v>
      </c>
      <c r="AD116" s="137">
        <f>SUMIFS(Database!$G:$G,Database!$D:$D,"Export",Database!$E:$E,$B116,Database!$C:$C,AD$1,Database!$F:$F,"Total")</f>
        <v>0</v>
      </c>
      <c r="AE116" s="137">
        <f>SUMIFS(Database!$G:$G,Database!$D:$D,"Export",Database!$E:$E,$B116,Database!$C:$C,AE$1,Database!$F:$F,"Total")</f>
        <v>0</v>
      </c>
      <c r="AF116" s="137">
        <f>SUMIFS(Database!$G:$G,Database!$D:$D,"Export",Database!$E:$E,$B116,Database!$C:$C,AF$1,Database!$F:$F,"Total")</f>
        <v>345</v>
      </c>
      <c r="AG116" s="137">
        <f>SUMIFS(Database!$G:$G,Database!$D:$D,"Export",Database!$E:$E,$B116,Database!$C:$C,AG$1,Database!$F:$F,"Total")</f>
        <v>0</v>
      </c>
      <c r="AH116" s="137">
        <f>SUMIFS(Database!$G:$G,Database!$D:$D,"Export",Database!$E:$E,$B116,Database!$C:$C,AH$1,Database!$F:$F,"Total")</f>
        <v>0</v>
      </c>
      <c r="AI116" s="137">
        <f>SUMIFS(Database!$G:$G,Database!$D:$D,"Export",Database!$E:$E,$B116,Database!$C:$C,AI$1,Database!$F:$F,"Total")</f>
        <v>0</v>
      </c>
      <c r="AJ116" s="137">
        <f>SUMIFS(Database!$G:$G,Database!$D:$D,"Export",Database!$E:$E,$B116,Database!$C:$C,AJ$1,Database!$F:$F,"Total")</f>
        <v>0</v>
      </c>
      <c r="AK116" s="137">
        <f>SUMIFS(Database!$G:$G,Database!$D:$D,"Export",Database!$E:$E,$B116,Database!$C:$C,AK$1,Database!$F:$F,"Total")</f>
        <v>0</v>
      </c>
      <c r="AL116" s="137">
        <f>SUMIFS(Database!$G:$G,Database!$D:$D,"Export",Database!$E:$E,$B116,Database!$C:$C,AL$1,Database!$F:$F,"Total")</f>
        <v>0</v>
      </c>
      <c r="AM116" s="137">
        <f>SUMIFS(Database!$G:$G,Database!$D:$D,"Export",Database!$E:$E,$B116,Database!$C:$C,AM$1,Database!$F:$F,"Total")</f>
        <v>0</v>
      </c>
      <c r="AN116" s="137">
        <f>SUMIFS(Database!$G:$G,Database!$D:$D,"Export",Database!$E:$E,$B116,Database!$C:$C,AN$1,Database!$F:$F,"Total")</f>
        <v>0</v>
      </c>
      <c r="AO116" s="137">
        <f>SUMIFS(Database!$G:$G,Database!$D:$D,"Export",Database!$E:$E,$B116,Database!$C:$C,AO$1,Database!$F:$F,"Total")</f>
        <v>0</v>
      </c>
      <c r="AP116" s="137">
        <f>SUMIFS(Database!$G:$G,Database!$D:$D,"Export",Database!$E:$E,$B116,Database!$C:$C,AP$1,Database!$F:$F,"Total")</f>
        <v>0</v>
      </c>
      <c r="AQ116" s="137">
        <f>SUMIFS(Database!$G:$G,Database!$D:$D,"Export",Database!$E:$E,$B116,Database!$C:$C,AQ$1,Database!$F:$F,"Total")</f>
        <v>0</v>
      </c>
      <c r="AR116" s="137">
        <f>SUMIFS(Database!$G:$G,Database!$D:$D,"Export",Database!$E:$E,$B116,Database!$C:$C,AR$1,Database!$F:$F,"Total")</f>
        <v>0</v>
      </c>
      <c r="AS116" s="137">
        <f>SUMIFS(Database!$G:$G,Database!$D:$D,"Export",Database!$E:$E,$B116,Database!$C:$C,AS$1,Database!$F:$F,"Total")</f>
        <v>0</v>
      </c>
      <c r="AT116" s="137">
        <f>SUMIFS(Database!$G:$G,Database!$D:$D,"Export",Database!$E:$E,$B116,Database!$C:$C,AT$1,Database!$F:$F,"Total")</f>
        <v>0</v>
      </c>
      <c r="AU116" s="137">
        <f>SUMIFS(Database!$G:$G,Database!$D:$D,"Export",Database!$E:$E,$B116,Database!$C:$C,AU$1,Database!$F:$F,"Total")</f>
        <v>0</v>
      </c>
      <c r="AV116" s="137">
        <f>SUMIFS(Database!$G:$G,Database!$D:$D,"Export",Database!$E:$E,$B116,Database!$C:$C,AV$1,Database!$F:$F,"Total")</f>
        <v>0</v>
      </c>
      <c r="AW116" s="137">
        <f>SUMIFS(Database!$G:$G,Database!$D:$D,"Export",Database!$E:$E,$B116,Database!$C:$C,AW$1,Database!$F:$F,"Total")</f>
        <v>0</v>
      </c>
      <c r="AX116" s="137">
        <f>SUMIFS(Database!$G:$G,Database!$D:$D,"Export",Database!$E:$E,$B116,Database!$C:$C,AX$1,Database!$F:$F,"Total")</f>
        <v>0</v>
      </c>
      <c r="AY116" s="137">
        <f>SUMIFS(Database!$G:$G,Database!$D:$D,"Export",Database!$E:$E,$B116,Database!$C:$C,AY$1,Database!$F:$F,"Total")</f>
        <v>0</v>
      </c>
      <c r="AZ116" s="137">
        <f>SUMIFS(Database!$G:$G,Database!$D:$D,"Export",Database!$E:$E,$B116,Database!$C:$C,AZ$1,Database!$F:$F,"Total")</f>
        <v>0</v>
      </c>
      <c r="BA116" s="137">
        <f>SUMIFS(Database!$G:$G,Database!$D:$D,"Export",Database!$E:$E,$B116,Database!$C:$C,BA$1,Database!$F:$F,"Total")</f>
        <v>0</v>
      </c>
      <c r="BB116" s="137">
        <f>SUMIFS(Database!$G:$G,Database!$D:$D,"Export",Database!$E:$E,$B116,Database!$C:$C,BB$1,Database!$F:$F,"Total")</f>
        <v>0</v>
      </c>
      <c r="BC116" s="137">
        <f>SUMIFS(Database!$G:$G,Database!$D:$D,"Export",Database!$E:$E,$B116,Database!$C:$C,BC$1,Database!$F:$F,"Total")</f>
        <v>0</v>
      </c>
      <c r="BD116" s="137">
        <f>SUMIFS(Database!$G:$G,Database!$D:$D,"Export",Database!$E:$E,$B116,Database!$C:$C,BD$1,Database!$F:$F,"Total")</f>
        <v>0</v>
      </c>
      <c r="BE116" s="137">
        <f>SUMIFS(Database!$G:$G,Database!$D:$D,"Export",Database!$E:$E,$B116,Database!$C:$C,BE$1,Database!$F:$F,"Total")</f>
        <v>0</v>
      </c>
      <c r="BF116" s="137">
        <f>SUMIFS(Database!$G:$G,Database!$D:$D,"Export",Database!$E:$E,$B116,Database!$C:$C,BF$1,Database!$F:$F,"Total")</f>
        <v>0</v>
      </c>
      <c r="BG116" s="137">
        <f>SUMIFS(Database!$G:$G,Database!$D:$D,"Export",Database!$E:$E,$B116,Database!$C:$C,BG$1,Database!$F:$F,"Total")</f>
        <v>0</v>
      </c>
      <c r="BH116" s="137">
        <f>SUMIFS(Database!$G:$G,Database!$D:$D,"Export",Database!$E:$E,$B116,Database!$C:$C,BH$1,Database!$F:$F,"Total")</f>
        <v>0</v>
      </c>
      <c r="BI116" s="137">
        <f>SUMIFS(Database!$G:$G,Database!$D:$D,"Export",Database!$E:$E,$B116,Database!$C:$C,BI$1,Database!$F:$F,"Total")</f>
        <v>0</v>
      </c>
      <c r="BJ116" s="137">
        <f>SUMIFS(Database!$G:$G,Database!$D:$D,"Export",Database!$E:$E,$B116,Database!$C:$C,BJ$1,Database!$F:$F,"Total")</f>
        <v>0</v>
      </c>
      <c r="BK116" s="137">
        <f>SUMIFS(Database!$G:$G,Database!$D:$D,"Export",Database!$E:$E,$B116,Database!$C:$C,BK$1,Database!$F:$F,"Total")</f>
        <v>0</v>
      </c>
      <c r="BL116" s="137">
        <f>SUMIFS(Database!$G:$G,Database!$D:$D,"Export",Database!$E:$E,$B116,Database!$C:$C,BL$1,Database!$F:$F,"Total")</f>
        <v>0</v>
      </c>
      <c r="BM116" s="137">
        <f>SUMIFS(Database!$G:$G,Database!$D:$D,"Export",Database!$E:$E,$B116,Database!$C:$C,BM$1,Database!$F:$F,"Total")</f>
        <v>0</v>
      </c>
      <c r="BN116" s="137">
        <f>SUMIFS(Database!$G:$G,Database!$D:$D,"Export",Database!$E:$E,$B116,Database!$C:$C,BN$1,Database!$F:$F,"Total")</f>
        <v>0</v>
      </c>
      <c r="BO116" s="137">
        <f>SUMIFS(Database!$G:$G,Database!$D:$D,"Export",Database!$E:$E,$B116,Database!$C:$C,BO$1,Database!$F:$F,"Total")</f>
        <v>0</v>
      </c>
      <c r="BP116" s="137">
        <f>SUMIFS(Database!$G:$G,Database!$D:$D,"Export",Database!$E:$E,$B116,Database!$C:$C,BP$1,Database!$F:$F,"Total")</f>
        <v>0</v>
      </c>
      <c r="BQ116" s="137">
        <f>SUMIFS(Database!$G:$G,Database!$D:$D,"Export",Database!$E:$E,$B116,Database!$C:$C,BQ$1,Database!$F:$F,"Total")</f>
        <v>0</v>
      </c>
      <c r="BR116" s="137">
        <f>SUMIFS(Database!$G:$G,Database!$D:$D,"Export",Database!$E:$E,$B116,Database!$C:$C,BR$1,Database!$F:$F,"Total")</f>
        <v>0</v>
      </c>
      <c r="BS116" s="137">
        <f>SUMIFS(Database!$G:$G,Database!$D:$D,"Export",Database!$E:$E,$B116,Database!$C:$C,BS$1,Database!$F:$F,"Total")</f>
        <v>0</v>
      </c>
      <c r="BT116" s="137">
        <f>SUMIFS(Database!$G:$G,Database!$D:$D,"Export",Database!$E:$E,$B116,Database!$C:$C,BT$1,Database!$F:$F,"Total")</f>
        <v>0</v>
      </c>
      <c r="BU116" s="137">
        <f>SUMIFS(Database!$G:$G,Database!$D:$D,"Export",Database!$E:$E,$B116,Database!$C:$C,BU$1,Database!$F:$F,"Total")</f>
        <v>0</v>
      </c>
      <c r="BV116" s="137">
        <f>SUMIFS(Database!$G:$G,Database!$D:$D,"Export",Database!$E:$E,$B116,Database!$C:$C,BV$1,Database!$F:$F,"Total")</f>
        <v>0</v>
      </c>
      <c r="BW116" s="137">
        <f>SUMIFS(Database!$G:$G,Database!$D:$D,"Export",Database!$E:$E,$B116,Database!$C:$C,BW$1,Database!$F:$F,"Total")</f>
        <v>0</v>
      </c>
      <c r="BX116" s="137">
        <f>SUMIFS(Database!$G:$G,Database!$D:$D,"Export",Database!$E:$E,$B116,Database!$C:$C,BX$1,Database!$F:$F,"Total")</f>
        <v>0</v>
      </c>
      <c r="BY116" s="137">
        <f>SUMIFS(Database!$G:$G,Database!$D:$D,"Export",Database!$E:$E,$B116,Database!$C:$C,BY$1,Database!$F:$F,"Total")</f>
        <v>0</v>
      </c>
      <c r="BZ116" s="137">
        <f>SUMIFS(Database!$G:$G,Database!$D:$D,"Export",Database!$E:$E,$B116,Database!$C:$C,BZ$1,Database!$F:$F,"Total")</f>
        <v>0</v>
      </c>
      <c r="CA116" s="137">
        <f>SUMIFS(Database!$G:$G,Database!$D:$D,"Export",Database!$E:$E,$B116,Database!$C:$C,CA$1,Database!$F:$F,"Total")</f>
        <v>0</v>
      </c>
      <c r="CB116" s="137">
        <f>SUMIFS(Database!$G:$G,Database!$D:$D,"Export",Database!$E:$E,$B116,Database!$C:$C,CB$1,Database!$F:$F,"Total")</f>
        <v>0</v>
      </c>
      <c r="CC116" s="137">
        <f>SUMIFS(Database!$G:$G,Database!$D:$D,"Export",Database!$E:$E,$B116,Database!$C:$C,CC$1,Database!$F:$F,"Total")</f>
        <v>0</v>
      </c>
      <c r="CD116" s="137">
        <f>SUMIFS(Database!$G:$G,Database!$D:$D,"Export",Database!$E:$E,$B116,Database!$C:$C,CD$1,Database!$F:$F,"Total")</f>
        <v>0</v>
      </c>
      <c r="CE116" s="137">
        <f>SUMIFS(Database!$G:$G,Database!$D:$D,"Export",Database!$E:$E,$B116,Database!$C:$C,CE$1,Database!$F:$F,"Total")</f>
        <v>0</v>
      </c>
      <c r="CF116" s="137">
        <f>SUMIFS(Database!$G:$G,Database!$D:$D,"Export",Database!$E:$E,$B116,Database!$C:$C,CF$1,Database!$F:$F,"Total")</f>
        <v>0</v>
      </c>
      <c r="CG116" s="137">
        <f>SUMIFS(Database!$G:$G,Database!$D:$D,"Export",Database!$E:$E,$B116,Database!$C:$C,CG$1,Database!$F:$F,"Total")</f>
        <v>0</v>
      </c>
      <c r="CH116" s="137">
        <f>SUMIFS(Database!$G:$G,Database!$D:$D,"Export",Database!$E:$E,$B116,Database!$C:$C,CH$1,Database!$F:$F,"Total")</f>
        <v>0</v>
      </c>
      <c r="CI116" s="137">
        <f>SUMIFS(Database!$G:$G,Database!$D:$D,"Export",Database!$E:$E,$B116,Database!$C:$C,CI$1,Database!$F:$F,"Total")</f>
        <v>0</v>
      </c>
      <c r="CJ116" s="137">
        <f>SUMIFS(Database!$G:$G,Database!$D:$D,"Export",Database!$E:$E,$B116,Database!$C:$C,CJ$1,Database!$F:$F,"Total")</f>
        <v>0</v>
      </c>
      <c r="CK116" s="137">
        <f>SUMIFS(Database!$G:$G,Database!$D:$D,"Export",Database!$E:$E,$B116,Database!$C:$C,CK$1,Database!$F:$F,"Total")</f>
        <v>0</v>
      </c>
      <c r="CL116" s="137">
        <f>SUMIFS(Database!$G:$G,Database!$D:$D,"Export",Database!$E:$E,$B116,Database!$C:$C,CL$1,Database!$F:$F,"Total")</f>
        <v>0</v>
      </c>
      <c r="CM116" s="137">
        <f>SUMIFS(Database!$G:$G,Database!$D:$D,"Export",Database!$E:$E,$B116,Database!$C:$C,CM$1,Database!$F:$F,"Total")</f>
        <v>0</v>
      </c>
      <c r="CN116" s="137">
        <f>SUMIFS(Database!$G:$G,Database!$D:$D,"Export",Database!$E:$E,$B116,Database!$C:$C,CN$1,Database!$F:$F,"Total")</f>
        <v>0</v>
      </c>
      <c r="CO116" s="137">
        <f>SUMIFS(Database!$G:$G,Database!$D:$D,"Export",Database!$E:$E,$B116,Database!$C:$C,CO$1,Database!$F:$F,"Total")</f>
        <v>0</v>
      </c>
      <c r="CP116" s="137">
        <f>SUMIFS(Database!$G:$G,Database!$D:$D,"Export",Database!$E:$E,$B116,Database!$C:$C,CP$1,Database!$F:$F,"Total")</f>
        <v>0</v>
      </c>
      <c r="CQ116" s="137">
        <f>SUMIFS(Database!$G:$G,Database!$D:$D,"Export",Database!$E:$E,$B116,Database!$C:$C,CQ$1,Database!$F:$F,"Total")</f>
        <v>0</v>
      </c>
      <c r="CR116" s="137">
        <f>SUMIFS(Database!$G:$G,Database!$D:$D,"Export",Database!$E:$E,$B116,Database!$C:$C,CR$1,Database!$F:$F,"Total")</f>
        <v>0</v>
      </c>
      <c r="CS116" s="137">
        <f>SUMIFS(Database!$G:$G,Database!$D:$D,"Export",Database!$E:$E,$B116,Database!$C:$C,CS$1,Database!$F:$F,"Total")</f>
        <v>0</v>
      </c>
      <c r="CT116" s="137">
        <f>SUMIFS(Database!$G:$G,Database!$D:$D,"Export",Database!$E:$E,$B116,Database!$C:$C,CT$1,Database!$F:$F,"Total")</f>
        <v>0</v>
      </c>
      <c r="CU116" s="137">
        <f>SUMIFS(Database!$G:$G,Database!$D:$D,"Export",Database!$E:$E,$B116,Database!$C:$C,CU$1,Database!$F:$F,"Total")</f>
        <v>0</v>
      </c>
    </row>
    <row r="117" spans="1:99" x14ac:dyDescent="0.25">
      <c r="A117" s="132" t="s">
        <v>485</v>
      </c>
      <c r="B117" s="133" t="s">
        <v>119</v>
      </c>
      <c r="C117" s="137">
        <f>SUMIFS(Database!$G:$G,Database!$D:$D,"Export",Database!$E:$E,$B117,Database!$C:$C,C$1,Database!$F:$F,"Total")</f>
        <v>0</v>
      </c>
      <c r="D117" s="137">
        <f>SUMIFS(Database!$G:$G,Database!$D:$D,"Export",Database!$E:$E,$B117,Database!$C:$C,D$1,Database!$F:$F,"Total")</f>
        <v>0</v>
      </c>
      <c r="E117" s="137">
        <f>SUMIFS(Database!$G:$G,Database!$D:$D,"Export",Database!$E:$E,$B117,Database!$C:$C,E$1,Database!$F:$F,"Total")</f>
        <v>0</v>
      </c>
      <c r="F117" s="137">
        <f>SUMIFS(Database!$G:$G,Database!$D:$D,"Export",Database!$E:$E,$B117,Database!$C:$C,F$1,Database!$F:$F,"Total")</f>
        <v>0</v>
      </c>
      <c r="G117" s="137">
        <f>SUMIFS(Database!$G:$G,Database!$D:$D,"Export",Database!$E:$E,$B117,Database!$C:$C,G$1,Database!$F:$F,"Total")</f>
        <v>0</v>
      </c>
      <c r="H117" s="137">
        <f>SUMIFS(Database!$G:$G,Database!$D:$D,"Export",Database!$E:$E,$B117,Database!$C:$C,H$1,Database!$F:$F,"Total")</f>
        <v>0</v>
      </c>
      <c r="I117" s="137">
        <f>SUMIFS(Database!$G:$G,Database!$D:$D,"Export",Database!$E:$E,$B117,Database!$C:$C,I$1,Database!$F:$F,"Total")</f>
        <v>0</v>
      </c>
      <c r="J117" s="137">
        <f>SUMIFS(Database!$G:$G,Database!$D:$D,"Export",Database!$E:$E,$B117,Database!$C:$C,J$1,Database!$F:$F,"Total")</f>
        <v>0</v>
      </c>
      <c r="K117" s="137">
        <f>SUMIFS(Database!$G:$G,Database!$D:$D,"Export",Database!$E:$E,$B117,Database!$C:$C,K$1,Database!$F:$F,"Total")</f>
        <v>0</v>
      </c>
      <c r="L117" s="137">
        <f>SUMIFS(Database!$G:$G,Database!$D:$D,"Export",Database!$E:$E,$B117,Database!$C:$C,L$1,Database!$F:$F,"Total")</f>
        <v>0</v>
      </c>
      <c r="M117" s="137">
        <f>SUMIFS(Database!$G:$G,Database!$D:$D,"Export",Database!$E:$E,$B117,Database!$C:$C,M$1,Database!$F:$F,"Total")</f>
        <v>0</v>
      </c>
      <c r="N117" s="137">
        <f>SUMIFS(Database!$G:$G,Database!$D:$D,"Export",Database!$E:$E,$B117,Database!$C:$C,N$1,Database!$F:$F,"Total")</f>
        <v>0</v>
      </c>
      <c r="O117" s="137">
        <f>SUMIFS(Database!$G:$G,Database!$D:$D,"Export",Database!$E:$E,$B117,Database!$C:$C,O$1,Database!$F:$F,"Total")</f>
        <v>0</v>
      </c>
      <c r="P117" s="137">
        <f>SUMIFS(Database!$G:$G,Database!$D:$D,"Export",Database!$E:$E,$B117,Database!$C:$C,P$1,Database!$F:$F,"Total")</f>
        <v>0</v>
      </c>
      <c r="Q117" s="137">
        <f>SUMIFS(Database!$G:$G,Database!$D:$D,"Export",Database!$E:$E,$B117,Database!$C:$C,Q$1,Database!$F:$F,"Total")</f>
        <v>0</v>
      </c>
      <c r="R117" s="137">
        <f>SUMIFS(Database!$G:$G,Database!$D:$D,"Export",Database!$E:$E,$B117,Database!$C:$C,R$1,Database!$F:$F,"Total")</f>
        <v>0</v>
      </c>
      <c r="S117" s="137">
        <f>SUMIFS(Database!$G:$G,Database!$D:$D,"Export",Database!$E:$E,$B117,Database!$C:$C,S$1,Database!$F:$F,"Total")</f>
        <v>0</v>
      </c>
      <c r="T117" s="137">
        <f>SUMIFS(Database!$G:$G,Database!$D:$D,"Export",Database!$E:$E,$B117,Database!$C:$C,T$1,Database!$F:$F,"Total")</f>
        <v>0</v>
      </c>
      <c r="U117" s="137">
        <f>SUMIFS(Database!$G:$G,Database!$D:$D,"Export",Database!$E:$E,$B117,Database!$C:$C,U$1,Database!$F:$F,"Total")</f>
        <v>0</v>
      </c>
      <c r="V117" s="137">
        <f>SUMIFS(Database!$G:$G,Database!$D:$D,"Export",Database!$E:$E,$B117,Database!$C:$C,V$1,Database!$F:$F,"Total")</f>
        <v>0</v>
      </c>
      <c r="W117" s="137">
        <f>SUMIFS(Database!$G:$G,Database!$D:$D,"Export",Database!$E:$E,$B117,Database!$C:$C,W$1,Database!$F:$F,"Total")</f>
        <v>0</v>
      </c>
      <c r="X117" s="137">
        <f>SUMIFS(Database!$G:$G,Database!$D:$D,"Export",Database!$E:$E,$B117,Database!$C:$C,X$1,Database!$F:$F,"Total")</f>
        <v>0</v>
      </c>
      <c r="Y117" s="137">
        <f>SUMIFS(Database!$G:$G,Database!$D:$D,"Export",Database!$E:$E,$B117,Database!$C:$C,Y$1,Database!$F:$F,"Total")</f>
        <v>0</v>
      </c>
      <c r="Z117" s="137">
        <f>SUMIFS(Database!$G:$G,Database!$D:$D,"Export",Database!$E:$E,$B117,Database!$C:$C,Z$1,Database!$F:$F,"Total")</f>
        <v>0</v>
      </c>
      <c r="AA117" s="137">
        <f>SUMIFS(Database!$G:$G,Database!$D:$D,"Export",Database!$E:$E,$B117,Database!$C:$C,AA$1,Database!$F:$F,"Total")</f>
        <v>0</v>
      </c>
      <c r="AB117" s="137">
        <f>SUMIFS(Database!$G:$G,Database!$D:$D,"Export",Database!$E:$E,$B117,Database!$C:$C,AB$1,Database!$F:$F,"Total")</f>
        <v>0</v>
      </c>
      <c r="AC117" s="137">
        <f>SUMIFS(Database!$G:$G,Database!$D:$D,"Export",Database!$E:$E,$B117,Database!$C:$C,AC$1,Database!$F:$F,"Total")</f>
        <v>0</v>
      </c>
      <c r="AD117" s="137">
        <f>SUMIFS(Database!$G:$G,Database!$D:$D,"Export",Database!$E:$E,$B117,Database!$C:$C,AD$1,Database!$F:$F,"Total")</f>
        <v>0</v>
      </c>
      <c r="AE117" s="137">
        <f>SUMIFS(Database!$G:$G,Database!$D:$D,"Export",Database!$E:$E,$B117,Database!$C:$C,AE$1,Database!$F:$F,"Total")</f>
        <v>0</v>
      </c>
      <c r="AF117" s="137">
        <f>SUMIFS(Database!$G:$G,Database!$D:$D,"Export",Database!$E:$E,$B117,Database!$C:$C,AF$1,Database!$F:$F,"Total")</f>
        <v>0</v>
      </c>
      <c r="AG117" s="137">
        <f>SUMIFS(Database!$G:$G,Database!$D:$D,"Export",Database!$E:$E,$B117,Database!$C:$C,AG$1,Database!$F:$F,"Total")</f>
        <v>0</v>
      </c>
      <c r="AH117" s="137">
        <f>SUMIFS(Database!$G:$G,Database!$D:$D,"Export",Database!$E:$E,$B117,Database!$C:$C,AH$1,Database!$F:$F,"Total")</f>
        <v>0</v>
      </c>
      <c r="AI117" s="137">
        <f>SUMIFS(Database!$G:$G,Database!$D:$D,"Export",Database!$E:$E,$B117,Database!$C:$C,AI$1,Database!$F:$F,"Total")</f>
        <v>0</v>
      </c>
      <c r="AJ117" s="137">
        <f>SUMIFS(Database!$G:$G,Database!$D:$D,"Export",Database!$E:$E,$B117,Database!$C:$C,AJ$1,Database!$F:$F,"Total")</f>
        <v>0</v>
      </c>
      <c r="AK117" s="137">
        <f>SUMIFS(Database!$G:$G,Database!$D:$D,"Export",Database!$E:$E,$B117,Database!$C:$C,AK$1,Database!$F:$F,"Total")</f>
        <v>0</v>
      </c>
      <c r="AL117" s="137">
        <f>SUMIFS(Database!$G:$G,Database!$D:$D,"Export",Database!$E:$E,$B117,Database!$C:$C,AL$1,Database!$F:$F,"Total")</f>
        <v>0</v>
      </c>
      <c r="AM117" s="137">
        <f>SUMIFS(Database!$G:$G,Database!$D:$D,"Export",Database!$E:$E,$B117,Database!$C:$C,AM$1,Database!$F:$F,"Total")</f>
        <v>0</v>
      </c>
      <c r="AN117" s="137">
        <f>SUMIFS(Database!$G:$G,Database!$D:$D,"Export",Database!$E:$E,$B117,Database!$C:$C,AN$1,Database!$F:$F,"Total")</f>
        <v>0</v>
      </c>
      <c r="AO117" s="137">
        <f>SUMIFS(Database!$G:$G,Database!$D:$D,"Export",Database!$E:$E,$B117,Database!$C:$C,AO$1,Database!$F:$F,"Total")</f>
        <v>0</v>
      </c>
      <c r="AP117" s="137">
        <f>SUMIFS(Database!$G:$G,Database!$D:$D,"Export",Database!$E:$E,$B117,Database!$C:$C,AP$1,Database!$F:$F,"Total")</f>
        <v>0</v>
      </c>
      <c r="AQ117" s="137">
        <f>SUMIFS(Database!$G:$G,Database!$D:$D,"Export",Database!$E:$E,$B117,Database!$C:$C,AQ$1,Database!$F:$F,"Total")</f>
        <v>0</v>
      </c>
      <c r="AR117" s="137">
        <f>SUMIFS(Database!$G:$G,Database!$D:$D,"Export",Database!$E:$E,$B117,Database!$C:$C,AR$1,Database!$F:$F,"Total")</f>
        <v>0</v>
      </c>
      <c r="AS117" s="137">
        <f>SUMIFS(Database!$G:$G,Database!$D:$D,"Export",Database!$E:$E,$B117,Database!$C:$C,AS$1,Database!$F:$F,"Total")</f>
        <v>0</v>
      </c>
      <c r="AT117" s="137">
        <f>SUMIFS(Database!$G:$G,Database!$D:$D,"Export",Database!$E:$E,$B117,Database!$C:$C,AT$1,Database!$F:$F,"Total")</f>
        <v>0</v>
      </c>
      <c r="AU117" s="137">
        <f>SUMIFS(Database!$G:$G,Database!$D:$D,"Export",Database!$E:$E,$B117,Database!$C:$C,AU$1,Database!$F:$F,"Total")</f>
        <v>0</v>
      </c>
      <c r="AV117" s="137">
        <f>SUMIFS(Database!$G:$G,Database!$D:$D,"Export",Database!$E:$E,$B117,Database!$C:$C,AV$1,Database!$F:$F,"Total")</f>
        <v>0</v>
      </c>
      <c r="AW117" s="137">
        <f>SUMIFS(Database!$G:$G,Database!$D:$D,"Export",Database!$E:$E,$B117,Database!$C:$C,AW$1,Database!$F:$F,"Total")</f>
        <v>0</v>
      </c>
      <c r="AX117" s="137">
        <f>SUMIFS(Database!$G:$G,Database!$D:$D,"Export",Database!$E:$E,$B117,Database!$C:$C,AX$1,Database!$F:$F,"Total")</f>
        <v>0</v>
      </c>
      <c r="AY117" s="137">
        <f>SUMIFS(Database!$G:$G,Database!$D:$D,"Export",Database!$E:$E,$B117,Database!$C:$C,AY$1,Database!$F:$F,"Total")</f>
        <v>0</v>
      </c>
      <c r="AZ117" s="137">
        <f>SUMIFS(Database!$G:$G,Database!$D:$D,"Export",Database!$E:$E,$B117,Database!$C:$C,AZ$1,Database!$F:$F,"Total")</f>
        <v>0</v>
      </c>
      <c r="BA117" s="137">
        <f>SUMIFS(Database!$G:$G,Database!$D:$D,"Export",Database!$E:$E,$B117,Database!$C:$C,BA$1,Database!$F:$F,"Total")</f>
        <v>0</v>
      </c>
      <c r="BB117" s="137">
        <f>SUMIFS(Database!$G:$G,Database!$D:$D,"Export",Database!$E:$E,$B117,Database!$C:$C,BB$1,Database!$F:$F,"Total")</f>
        <v>0</v>
      </c>
      <c r="BC117" s="137">
        <f>SUMIFS(Database!$G:$G,Database!$D:$D,"Export",Database!$E:$E,$B117,Database!$C:$C,BC$1,Database!$F:$F,"Total")</f>
        <v>0</v>
      </c>
      <c r="BD117" s="137">
        <f>SUMIFS(Database!$G:$G,Database!$D:$D,"Export",Database!$E:$E,$B117,Database!$C:$C,BD$1,Database!$F:$F,"Total")</f>
        <v>0</v>
      </c>
      <c r="BE117" s="137">
        <f>SUMIFS(Database!$G:$G,Database!$D:$D,"Export",Database!$E:$E,$B117,Database!$C:$C,BE$1,Database!$F:$F,"Total")</f>
        <v>0</v>
      </c>
      <c r="BF117" s="137">
        <f>SUMIFS(Database!$G:$G,Database!$D:$D,"Export",Database!$E:$E,$B117,Database!$C:$C,BF$1,Database!$F:$F,"Total")</f>
        <v>0</v>
      </c>
      <c r="BG117" s="137">
        <f>SUMIFS(Database!$G:$G,Database!$D:$D,"Export",Database!$E:$E,$B117,Database!$C:$C,BG$1,Database!$F:$F,"Total")</f>
        <v>0</v>
      </c>
      <c r="BH117" s="137">
        <f>SUMIFS(Database!$G:$G,Database!$D:$D,"Export",Database!$E:$E,$B117,Database!$C:$C,BH$1,Database!$F:$F,"Total")</f>
        <v>0</v>
      </c>
      <c r="BI117" s="137">
        <f>SUMIFS(Database!$G:$G,Database!$D:$D,"Export",Database!$E:$E,$B117,Database!$C:$C,BI$1,Database!$F:$F,"Total")</f>
        <v>0</v>
      </c>
      <c r="BJ117" s="137">
        <f>SUMIFS(Database!$G:$G,Database!$D:$D,"Export",Database!$E:$E,$B117,Database!$C:$C,BJ$1,Database!$F:$F,"Total")</f>
        <v>0</v>
      </c>
      <c r="BK117" s="137">
        <f>SUMIFS(Database!$G:$G,Database!$D:$D,"Export",Database!$E:$E,$B117,Database!$C:$C,BK$1,Database!$F:$F,"Total")</f>
        <v>0</v>
      </c>
      <c r="BL117" s="137">
        <f>SUMIFS(Database!$G:$G,Database!$D:$D,"Export",Database!$E:$E,$B117,Database!$C:$C,BL$1,Database!$F:$F,"Total")</f>
        <v>0</v>
      </c>
      <c r="BM117" s="137">
        <f>SUMIFS(Database!$G:$G,Database!$D:$D,"Export",Database!$E:$E,$B117,Database!$C:$C,BM$1,Database!$F:$F,"Total")</f>
        <v>0</v>
      </c>
      <c r="BN117" s="137">
        <f>SUMIFS(Database!$G:$G,Database!$D:$D,"Export",Database!$E:$E,$B117,Database!$C:$C,BN$1,Database!$F:$F,"Total")</f>
        <v>0</v>
      </c>
      <c r="BO117" s="137">
        <f>SUMIFS(Database!$G:$G,Database!$D:$D,"Export",Database!$E:$E,$B117,Database!$C:$C,BO$1,Database!$F:$F,"Total")</f>
        <v>0</v>
      </c>
      <c r="BP117" s="137">
        <f>SUMIFS(Database!$G:$G,Database!$D:$D,"Export",Database!$E:$E,$B117,Database!$C:$C,BP$1,Database!$F:$F,"Total")</f>
        <v>1538</v>
      </c>
      <c r="BQ117" s="137">
        <f>SUMIFS(Database!$G:$G,Database!$D:$D,"Export",Database!$E:$E,$B117,Database!$C:$C,BQ$1,Database!$F:$F,"Total")</f>
        <v>2902</v>
      </c>
      <c r="BR117" s="137">
        <f>SUMIFS(Database!$G:$G,Database!$D:$D,"Export",Database!$E:$E,$B117,Database!$C:$C,BR$1,Database!$F:$F,"Total")</f>
        <v>1278</v>
      </c>
      <c r="BS117" s="137">
        <f>SUMIFS(Database!$G:$G,Database!$D:$D,"Export",Database!$E:$E,$B117,Database!$C:$C,BS$1,Database!$F:$F,"Total")</f>
        <v>3867</v>
      </c>
      <c r="BT117" s="137">
        <f>SUMIFS(Database!$G:$G,Database!$D:$D,"Export",Database!$E:$E,$B117,Database!$C:$C,BT$1,Database!$F:$F,"Total")</f>
        <v>210</v>
      </c>
      <c r="BU117" s="137">
        <f>SUMIFS(Database!$G:$G,Database!$D:$D,"Export",Database!$E:$E,$B117,Database!$C:$C,BU$1,Database!$F:$F,"Total")</f>
        <v>831</v>
      </c>
      <c r="BV117" s="137">
        <f>SUMIFS(Database!$G:$G,Database!$D:$D,"Export",Database!$E:$E,$B117,Database!$C:$C,BV$1,Database!$F:$F,"Total")</f>
        <v>0</v>
      </c>
      <c r="BW117" s="137">
        <f>SUMIFS(Database!$G:$G,Database!$D:$D,"Export",Database!$E:$E,$B117,Database!$C:$C,BW$1,Database!$F:$F,"Total")</f>
        <v>0</v>
      </c>
      <c r="BX117" s="137">
        <f>SUMIFS(Database!$G:$G,Database!$D:$D,"Export",Database!$E:$E,$B117,Database!$C:$C,BX$1,Database!$F:$F,"Total")</f>
        <v>0</v>
      </c>
      <c r="BY117" s="137">
        <f>SUMIFS(Database!$G:$G,Database!$D:$D,"Export",Database!$E:$E,$B117,Database!$C:$C,BY$1,Database!$F:$F,"Total")</f>
        <v>0</v>
      </c>
      <c r="BZ117" s="137">
        <f>SUMIFS(Database!$G:$G,Database!$D:$D,"Export",Database!$E:$E,$B117,Database!$C:$C,BZ$1,Database!$F:$F,"Total")</f>
        <v>0</v>
      </c>
      <c r="CA117" s="137">
        <f>SUMIFS(Database!$G:$G,Database!$D:$D,"Export",Database!$E:$E,$B117,Database!$C:$C,CA$1,Database!$F:$F,"Total")</f>
        <v>0</v>
      </c>
      <c r="CB117" s="137">
        <f>SUMIFS(Database!$G:$G,Database!$D:$D,"Export",Database!$E:$E,$B117,Database!$C:$C,CB$1,Database!$F:$F,"Total")</f>
        <v>0</v>
      </c>
      <c r="CC117" s="137">
        <f>SUMIFS(Database!$G:$G,Database!$D:$D,"Export",Database!$E:$E,$B117,Database!$C:$C,CC$1,Database!$F:$F,"Total")</f>
        <v>0</v>
      </c>
      <c r="CD117" s="137">
        <f>SUMIFS(Database!$G:$G,Database!$D:$D,"Export",Database!$E:$E,$B117,Database!$C:$C,CD$1,Database!$F:$F,"Total")</f>
        <v>0</v>
      </c>
      <c r="CE117" s="137">
        <f>SUMIFS(Database!$G:$G,Database!$D:$D,"Export",Database!$E:$E,$B117,Database!$C:$C,CE$1,Database!$F:$F,"Total")</f>
        <v>0</v>
      </c>
      <c r="CF117" s="137">
        <f>SUMIFS(Database!$G:$G,Database!$D:$D,"Export",Database!$E:$E,$B117,Database!$C:$C,CF$1,Database!$F:$F,"Total")</f>
        <v>0</v>
      </c>
      <c r="CG117" s="137">
        <f>SUMIFS(Database!$G:$G,Database!$D:$D,"Export",Database!$E:$E,$B117,Database!$C:$C,CG$1,Database!$F:$F,"Total")</f>
        <v>0</v>
      </c>
      <c r="CH117" s="137">
        <f>SUMIFS(Database!$G:$G,Database!$D:$D,"Export",Database!$E:$E,$B117,Database!$C:$C,CH$1,Database!$F:$F,"Total")</f>
        <v>0</v>
      </c>
      <c r="CI117" s="137">
        <f>SUMIFS(Database!$G:$G,Database!$D:$D,"Export",Database!$E:$E,$B117,Database!$C:$C,CI$1,Database!$F:$F,"Total")</f>
        <v>0</v>
      </c>
      <c r="CJ117" s="137">
        <f>SUMIFS(Database!$G:$G,Database!$D:$D,"Export",Database!$E:$E,$B117,Database!$C:$C,CJ$1,Database!$F:$F,"Total")</f>
        <v>0</v>
      </c>
      <c r="CK117" s="137">
        <f>SUMIFS(Database!$G:$G,Database!$D:$D,"Export",Database!$E:$E,$B117,Database!$C:$C,CK$1,Database!$F:$F,"Total")</f>
        <v>0</v>
      </c>
      <c r="CL117" s="137">
        <f>SUMIFS(Database!$G:$G,Database!$D:$D,"Export",Database!$E:$E,$B117,Database!$C:$C,CL$1,Database!$F:$F,"Total")</f>
        <v>0</v>
      </c>
      <c r="CM117" s="137">
        <f>SUMIFS(Database!$G:$G,Database!$D:$D,"Export",Database!$E:$E,$B117,Database!$C:$C,CM$1,Database!$F:$F,"Total")</f>
        <v>0</v>
      </c>
      <c r="CN117" s="137">
        <f>SUMIFS(Database!$G:$G,Database!$D:$D,"Export",Database!$E:$E,$B117,Database!$C:$C,CN$1,Database!$F:$F,"Total")</f>
        <v>0</v>
      </c>
      <c r="CO117" s="137">
        <f>SUMIFS(Database!$G:$G,Database!$D:$D,"Export",Database!$E:$E,$B117,Database!$C:$C,CO$1,Database!$F:$F,"Total")</f>
        <v>0</v>
      </c>
      <c r="CP117" s="137">
        <f>SUMIFS(Database!$G:$G,Database!$D:$D,"Export",Database!$E:$E,$B117,Database!$C:$C,CP$1,Database!$F:$F,"Total")</f>
        <v>0</v>
      </c>
      <c r="CQ117" s="137">
        <f>SUMIFS(Database!$G:$G,Database!$D:$D,"Export",Database!$E:$E,$B117,Database!$C:$C,CQ$1,Database!$F:$F,"Total")</f>
        <v>0</v>
      </c>
      <c r="CR117" s="137">
        <f>SUMIFS(Database!$G:$G,Database!$D:$D,"Export",Database!$E:$E,$B117,Database!$C:$C,CR$1,Database!$F:$F,"Total")</f>
        <v>0</v>
      </c>
      <c r="CS117" s="137">
        <f>SUMIFS(Database!$G:$G,Database!$D:$D,"Export",Database!$E:$E,$B117,Database!$C:$C,CS$1,Database!$F:$F,"Total")</f>
        <v>0</v>
      </c>
      <c r="CT117" s="137">
        <f>SUMIFS(Database!$G:$G,Database!$D:$D,"Export",Database!$E:$E,$B117,Database!$C:$C,CT$1,Database!$F:$F,"Total")</f>
        <v>0</v>
      </c>
      <c r="CU117" s="137">
        <f>SUMIFS(Database!$G:$G,Database!$D:$D,"Export",Database!$E:$E,$B117,Database!$C:$C,CU$1,Database!$F:$F,"Total")</f>
        <v>0</v>
      </c>
    </row>
    <row r="118" spans="1:99" x14ac:dyDescent="0.25">
      <c r="A118" s="132" t="s">
        <v>485</v>
      </c>
      <c r="B118" s="133" t="s">
        <v>120</v>
      </c>
      <c r="C118" s="137">
        <f>SUMIFS(Database!$G:$G,Database!$D:$D,"Export",Database!$E:$E,$B118,Database!$C:$C,C$1,Database!$F:$F,"Total")</f>
        <v>0</v>
      </c>
      <c r="D118" s="137">
        <f>SUMIFS(Database!$G:$G,Database!$D:$D,"Export",Database!$E:$E,$B118,Database!$C:$C,D$1,Database!$F:$F,"Total")</f>
        <v>0</v>
      </c>
      <c r="E118" s="137">
        <f>SUMIFS(Database!$G:$G,Database!$D:$D,"Export",Database!$E:$E,$B118,Database!$C:$C,E$1,Database!$F:$F,"Total")</f>
        <v>0</v>
      </c>
      <c r="F118" s="137">
        <f>SUMIFS(Database!$G:$G,Database!$D:$D,"Export",Database!$E:$E,$B118,Database!$C:$C,F$1,Database!$F:$F,"Total")</f>
        <v>0</v>
      </c>
      <c r="G118" s="137">
        <f>SUMIFS(Database!$G:$G,Database!$D:$D,"Export",Database!$E:$E,$B118,Database!$C:$C,G$1,Database!$F:$F,"Total")</f>
        <v>0</v>
      </c>
      <c r="H118" s="137">
        <f>SUMIFS(Database!$G:$G,Database!$D:$D,"Export",Database!$E:$E,$B118,Database!$C:$C,H$1,Database!$F:$F,"Total")</f>
        <v>0</v>
      </c>
      <c r="I118" s="137">
        <f>SUMIFS(Database!$G:$G,Database!$D:$D,"Export",Database!$E:$E,$B118,Database!$C:$C,I$1,Database!$F:$F,"Total")</f>
        <v>0</v>
      </c>
      <c r="J118" s="137">
        <f>SUMIFS(Database!$G:$G,Database!$D:$D,"Export",Database!$E:$E,$B118,Database!$C:$C,J$1,Database!$F:$F,"Total")</f>
        <v>0</v>
      </c>
      <c r="K118" s="137">
        <f>SUMIFS(Database!$G:$G,Database!$D:$D,"Export",Database!$E:$E,$B118,Database!$C:$C,K$1,Database!$F:$F,"Total")</f>
        <v>0</v>
      </c>
      <c r="L118" s="137">
        <f>SUMIFS(Database!$G:$G,Database!$D:$D,"Export",Database!$E:$E,$B118,Database!$C:$C,L$1,Database!$F:$F,"Total")</f>
        <v>0</v>
      </c>
      <c r="M118" s="137">
        <f>SUMIFS(Database!$G:$G,Database!$D:$D,"Export",Database!$E:$E,$B118,Database!$C:$C,M$1,Database!$F:$F,"Total")</f>
        <v>0</v>
      </c>
      <c r="N118" s="137">
        <f>SUMIFS(Database!$G:$G,Database!$D:$D,"Export",Database!$E:$E,$B118,Database!$C:$C,N$1,Database!$F:$F,"Total")</f>
        <v>0</v>
      </c>
      <c r="O118" s="137">
        <f>SUMIFS(Database!$G:$G,Database!$D:$D,"Export",Database!$E:$E,$B118,Database!$C:$C,O$1,Database!$F:$F,"Total")</f>
        <v>0</v>
      </c>
      <c r="P118" s="137">
        <f>SUMIFS(Database!$G:$G,Database!$D:$D,"Export",Database!$E:$E,$B118,Database!$C:$C,P$1,Database!$F:$F,"Total")</f>
        <v>0</v>
      </c>
      <c r="Q118" s="137">
        <f>SUMIFS(Database!$G:$G,Database!$D:$D,"Export",Database!$E:$E,$B118,Database!$C:$C,Q$1,Database!$F:$F,"Total")</f>
        <v>0</v>
      </c>
      <c r="R118" s="137">
        <f>SUMIFS(Database!$G:$G,Database!$D:$D,"Export",Database!$E:$E,$B118,Database!$C:$C,R$1,Database!$F:$F,"Total")</f>
        <v>0</v>
      </c>
      <c r="S118" s="137">
        <f>SUMIFS(Database!$G:$G,Database!$D:$D,"Export",Database!$E:$E,$B118,Database!$C:$C,S$1,Database!$F:$F,"Total")</f>
        <v>0</v>
      </c>
      <c r="T118" s="137">
        <f>SUMIFS(Database!$G:$G,Database!$D:$D,"Export",Database!$E:$E,$B118,Database!$C:$C,T$1,Database!$F:$F,"Total")</f>
        <v>0</v>
      </c>
      <c r="U118" s="137">
        <f>SUMIFS(Database!$G:$G,Database!$D:$D,"Export",Database!$E:$E,$B118,Database!$C:$C,U$1,Database!$F:$F,"Total")</f>
        <v>0</v>
      </c>
      <c r="V118" s="137">
        <f>SUMIFS(Database!$G:$G,Database!$D:$D,"Export",Database!$E:$E,$B118,Database!$C:$C,V$1,Database!$F:$F,"Total")</f>
        <v>0</v>
      </c>
      <c r="W118" s="137">
        <f>SUMIFS(Database!$G:$G,Database!$D:$D,"Export",Database!$E:$E,$B118,Database!$C:$C,W$1,Database!$F:$F,"Total")</f>
        <v>0</v>
      </c>
      <c r="X118" s="137">
        <f>SUMIFS(Database!$G:$G,Database!$D:$D,"Export",Database!$E:$E,$B118,Database!$C:$C,X$1,Database!$F:$F,"Total")</f>
        <v>0</v>
      </c>
      <c r="Y118" s="137">
        <f>SUMIFS(Database!$G:$G,Database!$D:$D,"Export",Database!$E:$E,$B118,Database!$C:$C,Y$1,Database!$F:$F,"Total")</f>
        <v>0</v>
      </c>
      <c r="Z118" s="137">
        <f>SUMIFS(Database!$G:$G,Database!$D:$D,"Export",Database!$E:$E,$B118,Database!$C:$C,Z$1,Database!$F:$F,"Total")</f>
        <v>0</v>
      </c>
      <c r="AA118" s="137">
        <f>SUMIFS(Database!$G:$G,Database!$D:$D,"Export",Database!$E:$E,$B118,Database!$C:$C,AA$1,Database!$F:$F,"Total")</f>
        <v>0</v>
      </c>
      <c r="AB118" s="137">
        <f>SUMIFS(Database!$G:$G,Database!$D:$D,"Export",Database!$E:$E,$B118,Database!$C:$C,AB$1,Database!$F:$F,"Total")</f>
        <v>0</v>
      </c>
      <c r="AC118" s="137">
        <f>SUMIFS(Database!$G:$G,Database!$D:$D,"Export",Database!$E:$E,$B118,Database!$C:$C,AC$1,Database!$F:$F,"Total")</f>
        <v>0</v>
      </c>
      <c r="AD118" s="137">
        <f>SUMIFS(Database!$G:$G,Database!$D:$D,"Export",Database!$E:$E,$B118,Database!$C:$C,AD$1,Database!$F:$F,"Total")</f>
        <v>0</v>
      </c>
      <c r="AE118" s="137">
        <f>SUMIFS(Database!$G:$G,Database!$D:$D,"Export",Database!$E:$E,$B118,Database!$C:$C,AE$1,Database!$F:$F,"Total")</f>
        <v>0</v>
      </c>
      <c r="AF118" s="137">
        <f>SUMIFS(Database!$G:$G,Database!$D:$D,"Export",Database!$E:$E,$B118,Database!$C:$C,AF$1,Database!$F:$F,"Total")</f>
        <v>0</v>
      </c>
      <c r="AG118" s="137">
        <f>SUMIFS(Database!$G:$G,Database!$D:$D,"Export",Database!$E:$E,$B118,Database!$C:$C,AG$1,Database!$F:$F,"Total")</f>
        <v>0</v>
      </c>
      <c r="AH118" s="137">
        <f>SUMIFS(Database!$G:$G,Database!$D:$D,"Export",Database!$E:$E,$B118,Database!$C:$C,AH$1,Database!$F:$F,"Total")</f>
        <v>0</v>
      </c>
      <c r="AI118" s="137">
        <f>SUMIFS(Database!$G:$G,Database!$D:$D,"Export",Database!$E:$E,$B118,Database!$C:$C,AI$1,Database!$F:$F,"Total")</f>
        <v>0</v>
      </c>
      <c r="AJ118" s="137">
        <f>SUMIFS(Database!$G:$G,Database!$D:$D,"Export",Database!$E:$E,$B118,Database!$C:$C,AJ$1,Database!$F:$F,"Total")</f>
        <v>27</v>
      </c>
      <c r="AK118" s="137">
        <f>SUMIFS(Database!$G:$G,Database!$D:$D,"Export",Database!$E:$E,$B118,Database!$C:$C,AK$1,Database!$F:$F,"Total")</f>
        <v>0</v>
      </c>
      <c r="AL118" s="137">
        <f>SUMIFS(Database!$G:$G,Database!$D:$D,"Export",Database!$E:$E,$B118,Database!$C:$C,AL$1,Database!$F:$F,"Total")</f>
        <v>0</v>
      </c>
      <c r="AM118" s="137">
        <f>SUMIFS(Database!$G:$G,Database!$D:$D,"Export",Database!$E:$E,$B118,Database!$C:$C,AM$1,Database!$F:$F,"Total")</f>
        <v>0</v>
      </c>
      <c r="AN118" s="137">
        <f>SUMIFS(Database!$G:$G,Database!$D:$D,"Export",Database!$E:$E,$B118,Database!$C:$C,AN$1,Database!$F:$F,"Total")</f>
        <v>0</v>
      </c>
      <c r="AO118" s="137">
        <f>SUMIFS(Database!$G:$G,Database!$D:$D,"Export",Database!$E:$E,$B118,Database!$C:$C,AO$1,Database!$F:$F,"Total")</f>
        <v>0</v>
      </c>
      <c r="AP118" s="137">
        <f>SUMIFS(Database!$G:$G,Database!$D:$D,"Export",Database!$E:$E,$B118,Database!$C:$C,AP$1,Database!$F:$F,"Total")</f>
        <v>0</v>
      </c>
      <c r="AQ118" s="137">
        <f>SUMIFS(Database!$G:$G,Database!$D:$D,"Export",Database!$E:$E,$B118,Database!$C:$C,AQ$1,Database!$F:$F,"Total")</f>
        <v>0</v>
      </c>
      <c r="AR118" s="137">
        <f>SUMIFS(Database!$G:$G,Database!$D:$D,"Export",Database!$E:$E,$B118,Database!$C:$C,AR$1,Database!$F:$F,"Total")</f>
        <v>0</v>
      </c>
      <c r="AS118" s="137">
        <f>SUMIFS(Database!$G:$G,Database!$D:$D,"Export",Database!$E:$E,$B118,Database!$C:$C,AS$1,Database!$F:$F,"Total")</f>
        <v>0</v>
      </c>
      <c r="AT118" s="137">
        <f>SUMIFS(Database!$G:$G,Database!$D:$D,"Export",Database!$E:$E,$B118,Database!$C:$C,AT$1,Database!$F:$F,"Total")</f>
        <v>0</v>
      </c>
      <c r="AU118" s="137">
        <f>SUMIFS(Database!$G:$G,Database!$D:$D,"Export",Database!$E:$E,$B118,Database!$C:$C,AU$1,Database!$F:$F,"Total")</f>
        <v>0</v>
      </c>
      <c r="AV118" s="137">
        <f>SUMIFS(Database!$G:$G,Database!$D:$D,"Export",Database!$E:$E,$B118,Database!$C:$C,AV$1,Database!$F:$F,"Total")</f>
        <v>0</v>
      </c>
      <c r="AW118" s="137">
        <f>SUMIFS(Database!$G:$G,Database!$D:$D,"Export",Database!$E:$E,$B118,Database!$C:$C,AW$1,Database!$F:$F,"Total")</f>
        <v>0</v>
      </c>
      <c r="AX118" s="137">
        <f>SUMIFS(Database!$G:$G,Database!$D:$D,"Export",Database!$E:$E,$B118,Database!$C:$C,AX$1,Database!$F:$F,"Total")</f>
        <v>0</v>
      </c>
      <c r="AY118" s="137">
        <f>SUMIFS(Database!$G:$G,Database!$D:$D,"Export",Database!$E:$E,$B118,Database!$C:$C,AY$1,Database!$F:$F,"Total")</f>
        <v>0</v>
      </c>
      <c r="AZ118" s="137">
        <f>SUMIFS(Database!$G:$G,Database!$D:$D,"Export",Database!$E:$E,$B118,Database!$C:$C,AZ$1,Database!$F:$F,"Total")</f>
        <v>0</v>
      </c>
      <c r="BA118" s="137">
        <f>SUMIFS(Database!$G:$G,Database!$D:$D,"Export",Database!$E:$E,$B118,Database!$C:$C,BA$1,Database!$F:$F,"Total")</f>
        <v>0</v>
      </c>
      <c r="BB118" s="137">
        <f>SUMIFS(Database!$G:$G,Database!$D:$D,"Export",Database!$E:$E,$B118,Database!$C:$C,BB$1,Database!$F:$F,"Total")</f>
        <v>0</v>
      </c>
      <c r="BC118" s="137">
        <f>SUMIFS(Database!$G:$G,Database!$D:$D,"Export",Database!$E:$E,$B118,Database!$C:$C,BC$1,Database!$F:$F,"Total")</f>
        <v>0</v>
      </c>
      <c r="BD118" s="137">
        <f>SUMIFS(Database!$G:$G,Database!$D:$D,"Export",Database!$E:$E,$B118,Database!$C:$C,BD$1,Database!$F:$F,"Total")</f>
        <v>0</v>
      </c>
      <c r="BE118" s="137">
        <f>SUMIFS(Database!$G:$G,Database!$D:$D,"Export",Database!$E:$E,$B118,Database!$C:$C,BE$1,Database!$F:$F,"Total")</f>
        <v>0</v>
      </c>
      <c r="BF118" s="137">
        <f>SUMIFS(Database!$G:$G,Database!$D:$D,"Export",Database!$E:$E,$B118,Database!$C:$C,BF$1,Database!$F:$F,"Total")</f>
        <v>0</v>
      </c>
      <c r="BG118" s="137">
        <f>SUMIFS(Database!$G:$G,Database!$D:$D,"Export",Database!$E:$E,$B118,Database!$C:$C,BG$1,Database!$F:$F,"Total")</f>
        <v>0</v>
      </c>
      <c r="BH118" s="137">
        <f>SUMIFS(Database!$G:$G,Database!$D:$D,"Export",Database!$E:$E,$B118,Database!$C:$C,BH$1,Database!$F:$F,"Total")</f>
        <v>0</v>
      </c>
      <c r="BI118" s="137">
        <f>SUMIFS(Database!$G:$G,Database!$D:$D,"Export",Database!$E:$E,$B118,Database!$C:$C,BI$1,Database!$F:$F,"Total")</f>
        <v>0</v>
      </c>
      <c r="BJ118" s="137">
        <f>SUMIFS(Database!$G:$G,Database!$D:$D,"Export",Database!$E:$E,$B118,Database!$C:$C,BJ$1,Database!$F:$F,"Total")</f>
        <v>0</v>
      </c>
      <c r="BK118" s="137">
        <f>SUMIFS(Database!$G:$G,Database!$D:$D,"Export",Database!$E:$E,$B118,Database!$C:$C,BK$1,Database!$F:$F,"Total")</f>
        <v>0</v>
      </c>
      <c r="BL118" s="137">
        <f>SUMIFS(Database!$G:$G,Database!$D:$D,"Export",Database!$E:$E,$B118,Database!$C:$C,BL$1,Database!$F:$F,"Total")</f>
        <v>0</v>
      </c>
      <c r="BM118" s="137">
        <f>SUMIFS(Database!$G:$G,Database!$D:$D,"Export",Database!$E:$E,$B118,Database!$C:$C,BM$1,Database!$F:$F,"Total")</f>
        <v>0</v>
      </c>
      <c r="BN118" s="137">
        <f>SUMIFS(Database!$G:$G,Database!$D:$D,"Export",Database!$E:$E,$B118,Database!$C:$C,BN$1,Database!$F:$F,"Total")</f>
        <v>0</v>
      </c>
      <c r="BO118" s="137">
        <f>SUMIFS(Database!$G:$G,Database!$D:$D,"Export",Database!$E:$E,$B118,Database!$C:$C,BO$1,Database!$F:$F,"Total")</f>
        <v>0</v>
      </c>
      <c r="BP118" s="137">
        <f>SUMIFS(Database!$G:$G,Database!$D:$D,"Export",Database!$E:$E,$B118,Database!$C:$C,BP$1,Database!$F:$F,"Total")</f>
        <v>0</v>
      </c>
      <c r="BQ118" s="137">
        <f>SUMIFS(Database!$G:$G,Database!$D:$D,"Export",Database!$E:$E,$B118,Database!$C:$C,BQ$1,Database!$F:$F,"Total")</f>
        <v>0</v>
      </c>
      <c r="BR118" s="137">
        <f>SUMIFS(Database!$G:$G,Database!$D:$D,"Export",Database!$E:$E,$B118,Database!$C:$C,BR$1,Database!$F:$F,"Total")</f>
        <v>0</v>
      </c>
      <c r="BS118" s="137">
        <f>SUMIFS(Database!$G:$G,Database!$D:$D,"Export",Database!$E:$E,$B118,Database!$C:$C,BS$1,Database!$F:$F,"Total")</f>
        <v>0</v>
      </c>
      <c r="BT118" s="137">
        <f>SUMIFS(Database!$G:$G,Database!$D:$D,"Export",Database!$E:$E,$B118,Database!$C:$C,BT$1,Database!$F:$F,"Total")</f>
        <v>0</v>
      </c>
      <c r="BU118" s="137">
        <f>SUMIFS(Database!$G:$G,Database!$D:$D,"Export",Database!$E:$E,$B118,Database!$C:$C,BU$1,Database!$F:$F,"Total")</f>
        <v>0</v>
      </c>
      <c r="BV118" s="137">
        <f>SUMIFS(Database!$G:$G,Database!$D:$D,"Export",Database!$E:$E,$B118,Database!$C:$C,BV$1,Database!$F:$F,"Total")</f>
        <v>0</v>
      </c>
      <c r="BW118" s="137">
        <f>SUMIFS(Database!$G:$G,Database!$D:$D,"Export",Database!$E:$E,$B118,Database!$C:$C,BW$1,Database!$F:$F,"Total")</f>
        <v>0</v>
      </c>
      <c r="BX118" s="137">
        <f>SUMIFS(Database!$G:$G,Database!$D:$D,"Export",Database!$E:$E,$B118,Database!$C:$C,BX$1,Database!$F:$F,"Total")</f>
        <v>0</v>
      </c>
      <c r="BY118" s="137">
        <f>SUMIFS(Database!$G:$G,Database!$D:$D,"Export",Database!$E:$E,$B118,Database!$C:$C,BY$1,Database!$F:$F,"Total")</f>
        <v>0</v>
      </c>
      <c r="BZ118" s="137">
        <f>SUMIFS(Database!$G:$G,Database!$D:$D,"Export",Database!$E:$E,$B118,Database!$C:$C,BZ$1,Database!$F:$F,"Total")</f>
        <v>0</v>
      </c>
      <c r="CA118" s="137">
        <f>SUMIFS(Database!$G:$G,Database!$D:$D,"Export",Database!$E:$E,$B118,Database!$C:$C,CA$1,Database!$F:$F,"Total")</f>
        <v>0</v>
      </c>
      <c r="CB118" s="137">
        <f>SUMIFS(Database!$G:$G,Database!$D:$D,"Export",Database!$E:$E,$B118,Database!$C:$C,CB$1,Database!$F:$F,"Total")</f>
        <v>0</v>
      </c>
      <c r="CC118" s="137">
        <f>SUMIFS(Database!$G:$G,Database!$D:$D,"Export",Database!$E:$E,$B118,Database!$C:$C,CC$1,Database!$F:$F,"Total")</f>
        <v>0</v>
      </c>
      <c r="CD118" s="137">
        <f>SUMIFS(Database!$G:$G,Database!$D:$D,"Export",Database!$E:$E,$B118,Database!$C:$C,CD$1,Database!$F:$F,"Total")</f>
        <v>0</v>
      </c>
      <c r="CE118" s="137">
        <f>SUMIFS(Database!$G:$G,Database!$D:$D,"Export",Database!$E:$E,$B118,Database!$C:$C,CE$1,Database!$F:$F,"Total")</f>
        <v>0</v>
      </c>
      <c r="CF118" s="137">
        <f>SUMIFS(Database!$G:$G,Database!$D:$D,"Export",Database!$E:$E,$B118,Database!$C:$C,CF$1,Database!$F:$F,"Total")</f>
        <v>0</v>
      </c>
      <c r="CG118" s="137">
        <f>SUMIFS(Database!$G:$G,Database!$D:$D,"Export",Database!$E:$E,$B118,Database!$C:$C,CG$1,Database!$F:$F,"Total")</f>
        <v>0</v>
      </c>
      <c r="CH118" s="137">
        <f>SUMIFS(Database!$G:$G,Database!$D:$D,"Export",Database!$E:$E,$B118,Database!$C:$C,CH$1,Database!$F:$F,"Total")</f>
        <v>0</v>
      </c>
      <c r="CI118" s="137">
        <f>SUMIFS(Database!$G:$G,Database!$D:$D,"Export",Database!$E:$E,$B118,Database!$C:$C,CI$1,Database!$F:$F,"Total")</f>
        <v>0</v>
      </c>
      <c r="CJ118" s="137">
        <f>SUMIFS(Database!$G:$G,Database!$D:$D,"Export",Database!$E:$E,$B118,Database!$C:$C,CJ$1,Database!$F:$F,"Total")</f>
        <v>0</v>
      </c>
      <c r="CK118" s="137">
        <f>SUMIFS(Database!$G:$G,Database!$D:$D,"Export",Database!$E:$E,$B118,Database!$C:$C,CK$1,Database!$F:$F,"Total")</f>
        <v>0</v>
      </c>
      <c r="CL118" s="137">
        <f>SUMIFS(Database!$G:$G,Database!$D:$D,"Export",Database!$E:$E,$B118,Database!$C:$C,CL$1,Database!$F:$F,"Total")</f>
        <v>0</v>
      </c>
      <c r="CM118" s="137">
        <f>SUMIFS(Database!$G:$G,Database!$D:$D,"Export",Database!$E:$E,$B118,Database!$C:$C,CM$1,Database!$F:$F,"Total")</f>
        <v>0</v>
      </c>
      <c r="CN118" s="137">
        <f>SUMIFS(Database!$G:$G,Database!$D:$D,"Export",Database!$E:$E,$B118,Database!$C:$C,CN$1,Database!$F:$F,"Total")</f>
        <v>0</v>
      </c>
      <c r="CO118" s="137">
        <f>SUMIFS(Database!$G:$G,Database!$D:$D,"Export",Database!$E:$E,$B118,Database!$C:$C,CO$1,Database!$F:$F,"Total")</f>
        <v>0</v>
      </c>
      <c r="CP118" s="137">
        <f>SUMIFS(Database!$G:$G,Database!$D:$D,"Export",Database!$E:$E,$B118,Database!$C:$C,CP$1,Database!$F:$F,"Total")</f>
        <v>0</v>
      </c>
      <c r="CQ118" s="137">
        <f>SUMIFS(Database!$G:$G,Database!$D:$D,"Export",Database!$E:$E,$B118,Database!$C:$C,CQ$1,Database!$F:$F,"Total")</f>
        <v>0</v>
      </c>
      <c r="CR118" s="137">
        <f>SUMIFS(Database!$G:$G,Database!$D:$D,"Export",Database!$E:$E,$B118,Database!$C:$C,CR$1,Database!$F:$F,"Total")</f>
        <v>0</v>
      </c>
      <c r="CS118" s="137">
        <f>SUMIFS(Database!$G:$G,Database!$D:$D,"Export",Database!$E:$E,$B118,Database!$C:$C,CS$1,Database!$F:$F,"Total")</f>
        <v>0</v>
      </c>
      <c r="CT118" s="137">
        <f>SUMIFS(Database!$G:$G,Database!$D:$D,"Export",Database!$E:$E,$B118,Database!$C:$C,CT$1,Database!$F:$F,"Total")</f>
        <v>0</v>
      </c>
      <c r="CU118" s="137">
        <f>SUMIFS(Database!$G:$G,Database!$D:$D,"Export",Database!$E:$E,$B118,Database!$C:$C,CU$1,Database!$F:$F,"Total")</f>
        <v>0</v>
      </c>
    </row>
    <row r="119" spans="1:99" x14ac:dyDescent="0.25">
      <c r="A119" s="132" t="s">
        <v>485</v>
      </c>
      <c r="B119" s="133" t="s">
        <v>121</v>
      </c>
      <c r="C119" s="137">
        <f>SUMIFS(Database!$G:$G,Database!$D:$D,"Export",Database!$E:$E,$B119,Database!$C:$C,C$1,Database!$F:$F,"Total")</f>
        <v>0</v>
      </c>
      <c r="D119" s="137">
        <f>SUMIFS(Database!$G:$G,Database!$D:$D,"Export",Database!$E:$E,$B119,Database!$C:$C,D$1,Database!$F:$F,"Total")</f>
        <v>0</v>
      </c>
      <c r="E119" s="137">
        <f>SUMIFS(Database!$G:$G,Database!$D:$D,"Export",Database!$E:$E,$B119,Database!$C:$C,E$1,Database!$F:$F,"Total")</f>
        <v>0</v>
      </c>
      <c r="F119" s="137">
        <f>SUMIFS(Database!$G:$G,Database!$D:$D,"Export",Database!$E:$E,$B119,Database!$C:$C,F$1,Database!$F:$F,"Total")</f>
        <v>0</v>
      </c>
      <c r="G119" s="137">
        <f>SUMIFS(Database!$G:$G,Database!$D:$D,"Export",Database!$E:$E,$B119,Database!$C:$C,G$1,Database!$F:$F,"Total")</f>
        <v>0</v>
      </c>
      <c r="H119" s="137">
        <f>SUMIFS(Database!$G:$G,Database!$D:$D,"Export",Database!$E:$E,$B119,Database!$C:$C,H$1,Database!$F:$F,"Total")</f>
        <v>0</v>
      </c>
      <c r="I119" s="137">
        <f>SUMIFS(Database!$G:$G,Database!$D:$D,"Export",Database!$E:$E,$B119,Database!$C:$C,I$1,Database!$F:$F,"Total")</f>
        <v>0</v>
      </c>
      <c r="J119" s="137">
        <f>SUMIFS(Database!$G:$G,Database!$D:$D,"Export",Database!$E:$E,$B119,Database!$C:$C,J$1,Database!$F:$F,"Total")</f>
        <v>0</v>
      </c>
      <c r="K119" s="137">
        <f>SUMIFS(Database!$G:$G,Database!$D:$D,"Export",Database!$E:$E,$B119,Database!$C:$C,K$1,Database!$F:$F,"Total")</f>
        <v>0</v>
      </c>
      <c r="L119" s="137">
        <f>SUMIFS(Database!$G:$G,Database!$D:$D,"Export",Database!$E:$E,$B119,Database!$C:$C,L$1,Database!$F:$F,"Total")</f>
        <v>0</v>
      </c>
      <c r="M119" s="137">
        <f>SUMIFS(Database!$G:$G,Database!$D:$D,"Export",Database!$E:$E,$B119,Database!$C:$C,M$1,Database!$F:$F,"Total")</f>
        <v>0</v>
      </c>
      <c r="N119" s="137">
        <f>SUMIFS(Database!$G:$G,Database!$D:$D,"Export",Database!$E:$E,$B119,Database!$C:$C,N$1,Database!$F:$F,"Total")</f>
        <v>0</v>
      </c>
      <c r="O119" s="137">
        <f>SUMIFS(Database!$G:$G,Database!$D:$D,"Export",Database!$E:$E,$B119,Database!$C:$C,O$1,Database!$F:$F,"Total")</f>
        <v>0</v>
      </c>
      <c r="P119" s="137">
        <f>SUMIFS(Database!$G:$G,Database!$D:$D,"Export",Database!$E:$E,$B119,Database!$C:$C,P$1,Database!$F:$F,"Total")</f>
        <v>0</v>
      </c>
      <c r="Q119" s="137">
        <f>SUMIFS(Database!$G:$G,Database!$D:$D,"Export",Database!$E:$E,$B119,Database!$C:$C,Q$1,Database!$F:$F,"Total")</f>
        <v>0</v>
      </c>
      <c r="R119" s="137">
        <f>SUMIFS(Database!$G:$G,Database!$D:$D,"Export",Database!$E:$E,$B119,Database!$C:$C,R$1,Database!$F:$F,"Total")</f>
        <v>0</v>
      </c>
      <c r="S119" s="137">
        <f>SUMIFS(Database!$G:$G,Database!$D:$D,"Export",Database!$E:$E,$B119,Database!$C:$C,S$1,Database!$F:$F,"Total")</f>
        <v>0</v>
      </c>
      <c r="T119" s="137">
        <f>SUMIFS(Database!$G:$G,Database!$D:$D,"Export",Database!$E:$E,$B119,Database!$C:$C,T$1,Database!$F:$F,"Total")</f>
        <v>0</v>
      </c>
      <c r="U119" s="137">
        <f>SUMIFS(Database!$G:$G,Database!$D:$D,"Export",Database!$E:$E,$B119,Database!$C:$C,U$1,Database!$F:$F,"Total")</f>
        <v>0</v>
      </c>
      <c r="V119" s="137">
        <f>SUMIFS(Database!$G:$G,Database!$D:$D,"Export",Database!$E:$E,$B119,Database!$C:$C,V$1,Database!$F:$F,"Total")</f>
        <v>0</v>
      </c>
      <c r="W119" s="137">
        <f>SUMIFS(Database!$G:$G,Database!$D:$D,"Export",Database!$E:$E,$B119,Database!$C:$C,W$1,Database!$F:$F,"Total")</f>
        <v>0</v>
      </c>
      <c r="X119" s="137">
        <f>SUMIFS(Database!$G:$G,Database!$D:$D,"Export",Database!$E:$E,$B119,Database!$C:$C,X$1,Database!$F:$F,"Total")</f>
        <v>0</v>
      </c>
      <c r="Y119" s="137">
        <f>SUMIFS(Database!$G:$G,Database!$D:$D,"Export",Database!$E:$E,$B119,Database!$C:$C,Y$1,Database!$F:$F,"Total")</f>
        <v>0</v>
      </c>
      <c r="Z119" s="137">
        <f>SUMIFS(Database!$G:$G,Database!$D:$D,"Export",Database!$E:$E,$B119,Database!$C:$C,Z$1,Database!$F:$F,"Total")</f>
        <v>0</v>
      </c>
      <c r="AA119" s="137">
        <f>SUMIFS(Database!$G:$G,Database!$D:$D,"Export",Database!$E:$E,$B119,Database!$C:$C,AA$1,Database!$F:$F,"Total")</f>
        <v>0</v>
      </c>
      <c r="AB119" s="137">
        <f>SUMIFS(Database!$G:$G,Database!$D:$D,"Export",Database!$E:$E,$B119,Database!$C:$C,AB$1,Database!$F:$F,"Total")</f>
        <v>0</v>
      </c>
      <c r="AC119" s="137">
        <f>SUMIFS(Database!$G:$G,Database!$D:$D,"Export",Database!$E:$E,$B119,Database!$C:$C,AC$1,Database!$F:$F,"Total")</f>
        <v>0</v>
      </c>
      <c r="AD119" s="137">
        <f>SUMIFS(Database!$G:$G,Database!$D:$D,"Export",Database!$E:$E,$B119,Database!$C:$C,AD$1,Database!$F:$F,"Total")</f>
        <v>0</v>
      </c>
      <c r="AE119" s="137">
        <f>SUMIFS(Database!$G:$G,Database!$D:$D,"Export",Database!$E:$E,$B119,Database!$C:$C,AE$1,Database!$F:$F,"Total")</f>
        <v>0</v>
      </c>
      <c r="AF119" s="137">
        <f>SUMIFS(Database!$G:$G,Database!$D:$D,"Export",Database!$E:$E,$B119,Database!$C:$C,AF$1,Database!$F:$F,"Total")</f>
        <v>0</v>
      </c>
      <c r="AG119" s="137">
        <f>SUMIFS(Database!$G:$G,Database!$D:$D,"Export",Database!$E:$E,$B119,Database!$C:$C,AG$1,Database!$F:$F,"Total")</f>
        <v>0</v>
      </c>
      <c r="AH119" s="137">
        <f>SUMIFS(Database!$G:$G,Database!$D:$D,"Export",Database!$E:$E,$B119,Database!$C:$C,AH$1,Database!$F:$F,"Total")</f>
        <v>0</v>
      </c>
      <c r="AI119" s="137">
        <f>SUMIFS(Database!$G:$G,Database!$D:$D,"Export",Database!$E:$E,$B119,Database!$C:$C,AI$1,Database!$F:$F,"Total")</f>
        <v>0</v>
      </c>
      <c r="AJ119" s="137">
        <f>SUMIFS(Database!$G:$G,Database!$D:$D,"Export",Database!$E:$E,$B119,Database!$C:$C,AJ$1,Database!$F:$F,"Total")</f>
        <v>0</v>
      </c>
      <c r="AK119" s="137">
        <f>SUMIFS(Database!$G:$G,Database!$D:$D,"Export",Database!$E:$E,$B119,Database!$C:$C,AK$1,Database!$F:$F,"Total")</f>
        <v>0</v>
      </c>
      <c r="AL119" s="137">
        <f>SUMIFS(Database!$G:$G,Database!$D:$D,"Export",Database!$E:$E,$B119,Database!$C:$C,AL$1,Database!$F:$F,"Total")</f>
        <v>0</v>
      </c>
      <c r="AM119" s="137">
        <f>SUMIFS(Database!$G:$G,Database!$D:$D,"Export",Database!$E:$E,$B119,Database!$C:$C,AM$1,Database!$F:$F,"Total")</f>
        <v>0</v>
      </c>
      <c r="AN119" s="137">
        <f>SUMIFS(Database!$G:$G,Database!$D:$D,"Export",Database!$E:$E,$B119,Database!$C:$C,AN$1,Database!$F:$F,"Total")</f>
        <v>0</v>
      </c>
      <c r="AO119" s="137">
        <f>SUMIFS(Database!$G:$G,Database!$D:$D,"Export",Database!$E:$E,$B119,Database!$C:$C,AO$1,Database!$F:$F,"Total")</f>
        <v>0</v>
      </c>
      <c r="AP119" s="137">
        <f>SUMIFS(Database!$G:$G,Database!$D:$D,"Export",Database!$E:$E,$B119,Database!$C:$C,AP$1,Database!$F:$F,"Total")</f>
        <v>0</v>
      </c>
      <c r="AQ119" s="137">
        <f>SUMIFS(Database!$G:$G,Database!$D:$D,"Export",Database!$E:$E,$B119,Database!$C:$C,AQ$1,Database!$F:$F,"Total")</f>
        <v>0</v>
      </c>
      <c r="AR119" s="137">
        <f>SUMIFS(Database!$G:$G,Database!$D:$D,"Export",Database!$E:$E,$B119,Database!$C:$C,AR$1,Database!$F:$F,"Total")</f>
        <v>0</v>
      </c>
      <c r="AS119" s="137">
        <f>SUMIFS(Database!$G:$G,Database!$D:$D,"Export",Database!$E:$E,$B119,Database!$C:$C,AS$1,Database!$F:$F,"Total")</f>
        <v>0</v>
      </c>
      <c r="AT119" s="137">
        <f>SUMIFS(Database!$G:$G,Database!$D:$D,"Export",Database!$E:$E,$B119,Database!$C:$C,AT$1,Database!$F:$F,"Total")</f>
        <v>0</v>
      </c>
      <c r="AU119" s="137">
        <f>SUMIFS(Database!$G:$G,Database!$D:$D,"Export",Database!$E:$E,$B119,Database!$C:$C,AU$1,Database!$F:$F,"Total")</f>
        <v>0</v>
      </c>
      <c r="AV119" s="137">
        <f>SUMIFS(Database!$G:$G,Database!$D:$D,"Export",Database!$E:$E,$B119,Database!$C:$C,AV$1,Database!$F:$F,"Total")</f>
        <v>0</v>
      </c>
      <c r="AW119" s="137">
        <f>SUMIFS(Database!$G:$G,Database!$D:$D,"Export",Database!$E:$E,$B119,Database!$C:$C,AW$1,Database!$F:$F,"Total")</f>
        <v>0</v>
      </c>
      <c r="AX119" s="137">
        <f>SUMIFS(Database!$G:$G,Database!$D:$D,"Export",Database!$E:$E,$B119,Database!$C:$C,AX$1,Database!$F:$F,"Total")</f>
        <v>0</v>
      </c>
      <c r="AY119" s="137">
        <f>SUMIFS(Database!$G:$G,Database!$D:$D,"Export",Database!$E:$E,$B119,Database!$C:$C,AY$1,Database!$F:$F,"Total")</f>
        <v>0</v>
      </c>
      <c r="AZ119" s="137">
        <f>SUMIFS(Database!$G:$G,Database!$D:$D,"Export",Database!$E:$E,$B119,Database!$C:$C,AZ$1,Database!$F:$F,"Total")</f>
        <v>0</v>
      </c>
      <c r="BA119" s="137">
        <f>SUMIFS(Database!$G:$G,Database!$D:$D,"Export",Database!$E:$E,$B119,Database!$C:$C,BA$1,Database!$F:$F,"Total")</f>
        <v>0</v>
      </c>
      <c r="BB119" s="137">
        <f>SUMIFS(Database!$G:$G,Database!$D:$D,"Export",Database!$E:$E,$B119,Database!$C:$C,BB$1,Database!$F:$F,"Total")</f>
        <v>0</v>
      </c>
      <c r="BC119" s="137">
        <f>SUMIFS(Database!$G:$G,Database!$D:$D,"Export",Database!$E:$E,$B119,Database!$C:$C,BC$1,Database!$F:$F,"Total")</f>
        <v>0</v>
      </c>
      <c r="BD119" s="137">
        <f>SUMIFS(Database!$G:$G,Database!$D:$D,"Export",Database!$E:$E,$B119,Database!$C:$C,BD$1,Database!$F:$F,"Total")</f>
        <v>0</v>
      </c>
      <c r="BE119" s="137">
        <f>SUMIFS(Database!$G:$G,Database!$D:$D,"Export",Database!$E:$E,$B119,Database!$C:$C,BE$1,Database!$F:$F,"Total")</f>
        <v>0</v>
      </c>
      <c r="BF119" s="137">
        <f>SUMIFS(Database!$G:$G,Database!$D:$D,"Export",Database!$E:$E,$B119,Database!$C:$C,BF$1,Database!$F:$F,"Total")</f>
        <v>0</v>
      </c>
      <c r="BG119" s="137">
        <f>SUMIFS(Database!$G:$G,Database!$D:$D,"Export",Database!$E:$E,$B119,Database!$C:$C,BG$1,Database!$F:$F,"Total")</f>
        <v>0</v>
      </c>
      <c r="BH119" s="137">
        <f>SUMIFS(Database!$G:$G,Database!$D:$D,"Export",Database!$E:$E,$B119,Database!$C:$C,BH$1,Database!$F:$F,"Total")</f>
        <v>0</v>
      </c>
      <c r="BI119" s="137">
        <f>SUMIFS(Database!$G:$G,Database!$D:$D,"Export",Database!$E:$E,$B119,Database!$C:$C,BI$1,Database!$F:$F,"Total")</f>
        <v>0</v>
      </c>
      <c r="BJ119" s="137">
        <f>SUMIFS(Database!$G:$G,Database!$D:$D,"Export",Database!$E:$E,$B119,Database!$C:$C,BJ$1,Database!$F:$F,"Total")</f>
        <v>0</v>
      </c>
      <c r="BK119" s="137">
        <f>SUMIFS(Database!$G:$G,Database!$D:$D,"Export",Database!$E:$E,$B119,Database!$C:$C,BK$1,Database!$F:$F,"Total")</f>
        <v>0</v>
      </c>
      <c r="BL119" s="137">
        <f>SUMIFS(Database!$G:$G,Database!$D:$D,"Export",Database!$E:$E,$B119,Database!$C:$C,BL$1,Database!$F:$F,"Total")</f>
        <v>0</v>
      </c>
      <c r="BM119" s="137">
        <f>SUMIFS(Database!$G:$G,Database!$D:$D,"Export",Database!$E:$E,$B119,Database!$C:$C,BM$1,Database!$F:$F,"Total")</f>
        <v>0</v>
      </c>
      <c r="BN119" s="137">
        <f>SUMIFS(Database!$G:$G,Database!$D:$D,"Export",Database!$E:$E,$B119,Database!$C:$C,BN$1,Database!$F:$F,"Total")</f>
        <v>1690</v>
      </c>
      <c r="BO119" s="137">
        <f>SUMIFS(Database!$G:$G,Database!$D:$D,"Export",Database!$E:$E,$B119,Database!$C:$C,BO$1,Database!$F:$F,"Total")</f>
        <v>0</v>
      </c>
      <c r="BP119" s="137">
        <f>SUMIFS(Database!$G:$G,Database!$D:$D,"Export",Database!$E:$E,$B119,Database!$C:$C,BP$1,Database!$F:$F,"Total")</f>
        <v>1323</v>
      </c>
      <c r="BQ119" s="137">
        <f>SUMIFS(Database!$G:$G,Database!$D:$D,"Export",Database!$E:$E,$B119,Database!$C:$C,BQ$1,Database!$F:$F,"Total")</f>
        <v>685</v>
      </c>
      <c r="BR119" s="137">
        <f>SUMIFS(Database!$G:$G,Database!$D:$D,"Export",Database!$E:$E,$B119,Database!$C:$C,BR$1,Database!$F:$F,"Total")</f>
        <v>157</v>
      </c>
      <c r="BS119" s="137">
        <f>SUMIFS(Database!$G:$G,Database!$D:$D,"Export",Database!$E:$E,$B119,Database!$C:$C,BS$1,Database!$F:$F,"Total")</f>
        <v>588.5</v>
      </c>
      <c r="BT119" s="137">
        <f>SUMIFS(Database!$G:$G,Database!$D:$D,"Export",Database!$E:$E,$B119,Database!$C:$C,BT$1,Database!$F:$F,"Total")</f>
        <v>350</v>
      </c>
      <c r="BU119" s="137">
        <f>SUMIFS(Database!$G:$G,Database!$D:$D,"Export",Database!$E:$E,$B119,Database!$C:$C,BU$1,Database!$F:$F,"Total")</f>
        <v>187</v>
      </c>
      <c r="BV119" s="137">
        <f>SUMIFS(Database!$G:$G,Database!$D:$D,"Export",Database!$E:$E,$B119,Database!$C:$C,BV$1,Database!$F:$F,"Total")</f>
        <v>0</v>
      </c>
      <c r="BW119" s="137">
        <f>SUMIFS(Database!$G:$G,Database!$D:$D,"Export",Database!$E:$E,$B119,Database!$C:$C,BW$1,Database!$F:$F,"Total")</f>
        <v>0</v>
      </c>
      <c r="BX119" s="137">
        <f>SUMIFS(Database!$G:$G,Database!$D:$D,"Export",Database!$E:$E,$B119,Database!$C:$C,BX$1,Database!$F:$F,"Total")</f>
        <v>0</v>
      </c>
      <c r="BY119" s="137">
        <f>SUMIFS(Database!$G:$G,Database!$D:$D,"Export",Database!$E:$E,$B119,Database!$C:$C,BY$1,Database!$F:$F,"Total")</f>
        <v>0</v>
      </c>
      <c r="BZ119" s="137">
        <f>SUMIFS(Database!$G:$G,Database!$D:$D,"Export",Database!$E:$E,$B119,Database!$C:$C,BZ$1,Database!$F:$F,"Total")</f>
        <v>0</v>
      </c>
      <c r="CA119" s="137">
        <f>SUMIFS(Database!$G:$G,Database!$D:$D,"Export",Database!$E:$E,$B119,Database!$C:$C,CA$1,Database!$F:$F,"Total")</f>
        <v>0</v>
      </c>
      <c r="CB119" s="137">
        <f>SUMIFS(Database!$G:$G,Database!$D:$D,"Export",Database!$E:$E,$B119,Database!$C:$C,CB$1,Database!$F:$F,"Total")</f>
        <v>0</v>
      </c>
      <c r="CC119" s="137">
        <f>SUMIFS(Database!$G:$G,Database!$D:$D,"Export",Database!$E:$E,$B119,Database!$C:$C,CC$1,Database!$F:$F,"Total")</f>
        <v>0</v>
      </c>
      <c r="CD119" s="137">
        <f>SUMIFS(Database!$G:$G,Database!$D:$D,"Export",Database!$E:$E,$B119,Database!$C:$C,CD$1,Database!$F:$F,"Total")</f>
        <v>0</v>
      </c>
      <c r="CE119" s="137">
        <f>SUMIFS(Database!$G:$G,Database!$D:$D,"Export",Database!$E:$E,$B119,Database!$C:$C,CE$1,Database!$F:$F,"Total")</f>
        <v>0</v>
      </c>
      <c r="CF119" s="137">
        <f>SUMIFS(Database!$G:$G,Database!$D:$D,"Export",Database!$E:$E,$B119,Database!$C:$C,CF$1,Database!$F:$F,"Total")</f>
        <v>0</v>
      </c>
      <c r="CG119" s="137">
        <f>SUMIFS(Database!$G:$G,Database!$D:$D,"Export",Database!$E:$E,$B119,Database!$C:$C,CG$1,Database!$F:$F,"Total")</f>
        <v>0</v>
      </c>
      <c r="CH119" s="137">
        <f>SUMIFS(Database!$G:$G,Database!$D:$D,"Export",Database!$E:$E,$B119,Database!$C:$C,CH$1,Database!$F:$F,"Total")</f>
        <v>0</v>
      </c>
      <c r="CI119" s="137">
        <f>SUMIFS(Database!$G:$G,Database!$D:$D,"Export",Database!$E:$E,$B119,Database!$C:$C,CI$1,Database!$F:$F,"Total")</f>
        <v>0</v>
      </c>
      <c r="CJ119" s="137">
        <f>SUMIFS(Database!$G:$G,Database!$D:$D,"Export",Database!$E:$E,$B119,Database!$C:$C,CJ$1,Database!$F:$F,"Total")</f>
        <v>0</v>
      </c>
      <c r="CK119" s="137">
        <f>SUMIFS(Database!$G:$G,Database!$D:$D,"Export",Database!$E:$E,$B119,Database!$C:$C,CK$1,Database!$F:$F,"Total")</f>
        <v>0</v>
      </c>
      <c r="CL119" s="137">
        <f>SUMIFS(Database!$G:$G,Database!$D:$D,"Export",Database!$E:$E,$B119,Database!$C:$C,CL$1,Database!$F:$F,"Total")</f>
        <v>0</v>
      </c>
      <c r="CM119" s="137">
        <f>SUMIFS(Database!$G:$G,Database!$D:$D,"Export",Database!$E:$E,$B119,Database!$C:$C,CM$1,Database!$F:$F,"Total")</f>
        <v>0</v>
      </c>
      <c r="CN119" s="137">
        <f>SUMIFS(Database!$G:$G,Database!$D:$D,"Export",Database!$E:$E,$B119,Database!$C:$C,CN$1,Database!$F:$F,"Total")</f>
        <v>0</v>
      </c>
      <c r="CO119" s="137">
        <f>SUMIFS(Database!$G:$G,Database!$D:$D,"Export",Database!$E:$E,$B119,Database!$C:$C,CO$1,Database!$F:$F,"Total")</f>
        <v>0</v>
      </c>
      <c r="CP119" s="137">
        <f>SUMIFS(Database!$G:$G,Database!$D:$D,"Export",Database!$E:$E,$B119,Database!$C:$C,CP$1,Database!$F:$F,"Total")</f>
        <v>0</v>
      </c>
      <c r="CQ119" s="137">
        <f>SUMIFS(Database!$G:$G,Database!$D:$D,"Export",Database!$E:$E,$B119,Database!$C:$C,CQ$1,Database!$F:$F,"Total")</f>
        <v>0</v>
      </c>
      <c r="CR119" s="137">
        <f>SUMIFS(Database!$G:$G,Database!$D:$D,"Export",Database!$E:$E,$B119,Database!$C:$C,CR$1,Database!$F:$F,"Total")</f>
        <v>0</v>
      </c>
      <c r="CS119" s="137">
        <f>SUMIFS(Database!$G:$G,Database!$D:$D,"Export",Database!$E:$E,$B119,Database!$C:$C,CS$1,Database!$F:$F,"Total")</f>
        <v>0</v>
      </c>
      <c r="CT119" s="137">
        <f>SUMIFS(Database!$G:$G,Database!$D:$D,"Export",Database!$E:$E,$B119,Database!$C:$C,CT$1,Database!$F:$F,"Total")</f>
        <v>0</v>
      </c>
      <c r="CU119" s="137">
        <f>SUMIFS(Database!$G:$G,Database!$D:$D,"Export",Database!$E:$E,$B119,Database!$C:$C,CU$1,Database!$F:$F,"Total")</f>
        <v>0</v>
      </c>
    </row>
    <row r="120" spans="1:99" x14ac:dyDescent="0.25">
      <c r="A120" s="132" t="s">
        <v>485</v>
      </c>
      <c r="B120" s="133" t="s">
        <v>122</v>
      </c>
      <c r="C120" s="137">
        <f>SUMIFS(Database!$G:$G,Database!$D:$D,"Export",Database!$E:$E,$B120,Database!$C:$C,C$1,Database!$F:$F,"Total")</f>
        <v>0</v>
      </c>
      <c r="D120" s="137">
        <f>SUMIFS(Database!$G:$G,Database!$D:$D,"Export",Database!$E:$E,$B120,Database!$C:$C,D$1,Database!$F:$F,"Total")</f>
        <v>0</v>
      </c>
      <c r="E120" s="137">
        <f>SUMIFS(Database!$G:$G,Database!$D:$D,"Export",Database!$E:$E,$B120,Database!$C:$C,E$1,Database!$F:$F,"Total")</f>
        <v>0</v>
      </c>
      <c r="F120" s="137">
        <f>SUMIFS(Database!$G:$G,Database!$D:$D,"Export",Database!$E:$E,$B120,Database!$C:$C,F$1,Database!$F:$F,"Total")</f>
        <v>0</v>
      </c>
      <c r="G120" s="137">
        <f>SUMIFS(Database!$G:$G,Database!$D:$D,"Export",Database!$E:$E,$B120,Database!$C:$C,G$1,Database!$F:$F,"Total")</f>
        <v>0</v>
      </c>
      <c r="H120" s="137">
        <f>SUMIFS(Database!$G:$G,Database!$D:$D,"Export",Database!$E:$E,$B120,Database!$C:$C,H$1,Database!$F:$F,"Total")</f>
        <v>0</v>
      </c>
      <c r="I120" s="137">
        <f>SUMIFS(Database!$G:$G,Database!$D:$D,"Export",Database!$E:$E,$B120,Database!$C:$C,I$1,Database!$F:$F,"Total")</f>
        <v>0</v>
      </c>
      <c r="J120" s="137">
        <f>SUMIFS(Database!$G:$G,Database!$D:$D,"Export",Database!$E:$E,$B120,Database!$C:$C,J$1,Database!$F:$F,"Total")</f>
        <v>0</v>
      </c>
      <c r="K120" s="137">
        <f>SUMIFS(Database!$G:$G,Database!$D:$D,"Export",Database!$E:$E,$B120,Database!$C:$C,K$1,Database!$F:$F,"Total")</f>
        <v>0</v>
      </c>
      <c r="L120" s="137">
        <f>SUMIFS(Database!$G:$G,Database!$D:$D,"Export",Database!$E:$E,$B120,Database!$C:$C,L$1,Database!$F:$F,"Total")</f>
        <v>0</v>
      </c>
      <c r="M120" s="137">
        <f>SUMIFS(Database!$G:$G,Database!$D:$D,"Export",Database!$E:$E,$B120,Database!$C:$C,M$1,Database!$F:$F,"Total")</f>
        <v>0</v>
      </c>
      <c r="N120" s="137">
        <f>SUMIFS(Database!$G:$G,Database!$D:$D,"Export",Database!$E:$E,$B120,Database!$C:$C,N$1,Database!$F:$F,"Total")</f>
        <v>0</v>
      </c>
      <c r="O120" s="137">
        <f>SUMIFS(Database!$G:$G,Database!$D:$D,"Export",Database!$E:$E,$B120,Database!$C:$C,O$1,Database!$F:$F,"Total")</f>
        <v>0</v>
      </c>
      <c r="P120" s="137">
        <f>SUMIFS(Database!$G:$G,Database!$D:$D,"Export",Database!$E:$E,$B120,Database!$C:$C,P$1,Database!$F:$F,"Total")</f>
        <v>0</v>
      </c>
      <c r="Q120" s="137">
        <f>SUMIFS(Database!$G:$G,Database!$D:$D,"Export",Database!$E:$E,$B120,Database!$C:$C,Q$1,Database!$F:$F,"Total")</f>
        <v>0</v>
      </c>
      <c r="R120" s="137">
        <f>SUMIFS(Database!$G:$G,Database!$D:$D,"Export",Database!$E:$E,$B120,Database!$C:$C,R$1,Database!$F:$F,"Total")</f>
        <v>0</v>
      </c>
      <c r="S120" s="137">
        <f>SUMIFS(Database!$G:$G,Database!$D:$D,"Export",Database!$E:$E,$B120,Database!$C:$C,S$1,Database!$F:$F,"Total")</f>
        <v>0</v>
      </c>
      <c r="T120" s="137">
        <f>SUMIFS(Database!$G:$G,Database!$D:$D,"Export",Database!$E:$E,$B120,Database!$C:$C,T$1,Database!$F:$F,"Total")</f>
        <v>0</v>
      </c>
      <c r="U120" s="137">
        <f>SUMIFS(Database!$G:$G,Database!$D:$D,"Export",Database!$E:$E,$B120,Database!$C:$C,U$1,Database!$F:$F,"Total")</f>
        <v>0</v>
      </c>
      <c r="V120" s="137">
        <f>SUMIFS(Database!$G:$G,Database!$D:$D,"Export",Database!$E:$E,$B120,Database!$C:$C,V$1,Database!$F:$F,"Total")</f>
        <v>0</v>
      </c>
      <c r="W120" s="137">
        <f>SUMIFS(Database!$G:$G,Database!$D:$D,"Export",Database!$E:$E,$B120,Database!$C:$C,W$1,Database!$F:$F,"Total")</f>
        <v>0</v>
      </c>
      <c r="X120" s="137">
        <f>SUMIFS(Database!$G:$G,Database!$D:$D,"Export",Database!$E:$E,$B120,Database!$C:$C,X$1,Database!$F:$F,"Total")</f>
        <v>0</v>
      </c>
      <c r="Y120" s="137">
        <f>SUMIFS(Database!$G:$G,Database!$D:$D,"Export",Database!$E:$E,$B120,Database!$C:$C,Y$1,Database!$F:$F,"Total")</f>
        <v>0</v>
      </c>
      <c r="Z120" s="137">
        <f>SUMIFS(Database!$G:$G,Database!$D:$D,"Export",Database!$E:$E,$B120,Database!$C:$C,Z$1,Database!$F:$F,"Total")</f>
        <v>0</v>
      </c>
      <c r="AA120" s="137">
        <f>SUMIFS(Database!$G:$G,Database!$D:$D,"Export",Database!$E:$E,$B120,Database!$C:$C,AA$1,Database!$F:$F,"Total")</f>
        <v>0</v>
      </c>
      <c r="AB120" s="137">
        <f>SUMIFS(Database!$G:$G,Database!$D:$D,"Export",Database!$E:$E,$B120,Database!$C:$C,AB$1,Database!$F:$F,"Total")</f>
        <v>0</v>
      </c>
      <c r="AC120" s="137">
        <f>SUMIFS(Database!$G:$G,Database!$D:$D,"Export",Database!$E:$E,$B120,Database!$C:$C,AC$1,Database!$F:$F,"Total")</f>
        <v>0</v>
      </c>
      <c r="AD120" s="137">
        <f>SUMIFS(Database!$G:$G,Database!$D:$D,"Export",Database!$E:$E,$B120,Database!$C:$C,AD$1,Database!$F:$F,"Total")</f>
        <v>0</v>
      </c>
      <c r="AE120" s="137">
        <f>SUMIFS(Database!$G:$G,Database!$D:$D,"Export",Database!$E:$E,$B120,Database!$C:$C,AE$1,Database!$F:$F,"Total")</f>
        <v>0</v>
      </c>
      <c r="AF120" s="137">
        <f>SUMIFS(Database!$G:$G,Database!$D:$D,"Export",Database!$E:$E,$B120,Database!$C:$C,AF$1,Database!$F:$F,"Total")</f>
        <v>0</v>
      </c>
      <c r="AG120" s="137">
        <f>SUMIFS(Database!$G:$G,Database!$D:$D,"Export",Database!$E:$E,$B120,Database!$C:$C,AG$1,Database!$F:$F,"Total")</f>
        <v>0</v>
      </c>
      <c r="AH120" s="137">
        <f>SUMIFS(Database!$G:$G,Database!$D:$D,"Export",Database!$E:$E,$B120,Database!$C:$C,AH$1,Database!$F:$F,"Total")</f>
        <v>0</v>
      </c>
      <c r="AI120" s="137">
        <f>SUMIFS(Database!$G:$G,Database!$D:$D,"Export",Database!$E:$E,$B120,Database!$C:$C,AI$1,Database!$F:$F,"Total")</f>
        <v>0</v>
      </c>
      <c r="AJ120" s="137">
        <f>SUMIFS(Database!$G:$G,Database!$D:$D,"Export",Database!$E:$E,$B120,Database!$C:$C,AJ$1,Database!$F:$F,"Total")</f>
        <v>0</v>
      </c>
      <c r="AK120" s="137">
        <f>SUMIFS(Database!$G:$G,Database!$D:$D,"Export",Database!$E:$E,$B120,Database!$C:$C,AK$1,Database!$F:$F,"Total")</f>
        <v>0</v>
      </c>
      <c r="AL120" s="137">
        <f>SUMIFS(Database!$G:$G,Database!$D:$D,"Export",Database!$E:$E,$B120,Database!$C:$C,AL$1,Database!$F:$F,"Total")</f>
        <v>0</v>
      </c>
      <c r="AM120" s="137">
        <f>SUMIFS(Database!$G:$G,Database!$D:$D,"Export",Database!$E:$E,$B120,Database!$C:$C,AM$1,Database!$F:$F,"Total")</f>
        <v>0</v>
      </c>
      <c r="AN120" s="137">
        <f>SUMIFS(Database!$G:$G,Database!$D:$D,"Export",Database!$E:$E,$B120,Database!$C:$C,AN$1,Database!$F:$F,"Total")</f>
        <v>0</v>
      </c>
      <c r="AO120" s="137">
        <f>SUMIFS(Database!$G:$G,Database!$D:$D,"Export",Database!$E:$E,$B120,Database!$C:$C,AO$1,Database!$F:$F,"Total")</f>
        <v>0</v>
      </c>
      <c r="AP120" s="137">
        <f>SUMIFS(Database!$G:$G,Database!$D:$D,"Export",Database!$E:$E,$B120,Database!$C:$C,AP$1,Database!$F:$F,"Total")</f>
        <v>0</v>
      </c>
      <c r="AQ120" s="137">
        <f>SUMIFS(Database!$G:$G,Database!$D:$D,"Export",Database!$E:$E,$B120,Database!$C:$C,AQ$1,Database!$F:$F,"Total")</f>
        <v>0</v>
      </c>
      <c r="AR120" s="137">
        <f>SUMIFS(Database!$G:$G,Database!$D:$D,"Export",Database!$E:$E,$B120,Database!$C:$C,AR$1,Database!$F:$F,"Total")</f>
        <v>0</v>
      </c>
      <c r="AS120" s="137">
        <f>SUMIFS(Database!$G:$G,Database!$D:$D,"Export",Database!$E:$E,$B120,Database!$C:$C,AS$1,Database!$F:$F,"Total")</f>
        <v>0</v>
      </c>
      <c r="AT120" s="137">
        <f>SUMIFS(Database!$G:$G,Database!$D:$D,"Export",Database!$E:$E,$B120,Database!$C:$C,AT$1,Database!$F:$F,"Total")</f>
        <v>0</v>
      </c>
      <c r="AU120" s="137">
        <f>SUMIFS(Database!$G:$G,Database!$D:$D,"Export",Database!$E:$E,$B120,Database!$C:$C,AU$1,Database!$F:$F,"Total")</f>
        <v>0</v>
      </c>
      <c r="AV120" s="137">
        <f>SUMIFS(Database!$G:$G,Database!$D:$D,"Export",Database!$E:$E,$B120,Database!$C:$C,AV$1,Database!$F:$F,"Total")</f>
        <v>0</v>
      </c>
      <c r="AW120" s="137">
        <f>SUMIFS(Database!$G:$G,Database!$D:$D,"Export",Database!$E:$E,$B120,Database!$C:$C,AW$1,Database!$F:$F,"Total")</f>
        <v>0</v>
      </c>
      <c r="AX120" s="137">
        <f>SUMIFS(Database!$G:$G,Database!$D:$D,"Export",Database!$E:$E,$B120,Database!$C:$C,AX$1,Database!$F:$F,"Total")</f>
        <v>0</v>
      </c>
      <c r="AY120" s="137">
        <f>SUMIFS(Database!$G:$G,Database!$D:$D,"Export",Database!$E:$E,$B120,Database!$C:$C,AY$1,Database!$F:$F,"Total")</f>
        <v>0</v>
      </c>
      <c r="AZ120" s="137">
        <f>SUMIFS(Database!$G:$G,Database!$D:$D,"Export",Database!$E:$E,$B120,Database!$C:$C,AZ$1,Database!$F:$F,"Total")</f>
        <v>0</v>
      </c>
      <c r="BA120" s="137">
        <f>SUMIFS(Database!$G:$G,Database!$D:$D,"Export",Database!$E:$E,$B120,Database!$C:$C,BA$1,Database!$F:$F,"Total")</f>
        <v>0</v>
      </c>
      <c r="BB120" s="137">
        <f>SUMIFS(Database!$G:$G,Database!$D:$D,"Export",Database!$E:$E,$B120,Database!$C:$C,BB$1,Database!$F:$F,"Total")</f>
        <v>0</v>
      </c>
      <c r="BC120" s="137">
        <f>SUMIFS(Database!$G:$G,Database!$D:$D,"Export",Database!$E:$E,$B120,Database!$C:$C,BC$1,Database!$F:$F,"Total")</f>
        <v>0</v>
      </c>
      <c r="BD120" s="137">
        <f>SUMIFS(Database!$G:$G,Database!$D:$D,"Export",Database!$E:$E,$B120,Database!$C:$C,BD$1,Database!$F:$F,"Total")</f>
        <v>0</v>
      </c>
      <c r="BE120" s="137">
        <f>SUMIFS(Database!$G:$G,Database!$D:$D,"Export",Database!$E:$E,$B120,Database!$C:$C,BE$1,Database!$F:$F,"Total")</f>
        <v>0</v>
      </c>
      <c r="BF120" s="137">
        <f>SUMIFS(Database!$G:$G,Database!$D:$D,"Export",Database!$E:$E,$B120,Database!$C:$C,BF$1,Database!$F:$F,"Total")</f>
        <v>0</v>
      </c>
      <c r="BG120" s="137">
        <f>SUMIFS(Database!$G:$G,Database!$D:$D,"Export",Database!$E:$E,$B120,Database!$C:$C,BG$1,Database!$F:$F,"Total")</f>
        <v>0</v>
      </c>
      <c r="BH120" s="137">
        <f>SUMIFS(Database!$G:$G,Database!$D:$D,"Export",Database!$E:$E,$B120,Database!$C:$C,BH$1,Database!$F:$F,"Total")</f>
        <v>0</v>
      </c>
      <c r="BI120" s="137">
        <f>SUMIFS(Database!$G:$G,Database!$D:$D,"Export",Database!$E:$E,$B120,Database!$C:$C,BI$1,Database!$F:$F,"Total")</f>
        <v>0</v>
      </c>
      <c r="BJ120" s="137">
        <f>SUMIFS(Database!$G:$G,Database!$D:$D,"Export",Database!$E:$E,$B120,Database!$C:$C,BJ$1,Database!$F:$F,"Total")</f>
        <v>0</v>
      </c>
      <c r="BK120" s="137">
        <f>SUMIFS(Database!$G:$G,Database!$D:$D,"Export",Database!$E:$E,$B120,Database!$C:$C,BK$1,Database!$F:$F,"Total")</f>
        <v>0</v>
      </c>
      <c r="BL120" s="137">
        <f>SUMIFS(Database!$G:$G,Database!$D:$D,"Export",Database!$E:$E,$B120,Database!$C:$C,BL$1,Database!$F:$F,"Total")</f>
        <v>0</v>
      </c>
      <c r="BM120" s="137">
        <f>SUMIFS(Database!$G:$G,Database!$D:$D,"Export",Database!$E:$E,$B120,Database!$C:$C,BM$1,Database!$F:$F,"Total")</f>
        <v>0</v>
      </c>
      <c r="BN120" s="137">
        <f>SUMIFS(Database!$G:$G,Database!$D:$D,"Export",Database!$E:$E,$B120,Database!$C:$C,BN$1,Database!$F:$F,"Total")</f>
        <v>3645</v>
      </c>
      <c r="BO120" s="137">
        <f>SUMIFS(Database!$G:$G,Database!$D:$D,"Export",Database!$E:$E,$B120,Database!$C:$C,BO$1,Database!$F:$F,"Total")</f>
        <v>0</v>
      </c>
      <c r="BP120" s="137">
        <f>SUMIFS(Database!$G:$G,Database!$D:$D,"Export",Database!$E:$E,$B120,Database!$C:$C,BP$1,Database!$F:$F,"Total")</f>
        <v>7474</v>
      </c>
      <c r="BQ120" s="137">
        <f>SUMIFS(Database!$G:$G,Database!$D:$D,"Export",Database!$E:$E,$B120,Database!$C:$C,BQ$1,Database!$F:$F,"Total")</f>
        <v>3956.5</v>
      </c>
      <c r="BR120" s="137">
        <f>SUMIFS(Database!$G:$G,Database!$D:$D,"Export",Database!$E:$E,$B120,Database!$C:$C,BR$1,Database!$F:$F,"Total")</f>
        <v>3300</v>
      </c>
      <c r="BS120" s="137">
        <f>SUMIFS(Database!$G:$G,Database!$D:$D,"Export",Database!$E:$E,$B120,Database!$C:$C,BS$1,Database!$F:$F,"Total")</f>
        <v>2641.5</v>
      </c>
      <c r="BT120" s="137">
        <f>SUMIFS(Database!$G:$G,Database!$D:$D,"Export",Database!$E:$E,$B120,Database!$C:$C,BT$1,Database!$F:$F,"Total")</f>
        <v>3989</v>
      </c>
      <c r="BU120" s="137">
        <f>SUMIFS(Database!$G:$G,Database!$D:$D,"Export",Database!$E:$E,$B120,Database!$C:$C,BU$1,Database!$F:$F,"Total")</f>
        <v>2216</v>
      </c>
      <c r="BV120" s="137">
        <f>SUMIFS(Database!$G:$G,Database!$D:$D,"Export",Database!$E:$E,$B120,Database!$C:$C,BV$1,Database!$F:$F,"Total")</f>
        <v>0</v>
      </c>
      <c r="BW120" s="137">
        <f>SUMIFS(Database!$G:$G,Database!$D:$D,"Export",Database!$E:$E,$B120,Database!$C:$C,BW$1,Database!$F:$F,"Total")</f>
        <v>0</v>
      </c>
      <c r="BX120" s="137">
        <f>SUMIFS(Database!$G:$G,Database!$D:$D,"Export",Database!$E:$E,$B120,Database!$C:$C,BX$1,Database!$F:$F,"Total")</f>
        <v>0</v>
      </c>
      <c r="BY120" s="137">
        <f>SUMIFS(Database!$G:$G,Database!$D:$D,"Export",Database!$E:$E,$B120,Database!$C:$C,BY$1,Database!$F:$F,"Total")</f>
        <v>0</v>
      </c>
      <c r="BZ120" s="137">
        <f>SUMIFS(Database!$G:$G,Database!$D:$D,"Export",Database!$E:$E,$B120,Database!$C:$C,BZ$1,Database!$F:$F,"Total")</f>
        <v>0</v>
      </c>
      <c r="CA120" s="137">
        <f>SUMIFS(Database!$G:$G,Database!$D:$D,"Export",Database!$E:$E,$B120,Database!$C:$C,CA$1,Database!$F:$F,"Total")</f>
        <v>0</v>
      </c>
      <c r="CB120" s="137">
        <f>SUMIFS(Database!$G:$G,Database!$D:$D,"Export",Database!$E:$E,$B120,Database!$C:$C,CB$1,Database!$F:$F,"Total")</f>
        <v>0</v>
      </c>
      <c r="CC120" s="137">
        <f>SUMIFS(Database!$G:$G,Database!$D:$D,"Export",Database!$E:$E,$B120,Database!$C:$C,CC$1,Database!$F:$F,"Total")</f>
        <v>0</v>
      </c>
      <c r="CD120" s="137">
        <f>SUMIFS(Database!$G:$G,Database!$D:$D,"Export",Database!$E:$E,$B120,Database!$C:$C,CD$1,Database!$F:$F,"Total")</f>
        <v>0</v>
      </c>
      <c r="CE120" s="137">
        <f>SUMIFS(Database!$G:$G,Database!$D:$D,"Export",Database!$E:$E,$B120,Database!$C:$C,CE$1,Database!$F:$F,"Total")</f>
        <v>0</v>
      </c>
      <c r="CF120" s="137">
        <f>SUMIFS(Database!$G:$G,Database!$D:$D,"Export",Database!$E:$E,$B120,Database!$C:$C,CF$1,Database!$F:$F,"Total")</f>
        <v>0</v>
      </c>
      <c r="CG120" s="137">
        <f>SUMIFS(Database!$G:$G,Database!$D:$D,"Export",Database!$E:$E,$B120,Database!$C:$C,CG$1,Database!$F:$F,"Total")</f>
        <v>0</v>
      </c>
      <c r="CH120" s="137">
        <f>SUMIFS(Database!$G:$G,Database!$D:$D,"Export",Database!$E:$E,$B120,Database!$C:$C,CH$1,Database!$F:$F,"Total")</f>
        <v>0</v>
      </c>
      <c r="CI120" s="137">
        <f>SUMIFS(Database!$G:$G,Database!$D:$D,"Export",Database!$E:$E,$B120,Database!$C:$C,CI$1,Database!$F:$F,"Total")</f>
        <v>0</v>
      </c>
      <c r="CJ120" s="137">
        <f>SUMIFS(Database!$G:$G,Database!$D:$D,"Export",Database!$E:$E,$B120,Database!$C:$C,CJ$1,Database!$F:$F,"Total")</f>
        <v>0</v>
      </c>
      <c r="CK120" s="137">
        <f>SUMIFS(Database!$G:$G,Database!$D:$D,"Export",Database!$E:$E,$B120,Database!$C:$C,CK$1,Database!$F:$F,"Total")</f>
        <v>0</v>
      </c>
      <c r="CL120" s="137">
        <f>SUMIFS(Database!$G:$G,Database!$D:$D,"Export",Database!$E:$E,$B120,Database!$C:$C,CL$1,Database!$F:$F,"Total")</f>
        <v>0</v>
      </c>
      <c r="CM120" s="137">
        <f>SUMIFS(Database!$G:$G,Database!$D:$D,"Export",Database!$E:$E,$B120,Database!$C:$C,CM$1,Database!$F:$F,"Total")</f>
        <v>0</v>
      </c>
      <c r="CN120" s="137">
        <f>SUMIFS(Database!$G:$G,Database!$D:$D,"Export",Database!$E:$E,$B120,Database!$C:$C,CN$1,Database!$F:$F,"Total")</f>
        <v>0</v>
      </c>
      <c r="CO120" s="137">
        <f>SUMIFS(Database!$G:$G,Database!$D:$D,"Export",Database!$E:$E,$B120,Database!$C:$C,CO$1,Database!$F:$F,"Total")</f>
        <v>0</v>
      </c>
      <c r="CP120" s="137">
        <f>SUMIFS(Database!$G:$G,Database!$D:$D,"Export",Database!$E:$E,$B120,Database!$C:$C,CP$1,Database!$F:$F,"Total")</f>
        <v>0</v>
      </c>
      <c r="CQ120" s="137">
        <f>SUMIFS(Database!$G:$G,Database!$D:$D,"Export",Database!$E:$E,$B120,Database!$C:$C,CQ$1,Database!$F:$F,"Total")</f>
        <v>0</v>
      </c>
      <c r="CR120" s="137">
        <f>SUMIFS(Database!$G:$G,Database!$D:$D,"Export",Database!$E:$E,$B120,Database!$C:$C,CR$1,Database!$F:$F,"Total")</f>
        <v>0</v>
      </c>
      <c r="CS120" s="137">
        <f>SUMIFS(Database!$G:$G,Database!$D:$D,"Export",Database!$E:$E,$B120,Database!$C:$C,CS$1,Database!$F:$F,"Total")</f>
        <v>0</v>
      </c>
      <c r="CT120" s="137">
        <f>SUMIFS(Database!$G:$G,Database!$D:$D,"Export",Database!$E:$E,$B120,Database!$C:$C,CT$1,Database!$F:$F,"Total")</f>
        <v>0</v>
      </c>
      <c r="CU120" s="137">
        <f>SUMIFS(Database!$G:$G,Database!$D:$D,"Export",Database!$E:$E,$B120,Database!$C:$C,CU$1,Database!$F:$F,"Total")</f>
        <v>0</v>
      </c>
    </row>
    <row r="121" spans="1:99" x14ac:dyDescent="0.25">
      <c r="A121" s="132" t="s">
        <v>485</v>
      </c>
      <c r="B121" s="133" t="s">
        <v>123</v>
      </c>
      <c r="C121" s="137">
        <f>SUMIFS(Database!$G:$G,Database!$D:$D,"Export",Database!$E:$E,$B121,Database!$C:$C,C$1,Database!$F:$F,"Total")</f>
        <v>0</v>
      </c>
      <c r="D121" s="137">
        <f>SUMIFS(Database!$G:$G,Database!$D:$D,"Export",Database!$E:$E,$B121,Database!$C:$C,D$1,Database!$F:$F,"Total")</f>
        <v>0</v>
      </c>
      <c r="E121" s="137">
        <f>SUMIFS(Database!$G:$G,Database!$D:$D,"Export",Database!$E:$E,$B121,Database!$C:$C,E$1,Database!$F:$F,"Total")</f>
        <v>0</v>
      </c>
      <c r="F121" s="137">
        <f>SUMIFS(Database!$G:$G,Database!$D:$D,"Export",Database!$E:$E,$B121,Database!$C:$C,F$1,Database!$F:$F,"Total")</f>
        <v>0</v>
      </c>
      <c r="G121" s="137">
        <f>SUMIFS(Database!$G:$G,Database!$D:$D,"Export",Database!$E:$E,$B121,Database!$C:$C,G$1,Database!$F:$F,"Total")</f>
        <v>0</v>
      </c>
      <c r="H121" s="137">
        <f>SUMIFS(Database!$G:$G,Database!$D:$D,"Export",Database!$E:$E,$B121,Database!$C:$C,H$1,Database!$F:$F,"Total")</f>
        <v>0</v>
      </c>
      <c r="I121" s="137">
        <f>SUMIFS(Database!$G:$G,Database!$D:$D,"Export",Database!$E:$E,$B121,Database!$C:$C,I$1,Database!$F:$F,"Total")</f>
        <v>0</v>
      </c>
      <c r="J121" s="137">
        <f>SUMIFS(Database!$G:$G,Database!$D:$D,"Export",Database!$E:$E,$B121,Database!$C:$C,J$1,Database!$F:$F,"Total")</f>
        <v>0</v>
      </c>
      <c r="K121" s="137">
        <f>SUMIFS(Database!$G:$G,Database!$D:$D,"Export",Database!$E:$E,$B121,Database!$C:$C,K$1,Database!$F:$F,"Total")</f>
        <v>0</v>
      </c>
      <c r="L121" s="137">
        <f>SUMIFS(Database!$G:$G,Database!$D:$D,"Export",Database!$E:$E,$B121,Database!$C:$C,L$1,Database!$F:$F,"Total")</f>
        <v>0</v>
      </c>
      <c r="M121" s="137">
        <f>SUMIFS(Database!$G:$G,Database!$D:$D,"Export",Database!$E:$E,$B121,Database!$C:$C,M$1,Database!$F:$F,"Total")</f>
        <v>0</v>
      </c>
      <c r="N121" s="137">
        <f>SUMIFS(Database!$G:$G,Database!$D:$D,"Export",Database!$E:$E,$B121,Database!$C:$C,N$1,Database!$F:$F,"Total")</f>
        <v>0</v>
      </c>
      <c r="O121" s="137">
        <f>SUMIFS(Database!$G:$G,Database!$D:$D,"Export",Database!$E:$E,$B121,Database!$C:$C,O$1,Database!$F:$F,"Total")</f>
        <v>0</v>
      </c>
      <c r="P121" s="137">
        <f>SUMIFS(Database!$G:$G,Database!$D:$D,"Export",Database!$E:$E,$B121,Database!$C:$C,P$1,Database!$F:$F,"Total")</f>
        <v>0</v>
      </c>
      <c r="Q121" s="137">
        <f>SUMIFS(Database!$G:$G,Database!$D:$D,"Export",Database!$E:$E,$B121,Database!$C:$C,Q$1,Database!$F:$F,"Total")</f>
        <v>0</v>
      </c>
      <c r="R121" s="137">
        <f>SUMIFS(Database!$G:$G,Database!$D:$D,"Export",Database!$E:$E,$B121,Database!$C:$C,R$1,Database!$F:$F,"Total")</f>
        <v>0</v>
      </c>
      <c r="S121" s="137">
        <f>SUMIFS(Database!$G:$G,Database!$D:$D,"Export",Database!$E:$E,$B121,Database!$C:$C,S$1,Database!$F:$F,"Total")</f>
        <v>0</v>
      </c>
      <c r="T121" s="137">
        <f>SUMIFS(Database!$G:$G,Database!$D:$D,"Export",Database!$E:$E,$B121,Database!$C:$C,T$1,Database!$F:$F,"Total")</f>
        <v>0</v>
      </c>
      <c r="U121" s="137">
        <f>SUMIFS(Database!$G:$G,Database!$D:$D,"Export",Database!$E:$E,$B121,Database!$C:$C,U$1,Database!$F:$F,"Total")</f>
        <v>0</v>
      </c>
      <c r="V121" s="137">
        <f>SUMIFS(Database!$G:$G,Database!$D:$D,"Export",Database!$E:$E,$B121,Database!$C:$C,V$1,Database!$F:$F,"Total")</f>
        <v>0</v>
      </c>
      <c r="W121" s="137">
        <f>SUMIFS(Database!$G:$G,Database!$D:$D,"Export",Database!$E:$E,$B121,Database!$C:$C,W$1,Database!$F:$F,"Total")</f>
        <v>0</v>
      </c>
      <c r="X121" s="137">
        <f>SUMIFS(Database!$G:$G,Database!$D:$D,"Export",Database!$E:$E,$B121,Database!$C:$C,X$1,Database!$F:$F,"Total")</f>
        <v>0</v>
      </c>
      <c r="Y121" s="137">
        <f>SUMIFS(Database!$G:$G,Database!$D:$D,"Export",Database!$E:$E,$B121,Database!$C:$C,Y$1,Database!$F:$F,"Total")</f>
        <v>0</v>
      </c>
      <c r="Z121" s="137">
        <f>SUMIFS(Database!$G:$G,Database!$D:$D,"Export",Database!$E:$E,$B121,Database!$C:$C,Z$1,Database!$F:$F,"Total")</f>
        <v>0</v>
      </c>
      <c r="AA121" s="137">
        <f>SUMIFS(Database!$G:$G,Database!$D:$D,"Export",Database!$E:$E,$B121,Database!$C:$C,AA$1,Database!$F:$F,"Total")</f>
        <v>0</v>
      </c>
      <c r="AB121" s="137">
        <f>SUMIFS(Database!$G:$G,Database!$D:$D,"Export",Database!$E:$E,$B121,Database!$C:$C,AB$1,Database!$F:$F,"Total")</f>
        <v>0</v>
      </c>
      <c r="AC121" s="137">
        <f>SUMIFS(Database!$G:$G,Database!$D:$D,"Export",Database!$E:$E,$B121,Database!$C:$C,AC$1,Database!$F:$F,"Total")</f>
        <v>0</v>
      </c>
      <c r="AD121" s="137">
        <f>SUMIFS(Database!$G:$G,Database!$D:$D,"Export",Database!$E:$E,$B121,Database!$C:$C,AD$1,Database!$F:$F,"Total")</f>
        <v>0</v>
      </c>
      <c r="AE121" s="137">
        <f>SUMIFS(Database!$G:$G,Database!$D:$D,"Export",Database!$E:$E,$B121,Database!$C:$C,AE$1,Database!$F:$F,"Total")</f>
        <v>0</v>
      </c>
      <c r="AF121" s="137">
        <f>SUMIFS(Database!$G:$G,Database!$D:$D,"Export",Database!$E:$E,$B121,Database!$C:$C,AF$1,Database!$F:$F,"Total")</f>
        <v>0</v>
      </c>
      <c r="AG121" s="137">
        <f>SUMIFS(Database!$G:$G,Database!$D:$D,"Export",Database!$E:$E,$B121,Database!$C:$C,AG$1,Database!$F:$F,"Total")</f>
        <v>0</v>
      </c>
      <c r="AH121" s="137">
        <f>SUMIFS(Database!$G:$G,Database!$D:$D,"Export",Database!$E:$E,$B121,Database!$C:$C,AH$1,Database!$F:$F,"Total")</f>
        <v>0</v>
      </c>
      <c r="AI121" s="137">
        <f>SUMIFS(Database!$G:$G,Database!$D:$D,"Export",Database!$E:$E,$B121,Database!$C:$C,AI$1,Database!$F:$F,"Total")</f>
        <v>0</v>
      </c>
      <c r="AJ121" s="137">
        <f>SUMIFS(Database!$G:$G,Database!$D:$D,"Export",Database!$E:$E,$B121,Database!$C:$C,AJ$1,Database!$F:$F,"Total")</f>
        <v>0</v>
      </c>
      <c r="AK121" s="137">
        <f>SUMIFS(Database!$G:$G,Database!$D:$D,"Export",Database!$E:$E,$B121,Database!$C:$C,AK$1,Database!$F:$F,"Total")</f>
        <v>0</v>
      </c>
      <c r="AL121" s="137">
        <f>SUMIFS(Database!$G:$G,Database!$D:$D,"Export",Database!$E:$E,$B121,Database!$C:$C,AL$1,Database!$F:$F,"Total")</f>
        <v>0</v>
      </c>
      <c r="AM121" s="137">
        <f>SUMIFS(Database!$G:$G,Database!$D:$D,"Export",Database!$E:$E,$B121,Database!$C:$C,AM$1,Database!$F:$F,"Total")</f>
        <v>0</v>
      </c>
      <c r="AN121" s="137">
        <f>SUMIFS(Database!$G:$G,Database!$D:$D,"Export",Database!$E:$E,$B121,Database!$C:$C,AN$1,Database!$F:$F,"Total")</f>
        <v>0</v>
      </c>
      <c r="AO121" s="137">
        <f>SUMIFS(Database!$G:$G,Database!$D:$D,"Export",Database!$E:$E,$B121,Database!$C:$C,AO$1,Database!$F:$F,"Total")</f>
        <v>0</v>
      </c>
      <c r="AP121" s="137">
        <f>SUMIFS(Database!$G:$G,Database!$D:$D,"Export",Database!$E:$E,$B121,Database!$C:$C,AP$1,Database!$F:$F,"Total")</f>
        <v>0</v>
      </c>
      <c r="AQ121" s="137">
        <f>SUMIFS(Database!$G:$G,Database!$D:$D,"Export",Database!$E:$E,$B121,Database!$C:$C,AQ$1,Database!$F:$F,"Total")</f>
        <v>0</v>
      </c>
      <c r="AR121" s="137">
        <f>SUMIFS(Database!$G:$G,Database!$D:$D,"Export",Database!$E:$E,$B121,Database!$C:$C,AR$1,Database!$F:$F,"Total")</f>
        <v>0</v>
      </c>
      <c r="AS121" s="137">
        <f>SUMIFS(Database!$G:$G,Database!$D:$D,"Export",Database!$E:$E,$B121,Database!$C:$C,AS$1,Database!$F:$F,"Total")</f>
        <v>0</v>
      </c>
      <c r="AT121" s="137">
        <f>SUMIFS(Database!$G:$G,Database!$D:$D,"Export",Database!$E:$E,$B121,Database!$C:$C,AT$1,Database!$F:$F,"Total")</f>
        <v>0</v>
      </c>
      <c r="AU121" s="137">
        <f>SUMIFS(Database!$G:$G,Database!$D:$D,"Export",Database!$E:$E,$B121,Database!$C:$C,AU$1,Database!$F:$F,"Total")</f>
        <v>0</v>
      </c>
      <c r="AV121" s="137">
        <f>SUMIFS(Database!$G:$G,Database!$D:$D,"Export",Database!$E:$E,$B121,Database!$C:$C,AV$1,Database!$F:$F,"Total")</f>
        <v>0</v>
      </c>
      <c r="AW121" s="137">
        <f>SUMIFS(Database!$G:$G,Database!$D:$D,"Export",Database!$E:$E,$B121,Database!$C:$C,AW$1,Database!$F:$F,"Total")</f>
        <v>0</v>
      </c>
      <c r="AX121" s="137">
        <f>SUMIFS(Database!$G:$G,Database!$D:$D,"Export",Database!$E:$E,$B121,Database!$C:$C,AX$1,Database!$F:$F,"Total")</f>
        <v>0</v>
      </c>
      <c r="AY121" s="137">
        <f>SUMIFS(Database!$G:$G,Database!$D:$D,"Export",Database!$E:$E,$B121,Database!$C:$C,AY$1,Database!$F:$F,"Total")</f>
        <v>0</v>
      </c>
      <c r="AZ121" s="137">
        <f>SUMIFS(Database!$G:$G,Database!$D:$D,"Export",Database!$E:$E,$B121,Database!$C:$C,AZ$1,Database!$F:$F,"Total")</f>
        <v>0</v>
      </c>
      <c r="BA121" s="137">
        <f>SUMIFS(Database!$G:$G,Database!$D:$D,"Export",Database!$E:$E,$B121,Database!$C:$C,BA$1,Database!$F:$F,"Total")</f>
        <v>0</v>
      </c>
      <c r="BB121" s="137">
        <f>SUMIFS(Database!$G:$G,Database!$D:$D,"Export",Database!$E:$E,$B121,Database!$C:$C,BB$1,Database!$F:$F,"Total")</f>
        <v>0</v>
      </c>
      <c r="BC121" s="137">
        <f>SUMIFS(Database!$G:$G,Database!$D:$D,"Export",Database!$E:$E,$B121,Database!$C:$C,BC$1,Database!$F:$F,"Total")</f>
        <v>0</v>
      </c>
      <c r="BD121" s="137">
        <f>SUMIFS(Database!$G:$G,Database!$D:$D,"Export",Database!$E:$E,$B121,Database!$C:$C,BD$1,Database!$F:$F,"Total")</f>
        <v>0</v>
      </c>
      <c r="BE121" s="137">
        <f>SUMIFS(Database!$G:$G,Database!$D:$D,"Export",Database!$E:$E,$B121,Database!$C:$C,BE$1,Database!$F:$F,"Total")</f>
        <v>0</v>
      </c>
      <c r="BF121" s="137">
        <f>SUMIFS(Database!$G:$G,Database!$D:$D,"Export",Database!$E:$E,$B121,Database!$C:$C,BF$1,Database!$F:$F,"Total")</f>
        <v>0</v>
      </c>
      <c r="BG121" s="137">
        <f>SUMIFS(Database!$G:$G,Database!$D:$D,"Export",Database!$E:$E,$B121,Database!$C:$C,BG$1,Database!$F:$F,"Total")</f>
        <v>0</v>
      </c>
      <c r="BH121" s="137">
        <f>SUMIFS(Database!$G:$G,Database!$D:$D,"Export",Database!$E:$E,$B121,Database!$C:$C,BH$1,Database!$F:$F,"Total")</f>
        <v>0</v>
      </c>
      <c r="BI121" s="137">
        <f>SUMIFS(Database!$G:$G,Database!$D:$D,"Export",Database!$E:$E,$B121,Database!$C:$C,BI$1,Database!$F:$F,"Total")</f>
        <v>0</v>
      </c>
      <c r="BJ121" s="137">
        <f>SUMIFS(Database!$G:$G,Database!$D:$D,"Export",Database!$E:$E,$B121,Database!$C:$C,BJ$1,Database!$F:$F,"Total")</f>
        <v>0</v>
      </c>
      <c r="BK121" s="137">
        <f>SUMIFS(Database!$G:$G,Database!$D:$D,"Export",Database!$E:$E,$B121,Database!$C:$C,BK$1,Database!$F:$F,"Total")</f>
        <v>0</v>
      </c>
      <c r="BL121" s="137">
        <f>SUMIFS(Database!$G:$G,Database!$D:$D,"Export",Database!$E:$E,$B121,Database!$C:$C,BL$1,Database!$F:$F,"Total")</f>
        <v>0</v>
      </c>
      <c r="BM121" s="137">
        <f>SUMIFS(Database!$G:$G,Database!$D:$D,"Export",Database!$E:$E,$B121,Database!$C:$C,BM$1,Database!$F:$F,"Total")</f>
        <v>0</v>
      </c>
      <c r="BN121" s="137">
        <f>SUMIFS(Database!$G:$G,Database!$D:$D,"Export",Database!$E:$E,$B121,Database!$C:$C,BN$1,Database!$F:$F,"Total")</f>
        <v>0</v>
      </c>
      <c r="BO121" s="137">
        <f>SUMIFS(Database!$G:$G,Database!$D:$D,"Export",Database!$E:$E,$B121,Database!$C:$C,BO$1,Database!$F:$F,"Total")</f>
        <v>0</v>
      </c>
      <c r="BP121" s="137">
        <f>SUMIFS(Database!$G:$G,Database!$D:$D,"Export",Database!$E:$E,$B121,Database!$C:$C,BP$1,Database!$F:$F,"Total")</f>
        <v>0</v>
      </c>
      <c r="BQ121" s="137">
        <f>SUMIFS(Database!$G:$G,Database!$D:$D,"Export",Database!$E:$E,$B121,Database!$C:$C,BQ$1,Database!$F:$F,"Total")</f>
        <v>432</v>
      </c>
      <c r="BR121" s="137">
        <f>SUMIFS(Database!$G:$G,Database!$D:$D,"Export",Database!$E:$E,$B121,Database!$C:$C,BR$1,Database!$F:$F,"Total")</f>
        <v>626</v>
      </c>
      <c r="BS121" s="137">
        <f>SUMIFS(Database!$G:$G,Database!$D:$D,"Export",Database!$E:$E,$B121,Database!$C:$C,BS$1,Database!$F:$F,"Total")</f>
        <v>696</v>
      </c>
      <c r="BT121" s="137">
        <f>SUMIFS(Database!$G:$G,Database!$D:$D,"Export",Database!$E:$E,$B121,Database!$C:$C,BT$1,Database!$F:$F,"Total")</f>
        <v>840.25</v>
      </c>
      <c r="BU121" s="137">
        <f>SUMIFS(Database!$G:$G,Database!$D:$D,"Export",Database!$E:$E,$B121,Database!$C:$C,BU$1,Database!$F:$F,"Total")</f>
        <v>1024</v>
      </c>
      <c r="BV121" s="137">
        <f>SUMIFS(Database!$G:$G,Database!$D:$D,"Export",Database!$E:$E,$B121,Database!$C:$C,BV$1,Database!$F:$F,"Total")</f>
        <v>0</v>
      </c>
      <c r="BW121" s="137">
        <f>SUMIFS(Database!$G:$G,Database!$D:$D,"Export",Database!$E:$E,$B121,Database!$C:$C,BW$1,Database!$F:$F,"Total")</f>
        <v>0</v>
      </c>
      <c r="BX121" s="137">
        <f>SUMIFS(Database!$G:$G,Database!$D:$D,"Export",Database!$E:$E,$B121,Database!$C:$C,BX$1,Database!$F:$F,"Total")</f>
        <v>0</v>
      </c>
      <c r="BY121" s="137">
        <f>SUMIFS(Database!$G:$G,Database!$D:$D,"Export",Database!$E:$E,$B121,Database!$C:$C,BY$1,Database!$F:$F,"Total")</f>
        <v>0</v>
      </c>
      <c r="BZ121" s="137">
        <f>SUMIFS(Database!$G:$G,Database!$D:$D,"Export",Database!$E:$E,$B121,Database!$C:$C,BZ$1,Database!$F:$F,"Total")</f>
        <v>0</v>
      </c>
      <c r="CA121" s="137">
        <f>SUMIFS(Database!$G:$G,Database!$D:$D,"Export",Database!$E:$E,$B121,Database!$C:$C,CA$1,Database!$F:$F,"Total")</f>
        <v>0</v>
      </c>
      <c r="CB121" s="137">
        <f>SUMIFS(Database!$G:$G,Database!$D:$D,"Export",Database!$E:$E,$B121,Database!$C:$C,CB$1,Database!$F:$F,"Total")</f>
        <v>0</v>
      </c>
      <c r="CC121" s="137">
        <f>SUMIFS(Database!$G:$G,Database!$D:$D,"Export",Database!$E:$E,$B121,Database!$C:$C,CC$1,Database!$F:$F,"Total")</f>
        <v>0</v>
      </c>
      <c r="CD121" s="137">
        <f>SUMIFS(Database!$G:$G,Database!$D:$D,"Export",Database!$E:$E,$B121,Database!$C:$C,CD$1,Database!$F:$F,"Total")</f>
        <v>0</v>
      </c>
      <c r="CE121" s="137">
        <f>SUMIFS(Database!$G:$G,Database!$D:$D,"Export",Database!$E:$E,$B121,Database!$C:$C,CE$1,Database!$F:$F,"Total")</f>
        <v>0</v>
      </c>
      <c r="CF121" s="137">
        <f>SUMIFS(Database!$G:$G,Database!$D:$D,"Export",Database!$E:$E,$B121,Database!$C:$C,CF$1,Database!$F:$F,"Total")</f>
        <v>0</v>
      </c>
      <c r="CG121" s="137">
        <f>SUMIFS(Database!$G:$G,Database!$D:$D,"Export",Database!$E:$E,$B121,Database!$C:$C,CG$1,Database!$F:$F,"Total")</f>
        <v>0</v>
      </c>
      <c r="CH121" s="137">
        <f>SUMIFS(Database!$G:$G,Database!$D:$D,"Export",Database!$E:$E,$B121,Database!$C:$C,CH$1,Database!$F:$F,"Total")</f>
        <v>0</v>
      </c>
      <c r="CI121" s="137">
        <f>SUMIFS(Database!$G:$G,Database!$D:$D,"Export",Database!$E:$E,$B121,Database!$C:$C,CI$1,Database!$F:$F,"Total")</f>
        <v>0</v>
      </c>
      <c r="CJ121" s="137">
        <f>SUMIFS(Database!$G:$G,Database!$D:$D,"Export",Database!$E:$E,$B121,Database!$C:$C,CJ$1,Database!$F:$F,"Total")</f>
        <v>0</v>
      </c>
      <c r="CK121" s="137">
        <f>SUMIFS(Database!$G:$G,Database!$D:$D,"Export",Database!$E:$E,$B121,Database!$C:$C,CK$1,Database!$F:$F,"Total")</f>
        <v>0</v>
      </c>
      <c r="CL121" s="137">
        <f>SUMIFS(Database!$G:$G,Database!$D:$D,"Export",Database!$E:$E,$B121,Database!$C:$C,CL$1,Database!$F:$F,"Total")</f>
        <v>0</v>
      </c>
      <c r="CM121" s="137">
        <f>SUMIFS(Database!$G:$G,Database!$D:$D,"Export",Database!$E:$E,$B121,Database!$C:$C,CM$1,Database!$F:$F,"Total")</f>
        <v>0</v>
      </c>
      <c r="CN121" s="137">
        <f>SUMIFS(Database!$G:$G,Database!$D:$D,"Export",Database!$E:$E,$B121,Database!$C:$C,CN$1,Database!$F:$F,"Total")</f>
        <v>0</v>
      </c>
      <c r="CO121" s="137">
        <f>SUMIFS(Database!$G:$G,Database!$D:$D,"Export",Database!$E:$E,$B121,Database!$C:$C,CO$1,Database!$F:$F,"Total")</f>
        <v>0</v>
      </c>
      <c r="CP121" s="137">
        <f>SUMIFS(Database!$G:$G,Database!$D:$D,"Export",Database!$E:$E,$B121,Database!$C:$C,CP$1,Database!$F:$F,"Total")</f>
        <v>0</v>
      </c>
      <c r="CQ121" s="137">
        <f>SUMIFS(Database!$G:$G,Database!$D:$D,"Export",Database!$E:$E,$B121,Database!$C:$C,CQ$1,Database!$F:$F,"Total")</f>
        <v>0</v>
      </c>
      <c r="CR121" s="137">
        <f>SUMIFS(Database!$G:$G,Database!$D:$D,"Export",Database!$E:$E,$B121,Database!$C:$C,CR$1,Database!$F:$F,"Total")</f>
        <v>0</v>
      </c>
      <c r="CS121" s="137">
        <f>SUMIFS(Database!$G:$G,Database!$D:$D,"Export",Database!$E:$E,$B121,Database!$C:$C,CS$1,Database!$F:$F,"Total")</f>
        <v>0</v>
      </c>
      <c r="CT121" s="137">
        <f>SUMIFS(Database!$G:$G,Database!$D:$D,"Export",Database!$E:$E,$B121,Database!$C:$C,CT$1,Database!$F:$F,"Total")</f>
        <v>0</v>
      </c>
      <c r="CU121" s="137">
        <f>SUMIFS(Database!$G:$G,Database!$D:$D,"Export",Database!$E:$E,$B121,Database!$C:$C,CU$1,Database!$F:$F,"Total")</f>
        <v>0</v>
      </c>
    </row>
    <row r="122" spans="1:99" x14ac:dyDescent="0.25">
      <c r="A122" s="132" t="s">
        <v>485</v>
      </c>
      <c r="B122" s="133" t="s">
        <v>124</v>
      </c>
      <c r="C122" s="137">
        <f>SUMIFS(Database!$G:$G,Database!$D:$D,"Export",Database!$E:$E,$B122,Database!$C:$C,C$1,Database!$F:$F,"Total")</f>
        <v>0</v>
      </c>
      <c r="D122" s="137">
        <f>SUMIFS(Database!$G:$G,Database!$D:$D,"Export",Database!$E:$E,$B122,Database!$C:$C,D$1,Database!$F:$F,"Total")</f>
        <v>0</v>
      </c>
      <c r="E122" s="137">
        <f>SUMIFS(Database!$G:$G,Database!$D:$D,"Export",Database!$E:$E,$B122,Database!$C:$C,E$1,Database!$F:$F,"Total")</f>
        <v>0</v>
      </c>
      <c r="F122" s="137">
        <f>SUMIFS(Database!$G:$G,Database!$D:$D,"Export",Database!$E:$E,$B122,Database!$C:$C,F$1,Database!$F:$F,"Total")</f>
        <v>0</v>
      </c>
      <c r="G122" s="137">
        <f>SUMIFS(Database!$G:$G,Database!$D:$D,"Export",Database!$E:$E,$B122,Database!$C:$C,G$1,Database!$F:$F,"Total")</f>
        <v>0</v>
      </c>
      <c r="H122" s="137">
        <f>SUMIFS(Database!$G:$G,Database!$D:$D,"Export",Database!$E:$E,$B122,Database!$C:$C,H$1,Database!$F:$F,"Total")</f>
        <v>0</v>
      </c>
      <c r="I122" s="137">
        <f>SUMIFS(Database!$G:$G,Database!$D:$D,"Export",Database!$E:$E,$B122,Database!$C:$C,I$1,Database!$F:$F,"Total")</f>
        <v>0</v>
      </c>
      <c r="J122" s="137">
        <f>SUMIFS(Database!$G:$G,Database!$D:$D,"Export",Database!$E:$E,$B122,Database!$C:$C,J$1,Database!$F:$F,"Total")</f>
        <v>0</v>
      </c>
      <c r="K122" s="137">
        <f>SUMIFS(Database!$G:$G,Database!$D:$D,"Export",Database!$E:$E,$B122,Database!$C:$C,K$1,Database!$F:$F,"Total")</f>
        <v>0</v>
      </c>
      <c r="L122" s="137">
        <f>SUMIFS(Database!$G:$G,Database!$D:$D,"Export",Database!$E:$E,$B122,Database!$C:$C,L$1,Database!$F:$F,"Total")</f>
        <v>0</v>
      </c>
      <c r="M122" s="137">
        <f>SUMIFS(Database!$G:$G,Database!$D:$D,"Export",Database!$E:$E,$B122,Database!$C:$C,M$1,Database!$F:$F,"Total")</f>
        <v>0</v>
      </c>
      <c r="N122" s="137">
        <f>SUMIFS(Database!$G:$G,Database!$D:$D,"Export",Database!$E:$E,$B122,Database!$C:$C,N$1,Database!$F:$F,"Total")</f>
        <v>0</v>
      </c>
      <c r="O122" s="137">
        <f>SUMIFS(Database!$G:$G,Database!$D:$D,"Export",Database!$E:$E,$B122,Database!$C:$C,O$1,Database!$F:$F,"Total")</f>
        <v>0</v>
      </c>
      <c r="P122" s="137">
        <f>SUMIFS(Database!$G:$G,Database!$D:$D,"Export",Database!$E:$E,$B122,Database!$C:$C,P$1,Database!$F:$F,"Total")</f>
        <v>0</v>
      </c>
      <c r="Q122" s="137">
        <f>SUMIFS(Database!$G:$G,Database!$D:$D,"Export",Database!$E:$E,$B122,Database!$C:$C,Q$1,Database!$F:$F,"Total")</f>
        <v>0</v>
      </c>
      <c r="R122" s="137">
        <f>SUMIFS(Database!$G:$G,Database!$D:$D,"Export",Database!$E:$E,$B122,Database!$C:$C,R$1,Database!$F:$F,"Total")</f>
        <v>0</v>
      </c>
      <c r="S122" s="137">
        <f>SUMIFS(Database!$G:$G,Database!$D:$D,"Export",Database!$E:$E,$B122,Database!$C:$C,S$1,Database!$F:$F,"Total")</f>
        <v>0</v>
      </c>
      <c r="T122" s="137">
        <f>SUMIFS(Database!$G:$G,Database!$D:$D,"Export",Database!$E:$E,$B122,Database!$C:$C,T$1,Database!$F:$F,"Total")</f>
        <v>0</v>
      </c>
      <c r="U122" s="137">
        <f>SUMIFS(Database!$G:$G,Database!$D:$D,"Export",Database!$E:$E,$B122,Database!$C:$C,U$1,Database!$F:$F,"Total")</f>
        <v>0</v>
      </c>
      <c r="V122" s="137">
        <f>SUMIFS(Database!$G:$G,Database!$D:$D,"Export",Database!$E:$E,$B122,Database!$C:$C,V$1,Database!$F:$F,"Total")</f>
        <v>0</v>
      </c>
      <c r="W122" s="137">
        <f>SUMIFS(Database!$G:$G,Database!$D:$D,"Export",Database!$E:$E,$B122,Database!$C:$C,W$1,Database!$F:$F,"Total")</f>
        <v>0</v>
      </c>
      <c r="X122" s="137">
        <f>SUMIFS(Database!$G:$G,Database!$D:$D,"Export",Database!$E:$E,$B122,Database!$C:$C,X$1,Database!$F:$F,"Total")</f>
        <v>0</v>
      </c>
      <c r="Y122" s="137">
        <f>SUMIFS(Database!$G:$G,Database!$D:$D,"Export",Database!$E:$E,$B122,Database!$C:$C,Y$1,Database!$F:$F,"Total")</f>
        <v>0</v>
      </c>
      <c r="Z122" s="137">
        <f>SUMIFS(Database!$G:$G,Database!$D:$D,"Export",Database!$E:$E,$B122,Database!$C:$C,Z$1,Database!$F:$F,"Total")</f>
        <v>0</v>
      </c>
      <c r="AA122" s="137">
        <f>SUMIFS(Database!$G:$G,Database!$D:$D,"Export",Database!$E:$E,$B122,Database!$C:$C,AA$1,Database!$F:$F,"Total")</f>
        <v>0</v>
      </c>
      <c r="AB122" s="137">
        <f>SUMIFS(Database!$G:$G,Database!$D:$D,"Export",Database!$E:$E,$B122,Database!$C:$C,AB$1,Database!$F:$F,"Total")</f>
        <v>0</v>
      </c>
      <c r="AC122" s="137">
        <f>SUMIFS(Database!$G:$G,Database!$D:$D,"Export",Database!$E:$E,$B122,Database!$C:$C,AC$1,Database!$F:$F,"Total")</f>
        <v>0</v>
      </c>
      <c r="AD122" s="137">
        <f>SUMIFS(Database!$G:$G,Database!$D:$D,"Export",Database!$E:$E,$B122,Database!$C:$C,AD$1,Database!$F:$F,"Total")</f>
        <v>0</v>
      </c>
      <c r="AE122" s="137">
        <f>SUMIFS(Database!$G:$G,Database!$D:$D,"Export",Database!$E:$E,$B122,Database!$C:$C,AE$1,Database!$F:$F,"Total")</f>
        <v>7869133</v>
      </c>
      <c r="AF122" s="137">
        <f>SUMIFS(Database!$G:$G,Database!$D:$D,"Export",Database!$E:$E,$B122,Database!$C:$C,AF$1,Database!$F:$F,"Total")</f>
        <v>7894306</v>
      </c>
      <c r="AG122" s="137">
        <f>SUMIFS(Database!$G:$G,Database!$D:$D,"Export",Database!$E:$E,$B122,Database!$C:$C,AG$1,Database!$F:$F,"Total")</f>
        <v>0</v>
      </c>
      <c r="AH122" s="137">
        <f>SUMIFS(Database!$G:$G,Database!$D:$D,"Export",Database!$E:$E,$B122,Database!$C:$C,AH$1,Database!$F:$F,"Total")</f>
        <v>11116474</v>
      </c>
      <c r="AI122" s="137">
        <f>SUMIFS(Database!$G:$G,Database!$D:$D,"Export",Database!$E:$E,$B122,Database!$C:$C,AI$1,Database!$F:$F,"Total")</f>
        <v>13401468</v>
      </c>
      <c r="AJ122" s="137">
        <f>SUMIFS(Database!$G:$G,Database!$D:$D,"Export",Database!$E:$E,$B122,Database!$C:$C,AJ$1,Database!$F:$F,"Total")</f>
        <v>17961923</v>
      </c>
      <c r="AK122" s="137">
        <f>SUMIFS(Database!$G:$G,Database!$D:$D,"Export",Database!$E:$E,$B122,Database!$C:$C,AK$1,Database!$F:$F,"Total")</f>
        <v>15866291</v>
      </c>
      <c r="AL122" s="137">
        <f>SUMIFS(Database!$G:$G,Database!$D:$D,"Export",Database!$E:$E,$B122,Database!$C:$C,AL$1,Database!$F:$F,"Total")</f>
        <v>22063980</v>
      </c>
      <c r="AM122" s="137">
        <f>SUMIFS(Database!$G:$G,Database!$D:$D,"Export",Database!$E:$E,$B122,Database!$C:$C,AM$1,Database!$F:$F,"Total")</f>
        <v>24137393</v>
      </c>
      <c r="AN122" s="137">
        <f>SUMIFS(Database!$G:$G,Database!$D:$D,"Export",Database!$E:$E,$B122,Database!$C:$C,AN$1,Database!$F:$F,"Total")</f>
        <v>29298036</v>
      </c>
      <c r="AO122" s="137">
        <f>SUMIFS(Database!$G:$G,Database!$D:$D,"Export",Database!$E:$E,$B122,Database!$C:$C,AO$1,Database!$F:$F,"Total")</f>
        <v>26761188</v>
      </c>
      <c r="AP122" s="137">
        <f>SUMIFS(Database!$G:$G,Database!$D:$D,"Export",Database!$E:$E,$B122,Database!$C:$C,AP$1,Database!$F:$F,"Total")</f>
        <v>29528273</v>
      </c>
      <c r="AQ122" s="137">
        <f>SUMIFS(Database!$G:$G,Database!$D:$D,"Export",Database!$E:$E,$B122,Database!$C:$C,AQ$1,Database!$F:$F,"Total")</f>
        <v>25586668</v>
      </c>
      <c r="AR122" s="137">
        <f>SUMIFS(Database!$G:$G,Database!$D:$D,"Export",Database!$E:$E,$B122,Database!$C:$C,AR$1,Database!$F:$F,"Total")</f>
        <v>25885285</v>
      </c>
      <c r="AS122" s="137">
        <f>SUMIFS(Database!$G:$G,Database!$D:$D,"Export",Database!$E:$E,$B122,Database!$C:$C,AS$1,Database!$F:$F,"Total")</f>
        <v>17460068</v>
      </c>
      <c r="AT122" s="137">
        <f>SUMIFS(Database!$G:$G,Database!$D:$D,"Export",Database!$E:$E,$B122,Database!$C:$C,AT$1,Database!$F:$F,"Total")</f>
        <v>18481986</v>
      </c>
      <c r="AU122" s="137">
        <f>SUMIFS(Database!$G:$G,Database!$D:$D,"Export",Database!$E:$E,$B122,Database!$C:$C,AU$1,Database!$F:$F,"Total")</f>
        <v>24623575</v>
      </c>
      <c r="AV122" s="137">
        <f>SUMIFS(Database!$G:$G,Database!$D:$D,"Export",Database!$E:$E,$B122,Database!$C:$C,AV$1,Database!$F:$F,"Total")</f>
        <v>34045585</v>
      </c>
      <c r="AW122" s="137">
        <f>SUMIFS(Database!$G:$G,Database!$D:$D,"Export",Database!$E:$E,$B122,Database!$C:$C,AW$1,Database!$F:$F,"Total")</f>
        <v>27362742</v>
      </c>
      <c r="AX122" s="137">
        <f>SUMIFS(Database!$G:$G,Database!$D:$D,"Export",Database!$E:$E,$B122,Database!$C:$C,AX$1,Database!$F:$F,"Total")</f>
        <v>17289393</v>
      </c>
      <c r="AY122" s="137">
        <f>SUMIFS(Database!$G:$G,Database!$D:$D,"Export",Database!$E:$E,$B122,Database!$C:$C,AY$1,Database!$F:$F,"Total")</f>
        <v>14793706</v>
      </c>
      <c r="AZ122" s="137">
        <f>SUMIFS(Database!$G:$G,Database!$D:$D,"Export",Database!$E:$E,$B122,Database!$C:$C,AZ$1,Database!$F:$F,"Total")</f>
        <v>25329456</v>
      </c>
      <c r="BA122" s="137">
        <f>SUMIFS(Database!$G:$G,Database!$D:$D,"Export",Database!$E:$E,$B122,Database!$C:$C,BA$1,Database!$F:$F,"Total")</f>
        <v>14091983</v>
      </c>
      <c r="BB122" s="137">
        <f>SUMIFS(Database!$G:$G,Database!$D:$D,"Export",Database!$E:$E,$B122,Database!$C:$C,BB$1,Database!$F:$F,"Total")</f>
        <v>24127444</v>
      </c>
      <c r="BC122" s="137">
        <f>SUMIFS(Database!$G:$G,Database!$D:$D,"Export",Database!$E:$E,$B122,Database!$C:$C,BC$1,Database!$F:$F,"Total")</f>
        <v>16819761</v>
      </c>
      <c r="BD122" s="137">
        <f>SUMIFS(Database!$G:$G,Database!$D:$D,"Export",Database!$E:$E,$B122,Database!$C:$C,BD$1,Database!$F:$F,"Total")</f>
        <v>19773910</v>
      </c>
      <c r="BE122" s="137">
        <f>SUMIFS(Database!$G:$G,Database!$D:$D,"Export",Database!$E:$E,$B122,Database!$C:$C,BE$1,Database!$F:$F,"Total")</f>
        <v>20226445</v>
      </c>
      <c r="BF122" s="137">
        <f>SUMIFS(Database!$G:$G,Database!$D:$D,"Export",Database!$E:$E,$B122,Database!$C:$C,BF$1,Database!$F:$F,"Total")</f>
        <v>27677239</v>
      </c>
      <c r="BG122" s="137">
        <f>SUMIFS(Database!$G:$G,Database!$D:$D,"Export",Database!$E:$E,$B122,Database!$C:$C,BG$1,Database!$F:$F,"Total")</f>
        <v>21254656</v>
      </c>
      <c r="BH122" s="137">
        <f>SUMIFS(Database!$G:$G,Database!$D:$D,"Export",Database!$E:$E,$B122,Database!$C:$C,BH$1,Database!$F:$F,"Total")</f>
        <v>20352886</v>
      </c>
      <c r="BI122" s="137">
        <f>SUMIFS(Database!$G:$G,Database!$D:$D,"Export",Database!$E:$E,$B122,Database!$C:$C,BI$1,Database!$F:$F,"Total")</f>
        <v>0</v>
      </c>
      <c r="BJ122" s="137">
        <f>SUMIFS(Database!$G:$G,Database!$D:$D,"Export",Database!$E:$E,$B122,Database!$C:$C,BJ$1,Database!$F:$F,"Total")</f>
        <v>17247943</v>
      </c>
      <c r="BK122" s="137">
        <f>SUMIFS(Database!$G:$G,Database!$D:$D,"Export",Database!$E:$E,$B122,Database!$C:$C,BK$1,Database!$F:$F,"Total")</f>
        <v>18955752</v>
      </c>
      <c r="BL122" s="137">
        <f>SUMIFS(Database!$G:$G,Database!$D:$D,"Export",Database!$E:$E,$B122,Database!$C:$C,BL$1,Database!$F:$F,"Total")</f>
        <v>0</v>
      </c>
      <c r="BM122" s="137">
        <f>SUMIFS(Database!$G:$G,Database!$D:$D,"Export",Database!$E:$E,$B122,Database!$C:$C,BM$1,Database!$F:$F,"Total")</f>
        <v>0</v>
      </c>
      <c r="BN122" s="137">
        <f>SUMIFS(Database!$G:$G,Database!$D:$D,"Export",Database!$E:$E,$B122,Database!$C:$C,BN$1,Database!$F:$F,"Total")</f>
        <v>0</v>
      </c>
      <c r="BO122" s="137">
        <f>SUMIFS(Database!$G:$G,Database!$D:$D,"Export",Database!$E:$E,$B122,Database!$C:$C,BO$1,Database!$F:$F,"Total")</f>
        <v>0</v>
      </c>
      <c r="BP122" s="137">
        <f>SUMIFS(Database!$G:$G,Database!$D:$D,"Export",Database!$E:$E,$B122,Database!$C:$C,BP$1,Database!$F:$F,"Total")</f>
        <v>0</v>
      </c>
      <c r="BQ122" s="137">
        <f>SUMIFS(Database!$G:$G,Database!$D:$D,"Export",Database!$E:$E,$B122,Database!$C:$C,BQ$1,Database!$F:$F,"Total")</f>
        <v>0</v>
      </c>
      <c r="BR122" s="137">
        <f>SUMIFS(Database!$G:$G,Database!$D:$D,"Export",Database!$E:$E,$B122,Database!$C:$C,BR$1,Database!$F:$F,"Total")</f>
        <v>0</v>
      </c>
      <c r="BS122" s="137">
        <f>SUMIFS(Database!$G:$G,Database!$D:$D,"Export",Database!$E:$E,$B122,Database!$C:$C,BS$1,Database!$F:$F,"Total")</f>
        <v>0</v>
      </c>
      <c r="BT122" s="137">
        <f>SUMIFS(Database!$G:$G,Database!$D:$D,"Export",Database!$E:$E,$B122,Database!$C:$C,BT$1,Database!$F:$F,"Total")</f>
        <v>0</v>
      </c>
      <c r="BU122" s="137">
        <f>SUMIFS(Database!$G:$G,Database!$D:$D,"Export",Database!$E:$E,$B122,Database!$C:$C,BU$1,Database!$F:$F,"Total")</f>
        <v>0</v>
      </c>
      <c r="BV122" s="137">
        <f>SUMIFS(Database!$G:$G,Database!$D:$D,"Export",Database!$E:$E,$B122,Database!$C:$C,BV$1,Database!$F:$F,"Total")</f>
        <v>0</v>
      </c>
      <c r="BW122" s="137">
        <f>SUMIFS(Database!$G:$G,Database!$D:$D,"Export",Database!$E:$E,$B122,Database!$C:$C,BW$1,Database!$F:$F,"Total")</f>
        <v>0</v>
      </c>
      <c r="BX122" s="137">
        <f>SUMIFS(Database!$G:$G,Database!$D:$D,"Export",Database!$E:$E,$B122,Database!$C:$C,BX$1,Database!$F:$F,"Total")</f>
        <v>0</v>
      </c>
      <c r="BY122" s="137">
        <f>SUMIFS(Database!$G:$G,Database!$D:$D,"Export",Database!$E:$E,$B122,Database!$C:$C,BY$1,Database!$F:$F,"Total")</f>
        <v>0</v>
      </c>
      <c r="BZ122" s="137">
        <f>SUMIFS(Database!$G:$G,Database!$D:$D,"Export",Database!$E:$E,$B122,Database!$C:$C,BZ$1,Database!$F:$F,"Total")</f>
        <v>0</v>
      </c>
      <c r="CA122" s="137">
        <f>SUMIFS(Database!$G:$G,Database!$D:$D,"Export",Database!$E:$E,$B122,Database!$C:$C,CA$1,Database!$F:$F,"Total")</f>
        <v>0</v>
      </c>
      <c r="CB122" s="137">
        <f>SUMIFS(Database!$G:$G,Database!$D:$D,"Export",Database!$E:$E,$B122,Database!$C:$C,CB$1,Database!$F:$F,"Total")</f>
        <v>0</v>
      </c>
      <c r="CC122" s="137">
        <f>SUMIFS(Database!$G:$G,Database!$D:$D,"Export",Database!$E:$E,$B122,Database!$C:$C,CC$1,Database!$F:$F,"Total")</f>
        <v>0</v>
      </c>
      <c r="CD122" s="137">
        <f>SUMIFS(Database!$G:$G,Database!$D:$D,"Export",Database!$E:$E,$B122,Database!$C:$C,CD$1,Database!$F:$F,"Total")</f>
        <v>0</v>
      </c>
      <c r="CE122" s="137">
        <f>SUMIFS(Database!$G:$G,Database!$D:$D,"Export",Database!$E:$E,$B122,Database!$C:$C,CE$1,Database!$F:$F,"Total")</f>
        <v>0</v>
      </c>
      <c r="CF122" s="137">
        <f>SUMIFS(Database!$G:$G,Database!$D:$D,"Export",Database!$E:$E,$B122,Database!$C:$C,CF$1,Database!$F:$F,"Total")</f>
        <v>0</v>
      </c>
      <c r="CG122" s="137">
        <f>SUMIFS(Database!$G:$G,Database!$D:$D,"Export",Database!$E:$E,$B122,Database!$C:$C,CG$1,Database!$F:$F,"Total")</f>
        <v>0</v>
      </c>
      <c r="CH122" s="137">
        <f>SUMIFS(Database!$G:$G,Database!$D:$D,"Export",Database!$E:$E,$B122,Database!$C:$C,CH$1,Database!$F:$F,"Total")</f>
        <v>0</v>
      </c>
      <c r="CI122" s="137">
        <f>SUMIFS(Database!$G:$G,Database!$D:$D,"Export",Database!$E:$E,$B122,Database!$C:$C,CI$1,Database!$F:$F,"Total")</f>
        <v>0</v>
      </c>
      <c r="CJ122" s="137">
        <f>SUMIFS(Database!$G:$G,Database!$D:$D,"Export",Database!$E:$E,$B122,Database!$C:$C,CJ$1,Database!$F:$F,"Total")</f>
        <v>0</v>
      </c>
      <c r="CK122" s="137">
        <f>SUMIFS(Database!$G:$G,Database!$D:$D,"Export",Database!$E:$E,$B122,Database!$C:$C,CK$1,Database!$F:$F,"Total")</f>
        <v>0</v>
      </c>
      <c r="CL122" s="137">
        <f>SUMIFS(Database!$G:$G,Database!$D:$D,"Export",Database!$E:$E,$B122,Database!$C:$C,CL$1,Database!$F:$F,"Total")</f>
        <v>0</v>
      </c>
      <c r="CM122" s="137">
        <f>SUMIFS(Database!$G:$G,Database!$D:$D,"Export",Database!$E:$E,$B122,Database!$C:$C,CM$1,Database!$F:$F,"Total")</f>
        <v>0</v>
      </c>
      <c r="CN122" s="137">
        <f>SUMIFS(Database!$G:$G,Database!$D:$D,"Export",Database!$E:$E,$B122,Database!$C:$C,CN$1,Database!$F:$F,"Total")</f>
        <v>0</v>
      </c>
      <c r="CO122" s="137">
        <f>SUMIFS(Database!$G:$G,Database!$D:$D,"Export",Database!$E:$E,$B122,Database!$C:$C,CO$1,Database!$F:$F,"Total")</f>
        <v>0</v>
      </c>
      <c r="CP122" s="137">
        <f>SUMIFS(Database!$G:$G,Database!$D:$D,"Export",Database!$E:$E,$B122,Database!$C:$C,CP$1,Database!$F:$F,"Total")</f>
        <v>0</v>
      </c>
      <c r="CQ122" s="137">
        <f>SUMIFS(Database!$G:$G,Database!$D:$D,"Export",Database!$E:$E,$B122,Database!$C:$C,CQ$1,Database!$F:$F,"Total")</f>
        <v>0</v>
      </c>
      <c r="CR122" s="137">
        <f>SUMIFS(Database!$G:$G,Database!$D:$D,"Export",Database!$E:$E,$B122,Database!$C:$C,CR$1,Database!$F:$F,"Total")</f>
        <v>0</v>
      </c>
      <c r="CS122" s="137">
        <f>SUMIFS(Database!$G:$G,Database!$D:$D,"Export",Database!$E:$E,$B122,Database!$C:$C,CS$1,Database!$F:$F,"Total")</f>
        <v>0</v>
      </c>
      <c r="CT122" s="137">
        <f>SUMIFS(Database!$G:$G,Database!$D:$D,"Export",Database!$E:$E,$B122,Database!$C:$C,CT$1,Database!$F:$F,"Total")</f>
        <v>0</v>
      </c>
      <c r="CU122" s="137">
        <f>SUMIFS(Database!$G:$G,Database!$D:$D,"Export",Database!$E:$E,$B122,Database!$C:$C,CU$1,Database!$F:$F,"Total")</f>
        <v>0</v>
      </c>
    </row>
    <row r="123" spans="1:99" x14ac:dyDescent="0.25">
      <c r="A123" s="132" t="s">
        <v>485</v>
      </c>
      <c r="B123" s="133" t="s">
        <v>125</v>
      </c>
      <c r="C123" s="137">
        <f>SUMIFS(Database!$G:$G,Database!$D:$D,"Export",Database!$E:$E,$B123,Database!$C:$C,C$1,Database!$F:$F,"Total")</f>
        <v>0</v>
      </c>
      <c r="D123" s="137">
        <f>SUMIFS(Database!$G:$G,Database!$D:$D,"Export",Database!$E:$E,$B123,Database!$C:$C,D$1,Database!$F:$F,"Total")</f>
        <v>0</v>
      </c>
      <c r="E123" s="137">
        <f>SUMIFS(Database!$G:$G,Database!$D:$D,"Export",Database!$E:$E,$B123,Database!$C:$C,E$1,Database!$F:$F,"Total")</f>
        <v>0</v>
      </c>
      <c r="F123" s="137">
        <f>SUMIFS(Database!$G:$G,Database!$D:$D,"Export",Database!$E:$E,$B123,Database!$C:$C,F$1,Database!$F:$F,"Total")</f>
        <v>0</v>
      </c>
      <c r="G123" s="137">
        <f>SUMIFS(Database!$G:$G,Database!$D:$D,"Export",Database!$E:$E,$B123,Database!$C:$C,G$1,Database!$F:$F,"Total")</f>
        <v>0</v>
      </c>
      <c r="H123" s="137">
        <f>SUMIFS(Database!$G:$G,Database!$D:$D,"Export",Database!$E:$E,$B123,Database!$C:$C,H$1,Database!$F:$F,"Total")</f>
        <v>0</v>
      </c>
      <c r="I123" s="137">
        <f>SUMIFS(Database!$G:$G,Database!$D:$D,"Export",Database!$E:$E,$B123,Database!$C:$C,I$1,Database!$F:$F,"Total")</f>
        <v>0</v>
      </c>
      <c r="J123" s="137">
        <f>SUMIFS(Database!$G:$G,Database!$D:$D,"Export",Database!$E:$E,$B123,Database!$C:$C,J$1,Database!$F:$F,"Total")</f>
        <v>0</v>
      </c>
      <c r="K123" s="137">
        <f>SUMIFS(Database!$G:$G,Database!$D:$D,"Export",Database!$E:$E,$B123,Database!$C:$C,K$1,Database!$F:$F,"Total")</f>
        <v>0</v>
      </c>
      <c r="L123" s="137">
        <f>SUMIFS(Database!$G:$G,Database!$D:$D,"Export",Database!$E:$E,$B123,Database!$C:$C,L$1,Database!$F:$F,"Total")</f>
        <v>0</v>
      </c>
      <c r="M123" s="137">
        <f>SUMIFS(Database!$G:$G,Database!$D:$D,"Export",Database!$E:$E,$B123,Database!$C:$C,M$1,Database!$F:$F,"Total")</f>
        <v>0</v>
      </c>
      <c r="N123" s="137">
        <f>SUMIFS(Database!$G:$G,Database!$D:$D,"Export",Database!$E:$E,$B123,Database!$C:$C,N$1,Database!$F:$F,"Total")</f>
        <v>0</v>
      </c>
      <c r="O123" s="137">
        <f>SUMIFS(Database!$G:$G,Database!$D:$D,"Export",Database!$E:$E,$B123,Database!$C:$C,O$1,Database!$F:$F,"Total")</f>
        <v>0</v>
      </c>
      <c r="P123" s="137">
        <f>SUMIFS(Database!$G:$G,Database!$D:$D,"Export",Database!$E:$E,$B123,Database!$C:$C,P$1,Database!$F:$F,"Total")</f>
        <v>0</v>
      </c>
      <c r="Q123" s="137">
        <f>SUMIFS(Database!$G:$G,Database!$D:$D,"Export",Database!$E:$E,$B123,Database!$C:$C,Q$1,Database!$F:$F,"Total")</f>
        <v>0</v>
      </c>
      <c r="R123" s="137">
        <f>SUMIFS(Database!$G:$G,Database!$D:$D,"Export",Database!$E:$E,$B123,Database!$C:$C,R$1,Database!$F:$F,"Total")</f>
        <v>0</v>
      </c>
      <c r="S123" s="137">
        <f>SUMIFS(Database!$G:$G,Database!$D:$D,"Export",Database!$E:$E,$B123,Database!$C:$C,S$1,Database!$F:$F,"Total")</f>
        <v>0</v>
      </c>
      <c r="T123" s="137">
        <f>SUMIFS(Database!$G:$G,Database!$D:$D,"Export",Database!$E:$E,$B123,Database!$C:$C,T$1,Database!$F:$F,"Total")</f>
        <v>0</v>
      </c>
      <c r="U123" s="137">
        <f>SUMIFS(Database!$G:$G,Database!$D:$D,"Export",Database!$E:$E,$B123,Database!$C:$C,U$1,Database!$F:$F,"Total")</f>
        <v>0</v>
      </c>
      <c r="V123" s="137">
        <f>SUMIFS(Database!$G:$G,Database!$D:$D,"Export",Database!$E:$E,$B123,Database!$C:$C,V$1,Database!$F:$F,"Total")</f>
        <v>0</v>
      </c>
      <c r="W123" s="137">
        <f>SUMIFS(Database!$G:$G,Database!$D:$D,"Export",Database!$E:$E,$B123,Database!$C:$C,W$1,Database!$F:$F,"Total")</f>
        <v>0</v>
      </c>
      <c r="X123" s="137">
        <f>SUMIFS(Database!$G:$G,Database!$D:$D,"Export",Database!$E:$E,$B123,Database!$C:$C,X$1,Database!$F:$F,"Total")</f>
        <v>0</v>
      </c>
      <c r="Y123" s="137">
        <f>SUMIFS(Database!$G:$G,Database!$D:$D,"Export",Database!$E:$E,$B123,Database!$C:$C,Y$1,Database!$F:$F,"Total")</f>
        <v>0</v>
      </c>
      <c r="Z123" s="137">
        <f>SUMIFS(Database!$G:$G,Database!$D:$D,"Export",Database!$E:$E,$B123,Database!$C:$C,Z$1,Database!$F:$F,"Total")</f>
        <v>0</v>
      </c>
      <c r="AA123" s="137">
        <f>SUMIFS(Database!$G:$G,Database!$D:$D,"Export",Database!$E:$E,$B123,Database!$C:$C,AA$1,Database!$F:$F,"Total")</f>
        <v>0</v>
      </c>
      <c r="AB123" s="137">
        <f>SUMIFS(Database!$G:$G,Database!$D:$D,"Export",Database!$E:$E,$B123,Database!$C:$C,AB$1,Database!$F:$F,"Total")</f>
        <v>0</v>
      </c>
      <c r="AC123" s="137">
        <f>SUMIFS(Database!$G:$G,Database!$D:$D,"Export",Database!$E:$E,$B123,Database!$C:$C,AC$1,Database!$F:$F,"Total")</f>
        <v>0</v>
      </c>
      <c r="AD123" s="137">
        <f>SUMIFS(Database!$G:$G,Database!$D:$D,"Export",Database!$E:$E,$B123,Database!$C:$C,AD$1,Database!$F:$F,"Total")</f>
        <v>0</v>
      </c>
      <c r="AE123" s="137">
        <f>SUMIFS(Database!$G:$G,Database!$D:$D,"Export",Database!$E:$E,$B123,Database!$C:$C,AE$1,Database!$F:$F,"Total")</f>
        <v>0</v>
      </c>
      <c r="AF123" s="137">
        <f>SUMIFS(Database!$G:$G,Database!$D:$D,"Export",Database!$E:$E,$B123,Database!$C:$C,AF$1,Database!$F:$F,"Total")</f>
        <v>0</v>
      </c>
      <c r="AG123" s="137">
        <f>SUMIFS(Database!$G:$G,Database!$D:$D,"Export",Database!$E:$E,$B123,Database!$C:$C,AG$1,Database!$F:$F,"Total")</f>
        <v>0</v>
      </c>
      <c r="AH123" s="137">
        <f>SUMIFS(Database!$G:$G,Database!$D:$D,"Export",Database!$E:$E,$B123,Database!$C:$C,AH$1,Database!$F:$F,"Total")</f>
        <v>0</v>
      </c>
      <c r="AI123" s="137">
        <f>SUMIFS(Database!$G:$G,Database!$D:$D,"Export",Database!$E:$E,$B123,Database!$C:$C,AI$1,Database!$F:$F,"Total")</f>
        <v>0</v>
      </c>
      <c r="AJ123" s="137">
        <f>SUMIFS(Database!$G:$G,Database!$D:$D,"Export",Database!$E:$E,$B123,Database!$C:$C,AJ$1,Database!$F:$F,"Total")</f>
        <v>0</v>
      </c>
      <c r="AK123" s="137">
        <f>SUMIFS(Database!$G:$G,Database!$D:$D,"Export",Database!$E:$E,$B123,Database!$C:$C,AK$1,Database!$F:$F,"Total")</f>
        <v>0</v>
      </c>
      <c r="AL123" s="137">
        <f>SUMIFS(Database!$G:$G,Database!$D:$D,"Export",Database!$E:$E,$B123,Database!$C:$C,AL$1,Database!$F:$F,"Total")</f>
        <v>0</v>
      </c>
      <c r="AM123" s="137">
        <f>SUMIFS(Database!$G:$G,Database!$D:$D,"Export",Database!$E:$E,$B123,Database!$C:$C,AM$1,Database!$F:$F,"Total")</f>
        <v>0</v>
      </c>
      <c r="AN123" s="137">
        <f>SUMIFS(Database!$G:$G,Database!$D:$D,"Export",Database!$E:$E,$B123,Database!$C:$C,AN$1,Database!$F:$F,"Total")</f>
        <v>0</v>
      </c>
      <c r="AO123" s="137">
        <f>SUMIFS(Database!$G:$G,Database!$D:$D,"Export",Database!$E:$E,$B123,Database!$C:$C,AO$1,Database!$F:$F,"Total")</f>
        <v>0</v>
      </c>
      <c r="AP123" s="137">
        <f>SUMIFS(Database!$G:$G,Database!$D:$D,"Export",Database!$E:$E,$B123,Database!$C:$C,AP$1,Database!$F:$F,"Total")</f>
        <v>0</v>
      </c>
      <c r="AQ123" s="137">
        <f>SUMIFS(Database!$G:$G,Database!$D:$D,"Export",Database!$E:$E,$B123,Database!$C:$C,AQ$1,Database!$F:$F,"Total")</f>
        <v>0</v>
      </c>
      <c r="AR123" s="137">
        <f>SUMIFS(Database!$G:$G,Database!$D:$D,"Export",Database!$E:$E,$B123,Database!$C:$C,AR$1,Database!$F:$F,"Total")</f>
        <v>0</v>
      </c>
      <c r="AS123" s="137">
        <f>SUMIFS(Database!$G:$G,Database!$D:$D,"Export",Database!$E:$E,$B123,Database!$C:$C,AS$1,Database!$F:$F,"Total")</f>
        <v>0</v>
      </c>
      <c r="AT123" s="137">
        <f>SUMIFS(Database!$G:$G,Database!$D:$D,"Export",Database!$E:$E,$B123,Database!$C:$C,AT$1,Database!$F:$F,"Total")</f>
        <v>0</v>
      </c>
      <c r="AU123" s="137">
        <f>SUMIFS(Database!$G:$G,Database!$D:$D,"Export",Database!$E:$E,$B123,Database!$C:$C,AU$1,Database!$F:$F,"Total")</f>
        <v>0</v>
      </c>
      <c r="AV123" s="137">
        <f>SUMIFS(Database!$G:$G,Database!$D:$D,"Export",Database!$E:$E,$B123,Database!$C:$C,AV$1,Database!$F:$F,"Total")</f>
        <v>0</v>
      </c>
      <c r="AW123" s="137">
        <f>SUMIFS(Database!$G:$G,Database!$D:$D,"Export",Database!$E:$E,$B123,Database!$C:$C,AW$1,Database!$F:$F,"Total")</f>
        <v>0</v>
      </c>
      <c r="AX123" s="137">
        <f>SUMIFS(Database!$G:$G,Database!$D:$D,"Export",Database!$E:$E,$B123,Database!$C:$C,AX$1,Database!$F:$F,"Total")</f>
        <v>0</v>
      </c>
      <c r="AY123" s="137">
        <f>SUMIFS(Database!$G:$G,Database!$D:$D,"Export",Database!$E:$E,$B123,Database!$C:$C,AY$1,Database!$F:$F,"Total")</f>
        <v>0</v>
      </c>
      <c r="AZ123" s="137">
        <f>SUMIFS(Database!$G:$G,Database!$D:$D,"Export",Database!$E:$E,$B123,Database!$C:$C,AZ$1,Database!$F:$F,"Total")</f>
        <v>0</v>
      </c>
      <c r="BA123" s="137">
        <f>SUMIFS(Database!$G:$G,Database!$D:$D,"Export",Database!$E:$E,$B123,Database!$C:$C,BA$1,Database!$F:$F,"Total")</f>
        <v>0</v>
      </c>
      <c r="BB123" s="137">
        <f>SUMIFS(Database!$G:$G,Database!$D:$D,"Export",Database!$E:$E,$B123,Database!$C:$C,BB$1,Database!$F:$F,"Total")</f>
        <v>0</v>
      </c>
      <c r="BC123" s="137">
        <f>SUMIFS(Database!$G:$G,Database!$D:$D,"Export",Database!$E:$E,$B123,Database!$C:$C,BC$1,Database!$F:$F,"Total")</f>
        <v>0</v>
      </c>
      <c r="BD123" s="137">
        <f>SUMIFS(Database!$G:$G,Database!$D:$D,"Export",Database!$E:$E,$B123,Database!$C:$C,BD$1,Database!$F:$F,"Total")</f>
        <v>0</v>
      </c>
      <c r="BE123" s="137">
        <f>SUMIFS(Database!$G:$G,Database!$D:$D,"Export",Database!$E:$E,$B123,Database!$C:$C,BE$1,Database!$F:$F,"Total")</f>
        <v>0</v>
      </c>
      <c r="BF123" s="137">
        <f>SUMIFS(Database!$G:$G,Database!$D:$D,"Export",Database!$E:$E,$B123,Database!$C:$C,BF$1,Database!$F:$F,"Total")</f>
        <v>0</v>
      </c>
      <c r="BG123" s="137">
        <f>SUMIFS(Database!$G:$G,Database!$D:$D,"Export",Database!$E:$E,$B123,Database!$C:$C,BG$1,Database!$F:$F,"Total")</f>
        <v>0</v>
      </c>
      <c r="BH123" s="137">
        <f>SUMIFS(Database!$G:$G,Database!$D:$D,"Export",Database!$E:$E,$B123,Database!$C:$C,BH$1,Database!$F:$F,"Total")</f>
        <v>0</v>
      </c>
      <c r="BI123" s="137">
        <f>SUMIFS(Database!$G:$G,Database!$D:$D,"Export",Database!$E:$E,$B123,Database!$C:$C,BI$1,Database!$F:$F,"Total")</f>
        <v>0</v>
      </c>
      <c r="BJ123" s="137">
        <f>SUMIFS(Database!$G:$G,Database!$D:$D,"Export",Database!$E:$E,$B123,Database!$C:$C,BJ$1,Database!$F:$F,"Total")</f>
        <v>0</v>
      </c>
      <c r="BK123" s="137">
        <f>SUMIFS(Database!$G:$G,Database!$D:$D,"Export",Database!$E:$E,$B123,Database!$C:$C,BK$1,Database!$F:$F,"Total")</f>
        <v>0</v>
      </c>
      <c r="BL123" s="137">
        <f>SUMIFS(Database!$G:$G,Database!$D:$D,"Export",Database!$E:$E,$B123,Database!$C:$C,BL$1,Database!$F:$F,"Total")</f>
        <v>0</v>
      </c>
      <c r="BM123" s="137">
        <f>SUMIFS(Database!$G:$G,Database!$D:$D,"Export",Database!$E:$E,$B123,Database!$C:$C,BM$1,Database!$F:$F,"Total")</f>
        <v>0</v>
      </c>
      <c r="BN123" s="137">
        <f>SUMIFS(Database!$G:$G,Database!$D:$D,"Export",Database!$E:$E,$B123,Database!$C:$C,BN$1,Database!$F:$F,"Total")</f>
        <v>15355</v>
      </c>
      <c r="BO123" s="137">
        <f>SUMIFS(Database!$G:$G,Database!$D:$D,"Export",Database!$E:$E,$B123,Database!$C:$C,BO$1,Database!$F:$F,"Total")</f>
        <v>0</v>
      </c>
      <c r="BP123" s="137">
        <f>SUMIFS(Database!$G:$G,Database!$D:$D,"Export",Database!$E:$E,$B123,Database!$C:$C,BP$1,Database!$F:$F,"Total")</f>
        <v>22977</v>
      </c>
      <c r="BQ123" s="137">
        <f>SUMIFS(Database!$G:$G,Database!$D:$D,"Export",Database!$E:$E,$B123,Database!$C:$C,BQ$1,Database!$F:$F,"Total")</f>
        <v>13316</v>
      </c>
      <c r="BR123" s="137">
        <f>SUMIFS(Database!$G:$G,Database!$D:$D,"Export",Database!$E:$E,$B123,Database!$C:$C,BR$1,Database!$F:$F,"Total")</f>
        <v>16392</v>
      </c>
      <c r="BS123" s="137">
        <f>SUMIFS(Database!$G:$G,Database!$D:$D,"Export",Database!$E:$E,$B123,Database!$C:$C,BS$1,Database!$F:$F,"Total")</f>
        <v>9973</v>
      </c>
      <c r="BT123" s="137">
        <f>SUMIFS(Database!$G:$G,Database!$D:$D,"Export",Database!$E:$E,$B123,Database!$C:$C,BT$1,Database!$F:$F,"Total")</f>
        <v>15752</v>
      </c>
      <c r="BU123" s="137">
        <f>SUMIFS(Database!$G:$G,Database!$D:$D,"Export",Database!$E:$E,$B123,Database!$C:$C,BU$1,Database!$F:$F,"Total")</f>
        <v>10510</v>
      </c>
      <c r="BV123" s="137">
        <f>SUMIFS(Database!$G:$G,Database!$D:$D,"Export",Database!$E:$E,$B123,Database!$C:$C,BV$1,Database!$F:$F,"Total")</f>
        <v>0</v>
      </c>
      <c r="BW123" s="137">
        <f>SUMIFS(Database!$G:$G,Database!$D:$D,"Export",Database!$E:$E,$B123,Database!$C:$C,BW$1,Database!$F:$F,"Total")</f>
        <v>0</v>
      </c>
      <c r="BX123" s="137">
        <f>SUMIFS(Database!$G:$G,Database!$D:$D,"Export",Database!$E:$E,$B123,Database!$C:$C,BX$1,Database!$F:$F,"Total")</f>
        <v>0</v>
      </c>
      <c r="BY123" s="137">
        <f>SUMIFS(Database!$G:$G,Database!$D:$D,"Export",Database!$E:$E,$B123,Database!$C:$C,BY$1,Database!$F:$F,"Total")</f>
        <v>0</v>
      </c>
      <c r="BZ123" s="137">
        <f>SUMIFS(Database!$G:$G,Database!$D:$D,"Export",Database!$E:$E,$B123,Database!$C:$C,BZ$1,Database!$F:$F,"Total")</f>
        <v>0</v>
      </c>
      <c r="CA123" s="137">
        <f>SUMIFS(Database!$G:$G,Database!$D:$D,"Export",Database!$E:$E,$B123,Database!$C:$C,CA$1,Database!$F:$F,"Total")</f>
        <v>0</v>
      </c>
      <c r="CB123" s="137">
        <f>SUMIFS(Database!$G:$G,Database!$D:$D,"Export",Database!$E:$E,$B123,Database!$C:$C,CB$1,Database!$F:$F,"Total")</f>
        <v>0</v>
      </c>
      <c r="CC123" s="137">
        <f>SUMIFS(Database!$G:$G,Database!$D:$D,"Export",Database!$E:$E,$B123,Database!$C:$C,CC$1,Database!$F:$F,"Total")</f>
        <v>0</v>
      </c>
      <c r="CD123" s="137">
        <f>SUMIFS(Database!$G:$G,Database!$D:$D,"Export",Database!$E:$E,$B123,Database!$C:$C,CD$1,Database!$F:$F,"Total")</f>
        <v>0</v>
      </c>
      <c r="CE123" s="137">
        <f>SUMIFS(Database!$G:$G,Database!$D:$D,"Export",Database!$E:$E,$B123,Database!$C:$C,CE$1,Database!$F:$F,"Total")</f>
        <v>0</v>
      </c>
      <c r="CF123" s="137">
        <f>SUMIFS(Database!$G:$G,Database!$D:$D,"Export",Database!$E:$E,$B123,Database!$C:$C,CF$1,Database!$F:$F,"Total")</f>
        <v>0</v>
      </c>
      <c r="CG123" s="137">
        <f>SUMIFS(Database!$G:$G,Database!$D:$D,"Export",Database!$E:$E,$B123,Database!$C:$C,CG$1,Database!$F:$F,"Total")</f>
        <v>0</v>
      </c>
      <c r="CH123" s="137">
        <f>SUMIFS(Database!$G:$G,Database!$D:$D,"Export",Database!$E:$E,$B123,Database!$C:$C,CH$1,Database!$F:$F,"Total")</f>
        <v>0</v>
      </c>
      <c r="CI123" s="137">
        <f>SUMIFS(Database!$G:$G,Database!$D:$D,"Export",Database!$E:$E,$B123,Database!$C:$C,CI$1,Database!$F:$F,"Total")</f>
        <v>0</v>
      </c>
      <c r="CJ123" s="137">
        <f>SUMIFS(Database!$G:$G,Database!$D:$D,"Export",Database!$E:$E,$B123,Database!$C:$C,CJ$1,Database!$F:$F,"Total")</f>
        <v>0</v>
      </c>
      <c r="CK123" s="137">
        <f>SUMIFS(Database!$G:$G,Database!$D:$D,"Export",Database!$E:$E,$B123,Database!$C:$C,CK$1,Database!$F:$F,"Total")</f>
        <v>0</v>
      </c>
      <c r="CL123" s="137">
        <f>SUMIFS(Database!$G:$G,Database!$D:$D,"Export",Database!$E:$E,$B123,Database!$C:$C,CL$1,Database!$F:$F,"Total")</f>
        <v>0</v>
      </c>
      <c r="CM123" s="137">
        <f>SUMIFS(Database!$G:$G,Database!$D:$D,"Export",Database!$E:$E,$B123,Database!$C:$C,CM$1,Database!$F:$F,"Total")</f>
        <v>0</v>
      </c>
      <c r="CN123" s="137">
        <f>SUMIFS(Database!$G:$G,Database!$D:$D,"Export",Database!$E:$E,$B123,Database!$C:$C,CN$1,Database!$F:$F,"Total")</f>
        <v>0</v>
      </c>
      <c r="CO123" s="137">
        <f>SUMIFS(Database!$G:$G,Database!$D:$D,"Export",Database!$E:$E,$B123,Database!$C:$C,CO$1,Database!$F:$F,"Total")</f>
        <v>0</v>
      </c>
      <c r="CP123" s="137">
        <f>SUMIFS(Database!$G:$G,Database!$D:$D,"Export",Database!$E:$E,$B123,Database!$C:$C,CP$1,Database!$F:$F,"Total")</f>
        <v>0</v>
      </c>
      <c r="CQ123" s="137">
        <f>SUMIFS(Database!$G:$G,Database!$D:$D,"Export",Database!$E:$E,$B123,Database!$C:$C,CQ$1,Database!$F:$F,"Total")</f>
        <v>0</v>
      </c>
      <c r="CR123" s="137">
        <f>SUMIFS(Database!$G:$G,Database!$D:$D,"Export",Database!$E:$E,$B123,Database!$C:$C,CR$1,Database!$F:$F,"Total")</f>
        <v>0</v>
      </c>
      <c r="CS123" s="137">
        <f>SUMIFS(Database!$G:$G,Database!$D:$D,"Export",Database!$E:$E,$B123,Database!$C:$C,CS$1,Database!$F:$F,"Total")</f>
        <v>0</v>
      </c>
      <c r="CT123" s="137">
        <f>SUMIFS(Database!$G:$G,Database!$D:$D,"Export",Database!$E:$E,$B123,Database!$C:$C,CT$1,Database!$F:$F,"Total")</f>
        <v>0</v>
      </c>
      <c r="CU123" s="137">
        <f>SUMIFS(Database!$G:$G,Database!$D:$D,"Export",Database!$E:$E,$B123,Database!$C:$C,CU$1,Database!$F:$F,"Total")</f>
        <v>0</v>
      </c>
    </row>
    <row r="124" spans="1:99" x14ac:dyDescent="0.25">
      <c r="A124" s="132" t="s">
        <v>485</v>
      </c>
      <c r="B124" s="133" t="s">
        <v>126</v>
      </c>
      <c r="C124" s="137">
        <f>SUMIFS(Database!$G:$G,Database!$D:$D,"Export",Database!$E:$E,$B124,Database!$C:$C,C$1,Database!$F:$F,"Total")</f>
        <v>0</v>
      </c>
      <c r="D124" s="137">
        <f>SUMIFS(Database!$G:$G,Database!$D:$D,"Export",Database!$E:$E,$B124,Database!$C:$C,D$1,Database!$F:$F,"Total")</f>
        <v>0</v>
      </c>
      <c r="E124" s="137">
        <f>SUMIFS(Database!$G:$G,Database!$D:$D,"Export",Database!$E:$E,$B124,Database!$C:$C,E$1,Database!$F:$F,"Total")</f>
        <v>0</v>
      </c>
      <c r="F124" s="137">
        <f>SUMIFS(Database!$G:$G,Database!$D:$D,"Export",Database!$E:$E,$B124,Database!$C:$C,F$1,Database!$F:$F,"Total")</f>
        <v>0</v>
      </c>
      <c r="G124" s="137">
        <f>SUMIFS(Database!$G:$G,Database!$D:$D,"Export",Database!$E:$E,$B124,Database!$C:$C,G$1,Database!$F:$F,"Total")</f>
        <v>0</v>
      </c>
      <c r="H124" s="137">
        <f>SUMIFS(Database!$G:$G,Database!$D:$D,"Export",Database!$E:$E,$B124,Database!$C:$C,H$1,Database!$F:$F,"Total")</f>
        <v>0</v>
      </c>
      <c r="I124" s="137">
        <f>SUMIFS(Database!$G:$G,Database!$D:$D,"Export",Database!$E:$E,$B124,Database!$C:$C,I$1,Database!$F:$F,"Total")</f>
        <v>0</v>
      </c>
      <c r="J124" s="137">
        <f>SUMIFS(Database!$G:$G,Database!$D:$D,"Export",Database!$E:$E,$B124,Database!$C:$C,J$1,Database!$F:$F,"Total")</f>
        <v>0</v>
      </c>
      <c r="K124" s="137">
        <f>SUMIFS(Database!$G:$G,Database!$D:$D,"Export",Database!$E:$E,$B124,Database!$C:$C,K$1,Database!$F:$F,"Total")</f>
        <v>0</v>
      </c>
      <c r="L124" s="137">
        <f>SUMIFS(Database!$G:$G,Database!$D:$D,"Export",Database!$E:$E,$B124,Database!$C:$C,L$1,Database!$F:$F,"Total")</f>
        <v>0</v>
      </c>
      <c r="M124" s="137">
        <f>SUMIFS(Database!$G:$G,Database!$D:$D,"Export",Database!$E:$E,$B124,Database!$C:$C,M$1,Database!$F:$F,"Total")</f>
        <v>0</v>
      </c>
      <c r="N124" s="137">
        <f>SUMIFS(Database!$G:$G,Database!$D:$D,"Export",Database!$E:$E,$B124,Database!$C:$C,N$1,Database!$F:$F,"Total")</f>
        <v>0</v>
      </c>
      <c r="O124" s="137">
        <f>SUMIFS(Database!$G:$G,Database!$D:$D,"Export",Database!$E:$E,$B124,Database!$C:$C,O$1,Database!$F:$F,"Total")</f>
        <v>0</v>
      </c>
      <c r="P124" s="137">
        <f>SUMIFS(Database!$G:$G,Database!$D:$D,"Export",Database!$E:$E,$B124,Database!$C:$C,P$1,Database!$F:$F,"Total")</f>
        <v>0</v>
      </c>
      <c r="Q124" s="137">
        <f>SUMIFS(Database!$G:$G,Database!$D:$D,"Export",Database!$E:$E,$B124,Database!$C:$C,Q$1,Database!$F:$F,"Total")</f>
        <v>0</v>
      </c>
      <c r="R124" s="137">
        <f>SUMIFS(Database!$G:$G,Database!$D:$D,"Export",Database!$E:$E,$B124,Database!$C:$C,R$1,Database!$F:$F,"Total")</f>
        <v>0</v>
      </c>
      <c r="S124" s="137">
        <f>SUMIFS(Database!$G:$G,Database!$D:$D,"Export",Database!$E:$E,$B124,Database!$C:$C,S$1,Database!$F:$F,"Total")</f>
        <v>0</v>
      </c>
      <c r="T124" s="137">
        <f>SUMIFS(Database!$G:$G,Database!$D:$D,"Export",Database!$E:$E,$B124,Database!$C:$C,T$1,Database!$F:$F,"Total")</f>
        <v>0</v>
      </c>
      <c r="U124" s="137">
        <f>SUMIFS(Database!$G:$G,Database!$D:$D,"Export",Database!$E:$E,$B124,Database!$C:$C,U$1,Database!$F:$F,"Total")</f>
        <v>0</v>
      </c>
      <c r="V124" s="137">
        <f>SUMIFS(Database!$G:$G,Database!$D:$D,"Export",Database!$E:$E,$B124,Database!$C:$C,V$1,Database!$F:$F,"Total")</f>
        <v>0</v>
      </c>
      <c r="W124" s="137">
        <f>SUMIFS(Database!$G:$G,Database!$D:$D,"Export",Database!$E:$E,$B124,Database!$C:$C,W$1,Database!$F:$F,"Total")</f>
        <v>0</v>
      </c>
      <c r="X124" s="137">
        <f>SUMIFS(Database!$G:$G,Database!$D:$D,"Export",Database!$E:$E,$B124,Database!$C:$C,X$1,Database!$F:$F,"Total")</f>
        <v>0</v>
      </c>
      <c r="Y124" s="137">
        <f>SUMIFS(Database!$G:$G,Database!$D:$D,"Export",Database!$E:$E,$B124,Database!$C:$C,Y$1,Database!$F:$F,"Total")</f>
        <v>0</v>
      </c>
      <c r="Z124" s="137">
        <f>SUMIFS(Database!$G:$G,Database!$D:$D,"Export",Database!$E:$E,$B124,Database!$C:$C,Z$1,Database!$F:$F,"Total")</f>
        <v>0</v>
      </c>
      <c r="AA124" s="137">
        <f>SUMIFS(Database!$G:$G,Database!$D:$D,"Export",Database!$E:$E,$B124,Database!$C:$C,AA$1,Database!$F:$F,"Total")</f>
        <v>0</v>
      </c>
      <c r="AB124" s="137">
        <f>SUMIFS(Database!$G:$G,Database!$D:$D,"Export",Database!$E:$E,$B124,Database!$C:$C,AB$1,Database!$F:$F,"Total")</f>
        <v>0</v>
      </c>
      <c r="AC124" s="137">
        <f>SUMIFS(Database!$G:$G,Database!$D:$D,"Export",Database!$E:$E,$B124,Database!$C:$C,AC$1,Database!$F:$F,"Total")</f>
        <v>0</v>
      </c>
      <c r="AD124" s="137">
        <f>SUMIFS(Database!$G:$G,Database!$D:$D,"Export",Database!$E:$E,$B124,Database!$C:$C,AD$1,Database!$F:$F,"Total")</f>
        <v>0</v>
      </c>
      <c r="AE124" s="137">
        <f>SUMIFS(Database!$G:$G,Database!$D:$D,"Export",Database!$E:$E,$B124,Database!$C:$C,AE$1,Database!$F:$F,"Total")</f>
        <v>0</v>
      </c>
      <c r="AF124" s="137">
        <f>SUMIFS(Database!$G:$G,Database!$D:$D,"Export",Database!$E:$E,$B124,Database!$C:$C,AF$1,Database!$F:$F,"Total")</f>
        <v>0</v>
      </c>
      <c r="AG124" s="137">
        <f>SUMIFS(Database!$G:$G,Database!$D:$D,"Export",Database!$E:$E,$B124,Database!$C:$C,AG$1,Database!$F:$F,"Total")</f>
        <v>0</v>
      </c>
      <c r="AH124" s="137">
        <f>SUMIFS(Database!$G:$G,Database!$D:$D,"Export",Database!$E:$E,$B124,Database!$C:$C,AH$1,Database!$F:$F,"Total")</f>
        <v>0</v>
      </c>
      <c r="AI124" s="137">
        <f>SUMIFS(Database!$G:$G,Database!$D:$D,"Export",Database!$E:$E,$B124,Database!$C:$C,AI$1,Database!$F:$F,"Total")</f>
        <v>0</v>
      </c>
      <c r="AJ124" s="137">
        <f>SUMIFS(Database!$G:$G,Database!$D:$D,"Export",Database!$E:$E,$B124,Database!$C:$C,AJ$1,Database!$F:$F,"Total")</f>
        <v>70</v>
      </c>
      <c r="AK124" s="137">
        <f>SUMIFS(Database!$G:$G,Database!$D:$D,"Export",Database!$E:$E,$B124,Database!$C:$C,AK$1,Database!$F:$F,"Total")</f>
        <v>0</v>
      </c>
      <c r="AL124" s="137">
        <f>SUMIFS(Database!$G:$G,Database!$D:$D,"Export",Database!$E:$E,$B124,Database!$C:$C,AL$1,Database!$F:$F,"Total")</f>
        <v>0</v>
      </c>
      <c r="AM124" s="137">
        <f>SUMIFS(Database!$G:$G,Database!$D:$D,"Export",Database!$E:$E,$B124,Database!$C:$C,AM$1,Database!$F:$F,"Total")</f>
        <v>0</v>
      </c>
      <c r="AN124" s="137">
        <f>SUMIFS(Database!$G:$G,Database!$D:$D,"Export",Database!$E:$E,$B124,Database!$C:$C,AN$1,Database!$F:$F,"Total")</f>
        <v>0</v>
      </c>
      <c r="AO124" s="137">
        <f>SUMIFS(Database!$G:$G,Database!$D:$D,"Export",Database!$E:$E,$B124,Database!$C:$C,AO$1,Database!$F:$F,"Total")</f>
        <v>0</v>
      </c>
      <c r="AP124" s="137">
        <f>SUMIFS(Database!$G:$G,Database!$D:$D,"Export",Database!$E:$E,$B124,Database!$C:$C,AP$1,Database!$F:$F,"Total")</f>
        <v>0</v>
      </c>
      <c r="AQ124" s="137">
        <f>SUMIFS(Database!$G:$G,Database!$D:$D,"Export",Database!$E:$E,$B124,Database!$C:$C,AQ$1,Database!$F:$F,"Total")</f>
        <v>0</v>
      </c>
      <c r="AR124" s="137">
        <f>SUMIFS(Database!$G:$G,Database!$D:$D,"Export",Database!$E:$E,$B124,Database!$C:$C,AR$1,Database!$F:$F,"Total")</f>
        <v>0</v>
      </c>
      <c r="AS124" s="137">
        <f>SUMIFS(Database!$G:$G,Database!$D:$D,"Export",Database!$E:$E,$B124,Database!$C:$C,AS$1,Database!$F:$F,"Total")</f>
        <v>0</v>
      </c>
      <c r="AT124" s="137">
        <f>SUMIFS(Database!$G:$G,Database!$D:$D,"Export",Database!$E:$E,$B124,Database!$C:$C,AT$1,Database!$F:$F,"Total")</f>
        <v>0</v>
      </c>
      <c r="AU124" s="137">
        <f>SUMIFS(Database!$G:$G,Database!$D:$D,"Export",Database!$E:$E,$B124,Database!$C:$C,AU$1,Database!$F:$F,"Total")</f>
        <v>0</v>
      </c>
      <c r="AV124" s="137">
        <f>SUMIFS(Database!$G:$G,Database!$D:$D,"Export",Database!$E:$E,$B124,Database!$C:$C,AV$1,Database!$F:$F,"Total")</f>
        <v>0</v>
      </c>
      <c r="AW124" s="137">
        <f>SUMIFS(Database!$G:$G,Database!$D:$D,"Export",Database!$E:$E,$B124,Database!$C:$C,AW$1,Database!$F:$F,"Total")</f>
        <v>0</v>
      </c>
      <c r="AX124" s="137">
        <f>SUMIFS(Database!$G:$G,Database!$D:$D,"Export",Database!$E:$E,$B124,Database!$C:$C,AX$1,Database!$F:$F,"Total")</f>
        <v>0</v>
      </c>
      <c r="AY124" s="137">
        <f>SUMIFS(Database!$G:$G,Database!$D:$D,"Export",Database!$E:$E,$B124,Database!$C:$C,AY$1,Database!$F:$F,"Total")</f>
        <v>0</v>
      </c>
      <c r="AZ124" s="137">
        <f>SUMIFS(Database!$G:$G,Database!$D:$D,"Export",Database!$E:$E,$B124,Database!$C:$C,AZ$1,Database!$F:$F,"Total")</f>
        <v>0</v>
      </c>
      <c r="BA124" s="137">
        <f>SUMIFS(Database!$G:$G,Database!$D:$D,"Export",Database!$E:$E,$B124,Database!$C:$C,BA$1,Database!$F:$F,"Total")</f>
        <v>0</v>
      </c>
      <c r="BB124" s="137">
        <f>SUMIFS(Database!$G:$G,Database!$D:$D,"Export",Database!$E:$E,$B124,Database!$C:$C,BB$1,Database!$F:$F,"Total")</f>
        <v>0</v>
      </c>
      <c r="BC124" s="137">
        <f>SUMIFS(Database!$G:$G,Database!$D:$D,"Export",Database!$E:$E,$B124,Database!$C:$C,BC$1,Database!$F:$F,"Total")</f>
        <v>0</v>
      </c>
      <c r="BD124" s="137">
        <f>SUMIFS(Database!$G:$G,Database!$D:$D,"Export",Database!$E:$E,$B124,Database!$C:$C,BD$1,Database!$F:$F,"Total")</f>
        <v>0</v>
      </c>
      <c r="BE124" s="137">
        <f>SUMIFS(Database!$G:$G,Database!$D:$D,"Export",Database!$E:$E,$B124,Database!$C:$C,BE$1,Database!$F:$F,"Total")</f>
        <v>0</v>
      </c>
      <c r="BF124" s="137">
        <f>SUMIFS(Database!$G:$G,Database!$D:$D,"Export",Database!$E:$E,$B124,Database!$C:$C,BF$1,Database!$F:$F,"Total")</f>
        <v>0</v>
      </c>
      <c r="BG124" s="137">
        <f>SUMIFS(Database!$G:$G,Database!$D:$D,"Export",Database!$E:$E,$B124,Database!$C:$C,BG$1,Database!$F:$F,"Total")</f>
        <v>0</v>
      </c>
      <c r="BH124" s="137">
        <f>SUMIFS(Database!$G:$G,Database!$D:$D,"Export",Database!$E:$E,$B124,Database!$C:$C,BH$1,Database!$F:$F,"Total")</f>
        <v>0</v>
      </c>
      <c r="BI124" s="137">
        <f>SUMIFS(Database!$G:$G,Database!$D:$D,"Export",Database!$E:$E,$B124,Database!$C:$C,BI$1,Database!$F:$F,"Total")</f>
        <v>0</v>
      </c>
      <c r="BJ124" s="137">
        <f>SUMIFS(Database!$G:$G,Database!$D:$D,"Export",Database!$E:$E,$B124,Database!$C:$C,BJ$1,Database!$F:$F,"Total")</f>
        <v>0</v>
      </c>
      <c r="BK124" s="137">
        <f>SUMIFS(Database!$G:$G,Database!$D:$D,"Export",Database!$E:$E,$B124,Database!$C:$C,BK$1,Database!$F:$F,"Total")</f>
        <v>0</v>
      </c>
      <c r="BL124" s="137">
        <f>SUMIFS(Database!$G:$G,Database!$D:$D,"Export",Database!$E:$E,$B124,Database!$C:$C,BL$1,Database!$F:$F,"Total")</f>
        <v>0</v>
      </c>
      <c r="BM124" s="137">
        <f>SUMIFS(Database!$G:$G,Database!$D:$D,"Export",Database!$E:$E,$B124,Database!$C:$C,BM$1,Database!$F:$F,"Total")</f>
        <v>0</v>
      </c>
      <c r="BN124" s="137">
        <f>SUMIFS(Database!$G:$G,Database!$D:$D,"Export",Database!$E:$E,$B124,Database!$C:$C,BN$1,Database!$F:$F,"Total")</f>
        <v>0</v>
      </c>
      <c r="BO124" s="137">
        <f>SUMIFS(Database!$G:$G,Database!$D:$D,"Export",Database!$E:$E,$B124,Database!$C:$C,BO$1,Database!$F:$F,"Total")</f>
        <v>0</v>
      </c>
      <c r="BP124" s="137">
        <f>SUMIFS(Database!$G:$G,Database!$D:$D,"Export",Database!$E:$E,$B124,Database!$C:$C,BP$1,Database!$F:$F,"Total")</f>
        <v>0</v>
      </c>
      <c r="BQ124" s="137">
        <f>SUMIFS(Database!$G:$G,Database!$D:$D,"Export",Database!$E:$E,$B124,Database!$C:$C,BQ$1,Database!$F:$F,"Total")</f>
        <v>0</v>
      </c>
      <c r="BR124" s="137">
        <f>SUMIFS(Database!$G:$G,Database!$D:$D,"Export",Database!$E:$E,$B124,Database!$C:$C,BR$1,Database!$F:$F,"Total")</f>
        <v>0</v>
      </c>
      <c r="BS124" s="137">
        <f>SUMIFS(Database!$G:$G,Database!$D:$D,"Export",Database!$E:$E,$B124,Database!$C:$C,BS$1,Database!$F:$F,"Total")</f>
        <v>0</v>
      </c>
      <c r="BT124" s="137">
        <f>SUMIFS(Database!$G:$G,Database!$D:$D,"Export",Database!$E:$E,$B124,Database!$C:$C,BT$1,Database!$F:$F,"Total")</f>
        <v>0</v>
      </c>
      <c r="BU124" s="137">
        <f>SUMIFS(Database!$G:$G,Database!$D:$D,"Export",Database!$E:$E,$B124,Database!$C:$C,BU$1,Database!$F:$F,"Total")</f>
        <v>0</v>
      </c>
      <c r="BV124" s="137">
        <f>SUMIFS(Database!$G:$G,Database!$D:$D,"Export",Database!$E:$E,$B124,Database!$C:$C,BV$1,Database!$F:$F,"Total")</f>
        <v>0</v>
      </c>
      <c r="BW124" s="137">
        <f>SUMIFS(Database!$G:$G,Database!$D:$D,"Export",Database!$E:$E,$B124,Database!$C:$C,BW$1,Database!$F:$F,"Total")</f>
        <v>0</v>
      </c>
      <c r="BX124" s="137">
        <f>SUMIFS(Database!$G:$G,Database!$D:$D,"Export",Database!$E:$E,$B124,Database!$C:$C,BX$1,Database!$F:$F,"Total")</f>
        <v>0</v>
      </c>
      <c r="BY124" s="137">
        <f>SUMIFS(Database!$G:$G,Database!$D:$D,"Export",Database!$E:$E,$B124,Database!$C:$C,BY$1,Database!$F:$F,"Total")</f>
        <v>0</v>
      </c>
      <c r="BZ124" s="137">
        <f>SUMIFS(Database!$G:$G,Database!$D:$D,"Export",Database!$E:$E,$B124,Database!$C:$C,BZ$1,Database!$F:$F,"Total")</f>
        <v>0</v>
      </c>
      <c r="CA124" s="137">
        <f>SUMIFS(Database!$G:$G,Database!$D:$D,"Export",Database!$E:$E,$B124,Database!$C:$C,CA$1,Database!$F:$F,"Total")</f>
        <v>0</v>
      </c>
      <c r="CB124" s="137">
        <f>SUMIFS(Database!$G:$G,Database!$D:$D,"Export",Database!$E:$E,$B124,Database!$C:$C,CB$1,Database!$F:$F,"Total")</f>
        <v>0</v>
      </c>
      <c r="CC124" s="137">
        <f>SUMIFS(Database!$G:$G,Database!$D:$D,"Export",Database!$E:$E,$B124,Database!$C:$C,CC$1,Database!$F:$F,"Total")</f>
        <v>0</v>
      </c>
      <c r="CD124" s="137">
        <f>SUMIFS(Database!$G:$G,Database!$D:$D,"Export",Database!$E:$E,$B124,Database!$C:$C,CD$1,Database!$F:$F,"Total")</f>
        <v>0</v>
      </c>
      <c r="CE124" s="137">
        <f>SUMIFS(Database!$G:$G,Database!$D:$D,"Export",Database!$E:$E,$B124,Database!$C:$C,CE$1,Database!$F:$F,"Total")</f>
        <v>0</v>
      </c>
      <c r="CF124" s="137">
        <f>SUMIFS(Database!$G:$G,Database!$D:$D,"Export",Database!$E:$E,$B124,Database!$C:$C,CF$1,Database!$F:$F,"Total")</f>
        <v>0</v>
      </c>
      <c r="CG124" s="137">
        <f>SUMIFS(Database!$G:$G,Database!$D:$D,"Export",Database!$E:$E,$B124,Database!$C:$C,CG$1,Database!$F:$F,"Total")</f>
        <v>0</v>
      </c>
      <c r="CH124" s="137">
        <f>SUMIFS(Database!$G:$G,Database!$D:$D,"Export",Database!$E:$E,$B124,Database!$C:$C,CH$1,Database!$F:$F,"Total")</f>
        <v>0</v>
      </c>
      <c r="CI124" s="137">
        <f>SUMIFS(Database!$G:$G,Database!$D:$D,"Export",Database!$E:$E,$B124,Database!$C:$C,CI$1,Database!$F:$F,"Total")</f>
        <v>0</v>
      </c>
      <c r="CJ124" s="137">
        <f>SUMIFS(Database!$G:$G,Database!$D:$D,"Export",Database!$E:$E,$B124,Database!$C:$C,CJ$1,Database!$F:$F,"Total")</f>
        <v>0</v>
      </c>
      <c r="CK124" s="137">
        <f>SUMIFS(Database!$G:$G,Database!$D:$D,"Export",Database!$E:$E,$B124,Database!$C:$C,CK$1,Database!$F:$F,"Total")</f>
        <v>0</v>
      </c>
      <c r="CL124" s="137">
        <f>SUMIFS(Database!$G:$G,Database!$D:$D,"Export",Database!$E:$E,$B124,Database!$C:$C,CL$1,Database!$F:$F,"Total")</f>
        <v>0</v>
      </c>
      <c r="CM124" s="137">
        <f>SUMIFS(Database!$G:$G,Database!$D:$D,"Export",Database!$E:$E,$B124,Database!$C:$C,CM$1,Database!$F:$F,"Total")</f>
        <v>0</v>
      </c>
      <c r="CN124" s="137">
        <f>SUMIFS(Database!$G:$G,Database!$D:$D,"Export",Database!$E:$E,$B124,Database!$C:$C,CN$1,Database!$F:$F,"Total")</f>
        <v>0</v>
      </c>
      <c r="CO124" s="137">
        <f>SUMIFS(Database!$G:$G,Database!$D:$D,"Export",Database!$E:$E,$B124,Database!$C:$C,CO$1,Database!$F:$F,"Total")</f>
        <v>0</v>
      </c>
      <c r="CP124" s="137">
        <f>SUMIFS(Database!$G:$G,Database!$D:$D,"Export",Database!$E:$E,$B124,Database!$C:$C,CP$1,Database!$F:$F,"Total")</f>
        <v>0</v>
      </c>
      <c r="CQ124" s="137">
        <f>SUMIFS(Database!$G:$G,Database!$D:$D,"Export",Database!$E:$E,$B124,Database!$C:$C,CQ$1,Database!$F:$F,"Total")</f>
        <v>0</v>
      </c>
      <c r="CR124" s="137">
        <f>SUMIFS(Database!$G:$G,Database!$D:$D,"Export",Database!$E:$E,$B124,Database!$C:$C,CR$1,Database!$F:$F,"Total")</f>
        <v>0</v>
      </c>
      <c r="CS124" s="137">
        <f>SUMIFS(Database!$G:$G,Database!$D:$D,"Export",Database!$E:$E,$B124,Database!$C:$C,CS$1,Database!$F:$F,"Total")</f>
        <v>0</v>
      </c>
      <c r="CT124" s="137">
        <f>SUMIFS(Database!$G:$G,Database!$D:$D,"Export",Database!$E:$E,$B124,Database!$C:$C,CT$1,Database!$F:$F,"Total")</f>
        <v>0</v>
      </c>
      <c r="CU124" s="137">
        <f>SUMIFS(Database!$G:$G,Database!$D:$D,"Export",Database!$E:$E,$B124,Database!$C:$C,CU$1,Database!$F:$F,"Total")</f>
        <v>0</v>
      </c>
    </row>
    <row r="125" spans="1:99" x14ac:dyDescent="0.25">
      <c r="A125" s="132" t="s">
        <v>485</v>
      </c>
      <c r="B125" s="133" t="s">
        <v>127</v>
      </c>
      <c r="C125" s="137">
        <f>SUMIFS(Database!$G:$G,Database!$D:$D,"Export",Database!$E:$E,$B125,Database!$C:$C,C$1,Database!$F:$F,"Total")</f>
        <v>0</v>
      </c>
      <c r="D125" s="137">
        <f>SUMIFS(Database!$G:$G,Database!$D:$D,"Export",Database!$E:$E,$B125,Database!$C:$C,D$1,Database!$F:$F,"Total")</f>
        <v>0</v>
      </c>
      <c r="E125" s="137">
        <f>SUMIFS(Database!$G:$G,Database!$D:$D,"Export",Database!$E:$E,$B125,Database!$C:$C,E$1,Database!$F:$F,"Total")</f>
        <v>0</v>
      </c>
      <c r="F125" s="137">
        <f>SUMIFS(Database!$G:$G,Database!$D:$D,"Export",Database!$E:$E,$B125,Database!$C:$C,F$1,Database!$F:$F,"Total")</f>
        <v>0</v>
      </c>
      <c r="G125" s="137">
        <f>SUMIFS(Database!$G:$G,Database!$D:$D,"Export",Database!$E:$E,$B125,Database!$C:$C,G$1,Database!$F:$F,"Total")</f>
        <v>0</v>
      </c>
      <c r="H125" s="137">
        <f>SUMIFS(Database!$G:$G,Database!$D:$D,"Export",Database!$E:$E,$B125,Database!$C:$C,H$1,Database!$F:$F,"Total")</f>
        <v>0</v>
      </c>
      <c r="I125" s="137">
        <f>SUMIFS(Database!$G:$G,Database!$D:$D,"Export",Database!$E:$E,$B125,Database!$C:$C,I$1,Database!$F:$F,"Total")</f>
        <v>0</v>
      </c>
      <c r="J125" s="137">
        <f>SUMIFS(Database!$G:$G,Database!$D:$D,"Export",Database!$E:$E,$B125,Database!$C:$C,J$1,Database!$F:$F,"Total")</f>
        <v>0</v>
      </c>
      <c r="K125" s="137">
        <f>SUMIFS(Database!$G:$G,Database!$D:$D,"Export",Database!$E:$E,$B125,Database!$C:$C,K$1,Database!$F:$F,"Total")</f>
        <v>0</v>
      </c>
      <c r="L125" s="137">
        <f>SUMIFS(Database!$G:$G,Database!$D:$D,"Export",Database!$E:$E,$B125,Database!$C:$C,L$1,Database!$F:$F,"Total")</f>
        <v>0</v>
      </c>
      <c r="M125" s="137">
        <f>SUMIFS(Database!$G:$G,Database!$D:$D,"Export",Database!$E:$E,$B125,Database!$C:$C,M$1,Database!$F:$F,"Total")</f>
        <v>0</v>
      </c>
      <c r="N125" s="137">
        <f>SUMIFS(Database!$G:$G,Database!$D:$D,"Export",Database!$E:$E,$B125,Database!$C:$C,N$1,Database!$F:$F,"Total")</f>
        <v>0</v>
      </c>
      <c r="O125" s="137">
        <f>SUMIFS(Database!$G:$G,Database!$D:$D,"Export",Database!$E:$E,$B125,Database!$C:$C,O$1,Database!$F:$F,"Total")</f>
        <v>0</v>
      </c>
      <c r="P125" s="137">
        <f>SUMIFS(Database!$G:$G,Database!$D:$D,"Export",Database!$E:$E,$B125,Database!$C:$C,P$1,Database!$F:$F,"Total")</f>
        <v>0</v>
      </c>
      <c r="Q125" s="137">
        <f>SUMIFS(Database!$G:$G,Database!$D:$D,"Export",Database!$E:$E,$B125,Database!$C:$C,Q$1,Database!$F:$F,"Total")</f>
        <v>0</v>
      </c>
      <c r="R125" s="137">
        <f>SUMIFS(Database!$G:$G,Database!$D:$D,"Export",Database!$E:$E,$B125,Database!$C:$C,R$1,Database!$F:$F,"Total")</f>
        <v>0</v>
      </c>
      <c r="S125" s="137">
        <f>SUMIFS(Database!$G:$G,Database!$D:$D,"Export",Database!$E:$E,$B125,Database!$C:$C,S$1,Database!$F:$F,"Total")</f>
        <v>0</v>
      </c>
      <c r="T125" s="137">
        <f>SUMIFS(Database!$G:$G,Database!$D:$D,"Export",Database!$E:$E,$B125,Database!$C:$C,T$1,Database!$F:$F,"Total")</f>
        <v>0</v>
      </c>
      <c r="U125" s="137">
        <f>SUMIFS(Database!$G:$G,Database!$D:$D,"Export",Database!$E:$E,$B125,Database!$C:$C,U$1,Database!$F:$F,"Total")</f>
        <v>0</v>
      </c>
      <c r="V125" s="137">
        <f>SUMIFS(Database!$G:$G,Database!$D:$D,"Export",Database!$E:$E,$B125,Database!$C:$C,V$1,Database!$F:$F,"Total")</f>
        <v>0</v>
      </c>
      <c r="W125" s="137">
        <f>SUMIFS(Database!$G:$G,Database!$D:$D,"Export",Database!$E:$E,$B125,Database!$C:$C,W$1,Database!$F:$F,"Total")</f>
        <v>0</v>
      </c>
      <c r="X125" s="137">
        <f>SUMIFS(Database!$G:$G,Database!$D:$D,"Export",Database!$E:$E,$B125,Database!$C:$C,X$1,Database!$F:$F,"Total")</f>
        <v>0</v>
      </c>
      <c r="Y125" s="137">
        <f>SUMIFS(Database!$G:$G,Database!$D:$D,"Export",Database!$E:$E,$B125,Database!$C:$C,Y$1,Database!$F:$F,"Total")</f>
        <v>0</v>
      </c>
      <c r="Z125" s="137">
        <f>SUMIFS(Database!$G:$G,Database!$D:$D,"Export",Database!$E:$E,$B125,Database!$C:$C,Z$1,Database!$F:$F,"Total")</f>
        <v>0</v>
      </c>
      <c r="AA125" s="137">
        <f>SUMIFS(Database!$G:$G,Database!$D:$D,"Export",Database!$E:$E,$B125,Database!$C:$C,AA$1,Database!$F:$F,"Total")</f>
        <v>0</v>
      </c>
      <c r="AB125" s="137">
        <f>SUMIFS(Database!$G:$G,Database!$D:$D,"Export",Database!$E:$E,$B125,Database!$C:$C,AB$1,Database!$F:$F,"Total")</f>
        <v>0</v>
      </c>
      <c r="AC125" s="137">
        <f>SUMIFS(Database!$G:$G,Database!$D:$D,"Export",Database!$E:$E,$B125,Database!$C:$C,AC$1,Database!$F:$F,"Total")</f>
        <v>0</v>
      </c>
      <c r="AD125" s="137">
        <f>SUMIFS(Database!$G:$G,Database!$D:$D,"Export",Database!$E:$E,$B125,Database!$C:$C,AD$1,Database!$F:$F,"Total")</f>
        <v>0</v>
      </c>
      <c r="AE125" s="137">
        <f>SUMIFS(Database!$G:$G,Database!$D:$D,"Export",Database!$E:$E,$B125,Database!$C:$C,AE$1,Database!$F:$F,"Total")</f>
        <v>0</v>
      </c>
      <c r="AF125" s="137">
        <f>SUMIFS(Database!$G:$G,Database!$D:$D,"Export",Database!$E:$E,$B125,Database!$C:$C,AF$1,Database!$F:$F,"Total")</f>
        <v>0</v>
      </c>
      <c r="AG125" s="137">
        <f>SUMIFS(Database!$G:$G,Database!$D:$D,"Export",Database!$E:$E,$B125,Database!$C:$C,AG$1,Database!$F:$F,"Total")</f>
        <v>0</v>
      </c>
      <c r="AH125" s="137">
        <f>SUMIFS(Database!$G:$G,Database!$D:$D,"Export",Database!$E:$E,$B125,Database!$C:$C,AH$1,Database!$F:$F,"Total")</f>
        <v>0</v>
      </c>
      <c r="AI125" s="137">
        <f>SUMIFS(Database!$G:$G,Database!$D:$D,"Export",Database!$E:$E,$B125,Database!$C:$C,AI$1,Database!$F:$F,"Total")</f>
        <v>0</v>
      </c>
      <c r="AJ125" s="137">
        <f>SUMIFS(Database!$G:$G,Database!$D:$D,"Export",Database!$E:$E,$B125,Database!$C:$C,AJ$1,Database!$F:$F,"Total")</f>
        <v>0</v>
      </c>
      <c r="AK125" s="137">
        <f>SUMIFS(Database!$G:$G,Database!$D:$D,"Export",Database!$E:$E,$B125,Database!$C:$C,AK$1,Database!$F:$F,"Total")</f>
        <v>0</v>
      </c>
      <c r="AL125" s="137">
        <f>SUMIFS(Database!$G:$G,Database!$D:$D,"Export",Database!$E:$E,$B125,Database!$C:$C,AL$1,Database!$F:$F,"Total")</f>
        <v>0</v>
      </c>
      <c r="AM125" s="137">
        <f>SUMIFS(Database!$G:$G,Database!$D:$D,"Export",Database!$E:$E,$B125,Database!$C:$C,AM$1,Database!$F:$F,"Total")</f>
        <v>0</v>
      </c>
      <c r="AN125" s="137">
        <f>SUMIFS(Database!$G:$G,Database!$D:$D,"Export",Database!$E:$E,$B125,Database!$C:$C,AN$1,Database!$F:$F,"Total")</f>
        <v>0</v>
      </c>
      <c r="AO125" s="137">
        <f>SUMIFS(Database!$G:$G,Database!$D:$D,"Export",Database!$E:$E,$B125,Database!$C:$C,AO$1,Database!$F:$F,"Total")</f>
        <v>0</v>
      </c>
      <c r="AP125" s="137">
        <f>SUMIFS(Database!$G:$G,Database!$D:$D,"Export",Database!$E:$E,$B125,Database!$C:$C,AP$1,Database!$F:$F,"Total")</f>
        <v>0</v>
      </c>
      <c r="AQ125" s="137">
        <f>SUMIFS(Database!$G:$G,Database!$D:$D,"Export",Database!$E:$E,$B125,Database!$C:$C,AQ$1,Database!$F:$F,"Total")</f>
        <v>0</v>
      </c>
      <c r="AR125" s="137">
        <f>SUMIFS(Database!$G:$G,Database!$D:$D,"Export",Database!$E:$E,$B125,Database!$C:$C,AR$1,Database!$F:$F,"Total")</f>
        <v>0</v>
      </c>
      <c r="AS125" s="137">
        <f>SUMIFS(Database!$G:$G,Database!$D:$D,"Export",Database!$E:$E,$B125,Database!$C:$C,AS$1,Database!$F:$F,"Total")</f>
        <v>0</v>
      </c>
      <c r="AT125" s="137">
        <f>SUMIFS(Database!$G:$G,Database!$D:$D,"Export",Database!$E:$E,$B125,Database!$C:$C,AT$1,Database!$F:$F,"Total")</f>
        <v>0</v>
      </c>
      <c r="AU125" s="137">
        <f>SUMIFS(Database!$G:$G,Database!$D:$D,"Export",Database!$E:$E,$B125,Database!$C:$C,AU$1,Database!$F:$F,"Total")</f>
        <v>0</v>
      </c>
      <c r="AV125" s="137">
        <f>SUMIFS(Database!$G:$G,Database!$D:$D,"Export",Database!$E:$E,$B125,Database!$C:$C,AV$1,Database!$F:$F,"Total")</f>
        <v>0</v>
      </c>
      <c r="AW125" s="137">
        <f>SUMIFS(Database!$G:$G,Database!$D:$D,"Export",Database!$E:$E,$B125,Database!$C:$C,AW$1,Database!$F:$F,"Total")</f>
        <v>0</v>
      </c>
      <c r="AX125" s="137">
        <f>SUMIFS(Database!$G:$G,Database!$D:$D,"Export",Database!$E:$E,$B125,Database!$C:$C,AX$1,Database!$F:$F,"Total")</f>
        <v>0</v>
      </c>
      <c r="AY125" s="137">
        <f>SUMIFS(Database!$G:$G,Database!$D:$D,"Export",Database!$E:$E,$B125,Database!$C:$C,AY$1,Database!$F:$F,"Total")</f>
        <v>0</v>
      </c>
      <c r="AZ125" s="137">
        <f>SUMIFS(Database!$G:$G,Database!$D:$D,"Export",Database!$E:$E,$B125,Database!$C:$C,AZ$1,Database!$F:$F,"Total")</f>
        <v>0</v>
      </c>
      <c r="BA125" s="137">
        <f>SUMIFS(Database!$G:$G,Database!$D:$D,"Export",Database!$E:$E,$B125,Database!$C:$C,BA$1,Database!$F:$F,"Total")</f>
        <v>0</v>
      </c>
      <c r="BB125" s="137">
        <f>SUMIFS(Database!$G:$G,Database!$D:$D,"Export",Database!$E:$E,$B125,Database!$C:$C,BB$1,Database!$F:$F,"Total")</f>
        <v>0</v>
      </c>
      <c r="BC125" s="137">
        <f>SUMIFS(Database!$G:$G,Database!$D:$D,"Export",Database!$E:$E,$B125,Database!$C:$C,BC$1,Database!$F:$F,"Total")</f>
        <v>0</v>
      </c>
      <c r="BD125" s="137">
        <f>SUMIFS(Database!$G:$G,Database!$D:$D,"Export",Database!$E:$E,$B125,Database!$C:$C,BD$1,Database!$F:$F,"Total")</f>
        <v>0</v>
      </c>
      <c r="BE125" s="137">
        <f>SUMIFS(Database!$G:$G,Database!$D:$D,"Export",Database!$E:$E,$B125,Database!$C:$C,BE$1,Database!$F:$F,"Total")</f>
        <v>0</v>
      </c>
      <c r="BF125" s="137">
        <f>SUMIFS(Database!$G:$G,Database!$D:$D,"Export",Database!$E:$E,$B125,Database!$C:$C,BF$1,Database!$F:$F,"Total")</f>
        <v>0</v>
      </c>
      <c r="BG125" s="137">
        <f>SUMIFS(Database!$G:$G,Database!$D:$D,"Export",Database!$E:$E,$B125,Database!$C:$C,BG$1,Database!$F:$F,"Total")</f>
        <v>0</v>
      </c>
      <c r="BH125" s="137">
        <f>SUMIFS(Database!$G:$G,Database!$D:$D,"Export",Database!$E:$E,$B125,Database!$C:$C,BH$1,Database!$F:$F,"Total")</f>
        <v>0</v>
      </c>
      <c r="BI125" s="137">
        <f>SUMIFS(Database!$G:$G,Database!$D:$D,"Export",Database!$E:$E,$B125,Database!$C:$C,BI$1,Database!$F:$F,"Total")</f>
        <v>0</v>
      </c>
      <c r="BJ125" s="137">
        <f>SUMIFS(Database!$G:$G,Database!$D:$D,"Export",Database!$E:$E,$B125,Database!$C:$C,BJ$1,Database!$F:$F,"Total")</f>
        <v>253</v>
      </c>
      <c r="BK125" s="137">
        <f>SUMIFS(Database!$G:$G,Database!$D:$D,"Export",Database!$E:$E,$B125,Database!$C:$C,BK$1,Database!$F:$F,"Total")</f>
        <v>293</v>
      </c>
      <c r="BL125" s="137">
        <f>SUMIFS(Database!$G:$G,Database!$D:$D,"Export",Database!$E:$E,$B125,Database!$C:$C,BL$1,Database!$F:$F,"Total")</f>
        <v>0</v>
      </c>
      <c r="BM125" s="137">
        <f>SUMIFS(Database!$G:$G,Database!$D:$D,"Export",Database!$E:$E,$B125,Database!$C:$C,BM$1,Database!$F:$F,"Total")</f>
        <v>0</v>
      </c>
      <c r="BN125" s="137">
        <f>SUMIFS(Database!$G:$G,Database!$D:$D,"Export",Database!$E:$E,$B125,Database!$C:$C,BN$1,Database!$F:$F,"Total")</f>
        <v>76</v>
      </c>
      <c r="BO125" s="137">
        <f>SUMIFS(Database!$G:$G,Database!$D:$D,"Export",Database!$E:$E,$B125,Database!$C:$C,BO$1,Database!$F:$F,"Total")</f>
        <v>0</v>
      </c>
      <c r="BP125" s="137">
        <f>SUMIFS(Database!$G:$G,Database!$D:$D,"Export",Database!$E:$E,$B125,Database!$C:$C,BP$1,Database!$F:$F,"Total")</f>
        <v>78</v>
      </c>
      <c r="BQ125" s="137">
        <f>SUMIFS(Database!$G:$G,Database!$D:$D,"Export",Database!$E:$E,$B125,Database!$C:$C,BQ$1,Database!$F:$F,"Total")</f>
        <v>1098</v>
      </c>
      <c r="BR125" s="137">
        <f>SUMIFS(Database!$G:$G,Database!$D:$D,"Export",Database!$E:$E,$B125,Database!$C:$C,BR$1,Database!$F:$F,"Total")</f>
        <v>240</v>
      </c>
      <c r="BS125" s="137">
        <f>SUMIFS(Database!$G:$G,Database!$D:$D,"Export",Database!$E:$E,$B125,Database!$C:$C,BS$1,Database!$F:$F,"Total")</f>
        <v>48</v>
      </c>
      <c r="BT125" s="137">
        <f>SUMIFS(Database!$G:$G,Database!$D:$D,"Export",Database!$E:$E,$B125,Database!$C:$C,BT$1,Database!$F:$F,"Total")</f>
        <v>48</v>
      </c>
      <c r="BU125" s="137">
        <f>SUMIFS(Database!$G:$G,Database!$D:$D,"Export",Database!$E:$E,$B125,Database!$C:$C,BU$1,Database!$F:$F,"Total")</f>
        <v>1503</v>
      </c>
      <c r="BV125" s="137">
        <f>SUMIFS(Database!$G:$G,Database!$D:$D,"Export",Database!$E:$E,$B125,Database!$C:$C,BV$1,Database!$F:$F,"Total")</f>
        <v>0</v>
      </c>
      <c r="BW125" s="137">
        <f>SUMIFS(Database!$G:$G,Database!$D:$D,"Export",Database!$E:$E,$B125,Database!$C:$C,BW$1,Database!$F:$F,"Total")</f>
        <v>0</v>
      </c>
      <c r="BX125" s="137">
        <f>SUMIFS(Database!$G:$G,Database!$D:$D,"Export",Database!$E:$E,$B125,Database!$C:$C,BX$1,Database!$F:$F,"Total")</f>
        <v>0</v>
      </c>
      <c r="BY125" s="137">
        <f>SUMIFS(Database!$G:$G,Database!$D:$D,"Export",Database!$E:$E,$B125,Database!$C:$C,BY$1,Database!$F:$F,"Total")</f>
        <v>0</v>
      </c>
      <c r="BZ125" s="137">
        <f>SUMIFS(Database!$G:$G,Database!$D:$D,"Export",Database!$E:$E,$B125,Database!$C:$C,BZ$1,Database!$F:$F,"Total")</f>
        <v>0</v>
      </c>
      <c r="CA125" s="137">
        <f>SUMIFS(Database!$G:$G,Database!$D:$D,"Export",Database!$E:$E,$B125,Database!$C:$C,CA$1,Database!$F:$F,"Total")</f>
        <v>0</v>
      </c>
      <c r="CB125" s="137">
        <f>SUMIFS(Database!$G:$G,Database!$D:$D,"Export",Database!$E:$E,$B125,Database!$C:$C,CB$1,Database!$F:$F,"Total")</f>
        <v>0</v>
      </c>
      <c r="CC125" s="137">
        <f>SUMIFS(Database!$G:$G,Database!$D:$D,"Export",Database!$E:$E,$B125,Database!$C:$C,CC$1,Database!$F:$F,"Total")</f>
        <v>0</v>
      </c>
      <c r="CD125" s="137">
        <f>SUMIFS(Database!$G:$G,Database!$D:$D,"Export",Database!$E:$E,$B125,Database!$C:$C,CD$1,Database!$F:$F,"Total")</f>
        <v>0</v>
      </c>
      <c r="CE125" s="137">
        <f>SUMIFS(Database!$G:$G,Database!$D:$D,"Export",Database!$E:$E,$B125,Database!$C:$C,CE$1,Database!$F:$F,"Total")</f>
        <v>0</v>
      </c>
      <c r="CF125" s="137">
        <f>SUMIFS(Database!$G:$G,Database!$D:$D,"Export",Database!$E:$E,$B125,Database!$C:$C,CF$1,Database!$F:$F,"Total")</f>
        <v>0</v>
      </c>
      <c r="CG125" s="137">
        <f>SUMIFS(Database!$G:$G,Database!$D:$D,"Export",Database!$E:$E,$B125,Database!$C:$C,CG$1,Database!$F:$F,"Total")</f>
        <v>0</v>
      </c>
      <c r="CH125" s="137">
        <f>SUMIFS(Database!$G:$G,Database!$D:$D,"Export",Database!$E:$E,$B125,Database!$C:$C,CH$1,Database!$F:$F,"Total")</f>
        <v>0</v>
      </c>
      <c r="CI125" s="137">
        <f>SUMIFS(Database!$G:$G,Database!$D:$D,"Export",Database!$E:$E,$B125,Database!$C:$C,CI$1,Database!$F:$F,"Total")</f>
        <v>0</v>
      </c>
      <c r="CJ125" s="137">
        <f>SUMIFS(Database!$G:$G,Database!$D:$D,"Export",Database!$E:$E,$B125,Database!$C:$C,CJ$1,Database!$F:$F,"Total")</f>
        <v>0</v>
      </c>
      <c r="CK125" s="137">
        <f>SUMIFS(Database!$G:$G,Database!$D:$D,"Export",Database!$E:$E,$B125,Database!$C:$C,CK$1,Database!$F:$F,"Total")</f>
        <v>0</v>
      </c>
      <c r="CL125" s="137">
        <f>SUMIFS(Database!$G:$G,Database!$D:$D,"Export",Database!$E:$E,$B125,Database!$C:$C,CL$1,Database!$F:$F,"Total")</f>
        <v>0</v>
      </c>
      <c r="CM125" s="137">
        <f>SUMIFS(Database!$G:$G,Database!$D:$D,"Export",Database!$E:$E,$B125,Database!$C:$C,CM$1,Database!$F:$F,"Total")</f>
        <v>0</v>
      </c>
      <c r="CN125" s="137">
        <f>SUMIFS(Database!$G:$G,Database!$D:$D,"Export",Database!$E:$E,$B125,Database!$C:$C,CN$1,Database!$F:$F,"Total")</f>
        <v>0</v>
      </c>
      <c r="CO125" s="137">
        <f>SUMIFS(Database!$G:$G,Database!$D:$D,"Export",Database!$E:$E,$B125,Database!$C:$C,CO$1,Database!$F:$F,"Total")</f>
        <v>0</v>
      </c>
      <c r="CP125" s="137">
        <f>SUMIFS(Database!$G:$G,Database!$D:$D,"Export",Database!$E:$E,$B125,Database!$C:$C,CP$1,Database!$F:$F,"Total")</f>
        <v>0</v>
      </c>
      <c r="CQ125" s="137">
        <f>SUMIFS(Database!$G:$G,Database!$D:$D,"Export",Database!$E:$E,$B125,Database!$C:$C,CQ$1,Database!$F:$F,"Total")</f>
        <v>0</v>
      </c>
      <c r="CR125" s="137">
        <f>SUMIFS(Database!$G:$G,Database!$D:$D,"Export",Database!$E:$E,$B125,Database!$C:$C,CR$1,Database!$F:$F,"Total")</f>
        <v>0</v>
      </c>
      <c r="CS125" s="137">
        <f>SUMIFS(Database!$G:$G,Database!$D:$D,"Export",Database!$E:$E,$B125,Database!$C:$C,CS$1,Database!$F:$F,"Total")</f>
        <v>0</v>
      </c>
      <c r="CT125" s="137">
        <f>SUMIFS(Database!$G:$G,Database!$D:$D,"Export",Database!$E:$E,$B125,Database!$C:$C,CT$1,Database!$F:$F,"Total")</f>
        <v>0</v>
      </c>
      <c r="CU125" s="137">
        <f>SUMIFS(Database!$G:$G,Database!$D:$D,"Export",Database!$E:$E,$B125,Database!$C:$C,CU$1,Database!$F:$F,"Total")</f>
        <v>0</v>
      </c>
    </row>
    <row r="126" spans="1:99" x14ac:dyDescent="0.25">
      <c r="A126" s="132" t="s">
        <v>485</v>
      </c>
      <c r="B126" s="133" t="s">
        <v>292</v>
      </c>
      <c r="C126" s="137">
        <f>SUMIFS(Database!$G:$G,Database!$D:$D,"Export",Database!$E:$E,$B126,Database!$C:$C,C$1,Database!$F:$F,"Total")</f>
        <v>0</v>
      </c>
      <c r="D126" s="137">
        <f>SUMIFS(Database!$G:$G,Database!$D:$D,"Export",Database!$E:$E,$B126,Database!$C:$C,D$1,Database!$F:$F,"Total")</f>
        <v>0</v>
      </c>
      <c r="E126" s="137">
        <f>SUMIFS(Database!$G:$G,Database!$D:$D,"Export",Database!$E:$E,$B126,Database!$C:$C,E$1,Database!$F:$F,"Total")</f>
        <v>0</v>
      </c>
      <c r="F126" s="137">
        <f>SUMIFS(Database!$G:$G,Database!$D:$D,"Export",Database!$E:$E,$B126,Database!$C:$C,F$1,Database!$F:$F,"Total")</f>
        <v>0</v>
      </c>
      <c r="G126" s="137">
        <f>SUMIFS(Database!$G:$G,Database!$D:$D,"Export",Database!$E:$E,$B126,Database!$C:$C,G$1,Database!$F:$F,"Total")</f>
        <v>0</v>
      </c>
      <c r="H126" s="137">
        <f>SUMIFS(Database!$G:$G,Database!$D:$D,"Export",Database!$E:$E,$B126,Database!$C:$C,H$1,Database!$F:$F,"Total")</f>
        <v>0</v>
      </c>
      <c r="I126" s="137">
        <f>SUMIFS(Database!$G:$G,Database!$D:$D,"Export",Database!$E:$E,$B126,Database!$C:$C,I$1,Database!$F:$F,"Total")</f>
        <v>0</v>
      </c>
      <c r="J126" s="137">
        <f>SUMIFS(Database!$G:$G,Database!$D:$D,"Export",Database!$E:$E,$B126,Database!$C:$C,J$1,Database!$F:$F,"Total")</f>
        <v>0</v>
      </c>
      <c r="K126" s="137">
        <f>SUMIFS(Database!$G:$G,Database!$D:$D,"Export",Database!$E:$E,$B126,Database!$C:$C,K$1,Database!$F:$F,"Total")</f>
        <v>0</v>
      </c>
      <c r="L126" s="137">
        <f>SUMIFS(Database!$G:$G,Database!$D:$D,"Export",Database!$E:$E,$B126,Database!$C:$C,L$1,Database!$F:$F,"Total")</f>
        <v>0</v>
      </c>
      <c r="M126" s="137">
        <f>SUMIFS(Database!$G:$G,Database!$D:$D,"Export",Database!$E:$E,$B126,Database!$C:$C,M$1,Database!$F:$F,"Total")</f>
        <v>0</v>
      </c>
      <c r="N126" s="137">
        <f>SUMIFS(Database!$G:$G,Database!$D:$D,"Export",Database!$E:$E,$B126,Database!$C:$C,N$1,Database!$F:$F,"Total")</f>
        <v>0</v>
      </c>
      <c r="O126" s="137">
        <f>SUMIFS(Database!$G:$G,Database!$D:$D,"Export",Database!$E:$E,$B126,Database!$C:$C,O$1,Database!$F:$F,"Total")</f>
        <v>0</v>
      </c>
      <c r="P126" s="137">
        <f>SUMIFS(Database!$G:$G,Database!$D:$D,"Export",Database!$E:$E,$B126,Database!$C:$C,P$1,Database!$F:$F,"Total")</f>
        <v>0</v>
      </c>
      <c r="Q126" s="137">
        <f>SUMIFS(Database!$G:$G,Database!$D:$D,"Export",Database!$E:$E,$B126,Database!$C:$C,Q$1,Database!$F:$F,"Total")</f>
        <v>0</v>
      </c>
      <c r="R126" s="137">
        <f>SUMIFS(Database!$G:$G,Database!$D:$D,"Export",Database!$E:$E,$B126,Database!$C:$C,R$1,Database!$F:$F,"Total")</f>
        <v>0</v>
      </c>
      <c r="S126" s="137">
        <f>SUMIFS(Database!$G:$G,Database!$D:$D,"Export",Database!$E:$E,$B126,Database!$C:$C,S$1,Database!$F:$F,"Total")</f>
        <v>0</v>
      </c>
      <c r="T126" s="137">
        <f>SUMIFS(Database!$G:$G,Database!$D:$D,"Export",Database!$E:$E,$B126,Database!$C:$C,T$1,Database!$F:$F,"Total")</f>
        <v>0</v>
      </c>
      <c r="U126" s="137">
        <f>SUMIFS(Database!$G:$G,Database!$D:$D,"Export",Database!$E:$E,$B126,Database!$C:$C,U$1,Database!$F:$F,"Total")</f>
        <v>0</v>
      </c>
      <c r="V126" s="137">
        <f>SUMIFS(Database!$G:$G,Database!$D:$D,"Export",Database!$E:$E,$B126,Database!$C:$C,V$1,Database!$F:$F,"Total")</f>
        <v>0</v>
      </c>
      <c r="W126" s="137">
        <f>SUMIFS(Database!$G:$G,Database!$D:$D,"Export",Database!$E:$E,$B126,Database!$C:$C,W$1,Database!$F:$F,"Total")</f>
        <v>0</v>
      </c>
      <c r="X126" s="137">
        <f>SUMIFS(Database!$G:$G,Database!$D:$D,"Export",Database!$E:$E,$B126,Database!$C:$C,X$1,Database!$F:$F,"Total")</f>
        <v>0</v>
      </c>
      <c r="Y126" s="137">
        <f>SUMIFS(Database!$G:$G,Database!$D:$D,"Export",Database!$E:$E,$B126,Database!$C:$C,Y$1,Database!$F:$F,"Total")</f>
        <v>0</v>
      </c>
      <c r="Z126" s="137">
        <f>SUMIFS(Database!$G:$G,Database!$D:$D,"Export",Database!$E:$E,$B126,Database!$C:$C,Z$1,Database!$F:$F,"Total")</f>
        <v>0</v>
      </c>
      <c r="AA126" s="137">
        <f>SUMIFS(Database!$G:$G,Database!$D:$D,"Export",Database!$E:$E,$B126,Database!$C:$C,AA$1,Database!$F:$F,"Total")</f>
        <v>0</v>
      </c>
      <c r="AB126" s="137">
        <f>SUMIFS(Database!$G:$G,Database!$D:$D,"Export",Database!$E:$E,$B126,Database!$C:$C,AB$1,Database!$F:$F,"Total")</f>
        <v>0</v>
      </c>
      <c r="AC126" s="137">
        <f>SUMIFS(Database!$G:$G,Database!$D:$D,"Export",Database!$E:$E,$B126,Database!$C:$C,AC$1,Database!$F:$F,"Total")</f>
        <v>0</v>
      </c>
      <c r="AD126" s="137">
        <f>SUMIFS(Database!$G:$G,Database!$D:$D,"Export",Database!$E:$E,$B126,Database!$C:$C,AD$1,Database!$F:$F,"Total")</f>
        <v>0</v>
      </c>
      <c r="AE126" s="137">
        <f>SUMIFS(Database!$G:$G,Database!$D:$D,"Export",Database!$E:$E,$B126,Database!$C:$C,AE$1,Database!$F:$F,"Total")</f>
        <v>0</v>
      </c>
      <c r="AF126" s="137">
        <f>SUMIFS(Database!$G:$G,Database!$D:$D,"Export",Database!$E:$E,$B126,Database!$C:$C,AF$1,Database!$F:$F,"Total")</f>
        <v>2859</v>
      </c>
      <c r="AG126" s="137">
        <f>SUMIFS(Database!$G:$G,Database!$D:$D,"Export",Database!$E:$E,$B126,Database!$C:$C,AG$1,Database!$F:$F,"Total")</f>
        <v>0</v>
      </c>
      <c r="AH126" s="137">
        <f>SUMIFS(Database!$G:$G,Database!$D:$D,"Export",Database!$E:$E,$B126,Database!$C:$C,AH$1,Database!$F:$F,"Total")</f>
        <v>0</v>
      </c>
      <c r="AI126" s="137">
        <f>SUMIFS(Database!$G:$G,Database!$D:$D,"Export",Database!$E:$E,$B126,Database!$C:$C,AI$1,Database!$F:$F,"Total")</f>
        <v>0</v>
      </c>
      <c r="AJ126" s="137">
        <f>SUMIFS(Database!$G:$G,Database!$D:$D,"Export",Database!$E:$E,$B126,Database!$C:$C,AJ$1,Database!$F:$F,"Total")</f>
        <v>0</v>
      </c>
      <c r="AK126" s="137">
        <f>SUMIFS(Database!$G:$G,Database!$D:$D,"Export",Database!$E:$E,$B126,Database!$C:$C,AK$1,Database!$F:$F,"Total")</f>
        <v>0</v>
      </c>
      <c r="AL126" s="137">
        <f>SUMIFS(Database!$G:$G,Database!$D:$D,"Export",Database!$E:$E,$B126,Database!$C:$C,AL$1,Database!$F:$F,"Total")</f>
        <v>0</v>
      </c>
      <c r="AM126" s="137">
        <f>SUMIFS(Database!$G:$G,Database!$D:$D,"Export",Database!$E:$E,$B126,Database!$C:$C,AM$1,Database!$F:$F,"Total")</f>
        <v>0</v>
      </c>
      <c r="AN126" s="137">
        <f>SUMIFS(Database!$G:$G,Database!$D:$D,"Export",Database!$E:$E,$B126,Database!$C:$C,AN$1,Database!$F:$F,"Total")</f>
        <v>0</v>
      </c>
      <c r="AO126" s="137">
        <f>SUMIFS(Database!$G:$G,Database!$D:$D,"Export",Database!$E:$E,$B126,Database!$C:$C,AO$1,Database!$F:$F,"Total")</f>
        <v>0</v>
      </c>
      <c r="AP126" s="137">
        <f>SUMIFS(Database!$G:$G,Database!$D:$D,"Export",Database!$E:$E,$B126,Database!$C:$C,AP$1,Database!$F:$F,"Total")</f>
        <v>0</v>
      </c>
      <c r="AQ126" s="137">
        <f>SUMIFS(Database!$G:$G,Database!$D:$D,"Export",Database!$E:$E,$B126,Database!$C:$C,AQ$1,Database!$F:$F,"Total")</f>
        <v>0</v>
      </c>
      <c r="AR126" s="137">
        <f>SUMIFS(Database!$G:$G,Database!$D:$D,"Export",Database!$E:$E,$B126,Database!$C:$C,AR$1,Database!$F:$F,"Total")</f>
        <v>0</v>
      </c>
      <c r="AS126" s="137">
        <f>SUMIFS(Database!$G:$G,Database!$D:$D,"Export",Database!$E:$E,$B126,Database!$C:$C,AS$1,Database!$F:$F,"Total")</f>
        <v>0</v>
      </c>
      <c r="AT126" s="137">
        <f>SUMIFS(Database!$G:$G,Database!$D:$D,"Export",Database!$E:$E,$B126,Database!$C:$C,AT$1,Database!$F:$F,"Total")</f>
        <v>0</v>
      </c>
      <c r="AU126" s="137">
        <f>SUMIFS(Database!$G:$G,Database!$D:$D,"Export",Database!$E:$E,$B126,Database!$C:$C,AU$1,Database!$F:$F,"Total")</f>
        <v>0</v>
      </c>
      <c r="AV126" s="137">
        <f>SUMIFS(Database!$G:$G,Database!$D:$D,"Export",Database!$E:$E,$B126,Database!$C:$C,AV$1,Database!$F:$F,"Total")</f>
        <v>0</v>
      </c>
      <c r="AW126" s="137">
        <f>SUMIFS(Database!$G:$G,Database!$D:$D,"Export",Database!$E:$E,$B126,Database!$C:$C,AW$1,Database!$F:$F,"Total")</f>
        <v>0</v>
      </c>
      <c r="AX126" s="137">
        <f>SUMIFS(Database!$G:$G,Database!$D:$D,"Export",Database!$E:$E,$B126,Database!$C:$C,AX$1,Database!$F:$F,"Total")</f>
        <v>0</v>
      </c>
      <c r="AY126" s="137">
        <f>SUMIFS(Database!$G:$G,Database!$D:$D,"Export",Database!$E:$E,$B126,Database!$C:$C,AY$1,Database!$F:$F,"Total")</f>
        <v>0</v>
      </c>
      <c r="AZ126" s="137">
        <f>SUMIFS(Database!$G:$G,Database!$D:$D,"Export",Database!$E:$E,$B126,Database!$C:$C,AZ$1,Database!$F:$F,"Total")</f>
        <v>0</v>
      </c>
      <c r="BA126" s="137">
        <f>SUMIFS(Database!$G:$G,Database!$D:$D,"Export",Database!$E:$E,$B126,Database!$C:$C,BA$1,Database!$F:$F,"Total")</f>
        <v>0</v>
      </c>
      <c r="BB126" s="137">
        <f>SUMIFS(Database!$G:$G,Database!$D:$D,"Export",Database!$E:$E,$B126,Database!$C:$C,BB$1,Database!$F:$F,"Total")</f>
        <v>0</v>
      </c>
      <c r="BC126" s="137">
        <f>SUMIFS(Database!$G:$G,Database!$D:$D,"Export",Database!$E:$E,$B126,Database!$C:$C,BC$1,Database!$F:$F,"Total")</f>
        <v>0</v>
      </c>
      <c r="BD126" s="137">
        <f>SUMIFS(Database!$G:$G,Database!$D:$D,"Export",Database!$E:$E,$B126,Database!$C:$C,BD$1,Database!$F:$F,"Total")</f>
        <v>0</v>
      </c>
      <c r="BE126" s="137">
        <f>SUMIFS(Database!$G:$G,Database!$D:$D,"Export",Database!$E:$E,$B126,Database!$C:$C,BE$1,Database!$F:$F,"Total")</f>
        <v>0</v>
      </c>
      <c r="BF126" s="137">
        <f>SUMIFS(Database!$G:$G,Database!$D:$D,"Export",Database!$E:$E,$B126,Database!$C:$C,BF$1,Database!$F:$F,"Total")</f>
        <v>0</v>
      </c>
      <c r="BG126" s="137">
        <f>SUMIFS(Database!$G:$G,Database!$D:$D,"Export",Database!$E:$E,$B126,Database!$C:$C,BG$1,Database!$F:$F,"Total")</f>
        <v>0</v>
      </c>
      <c r="BH126" s="137">
        <f>SUMIFS(Database!$G:$G,Database!$D:$D,"Export",Database!$E:$E,$B126,Database!$C:$C,BH$1,Database!$F:$F,"Total")</f>
        <v>0</v>
      </c>
      <c r="BI126" s="137">
        <f>SUMIFS(Database!$G:$G,Database!$D:$D,"Export",Database!$E:$E,$B126,Database!$C:$C,BI$1,Database!$F:$F,"Total")</f>
        <v>0</v>
      </c>
      <c r="BJ126" s="137">
        <f>SUMIFS(Database!$G:$G,Database!$D:$D,"Export",Database!$E:$E,$B126,Database!$C:$C,BJ$1,Database!$F:$F,"Total")</f>
        <v>0</v>
      </c>
      <c r="BK126" s="137">
        <f>SUMIFS(Database!$G:$G,Database!$D:$D,"Export",Database!$E:$E,$B126,Database!$C:$C,BK$1,Database!$F:$F,"Total")</f>
        <v>0</v>
      </c>
      <c r="BL126" s="137">
        <f>SUMIFS(Database!$G:$G,Database!$D:$D,"Export",Database!$E:$E,$B126,Database!$C:$C,BL$1,Database!$F:$F,"Total")</f>
        <v>0</v>
      </c>
      <c r="BM126" s="137">
        <f>SUMIFS(Database!$G:$G,Database!$D:$D,"Export",Database!$E:$E,$B126,Database!$C:$C,BM$1,Database!$F:$F,"Total")</f>
        <v>0</v>
      </c>
      <c r="BN126" s="137">
        <f>SUMIFS(Database!$G:$G,Database!$D:$D,"Export",Database!$E:$E,$B126,Database!$C:$C,BN$1,Database!$F:$F,"Total")</f>
        <v>0</v>
      </c>
      <c r="BO126" s="137">
        <f>SUMIFS(Database!$G:$G,Database!$D:$D,"Export",Database!$E:$E,$B126,Database!$C:$C,BO$1,Database!$F:$F,"Total")</f>
        <v>0</v>
      </c>
      <c r="BP126" s="137">
        <f>SUMIFS(Database!$G:$G,Database!$D:$D,"Export",Database!$E:$E,$B126,Database!$C:$C,BP$1,Database!$F:$F,"Total")</f>
        <v>0</v>
      </c>
      <c r="BQ126" s="137">
        <f>SUMIFS(Database!$G:$G,Database!$D:$D,"Export",Database!$E:$E,$B126,Database!$C:$C,BQ$1,Database!$F:$F,"Total")</f>
        <v>0</v>
      </c>
      <c r="BR126" s="137">
        <f>SUMIFS(Database!$G:$G,Database!$D:$D,"Export",Database!$E:$E,$B126,Database!$C:$C,BR$1,Database!$F:$F,"Total")</f>
        <v>0</v>
      </c>
      <c r="BS126" s="137">
        <f>SUMIFS(Database!$G:$G,Database!$D:$D,"Export",Database!$E:$E,$B126,Database!$C:$C,BS$1,Database!$F:$F,"Total")</f>
        <v>0</v>
      </c>
      <c r="BT126" s="137">
        <f>SUMIFS(Database!$G:$G,Database!$D:$D,"Export",Database!$E:$E,$B126,Database!$C:$C,BT$1,Database!$F:$F,"Total")</f>
        <v>0</v>
      </c>
      <c r="BU126" s="137">
        <f>SUMIFS(Database!$G:$G,Database!$D:$D,"Export",Database!$E:$E,$B126,Database!$C:$C,BU$1,Database!$F:$F,"Total")</f>
        <v>0</v>
      </c>
      <c r="BV126" s="137">
        <f>SUMIFS(Database!$G:$G,Database!$D:$D,"Export",Database!$E:$E,$B126,Database!$C:$C,BV$1,Database!$F:$F,"Total")</f>
        <v>0</v>
      </c>
      <c r="BW126" s="137">
        <f>SUMIFS(Database!$G:$G,Database!$D:$D,"Export",Database!$E:$E,$B126,Database!$C:$C,BW$1,Database!$F:$F,"Total")</f>
        <v>0</v>
      </c>
      <c r="BX126" s="137">
        <f>SUMIFS(Database!$G:$G,Database!$D:$D,"Export",Database!$E:$E,$B126,Database!$C:$C,BX$1,Database!$F:$F,"Total")</f>
        <v>0</v>
      </c>
      <c r="BY126" s="137">
        <f>SUMIFS(Database!$G:$G,Database!$D:$D,"Export",Database!$E:$E,$B126,Database!$C:$C,BY$1,Database!$F:$F,"Total")</f>
        <v>0</v>
      </c>
      <c r="BZ126" s="137">
        <f>SUMIFS(Database!$G:$G,Database!$D:$D,"Export",Database!$E:$E,$B126,Database!$C:$C,BZ$1,Database!$F:$F,"Total")</f>
        <v>0</v>
      </c>
      <c r="CA126" s="137">
        <f>SUMIFS(Database!$G:$G,Database!$D:$D,"Export",Database!$E:$E,$B126,Database!$C:$C,CA$1,Database!$F:$F,"Total")</f>
        <v>0</v>
      </c>
      <c r="CB126" s="137">
        <f>SUMIFS(Database!$G:$G,Database!$D:$D,"Export",Database!$E:$E,$B126,Database!$C:$C,CB$1,Database!$F:$F,"Total")</f>
        <v>0</v>
      </c>
      <c r="CC126" s="137">
        <f>SUMIFS(Database!$G:$G,Database!$D:$D,"Export",Database!$E:$E,$B126,Database!$C:$C,CC$1,Database!$F:$F,"Total")</f>
        <v>0</v>
      </c>
      <c r="CD126" s="137">
        <f>SUMIFS(Database!$G:$G,Database!$D:$D,"Export",Database!$E:$E,$B126,Database!$C:$C,CD$1,Database!$F:$F,"Total")</f>
        <v>0</v>
      </c>
      <c r="CE126" s="137">
        <f>SUMIFS(Database!$G:$G,Database!$D:$D,"Export",Database!$E:$E,$B126,Database!$C:$C,CE$1,Database!$F:$F,"Total")</f>
        <v>0</v>
      </c>
      <c r="CF126" s="137">
        <f>SUMIFS(Database!$G:$G,Database!$D:$D,"Export",Database!$E:$E,$B126,Database!$C:$C,CF$1,Database!$F:$F,"Total")</f>
        <v>0</v>
      </c>
      <c r="CG126" s="137">
        <f>SUMIFS(Database!$G:$G,Database!$D:$D,"Export",Database!$E:$E,$B126,Database!$C:$C,CG$1,Database!$F:$F,"Total")</f>
        <v>0</v>
      </c>
      <c r="CH126" s="137">
        <f>SUMIFS(Database!$G:$G,Database!$D:$D,"Export",Database!$E:$E,$B126,Database!$C:$C,CH$1,Database!$F:$F,"Total")</f>
        <v>0</v>
      </c>
      <c r="CI126" s="137">
        <f>SUMIFS(Database!$G:$G,Database!$D:$D,"Export",Database!$E:$E,$B126,Database!$C:$C,CI$1,Database!$F:$F,"Total")</f>
        <v>0</v>
      </c>
      <c r="CJ126" s="137">
        <f>SUMIFS(Database!$G:$G,Database!$D:$D,"Export",Database!$E:$E,$B126,Database!$C:$C,CJ$1,Database!$F:$F,"Total")</f>
        <v>0</v>
      </c>
      <c r="CK126" s="137">
        <f>SUMIFS(Database!$G:$G,Database!$D:$D,"Export",Database!$E:$E,$B126,Database!$C:$C,CK$1,Database!$F:$F,"Total")</f>
        <v>0</v>
      </c>
      <c r="CL126" s="137">
        <f>SUMIFS(Database!$G:$G,Database!$D:$D,"Export",Database!$E:$E,$B126,Database!$C:$C,CL$1,Database!$F:$F,"Total")</f>
        <v>0</v>
      </c>
      <c r="CM126" s="137">
        <f>SUMIFS(Database!$G:$G,Database!$D:$D,"Export",Database!$E:$E,$B126,Database!$C:$C,CM$1,Database!$F:$F,"Total")</f>
        <v>0</v>
      </c>
      <c r="CN126" s="137">
        <f>SUMIFS(Database!$G:$G,Database!$D:$D,"Export",Database!$E:$E,$B126,Database!$C:$C,CN$1,Database!$F:$F,"Total")</f>
        <v>0</v>
      </c>
      <c r="CO126" s="137">
        <f>SUMIFS(Database!$G:$G,Database!$D:$D,"Export",Database!$E:$E,$B126,Database!$C:$C,CO$1,Database!$F:$F,"Total")</f>
        <v>0</v>
      </c>
      <c r="CP126" s="137">
        <f>SUMIFS(Database!$G:$G,Database!$D:$D,"Export",Database!$E:$E,$B126,Database!$C:$C,CP$1,Database!$F:$F,"Total")</f>
        <v>0</v>
      </c>
      <c r="CQ126" s="137">
        <f>SUMIFS(Database!$G:$G,Database!$D:$D,"Export",Database!$E:$E,$B126,Database!$C:$C,CQ$1,Database!$F:$F,"Total")</f>
        <v>0</v>
      </c>
      <c r="CR126" s="137">
        <f>SUMIFS(Database!$G:$G,Database!$D:$D,"Export",Database!$E:$E,$B126,Database!$C:$C,CR$1,Database!$F:$F,"Total")</f>
        <v>0</v>
      </c>
      <c r="CS126" s="137">
        <f>SUMIFS(Database!$G:$G,Database!$D:$D,"Export",Database!$E:$E,$B126,Database!$C:$C,CS$1,Database!$F:$F,"Total")</f>
        <v>0</v>
      </c>
      <c r="CT126" s="137">
        <f>SUMIFS(Database!$G:$G,Database!$D:$D,"Export",Database!$E:$E,$B126,Database!$C:$C,CT$1,Database!$F:$F,"Total")</f>
        <v>0</v>
      </c>
      <c r="CU126" s="137">
        <f>SUMIFS(Database!$G:$G,Database!$D:$D,"Export",Database!$E:$E,$B126,Database!$C:$C,CU$1,Database!$F:$F,"Total")</f>
        <v>0</v>
      </c>
    </row>
    <row r="127" spans="1:99" x14ac:dyDescent="0.25">
      <c r="A127" s="132" t="s">
        <v>485</v>
      </c>
      <c r="B127" s="133" t="s">
        <v>128</v>
      </c>
      <c r="C127" s="137">
        <f>SUMIFS(Database!$G:$G,Database!$D:$D,"Export",Database!$E:$E,$B127,Database!$C:$C,C$1,Database!$F:$F,"Total")</f>
        <v>0</v>
      </c>
      <c r="D127" s="137">
        <f>SUMIFS(Database!$G:$G,Database!$D:$D,"Export",Database!$E:$E,$B127,Database!$C:$C,D$1,Database!$F:$F,"Total")</f>
        <v>0</v>
      </c>
      <c r="E127" s="137">
        <f>SUMIFS(Database!$G:$G,Database!$D:$D,"Export",Database!$E:$E,$B127,Database!$C:$C,E$1,Database!$F:$F,"Total")</f>
        <v>0</v>
      </c>
      <c r="F127" s="137">
        <f>SUMIFS(Database!$G:$G,Database!$D:$D,"Export",Database!$E:$E,$B127,Database!$C:$C,F$1,Database!$F:$F,"Total")</f>
        <v>0</v>
      </c>
      <c r="G127" s="137">
        <f>SUMIFS(Database!$G:$G,Database!$D:$D,"Export",Database!$E:$E,$B127,Database!$C:$C,G$1,Database!$F:$F,"Total")</f>
        <v>0</v>
      </c>
      <c r="H127" s="137">
        <f>SUMIFS(Database!$G:$G,Database!$D:$D,"Export",Database!$E:$E,$B127,Database!$C:$C,H$1,Database!$F:$F,"Total")</f>
        <v>0</v>
      </c>
      <c r="I127" s="137">
        <f>SUMIFS(Database!$G:$G,Database!$D:$D,"Export",Database!$E:$E,$B127,Database!$C:$C,I$1,Database!$F:$F,"Total")</f>
        <v>0</v>
      </c>
      <c r="J127" s="137">
        <f>SUMIFS(Database!$G:$G,Database!$D:$D,"Export",Database!$E:$E,$B127,Database!$C:$C,J$1,Database!$F:$F,"Total")</f>
        <v>0</v>
      </c>
      <c r="K127" s="137">
        <f>SUMIFS(Database!$G:$G,Database!$D:$D,"Export",Database!$E:$E,$B127,Database!$C:$C,K$1,Database!$F:$F,"Total")</f>
        <v>0</v>
      </c>
      <c r="L127" s="137">
        <f>SUMIFS(Database!$G:$G,Database!$D:$D,"Export",Database!$E:$E,$B127,Database!$C:$C,L$1,Database!$F:$F,"Total")</f>
        <v>0</v>
      </c>
      <c r="M127" s="137">
        <f>SUMIFS(Database!$G:$G,Database!$D:$D,"Export",Database!$E:$E,$B127,Database!$C:$C,M$1,Database!$F:$F,"Total")</f>
        <v>0</v>
      </c>
      <c r="N127" s="137">
        <f>SUMIFS(Database!$G:$G,Database!$D:$D,"Export",Database!$E:$E,$B127,Database!$C:$C,N$1,Database!$F:$F,"Total")</f>
        <v>0</v>
      </c>
      <c r="O127" s="137">
        <f>SUMIFS(Database!$G:$G,Database!$D:$D,"Export",Database!$E:$E,$B127,Database!$C:$C,O$1,Database!$F:$F,"Total")</f>
        <v>0</v>
      </c>
      <c r="P127" s="137">
        <f>SUMIFS(Database!$G:$G,Database!$D:$D,"Export",Database!$E:$E,$B127,Database!$C:$C,P$1,Database!$F:$F,"Total")</f>
        <v>0</v>
      </c>
      <c r="Q127" s="137">
        <f>SUMIFS(Database!$G:$G,Database!$D:$D,"Export",Database!$E:$E,$B127,Database!$C:$C,Q$1,Database!$F:$F,"Total")</f>
        <v>0</v>
      </c>
      <c r="R127" s="137">
        <f>SUMIFS(Database!$G:$G,Database!$D:$D,"Export",Database!$E:$E,$B127,Database!$C:$C,R$1,Database!$F:$F,"Total")</f>
        <v>0</v>
      </c>
      <c r="S127" s="137">
        <f>SUMIFS(Database!$G:$G,Database!$D:$D,"Export",Database!$E:$E,$B127,Database!$C:$C,S$1,Database!$F:$F,"Total")</f>
        <v>0</v>
      </c>
      <c r="T127" s="137">
        <f>SUMIFS(Database!$G:$G,Database!$D:$D,"Export",Database!$E:$E,$B127,Database!$C:$C,T$1,Database!$F:$F,"Total")</f>
        <v>0</v>
      </c>
      <c r="U127" s="137">
        <f>SUMIFS(Database!$G:$G,Database!$D:$D,"Export",Database!$E:$E,$B127,Database!$C:$C,U$1,Database!$F:$F,"Total")</f>
        <v>0</v>
      </c>
      <c r="V127" s="137">
        <f>SUMIFS(Database!$G:$G,Database!$D:$D,"Export",Database!$E:$E,$B127,Database!$C:$C,V$1,Database!$F:$F,"Total")</f>
        <v>0</v>
      </c>
      <c r="W127" s="137">
        <f>SUMIFS(Database!$G:$G,Database!$D:$D,"Export",Database!$E:$E,$B127,Database!$C:$C,W$1,Database!$F:$F,"Total")</f>
        <v>0</v>
      </c>
      <c r="X127" s="137">
        <f>SUMIFS(Database!$G:$G,Database!$D:$D,"Export",Database!$E:$E,$B127,Database!$C:$C,X$1,Database!$F:$F,"Total")</f>
        <v>0</v>
      </c>
      <c r="Y127" s="137">
        <f>SUMIFS(Database!$G:$G,Database!$D:$D,"Export",Database!$E:$E,$B127,Database!$C:$C,Y$1,Database!$F:$F,"Total")</f>
        <v>0</v>
      </c>
      <c r="Z127" s="137">
        <f>SUMIFS(Database!$G:$G,Database!$D:$D,"Export",Database!$E:$E,$B127,Database!$C:$C,Z$1,Database!$F:$F,"Total")</f>
        <v>0</v>
      </c>
      <c r="AA127" s="137">
        <f>SUMIFS(Database!$G:$G,Database!$D:$D,"Export",Database!$E:$E,$B127,Database!$C:$C,AA$1,Database!$F:$F,"Total")</f>
        <v>0</v>
      </c>
      <c r="AB127" s="137">
        <f>SUMIFS(Database!$G:$G,Database!$D:$D,"Export",Database!$E:$E,$B127,Database!$C:$C,AB$1,Database!$F:$F,"Total")</f>
        <v>0</v>
      </c>
      <c r="AC127" s="137">
        <f>SUMIFS(Database!$G:$G,Database!$D:$D,"Export",Database!$E:$E,$B127,Database!$C:$C,AC$1,Database!$F:$F,"Total")</f>
        <v>0</v>
      </c>
      <c r="AD127" s="137">
        <f>SUMIFS(Database!$G:$G,Database!$D:$D,"Export",Database!$E:$E,$B127,Database!$C:$C,AD$1,Database!$F:$F,"Total")</f>
        <v>0</v>
      </c>
      <c r="AE127" s="137">
        <f>SUMIFS(Database!$G:$G,Database!$D:$D,"Export",Database!$E:$E,$B127,Database!$C:$C,AE$1,Database!$F:$F,"Total")</f>
        <v>0</v>
      </c>
      <c r="AF127" s="137">
        <f>SUMIFS(Database!$G:$G,Database!$D:$D,"Export",Database!$E:$E,$B127,Database!$C:$C,AF$1,Database!$F:$F,"Total")</f>
        <v>0</v>
      </c>
      <c r="AG127" s="137">
        <f>SUMIFS(Database!$G:$G,Database!$D:$D,"Export",Database!$E:$E,$B127,Database!$C:$C,AG$1,Database!$F:$F,"Total")</f>
        <v>0</v>
      </c>
      <c r="AH127" s="137">
        <f>SUMIFS(Database!$G:$G,Database!$D:$D,"Export",Database!$E:$E,$B127,Database!$C:$C,AH$1,Database!$F:$F,"Total")</f>
        <v>0</v>
      </c>
      <c r="AI127" s="137">
        <f>SUMIFS(Database!$G:$G,Database!$D:$D,"Export",Database!$E:$E,$B127,Database!$C:$C,AI$1,Database!$F:$F,"Total")</f>
        <v>0</v>
      </c>
      <c r="AJ127" s="137">
        <f>SUMIFS(Database!$G:$G,Database!$D:$D,"Export",Database!$E:$E,$B127,Database!$C:$C,AJ$1,Database!$F:$F,"Total")</f>
        <v>0</v>
      </c>
      <c r="AK127" s="137">
        <f>SUMIFS(Database!$G:$G,Database!$D:$D,"Export",Database!$E:$E,$B127,Database!$C:$C,AK$1,Database!$F:$F,"Total")</f>
        <v>0</v>
      </c>
      <c r="AL127" s="137">
        <f>SUMIFS(Database!$G:$G,Database!$D:$D,"Export",Database!$E:$E,$B127,Database!$C:$C,AL$1,Database!$F:$F,"Total")</f>
        <v>0</v>
      </c>
      <c r="AM127" s="137">
        <f>SUMIFS(Database!$G:$G,Database!$D:$D,"Export",Database!$E:$E,$B127,Database!$C:$C,AM$1,Database!$F:$F,"Total")</f>
        <v>0</v>
      </c>
      <c r="AN127" s="137">
        <f>SUMIFS(Database!$G:$G,Database!$D:$D,"Export",Database!$E:$E,$B127,Database!$C:$C,AN$1,Database!$F:$F,"Total")</f>
        <v>0</v>
      </c>
      <c r="AO127" s="137">
        <f>SUMIFS(Database!$G:$G,Database!$D:$D,"Export",Database!$E:$E,$B127,Database!$C:$C,AO$1,Database!$F:$F,"Total")</f>
        <v>0</v>
      </c>
      <c r="AP127" s="137">
        <f>SUMIFS(Database!$G:$G,Database!$D:$D,"Export",Database!$E:$E,$B127,Database!$C:$C,AP$1,Database!$F:$F,"Total")</f>
        <v>0</v>
      </c>
      <c r="AQ127" s="137">
        <f>SUMIFS(Database!$G:$G,Database!$D:$D,"Export",Database!$E:$E,$B127,Database!$C:$C,AQ$1,Database!$F:$F,"Total")</f>
        <v>0</v>
      </c>
      <c r="AR127" s="137">
        <f>SUMIFS(Database!$G:$G,Database!$D:$D,"Export",Database!$E:$E,$B127,Database!$C:$C,AR$1,Database!$F:$F,"Total")</f>
        <v>0</v>
      </c>
      <c r="AS127" s="137">
        <f>SUMIFS(Database!$G:$G,Database!$D:$D,"Export",Database!$E:$E,$B127,Database!$C:$C,AS$1,Database!$F:$F,"Total")</f>
        <v>0</v>
      </c>
      <c r="AT127" s="137">
        <f>SUMIFS(Database!$G:$G,Database!$D:$D,"Export",Database!$E:$E,$B127,Database!$C:$C,AT$1,Database!$F:$F,"Total")</f>
        <v>0</v>
      </c>
      <c r="AU127" s="137">
        <f>SUMIFS(Database!$G:$G,Database!$D:$D,"Export",Database!$E:$E,$B127,Database!$C:$C,AU$1,Database!$F:$F,"Total")</f>
        <v>0</v>
      </c>
      <c r="AV127" s="137">
        <f>SUMIFS(Database!$G:$G,Database!$D:$D,"Export",Database!$E:$E,$B127,Database!$C:$C,AV$1,Database!$F:$F,"Total")</f>
        <v>0</v>
      </c>
      <c r="AW127" s="137">
        <f>SUMIFS(Database!$G:$G,Database!$D:$D,"Export",Database!$E:$E,$B127,Database!$C:$C,AW$1,Database!$F:$F,"Total")</f>
        <v>0</v>
      </c>
      <c r="AX127" s="137">
        <f>SUMIFS(Database!$G:$G,Database!$D:$D,"Export",Database!$E:$E,$B127,Database!$C:$C,AX$1,Database!$F:$F,"Total")</f>
        <v>0</v>
      </c>
      <c r="AY127" s="137">
        <f>SUMIFS(Database!$G:$G,Database!$D:$D,"Export",Database!$E:$E,$B127,Database!$C:$C,AY$1,Database!$F:$F,"Total")</f>
        <v>0</v>
      </c>
      <c r="AZ127" s="137">
        <f>SUMIFS(Database!$G:$G,Database!$D:$D,"Export",Database!$E:$E,$B127,Database!$C:$C,AZ$1,Database!$F:$F,"Total")</f>
        <v>0</v>
      </c>
      <c r="BA127" s="137">
        <f>SUMIFS(Database!$G:$G,Database!$D:$D,"Export",Database!$E:$E,$B127,Database!$C:$C,BA$1,Database!$F:$F,"Total")</f>
        <v>0</v>
      </c>
      <c r="BB127" s="137">
        <f>SUMIFS(Database!$G:$G,Database!$D:$D,"Export",Database!$E:$E,$B127,Database!$C:$C,BB$1,Database!$F:$F,"Total")</f>
        <v>0</v>
      </c>
      <c r="BC127" s="137">
        <f>SUMIFS(Database!$G:$G,Database!$D:$D,"Export",Database!$E:$E,$B127,Database!$C:$C,BC$1,Database!$F:$F,"Total")</f>
        <v>0</v>
      </c>
      <c r="BD127" s="137">
        <f>SUMIFS(Database!$G:$G,Database!$D:$D,"Export",Database!$E:$E,$B127,Database!$C:$C,BD$1,Database!$F:$F,"Total")</f>
        <v>0</v>
      </c>
      <c r="BE127" s="137">
        <f>SUMIFS(Database!$G:$G,Database!$D:$D,"Export",Database!$E:$E,$B127,Database!$C:$C,BE$1,Database!$F:$F,"Total")</f>
        <v>0</v>
      </c>
      <c r="BF127" s="137">
        <f>SUMIFS(Database!$G:$G,Database!$D:$D,"Export",Database!$E:$E,$B127,Database!$C:$C,BF$1,Database!$F:$F,"Total")</f>
        <v>0</v>
      </c>
      <c r="BG127" s="137">
        <f>SUMIFS(Database!$G:$G,Database!$D:$D,"Export",Database!$E:$E,$B127,Database!$C:$C,BG$1,Database!$F:$F,"Total")</f>
        <v>0</v>
      </c>
      <c r="BH127" s="137">
        <f>SUMIFS(Database!$G:$G,Database!$D:$D,"Export",Database!$E:$E,$B127,Database!$C:$C,BH$1,Database!$F:$F,"Total")</f>
        <v>286</v>
      </c>
      <c r="BI127" s="137">
        <f>SUMIFS(Database!$G:$G,Database!$D:$D,"Export",Database!$E:$E,$B127,Database!$C:$C,BI$1,Database!$F:$F,"Total")</f>
        <v>0</v>
      </c>
      <c r="BJ127" s="137">
        <f>SUMIFS(Database!$G:$G,Database!$D:$D,"Export",Database!$E:$E,$B127,Database!$C:$C,BJ$1,Database!$F:$F,"Total")</f>
        <v>467</v>
      </c>
      <c r="BK127" s="137">
        <f>SUMIFS(Database!$G:$G,Database!$D:$D,"Export",Database!$E:$E,$B127,Database!$C:$C,BK$1,Database!$F:$F,"Total")</f>
        <v>244.5</v>
      </c>
      <c r="BL127" s="137">
        <f>SUMIFS(Database!$G:$G,Database!$D:$D,"Export",Database!$E:$E,$B127,Database!$C:$C,BL$1,Database!$F:$F,"Total")</f>
        <v>0</v>
      </c>
      <c r="BM127" s="137">
        <f>SUMIFS(Database!$G:$G,Database!$D:$D,"Export",Database!$E:$E,$B127,Database!$C:$C,BM$1,Database!$F:$F,"Total")</f>
        <v>0</v>
      </c>
      <c r="BN127" s="137">
        <f>SUMIFS(Database!$G:$G,Database!$D:$D,"Export",Database!$E:$E,$B127,Database!$C:$C,BN$1,Database!$F:$F,"Total")</f>
        <v>29</v>
      </c>
      <c r="BO127" s="137">
        <f>SUMIFS(Database!$G:$G,Database!$D:$D,"Export",Database!$E:$E,$B127,Database!$C:$C,BO$1,Database!$F:$F,"Total")</f>
        <v>0</v>
      </c>
      <c r="BP127" s="137">
        <f>SUMIFS(Database!$G:$G,Database!$D:$D,"Export",Database!$E:$E,$B127,Database!$C:$C,BP$1,Database!$F:$F,"Total")</f>
        <v>895</v>
      </c>
      <c r="BQ127" s="137">
        <f>SUMIFS(Database!$G:$G,Database!$D:$D,"Export",Database!$E:$E,$B127,Database!$C:$C,BQ$1,Database!$F:$F,"Total")</f>
        <v>778</v>
      </c>
      <c r="BR127" s="137">
        <f>SUMIFS(Database!$G:$G,Database!$D:$D,"Export",Database!$E:$E,$B127,Database!$C:$C,BR$1,Database!$F:$F,"Total")</f>
        <v>308.5</v>
      </c>
      <c r="BS127" s="137">
        <f>SUMIFS(Database!$G:$G,Database!$D:$D,"Export",Database!$E:$E,$B127,Database!$C:$C,BS$1,Database!$F:$F,"Total")</f>
        <v>115</v>
      </c>
      <c r="BT127" s="137">
        <f>SUMIFS(Database!$G:$G,Database!$D:$D,"Export",Database!$E:$E,$B127,Database!$C:$C,BT$1,Database!$F:$F,"Total")</f>
        <v>24</v>
      </c>
      <c r="BU127" s="137">
        <f>SUMIFS(Database!$G:$G,Database!$D:$D,"Export",Database!$E:$E,$B127,Database!$C:$C,BU$1,Database!$F:$F,"Total")</f>
        <v>175</v>
      </c>
      <c r="BV127" s="137">
        <f>SUMIFS(Database!$G:$G,Database!$D:$D,"Export",Database!$E:$E,$B127,Database!$C:$C,BV$1,Database!$F:$F,"Total")</f>
        <v>0</v>
      </c>
      <c r="BW127" s="137">
        <f>SUMIFS(Database!$G:$G,Database!$D:$D,"Export",Database!$E:$E,$B127,Database!$C:$C,BW$1,Database!$F:$F,"Total")</f>
        <v>0</v>
      </c>
      <c r="BX127" s="137">
        <f>SUMIFS(Database!$G:$G,Database!$D:$D,"Export",Database!$E:$E,$B127,Database!$C:$C,BX$1,Database!$F:$F,"Total")</f>
        <v>0</v>
      </c>
      <c r="BY127" s="137">
        <f>SUMIFS(Database!$G:$G,Database!$D:$D,"Export",Database!$E:$E,$B127,Database!$C:$C,BY$1,Database!$F:$F,"Total")</f>
        <v>0</v>
      </c>
      <c r="BZ127" s="137">
        <f>SUMIFS(Database!$G:$G,Database!$D:$D,"Export",Database!$E:$E,$B127,Database!$C:$C,BZ$1,Database!$F:$F,"Total")</f>
        <v>0</v>
      </c>
      <c r="CA127" s="137">
        <f>SUMIFS(Database!$G:$G,Database!$D:$D,"Export",Database!$E:$E,$B127,Database!$C:$C,CA$1,Database!$F:$F,"Total")</f>
        <v>0</v>
      </c>
      <c r="CB127" s="137">
        <f>SUMIFS(Database!$G:$G,Database!$D:$D,"Export",Database!$E:$E,$B127,Database!$C:$C,CB$1,Database!$F:$F,"Total")</f>
        <v>0</v>
      </c>
      <c r="CC127" s="137">
        <f>SUMIFS(Database!$G:$G,Database!$D:$D,"Export",Database!$E:$E,$B127,Database!$C:$C,CC$1,Database!$F:$F,"Total")</f>
        <v>0</v>
      </c>
      <c r="CD127" s="137">
        <f>SUMIFS(Database!$G:$G,Database!$D:$D,"Export",Database!$E:$E,$B127,Database!$C:$C,CD$1,Database!$F:$F,"Total")</f>
        <v>0</v>
      </c>
      <c r="CE127" s="137">
        <f>SUMIFS(Database!$G:$G,Database!$D:$D,"Export",Database!$E:$E,$B127,Database!$C:$C,CE$1,Database!$F:$F,"Total")</f>
        <v>0</v>
      </c>
      <c r="CF127" s="137">
        <f>SUMIFS(Database!$G:$G,Database!$D:$D,"Export",Database!$E:$E,$B127,Database!$C:$C,CF$1,Database!$F:$F,"Total")</f>
        <v>0</v>
      </c>
      <c r="CG127" s="137">
        <f>SUMIFS(Database!$G:$G,Database!$D:$D,"Export",Database!$E:$E,$B127,Database!$C:$C,CG$1,Database!$F:$F,"Total")</f>
        <v>0</v>
      </c>
      <c r="CH127" s="137">
        <f>SUMIFS(Database!$G:$G,Database!$D:$D,"Export",Database!$E:$E,$B127,Database!$C:$C,CH$1,Database!$F:$F,"Total")</f>
        <v>0</v>
      </c>
      <c r="CI127" s="137">
        <f>SUMIFS(Database!$G:$G,Database!$D:$D,"Export",Database!$E:$E,$B127,Database!$C:$C,CI$1,Database!$F:$F,"Total")</f>
        <v>0</v>
      </c>
      <c r="CJ127" s="137">
        <f>SUMIFS(Database!$G:$G,Database!$D:$D,"Export",Database!$E:$E,$B127,Database!$C:$C,CJ$1,Database!$F:$F,"Total")</f>
        <v>0</v>
      </c>
      <c r="CK127" s="137">
        <f>SUMIFS(Database!$G:$G,Database!$D:$D,"Export",Database!$E:$E,$B127,Database!$C:$C,CK$1,Database!$F:$F,"Total")</f>
        <v>0</v>
      </c>
      <c r="CL127" s="137">
        <f>SUMIFS(Database!$G:$G,Database!$D:$D,"Export",Database!$E:$E,$B127,Database!$C:$C,CL$1,Database!$F:$F,"Total")</f>
        <v>0</v>
      </c>
      <c r="CM127" s="137">
        <f>SUMIFS(Database!$G:$G,Database!$D:$D,"Export",Database!$E:$E,$B127,Database!$C:$C,CM$1,Database!$F:$F,"Total")</f>
        <v>0</v>
      </c>
      <c r="CN127" s="137">
        <f>SUMIFS(Database!$G:$G,Database!$D:$D,"Export",Database!$E:$E,$B127,Database!$C:$C,CN$1,Database!$F:$F,"Total")</f>
        <v>0</v>
      </c>
      <c r="CO127" s="137">
        <f>SUMIFS(Database!$G:$G,Database!$D:$D,"Export",Database!$E:$E,$B127,Database!$C:$C,CO$1,Database!$F:$F,"Total")</f>
        <v>0</v>
      </c>
      <c r="CP127" s="137">
        <f>SUMIFS(Database!$G:$G,Database!$D:$D,"Export",Database!$E:$E,$B127,Database!$C:$C,CP$1,Database!$F:$F,"Total")</f>
        <v>0</v>
      </c>
      <c r="CQ127" s="137">
        <f>SUMIFS(Database!$G:$G,Database!$D:$D,"Export",Database!$E:$E,$B127,Database!$C:$C,CQ$1,Database!$F:$F,"Total")</f>
        <v>0</v>
      </c>
      <c r="CR127" s="137">
        <f>SUMIFS(Database!$G:$G,Database!$D:$D,"Export",Database!$E:$E,$B127,Database!$C:$C,CR$1,Database!$F:$F,"Total")</f>
        <v>0</v>
      </c>
      <c r="CS127" s="137">
        <f>SUMIFS(Database!$G:$G,Database!$D:$D,"Export",Database!$E:$E,$B127,Database!$C:$C,CS$1,Database!$F:$F,"Total")</f>
        <v>0</v>
      </c>
      <c r="CT127" s="137">
        <f>SUMIFS(Database!$G:$G,Database!$D:$D,"Export",Database!$E:$E,$B127,Database!$C:$C,CT$1,Database!$F:$F,"Total")</f>
        <v>0</v>
      </c>
      <c r="CU127" s="137">
        <f>SUMIFS(Database!$G:$G,Database!$D:$D,"Export",Database!$E:$E,$B127,Database!$C:$C,CU$1,Database!$F:$F,"Total")</f>
        <v>0</v>
      </c>
    </row>
    <row r="128" spans="1:99" x14ac:dyDescent="0.25">
      <c r="A128" s="132" t="s">
        <v>485</v>
      </c>
      <c r="B128" s="133" t="s">
        <v>567</v>
      </c>
      <c r="C128" s="137">
        <f>SUMIFS(Database!$G:$G,Database!$D:$D,"Export",Database!$E:$E,$B128,Database!$C:$C,C$1,Database!$F:$F,"Total")</f>
        <v>0</v>
      </c>
      <c r="D128" s="137">
        <f>SUMIFS(Database!$G:$G,Database!$D:$D,"Export",Database!$E:$E,$B128,Database!$C:$C,D$1,Database!$F:$F,"Total")</f>
        <v>0</v>
      </c>
      <c r="E128" s="137">
        <f>SUMIFS(Database!$G:$G,Database!$D:$D,"Export",Database!$E:$E,$B128,Database!$C:$C,E$1,Database!$F:$F,"Total")</f>
        <v>0</v>
      </c>
      <c r="F128" s="137">
        <f>SUMIFS(Database!$G:$G,Database!$D:$D,"Export",Database!$E:$E,$B128,Database!$C:$C,F$1,Database!$F:$F,"Total")</f>
        <v>0</v>
      </c>
      <c r="G128" s="137">
        <f>SUMIFS(Database!$G:$G,Database!$D:$D,"Export",Database!$E:$E,$B128,Database!$C:$C,G$1,Database!$F:$F,"Total")</f>
        <v>0</v>
      </c>
      <c r="H128" s="137">
        <f>SUMIFS(Database!$G:$G,Database!$D:$D,"Export",Database!$E:$E,$B128,Database!$C:$C,H$1,Database!$F:$F,"Total")</f>
        <v>0</v>
      </c>
      <c r="I128" s="137">
        <f>SUMIFS(Database!$G:$G,Database!$D:$D,"Export",Database!$E:$E,$B128,Database!$C:$C,I$1,Database!$F:$F,"Total")</f>
        <v>0</v>
      </c>
      <c r="J128" s="137">
        <f>SUMIFS(Database!$G:$G,Database!$D:$D,"Export",Database!$E:$E,$B128,Database!$C:$C,J$1,Database!$F:$F,"Total")</f>
        <v>0</v>
      </c>
      <c r="K128" s="137">
        <f>SUMIFS(Database!$G:$G,Database!$D:$D,"Export",Database!$E:$E,$B128,Database!$C:$C,K$1,Database!$F:$F,"Total")</f>
        <v>0</v>
      </c>
      <c r="L128" s="137">
        <f>SUMIFS(Database!$G:$G,Database!$D:$D,"Export",Database!$E:$E,$B128,Database!$C:$C,L$1,Database!$F:$F,"Total")</f>
        <v>0</v>
      </c>
      <c r="M128" s="137">
        <f>SUMIFS(Database!$G:$G,Database!$D:$D,"Export",Database!$E:$E,$B128,Database!$C:$C,M$1,Database!$F:$F,"Total")</f>
        <v>0</v>
      </c>
      <c r="N128" s="137">
        <f>SUMIFS(Database!$G:$G,Database!$D:$D,"Export",Database!$E:$E,$B128,Database!$C:$C,N$1,Database!$F:$F,"Total")</f>
        <v>0</v>
      </c>
      <c r="O128" s="137">
        <f>SUMIFS(Database!$G:$G,Database!$D:$D,"Export",Database!$E:$E,$B128,Database!$C:$C,O$1,Database!$F:$F,"Total")</f>
        <v>0</v>
      </c>
      <c r="P128" s="137">
        <f>SUMIFS(Database!$G:$G,Database!$D:$D,"Export",Database!$E:$E,$B128,Database!$C:$C,P$1,Database!$F:$F,"Total")</f>
        <v>0</v>
      </c>
      <c r="Q128" s="137">
        <f>SUMIFS(Database!$G:$G,Database!$D:$D,"Export",Database!$E:$E,$B128,Database!$C:$C,Q$1,Database!$F:$F,"Total")</f>
        <v>0</v>
      </c>
      <c r="R128" s="137">
        <f>SUMIFS(Database!$G:$G,Database!$D:$D,"Export",Database!$E:$E,$B128,Database!$C:$C,R$1,Database!$F:$F,"Total")</f>
        <v>0</v>
      </c>
      <c r="S128" s="137">
        <f>SUMIFS(Database!$G:$G,Database!$D:$D,"Export",Database!$E:$E,$B128,Database!$C:$C,S$1,Database!$F:$F,"Total")</f>
        <v>0</v>
      </c>
      <c r="T128" s="137">
        <f>SUMIFS(Database!$G:$G,Database!$D:$D,"Export",Database!$E:$E,$B128,Database!$C:$C,T$1,Database!$F:$F,"Total")</f>
        <v>0</v>
      </c>
      <c r="U128" s="137">
        <f>SUMIFS(Database!$G:$G,Database!$D:$D,"Export",Database!$E:$E,$B128,Database!$C:$C,U$1,Database!$F:$F,"Total")</f>
        <v>0</v>
      </c>
      <c r="V128" s="137">
        <f>SUMIFS(Database!$G:$G,Database!$D:$D,"Export",Database!$E:$E,$B128,Database!$C:$C,V$1,Database!$F:$F,"Total")</f>
        <v>0</v>
      </c>
      <c r="W128" s="137">
        <f>SUMIFS(Database!$G:$G,Database!$D:$D,"Export",Database!$E:$E,$B128,Database!$C:$C,W$1,Database!$F:$F,"Total")</f>
        <v>0</v>
      </c>
      <c r="X128" s="137">
        <f>SUMIFS(Database!$G:$G,Database!$D:$D,"Export",Database!$E:$E,$B128,Database!$C:$C,X$1,Database!$F:$F,"Total")</f>
        <v>0</v>
      </c>
      <c r="Y128" s="137">
        <f>SUMIFS(Database!$G:$G,Database!$D:$D,"Export",Database!$E:$E,$B128,Database!$C:$C,Y$1,Database!$F:$F,"Total")</f>
        <v>0</v>
      </c>
      <c r="Z128" s="137">
        <f>SUMIFS(Database!$G:$G,Database!$D:$D,"Export",Database!$E:$E,$B128,Database!$C:$C,Z$1,Database!$F:$F,"Total")</f>
        <v>0</v>
      </c>
      <c r="AA128" s="137">
        <f>SUMIFS(Database!$G:$G,Database!$D:$D,"Export",Database!$E:$E,$B128,Database!$C:$C,AA$1,Database!$F:$F,"Total")</f>
        <v>0</v>
      </c>
      <c r="AB128" s="137">
        <f>SUMIFS(Database!$G:$G,Database!$D:$D,"Export",Database!$E:$E,$B128,Database!$C:$C,AB$1,Database!$F:$F,"Total")</f>
        <v>0</v>
      </c>
      <c r="AC128" s="137">
        <f>SUMIFS(Database!$G:$G,Database!$D:$D,"Export",Database!$E:$E,$B128,Database!$C:$C,AC$1,Database!$F:$F,"Total")</f>
        <v>0</v>
      </c>
      <c r="AD128" s="137">
        <f>SUMIFS(Database!$G:$G,Database!$D:$D,"Export",Database!$E:$E,$B128,Database!$C:$C,AD$1,Database!$F:$F,"Total")</f>
        <v>0</v>
      </c>
      <c r="AE128" s="137">
        <f>SUMIFS(Database!$G:$G,Database!$D:$D,"Export",Database!$E:$E,$B128,Database!$C:$C,AE$1,Database!$F:$F,"Total")</f>
        <v>0</v>
      </c>
      <c r="AF128" s="137">
        <f>SUMIFS(Database!$G:$G,Database!$D:$D,"Export",Database!$E:$E,$B128,Database!$C:$C,AF$1,Database!$F:$F,"Total")</f>
        <v>0</v>
      </c>
      <c r="AG128" s="137">
        <f>SUMIFS(Database!$G:$G,Database!$D:$D,"Export",Database!$E:$E,$B128,Database!$C:$C,AG$1,Database!$F:$F,"Total")</f>
        <v>0</v>
      </c>
      <c r="AH128" s="137">
        <f>SUMIFS(Database!$G:$G,Database!$D:$D,"Export",Database!$E:$E,$B128,Database!$C:$C,AH$1,Database!$F:$F,"Total")</f>
        <v>0</v>
      </c>
      <c r="AI128" s="137">
        <f>SUMIFS(Database!$G:$G,Database!$D:$D,"Export",Database!$E:$E,$B128,Database!$C:$C,AI$1,Database!$F:$F,"Total")</f>
        <v>0</v>
      </c>
      <c r="AJ128" s="137">
        <f>SUMIFS(Database!$G:$G,Database!$D:$D,"Export",Database!$E:$E,$B128,Database!$C:$C,AJ$1,Database!$F:$F,"Total")</f>
        <v>35</v>
      </c>
      <c r="AK128" s="137">
        <f>SUMIFS(Database!$G:$G,Database!$D:$D,"Export",Database!$E:$E,$B128,Database!$C:$C,AK$1,Database!$F:$F,"Total")</f>
        <v>0</v>
      </c>
      <c r="AL128" s="137">
        <f>SUMIFS(Database!$G:$G,Database!$D:$D,"Export",Database!$E:$E,$B128,Database!$C:$C,AL$1,Database!$F:$F,"Total")</f>
        <v>0</v>
      </c>
      <c r="AM128" s="137">
        <f>SUMIFS(Database!$G:$G,Database!$D:$D,"Export",Database!$E:$E,$B128,Database!$C:$C,AM$1,Database!$F:$F,"Total")</f>
        <v>0</v>
      </c>
      <c r="AN128" s="137">
        <f>SUMIFS(Database!$G:$G,Database!$D:$D,"Export",Database!$E:$E,$B128,Database!$C:$C,AN$1,Database!$F:$F,"Total")</f>
        <v>0</v>
      </c>
      <c r="AO128" s="137">
        <f>SUMIFS(Database!$G:$G,Database!$D:$D,"Export",Database!$E:$E,$B128,Database!$C:$C,AO$1,Database!$F:$F,"Total")</f>
        <v>0</v>
      </c>
      <c r="AP128" s="137">
        <f>SUMIFS(Database!$G:$G,Database!$D:$D,"Export",Database!$E:$E,$B128,Database!$C:$C,AP$1,Database!$F:$F,"Total")</f>
        <v>0</v>
      </c>
      <c r="AQ128" s="137">
        <f>SUMIFS(Database!$G:$G,Database!$D:$D,"Export",Database!$E:$E,$B128,Database!$C:$C,AQ$1,Database!$F:$F,"Total")</f>
        <v>0</v>
      </c>
      <c r="AR128" s="137">
        <f>SUMIFS(Database!$G:$G,Database!$D:$D,"Export",Database!$E:$E,$B128,Database!$C:$C,AR$1,Database!$F:$F,"Total")</f>
        <v>0</v>
      </c>
      <c r="AS128" s="137">
        <f>SUMIFS(Database!$G:$G,Database!$D:$D,"Export",Database!$E:$E,$B128,Database!$C:$C,AS$1,Database!$F:$F,"Total")</f>
        <v>0</v>
      </c>
      <c r="AT128" s="137">
        <f>SUMIFS(Database!$G:$G,Database!$D:$D,"Export",Database!$E:$E,$B128,Database!$C:$C,AT$1,Database!$F:$F,"Total")</f>
        <v>0</v>
      </c>
      <c r="AU128" s="137">
        <f>SUMIFS(Database!$G:$G,Database!$D:$D,"Export",Database!$E:$E,$B128,Database!$C:$C,AU$1,Database!$F:$F,"Total")</f>
        <v>0</v>
      </c>
      <c r="AV128" s="137">
        <f>SUMIFS(Database!$G:$G,Database!$D:$D,"Export",Database!$E:$E,$B128,Database!$C:$C,AV$1,Database!$F:$F,"Total")</f>
        <v>0</v>
      </c>
      <c r="AW128" s="137">
        <f>SUMIFS(Database!$G:$G,Database!$D:$D,"Export",Database!$E:$E,$B128,Database!$C:$C,AW$1,Database!$F:$F,"Total")</f>
        <v>0</v>
      </c>
      <c r="AX128" s="137">
        <f>SUMIFS(Database!$G:$G,Database!$D:$D,"Export",Database!$E:$E,$B128,Database!$C:$C,AX$1,Database!$F:$F,"Total")</f>
        <v>0</v>
      </c>
      <c r="AY128" s="137">
        <f>SUMIFS(Database!$G:$G,Database!$D:$D,"Export",Database!$E:$E,$B128,Database!$C:$C,AY$1,Database!$F:$F,"Total")</f>
        <v>0</v>
      </c>
      <c r="AZ128" s="137">
        <f>SUMIFS(Database!$G:$G,Database!$D:$D,"Export",Database!$E:$E,$B128,Database!$C:$C,AZ$1,Database!$F:$F,"Total")</f>
        <v>0</v>
      </c>
      <c r="BA128" s="137">
        <f>SUMIFS(Database!$G:$G,Database!$D:$D,"Export",Database!$E:$E,$B128,Database!$C:$C,BA$1,Database!$F:$F,"Total")</f>
        <v>0</v>
      </c>
      <c r="BB128" s="137">
        <f>SUMIFS(Database!$G:$G,Database!$D:$D,"Export",Database!$E:$E,$B128,Database!$C:$C,BB$1,Database!$F:$F,"Total")</f>
        <v>0</v>
      </c>
      <c r="BC128" s="137">
        <f>SUMIFS(Database!$G:$G,Database!$D:$D,"Export",Database!$E:$E,$B128,Database!$C:$C,BC$1,Database!$F:$F,"Total")</f>
        <v>0</v>
      </c>
      <c r="BD128" s="137">
        <f>SUMIFS(Database!$G:$G,Database!$D:$D,"Export",Database!$E:$E,$B128,Database!$C:$C,BD$1,Database!$F:$F,"Total")</f>
        <v>0</v>
      </c>
      <c r="BE128" s="137">
        <f>SUMIFS(Database!$G:$G,Database!$D:$D,"Export",Database!$E:$E,$B128,Database!$C:$C,BE$1,Database!$F:$F,"Total")</f>
        <v>0</v>
      </c>
      <c r="BF128" s="137">
        <f>SUMIFS(Database!$G:$G,Database!$D:$D,"Export",Database!$E:$E,$B128,Database!$C:$C,BF$1,Database!$F:$F,"Total")</f>
        <v>0</v>
      </c>
      <c r="BG128" s="137">
        <f>SUMIFS(Database!$G:$G,Database!$D:$D,"Export",Database!$E:$E,$B128,Database!$C:$C,BG$1,Database!$F:$F,"Total")</f>
        <v>0</v>
      </c>
      <c r="BH128" s="137">
        <f>SUMIFS(Database!$G:$G,Database!$D:$D,"Export",Database!$E:$E,$B128,Database!$C:$C,BH$1,Database!$F:$F,"Total")</f>
        <v>0</v>
      </c>
      <c r="BI128" s="137">
        <f>SUMIFS(Database!$G:$G,Database!$D:$D,"Export",Database!$E:$E,$B128,Database!$C:$C,BI$1,Database!$F:$F,"Total")</f>
        <v>0</v>
      </c>
      <c r="BJ128" s="137">
        <f>SUMIFS(Database!$G:$G,Database!$D:$D,"Export",Database!$E:$E,$B128,Database!$C:$C,BJ$1,Database!$F:$F,"Total")</f>
        <v>0</v>
      </c>
      <c r="BK128" s="137">
        <f>SUMIFS(Database!$G:$G,Database!$D:$D,"Export",Database!$E:$E,$B128,Database!$C:$C,BK$1,Database!$F:$F,"Total")</f>
        <v>0</v>
      </c>
      <c r="BL128" s="137">
        <f>SUMIFS(Database!$G:$G,Database!$D:$D,"Export",Database!$E:$E,$B128,Database!$C:$C,BL$1,Database!$F:$F,"Total")</f>
        <v>0</v>
      </c>
      <c r="BM128" s="137">
        <f>SUMIFS(Database!$G:$G,Database!$D:$D,"Export",Database!$E:$E,$B128,Database!$C:$C,BM$1,Database!$F:$F,"Total")</f>
        <v>0</v>
      </c>
      <c r="BN128" s="137">
        <f>SUMIFS(Database!$G:$G,Database!$D:$D,"Export",Database!$E:$E,$B128,Database!$C:$C,BN$1,Database!$F:$F,"Total")</f>
        <v>0</v>
      </c>
      <c r="BO128" s="137">
        <f>SUMIFS(Database!$G:$G,Database!$D:$D,"Export",Database!$E:$E,$B128,Database!$C:$C,BO$1,Database!$F:$F,"Total")</f>
        <v>0</v>
      </c>
      <c r="BP128" s="137">
        <f>SUMIFS(Database!$G:$G,Database!$D:$D,"Export",Database!$E:$E,$B128,Database!$C:$C,BP$1,Database!$F:$F,"Total")</f>
        <v>0</v>
      </c>
      <c r="BQ128" s="137">
        <f>SUMIFS(Database!$G:$G,Database!$D:$D,"Export",Database!$E:$E,$B128,Database!$C:$C,BQ$1,Database!$F:$F,"Total")</f>
        <v>0</v>
      </c>
      <c r="BR128" s="137">
        <f>SUMIFS(Database!$G:$G,Database!$D:$D,"Export",Database!$E:$E,$B128,Database!$C:$C,BR$1,Database!$F:$F,"Total")</f>
        <v>0</v>
      </c>
      <c r="BS128" s="137">
        <f>SUMIFS(Database!$G:$G,Database!$D:$D,"Export",Database!$E:$E,$B128,Database!$C:$C,BS$1,Database!$F:$F,"Total")</f>
        <v>0</v>
      </c>
      <c r="BT128" s="137">
        <f>SUMIFS(Database!$G:$G,Database!$D:$D,"Export",Database!$E:$E,$B128,Database!$C:$C,BT$1,Database!$F:$F,"Total")</f>
        <v>0</v>
      </c>
      <c r="BU128" s="137">
        <f>SUMIFS(Database!$G:$G,Database!$D:$D,"Export",Database!$E:$E,$B128,Database!$C:$C,BU$1,Database!$F:$F,"Total")</f>
        <v>0</v>
      </c>
      <c r="BV128" s="137">
        <f>SUMIFS(Database!$G:$G,Database!$D:$D,"Export",Database!$E:$E,$B128,Database!$C:$C,BV$1,Database!$F:$F,"Total")</f>
        <v>0</v>
      </c>
      <c r="BW128" s="137">
        <f>SUMIFS(Database!$G:$G,Database!$D:$D,"Export",Database!$E:$E,$B128,Database!$C:$C,BW$1,Database!$F:$F,"Total")</f>
        <v>0</v>
      </c>
      <c r="BX128" s="137">
        <f>SUMIFS(Database!$G:$G,Database!$D:$D,"Export",Database!$E:$E,$B128,Database!$C:$C,BX$1,Database!$F:$F,"Total")</f>
        <v>0</v>
      </c>
      <c r="BY128" s="137">
        <f>SUMIFS(Database!$G:$G,Database!$D:$D,"Export",Database!$E:$E,$B128,Database!$C:$C,BY$1,Database!$F:$F,"Total")</f>
        <v>0</v>
      </c>
      <c r="BZ128" s="137">
        <f>SUMIFS(Database!$G:$G,Database!$D:$D,"Export",Database!$E:$E,$B128,Database!$C:$C,BZ$1,Database!$F:$F,"Total")</f>
        <v>0</v>
      </c>
      <c r="CA128" s="137">
        <f>SUMIFS(Database!$G:$G,Database!$D:$D,"Export",Database!$E:$E,$B128,Database!$C:$C,CA$1,Database!$F:$F,"Total")</f>
        <v>0</v>
      </c>
      <c r="CB128" s="137">
        <f>SUMIFS(Database!$G:$G,Database!$D:$D,"Export",Database!$E:$E,$B128,Database!$C:$C,CB$1,Database!$F:$F,"Total")</f>
        <v>0</v>
      </c>
      <c r="CC128" s="137">
        <f>SUMIFS(Database!$G:$G,Database!$D:$D,"Export",Database!$E:$E,$B128,Database!$C:$C,CC$1,Database!$F:$F,"Total")</f>
        <v>0</v>
      </c>
      <c r="CD128" s="137">
        <f>SUMIFS(Database!$G:$G,Database!$D:$D,"Export",Database!$E:$E,$B128,Database!$C:$C,CD$1,Database!$F:$F,"Total")</f>
        <v>0</v>
      </c>
      <c r="CE128" s="137">
        <f>SUMIFS(Database!$G:$G,Database!$D:$D,"Export",Database!$E:$E,$B128,Database!$C:$C,CE$1,Database!$F:$F,"Total")</f>
        <v>0</v>
      </c>
      <c r="CF128" s="137">
        <f>SUMIFS(Database!$G:$G,Database!$D:$D,"Export",Database!$E:$E,$B128,Database!$C:$C,CF$1,Database!$F:$F,"Total")</f>
        <v>0</v>
      </c>
      <c r="CG128" s="137">
        <f>SUMIFS(Database!$G:$G,Database!$D:$D,"Export",Database!$E:$E,$B128,Database!$C:$C,CG$1,Database!$F:$F,"Total")</f>
        <v>0</v>
      </c>
      <c r="CH128" s="137">
        <f>SUMIFS(Database!$G:$G,Database!$D:$D,"Export",Database!$E:$E,$B128,Database!$C:$C,CH$1,Database!$F:$F,"Total")</f>
        <v>0</v>
      </c>
      <c r="CI128" s="137">
        <f>SUMIFS(Database!$G:$G,Database!$D:$D,"Export",Database!$E:$E,$B128,Database!$C:$C,CI$1,Database!$F:$F,"Total")</f>
        <v>0</v>
      </c>
      <c r="CJ128" s="137">
        <f>SUMIFS(Database!$G:$G,Database!$D:$D,"Export",Database!$E:$E,$B128,Database!$C:$C,CJ$1,Database!$F:$F,"Total")</f>
        <v>0</v>
      </c>
      <c r="CK128" s="137">
        <f>SUMIFS(Database!$G:$G,Database!$D:$D,"Export",Database!$E:$E,$B128,Database!$C:$C,CK$1,Database!$F:$F,"Total")</f>
        <v>0</v>
      </c>
      <c r="CL128" s="137">
        <f>SUMIFS(Database!$G:$G,Database!$D:$D,"Export",Database!$E:$E,$B128,Database!$C:$C,CL$1,Database!$F:$F,"Total")</f>
        <v>0</v>
      </c>
      <c r="CM128" s="137">
        <f>SUMIFS(Database!$G:$G,Database!$D:$D,"Export",Database!$E:$E,$B128,Database!$C:$C,CM$1,Database!$F:$F,"Total")</f>
        <v>0</v>
      </c>
      <c r="CN128" s="137">
        <f>SUMIFS(Database!$G:$G,Database!$D:$D,"Export",Database!$E:$E,$B128,Database!$C:$C,CN$1,Database!$F:$F,"Total")</f>
        <v>0</v>
      </c>
      <c r="CO128" s="137">
        <f>SUMIFS(Database!$G:$G,Database!$D:$D,"Export",Database!$E:$E,$B128,Database!$C:$C,CO$1,Database!$F:$F,"Total")</f>
        <v>0</v>
      </c>
      <c r="CP128" s="137">
        <f>SUMIFS(Database!$G:$G,Database!$D:$D,"Export",Database!$E:$E,$B128,Database!$C:$C,CP$1,Database!$F:$F,"Total")</f>
        <v>0</v>
      </c>
      <c r="CQ128" s="137">
        <f>SUMIFS(Database!$G:$G,Database!$D:$D,"Export",Database!$E:$E,$B128,Database!$C:$C,CQ$1,Database!$F:$F,"Total")</f>
        <v>0</v>
      </c>
      <c r="CR128" s="137">
        <f>SUMIFS(Database!$G:$G,Database!$D:$D,"Export",Database!$E:$E,$B128,Database!$C:$C,CR$1,Database!$F:$F,"Total")</f>
        <v>0</v>
      </c>
      <c r="CS128" s="137">
        <f>SUMIFS(Database!$G:$G,Database!$D:$D,"Export",Database!$E:$E,$B128,Database!$C:$C,CS$1,Database!$F:$F,"Total")</f>
        <v>0</v>
      </c>
      <c r="CT128" s="137">
        <f>SUMIFS(Database!$G:$G,Database!$D:$D,"Export",Database!$E:$E,$B128,Database!$C:$C,CT$1,Database!$F:$F,"Total")</f>
        <v>0</v>
      </c>
      <c r="CU128" s="137">
        <f>SUMIFS(Database!$G:$G,Database!$D:$D,"Export",Database!$E:$E,$B128,Database!$C:$C,CU$1,Database!$F:$F,"Total")</f>
        <v>0</v>
      </c>
    </row>
    <row r="129" spans="1:99" x14ac:dyDescent="0.25">
      <c r="A129" s="132" t="s">
        <v>485</v>
      </c>
      <c r="B129" s="133" t="s">
        <v>62</v>
      </c>
      <c r="C129" s="137">
        <f>SUMIFS(Database!$G:$G,Database!$D:$D,"Export",Database!$E:$E,$B129,Database!$C:$C,C$1,Database!$F:$F,"Total")</f>
        <v>0</v>
      </c>
      <c r="D129" s="137">
        <f>SUMIFS(Database!$G:$G,Database!$D:$D,"Export",Database!$E:$E,$B129,Database!$C:$C,D$1,Database!$F:$F,"Total")</f>
        <v>0</v>
      </c>
      <c r="E129" s="137">
        <f>SUMIFS(Database!$G:$G,Database!$D:$D,"Export",Database!$E:$E,$B129,Database!$C:$C,E$1,Database!$F:$F,"Total")</f>
        <v>0</v>
      </c>
      <c r="F129" s="137">
        <f>SUMIFS(Database!$G:$G,Database!$D:$D,"Export",Database!$E:$E,$B129,Database!$C:$C,F$1,Database!$F:$F,"Total")</f>
        <v>0</v>
      </c>
      <c r="G129" s="137">
        <f>SUMIFS(Database!$G:$G,Database!$D:$D,"Export",Database!$E:$E,$B129,Database!$C:$C,G$1,Database!$F:$F,"Total")</f>
        <v>0</v>
      </c>
      <c r="H129" s="137">
        <f>SUMIFS(Database!$G:$G,Database!$D:$D,"Export",Database!$E:$E,$B129,Database!$C:$C,H$1,Database!$F:$F,"Total")</f>
        <v>0</v>
      </c>
      <c r="I129" s="137">
        <f>SUMIFS(Database!$G:$G,Database!$D:$D,"Export",Database!$E:$E,$B129,Database!$C:$C,I$1,Database!$F:$F,"Total")</f>
        <v>0</v>
      </c>
      <c r="J129" s="137">
        <f>SUMIFS(Database!$G:$G,Database!$D:$D,"Export",Database!$E:$E,$B129,Database!$C:$C,J$1,Database!$F:$F,"Total")</f>
        <v>0</v>
      </c>
      <c r="K129" s="137">
        <f>SUMIFS(Database!$G:$G,Database!$D:$D,"Export",Database!$E:$E,$B129,Database!$C:$C,K$1,Database!$F:$F,"Total")</f>
        <v>0</v>
      </c>
      <c r="L129" s="137">
        <f>SUMIFS(Database!$G:$G,Database!$D:$D,"Export",Database!$E:$E,$B129,Database!$C:$C,L$1,Database!$F:$F,"Total")</f>
        <v>0</v>
      </c>
      <c r="M129" s="137">
        <f>SUMIFS(Database!$G:$G,Database!$D:$D,"Export",Database!$E:$E,$B129,Database!$C:$C,M$1,Database!$F:$F,"Total")</f>
        <v>0</v>
      </c>
      <c r="N129" s="137">
        <f>SUMIFS(Database!$G:$G,Database!$D:$D,"Export",Database!$E:$E,$B129,Database!$C:$C,N$1,Database!$F:$F,"Total")</f>
        <v>0</v>
      </c>
      <c r="O129" s="137">
        <f>SUMIFS(Database!$G:$G,Database!$D:$D,"Export",Database!$E:$E,$B129,Database!$C:$C,O$1,Database!$F:$F,"Total")</f>
        <v>0</v>
      </c>
      <c r="P129" s="137">
        <f>SUMIFS(Database!$G:$G,Database!$D:$D,"Export",Database!$E:$E,$B129,Database!$C:$C,P$1,Database!$F:$F,"Total")</f>
        <v>0</v>
      </c>
      <c r="Q129" s="137">
        <f>SUMIFS(Database!$G:$G,Database!$D:$D,"Export",Database!$E:$E,$B129,Database!$C:$C,Q$1,Database!$F:$F,"Total")</f>
        <v>0</v>
      </c>
      <c r="R129" s="137">
        <f>SUMIFS(Database!$G:$G,Database!$D:$D,"Export",Database!$E:$E,$B129,Database!$C:$C,R$1,Database!$F:$F,"Total")</f>
        <v>0</v>
      </c>
      <c r="S129" s="137">
        <f>SUMIFS(Database!$G:$G,Database!$D:$D,"Export",Database!$E:$E,$B129,Database!$C:$C,S$1,Database!$F:$F,"Total")</f>
        <v>0</v>
      </c>
      <c r="T129" s="137">
        <f>SUMIFS(Database!$G:$G,Database!$D:$D,"Export",Database!$E:$E,$B129,Database!$C:$C,T$1,Database!$F:$F,"Total")</f>
        <v>0</v>
      </c>
      <c r="U129" s="137">
        <f>SUMIFS(Database!$G:$G,Database!$D:$D,"Export",Database!$E:$E,$B129,Database!$C:$C,U$1,Database!$F:$F,"Total")</f>
        <v>0</v>
      </c>
      <c r="V129" s="137">
        <f>SUMIFS(Database!$G:$G,Database!$D:$D,"Export",Database!$E:$E,$B129,Database!$C:$C,V$1,Database!$F:$F,"Total")</f>
        <v>0</v>
      </c>
      <c r="W129" s="137">
        <f>SUMIFS(Database!$G:$G,Database!$D:$D,"Export",Database!$E:$E,$B129,Database!$C:$C,W$1,Database!$F:$F,"Total")</f>
        <v>0</v>
      </c>
      <c r="X129" s="137">
        <f>SUMIFS(Database!$G:$G,Database!$D:$D,"Export",Database!$E:$E,$B129,Database!$C:$C,X$1,Database!$F:$F,"Total")</f>
        <v>0</v>
      </c>
      <c r="Y129" s="137">
        <f>SUMIFS(Database!$G:$G,Database!$D:$D,"Export",Database!$E:$E,$B129,Database!$C:$C,Y$1,Database!$F:$F,"Total")</f>
        <v>0</v>
      </c>
      <c r="Z129" s="137">
        <f>SUMIFS(Database!$G:$G,Database!$D:$D,"Export",Database!$E:$E,$B129,Database!$C:$C,Z$1,Database!$F:$F,"Total")</f>
        <v>0</v>
      </c>
      <c r="AA129" s="137">
        <f>SUMIFS(Database!$G:$G,Database!$D:$D,"Export",Database!$E:$E,$B129,Database!$C:$C,AA$1,Database!$F:$F,"Total")</f>
        <v>0</v>
      </c>
      <c r="AB129" s="137">
        <f>SUMIFS(Database!$G:$G,Database!$D:$D,"Export",Database!$E:$E,$B129,Database!$C:$C,AB$1,Database!$F:$F,"Total")</f>
        <v>0</v>
      </c>
      <c r="AC129" s="137">
        <f>SUMIFS(Database!$G:$G,Database!$D:$D,"Export",Database!$E:$E,$B129,Database!$C:$C,AC$1,Database!$F:$F,"Total")</f>
        <v>0</v>
      </c>
      <c r="AD129" s="137">
        <f>SUMIFS(Database!$G:$G,Database!$D:$D,"Export",Database!$E:$E,$B129,Database!$C:$C,AD$1,Database!$F:$F,"Total")</f>
        <v>0</v>
      </c>
      <c r="AE129" s="137">
        <f>SUMIFS(Database!$G:$G,Database!$D:$D,"Export",Database!$E:$E,$B129,Database!$C:$C,AE$1,Database!$F:$F,"Total")</f>
        <v>0</v>
      </c>
      <c r="AF129" s="137">
        <f>SUMIFS(Database!$G:$G,Database!$D:$D,"Export",Database!$E:$E,$B129,Database!$C:$C,AF$1,Database!$F:$F,"Total")</f>
        <v>0</v>
      </c>
      <c r="AG129" s="137">
        <f>SUMIFS(Database!$G:$G,Database!$D:$D,"Export",Database!$E:$E,$B129,Database!$C:$C,AG$1,Database!$F:$F,"Total")</f>
        <v>0</v>
      </c>
      <c r="AH129" s="137">
        <f>SUMIFS(Database!$G:$G,Database!$D:$D,"Export",Database!$E:$E,$B129,Database!$C:$C,AH$1,Database!$F:$F,"Total")</f>
        <v>0</v>
      </c>
      <c r="AI129" s="137">
        <f>SUMIFS(Database!$G:$G,Database!$D:$D,"Export",Database!$E:$E,$B129,Database!$C:$C,AI$1,Database!$F:$F,"Total")</f>
        <v>0</v>
      </c>
      <c r="AJ129" s="137">
        <f>SUMIFS(Database!$G:$G,Database!$D:$D,"Export",Database!$E:$E,$B129,Database!$C:$C,AJ$1,Database!$F:$F,"Total")</f>
        <v>823</v>
      </c>
      <c r="AK129" s="137">
        <f>SUMIFS(Database!$G:$G,Database!$D:$D,"Export",Database!$E:$E,$B129,Database!$C:$C,AK$1,Database!$F:$F,"Total")</f>
        <v>0</v>
      </c>
      <c r="AL129" s="137">
        <f>SUMIFS(Database!$G:$G,Database!$D:$D,"Export",Database!$E:$E,$B129,Database!$C:$C,AL$1,Database!$F:$F,"Total")</f>
        <v>0</v>
      </c>
      <c r="AM129" s="137">
        <f>SUMIFS(Database!$G:$G,Database!$D:$D,"Export",Database!$E:$E,$B129,Database!$C:$C,AM$1,Database!$F:$F,"Total")</f>
        <v>0</v>
      </c>
      <c r="AN129" s="137">
        <f>SUMIFS(Database!$G:$G,Database!$D:$D,"Export",Database!$E:$E,$B129,Database!$C:$C,AN$1,Database!$F:$F,"Total")</f>
        <v>0</v>
      </c>
      <c r="AO129" s="137">
        <f>SUMIFS(Database!$G:$G,Database!$D:$D,"Export",Database!$E:$E,$B129,Database!$C:$C,AO$1,Database!$F:$F,"Total")</f>
        <v>0</v>
      </c>
      <c r="AP129" s="137">
        <f>SUMIFS(Database!$G:$G,Database!$D:$D,"Export",Database!$E:$E,$B129,Database!$C:$C,AP$1,Database!$F:$F,"Total")</f>
        <v>0</v>
      </c>
      <c r="AQ129" s="137">
        <f>SUMIFS(Database!$G:$G,Database!$D:$D,"Export",Database!$E:$E,$B129,Database!$C:$C,AQ$1,Database!$F:$F,"Total")</f>
        <v>0</v>
      </c>
      <c r="AR129" s="137">
        <f>SUMIFS(Database!$G:$G,Database!$D:$D,"Export",Database!$E:$E,$B129,Database!$C:$C,AR$1,Database!$F:$F,"Total")</f>
        <v>0</v>
      </c>
      <c r="AS129" s="137">
        <f>SUMIFS(Database!$G:$G,Database!$D:$D,"Export",Database!$E:$E,$B129,Database!$C:$C,AS$1,Database!$F:$F,"Total")</f>
        <v>0</v>
      </c>
      <c r="AT129" s="137">
        <f>SUMIFS(Database!$G:$G,Database!$D:$D,"Export",Database!$E:$E,$B129,Database!$C:$C,AT$1,Database!$F:$F,"Total")</f>
        <v>0</v>
      </c>
      <c r="AU129" s="137">
        <f>SUMIFS(Database!$G:$G,Database!$D:$D,"Export",Database!$E:$E,$B129,Database!$C:$C,AU$1,Database!$F:$F,"Total")</f>
        <v>0</v>
      </c>
      <c r="AV129" s="137">
        <f>SUMIFS(Database!$G:$G,Database!$D:$D,"Export",Database!$E:$E,$B129,Database!$C:$C,AV$1,Database!$F:$F,"Total")</f>
        <v>0</v>
      </c>
      <c r="AW129" s="137">
        <f>SUMIFS(Database!$G:$G,Database!$D:$D,"Export",Database!$E:$E,$B129,Database!$C:$C,AW$1,Database!$F:$F,"Total")</f>
        <v>0</v>
      </c>
      <c r="AX129" s="137">
        <f>SUMIFS(Database!$G:$G,Database!$D:$D,"Export",Database!$E:$E,$B129,Database!$C:$C,AX$1,Database!$F:$F,"Total")</f>
        <v>0</v>
      </c>
      <c r="AY129" s="137">
        <f>SUMIFS(Database!$G:$G,Database!$D:$D,"Export",Database!$E:$E,$B129,Database!$C:$C,AY$1,Database!$F:$F,"Total")</f>
        <v>0</v>
      </c>
      <c r="AZ129" s="137">
        <f>SUMIFS(Database!$G:$G,Database!$D:$D,"Export",Database!$E:$E,$B129,Database!$C:$C,AZ$1,Database!$F:$F,"Total")</f>
        <v>0</v>
      </c>
      <c r="BA129" s="137">
        <f>SUMIFS(Database!$G:$G,Database!$D:$D,"Export",Database!$E:$E,$B129,Database!$C:$C,BA$1,Database!$F:$F,"Total")</f>
        <v>0</v>
      </c>
      <c r="BB129" s="137">
        <f>SUMIFS(Database!$G:$G,Database!$D:$D,"Export",Database!$E:$E,$B129,Database!$C:$C,BB$1,Database!$F:$F,"Total")</f>
        <v>0</v>
      </c>
      <c r="BC129" s="137">
        <f>SUMIFS(Database!$G:$G,Database!$D:$D,"Export",Database!$E:$E,$B129,Database!$C:$C,BC$1,Database!$F:$F,"Total")</f>
        <v>0</v>
      </c>
      <c r="BD129" s="137">
        <f>SUMIFS(Database!$G:$G,Database!$D:$D,"Export",Database!$E:$E,$B129,Database!$C:$C,BD$1,Database!$F:$F,"Total")</f>
        <v>0</v>
      </c>
      <c r="BE129" s="137">
        <f>SUMIFS(Database!$G:$G,Database!$D:$D,"Export",Database!$E:$E,$B129,Database!$C:$C,BE$1,Database!$F:$F,"Total")</f>
        <v>0</v>
      </c>
      <c r="BF129" s="137">
        <f>SUMIFS(Database!$G:$G,Database!$D:$D,"Export",Database!$E:$E,$B129,Database!$C:$C,BF$1,Database!$F:$F,"Total")</f>
        <v>0</v>
      </c>
      <c r="BG129" s="137">
        <f>SUMIFS(Database!$G:$G,Database!$D:$D,"Export",Database!$E:$E,$B129,Database!$C:$C,BG$1,Database!$F:$F,"Total")</f>
        <v>0</v>
      </c>
      <c r="BH129" s="137">
        <f>SUMIFS(Database!$G:$G,Database!$D:$D,"Export",Database!$E:$E,$B129,Database!$C:$C,BH$1,Database!$F:$F,"Total")</f>
        <v>0</v>
      </c>
      <c r="BI129" s="137">
        <f>SUMIFS(Database!$G:$G,Database!$D:$D,"Export",Database!$E:$E,$B129,Database!$C:$C,BI$1,Database!$F:$F,"Total")</f>
        <v>0</v>
      </c>
      <c r="BJ129" s="137">
        <f>SUMIFS(Database!$G:$G,Database!$D:$D,"Export",Database!$E:$E,$B129,Database!$C:$C,BJ$1,Database!$F:$F,"Total")</f>
        <v>0</v>
      </c>
      <c r="BK129" s="137">
        <f>SUMIFS(Database!$G:$G,Database!$D:$D,"Export",Database!$E:$E,$B129,Database!$C:$C,BK$1,Database!$F:$F,"Total")</f>
        <v>0</v>
      </c>
      <c r="BL129" s="137">
        <f>SUMIFS(Database!$G:$G,Database!$D:$D,"Export",Database!$E:$E,$B129,Database!$C:$C,BL$1,Database!$F:$F,"Total")</f>
        <v>0</v>
      </c>
      <c r="BM129" s="137">
        <f>SUMIFS(Database!$G:$G,Database!$D:$D,"Export",Database!$E:$E,$B129,Database!$C:$C,BM$1,Database!$F:$F,"Total")</f>
        <v>0</v>
      </c>
      <c r="BN129" s="137">
        <f>SUMIFS(Database!$G:$G,Database!$D:$D,"Export",Database!$E:$E,$B129,Database!$C:$C,BN$1,Database!$F:$F,"Total")</f>
        <v>0</v>
      </c>
      <c r="BO129" s="137">
        <f>SUMIFS(Database!$G:$G,Database!$D:$D,"Export",Database!$E:$E,$B129,Database!$C:$C,BO$1,Database!$F:$F,"Total")</f>
        <v>0</v>
      </c>
      <c r="BP129" s="137">
        <f>SUMIFS(Database!$G:$G,Database!$D:$D,"Export",Database!$E:$E,$B129,Database!$C:$C,BP$1,Database!$F:$F,"Total")</f>
        <v>0</v>
      </c>
      <c r="BQ129" s="137">
        <f>SUMIFS(Database!$G:$G,Database!$D:$D,"Export",Database!$E:$E,$B129,Database!$C:$C,BQ$1,Database!$F:$F,"Total")</f>
        <v>0</v>
      </c>
      <c r="BR129" s="137">
        <f>SUMIFS(Database!$G:$G,Database!$D:$D,"Export",Database!$E:$E,$B129,Database!$C:$C,BR$1,Database!$F:$F,"Total")</f>
        <v>0</v>
      </c>
      <c r="BS129" s="137">
        <f>SUMIFS(Database!$G:$G,Database!$D:$D,"Export",Database!$E:$E,$B129,Database!$C:$C,BS$1,Database!$F:$F,"Total")</f>
        <v>0</v>
      </c>
      <c r="BT129" s="137">
        <f>SUMIFS(Database!$G:$G,Database!$D:$D,"Export",Database!$E:$E,$B129,Database!$C:$C,BT$1,Database!$F:$F,"Total")</f>
        <v>0</v>
      </c>
      <c r="BU129" s="137">
        <f>SUMIFS(Database!$G:$G,Database!$D:$D,"Export",Database!$E:$E,$B129,Database!$C:$C,BU$1,Database!$F:$F,"Total")</f>
        <v>0</v>
      </c>
      <c r="BV129" s="137">
        <f>SUMIFS(Database!$G:$G,Database!$D:$D,"Export",Database!$E:$E,$B129,Database!$C:$C,BV$1,Database!$F:$F,"Total")</f>
        <v>0</v>
      </c>
      <c r="BW129" s="137">
        <f>SUMIFS(Database!$G:$G,Database!$D:$D,"Export",Database!$E:$E,$B129,Database!$C:$C,BW$1,Database!$F:$F,"Total")</f>
        <v>0</v>
      </c>
      <c r="BX129" s="137">
        <f>SUMIFS(Database!$G:$G,Database!$D:$D,"Export",Database!$E:$E,$B129,Database!$C:$C,BX$1,Database!$F:$F,"Total")</f>
        <v>0</v>
      </c>
      <c r="BY129" s="137">
        <f>SUMIFS(Database!$G:$G,Database!$D:$D,"Export",Database!$E:$E,$B129,Database!$C:$C,BY$1,Database!$F:$F,"Total")</f>
        <v>0</v>
      </c>
      <c r="BZ129" s="137">
        <f>SUMIFS(Database!$G:$G,Database!$D:$D,"Export",Database!$E:$E,$B129,Database!$C:$C,BZ$1,Database!$F:$F,"Total")</f>
        <v>0</v>
      </c>
      <c r="CA129" s="137">
        <f>SUMIFS(Database!$G:$G,Database!$D:$D,"Export",Database!$E:$E,$B129,Database!$C:$C,CA$1,Database!$F:$F,"Total")</f>
        <v>0</v>
      </c>
      <c r="CB129" s="137">
        <f>SUMIFS(Database!$G:$G,Database!$D:$D,"Export",Database!$E:$E,$B129,Database!$C:$C,CB$1,Database!$F:$F,"Total")</f>
        <v>0</v>
      </c>
      <c r="CC129" s="137">
        <f>SUMIFS(Database!$G:$G,Database!$D:$D,"Export",Database!$E:$E,$B129,Database!$C:$C,CC$1,Database!$F:$F,"Total")</f>
        <v>0</v>
      </c>
      <c r="CD129" s="137">
        <f>SUMIFS(Database!$G:$G,Database!$D:$D,"Export",Database!$E:$E,$B129,Database!$C:$C,CD$1,Database!$F:$F,"Total")</f>
        <v>0</v>
      </c>
      <c r="CE129" s="137">
        <f>SUMIFS(Database!$G:$G,Database!$D:$D,"Export",Database!$E:$E,$B129,Database!$C:$C,CE$1,Database!$F:$F,"Total")</f>
        <v>0</v>
      </c>
      <c r="CF129" s="137">
        <f>SUMIFS(Database!$G:$G,Database!$D:$D,"Export",Database!$E:$E,$B129,Database!$C:$C,CF$1,Database!$F:$F,"Total")</f>
        <v>0</v>
      </c>
      <c r="CG129" s="137">
        <f>SUMIFS(Database!$G:$G,Database!$D:$D,"Export",Database!$E:$E,$B129,Database!$C:$C,CG$1,Database!$F:$F,"Total")</f>
        <v>0</v>
      </c>
      <c r="CH129" s="137">
        <f>SUMIFS(Database!$G:$G,Database!$D:$D,"Export",Database!$E:$E,$B129,Database!$C:$C,CH$1,Database!$F:$F,"Total")</f>
        <v>0</v>
      </c>
      <c r="CI129" s="137">
        <f>SUMIFS(Database!$G:$G,Database!$D:$D,"Export",Database!$E:$E,$B129,Database!$C:$C,CI$1,Database!$F:$F,"Total")</f>
        <v>0</v>
      </c>
      <c r="CJ129" s="137">
        <f>SUMIFS(Database!$G:$G,Database!$D:$D,"Export",Database!$E:$E,$B129,Database!$C:$C,CJ$1,Database!$F:$F,"Total")</f>
        <v>0</v>
      </c>
      <c r="CK129" s="137">
        <f>SUMIFS(Database!$G:$G,Database!$D:$D,"Export",Database!$E:$E,$B129,Database!$C:$C,CK$1,Database!$F:$F,"Total")</f>
        <v>0</v>
      </c>
      <c r="CL129" s="137">
        <f>SUMIFS(Database!$G:$G,Database!$D:$D,"Export",Database!$E:$E,$B129,Database!$C:$C,CL$1,Database!$F:$F,"Total")</f>
        <v>0</v>
      </c>
      <c r="CM129" s="137">
        <f>SUMIFS(Database!$G:$G,Database!$D:$D,"Export",Database!$E:$E,$B129,Database!$C:$C,CM$1,Database!$F:$F,"Total")</f>
        <v>0</v>
      </c>
      <c r="CN129" s="137">
        <f>SUMIFS(Database!$G:$G,Database!$D:$D,"Export",Database!$E:$E,$B129,Database!$C:$C,CN$1,Database!$F:$F,"Total")</f>
        <v>0</v>
      </c>
      <c r="CO129" s="137">
        <f>SUMIFS(Database!$G:$G,Database!$D:$D,"Export",Database!$E:$E,$B129,Database!$C:$C,CO$1,Database!$F:$F,"Total")</f>
        <v>0</v>
      </c>
      <c r="CP129" s="137">
        <f>SUMIFS(Database!$G:$G,Database!$D:$D,"Export",Database!$E:$E,$B129,Database!$C:$C,CP$1,Database!$F:$F,"Total")</f>
        <v>0</v>
      </c>
      <c r="CQ129" s="137">
        <f>SUMIFS(Database!$G:$G,Database!$D:$D,"Export",Database!$E:$E,$B129,Database!$C:$C,CQ$1,Database!$F:$F,"Total")</f>
        <v>0</v>
      </c>
      <c r="CR129" s="137">
        <f>SUMIFS(Database!$G:$G,Database!$D:$D,"Export",Database!$E:$E,$B129,Database!$C:$C,CR$1,Database!$F:$F,"Total")</f>
        <v>0</v>
      </c>
      <c r="CS129" s="137">
        <f>SUMIFS(Database!$G:$G,Database!$D:$D,"Export",Database!$E:$E,$B129,Database!$C:$C,CS$1,Database!$F:$F,"Total")</f>
        <v>0</v>
      </c>
      <c r="CT129" s="137">
        <f>SUMIFS(Database!$G:$G,Database!$D:$D,"Export",Database!$E:$E,$B129,Database!$C:$C,CT$1,Database!$F:$F,"Total")</f>
        <v>0</v>
      </c>
      <c r="CU129" s="137">
        <f>SUMIFS(Database!$G:$G,Database!$D:$D,"Export",Database!$E:$E,$B129,Database!$C:$C,CU$1,Database!$F:$F,"Total")</f>
        <v>0</v>
      </c>
    </row>
    <row r="130" spans="1:99" x14ac:dyDescent="0.25">
      <c r="A130" s="132" t="s">
        <v>485</v>
      </c>
      <c r="B130" s="133" t="s">
        <v>129</v>
      </c>
      <c r="C130" s="137">
        <f>SUMIFS(Database!$G:$G,Database!$D:$D,"Export",Database!$E:$E,$B130,Database!$C:$C,C$1,Database!$F:$F,"Total")</f>
        <v>0</v>
      </c>
      <c r="D130" s="137">
        <f>SUMIFS(Database!$G:$G,Database!$D:$D,"Export",Database!$E:$E,$B130,Database!$C:$C,D$1,Database!$F:$F,"Total")</f>
        <v>0</v>
      </c>
      <c r="E130" s="137">
        <f>SUMIFS(Database!$G:$G,Database!$D:$D,"Export",Database!$E:$E,$B130,Database!$C:$C,E$1,Database!$F:$F,"Total")</f>
        <v>0</v>
      </c>
      <c r="F130" s="137">
        <f>SUMIFS(Database!$G:$G,Database!$D:$D,"Export",Database!$E:$E,$B130,Database!$C:$C,F$1,Database!$F:$F,"Total")</f>
        <v>0</v>
      </c>
      <c r="G130" s="137">
        <f>SUMIFS(Database!$G:$G,Database!$D:$D,"Export",Database!$E:$E,$B130,Database!$C:$C,G$1,Database!$F:$F,"Total")</f>
        <v>0</v>
      </c>
      <c r="H130" s="137">
        <f>SUMIFS(Database!$G:$G,Database!$D:$D,"Export",Database!$E:$E,$B130,Database!$C:$C,H$1,Database!$F:$F,"Total")</f>
        <v>0</v>
      </c>
      <c r="I130" s="137">
        <f>SUMIFS(Database!$G:$G,Database!$D:$D,"Export",Database!$E:$E,$B130,Database!$C:$C,I$1,Database!$F:$F,"Total")</f>
        <v>0</v>
      </c>
      <c r="J130" s="137">
        <f>SUMIFS(Database!$G:$G,Database!$D:$D,"Export",Database!$E:$E,$B130,Database!$C:$C,J$1,Database!$F:$F,"Total")</f>
        <v>0</v>
      </c>
      <c r="K130" s="137">
        <f>SUMIFS(Database!$G:$G,Database!$D:$D,"Export",Database!$E:$E,$B130,Database!$C:$C,K$1,Database!$F:$F,"Total")</f>
        <v>0</v>
      </c>
      <c r="L130" s="137">
        <f>SUMIFS(Database!$G:$G,Database!$D:$D,"Export",Database!$E:$E,$B130,Database!$C:$C,L$1,Database!$F:$F,"Total")</f>
        <v>0</v>
      </c>
      <c r="M130" s="137">
        <f>SUMIFS(Database!$G:$G,Database!$D:$D,"Export",Database!$E:$E,$B130,Database!$C:$C,M$1,Database!$F:$F,"Total")</f>
        <v>0</v>
      </c>
      <c r="N130" s="137">
        <f>SUMIFS(Database!$G:$G,Database!$D:$D,"Export",Database!$E:$E,$B130,Database!$C:$C,N$1,Database!$F:$F,"Total")</f>
        <v>0</v>
      </c>
      <c r="O130" s="137">
        <f>SUMIFS(Database!$G:$G,Database!$D:$D,"Export",Database!$E:$E,$B130,Database!$C:$C,O$1,Database!$F:$F,"Total")</f>
        <v>0</v>
      </c>
      <c r="P130" s="137">
        <f>SUMIFS(Database!$G:$G,Database!$D:$D,"Export",Database!$E:$E,$B130,Database!$C:$C,P$1,Database!$F:$F,"Total")</f>
        <v>0</v>
      </c>
      <c r="Q130" s="137">
        <f>SUMIFS(Database!$G:$G,Database!$D:$D,"Export",Database!$E:$E,$B130,Database!$C:$C,Q$1,Database!$F:$F,"Total")</f>
        <v>0</v>
      </c>
      <c r="R130" s="137">
        <f>SUMIFS(Database!$G:$G,Database!$D:$D,"Export",Database!$E:$E,$B130,Database!$C:$C,R$1,Database!$F:$F,"Total")</f>
        <v>0</v>
      </c>
      <c r="S130" s="137">
        <f>SUMIFS(Database!$G:$G,Database!$D:$D,"Export",Database!$E:$E,$B130,Database!$C:$C,S$1,Database!$F:$F,"Total")</f>
        <v>0</v>
      </c>
      <c r="T130" s="137">
        <f>SUMIFS(Database!$G:$G,Database!$D:$D,"Export",Database!$E:$E,$B130,Database!$C:$C,T$1,Database!$F:$F,"Total")</f>
        <v>0</v>
      </c>
      <c r="U130" s="137">
        <f>SUMIFS(Database!$G:$G,Database!$D:$D,"Export",Database!$E:$E,$B130,Database!$C:$C,U$1,Database!$F:$F,"Total")</f>
        <v>0</v>
      </c>
      <c r="V130" s="137">
        <f>SUMIFS(Database!$G:$G,Database!$D:$D,"Export",Database!$E:$E,$B130,Database!$C:$C,V$1,Database!$F:$F,"Total")</f>
        <v>0</v>
      </c>
      <c r="W130" s="137">
        <f>SUMIFS(Database!$G:$G,Database!$D:$D,"Export",Database!$E:$E,$B130,Database!$C:$C,W$1,Database!$F:$F,"Total")</f>
        <v>0</v>
      </c>
      <c r="X130" s="137">
        <f>SUMIFS(Database!$G:$G,Database!$D:$D,"Export",Database!$E:$E,$B130,Database!$C:$C,X$1,Database!$F:$F,"Total")</f>
        <v>0</v>
      </c>
      <c r="Y130" s="137">
        <f>SUMIFS(Database!$G:$G,Database!$D:$D,"Export",Database!$E:$E,$B130,Database!$C:$C,Y$1,Database!$F:$F,"Total")</f>
        <v>0</v>
      </c>
      <c r="Z130" s="137">
        <f>SUMIFS(Database!$G:$G,Database!$D:$D,"Export",Database!$E:$E,$B130,Database!$C:$C,Z$1,Database!$F:$F,"Total")</f>
        <v>0</v>
      </c>
      <c r="AA130" s="137">
        <f>SUMIFS(Database!$G:$G,Database!$D:$D,"Export",Database!$E:$E,$B130,Database!$C:$C,AA$1,Database!$F:$F,"Total")</f>
        <v>0</v>
      </c>
      <c r="AB130" s="137">
        <f>SUMIFS(Database!$G:$G,Database!$D:$D,"Export",Database!$E:$E,$B130,Database!$C:$C,AB$1,Database!$F:$F,"Total")</f>
        <v>0</v>
      </c>
      <c r="AC130" s="137">
        <f>SUMIFS(Database!$G:$G,Database!$D:$D,"Export",Database!$E:$E,$B130,Database!$C:$C,AC$1,Database!$F:$F,"Total")</f>
        <v>0</v>
      </c>
      <c r="AD130" s="137">
        <f>SUMIFS(Database!$G:$G,Database!$D:$D,"Export",Database!$E:$E,$B130,Database!$C:$C,AD$1,Database!$F:$F,"Total")</f>
        <v>0</v>
      </c>
      <c r="AE130" s="137">
        <f>SUMIFS(Database!$G:$G,Database!$D:$D,"Export",Database!$E:$E,$B130,Database!$C:$C,AE$1,Database!$F:$F,"Total")</f>
        <v>0</v>
      </c>
      <c r="AF130" s="137">
        <f>SUMIFS(Database!$G:$G,Database!$D:$D,"Export",Database!$E:$E,$B130,Database!$C:$C,AF$1,Database!$F:$F,"Total")</f>
        <v>0</v>
      </c>
      <c r="AG130" s="137">
        <f>SUMIFS(Database!$G:$G,Database!$D:$D,"Export",Database!$E:$E,$B130,Database!$C:$C,AG$1,Database!$F:$F,"Total")</f>
        <v>0</v>
      </c>
      <c r="AH130" s="137">
        <f>SUMIFS(Database!$G:$G,Database!$D:$D,"Export",Database!$E:$E,$B130,Database!$C:$C,AH$1,Database!$F:$F,"Total")</f>
        <v>0</v>
      </c>
      <c r="AI130" s="137">
        <f>SUMIFS(Database!$G:$G,Database!$D:$D,"Export",Database!$E:$E,$B130,Database!$C:$C,AI$1,Database!$F:$F,"Total")</f>
        <v>0</v>
      </c>
      <c r="AJ130" s="137">
        <f>SUMIFS(Database!$G:$G,Database!$D:$D,"Export",Database!$E:$E,$B130,Database!$C:$C,AJ$1,Database!$F:$F,"Total")</f>
        <v>0</v>
      </c>
      <c r="AK130" s="137">
        <f>SUMIFS(Database!$G:$G,Database!$D:$D,"Export",Database!$E:$E,$B130,Database!$C:$C,AK$1,Database!$F:$F,"Total")</f>
        <v>0</v>
      </c>
      <c r="AL130" s="137">
        <f>SUMIFS(Database!$G:$G,Database!$D:$D,"Export",Database!$E:$E,$B130,Database!$C:$C,AL$1,Database!$F:$F,"Total")</f>
        <v>0</v>
      </c>
      <c r="AM130" s="137">
        <f>SUMIFS(Database!$G:$G,Database!$D:$D,"Export",Database!$E:$E,$B130,Database!$C:$C,AM$1,Database!$F:$F,"Total")</f>
        <v>0</v>
      </c>
      <c r="AN130" s="137">
        <f>SUMIFS(Database!$G:$G,Database!$D:$D,"Export",Database!$E:$E,$B130,Database!$C:$C,AN$1,Database!$F:$F,"Total")</f>
        <v>0</v>
      </c>
      <c r="AO130" s="137">
        <f>SUMIFS(Database!$G:$G,Database!$D:$D,"Export",Database!$E:$E,$B130,Database!$C:$C,AO$1,Database!$F:$F,"Total")</f>
        <v>0</v>
      </c>
      <c r="AP130" s="137">
        <f>SUMIFS(Database!$G:$G,Database!$D:$D,"Export",Database!$E:$E,$B130,Database!$C:$C,AP$1,Database!$F:$F,"Total")</f>
        <v>0</v>
      </c>
      <c r="AQ130" s="137">
        <f>SUMIFS(Database!$G:$G,Database!$D:$D,"Export",Database!$E:$E,$B130,Database!$C:$C,AQ$1,Database!$F:$F,"Total")</f>
        <v>0</v>
      </c>
      <c r="AR130" s="137">
        <f>SUMIFS(Database!$G:$G,Database!$D:$D,"Export",Database!$E:$E,$B130,Database!$C:$C,AR$1,Database!$F:$F,"Total")</f>
        <v>0</v>
      </c>
      <c r="AS130" s="137">
        <f>SUMIFS(Database!$G:$G,Database!$D:$D,"Export",Database!$E:$E,$B130,Database!$C:$C,AS$1,Database!$F:$F,"Total")</f>
        <v>0</v>
      </c>
      <c r="AT130" s="137">
        <f>SUMIFS(Database!$G:$G,Database!$D:$D,"Export",Database!$E:$E,$B130,Database!$C:$C,AT$1,Database!$F:$F,"Total")</f>
        <v>0</v>
      </c>
      <c r="AU130" s="137">
        <f>SUMIFS(Database!$G:$G,Database!$D:$D,"Export",Database!$E:$E,$B130,Database!$C:$C,AU$1,Database!$F:$F,"Total")</f>
        <v>0</v>
      </c>
      <c r="AV130" s="137">
        <f>SUMIFS(Database!$G:$G,Database!$D:$D,"Export",Database!$E:$E,$B130,Database!$C:$C,AV$1,Database!$F:$F,"Total")</f>
        <v>0</v>
      </c>
      <c r="AW130" s="137">
        <f>SUMIFS(Database!$G:$G,Database!$D:$D,"Export",Database!$E:$E,$B130,Database!$C:$C,AW$1,Database!$F:$F,"Total")</f>
        <v>0</v>
      </c>
      <c r="AX130" s="137">
        <f>SUMIFS(Database!$G:$G,Database!$D:$D,"Export",Database!$E:$E,$B130,Database!$C:$C,AX$1,Database!$F:$F,"Total")</f>
        <v>0</v>
      </c>
      <c r="AY130" s="137">
        <f>SUMIFS(Database!$G:$G,Database!$D:$D,"Export",Database!$E:$E,$B130,Database!$C:$C,AY$1,Database!$F:$F,"Total")</f>
        <v>0</v>
      </c>
      <c r="AZ130" s="137">
        <f>SUMIFS(Database!$G:$G,Database!$D:$D,"Export",Database!$E:$E,$B130,Database!$C:$C,AZ$1,Database!$F:$F,"Total")</f>
        <v>0</v>
      </c>
      <c r="BA130" s="137">
        <f>SUMIFS(Database!$G:$G,Database!$D:$D,"Export",Database!$E:$E,$B130,Database!$C:$C,BA$1,Database!$F:$F,"Total")</f>
        <v>0</v>
      </c>
      <c r="BB130" s="137">
        <f>SUMIFS(Database!$G:$G,Database!$D:$D,"Export",Database!$E:$E,$B130,Database!$C:$C,BB$1,Database!$F:$F,"Total")</f>
        <v>0</v>
      </c>
      <c r="BC130" s="137">
        <f>SUMIFS(Database!$G:$G,Database!$D:$D,"Export",Database!$E:$E,$B130,Database!$C:$C,BC$1,Database!$F:$F,"Total")</f>
        <v>0</v>
      </c>
      <c r="BD130" s="137">
        <f>SUMIFS(Database!$G:$G,Database!$D:$D,"Export",Database!$E:$E,$B130,Database!$C:$C,BD$1,Database!$F:$F,"Total")</f>
        <v>0</v>
      </c>
      <c r="BE130" s="137">
        <f>SUMIFS(Database!$G:$G,Database!$D:$D,"Export",Database!$E:$E,$B130,Database!$C:$C,BE$1,Database!$F:$F,"Total")</f>
        <v>0</v>
      </c>
      <c r="BF130" s="137">
        <f>SUMIFS(Database!$G:$G,Database!$D:$D,"Export",Database!$E:$E,$B130,Database!$C:$C,BF$1,Database!$F:$F,"Total")</f>
        <v>0</v>
      </c>
      <c r="BG130" s="137">
        <f>SUMIFS(Database!$G:$G,Database!$D:$D,"Export",Database!$E:$E,$B130,Database!$C:$C,BG$1,Database!$F:$F,"Total")</f>
        <v>0</v>
      </c>
      <c r="BH130" s="137">
        <f>SUMIFS(Database!$G:$G,Database!$D:$D,"Export",Database!$E:$E,$B130,Database!$C:$C,BH$1,Database!$F:$F,"Total")</f>
        <v>907.5</v>
      </c>
      <c r="BI130" s="137">
        <f>SUMIFS(Database!$G:$G,Database!$D:$D,"Export",Database!$E:$E,$B130,Database!$C:$C,BI$1,Database!$F:$F,"Total")</f>
        <v>0</v>
      </c>
      <c r="BJ130" s="137">
        <f>SUMIFS(Database!$G:$G,Database!$D:$D,"Export",Database!$E:$E,$B130,Database!$C:$C,BJ$1,Database!$F:$F,"Total")</f>
        <v>1123</v>
      </c>
      <c r="BK130" s="137">
        <f>SUMIFS(Database!$G:$G,Database!$D:$D,"Export",Database!$E:$E,$B130,Database!$C:$C,BK$1,Database!$F:$F,"Total")</f>
        <v>1589</v>
      </c>
      <c r="BL130" s="137">
        <f>SUMIFS(Database!$G:$G,Database!$D:$D,"Export",Database!$E:$E,$B130,Database!$C:$C,BL$1,Database!$F:$F,"Total")</f>
        <v>0</v>
      </c>
      <c r="BM130" s="137">
        <f>SUMIFS(Database!$G:$G,Database!$D:$D,"Export",Database!$E:$E,$B130,Database!$C:$C,BM$1,Database!$F:$F,"Total")</f>
        <v>0</v>
      </c>
      <c r="BN130" s="137">
        <f>SUMIFS(Database!$G:$G,Database!$D:$D,"Export",Database!$E:$E,$B130,Database!$C:$C,BN$1,Database!$F:$F,"Total")</f>
        <v>614.70000000000005</v>
      </c>
      <c r="BO130" s="137">
        <f>SUMIFS(Database!$G:$G,Database!$D:$D,"Export",Database!$E:$E,$B130,Database!$C:$C,BO$1,Database!$F:$F,"Total")</f>
        <v>0</v>
      </c>
      <c r="BP130" s="137">
        <f>SUMIFS(Database!$G:$G,Database!$D:$D,"Export",Database!$E:$E,$B130,Database!$C:$C,BP$1,Database!$F:$F,"Total")</f>
        <v>3088.65</v>
      </c>
      <c r="BQ130" s="137">
        <f>SUMIFS(Database!$G:$G,Database!$D:$D,"Export",Database!$E:$E,$B130,Database!$C:$C,BQ$1,Database!$F:$F,"Total")</f>
        <v>1406</v>
      </c>
      <c r="BR130" s="137">
        <f>SUMIFS(Database!$G:$G,Database!$D:$D,"Export",Database!$E:$E,$B130,Database!$C:$C,BR$1,Database!$F:$F,"Total")</f>
        <v>556.5</v>
      </c>
      <c r="BS130" s="137">
        <f>SUMIFS(Database!$G:$G,Database!$D:$D,"Export",Database!$E:$E,$B130,Database!$C:$C,BS$1,Database!$F:$F,"Total")</f>
        <v>512</v>
      </c>
      <c r="BT130" s="137">
        <f>SUMIFS(Database!$G:$G,Database!$D:$D,"Export",Database!$E:$E,$B130,Database!$C:$C,BT$1,Database!$F:$F,"Total")</f>
        <v>463.5</v>
      </c>
      <c r="BU130" s="137">
        <f>SUMIFS(Database!$G:$G,Database!$D:$D,"Export",Database!$E:$E,$B130,Database!$C:$C,BU$1,Database!$F:$F,"Total")</f>
        <v>1261</v>
      </c>
      <c r="BV130" s="137">
        <f>SUMIFS(Database!$G:$G,Database!$D:$D,"Export",Database!$E:$E,$B130,Database!$C:$C,BV$1,Database!$F:$F,"Total")</f>
        <v>0</v>
      </c>
      <c r="BW130" s="137">
        <f>SUMIFS(Database!$G:$G,Database!$D:$D,"Export",Database!$E:$E,$B130,Database!$C:$C,BW$1,Database!$F:$F,"Total")</f>
        <v>0</v>
      </c>
      <c r="BX130" s="137">
        <f>SUMIFS(Database!$G:$G,Database!$D:$D,"Export",Database!$E:$E,$B130,Database!$C:$C,BX$1,Database!$F:$F,"Total")</f>
        <v>0</v>
      </c>
      <c r="BY130" s="137">
        <f>SUMIFS(Database!$G:$G,Database!$D:$D,"Export",Database!$E:$E,$B130,Database!$C:$C,BY$1,Database!$F:$F,"Total")</f>
        <v>0</v>
      </c>
      <c r="BZ130" s="137">
        <f>SUMIFS(Database!$G:$G,Database!$D:$D,"Export",Database!$E:$E,$B130,Database!$C:$C,BZ$1,Database!$F:$F,"Total")</f>
        <v>0</v>
      </c>
      <c r="CA130" s="137">
        <f>SUMIFS(Database!$G:$G,Database!$D:$D,"Export",Database!$E:$E,$B130,Database!$C:$C,CA$1,Database!$F:$F,"Total")</f>
        <v>0</v>
      </c>
      <c r="CB130" s="137">
        <f>SUMIFS(Database!$G:$G,Database!$D:$D,"Export",Database!$E:$E,$B130,Database!$C:$C,CB$1,Database!$F:$F,"Total")</f>
        <v>0</v>
      </c>
      <c r="CC130" s="137">
        <f>SUMIFS(Database!$G:$G,Database!$D:$D,"Export",Database!$E:$E,$B130,Database!$C:$C,CC$1,Database!$F:$F,"Total")</f>
        <v>0</v>
      </c>
      <c r="CD130" s="137">
        <f>SUMIFS(Database!$G:$G,Database!$D:$D,"Export",Database!$E:$E,$B130,Database!$C:$C,CD$1,Database!$F:$F,"Total")</f>
        <v>0</v>
      </c>
      <c r="CE130" s="137">
        <f>SUMIFS(Database!$G:$G,Database!$D:$D,"Export",Database!$E:$E,$B130,Database!$C:$C,CE$1,Database!$F:$F,"Total")</f>
        <v>0</v>
      </c>
      <c r="CF130" s="137">
        <f>SUMIFS(Database!$G:$G,Database!$D:$D,"Export",Database!$E:$E,$B130,Database!$C:$C,CF$1,Database!$F:$F,"Total")</f>
        <v>0</v>
      </c>
      <c r="CG130" s="137">
        <f>SUMIFS(Database!$G:$G,Database!$D:$D,"Export",Database!$E:$E,$B130,Database!$C:$C,CG$1,Database!$F:$F,"Total")</f>
        <v>0</v>
      </c>
      <c r="CH130" s="137">
        <f>SUMIFS(Database!$G:$G,Database!$D:$D,"Export",Database!$E:$E,$B130,Database!$C:$C,CH$1,Database!$F:$F,"Total")</f>
        <v>0</v>
      </c>
      <c r="CI130" s="137">
        <f>SUMIFS(Database!$G:$G,Database!$D:$D,"Export",Database!$E:$E,$B130,Database!$C:$C,CI$1,Database!$F:$F,"Total")</f>
        <v>0</v>
      </c>
      <c r="CJ130" s="137">
        <f>SUMIFS(Database!$G:$G,Database!$D:$D,"Export",Database!$E:$E,$B130,Database!$C:$C,CJ$1,Database!$F:$F,"Total")</f>
        <v>0</v>
      </c>
      <c r="CK130" s="137">
        <f>SUMIFS(Database!$G:$G,Database!$D:$D,"Export",Database!$E:$E,$B130,Database!$C:$C,CK$1,Database!$F:$F,"Total")</f>
        <v>0</v>
      </c>
      <c r="CL130" s="137">
        <f>SUMIFS(Database!$G:$G,Database!$D:$D,"Export",Database!$E:$E,$B130,Database!$C:$C,CL$1,Database!$F:$F,"Total")</f>
        <v>0</v>
      </c>
      <c r="CM130" s="137">
        <f>SUMIFS(Database!$G:$G,Database!$D:$D,"Export",Database!$E:$E,$B130,Database!$C:$C,CM$1,Database!$F:$F,"Total")</f>
        <v>0</v>
      </c>
      <c r="CN130" s="137">
        <f>SUMIFS(Database!$G:$G,Database!$D:$D,"Export",Database!$E:$E,$B130,Database!$C:$C,CN$1,Database!$F:$F,"Total")</f>
        <v>0</v>
      </c>
      <c r="CO130" s="137">
        <f>SUMIFS(Database!$G:$G,Database!$D:$D,"Export",Database!$E:$E,$B130,Database!$C:$C,CO$1,Database!$F:$F,"Total")</f>
        <v>0</v>
      </c>
      <c r="CP130" s="137">
        <f>SUMIFS(Database!$G:$G,Database!$D:$D,"Export",Database!$E:$E,$B130,Database!$C:$C,CP$1,Database!$F:$F,"Total")</f>
        <v>0</v>
      </c>
      <c r="CQ130" s="137">
        <f>SUMIFS(Database!$G:$G,Database!$D:$D,"Export",Database!$E:$E,$B130,Database!$C:$C,CQ$1,Database!$F:$F,"Total")</f>
        <v>0</v>
      </c>
      <c r="CR130" s="137">
        <f>SUMIFS(Database!$G:$G,Database!$D:$D,"Export",Database!$E:$E,$B130,Database!$C:$C,CR$1,Database!$F:$F,"Total")</f>
        <v>0</v>
      </c>
      <c r="CS130" s="137">
        <f>SUMIFS(Database!$G:$G,Database!$D:$D,"Export",Database!$E:$E,$B130,Database!$C:$C,CS$1,Database!$F:$F,"Total")</f>
        <v>0</v>
      </c>
      <c r="CT130" s="137">
        <f>SUMIFS(Database!$G:$G,Database!$D:$D,"Export",Database!$E:$E,$B130,Database!$C:$C,CT$1,Database!$F:$F,"Total")</f>
        <v>0</v>
      </c>
      <c r="CU130" s="137">
        <f>SUMIFS(Database!$G:$G,Database!$D:$D,"Export",Database!$E:$E,$B130,Database!$C:$C,CU$1,Database!$F:$F,"Total")</f>
        <v>0</v>
      </c>
    </row>
    <row r="131" spans="1:99" x14ac:dyDescent="0.25">
      <c r="A131" s="132" t="s">
        <v>485</v>
      </c>
      <c r="B131" s="133" t="s">
        <v>130</v>
      </c>
      <c r="C131" s="137">
        <f>SUMIFS(Database!$G:$G,Database!$D:$D,"Export",Database!$E:$E,$B131,Database!$C:$C,C$1,Database!$F:$F,"Total")</f>
        <v>0</v>
      </c>
      <c r="D131" s="137">
        <f>SUMIFS(Database!$G:$G,Database!$D:$D,"Export",Database!$E:$E,$B131,Database!$C:$C,D$1,Database!$F:$F,"Total")</f>
        <v>0</v>
      </c>
      <c r="E131" s="137">
        <f>SUMIFS(Database!$G:$G,Database!$D:$D,"Export",Database!$E:$E,$B131,Database!$C:$C,E$1,Database!$F:$F,"Total")</f>
        <v>0</v>
      </c>
      <c r="F131" s="137">
        <f>SUMIFS(Database!$G:$G,Database!$D:$D,"Export",Database!$E:$E,$B131,Database!$C:$C,F$1,Database!$F:$F,"Total")</f>
        <v>0</v>
      </c>
      <c r="G131" s="137">
        <f>SUMIFS(Database!$G:$G,Database!$D:$D,"Export",Database!$E:$E,$B131,Database!$C:$C,G$1,Database!$F:$F,"Total")</f>
        <v>0</v>
      </c>
      <c r="H131" s="137">
        <f>SUMIFS(Database!$G:$G,Database!$D:$D,"Export",Database!$E:$E,$B131,Database!$C:$C,H$1,Database!$F:$F,"Total")</f>
        <v>0</v>
      </c>
      <c r="I131" s="137">
        <f>SUMIFS(Database!$G:$G,Database!$D:$D,"Export",Database!$E:$E,$B131,Database!$C:$C,I$1,Database!$F:$F,"Total")</f>
        <v>0</v>
      </c>
      <c r="J131" s="137">
        <f>SUMIFS(Database!$G:$G,Database!$D:$D,"Export",Database!$E:$E,$B131,Database!$C:$C,J$1,Database!$F:$F,"Total")</f>
        <v>0</v>
      </c>
      <c r="K131" s="137">
        <f>SUMIFS(Database!$G:$G,Database!$D:$D,"Export",Database!$E:$E,$B131,Database!$C:$C,K$1,Database!$F:$F,"Total")</f>
        <v>0</v>
      </c>
      <c r="L131" s="137">
        <f>SUMIFS(Database!$G:$G,Database!$D:$D,"Export",Database!$E:$E,$B131,Database!$C:$C,L$1,Database!$F:$F,"Total")</f>
        <v>0</v>
      </c>
      <c r="M131" s="137">
        <f>SUMIFS(Database!$G:$G,Database!$D:$D,"Export",Database!$E:$E,$B131,Database!$C:$C,M$1,Database!$F:$F,"Total")</f>
        <v>0</v>
      </c>
      <c r="N131" s="137">
        <f>SUMIFS(Database!$G:$G,Database!$D:$D,"Export",Database!$E:$E,$B131,Database!$C:$C,N$1,Database!$F:$F,"Total")</f>
        <v>0</v>
      </c>
      <c r="O131" s="137">
        <f>SUMIFS(Database!$G:$G,Database!$D:$D,"Export",Database!$E:$E,$B131,Database!$C:$C,O$1,Database!$F:$F,"Total")</f>
        <v>0</v>
      </c>
      <c r="P131" s="137">
        <f>SUMIFS(Database!$G:$G,Database!$D:$D,"Export",Database!$E:$E,$B131,Database!$C:$C,P$1,Database!$F:$F,"Total")</f>
        <v>0</v>
      </c>
      <c r="Q131" s="137">
        <f>SUMIFS(Database!$G:$G,Database!$D:$D,"Export",Database!$E:$E,$B131,Database!$C:$C,Q$1,Database!$F:$F,"Total")</f>
        <v>0</v>
      </c>
      <c r="R131" s="137">
        <f>SUMIFS(Database!$G:$G,Database!$D:$D,"Export",Database!$E:$E,$B131,Database!$C:$C,R$1,Database!$F:$F,"Total")</f>
        <v>0</v>
      </c>
      <c r="S131" s="137">
        <f>SUMIFS(Database!$G:$G,Database!$D:$D,"Export",Database!$E:$E,$B131,Database!$C:$C,S$1,Database!$F:$F,"Total")</f>
        <v>0</v>
      </c>
      <c r="T131" s="137">
        <f>SUMIFS(Database!$G:$G,Database!$D:$D,"Export",Database!$E:$E,$B131,Database!$C:$C,T$1,Database!$F:$F,"Total")</f>
        <v>0</v>
      </c>
      <c r="U131" s="137">
        <f>SUMIFS(Database!$G:$G,Database!$D:$D,"Export",Database!$E:$E,$B131,Database!$C:$C,U$1,Database!$F:$F,"Total")</f>
        <v>0</v>
      </c>
      <c r="V131" s="137">
        <f>SUMIFS(Database!$G:$G,Database!$D:$D,"Export",Database!$E:$E,$B131,Database!$C:$C,V$1,Database!$F:$F,"Total")</f>
        <v>0</v>
      </c>
      <c r="W131" s="137">
        <f>SUMIFS(Database!$G:$G,Database!$D:$D,"Export",Database!$E:$E,$B131,Database!$C:$C,W$1,Database!$F:$F,"Total")</f>
        <v>0</v>
      </c>
      <c r="X131" s="137">
        <f>SUMIFS(Database!$G:$G,Database!$D:$D,"Export",Database!$E:$E,$B131,Database!$C:$C,X$1,Database!$F:$F,"Total")</f>
        <v>0</v>
      </c>
      <c r="Y131" s="137">
        <f>SUMIFS(Database!$G:$G,Database!$D:$D,"Export",Database!$E:$E,$B131,Database!$C:$C,Y$1,Database!$F:$F,"Total")</f>
        <v>0</v>
      </c>
      <c r="Z131" s="137">
        <f>SUMIFS(Database!$G:$G,Database!$D:$D,"Export",Database!$E:$E,$B131,Database!$C:$C,Z$1,Database!$F:$F,"Total")</f>
        <v>0</v>
      </c>
      <c r="AA131" s="137">
        <f>SUMIFS(Database!$G:$G,Database!$D:$D,"Export",Database!$E:$E,$B131,Database!$C:$C,AA$1,Database!$F:$F,"Total")</f>
        <v>0</v>
      </c>
      <c r="AB131" s="137">
        <f>SUMIFS(Database!$G:$G,Database!$D:$D,"Export",Database!$E:$E,$B131,Database!$C:$C,AB$1,Database!$F:$F,"Total")</f>
        <v>0</v>
      </c>
      <c r="AC131" s="137">
        <f>SUMIFS(Database!$G:$G,Database!$D:$D,"Export",Database!$E:$E,$B131,Database!$C:$C,AC$1,Database!$F:$F,"Total")</f>
        <v>0</v>
      </c>
      <c r="AD131" s="137">
        <f>SUMIFS(Database!$G:$G,Database!$D:$D,"Export",Database!$E:$E,$B131,Database!$C:$C,AD$1,Database!$F:$F,"Total")</f>
        <v>0</v>
      </c>
      <c r="AE131" s="137">
        <f>SUMIFS(Database!$G:$G,Database!$D:$D,"Export",Database!$E:$E,$B131,Database!$C:$C,AE$1,Database!$F:$F,"Total")</f>
        <v>29098</v>
      </c>
      <c r="AF131" s="137">
        <f>SUMIFS(Database!$G:$G,Database!$D:$D,"Export",Database!$E:$E,$B131,Database!$C:$C,AF$1,Database!$F:$F,"Total")</f>
        <v>18454</v>
      </c>
      <c r="AG131" s="137">
        <f>SUMIFS(Database!$G:$G,Database!$D:$D,"Export",Database!$E:$E,$B131,Database!$C:$C,AG$1,Database!$F:$F,"Total")</f>
        <v>0</v>
      </c>
      <c r="AH131" s="137">
        <f>SUMIFS(Database!$G:$G,Database!$D:$D,"Export",Database!$E:$E,$B131,Database!$C:$C,AH$1,Database!$F:$F,"Total")</f>
        <v>3586</v>
      </c>
      <c r="AI131" s="137">
        <f>SUMIFS(Database!$G:$G,Database!$D:$D,"Export",Database!$E:$E,$B131,Database!$C:$C,AI$1,Database!$F:$F,"Total")</f>
        <v>239</v>
      </c>
      <c r="AJ131" s="137">
        <f>SUMIFS(Database!$G:$G,Database!$D:$D,"Export",Database!$E:$E,$B131,Database!$C:$C,AJ$1,Database!$F:$F,"Total")</f>
        <v>2079</v>
      </c>
      <c r="AK131" s="137">
        <f>SUMIFS(Database!$G:$G,Database!$D:$D,"Export",Database!$E:$E,$B131,Database!$C:$C,AK$1,Database!$F:$F,"Total")</f>
        <v>3287</v>
      </c>
      <c r="AL131" s="137">
        <f>SUMIFS(Database!$G:$G,Database!$D:$D,"Export",Database!$E:$E,$B131,Database!$C:$C,AL$1,Database!$F:$F,"Total")</f>
        <v>1854</v>
      </c>
      <c r="AM131" s="137">
        <f>SUMIFS(Database!$G:$G,Database!$D:$D,"Export",Database!$E:$E,$B131,Database!$C:$C,AM$1,Database!$F:$F,"Total")</f>
        <v>2128</v>
      </c>
      <c r="AN131" s="137">
        <f>SUMIFS(Database!$G:$G,Database!$D:$D,"Export",Database!$E:$E,$B131,Database!$C:$C,AN$1,Database!$F:$F,"Total")</f>
        <v>1818</v>
      </c>
      <c r="AO131" s="137">
        <f>SUMIFS(Database!$G:$G,Database!$D:$D,"Export",Database!$E:$E,$B131,Database!$C:$C,AO$1,Database!$F:$F,"Total")</f>
        <v>1411</v>
      </c>
      <c r="AP131" s="137">
        <f>SUMIFS(Database!$G:$G,Database!$D:$D,"Export",Database!$E:$E,$B131,Database!$C:$C,AP$1,Database!$F:$F,"Total")</f>
        <v>1570</v>
      </c>
      <c r="AQ131" s="137">
        <f>SUMIFS(Database!$G:$G,Database!$D:$D,"Export",Database!$E:$E,$B131,Database!$C:$C,AQ$1,Database!$F:$F,"Total")</f>
        <v>572</v>
      </c>
      <c r="AR131" s="137">
        <f>SUMIFS(Database!$G:$G,Database!$D:$D,"Export",Database!$E:$E,$B131,Database!$C:$C,AR$1,Database!$F:$F,"Total")</f>
        <v>1881</v>
      </c>
      <c r="AS131" s="137">
        <f>SUMIFS(Database!$G:$G,Database!$D:$D,"Export",Database!$E:$E,$B131,Database!$C:$C,AS$1,Database!$F:$F,"Total")</f>
        <v>2072</v>
      </c>
      <c r="AT131" s="137">
        <f>SUMIFS(Database!$G:$G,Database!$D:$D,"Export",Database!$E:$E,$B131,Database!$C:$C,AT$1,Database!$F:$F,"Total")</f>
        <v>1235</v>
      </c>
      <c r="AU131" s="137">
        <f>SUMIFS(Database!$G:$G,Database!$D:$D,"Export",Database!$E:$E,$B131,Database!$C:$C,AU$1,Database!$F:$F,"Total")</f>
        <v>1428</v>
      </c>
      <c r="AV131" s="137">
        <f>SUMIFS(Database!$G:$G,Database!$D:$D,"Export",Database!$E:$E,$B131,Database!$C:$C,AV$1,Database!$F:$F,"Total")</f>
        <v>1668</v>
      </c>
      <c r="AW131" s="137">
        <f>SUMIFS(Database!$G:$G,Database!$D:$D,"Export",Database!$E:$E,$B131,Database!$C:$C,AW$1,Database!$F:$F,"Total")</f>
        <v>1667</v>
      </c>
      <c r="AX131" s="137">
        <f>SUMIFS(Database!$G:$G,Database!$D:$D,"Export",Database!$E:$E,$B131,Database!$C:$C,AX$1,Database!$F:$F,"Total")</f>
        <v>1118</v>
      </c>
      <c r="AY131" s="137">
        <f>SUMIFS(Database!$G:$G,Database!$D:$D,"Export",Database!$E:$E,$B131,Database!$C:$C,AY$1,Database!$F:$F,"Total")</f>
        <v>1196</v>
      </c>
      <c r="AZ131" s="137">
        <f>SUMIFS(Database!$G:$G,Database!$D:$D,"Export",Database!$E:$E,$B131,Database!$C:$C,AZ$1,Database!$F:$F,"Total")</f>
        <v>1067</v>
      </c>
      <c r="BA131" s="137">
        <f>SUMIFS(Database!$G:$G,Database!$D:$D,"Export",Database!$E:$E,$B131,Database!$C:$C,BA$1,Database!$F:$F,"Total")</f>
        <v>718</v>
      </c>
      <c r="BB131" s="137">
        <f>SUMIFS(Database!$G:$G,Database!$D:$D,"Export",Database!$E:$E,$B131,Database!$C:$C,BB$1,Database!$F:$F,"Total")</f>
        <v>316</v>
      </c>
      <c r="BC131" s="137">
        <f>SUMIFS(Database!$G:$G,Database!$D:$D,"Export",Database!$E:$E,$B131,Database!$C:$C,BC$1,Database!$F:$F,"Total")</f>
        <v>271</v>
      </c>
      <c r="BD131" s="137">
        <f>SUMIFS(Database!$G:$G,Database!$D:$D,"Export",Database!$E:$E,$B131,Database!$C:$C,BD$1,Database!$F:$F,"Total")</f>
        <v>72</v>
      </c>
      <c r="BE131" s="137">
        <f>SUMIFS(Database!$G:$G,Database!$D:$D,"Export",Database!$E:$E,$B131,Database!$C:$C,BE$1,Database!$F:$F,"Total")</f>
        <v>60</v>
      </c>
      <c r="BF131" s="137">
        <f>SUMIFS(Database!$G:$G,Database!$D:$D,"Export",Database!$E:$E,$B131,Database!$C:$C,BF$1,Database!$F:$F,"Total")</f>
        <v>52</v>
      </c>
      <c r="BG131" s="137">
        <f>SUMIFS(Database!$G:$G,Database!$D:$D,"Export",Database!$E:$E,$B131,Database!$C:$C,BG$1,Database!$F:$F,"Total")</f>
        <v>348</v>
      </c>
      <c r="BH131" s="137">
        <f>SUMIFS(Database!$G:$G,Database!$D:$D,"Export",Database!$E:$E,$B131,Database!$C:$C,BH$1,Database!$F:$F,"Total")</f>
        <v>517</v>
      </c>
      <c r="BI131" s="137">
        <f>SUMIFS(Database!$G:$G,Database!$D:$D,"Export",Database!$E:$E,$B131,Database!$C:$C,BI$1,Database!$F:$F,"Total")</f>
        <v>0</v>
      </c>
      <c r="BJ131" s="137">
        <f>SUMIFS(Database!$G:$G,Database!$D:$D,"Export",Database!$E:$E,$B131,Database!$C:$C,BJ$1,Database!$F:$F,"Total")</f>
        <v>412</v>
      </c>
      <c r="BK131" s="137">
        <f>SUMIFS(Database!$G:$G,Database!$D:$D,"Export",Database!$E:$E,$B131,Database!$C:$C,BK$1,Database!$F:$F,"Total")</f>
        <v>319</v>
      </c>
      <c r="BL131" s="137">
        <f>SUMIFS(Database!$G:$G,Database!$D:$D,"Export",Database!$E:$E,$B131,Database!$C:$C,BL$1,Database!$F:$F,"Total")</f>
        <v>0</v>
      </c>
      <c r="BM131" s="137">
        <f>SUMIFS(Database!$G:$G,Database!$D:$D,"Export",Database!$E:$E,$B131,Database!$C:$C,BM$1,Database!$F:$F,"Total")</f>
        <v>0</v>
      </c>
      <c r="BN131" s="137">
        <f>SUMIFS(Database!$G:$G,Database!$D:$D,"Export",Database!$E:$E,$B131,Database!$C:$C,BN$1,Database!$F:$F,"Total")</f>
        <v>874</v>
      </c>
      <c r="BO131" s="137">
        <f>SUMIFS(Database!$G:$G,Database!$D:$D,"Export",Database!$E:$E,$B131,Database!$C:$C,BO$1,Database!$F:$F,"Total")</f>
        <v>0</v>
      </c>
      <c r="BP131" s="137">
        <f>SUMIFS(Database!$G:$G,Database!$D:$D,"Export",Database!$E:$E,$B131,Database!$C:$C,BP$1,Database!$F:$F,"Total")</f>
        <v>179.5</v>
      </c>
      <c r="BQ131" s="137">
        <f>SUMIFS(Database!$G:$G,Database!$D:$D,"Export",Database!$E:$E,$B131,Database!$C:$C,BQ$1,Database!$F:$F,"Total")</f>
        <v>105</v>
      </c>
      <c r="BR131" s="137">
        <f>SUMIFS(Database!$G:$G,Database!$D:$D,"Export",Database!$E:$E,$B131,Database!$C:$C,BR$1,Database!$F:$F,"Total")</f>
        <v>90</v>
      </c>
      <c r="BS131" s="137">
        <f>SUMIFS(Database!$G:$G,Database!$D:$D,"Export",Database!$E:$E,$B131,Database!$C:$C,BS$1,Database!$F:$F,"Total")</f>
        <v>101</v>
      </c>
      <c r="BT131" s="137">
        <f>SUMIFS(Database!$G:$G,Database!$D:$D,"Export",Database!$E:$E,$B131,Database!$C:$C,BT$1,Database!$F:$F,"Total")</f>
        <v>6</v>
      </c>
      <c r="BU131" s="137">
        <f>SUMIFS(Database!$G:$G,Database!$D:$D,"Export",Database!$E:$E,$B131,Database!$C:$C,BU$1,Database!$F:$F,"Total")</f>
        <v>341</v>
      </c>
      <c r="BV131" s="137">
        <f>SUMIFS(Database!$G:$G,Database!$D:$D,"Export",Database!$E:$E,$B131,Database!$C:$C,BV$1,Database!$F:$F,"Total")</f>
        <v>0</v>
      </c>
      <c r="BW131" s="137">
        <f>SUMIFS(Database!$G:$G,Database!$D:$D,"Export",Database!$E:$E,$B131,Database!$C:$C,BW$1,Database!$F:$F,"Total")</f>
        <v>0</v>
      </c>
      <c r="BX131" s="137">
        <f>SUMIFS(Database!$G:$G,Database!$D:$D,"Export",Database!$E:$E,$B131,Database!$C:$C,BX$1,Database!$F:$F,"Total")</f>
        <v>0</v>
      </c>
      <c r="BY131" s="137">
        <f>SUMIFS(Database!$G:$G,Database!$D:$D,"Export",Database!$E:$E,$B131,Database!$C:$C,BY$1,Database!$F:$F,"Total")</f>
        <v>0</v>
      </c>
      <c r="BZ131" s="137">
        <f>SUMIFS(Database!$G:$G,Database!$D:$D,"Export",Database!$E:$E,$B131,Database!$C:$C,BZ$1,Database!$F:$F,"Total")</f>
        <v>0</v>
      </c>
      <c r="CA131" s="137">
        <f>SUMIFS(Database!$G:$G,Database!$D:$D,"Export",Database!$E:$E,$B131,Database!$C:$C,CA$1,Database!$F:$F,"Total")</f>
        <v>0</v>
      </c>
      <c r="CB131" s="137">
        <f>SUMIFS(Database!$G:$G,Database!$D:$D,"Export",Database!$E:$E,$B131,Database!$C:$C,CB$1,Database!$F:$F,"Total")</f>
        <v>0</v>
      </c>
      <c r="CC131" s="137">
        <f>SUMIFS(Database!$G:$G,Database!$D:$D,"Export",Database!$E:$E,$B131,Database!$C:$C,CC$1,Database!$F:$F,"Total")</f>
        <v>0</v>
      </c>
      <c r="CD131" s="137">
        <f>SUMIFS(Database!$G:$G,Database!$D:$D,"Export",Database!$E:$E,$B131,Database!$C:$C,CD$1,Database!$F:$F,"Total")</f>
        <v>0</v>
      </c>
      <c r="CE131" s="137">
        <f>SUMIFS(Database!$G:$G,Database!$D:$D,"Export",Database!$E:$E,$B131,Database!$C:$C,CE$1,Database!$F:$F,"Total")</f>
        <v>0</v>
      </c>
      <c r="CF131" s="137">
        <f>SUMIFS(Database!$G:$G,Database!$D:$D,"Export",Database!$E:$E,$B131,Database!$C:$C,CF$1,Database!$F:$F,"Total")</f>
        <v>0</v>
      </c>
      <c r="CG131" s="137">
        <f>SUMIFS(Database!$G:$G,Database!$D:$D,"Export",Database!$E:$E,$B131,Database!$C:$C,CG$1,Database!$F:$F,"Total")</f>
        <v>0</v>
      </c>
      <c r="CH131" s="137">
        <f>SUMIFS(Database!$G:$G,Database!$D:$D,"Export",Database!$E:$E,$B131,Database!$C:$C,CH$1,Database!$F:$F,"Total")</f>
        <v>0</v>
      </c>
      <c r="CI131" s="137">
        <f>SUMIFS(Database!$G:$G,Database!$D:$D,"Export",Database!$E:$E,$B131,Database!$C:$C,CI$1,Database!$F:$F,"Total")</f>
        <v>0</v>
      </c>
      <c r="CJ131" s="137">
        <f>SUMIFS(Database!$G:$G,Database!$D:$D,"Export",Database!$E:$E,$B131,Database!$C:$C,CJ$1,Database!$F:$F,"Total")</f>
        <v>0</v>
      </c>
      <c r="CK131" s="137">
        <f>SUMIFS(Database!$G:$G,Database!$D:$D,"Export",Database!$E:$E,$B131,Database!$C:$C,CK$1,Database!$F:$F,"Total")</f>
        <v>0</v>
      </c>
      <c r="CL131" s="137">
        <f>SUMIFS(Database!$G:$G,Database!$D:$D,"Export",Database!$E:$E,$B131,Database!$C:$C,CL$1,Database!$F:$F,"Total")</f>
        <v>0</v>
      </c>
      <c r="CM131" s="137">
        <f>SUMIFS(Database!$G:$G,Database!$D:$D,"Export",Database!$E:$E,$B131,Database!$C:$C,CM$1,Database!$F:$F,"Total")</f>
        <v>0</v>
      </c>
      <c r="CN131" s="137">
        <f>SUMIFS(Database!$G:$G,Database!$D:$D,"Export",Database!$E:$E,$B131,Database!$C:$C,CN$1,Database!$F:$F,"Total")</f>
        <v>0</v>
      </c>
      <c r="CO131" s="137">
        <f>SUMIFS(Database!$G:$G,Database!$D:$D,"Export",Database!$E:$E,$B131,Database!$C:$C,CO$1,Database!$F:$F,"Total")</f>
        <v>0</v>
      </c>
      <c r="CP131" s="137">
        <f>SUMIFS(Database!$G:$G,Database!$D:$D,"Export",Database!$E:$E,$B131,Database!$C:$C,CP$1,Database!$F:$F,"Total")</f>
        <v>0</v>
      </c>
      <c r="CQ131" s="137">
        <f>SUMIFS(Database!$G:$G,Database!$D:$D,"Export",Database!$E:$E,$B131,Database!$C:$C,CQ$1,Database!$F:$F,"Total")</f>
        <v>0</v>
      </c>
      <c r="CR131" s="137">
        <f>SUMIFS(Database!$G:$G,Database!$D:$D,"Export",Database!$E:$E,$B131,Database!$C:$C,CR$1,Database!$F:$F,"Total")</f>
        <v>0</v>
      </c>
      <c r="CS131" s="137">
        <f>SUMIFS(Database!$G:$G,Database!$D:$D,"Export",Database!$E:$E,$B131,Database!$C:$C,CS$1,Database!$F:$F,"Total")</f>
        <v>0</v>
      </c>
      <c r="CT131" s="137">
        <f>SUMIFS(Database!$G:$G,Database!$D:$D,"Export",Database!$E:$E,$B131,Database!$C:$C,CT$1,Database!$F:$F,"Total")</f>
        <v>0</v>
      </c>
      <c r="CU131" s="137">
        <f>SUMIFS(Database!$G:$G,Database!$D:$D,"Export",Database!$E:$E,$B131,Database!$C:$C,CU$1,Database!$F:$F,"Total")</f>
        <v>0</v>
      </c>
    </row>
    <row r="132" spans="1:99" x14ac:dyDescent="0.25">
      <c r="A132" s="132" t="s">
        <v>485</v>
      </c>
      <c r="B132" s="133" t="s">
        <v>131</v>
      </c>
      <c r="C132" s="137">
        <f>SUMIFS(Database!$G:$G,Database!$D:$D,"Export",Database!$E:$E,$B132,Database!$C:$C,C$1,Database!$F:$F,"Total")</f>
        <v>0</v>
      </c>
      <c r="D132" s="137">
        <f>SUMIFS(Database!$G:$G,Database!$D:$D,"Export",Database!$E:$E,$B132,Database!$C:$C,D$1,Database!$F:$F,"Total")</f>
        <v>0</v>
      </c>
      <c r="E132" s="137">
        <f>SUMIFS(Database!$G:$G,Database!$D:$D,"Export",Database!$E:$E,$B132,Database!$C:$C,E$1,Database!$F:$F,"Total")</f>
        <v>0</v>
      </c>
      <c r="F132" s="137">
        <f>SUMIFS(Database!$G:$G,Database!$D:$D,"Export",Database!$E:$E,$B132,Database!$C:$C,F$1,Database!$F:$F,"Total")</f>
        <v>0</v>
      </c>
      <c r="G132" s="137">
        <f>SUMIFS(Database!$G:$G,Database!$D:$D,"Export",Database!$E:$E,$B132,Database!$C:$C,G$1,Database!$F:$F,"Total")</f>
        <v>0</v>
      </c>
      <c r="H132" s="137">
        <f>SUMIFS(Database!$G:$G,Database!$D:$D,"Export",Database!$E:$E,$B132,Database!$C:$C,H$1,Database!$F:$F,"Total")</f>
        <v>0</v>
      </c>
      <c r="I132" s="137">
        <f>SUMIFS(Database!$G:$G,Database!$D:$D,"Export",Database!$E:$E,$B132,Database!$C:$C,I$1,Database!$F:$F,"Total")</f>
        <v>0</v>
      </c>
      <c r="J132" s="137">
        <f>SUMIFS(Database!$G:$G,Database!$D:$D,"Export",Database!$E:$E,$B132,Database!$C:$C,J$1,Database!$F:$F,"Total")</f>
        <v>0</v>
      </c>
      <c r="K132" s="137">
        <f>SUMIFS(Database!$G:$G,Database!$D:$D,"Export",Database!$E:$E,$B132,Database!$C:$C,K$1,Database!$F:$F,"Total")</f>
        <v>0</v>
      </c>
      <c r="L132" s="137">
        <f>SUMIFS(Database!$G:$G,Database!$D:$D,"Export",Database!$E:$E,$B132,Database!$C:$C,L$1,Database!$F:$F,"Total")</f>
        <v>0</v>
      </c>
      <c r="M132" s="137">
        <f>SUMIFS(Database!$G:$G,Database!$D:$D,"Export",Database!$E:$E,$B132,Database!$C:$C,M$1,Database!$F:$F,"Total")</f>
        <v>0</v>
      </c>
      <c r="N132" s="137">
        <f>SUMIFS(Database!$G:$G,Database!$D:$D,"Export",Database!$E:$E,$B132,Database!$C:$C,N$1,Database!$F:$F,"Total")</f>
        <v>0</v>
      </c>
      <c r="O132" s="137">
        <f>SUMIFS(Database!$G:$G,Database!$D:$D,"Export",Database!$E:$E,$B132,Database!$C:$C,O$1,Database!$F:$F,"Total")</f>
        <v>0</v>
      </c>
      <c r="P132" s="137">
        <f>SUMIFS(Database!$G:$G,Database!$D:$D,"Export",Database!$E:$E,$B132,Database!$C:$C,P$1,Database!$F:$F,"Total")</f>
        <v>0</v>
      </c>
      <c r="Q132" s="137">
        <f>SUMIFS(Database!$G:$G,Database!$D:$D,"Export",Database!$E:$E,$B132,Database!$C:$C,Q$1,Database!$F:$F,"Total")</f>
        <v>0</v>
      </c>
      <c r="R132" s="137">
        <f>SUMIFS(Database!$G:$G,Database!$D:$D,"Export",Database!$E:$E,$B132,Database!$C:$C,R$1,Database!$F:$F,"Total")</f>
        <v>0</v>
      </c>
      <c r="S132" s="137">
        <f>SUMIFS(Database!$G:$G,Database!$D:$D,"Export",Database!$E:$E,$B132,Database!$C:$C,S$1,Database!$F:$F,"Total")</f>
        <v>0</v>
      </c>
      <c r="T132" s="137">
        <f>SUMIFS(Database!$G:$G,Database!$D:$D,"Export",Database!$E:$E,$B132,Database!$C:$C,T$1,Database!$F:$F,"Total")</f>
        <v>0</v>
      </c>
      <c r="U132" s="137">
        <f>SUMIFS(Database!$G:$G,Database!$D:$D,"Export",Database!$E:$E,$B132,Database!$C:$C,U$1,Database!$F:$F,"Total")</f>
        <v>0</v>
      </c>
      <c r="V132" s="137">
        <f>SUMIFS(Database!$G:$G,Database!$D:$D,"Export",Database!$E:$E,$B132,Database!$C:$C,V$1,Database!$F:$F,"Total")</f>
        <v>0</v>
      </c>
      <c r="W132" s="137">
        <f>SUMIFS(Database!$G:$G,Database!$D:$D,"Export",Database!$E:$E,$B132,Database!$C:$C,W$1,Database!$F:$F,"Total")</f>
        <v>0</v>
      </c>
      <c r="X132" s="137">
        <f>SUMIFS(Database!$G:$G,Database!$D:$D,"Export",Database!$E:$E,$B132,Database!$C:$C,X$1,Database!$F:$F,"Total")</f>
        <v>0</v>
      </c>
      <c r="Y132" s="137">
        <f>SUMIFS(Database!$G:$G,Database!$D:$D,"Export",Database!$E:$E,$B132,Database!$C:$C,Y$1,Database!$F:$F,"Total")</f>
        <v>0</v>
      </c>
      <c r="Z132" s="137">
        <f>SUMIFS(Database!$G:$G,Database!$D:$D,"Export",Database!$E:$E,$B132,Database!$C:$C,Z$1,Database!$F:$F,"Total")</f>
        <v>0</v>
      </c>
      <c r="AA132" s="137">
        <f>SUMIFS(Database!$G:$G,Database!$D:$D,"Export",Database!$E:$E,$B132,Database!$C:$C,AA$1,Database!$F:$F,"Total")</f>
        <v>0</v>
      </c>
      <c r="AB132" s="137">
        <f>SUMIFS(Database!$G:$G,Database!$D:$D,"Export",Database!$E:$E,$B132,Database!$C:$C,AB$1,Database!$F:$F,"Total")</f>
        <v>0</v>
      </c>
      <c r="AC132" s="137">
        <f>SUMIFS(Database!$G:$G,Database!$D:$D,"Export",Database!$E:$E,$B132,Database!$C:$C,AC$1,Database!$F:$F,"Total")</f>
        <v>0</v>
      </c>
      <c r="AD132" s="137">
        <f>SUMIFS(Database!$G:$G,Database!$D:$D,"Export",Database!$E:$E,$B132,Database!$C:$C,AD$1,Database!$F:$F,"Total")</f>
        <v>0</v>
      </c>
      <c r="AE132" s="137">
        <f>SUMIFS(Database!$G:$G,Database!$D:$D,"Export",Database!$E:$E,$B132,Database!$C:$C,AE$1,Database!$F:$F,"Total")</f>
        <v>0</v>
      </c>
      <c r="AF132" s="137">
        <f>SUMIFS(Database!$G:$G,Database!$D:$D,"Export",Database!$E:$E,$B132,Database!$C:$C,AF$1,Database!$F:$F,"Total")</f>
        <v>0</v>
      </c>
      <c r="AG132" s="137">
        <f>SUMIFS(Database!$G:$G,Database!$D:$D,"Export",Database!$E:$E,$B132,Database!$C:$C,AG$1,Database!$F:$F,"Total")</f>
        <v>0</v>
      </c>
      <c r="AH132" s="137">
        <f>SUMIFS(Database!$G:$G,Database!$D:$D,"Export",Database!$E:$E,$B132,Database!$C:$C,AH$1,Database!$F:$F,"Total")</f>
        <v>0</v>
      </c>
      <c r="AI132" s="137">
        <f>SUMIFS(Database!$G:$G,Database!$D:$D,"Export",Database!$E:$E,$B132,Database!$C:$C,AI$1,Database!$F:$F,"Total")</f>
        <v>0</v>
      </c>
      <c r="AJ132" s="137">
        <f>SUMIFS(Database!$G:$G,Database!$D:$D,"Export",Database!$E:$E,$B132,Database!$C:$C,AJ$1,Database!$F:$F,"Total")</f>
        <v>0</v>
      </c>
      <c r="AK132" s="137">
        <f>SUMIFS(Database!$G:$G,Database!$D:$D,"Export",Database!$E:$E,$B132,Database!$C:$C,AK$1,Database!$F:$F,"Total")</f>
        <v>0</v>
      </c>
      <c r="AL132" s="137">
        <f>SUMIFS(Database!$G:$G,Database!$D:$D,"Export",Database!$E:$E,$B132,Database!$C:$C,AL$1,Database!$F:$F,"Total")</f>
        <v>0</v>
      </c>
      <c r="AM132" s="137">
        <f>SUMIFS(Database!$G:$G,Database!$D:$D,"Export",Database!$E:$E,$B132,Database!$C:$C,AM$1,Database!$F:$F,"Total")</f>
        <v>0</v>
      </c>
      <c r="AN132" s="137">
        <f>SUMIFS(Database!$G:$G,Database!$D:$D,"Export",Database!$E:$E,$B132,Database!$C:$C,AN$1,Database!$F:$F,"Total")</f>
        <v>0</v>
      </c>
      <c r="AO132" s="137">
        <f>SUMIFS(Database!$G:$G,Database!$D:$D,"Export",Database!$E:$E,$B132,Database!$C:$C,AO$1,Database!$F:$F,"Total")</f>
        <v>0</v>
      </c>
      <c r="AP132" s="137">
        <f>SUMIFS(Database!$G:$G,Database!$D:$D,"Export",Database!$E:$E,$B132,Database!$C:$C,AP$1,Database!$F:$F,"Total")</f>
        <v>0</v>
      </c>
      <c r="AQ132" s="137">
        <f>SUMIFS(Database!$G:$G,Database!$D:$D,"Export",Database!$E:$E,$B132,Database!$C:$C,AQ$1,Database!$F:$F,"Total")</f>
        <v>0</v>
      </c>
      <c r="AR132" s="137">
        <f>SUMIFS(Database!$G:$G,Database!$D:$D,"Export",Database!$E:$E,$B132,Database!$C:$C,AR$1,Database!$F:$F,"Total")</f>
        <v>0</v>
      </c>
      <c r="AS132" s="137">
        <f>SUMIFS(Database!$G:$G,Database!$D:$D,"Export",Database!$E:$E,$B132,Database!$C:$C,AS$1,Database!$F:$F,"Total")</f>
        <v>0</v>
      </c>
      <c r="AT132" s="137">
        <f>SUMIFS(Database!$G:$G,Database!$D:$D,"Export",Database!$E:$E,$B132,Database!$C:$C,AT$1,Database!$F:$F,"Total")</f>
        <v>0</v>
      </c>
      <c r="AU132" s="137">
        <f>SUMIFS(Database!$G:$G,Database!$D:$D,"Export",Database!$E:$E,$B132,Database!$C:$C,AU$1,Database!$F:$F,"Total")</f>
        <v>0</v>
      </c>
      <c r="AV132" s="137">
        <f>SUMIFS(Database!$G:$G,Database!$D:$D,"Export",Database!$E:$E,$B132,Database!$C:$C,AV$1,Database!$F:$F,"Total")</f>
        <v>0</v>
      </c>
      <c r="AW132" s="137">
        <f>SUMIFS(Database!$G:$G,Database!$D:$D,"Export",Database!$E:$E,$B132,Database!$C:$C,AW$1,Database!$F:$F,"Total")</f>
        <v>0</v>
      </c>
      <c r="AX132" s="137">
        <f>SUMIFS(Database!$G:$G,Database!$D:$D,"Export",Database!$E:$E,$B132,Database!$C:$C,AX$1,Database!$F:$F,"Total")</f>
        <v>0</v>
      </c>
      <c r="AY132" s="137">
        <f>SUMIFS(Database!$G:$G,Database!$D:$D,"Export",Database!$E:$E,$B132,Database!$C:$C,AY$1,Database!$F:$F,"Total")</f>
        <v>0</v>
      </c>
      <c r="AZ132" s="137">
        <f>SUMIFS(Database!$G:$G,Database!$D:$D,"Export",Database!$E:$E,$B132,Database!$C:$C,AZ$1,Database!$F:$F,"Total")</f>
        <v>0</v>
      </c>
      <c r="BA132" s="137">
        <f>SUMIFS(Database!$G:$G,Database!$D:$D,"Export",Database!$E:$E,$B132,Database!$C:$C,BA$1,Database!$F:$F,"Total")</f>
        <v>0</v>
      </c>
      <c r="BB132" s="137">
        <f>SUMIFS(Database!$G:$G,Database!$D:$D,"Export",Database!$E:$E,$B132,Database!$C:$C,BB$1,Database!$F:$F,"Total")</f>
        <v>0</v>
      </c>
      <c r="BC132" s="137">
        <f>SUMIFS(Database!$G:$G,Database!$D:$D,"Export",Database!$E:$E,$B132,Database!$C:$C,BC$1,Database!$F:$F,"Total")</f>
        <v>0</v>
      </c>
      <c r="BD132" s="137">
        <f>SUMIFS(Database!$G:$G,Database!$D:$D,"Export",Database!$E:$E,$B132,Database!$C:$C,BD$1,Database!$F:$F,"Total")</f>
        <v>0</v>
      </c>
      <c r="BE132" s="137">
        <f>SUMIFS(Database!$G:$G,Database!$D:$D,"Export",Database!$E:$E,$B132,Database!$C:$C,BE$1,Database!$F:$F,"Total")</f>
        <v>0</v>
      </c>
      <c r="BF132" s="137">
        <f>SUMIFS(Database!$G:$G,Database!$D:$D,"Export",Database!$E:$E,$B132,Database!$C:$C,BF$1,Database!$F:$F,"Total")</f>
        <v>0</v>
      </c>
      <c r="BG132" s="137">
        <f>SUMIFS(Database!$G:$G,Database!$D:$D,"Export",Database!$E:$E,$B132,Database!$C:$C,BG$1,Database!$F:$F,"Total")</f>
        <v>3947</v>
      </c>
      <c r="BH132" s="137">
        <f>SUMIFS(Database!$G:$G,Database!$D:$D,"Export",Database!$E:$E,$B132,Database!$C:$C,BH$1,Database!$F:$F,"Total")</f>
        <v>0</v>
      </c>
      <c r="BI132" s="137">
        <f>SUMIFS(Database!$G:$G,Database!$D:$D,"Export",Database!$E:$E,$B132,Database!$C:$C,BI$1,Database!$F:$F,"Total")</f>
        <v>0</v>
      </c>
      <c r="BJ132" s="137">
        <f>SUMIFS(Database!$G:$G,Database!$D:$D,"Export",Database!$E:$E,$B132,Database!$C:$C,BJ$1,Database!$F:$F,"Total")</f>
        <v>1942</v>
      </c>
      <c r="BK132" s="137">
        <f>SUMIFS(Database!$G:$G,Database!$D:$D,"Export",Database!$E:$E,$B132,Database!$C:$C,BK$1,Database!$F:$F,"Total")</f>
        <v>1333</v>
      </c>
      <c r="BL132" s="137">
        <f>SUMIFS(Database!$G:$G,Database!$D:$D,"Export",Database!$E:$E,$B132,Database!$C:$C,BL$1,Database!$F:$F,"Total")</f>
        <v>0</v>
      </c>
      <c r="BM132" s="137">
        <f>SUMIFS(Database!$G:$G,Database!$D:$D,"Export",Database!$E:$E,$B132,Database!$C:$C,BM$1,Database!$F:$F,"Total")</f>
        <v>0</v>
      </c>
      <c r="BN132" s="137">
        <f>SUMIFS(Database!$G:$G,Database!$D:$D,"Export",Database!$E:$E,$B132,Database!$C:$C,BN$1,Database!$F:$F,"Total")</f>
        <v>0</v>
      </c>
      <c r="BO132" s="137">
        <f>SUMIFS(Database!$G:$G,Database!$D:$D,"Export",Database!$E:$E,$B132,Database!$C:$C,BO$1,Database!$F:$F,"Total")</f>
        <v>0</v>
      </c>
      <c r="BP132" s="137">
        <f>SUMIFS(Database!$G:$G,Database!$D:$D,"Export",Database!$E:$E,$B132,Database!$C:$C,BP$1,Database!$F:$F,"Total")</f>
        <v>6562.5</v>
      </c>
      <c r="BQ132" s="137">
        <f>SUMIFS(Database!$G:$G,Database!$D:$D,"Export",Database!$E:$E,$B132,Database!$C:$C,BQ$1,Database!$F:$F,"Total")</f>
        <v>4850.5</v>
      </c>
      <c r="BR132" s="137">
        <f>SUMIFS(Database!$G:$G,Database!$D:$D,"Export",Database!$E:$E,$B132,Database!$C:$C,BR$1,Database!$F:$F,"Total")</f>
        <v>5451.5</v>
      </c>
      <c r="BS132" s="137">
        <f>SUMIFS(Database!$G:$G,Database!$D:$D,"Export",Database!$E:$E,$B132,Database!$C:$C,BS$1,Database!$F:$F,"Total")</f>
        <v>8372.5</v>
      </c>
      <c r="BT132" s="137">
        <f>SUMIFS(Database!$G:$G,Database!$D:$D,"Export",Database!$E:$E,$B132,Database!$C:$C,BT$1,Database!$F:$F,"Total")</f>
        <v>5191</v>
      </c>
      <c r="BU132" s="137">
        <f>SUMIFS(Database!$G:$G,Database!$D:$D,"Export",Database!$E:$E,$B132,Database!$C:$C,BU$1,Database!$F:$F,"Total")</f>
        <v>5153</v>
      </c>
      <c r="BV132" s="137">
        <f>SUMIFS(Database!$G:$G,Database!$D:$D,"Export",Database!$E:$E,$B132,Database!$C:$C,BV$1,Database!$F:$F,"Total")</f>
        <v>0</v>
      </c>
      <c r="BW132" s="137">
        <f>SUMIFS(Database!$G:$G,Database!$D:$D,"Export",Database!$E:$E,$B132,Database!$C:$C,BW$1,Database!$F:$F,"Total")</f>
        <v>0</v>
      </c>
      <c r="BX132" s="137">
        <f>SUMIFS(Database!$G:$G,Database!$D:$D,"Export",Database!$E:$E,$B132,Database!$C:$C,BX$1,Database!$F:$F,"Total")</f>
        <v>0</v>
      </c>
      <c r="BY132" s="137">
        <f>SUMIFS(Database!$G:$G,Database!$D:$D,"Export",Database!$E:$E,$B132,Database!$C:$C,BY$1,Database!$F:$F,"Total")</f>
        <v>0</v>
      </c>
      <c r="BZ132" s="137">
        <f>SUMIFS(Database!$G:$G,Database!$D:$D,"Export",Database!$E:$E,$B132,Database!$C:$C,BZ$1,Database!$F:$F,"Total")</f>
        <v>0</v>
      </c>
      <c r="CA132" s="137">
        <f>SUMIFS(Database!$G:$G,Database!$D:$D,"Export",Database!$E:$E,$B132,Database!$C:$C,CA$1,Database!$F:$F,"Total")</f>
        <v>0</v>
      </c>
      <c r="CB132" s="137">
        <f>SUMIFS(Database!$G:$G,Database!$D:$D,"Export",Database!$E:$E,$B132,Database!$C:$C,CB$1,Database!$F:$F,"Total")</f>
        <v>0</v>
      </c>
      <c r="CC132" s="137">
        <f>SUMIFS(Database!$G:$G,Database!$D:$D,"Export",Database!$E:$E,$B132,Database!$C:$C,CC$1,Database!$F:$F,"Total")</f>
        <v>0</v>
      </c>
      <c r="CD132" s="137">
        <f>SUMIFS(Database!$G:$G,Database!$D:$D,"Export",Database!$E:$E,$B132,Database!$C:$C,CD$1,Database!$F:$F,"Total")</f>
        <v>0</v>
      </c>
      <c r="CE132" s="137">
        <f>SUMIFS(Database!$G:$G,Database!$D:$D,"Export",Database!$E:$E,$B132,Database!$C:$C,CE$1,Database!$F:$F,"Total")</f>
        <v>0</v>
      </c>
      <c r="CF132" s="137">
        <f>SUMIFS(Database!$G:$G,Database!$D:$D,"Export",Database!$E:$E,$B132,Database!$C:$C,CF$1,Database!$F:$F,"Total")</f>
        <v>0</v>
      </c>
      <c r="CG132" s="137">
        <f>SUMIFS(Database!$G:$G,Database!$D:$D,"Export",Database!$E:$E,$B132,Database!$C:$C,CG$1,Database!$F:$F,"Total")</f>
        <v>0</v>
      </c>
      <c r="CH132" s="137">
        <f>SUMIFS(Database!$G:$G,Database!$D:$D,"Export",Database!$E:$E,$B132,Database!$C:$C,CH$1,Database!$F:$F,"Total")</f>
        <v>0</v>
      </c>
      <c r="CI132" s="137">
        <f>SUMIFS(Database!$G:$G,Database!$D:$D,"Export",Database!$E:$E,$B132,Database!$C:$C,CI$1,Database!$F:$F,"Total")</f>
        <v>0</v>
      </c>
      <c r="CJ132" s="137">
        <f>SUMIFS(Database!$G:$G,Database!$D:$D,"Export",Database!$E:$E,$B132,Database!$C:$C,CJ$1,Database!$F:$F,"Total")</f>
        <v>0</v>
      </c>
      <c r="CK132" s="137">
        <f>SUMIFS(Database!$G:$G,Database!$D:$D,"Export",Database!$E:$E,$B132,Database!$C:$C,CK$1,Database!$F:$F,"Total")</f>
        <v>0</v>
      </c>
      <c r="CL132" s="137">
        <f>SUMIFS(Database!$G:$G,Database!$D:$D,"Export",Database!$E:$E,$B132,Database!$C:$C,CL$1,Database!$F:$F,"Total")</f>
        <v>0</v>
      </c>
      <c r="CM132" s="137">
        <f>SUMIFS(Database!$G:$G,Database!$D:$D,"Export",Database!$E:$E,$B132,Database!$C:$C,CM$1,Database!$F:$F,"Total")</f>
        <v>0</v>
      </c>
      <c r="CN132" s="137">
        <f>SUMIFS(Database!$G:$G,Database!$D:$D,"Export",Database!$E:$E,$B132,Database!$C:$C,CN$1,Database!$F:$F,"Total")</f>
        <v>0</v>
      </c>
      <c r="CO132" s="137">
        <f>SUMIFS(Database!$G:$G,Database!$D:$D,"Export",Database!$E:$E,$B132,Database!$C:$C,CO$1,Database!$F:$F,"Total")</f>
        <v>0</v>
      </c>
      <c r="CP132" s="137">
        <f>SUMIFS(Database!$G:$G,Database!$D:$D,"Export",Database!$E:$E,$B132,Database!$C:$C,CP$1,Database!$F:$F,"Total")</f>
        <v>0</v>
      </c>
      <c r="CQ132" s="137">
        <f>SUMIFS(Database!$G:$G,Database!$D:$D,"Export",Database!$E:$E,$B132,Database!$C:$C,CQ$1,Database!$F:$F,"Total")</f>
        <v>0</v>
      </c>
      <c r="CR132" s="137">
        <f>SUMIFS(Database!$G:$G,Database!$D:$D,"Export",Database!$E:$E,$B132,Database!$C:$C,CR$1,Database!$F:$F,"Total")</f>
        <v>0</v>
      </c>
      <c r="CS132" s="137">
        <f>SUMIFS(Database!$G:$G,Database!$D:$D,"Export",Database!$E:$E,$B132,Database!$C:$C,CS$1,Database!$F:$F,"Total")</f>
        <v>0</v>
      </c>
      <c r="CT132" s="137">
        <f>SUMIFS(Database!$G:$G,Database!$D:$D,"Export",Database!$E:$E,$B132,Database!$C:$C,CT$1,Database!$F:$F,"Total")</f>
        <v>0</v>
      </c>
      <c r="CU132" s="137">
        <f>SUMIFS(Database!$G:$G,Database!$D:$D,"Export",Database!$E:$E,$B132,Database!$C:$C,CU$1,Database!$F:$F,"Total")</f>
        <v>0</v>
      </c>
    </row>
    <row r="133" spans="1:99" x14ac:dyDescent="0.25">
      <c r="A133" s="132" t="s">
        <v>485</v>
      </c>
      <c r="B133" s="133" t="s">
        <v>132</v>
      </c>
      <c r="C133" s="137">
        <f>SUMIFS(Database!$G:$G,Database!$D:$D,"Export",Database!$E:$E,$B133,Database!$C:$C,C$1,Database!$F:$F,"Total")</f>
        <v>0</v>
      </c>
      <c r="D133" s="137">
        <f>SUMIFS(Database!$G:$G,Database!$D:$D,"Export",Database!$E:$E,$B133,Database!$C:$C,D$1,Database!$F:$F,"Total")</f>
        <v>0</v>
      </c>
      <c r="E133" s="137">
        <f>SUMIFS(Database!$G:$G,Database!$D:$D,"Export",Database!$E:$E,$B133,Database!$C:$C,E$1,Database!$F:$F,"Total")</f>
        <v>0</v>
      </c>
      <c r="F133" s="137">
        <f>SUMIFS(Database!$G:$G,Database!$D:$D,"Export",Database!$E:$E,$B133,Database!$C:$C,F$1,Database!$F:$F,"Total")</f>
        <v>0</v>
      </c>
      <c r="G133" s="137">
        <f>SUMIFS(Database!$G:$G,Database!$D:$D,"Export",Database!$E:$E,$B133,Database!$C:$C,G$1,Database!$F:$F,"Total")</f>
        <v>0</v>
      </c>
      <c r="H133" s="137">
        <f>SUMIFS(Database!$G:$G,Database!$D:$D,"Export",Database!$E:$E,$B133,Database!$C:$C,H$1,Database!$F:$F,"Total")</f>
        <v>0</v>
      </c>
      <c r="I133" s="137">
        <f>SUMIFS(Database!$G:$G,Database!$D:$D,"Export",Database!$E:$E,$B133,Database!$C:$C,I$1,Database!$F:$F,"Total")</f>
        <v>0</v>
      </c>
      <c r="J133" s="137">
        <f>SUMIFS(Database!$G:$G,Database!$D:$D,"Export",Database!$E:$E,$B133,Database!$C:$C,J$1,Database!$F:$F,"Total")</f>
        <v>0</v>
      </c>
      <c r="K133" s="137">
        <f>SUMIFS(Database!$G:$G,Database!$D:$D,"Export",Database!$E:$E,$B133,Database!$C:$C,K$1,Database!$F:$F,"Total")</f>
        <v>0</v>
      </c>
      <c r="L133" s="137">
        <f>SUMIFS(Database!$G:$G,Database!$D:$D,"Export",Database!$E:$E,$B133,Database!$C:$C,L$1,Database!$F:$F,"Total")</f>
        <v>0</v>
      </c>
      <c r="M133" s="137">
        <f>SUMIFS(Database!$G:$G,Database!$D:$D,"Export",Database!$E:$E,$B133,Database!$C:$C,M$1,Database!$F:$F,"Total")</f>
        <v>0</v>
      </c>
      <c r="N133" s="137">
        <f>SUMIFS(Database!$G:$G,Database!$D:$D,"Export",Database!$E:$E,$B133,Database!$C:$C,N$1,Database!$F:$F,"Total")</f>
        <v>0</v>
      </c>
      <c r="O133" s="137">
        <f>SUMIFS(Database!$G:$G,Database!$D:$D,"Export",Database!$E:$E,$B133,Database!$C:$C,O$1,Database!$F:$F,"Total")</f>
        <v>0</v>
      </c>
      <c r="P133" s="137">
        <f>SUMIFS(Database!$G:$G,Database!$D:$D,"Export",Database!$E:$E,$B133,Database!$C:$C,P$1,Database!$F:$F,"Total")</f>
        <v>0</v>
      </c>
      <c r="Q133" s="137">
        <f>SUMIFS(Database!$G:$G,Database!$D:$D,"Export",Database!$E:$E,$B133,Database!$C:$C,Q$1,Database!$F:$F,"Total")</f>
        <v>0</v>
      </c>
      <c r="R133" s="137">
        <f>SUMIFS(Database!$G:$G,Database!$D:$D,"Export",Database!$E:$E,$B133,Database!$C:$C,R$1,Database!$F:$F,"Total")</f>
        <v>0</v>
      </c>
      <c r="S133" s="137">
        <f>SUMIFS(Database!$G:$G,Database!$D:$D,"Export",Database!$E:$E,$B133,Database!$C:$C,S$1,Database!$F:$F,"Total")</f>
        <v>0</v>
      </c>
      <c r="T133" s="137">
        <f>SUMIFS(Database!$G:$G,Database!$D:$D,"Export",Database!$E:$E,$B133,Database!$C:$C,T$1,Database!$F:$F,"Total")</f>
        <v>0</v>
      </c>
      <c r="U133" s="137">
        <f>SUMIFS(Database!$G:$G,Database!$D:$D,"Export",Database!$E:$E,$B133,Database!$C:$C,U$1,Database!$F:$F,"Total")</f>
        <v>0</v>
      </c>
      <c r="V133" s="137">
        <f>SUMIFS(Database!$G:$G,Database!$D:$D,"Export",Database!$E:$E,$B133,Database!$C:$C,V$1,Database!$F:$F,"Total")</f>
        <v>0</v>
      </c>
      <c r="W133" s="137">
        <f>SUMIFS(Database!$G:$G,Database!$D:$D,"Export",Database!$E:$E,$B133,Database!$C:$C,W$1,Database!$F:$F,"Total")</f>
        <v>0</v>
      </c>
      <c r="X133" s="137">
        <f>SUMIFS(Database!$G:$G,Database!$D:$D,"Export",Database!$E:$E,$B133,Database!$C:$C,X$1,Database!$F:$F,"Total")</f>
        <v>0</v>
      </c>
      <c r="Y133" s="137">
        <f>SUMIFS(Database!$G:$G,Database!$D:$D,"Export",Database!$E:$E,$B133,Database!$C:$C,Y$1,Database!$F:$F,"Total")</f>
        <v>0</v>
      </c>
      <c r="Z133" s="137">
        <f>SUMIFS(Database!$G:$G,Database!$D:$D,"Export",Database!$E:$E,$B133,Database!$C:$C,Z$1,Database!$F:$F,"Total")</f>
        <v>0</v>
      </c>
      <c r="AA133" s="137">
        <f>SUMIFS(Database!$G:$G,Database!$D:$D,"Export",Database!$E:$E,$B133,Database!$C:$C,AA$1,Database!$F:$F,"Total")</f>
        <v>0</v>
      </c>
      <c r="AB133" s="137">
        <f>SUMIFS(Database!$G:$G,Database!$D:$D,"Export",Database!$E:$E,$B133,Database!$C:$C,AB$1,Database!$F:$F,"Total")</f>
        <v>0</v>
      </c>
      <c r="AC133" s="137">
        <f>SUMIFS(Database!$G:$G,Database!$D:$D,"Export",Database!$E:$E,$B133,Database!$C:$C,AC$1,Database!$F:$F,"Total")</f>
        <v>0</v>
      </c>
      <c r="AD133" s="137">
        <f>SUMIFS(Database!$G:$G,Database!$D:$D,"Export",Database!$E:$E,$B133,Database!$C:$C,AD$1,Database!$F:$F,"Total")</f>
        <v>0</v>
      </c>
      <c r="AE133" s="137">
        <f>SUMIFS(Database!$G:$G,Database!$D:$D,"Export",Database!$E:$E,$B133,Database!$C:$C,AE$1,Database!$F:$F,"Total")</f>
        <v>259</v>
      </c>
      <c r="AF133" s="137">
        <f>SUMIFS(Database!$G:$G,Database!$D:$D,"Export",Database!$E:$E,$B133,Database!$C:$C,AF$1,Database!$F:$F,"Total")</f>
        <v>119</v>
      </c>
      <c r="AG133" s="137">
        <f>SUMIFS(Database!$G:$G,Database!$D:$D,"Export",Database!$E:$E,$B133,Database!$C:$C,AG$1,Database!$F:$F,"Total")</f>
        <v>0</v>
      </c>
      <c r="AH133" s="137">
        <f>SUMIFS(Database!$G:$G,Database!$D:$D,"Export",Database!$E:$E,$B133,Database!$C:$C,AH$1,Database!$F:$F,"Total")</f>
        <v>444</v>
      </c>
      <c r="AI133" s="137">
        <f>SUMIFS(Database!$G:$G,Database!$D:$D,"Export",Database!$E:$E,$B133,Database!$C:$C,AI$1,Database!$F:$F,"Total")</f>
        <v>12</v>
      </c>
      <c r="AJ133" s="137">
        <f>SUMIFS(Database!$G:$G,Database!$D:$D,"Export",Database!$E:$E,$B133,Database!$C:$C,AJ$1,Database!$F:$F,"Total")</f>
        <v>23</v>
      </c>
      <c r="AK133" s="137">
        <f>SUMIFS(Database!$G:$G,Database!$D:$D,"Export",Database!$E:$E,$B133,Database!$C:$C,AK$1,Database!$F:$F,"Total")</f>
        <v>51</v>
      </c>
      <c r="AL133" s="137">
        <f>SUMIFS(Database!$G:$G,Database!$D:$D,"Export",Database!$E:$E,$B133,Database!$C:$C,AL$1,Database!$F:$F,"Total")</f>
        <v>1094</v>
      </c>
      <c r="AM133" s="137">
        <f>SUMIFS(Database!$G:$G,Database!$D:$D,"Export",Database!$E:$E,$B133,Database!$C:$C,AM$1,Database!$F:$F,"Total")</f>
        <v>315</v>
      </c>
      <c r="AN133" s="137">
        <f>SUMIFS(Database!$G:$G,Database!$D:$D,"Export",Database!$E:$E,$B133,Database!$C:$C,AN$1,Database!$F:$F,"Total")</f>
        <v>485</v>
      </c>
      <c r="AO133" s="137">
        <f>SUMIFS(Database!$G:$G,Database!$D:$D,"Export",Database!$E:$E,$B133,Database!$C:$C,AO$1,Database!$F:$F,"Total")</f>
        <v>512</v>
      </c>
      <c r="AP133" s="137">
        <f>SUMIFS(Database!$G:$G,Database!$D:$D,"Export",Database!$E:$E,$B133,Database!$C:$C,AP$1,Database!$F:$F,"Total")</f>
        <v>436</v>
      </c>
      <c r="AQ133" s="137">
        <f>SUMIFS(Database!$G:$G,Database!$D:$D,"Export",Database!$E:$E,$B133,Database!$C:$C,AQ$1,Database!$F:$F,"Total")</f>
        <v>2321</v>
      </c>
      <c r="AR133" s="137">
        <f>SUMIFS(Database!$G:$G,Database!$D:$D,"Export",Database!$E:$E,$B133,Database!$C:$C,AR$1,Database!$F:$F,"Total")</f>
        <v>520</v>
      </c>
      <c r="AS133" s="137">
        <f>SUMIFS(Database!$G:$G,Database!$D:$D,"Export",Database!$E:$E,$B133,Database!$C:$C,AS$1,Database!$F:$F,"Total")</f>
        <v>1110</v>
      </c>
      <c r="AT133" s="137">
        <f>SUMIFS(Database!$G:$G,Database!$D:$D,"Export",Database!$E:$E,$B133,Database!$C:$C,AT$1,Database!$F:$F,"Total")</f>
        <v>804</v>
      </c>
      <c r="AU133" s="137">
        <f>SUMIFS(Database!$G:$G,Database!$D:$D,"Export",Database!$E:$E,$B133,Database!$C:$C,AU$1,Database!$F:$F,"Total")</f>
        <v>816</v>
      </c>
      <c r="AV133" s="137">
        <f>SUMIFS(Database!$G:$G,Database!$D:$D,"Export",Database!$E:$E,$B133,Database!$C:$C,AV$1,Database!$F:$F,"Total")</f>
        <v>884</v>
      </c>
      <c r="AW133" s="137">
        <f>SUMIFS(Database!$G:$G,Database!$D:$D,"Export",Database!$E:$E,$B133,Database!$C:$C,AW$1,Database!$F:$F,"Total")</f>
        <v>1493</v>
      </c>
      <c r="AX133" s="137">
        <f>SUMIFS(Database!$G:$G,Database!$D:$D,"Export",Database!$E:$E,$B133,Database!$C:$C,AX$1,Database!$F:$F,"Total")</f>
        <v>2354</v>
      </c>
      <c r="AY133" s="137">
        <f>SUMIFS(Database!$G:$G,Database!$D:$D,"Export",Database!$E:$E,$B133,Database!$C:$C,AY$1,Database!$F:$F,"Total")</f>
        <v>3361</v>
      </c>
      <c r="AZ133" s="137">
        <f>SUMIFS(Database!$G:$G,Database!$D:$D,"Export",Database!$E:$E,$B133,Database!$C:$C,AZ$1,Database!$F:$F,"Total")</f>
        <v>2526</v>
      </c>
      <c r="BA133" s="137">
        <f>SUMIFS(Database!$G:$G,Database!$D:$D,"Export",Database!$E:$E,$B133,Database!$C:$C,BA$1,Database!$F:$F,"Total")</f>
        <v>1714</v>
      </c>
      <c r="BB133" s="137">
        <f>SUMIFS(Database!$G:$G,Database!$D:$D,"Export",Database!$E:$E,$B133,Database!$C:$C,BB$1,Database!$F:$F,"Total")</f>
        <v>1159</v>
      </c>
      <c r="BC133" s="137">
        <f>SUMIFS(Database!$G:$G,Database!$D:$D,"Export",Database!$E:$E,$B133,Database!$C:$C,BC$1,Database!$F:$F,"Total")</f>
        <v>984</v>
      </c>
      <c r="BD133" s="137">
        <f>SUMIFS(Database!$G:$G,Database!$D:$D,"Export",Database!$E:$E,$B133,Database!$C:$C,BD$1,Database!$F:$F,"Total")</f>
        <v>891</v>
      </c>
      <c r="BE133" s="137">
        <f>SUMIFS(Database!$G:$G,Database!$D:$D,"Export",Database!$E:$E,$B133,Database!$C:$C,BE$1,Database!$F:$F,"Total")</f>
        <v>1041</v>
      </c>
      <c r="BF133" s="137">
        <f>SUMIFS(Database!$G:$G,Database!$D:$D,"Export",Database!$E:$E,$B133,Database!$C:$C,BF$1,Database!$F:$F,"Total")</f>
        <v>2230</v>
      </c>
      <c r="BG133" s="137">
        <f>SUMIFS(Database!$G:$G,Database!$D:$D,"Export",Database!$E:$E,$B133,Database!$C:$C,BG$1,Database!$F:$F,"Total")</f>
        <v>0</v>
      </c>
      <c r="BH133" s="137">
        <f>SUMIFS(Database!$G:$G,Database!$D:$D,"Export",Database!$E:$E,$B133,Database!$C:$C,BH$1,Database!$F:$F,"Total")</f>
        <v>5754</v>
      </c>
      <c r="BI133" s="137">
        <f>SUMIFS(Database!$G:$G,Database!$D:$D,"Export",Database!$E:$E,$B133,Database!$C:$C,BI$1,Database!$F:$F,"Total")</f>
        <v>0</v>
      </c>
      <c r="BJ133" s="137">
        <f>SUMIFS(Database!$G:$G,Database!$D:$D,"Export",Database!$E:$E,$B133,Database!$C:$C,BJ$1,Database!$F:$F,"Total")</f>
        <v>0</v>
      </c>
      <c r="BK133" s="137">
        <f>SUMIFS(Database!$G:$G,Database!$D:$D,"Export",Database!$E:$E,$B133,Database!$C:$C,BK$1,Database!$F:$F,"Total")</f>
        <v>0</v>
      </c>
      <c r="BL133" s="137">
        <f>SUMIFS(Database!$G:$G,Database!$D:$D,"Export",Database!$E:$E,$B133,Database!$C:$C,BL$1,Database!$F:$F,"Total")</f>
        <v>0</v>
      </c>
      <c r="BM133" s="137">
        <f>SUMIFS(Database!$G:$G,Database!$D:$D,"Export",Database!$E:$E,$B133,Database!$C:$C,BM$1,Database!$F:$F,"Total")</f>
        <v>0</v>
      </c>
      <c r="BN133" s="137">
        <f>SUMIFS(Database!$G:$G,Database!$D:$D,"Export",Database!$E:$E,$B133,Database!$C:$C,BN$1,Database!$F:$F,"Total")</f>
        <v>1771</v>
      </c>
      <c r="BO133" s="137">
        <f>SUMIFS(Database!$G:$G,Database!$D:$D,"Export",Database!$E:$E,$B133,Database!$C:$C,BO$1,Database!$F:$F,"Total")</f>
        <v>0</v>
      </c>
      <c r="BP133" s="137">
        <f>SUMIFS(Database!$G:$G,Database!$D:$D,"Export",Database!$E:$E,$B133,Database!$C:$C,BP$1,Database!$F:$F,"Total")</f>
        <v>0</v>
      </c>
      <c r="BQ133" s="137">
        <f>SUMIFS(Database!$G:$G,Database!$D:$D,"Export",Database!$E:$E,$B133,Database!$C:$C,BQ$1,Database!$F:$F,"Total")</f>
        <v>0</v>
      </c>
      <c r="BR133" s="137">
        <f>SUMIFS(Database!$G:$G,Database!$D:$D,"Export",Database!$E:$E,$B133,Database!$C:$C,BR$1,Database!$F:$F,"Total")</f>
        <v>0</v>
      </c>
      <c r="BS133" s="137">
        <f>SUMIFS(Database!$G:$G,Database!$D:$D,"Export",Database!$E:$E,$B133,Database!$C:$C,BS$1,Database!$F:$F,"Total")</f>
        <v>0</v>
      </c>
      <c r="BT133" s="137">
        <f>SUMIFS(Database!$G:$G,Database!$D:$D,"Export",Database!$E:$E,$B133,Database!$C:$C,BT$1,Database!$F:$F,"Total")</f>
        <v>0</v>
      </c>
      <c r="BU133" s="137">
        <f>SUMIFS(Database!$G:$G,Database!$D:$D,"Export",Database!$E:$E,$B133,Database!$C:$C,BU$1,Database!$F:$F,"Total")</f>
        <v>0</v>
      </c>
      <c r="BV133" s="137">
        <f>SUMIFS(Database!$G:$G,Database!$D:$D,"Export",Database!$E:$E,$B133,Database!$C:$C,BV$1,Database!$F:$F,"Total")</f>
        <v>0</v>
      </c>
      <c r="BW133" s="137">
        <f>SUMIFS(Database!$G:$G,Database!$D:$D,"Export",Database!$E:$E,$B133,Database!$C:$C,BW$1,Database!$F:$F,"Total")</f>
        <v>0</v>
      </c>
      <c r="BX133" s="137">
        <f>SUMIFS(Database!$G:$G,Database!$D:$D,"Export",Database!$E:$E,$B133,Database!$C:$C,BX$1,Database!$F:$F,"Total")</f>
        <v>0</v>
      </c>
      <c r="BY133" s="137">
        <f>SUMIFS(Database!$G:$G,Database!$D:$D,"Export",Database!$E:$E,$B133,Database!$C:$C,BY$1,Database!$F:$F,"Total")</f>
        <v>0</v>
      </c>
      <c r="BZ133" s="137">
        <f>SUMIFS(Database!$G:$G,Database!$D:$D,"Export",Database!$E:$E,$B133,Database!$C:$C,BZ$1,Database!$F:$F,"Total")</f>
        <v>0</v>
      </c>
      <c r="CA133" s="137">
        <f>SUMIFS(Database!$G:$G,Database!$D:$D,"Export",Database!$E:$E,$B133,Database!$C:$C,CA$1,Database!$F:$F,"Total")</f>
        <v>0</v>
      </c>
      <c r="CB133" s="137">
        <f>SUMIFS(Database!$G:$G,Database!$D:$D,"Export",Database!$E:$E,$B133,Database!$C:$C,CB$1,Database!$F:$F,"Total")</f>
        <v>0</v>
      </c>
      <c r="CC133" s="137">
        <f>SUMIFS(Database!$G:$G,Database!$D:$D,"Export",Database!$E:$E,$B133,Database!$C:$C,CC$1,Database!$F:$F,"Total")</f>
        <v>0</v>
      </c>
      <c r="CD133" s="137">
        <f>SUMIFS(Database!$G:$G,Database!$D:$D,"Export",Database!$E:$E,$B133,Database!$C:$C,CD$1,Database!$F:$F,"Total")</f>
        <v>0</v>
      </c>
      <c r="CE133" s="137">
        <f>SUMIFS(Database!$G:$G,Database!$D:$D,"Export",Database!$E:$E,$B133,Database!$C:$C,CE$1,Database!$F:$F,"Total")</f>
        <v>0</v>
      </c>
      <c r="CF133" s="137">
        <f>SUMIFS(Database!$G:$G,Database!$D:$D,"Export",Database!$E:$E,$B133,Database!$C:$C,CF$1,Database!$F:$F,"Total")</f>
        <v>0</v>
      </c>
      <c r="CG133" s="137">
        <f>SUMIFS(Database!$G:$G,Database!$D:$D,"Export",Database!$E:$E,$B133,Database!$C:$C,CG$1,Database!$F:$F,"Total")</f>
        <v>0</v>
      </c>
      <c r="CH133" s="137">
        <f>SUMIFS(Database!$G:$G,Database!$D:$D,"Export",Database!$E:$E,$B133,Database!$C:$C,CH$1,Database!$F:$F,"Total")</f>
        <v>0</v>
      </c>
      <c r="CI133" s="137">
        <f>SUMIFS(Database!$G:$G,Database!$D:$D,"Export",Database!$E:$E,$B133,Database!$C:$C,CI$1,Database!$F:$F,"Total")</f>
        <v>0</v>
      </c>
      <c r="CJ133" s="137">
        <f>SUMIFS(Database!$G:$G,Database!$D:$D,"Export",Database!$E:$E,$B133,Database!$C:$C,CJ$1,Database!$F:$F,"Total")</f>
        <v>0</v>
      </c>
      <c r="CK133" s="137">
        <f>SUMIFS(Database!$G:$G,Database!$D:$D,"Export",Database!$E:$E,$B133,Database!$C:$C,CK$1,Database!$F:$F,"Total")</f>
        <v>0</v>
      </c>
      <c r="CL133" s="137">
        <f>SUMIFS(Database!$G:$G,Database!$D:$D,"Export",Database!$E:$E,$B133,Database!$C:$C,CL$1,Database!$F:$F,"Total")</f>
        <v>0</v>
      </c>
      <c r="CM133" s="137">
        <f>SUMIFS(Database!$G:$G,Database!$D:$D,"Export",Database!$E:$E,$B133,Database!$C:$C,CM$1,Database!$F:$F,"Total")</f>
        <v>0</v>
      </c>
      <c r="CN133" s="137">
        <f>SUMIFS(Database!$G:$G,Database!$D:$D,"Export",Database!$E:$E,$B133,Database!$C:$C,CN$1,Database!$F:$F,"Total")</f>
        <v>0</v>
      </c>
      <c r="CO133" s="137">
        <f>SUMIFS(Database!$G:$G,Database!$D:$D,"Export",Database!$E:$E,$B133,Database!$C:$C,CO$1,Database!$F:$F,"Total")</f>
        <v>0</v>
      </c>
      <c r="CP133" s="137">
        <f>SUMIFS(Database!$G:$G,Database!$D:$D,"Export",Database!$E:$E,$B133,Database!$C:$C,CP$1,Database!$F:$F,"Total")</f>
        <v>0</v>
      </c>
      <c r="CQ133" s="137">
        <f>SUMIFS(Database!$G:$G,Database!$D:$D,"Export",Database!$E:$E,$B133,Database!$C:$C,CQ$1,Database!$F:$F,"Total")</f>
        <v>0</v>
      </c>
      <c r="CR133" s="137">
        <f>SUMIFS(Database!$G:$G,Database!$D:$D,"Export",Database!$E:$E,$B133,Database!$C:$C,CR$1,Database!$F:$F,"Total")</f>
        <v>0</v>
      </c>
      <c r="CS133" s="137">
        <f>SUMIFS(Database!$G:$G,Database!$D:$D,"Export",Database!$E:$E,$B133,Database!$C:$C,CS$1,Database!$F:$F,"Total")</f>
        <v>0</v>
      </c>
      <c r="CT133" s="137">
        <f>SUMIFS(Database!$G:$G,Database!$D:$D,"Export",Database!$E:$E,$B133,Database!$C:$C,CT$1,Database!$F:$F,"Total")</f>
        <v>0</v>
      </c>
      <c r="CU133" s="137">
        <f>SUMIFS(Database!$G:$G,Database!$D:$D,"Export",Database!$E:$E,$B133,Database!$C:$C,CU$1,Database!$F:$F,"Total")</f>
        <v>0</v>
      </c>
    </row>
    <row r="134" spans="1:99" x14ac:dyDescent="0.25">
      <c r="A134" s="132" t="s">
        <v>485</v>
      </c>
      <c r="B134" s="133" t="s">
        <v>133</v>
      </c>
      <c r="C134" s="137">
        <f>SUMIFS(Database!$G:$G,Database!$D:$D,"Export",Database!$E:$E,$B134,Database!$C:$C,C$1,Database!$F:$F,"Total")</f>
        <v>0</v>
      </c>
      <c r="D134" s="137">
        <f>SUMIFS(Database!$G:$G,Database!$D:$D,"Export",Database!$E:$E,$B134,Database!$C:$C,D$1,Database!$F:$F,"Total")</f>
        <v>0</v>
      </c>
      <c r="E134" s="137">
        <f>SUMIFS(Database!$G:$G,Database!$D:$D,"Export",Database!$E:$E,$B134,Database!$C:$C,E$1,Database!$F:$F,"Total")</f>
        <v>0</v>
      </c>
      <c r="F134" s="137">
        <f>SUMIFS(Database!$G:$G,Database!$D:$D,"Export",Database!$E:$E,$B134,Database!$C:$C,F$1,Database!$F:$F,"Total")</f>
        <v>0</v>
      </c>
      <c r="G134" s="137">
        <f>SUMIFS(Database!$G:$G,Database!$D:$D,"Export",Database!$E:$E,$B134,Database!$C:$C,G$1,Database!$F:$F,"Total")</f>
        <v>0</v>
      </c>
      <c r="H134" s="137">
        <f>SUMIFS(Database!$G:$G,Database!$D:$D,"Export",Database!$E:$E,$B134,Database!$C:$C,H$1,Database!$F:$F,"Total")</f>
        <v>0</v>
      </c>
      <c r="I134" s="137">
        <f>SUMIFS(Database!$G:$G,Database!$D:$D,"Export",Database!$E:$E,$B134,Database!$C:$C,I$1,Database!$F:$F,"Total")</f>
        <v>0</v>
      </c>
      <c r="J134" s="137">
        <f>SUMIFS(Database!$G:$G,Database!$D:$D,"Export",Database!$E:$E,$B134,Database!$C:$C,J$1,Database!$F:$F,"Total")</f>
        <v>0</v>
      </c>
      <c r="K134" s="137">
        <f>SUMIFS(Database!$G:$G,Database!$D:$D,"Export",Database!$E:$E,$B134,Database!$C:$C,K$1,Database!$F:$F,"Total")</f>
        <v>0</v>
      </c>
      <c r="L134" s="137">
        <f>SUMIFS(Database!$G:$G,Database!$D:$D,"Export",Database!$E:$E,$B134,Database!$C:$C,L$1,Database!$F:$F,"Total")</f>
        <v>0</v>
      </c>
      <c r="M134" s="137">
        <f>SUMIFS(Database!$G:$G,Database!$D:$D,"Export",Database!$E:$E,$B134,Database!$C:$C,M$1,Database!$F:$F,"Total")</f>
        <v>0</v>
      </c>
      <c r="N134" s="137">
        <f>SUMIFS(Database!$G:$G,Database!$D:$D,"Export",Database!$E:$E,$B134,Database!$C:$C,N$1,Database!$F:$F,"Total")</f>
        <v>0</v>
      </c>
      <c r="O134" s="137">
        <f>SUMIFS(Database!$G:$G,Database!$D:$D,"Export",Database!$E:$E,$B134,Database!$C:$C,O$1,Database!$F:$F,"Total")</f>
        <v>0</v>
      </c>
      <c r="P134" s="137">
        <f>SUMIFS(Database!$G:$G,Database!$D:$D,"Export",Database!$E:$E,$B134,Database!$C:$C,P$1,Database!$F:$F,"Total")</f>
        <v>0</v>
      </c>
      <c r="Q134" s="137">
        <f>SUMIFS(Database!$G:$G,Database!$D:$D,"Export",Database!$E:$E,$B134,Database!$C:$C,Q$1,Database!$F:$F,"Total")</f>
        <v>0</v>
      </c>
      <c r="R134" s="137">
        <f>SUMIFS(Database!$G:$G,Database!$D:$D,"Export",Database!$E:$E,$B134,Database!$C:$C,R$1,Database!$F:$F,"Total")</f>
        <v>0</v>
      </c>
      <c r="S134" s="137">
        <f>SUMIFS(Database!$G:$G,Database!$D:$D,"Export",Database!$E:$E,$B134,Database!$C:$C,S$1,Database!$F:$F,"Total")</f>
        <v>0</v>
      </c>
      <c r="T134" s="137">
        <f>SUMIFS(Database!$G:$G,Database!$D:$D,"Export",Database!$E:$E,$B134,Database!$C:$C,T$1,Database!$F:$F,"Total")</f>
        <v>0</v>
      </c>
      <c r="U134" s="137">
        <f>SUMIFS(Database!$G:$G,Database!$D:$D,"Export",Database!$E:$E,$B134,Database!$C:$C,U$1,Database!$F:$F,"Total")</f>
        <v>0</v>
      </c>
      <c r="V134" s="137">
        <f>SUMIFS(Database!$G:$G,Database!$D:$D,"Export",Database!$E:$E,$B134,Database!$C:$C,V$1,Database!$F:$F,"Total")</f>
        <v>0</v>
      </c>
      <c r="W134" s="137">
        <f>SUMIFS(Database!$G:$G,Database!$D:$D,"Export",Database!$E:$E,$B134,Database!$C:$C,W$1,Database!$F:$F,"Total")</f>
        <v>0</v>
      </c>
      <c r="X134" s="137">
        <f>SUMIFS(Database!$G:$G,Database!$D:$D,"Export",Database!$E:$E,$B134,Database!$C:$C,X$1,Database!$F:$F,"Total")</f>
        <v>0</v>
      </c>
      <c r="Y134" s="137">
        <f>SUMIFS(Database!$G:$G,Database!$D:$D,"Export",Database!$E:$E,$B134,Database!$C:$C,Y$1,Database!$F:$F,"Total")</f>
        <v>0</v>
      </c>
      <c r="Z134" s="137">
        <f>SUMIFS(Database!$G:$G,Database!$D:$D,"Export",Database!$E:$E,$B134,Database!$C:$C,Z$1,Database!$F:$F,"Total")</f>
        <v>0</v>
      </c>
      <c r="AA134" s="137">
        <f>SUMIFS(Database!$G:$G,Database!$D:$D,"Export",Database!$E:$E,$B134,Database!$C:$C,AA$1,Database!$F:$F,"Total")</f>
        <v>0</v>
      </c>
      <c r="AB134" s="137">
        <f>SUMIFS(Database!$G:$G,Database!$D:$D,"Export",Database!$E:$E,$B134,Database!$C:$C,AB$1,Database!$F:$F,"Total")</f>
        <v>0</v>
      </c>
      <c r="AC134" s="137">
        <f>SUMIFS(Database!$G:$G,Database!$D:$D,"Export",Database!$E:$E,$B134,Database!$C:$C,AC$1,Database!$F:$F,"Total")</f>
        <v>0</v>
      </c>
      <c r="AD134" s="137">
        <f>SUMIFS(Database!$G:$G,Database!$D:$D,"Export",Database!$E:$E,$B134,Database!$C:$C,AD$1,Database!$F:$F,"Total")</f>
        <v>0</v>
      </c>
      <c r="AE134" s="137">
        <f>SUMIFS(Database!$G:$G,Database!$D:$D,"Export",Database!$E:$E,$B134,Database!$C:$C,AE$1,Database!$F:$F,"Total")</f>
        <v>0</v>
      </c>
      <c r="AF134" s="137">
        <f>SUMIFS(Database!$G:$G,Database!$D:$D,"Export",Database!$E:$E,$B134,Database!$C:$C,AF$1,Database!$F:$F,"Total")</f>
        <v>0</v>
      </c>
      <c r="AG134" s="137">
        <f>SUMIFS(Database!$G:$G,Database!$D:$D,"Export",Database!$E:$E,$B134,Database!$C:$C,AG$1,Database!$F:$F,"Total")</f>
        <v>0</v>
      </c>
      <c r="AH134" s="137">
        <f>SUMIFS(Database!$G:$G,Database!$D:$D,"Export",Database!$E:$E,$B134,Database!$C:$C,AH$1,Database!$F:$F,"Total")</f>
        <v>0</v>
      </c>
      <c r="AI134" s="137">
        <f>SUMIFS(Database!$G:$G,Database!$D:$D,"Export",Database!$E:$E,$B134,Database!$C:$C,AI$1,Database!$F:$F,"Total")</f>
        <v>0</v>
      </c>
      <c r="AJ134" s="137">
        <f>SUMIFS(Database!$G:$G,Database!$D:$D,"Export",Database!$E:$E,$B134,Database!$C:$C,AJ$1,Database!$F:$F,"Total")</f>
        <v>0</v>
      </c>
      <c r="AK134" s="137">
        <f>SUMIFS(Database!$G:$G,Database!$D:$D,"Export",Database!$E:$E,$B134,Database!$C:$C,AK$1,Database!$F:$F,"Total")</f>
        <v>0</v>
      </c>
      <c r="AL134" s="137">
        <f>SUMIFS(Database!$G:$G,Database!$D:$D,"Export",Database!$E:$E,$B134,Database!$C:$C,AL$1,Database!$F:$F,"Total")</f>
        <v>0</v>
      </c>
      <c r="AM134" s="137">
        <f>SUMIFS(Database!$G:$G,Database!$D:$D,"Export",Database!$E:$E,$B134,Database!$C:$C,AM$1,Database!$F:$F,"Total")</f>
        <v>0</v>
      </c>
      <c r="AN134" s="137">
        <f>SUMIFS(Database!$G:$G,Database!$D:$D,"Export",Database!$E:$E,$B134,Database!$C:$C,AN$1,Database!$F:$F,"Total")</f>
        <v>0</v>
      </c>
      <c r="AO134" s="137">
        <f>SUMIFS(Database!$G:$G,Database!$D:$D,"Export",Database!$E:$E,$B134,Database!$C:$C,AO$1,Database!$F:$F,"Total")</f>
        <v>0</v>
      </c>
      <c r="AP134" s="137">
        <f>SUMIFS(Database!$G:$G,Database!$D:$D,"Export",Database!$E:$E,$B134,Database!$C:$C,AP$1,Database!$F:$F,"Total")</f>
        <v>0</v>
      </c>
      <c r="AQ134" s="137">
        <f>SUMIFS(Database!$G:$G,Database!$D:$D,"Export",Database!$E:$E,$B134,Database!$C:$C,AQ$1,Database!$F:$F,"Total")</f>
        <v>0</v>
      </c>
      <c r="AR134" s="137">
        <f>SUMIFS(Database!$G:$G,Database!$D:$D,"Export",Database!$E:$E,$B134,Database!$C:$C,AR$1,Database!$F:$F,"Total")</f>
        <v>0</v>
      </c>
      <c r="AS134" s="137">
        <f>SUMIFS(Database!$G:$G,Database!$D:$D,"Export",Database!$E:$E,$B134,Database!$C:$C,AS$1,Database!$F:$F,"Total")</f>
        <v>0</v>
      </c>
      <c r="AT134" s="137">
        <f>SUMIFS(Database!$G:$G,Database!$D:$D,"Export",Database!$E:$E,$B134,Database!$C:$C,AT$1,Database!$F:$F,"Total")</f>
        <v>0</v>
      </c>
      <c r="AU134" s="137">
        <f>SUMIFS(Database!$G:$G,Database!$D:$D,"Export",Database!$E:$E,$B134,Database!$C:$C,AU$1,Database!$F:$F,"Total")</f>
        <v>0</v>
      </c>
      <c r="AV134" s="137">
        <f>SUMIFS(Database!$G:$G,Database!$D:$D,"Export",Database!$E:$E,$B134,Database!$C:$C,AV$1,Database!$F:$F,"Total")</f>
        <v>0</v>
      </c>
      <c r="AW134" s="137">
        <f>SUMIFS(Database!$G:$G,Database!$D:$D,"Export",Database!$E:$E,$B134,Database!$C:$C,AW$1,Database!$F:$F,"Total")</f>
        <v>0</v>
      </c>
      <c r="AX134" s="137">
        <f>SUMIFS(Database!$G:$G,Database!$D:$D,"Export",Database!$E:$E,$B134,Database!$C:$C,AX$1,Database!$F:$F,"Total")</f>
        <v>0</v>
      </c>
      <c r="AY134" s="137">
        <f>SUMIFS(Database!$G:$G,Database!$D:$D,"Export",Database!$E:$E,$B134,Database!$C:$C,AY$1,Database!$F:$F,"Total")</f>
        <v>0</v>
      </c>
      <c r="AZ134" s="137">
        <f>SUMIFS(Database!$G:$G,Database!$D:$D,"Export",Database!$E:$E,$B134,Database!$C:$C,AZ$1,Database!$F:$F,"Total")</f>
        <v>0</v>
      </c>
      <c r="BA134" s="137">
        <f>SUMIFS(Database!$G:$G,Database!$D:$D,"Export",Database!$E:$E,$B134,Database!$C:$C,BA$1,Database!$F:$F,"Total")</f>
        <v>0</v>
      </c>
      <c r="BB134" s="137">
        <f>SUMIFS(Database!$G:$G,Database!$D:$D,"Export",Database!$E:$E,$B134,Database!$C:$C,BB$1,Database!$F:$F,"Total")</f>
        <v>0</v>
      </c>
      <c r="BC134" s="137">
        <f>SUMIFS(Database!$G:$G,Database!$D:$D,"Export",Database!$E:$E,$B134,Database!$C:$C,BC$1,Database!$F:$F,"Total")</f>
        <v>0</v>
      </c>
      <c r="BD134" s="137">
        <f>SUMIFS(Database!$G:$G,Database!$D:$D,"Export",Database!$E:$E,$B134,Database!$C:$C,BD$1,Database!$F:$F,"Total")</f>
        <v>0</v>
      </c>
      <c r="BE134" s="137">
        <f>SUMIFS(Database!$G:$G,Database!$D:$D,"Export",Database!$E:$E,$B134,Database!$C:$C,BE$1,Database!$F:$F,"Total")</f>
        <v>0</v>
      </c>
      <c r="BF134" s="137">
        <f>SUMIFS(Database!$G:$G,Database!$D:$D,"Export",Database!$E:$E,$B134,Database!$C:$C,BF$1,Database!$F:$F,"Total")</f>
        <v>0</v>
      </c>
      <c r="BG134" s="137">
        <f>SUMIFS(Database!$G:$G,Database!$D:$D,"Export",Database!$E:$E,$B134,Database!$C:$C,BG$1,Database!$F:$F,"Total")</f>
        <v>0</v>
      </c>
      <c r="BH134" s="137">
        <f>SUMIFS(Database!$G:$G,Database!$D:$D,"Export",Database!$E:$E,$B134,Database!$C:$C,BH$1,Database!$F:$F,"Total")</f>
        <v>0</v>
      </c>
      <c r="BI134" s="137">
        <f>SUMIFS(Database!$G:$G,Database!$D:$D,"Export",Database!$E:$E,$B134,Database!$C:$C,BI$1,Database!$F:$F,"Total")</f>
        <v>0</v>
      </c>
      <c r="BJ134" s="137">
        <f>SUMIFS(Database!$G:$G,Database!$D:$D,"Export",Database!$E:$E,$B134,Database!$C:$C,BJ$1,Database!$F:$F,"Total")</f>
        <v>13551</v>
      </c>
      <c r="BK134" s="137">
        <f>SUMIFS(Database!$G:$G,Database!$D:$D,"Export",Database!$E:$E,$B134,Database!$C:$C,BK$1,Database!$F:$F,"Total")</f>
        <v>10401</v>
      </c>
      <c r="BL134" s="137">
        <f>SUMIFS(Database!$G:$G,Database!$D:$D,"Export",Database!$E:$E,$B134,Database!$C:$C,BL$1,Database!$F:$F,"Total")</f>
        <v>0</v>
      </c>
      <c r="BM134" s="137">
        <f>SUMIFS(Database!$G:$G,Database!$D:$D,"Export",Database!$E:$E,$B134,Database!$C:$C,BM$1,Database!$F:$F,"Total")</f>
        <v>0</v>
      </c>
      <c r="BN134" s="137">
        <f>SUMIFS(Database!$G:$G,Database!$D:$D,"Export",Database!$E:$E,$B134,Database!$C:$C,BN$1,Database!$F:$F,"Total")</f>
        <v>13561</v>
      </c>
      <c r="BO134" s="137">
        <f>SUMIFS(Database!$G:$G,Database!$D:$D,"Export",Database!$E:$E,$B134,Database!$C:$C,BO$1,Database!$F:$F,"Total")</f>
        <v>0</v>
      </c>
      <c r="BP134" s="137">
        <f>SUMIFS(Database!$G:$G,Database!$D:$D,"Export",Database!$E:$E,$B134,Database!$C:$C,BP$1,Database!$F:$F,"Total")</f>
        <v>10978</v>
      </c>
      <c r="BQ134" s="137">
        <f>SUMIFS(Database!$G:$G,Database!$D:$D,"Export",Database!$E:$E,$B134,Database!$C:$C,BQ$1,Database!$F:$F,"Total")</f>
        <v>11375</v>
      </c>
      <c r="BR134" s="137">
        <f>SUMIFS(Database!$G:$G,Database!$D:$D,"Export",Database!$E:$E,$B134,Database!$C:$C,BR$1,Database!$F:$F,"Total")</f>
        <v>9601</v>
      </c>
      <c r="BS134" s="137">
        <f>SUMIFS(Database!$G:$G,Database!$D:$D,"Export",Database!$E:$E,$B134,Database!$C:$C,BS$1,Database!$F:$F,"Total")</f>
        <v>15992</v>
      </c>
      <c r="BT134" s="137">
        <f>SUMIFS(Database!$G:$G,Database!$D:$D,"Export",Database!$E:$E,$B134,Database!$C:$C,BT$1,Database!$F:$F,"Total")</f>
        <v>12149</v>
      </c>
      <c r="BU134" s="137">
        <f>SUMIFS(Database!$G:$G,Database!$D:$D,"Export",Database!$E:$E,$B134,Database!$C:$C,BU$1,Database!$F:$F,"Total")</f>
        <v>15703</v>
      </c>
      <c r="BV134" s="137">
        <f>SUMIFS(Database!$G:$G,Database!$D:$D,"Export",Database!$E:$E,$B134,Database!$C:$C,BV$1,Database!$F:$F,"Total")</f>
        <v>0</v>
      </c>
      <c r="BW134" s="137">
        <f>SUMIFS(Database!$G:$G,Database!$D:$D,"Export",Database!$E:$E,$B134,Database!$C:$C,BW$1,Database!$F:$F,"Total")</f>
        <v>0</v>
      </c>
      <c r="BX134" s="137">
        <f>SUMIFS(Database!$G:$G,Database!$D:$D,"Export",Database!$E:$E,$B134,Database!$C:$C,BX$1,Database!$F:$F,"Total")</f>
        <v>0</v>
      </c>
      <c r="BY134" s="137">
        <f>SUMIFS(Database!$G:$G,Database!$D:$D,"Export",Database!$E:$E,$B134,Database!$C:$C,BY$1,Database!$F:$F,"Total")</f>
        <v>0</v>
      </c>
      <c r="BZ134" s="137">
        <f>SUMIFS(Database!$G:$G,Database!$D:$D,"Export",Database!$E:$E,$B134,Database!$C:$C,BZ$1,Database!$F:$F,"Total")</f>
        <v>0</v>
      </c>
      <c r="CA134" s="137">
        <f>SUMIFS(Database!$G:$G,Database!$D:$D,"Export",Database!$E:$E,$B134,Database!$C:$C,CA$1,Database!$F:$F,"Total")</f>
        <v>0</v>
      </c>
      <c r="CB134" s="137">
        <f>SUMIFS(Database!$G:$G,Database!$D:$D,"Export",Database!$E:$E,$B134,Database!$C:$C,CB$1,Database!$F:$F,"Total")</f>
        <v>0</v>
      </c>
      <c r="CC134" s="137">
        <f>SUMIFS(Database!$G:$G,Database!$D:$D,"Export",Database!$E:$E,$B134,Database!$C:$C,CC$1,Database!$F:$F,"Total")</f>
        <v>0</v>
      </c>
      <c r="CD134" s="137">
        <f>SUMIFS(Database!$G:$G,Database!$D:$D,"Export",Database!$E:$E,$B134,Database!$C:$C,CD$1,Database!$F:$F,"Total")</f>
        <v>0</v>
      </c>
      <c r="CE134" s="137">
        <f>SUMIFS(Database!$G:$G,Database!$D:$D,"Export",Database!$E:$E,$B134,Database!$C:$C,CE$1,Database!$F:$F,"Total")</f>
        <v>0</v>
      </c>
      <c r="CF134" s="137">
        <f>SUMIFS(Database!$G:$G,Database!$D:$D,"Export",Database!$E:$E,$B134,Database!$C:$C,CF$1,Database!$F:$F,"Total")</f>
        <v>0</v>
      </c>
      <c r="CG134" s="137">
        <f>SUMIFS(Database!$G:$G,Database!$D:$D,"Export",Database!$E:$E,$B134,Database!$C:$C,CG$1,Database!$F:$F,"Total")</f>
        <v>0</v>
      </c>
      <c r="CH134" s="137">
        <f>SUMIFS(Database!$G:$G,Database!$D:$D,"Export",Database!$E:$E,$B134,Database!$C:$C,CH$1,Database!$F:$F,"Total")</f>
        <v>0</v>
      </c>
      <c r="CI134" s="137">
        <f>SUMIFS(Database!$G:$G,Database!$D:$D,"Export",Database!$E:$E,$B134,Database!$C:$C,CI$1,Database!$F:$F,"Total")</f>
        <v>0</v>
      </c>
      <c r="CJ134" s="137">
        <f>SUMIFS(Database!$G:$G,Database!$D:$D,"Export",Database!$E:$E,$B134,Database!$C:$C,CJ$1,Database!$F:$F,"Total")</f>
        <v>0</v>
      </c>
      <c r="CK134" s="137">
        <f>SUMIFS(Database!$G:$G,Database!$D:$D,"Export",Database!$E:$E,$B134,Database!$C:$C,CK$1,Database!$F:$F,"Total")</f>
        <v>0</v>
      </c>
      <c r="CL134" s="137">
        <f>SUMIFS(Database!$G:$G,Database!$D:$D,"Export",Database!$E:$E,$B134,Database!$C:$C,CL$1,Database!$F:$F,"Total")</f>
        <v>0</v>
      </c>
      <c r="CM134" s="137">
        <f>SUMIFS(Database!$G:$G,Database!$D:$D,"Export",Database!$E:$E,$B134,Database!$C:$C,CM$1,Database!$F:$F,"Total")</f>
        <v>0</v>
      </c>
      <c r="CN134" s="137">
        <f>SUMIFS(Database!$G:$G,Database!$D:$D,"Export",Database!$E:$E,$B134,Database!$C:$C,CN$1,Database!$F:$F,"Total")</f>
        <v>0</v>
      </c>
      <c r="CO134" s="137">
        <f>SUMIFS(Database!$G:$G,Database!$D:$D,"Export",Database!$E:$E,$B134,Database!$C:$C,CO$1,Database!$F:$F,"Total")</f>
        <v>0</v>
      </c>
      <c r="CP134" s="137">
        <f>SUMIFS(Database!$G:$G,Database!$D:$D,"Export",Database!$E:$E,$B134,Database!$C:$C,CP$1,Database!$F:$F,"Total")</f>
        <v>0</v>
      </c>
      <c r="CQ134" s="137">
        <f>SUMIFS(Database!$G:$G,Database!$D:$D,"Export",Database!$E:$E,$B134,Database!$C:$C,CQ$1,Database!$F:$F,"Total")</f>
        <v>0</v>
      </c>
      <c r="CR134" s="137">
        <f>SUMIFS(Database!$G:$G,Database!$D:$D,"Export",Database!$E:$E,$B134,Database!$C:$C,CR$1,Database!$F:$F,"Total")</f>
        <v>0</v>
      </c>
      <c r="CS134" s="137">
        <f>SUMIFS(Database!$G:$G,Database!$D:$D,"Export",Database!$E:$E,$B134,Database!$C:$C,CS$1,Database!$F:$F,"Total")</f>
        <v>0</v>
      </c>
      <c r="CT134" s="137">
        <f>SUMIFS(Database!$G:$G,Database!$D:$D,"Export",Database!$E:$E,$B134,Database!$C:$C,CT$1,Database!$F:$F,"Total")</f>
        <v>0</v>
      </c>
      <c r="CU134" s="137">
        <f>SUMIFS(Database!$G:$G,Database!$D:$D,"Export",Database!$E:$E,$B134,Database!$C:$C,CU$1,Database!$F:$F,"Total")</f>
        <v>0</v>
      </c>
    </row>
    <row r="135" spans="1:99" x14ac:dyDescent="0.25">
      <c r="A135" s="132" t="s">
        <v>485</v>
      </c>
      <c r="B135" s="133" t="s">
        <v>134</v>
      </c>
      <c r="C135" s="137">
        <f>SUMIFS(Database!$G:$G,Database!$D:$D,"Export",Database!$E:$E,$B135,Database!$C:$C,C$1,Database!$F:$F,"Total")</f>
        <v>0</v>
      </c>
      <c r="D135" s="137">
        <f>SUMIFS(Database!$G:$G,Database!$D:$D,"Export",Database!$E:$E,$B135,Database!$C:$C,D$1,Database!$F:$F,"Total")</f>
        <v>0</v>
      </c>
      <c r="E135" s="137">
        <f>SUMIFS(Database!$G:$G,Database!$D:$D,"Export",Database!$E:$E,$B135,Database!$C:$C,E$1,Database!$F:$F,"Total")</f>
        <v>0</v>
      </c>
      <c r="F135" s="137">
        <f>SUMIFS(Database!$G:$G,Database!$D:$D,"Export",Database!$E:$E,$B135,Database!$C:$C,F$1,Database!$F:$F,"Total")</f>
        <v>0</v>
      </c>
      <c r="G135" s="137">
        <f>SUMIFS(Database!$G:$G,Database!$D:$D,"Export",Database!$E:$E,$B135,Database!$C:$C,G$1,Database!$F:$F,"Total")</f>
        <v>0</v>
      </c>
      <c r="H135" s="137">
        <f>SUMIFS(Database!$G:$G,Database!$D:$D,"Export",Database!$E:$E,$B135,Database!$C:$C,H$1,Database!$F:$F,"Total")</f>
        <v>0</v>
      </c>
      <c r="I135" s="137">
        <f>SUMIFS(Database!$G:$G,Database!$D:$D,"Export",Database!$E:$E,$B135,Database!$C:$C,I$1,Database!$F:$F,"Total")</f>
        <v>0</v>
      </c>
      <c r="J135" s="137">
        <f>SUMIFS(Database!$G:$G,Database!$D:$D,"Export",Database!$E:$E,$B135,Database!$C:$C,J$1,Database!$F:$F,"Total")</f>
        <v>0</v>
      </c>
      <c r="K135" s="137">
        <f>SUMIFS(Database!$G:$G,Database!$D:$D,"Export",Database!$E:$E,$B135,Database!$C:$C,K$1,Database!$F:$F,"Total")</f>
        <v>0</v>
      </c>
      <c r="L135" s="137">
        <f>SUMIFS(Database!$G:$G,Database!$D:$D,"Export",Database!$E:$E,$B135,Database!$C:$C,L$1,Database!$F:$F,"Total")</f>
        <v>0</v>
      </c>
      <c r="M135" s="137">
        <f>SUMIFS(Database!$G:$G,Database!$D:$D,"Export",Database!$E:$E,$B135,Database!$C:$C,M$1,Database!$F:$F,"Total")</f>
        <v>0</v>
      </c>
      <c r="N135" s="137">
        <f>SUMIFS(Database!$G:$G,Database!$D:$D,"Export",Database!$E:$E,$B135,Database!$C:$C,N$1,Database!$F:$F,"Total")</f>
        <v>0</v>
      </c>
      <c r="O135" s="137">
        <f>SUMIFS(Database!$G:$G,Database!$D:$D,"Export",Database!$E:$E,$B135,Database!$C:$C,O$1,Database!$F:$F,"Total")</f>
        <v>0</v>
      </c>
      <c r="P135" s="137">
        <f>SUMIFS(Database!$G:$G,Database!$D:$D,"Export",Database!$E:$E,$B135,Database!$C:$C,P$1,Database!$F:$F,"Total")</f>
        <v>0</v>
      </c>
      <c r="Q135" s="137">
        <f>SUMIFS(Database!$G:$G,Database!$D:$D,"Export",Database!$E:$E,$B135,Database!$C:$C,Q$1,Database!$F:$F,"Total")</f>
        <v>0</v>
      </c>
      <c r="R135" s="137">
        <f>SUMIFS(Database!$G:$G,Database!$D:$D,"Export",Database!$E:$E,$B135,Database!$C:$C,R$1,Database!$F:$F,"Total")</f>
        <v>0</v>
      </c>
      <c r="S135" s="137">
        <f>SUMIFS(Database!$G:$G,Database!$D:$D,"Export",Database!$E:$E,$B135,Database!$C:$C,S$1,Database!$F:$F,"Total")</f>
        <v>0</v>
      </c>
      <c r="T135" s="137">
        <f>SUMIFS(Database!$G:$G,Database!$D:$D,"Export",Database!$E:$E,$B135,Database!$C:$C,T$1,Database!$F:$F,"Total")</f>
        <v>0</v>
      </c>
      <c r="U135" s="137">
        <f>SUMIFS(Database!$G:$G,Database!$D:$D,"Export",Database!$E:$E,$B135,Database!$C:$C,U$1,Database!$F:$F,"Total")</f>
        <v>0</v>
      </c>
      <c r="V135" s="137">
        <f>SUMIFS(Database!$G:$G,Database!$D:$D,"Export",Database!$E:$E,$B135,Database!$C:$C,V$1,Database!$F:$F,"Total")</f>
        <v>0</v>
      </c>
      <c r="W135" s="137">
        <f>SUMIFS(Database!$G:$G,Database!$D:$D,"Export",Database!$E:$E,$B135,Database!$C:$C,W$1,Database!$F:$F,"Total")</f>
        <v>0</v>
      </c>
      <c r="X135" s="137">
        <f>SUMIFS(Database!$G:$G,Database!$D:$D,"Export",Database!$E:$E,$B135,Database!$C:$C,X$1,Database!$F:$F,"Total")</f>
        <v>0</v>
      </c>
      <c r="Y135" s="137">
        <f>SUMIFS(Database!$G:$G,Database!$D:$D,"Export",Database!$E:$E,$B135,Database!$C:$C,Y$1,Database!$F:$F,"Total")</f>
        <v>0</v>
      </c>
      <c r="Z135" s="137">
        <f>SUMIFS(Database!$G:$G,Database!$D:$D,"Export",Database!$E:$E,$B135,Database!$C:$C,Z$1,Database!$F:$F,"Total")</f>
        <v>0</v>
      </c>
      <c r="AA135" s="137">
        <f>SUMIFS(Database!$G:$G,Database!$D:$D,"Export",Database!$E:$E,$B135,Database!$C:$C,AA$1,Database!$F:$F,"Total")</f>
        <v>0</v>
      </c>
      <c r="AB135" s="137">
        <f>SUMIFS(Database!$G:$G,Database!$D:$D,"Export",Database!$E:$E,$B135,Database!$C:$C,AB$1,Database!$F:$F,"Total")</f>
        <v>0</v>
      </c>
      <c r="AC135" s="137">
        <f>SUMIFS(Database!$G:$G,Database!$D:$D,"Export",Database!$E:$E,$B135,Database!$C:$C,AC$1,Database!$F:$F,"Total")</f>
        <v>0</v>
      </c>
      <c r="AD135" s="137">
        <f>SUMIFS(Database!$G:$G,Database!$D:$D,"Export",Database!$E:$E,$B135,Database!$C:$C,AD$1,Database!$F:$F,"Total")</f>
        <v>0</v>
      </c>
      <c r="AE135" s="137">
        <f>SUMIFS(Database!$G:$G,Database!$D:$D,"Export",Database!$E:$E,$B135,Database!$C:$C,AE$1,Database!$F:$F,"Total")</f>
        <v>0</v>
      </c>
      <c r="AF135" s="137">
        <f>SUMIFS(Database!$G:$G,Database!$D:$D,"Export",Database!$E:$E,$B135,Database!$C:$C,AF$1,Database!$F:$F,"Total")</f>
        <v>0</v>
      </c>
      <c r="AG135" s="137">
        <f>SUMIFS(Database!$G:$G,Database!$D:$D,"Export",Database!$E:$E,$B135,Database!$C:$C,AG$1,Database!$F:$F,"Total")</f>
        <v>0</v>
      </c>
      <c r="AH135" s="137">
        <f>SUMIFS(Database!$G:$G,Database!$D:$D,"Export",Database!$E:$E,$B135,Database!$C:$C,AH$1,Database!$F:$F,"Total")</f>
        <v>0</v>
      </c>
      <c r="AI135" s="137">
        <f>SUMIFS(Database!$G:$G,Database!$D:$D,"Export",Database!$E:$E,$B135,Database!$C:$C,AI$1,Database!$F:$F,"Total")</f>
        <v>0</v>
      </c>
      <c r="AJ135" s="137">
        <f>SUMIFS(Database!$G:$G,Database!$D:$D,"Export",Database!$E:$E,$B135,Database!$C:$C,AJ$1,Database!$F:$F,"Total")</f>
        <v>0</v>
      </c>
      <c r="AK135" s="137">
        <f>SUMIFS(Database!$G:$G,Database!$D:$D,"Export",Database!$E:$E,$B135,Database!$C:$C,AK$1,Database!$F:$F,"Total")</f>
        <v>0</v>
      </c>
      <c r="AL135" s="137">
        <f>SUMIFS(Database!$G:$G,Database!$D:$D,"Export",Database!$E:$E,$B135,Database!$C:$C,AL$1,Database!$F:$F,"Total")</f>
        <v>0</v>
      </c>
      <c r="AM135" s="137">
        <f>SUMIFS(Database!$G:$G,Database!$D:$D,"Export",Database!$E:$E,$B135,Database!$C:$C,AM$1,Database!$F:$F,"Total")</f>
        <v>0</v>
      </c>
      <c r="AN135" s="137">
        <f>SUMIFS(Database!$G:$G,Database!$D:$D,"Export",Database!$E:$E,$B135,Database!$C:$C,AN$1,Database!$F:$F,"Total")</f>
        <v>0</v>
      </c>
      <c r="AO135" s="137">
        <f>SUMIFS(Database!$G:$G,Database!$D:$D,"Export",Database!$E:$E,$B135,Database!$C:$C,AO$1,Database!$F:$F,"Total")</f>
        <v>0</v>
      </c>
      <c r="AP135" s="137">
        <f>SUMIFS(Database!$G:$G,Database!$D:$D,"Export",Database!$E:$E,$B135,Database!$C:$C,AP$1,Database!$F:$F,"Total")</f>
        <v>0</v>
      </c>
      <c r="AQ135" s="137">
        <f>SUMIFS(Database!$G:$G,Database!$D:$D,"Export",Database!$E:$E,$B135,Database!$C:$C,AQ$1,Database!$F:$F,"Total")</f>
        <v>0</v>
      </c>
      <c r="AR135" s="137">
        <f>SUMIFS(Database!$G:$G,Database!$D:$D,"Export",Database!$E:$E,$B135,Database!$C:$C,AR$1,Database!$F:$F,"Total")</f>
        <v>0</v>
      </c>
      <c r="AS135" s="137">
        <f>SUMIFS(Database!$G:$G,Database!$D:$D,"Export",Database!$E:$E,$B135,Database!$C:$C,AS$1,Database!$F:$F,"Total")</f>
        <v>0</v>
      </c>
      <c r="AT135" s="137">
        <f>SUMIFS(Database!$G:$G,Database!$D:$D,"Export",Database!$E:$E,$B135,Database!$C:$C,AT$1,Database!$F:$F,"Total")</f>
        <v>0</v>
      </c>
      <c r="AU135" s="137">
        <f>SUMIFS(Database!$G:$G,Database!$D:$D,"Export",Database!$E:$E,$B135,Database!$C:$C,AU$1,Database!$F:$F,"Total")</f>
        <v>0</v>
      </c>
      <c r="AV135" s="137">
        <f>SUMIFS(Database!$G:$G,Database!$D:$D,"Export",Database!$E:$E,$B135,Database!$C:$C,AV$1,Database!$F:$F,"Total")</f>
        <v>0</v>
      </c>
      <c r="AW135" s="137">
        <f>SUMIFS(Database!$G:$G,Database!$D:$D,"Export",Database!$E:$E,$B135,Database!$C:$C,AW$1,Database!$F:$F,"Total")</f>
        <v>0</v>
      </c>
      <c r="AX135" s="137">
        <f>SUMIFS(Database!$G:$G,Database!$D:$D,"Export",Database!$E:$E,$B135,Database!$C:$C,AX$1,Database!$F:$F,"Total")</f>
        <v>0</v>
      </c>
      <c r="AY135" s="137">
        <f>SUMIFS(Database!$G:$G,Database!$D:$D,"Export",Database!$E:$E,$B135,Database!$C:$C,AY$1,Database!$F:$F,"Total")</f>
        <v>0</v>
      </c>
      <c r="AZ135" s="137">
        <f>SUMIFS(Database!$G:$G,Database!$D:$D,"Export",Database!$E:$E,$B135,Database!$C:$C,AZ$1,Database!$F:$F,"Total")</f>
        <v>0</v>
      </c>
      <c r="BA135" s="137">
        <f>SUMIFS(Database!$G:$G,Database!$D:$D,"Export",Database!$E:$E,$B135,Database!$C:$C,BA$1,Database!$F:$F,"Total")</f>
        <v>0</v>
      </c>
      <c r="BB135" s="137">
        <f>SUMIFS(Database!$G:$G,Database!$D:$D,"Export",Database!$E:$E,$B135,Database!$C:$C,BB$1,Database!$F:$F,"Total")</f>
        <v>0</v>
      </c>
      <c r="BC135" s="137">
        <f>SUMIFS(Database!$G:$G,Database!$D:$D,"Export",Database!$E:$E,$B135,Database!$C:$C,BC$1,Database!$F:$F,"Total")</f>
        <v>0</v>
      </c>
      <c r="BD135" s="137">
        <f>SUMIFS(Database!$G:$G,Database!$D:$D,"Export",Database!$E:$E,$B135,Database!$C:$C,BD$1,Database!$F:$F,"Total")</f>
        <v>0</v>
      </c>
      <c r="BE135" s="137">
        <f>SUMIFS(Database!$G:$G,Database!$D:$D,"Export",Database!$E:$E,$B135,Database!$C:$C,BE$1,Database!$F:$F,"Total")</f>
        <v>0</v>
      </c>
      <c r="BF135" s="137">
        <f>SUMIFS(Database!$G:$G,Database!$D:$D,"Export",Database!$E:$E,$B135,Database!$C:$C,BF$1,Database!$F:$F,"Total")</f>
        <v>0</v>
      </c>
      <c r="BG135" s="137">
        <f>SUMIFS(Database!$G:$G,Database!$D:$D,"Export",Database!$E:$E,$B135,Database!$C:$C,BG$1,Database!$F:$F,"Total")</f>
        <v>0</v>
      </c>
      <c r="BH135" s="137">
        <f>SUMIFS(Database!$G:$G,Database!$D:$D,"Export",Database!$E:$E,$B135,Database!$C:$C,BH$1,Database!$F:$F,"Total")</f>
        <v>8200</v>
      </c>
      <c r="BI135" s="137">
        <f>SUMIFS(Database!$G:$G,Database!$D:$D,"Export",Database!$E:$E,$B135,Database!$C:$C,BI$1,Database!$F:$F,"Total")</f>
        <v>0</v>
      </c>
      <c r="BJ135" s="137">
        <f>SUMIFS(Database!$G:$G,Database!$D:$D,"Export",Database!$E:$E,$B135,Database!$C:$C,BJ$1,Database!$F:$F,"Total")</f>
        <v>14468</v>
      </c>
      <c r="BK135" s="137">
        <f>SUMIFS(Database!$G:$G,Database!$D:$D,"Export",Database!$E:$E,$B135,Database!$C:$C,BK$1,Database!$F:$F,"Total")</f>
        <v>29324</v>
      </c>
      <c r="BL135" s="137">
        <f>SUMIFS(Database!$G:$G,Database!$D:$D,"Export",Database!$E:$E,$B135,Database!$C:$C,BL$1,Database!$F:$F,"Total")</f>
        <v>0</v>
      </c>
      <c r="BM135" s="137">
        <f>SUMIFS(Database!$G:$G,Database!$D:$D,"Export",Database!$E:$E,$B135,Database!$C:$C,BM$1,Database!$F:$F,"Total")</f>
        <v>0</v>
      </c>
      <c r="BN135" s="137">
        <f>SUMIFS(Database!$G:$G,Database!$D:$D,"Export",Database!$E:$E,$B135,Database!$C:$C,BN$1,Database!$F:$F,"Total")</f>
        <v>14526</v>
      </c>
      <c r="BO135" s="137">
        <f>SUMIFS(Database!$G:$G,Database!$D:$D,"Export",Database!$E:$E,$B135,Database!$C:$C,BO$1,Database!$F:$F,"Total")</f>
        <v>0</v>
      </c>
      <c r="BP135" s="137">
        <f>SUMIFS(Database!$G:$G,Database!$D:$D,"Export",Database!$E:$E,$B135,Database!$C:$C,BP$1,Database!$F:$F,"Total")</f>
        <v>18814</v>
      </c>
      <c r="BQ135" s="137">
        <f>SUMIFS(Database!$G:$G,Database!$D:$D,"Export",Database!$E:$E,$B135,Database!$C:$C,BQ$1,Database!$F:$F,"Total")</f>
        <v>26316</v>
      </c>
      <c r="BR135" s="137">
        <f>SUMIFS(Database!$G:$G,Database!$D:$D,"Export",Database!$E:$E,$B135,Database!$C:$C,BR$1,Database!$F:$F,"Total")</f>
        <v>42748</v>
      </c>
      <c r="BS135" s="137">
        <f>SUMIFS(Database!$G:$G,Database!$D:$D,"Export",Database!$E:$E,$B135,Database!$C:$C,BS$1,Database!$F:$F,"Total")</f>
        <v>18572</v>
      </c>
      <c r="BT135" s="137">
        <f>SUMIFS(Database!$G:$G,Database!$D:$D,"Export",Database!$E:$E,$B135,Database!$C:$C,BT$1,Database!$F:$F,"Total")</f>
        <v>12601</v>
      </c>
      <c r="BU135" s="137">
        <f>SUMIFS(Database!$G:$G,Database!$D:$D,"Export",Database!$E:$E,$B135,Database!$C:$C,BU$1,Database!$F:$F,"Total")</f>
        <v>11989</v>
      </c>
      <c r="BV135" s="137">
        <f>SUMIFS(Database!$G:$G,Database!$D:$D,"Export",Database!$E:$E,$B135,Database!$C:$C,BV$1,Database!$F:$F,"Total")</f>
        <v>0</v>
      </c>
      <c r="BW135" s="137">
        <f>SUMIFS(Database!$G:$G,Database!$D:$D,"Export",Database!$E:$E,$B135,Database!$C:$C,BW$1,Database!$F:$F,"Total")</f>
        <v>0</v>
      </c>
      <c r="BX135" s="137">
        <f>SUMIFS(Database!$G:$G,Database!$D:$D,"Export",Database!$E:$E,$B135,Database!$C:$C,BX$1,Database!$F:$F,"Total")</f>
        <v>0</v>
      </c>
      <c r="BY135" s="137">
        <f>SUMIFS(Database!$G:$G,Database!$D:$D,"Export",Database!$E:$E,$B135,Database!$C:$C,BY$1,Database!$F:$F,"Total")</f>
        <v>0</v>
      </c>
      <c r="BZ135" s="137">
        <f>SUMIFS(Database!$G:$G,Database!$D:$D,"Export",Database!$E:$E,$B135,Database!$C:$C,BZ$1,Database!$F:$F,"Total")</f>
        <v>0</v>
      </c>
      <c r="CA135" s="137">
        <f>SUMIFS(Database!$G:$G,Database!$D:$D,"Export",Database!$E:$E,$B135,Database!$C:$C,CA$1,Database!$F:$F,"Total")</f>
        <v>0</v>
      </c>
      <c r="CB135" s="137">
        <f>SUMIFS(Database!$G:$G,Database!$D:$D,"Export",Database!$E:$E,$B135,Database!$C:$C,CB$1,Database!$F:$F,"Total")</f>
        <v>0</v>
      </c>
      <c r="CC135" s="137">
        <f>SUMIFS(Database!$G:$G,Database!$D:$D,"Export",Database!$E:$E,$B135,Database!$C:$C,CC$1,Database!$F:$F,"Total")</f>
        <v>0</v>
      </c>
      <c r="CD135" s="137">
        <f>SUMIFS(Database!$G:$G,Database!$D:$D,"Export",Database!$E:$E,$B135,Database!$C:$C,CD$1,Database!$F:$F,"Total")</f>
        <v>0</v>
      </c>
      <c r="CE135" s="137">
        <f>SUMIFS(Database!$G:$G,Database!$D:$D,"Export",Database!$E:$E,$B135,Database!$C:$C,CE$1,Database!$F:$F,"Total")</f>
        <v>0</v>
      </c>
      <c r="CF135" s="137">
        <f>SUMIFS(Database!$G:$G,Database!$D:$D,"Export",Database!$E:$E,$B135,Database!$C:$C,CF$1,Database!$F:$F,"Total")</f>
        <v>0</v>
      </c>
      <c r="CG135" s="137">
        <f>SUMIFS(Database!$G:$G,Database!$D:$D,"Export",Database!$E:$E,$B135,Database!$C:$C,CG$1,Database!$F:$F,"Total")</f>
        <v>0</v>
      </c>
      <c r="CH135" s="137">
        <f>SUMIFS(Database!$G:$G,Database!$D:$D,"Export",Database!$E:$E,$B135,Database!$C:$C,CH$1,Database!$F:$F,"Total")</f>
        <v>0</v>
      </c>
      <c r="CI135" s="137">
        <f>SUMIFS(Database!$G:$G,Database!$D:$D,"Export",Database!$E:$E,$B135,Database!$C:$C,CI$1,Database!$F:$F,"Total")</f>
        <v>0</v>
      </c>
      <c r="CJ135" s="137">
        <f>SUMIFS(Database!$G:$G,Database!$D:$D,"Export",Database!$E:$E,$B135,Database!$C:$C,CJ$1,Database!$F:$F,"Total")</f>
        <v>0</v>
      </c>
      <c r="CK135" s="137">
        <f>SUMIFS(Database!$G:$G,Database!$D:$D,"Export",Database!$E:$E,$B135,Database!$C:$C,CK$1,Database!$F:$F,"Total")</f>
        <v>0</v>
      </c>
      <c r="CL135" s="137">
        <f>SUMIFS(Database!$G:$G,Database!$D:$D,"Export",Database!$E:$E,$B135,Database!$C:$C,CL$1,Database!$F:$F,"Total")</f>
        <v>0</v>
      </c>
      <c r="CM135" s="137">
        <f>SUMIFS(Database!$G:$G,Database!$D:$D,"Export",Database!$E:$E,$B135,Database!$C:$C,CM$1,Database!$F:$F,"Total")</f>
        <v>0</v>
      </c>
      <c r="CN135" s="137">
        <f>SUMIFS(Database!$G:$G,Database!$D:$D,"Export",Database!$E:$E,$B135,Database!$C:$C,CN$1,Database!$F:$F,"Total")</f>
        <v>0</v>
      </c>
      <c r="CO135" s="137">
        <f>SUMIFS(Database!$G:$G,Database!$D:$D,"Export",Database!$E:$E,$B135,Database!$C:$C,CO$1,Database!$F:$F,"Total")</f>
        <v>0</v>
      </c>
      <c r="CP135" s="137">
        <f>SUMIFS(Database!$G:$G,Database!$D:$D,"Export",Database!$E:$E,$B135,Database!$C:$C,CP$1,Database!$F:$F,"Total")</f>
        <v>0</v>
      </c>
      <c r="CQ135" s="137">
        <f>SUMIFS(Database!$G:$G,Database!$D:$D,"Export",Database!$E:$E,$B135,Database!$C:$C,CQ$1,Database!$F:$F,"Total")</f>
        <v>0</v>
      </c>
      <c r="CR135" s="137">
        <f>SUMIFS(Database!$G:$G,Database!$D:$D,"Export",Database!$E:$E,$B135,Database!$C:$C,CR$1,Database!$F:$F,"Total")</f>
        <v>0</v>
      </c>
      <c r="CS135" s="137">
        <f>SUMIFS(Database!$G:$G,Database!$D:$D,"Export",Database!$E:$E,$B135,Database!$C:$C,CS$1,Database!$F:$F,"Total")</f>
        <v>0</v>
      </c>
      <c r="CT135" s="137">
        <f>SUMIFS(Database!$G:$G,Database!$D:$D,"Export",Database!$E:$E,$B135,Database!$C:$C,CT$1,Database!$F:$F,"Total")</f>
        <v>0</v>
      </c>
      <c r="CU135" s="137">
        <f>SUMIFS(Database!$G:$G,Database!$D:$D,"Export",Database!$E:$E,$B135,Database!$C:$C,CU$1,Database!$F:$F,"Total")</f>
        <v>0</v>
      </c>
    </row>
    <row r="136" spans="1:99" x14ac:dyDescent="0.25">
      <c r="A136" s="132" t="s">
        <v>485</v>
      </c>
      <c r="B136" s="133" t="s">
        <v>135</v>
      </c>
      <c r="C136" s="137">
        <f>SUMIFS(Database!$G:$G,Database!$D:$D,"Export",Database!$E:$E,$B136,Database!$C:$C,C$1,Database!$F:$F,"Total")</f>
        <v>0</v>
      </c>
      <c r="D136" s="137">
        <f>SUMIFS(Database!$G:$G,Database!$D:$D,"Export",Database!$E:$E,$B136,Database!$C:$C,D$1,Database!$F:$F,"Total")</f>
        <v>0</v>
      </c>
      <c r="E136" s="137">
        <f>SUMIFS(Database!$G:$G,Database!$D:$D,"Export",Database!$E:$E,$B136,Database!$C:$C,E$1,Database!$F:$F,"Total")</f>
        <v>0</v>
      </c>
      <c r="F136" s="137">
        <f>SUMIFS(Database!$G:$G,Database!$D:$D,"Export",Database!$E:$E,$B136,Database!$C:$C,F$1,Database!$F:$F,"Total")</f>
        <v>0</v>
      </c>
      <c r="G136" s="137">
        <f>SUMIFS(Database!$G:$G,Database!$D:$D,"Export",Database!$E:$E,$B136,Database!$C:$C,G$1,Database!$F:$F,"Total")</f>
        <v>0</v>
      </c>
      <c r="H136" s="137">
        <f>SUMIFS(Database!$G:$G,Database!$D:$D,"Export",Database!$E:$E,$B136,Database!$C:$C,H$1,Database!$F:$F,"Total")</f>
        <v>0</v>
      </c>
      <c r="I136" s="137">
        <f>SUMIFS(Database!$G:$G,Database!$D:$D,"Export",Database!$E:$E,$B136,Database!$C:$C,I$1,Database!$F:$F,"Total")</f>
        <v>0</v>
      </c>
      <c r="J136" s="137">
        <f>SUMIFS(Database!$G:$G,Database!$D:$D,"Export",Database!$E:$E,$B136,Database!$C:$C,J$1,Database!$F:$F,"Total")</f>
        <v>0</v>
      </c>
      <c r="K136" s="137">
        <f>SUMIFS(Database!$G:$G,Database!$D:$D,"Export",Database!$E:$E,$B136,Database!$C:$C,K$1,Database!$F:$F,"Total")</f>
        <v>0</v>
      </c>
      <c r="L136" s="137">
        <f>SUMIFS(Database!$G:$G,Database!$D:$D,"Export",Database!$E:$E,$B136,Database!$C:$C,L$1,Database!$F:$F,"Total")</f>
        <v>0</v>
      </c>
      <c r="M136" s="137">
        <f>SUMIFS(Database!$G:$G,Database!$D:$D,"Export",Database!$E:$E,$B136,Database!$C:$C,M$1,Database!$F:$F,"Total")</f>
        <v>0</v>
      </c>
      <c r="N136" s="137">
        <f>SUMIFS(Database!$G:$G,Database!$D:$D,"Export",Database!$E:$E,$B136,Database!$C:$C,N$1,Database!$F:$F,"Total")</f>
        <v>0</v>
      </c>
      <c r="O136" s="137">
        <f>SUMIFS(Database!$G:$G,Database!$D:$D,"Export",Database!$E:$E,$B136,Database!$C:$C,O$1,Database!$F:$F,"Total")</f>
        <v>0</v>
      </c>
      <c r="P136" s="137">
        <f>SUMIFS(Database!$G:$G,Database!$D:$D,"Export",Database!$E:$E,$B136,Database!$C:$C,P$1,Database!$F:$F,"Total")</f>
        <v>0</v>
      </c>
      <c r="Q136" s="137">
        <f>SUMIFS(Database!$G:$G,Database!$D:$D,"Export",Database!$E:$E,$B136,Database!$C:$C,Q$1,Database!$F:$F,"Total")</f>
        <v>0</v>
      </c>
      <c r="R136" s="137">
        <f>SUMIFS(Database!$G:$G,Database!$D:$D,"Export",Database!$E:$E,$B136,Database!$C:$C,R$1,Database!$F:$F,"Total")</f>
        <v>0</v>
      </c>
      <c r="S136" s="137">
        <f>SUMIFS(Database!$G:$G,Database!$D:$D,"Export",Database!$E:$E,$B136,Database!$C:$C,S$1,Database!$F:$F,"Total")</f>
        <v>0</v>
      </c>
      <c r="T136" s="137">
        <f>SUMIFS(Database!$G:$G,Database!$D:$D,"Export",Database!$E:$E,$B136,Database!$C:$C,T$1,Database!$F:$F,"Total")</f>
        <v>0</v>
      </c>
      <c r="U136" s="137">
        <f>SUMIFS(Database!$G:$G,Database!$D:$D,"Export",Database!$E:$E,$B136,Database!$C:$C,U$1,Database!$F:$F,"Total")</f>
        <v>0</v>
      </c>
      <c r="V136" s="137">
        <f>SUMIFS(Database!$G:$G,Database!$D:$D,"Export",Database!$E:$E,$B136,Database!$C:$C,V$1,Database!$F:$F,"Total")</f>
        <v>0</v>
      </c>
      <c r="W136" s="137">
        <f>SUMIFS(Database!$G:$G,Database!$D:$D,"Export",Database!$E:$E,$B136,Database!$C:$C,W$1,Database!$F:$F,"Total")</f>
        <v>0</v>
      </c>
      <c r="X136" s="137">
        <f>SUMIFS(Database!$G:$G,Database!$D:$D,"Export",Database!$E:$E,$B136,Database!$C:$C,X$1,Database!$F:$F,"Total")</f>
        <v>0</v>
      </c>
      <c r="Y136" s="137">
        <f>SUMIFS(Database!$G:$G,Database!$D:$D,"Export",Database!$E:$E,$B136,Database!$C:$C,Y$1,Database!$F:$F,"Total")</f>
        <v>0</v>
      </c>
      <c r="Z136" s="137">
        <f>SUMIFS(Database!$G:$G,Database!$D:$D,"Export",Database!$E:$E,$B136,Database!$C:$C,Z$1,Database!$F:$F,"Total")</f>
        <v>0</v>
      </c>
      <c r="AA136" s="137">
        <f>SUMIFS(Database!$G:$G,Database!$D:$D,"Export",Database!$E:$E,$B136,Database!$C:$C,AA$1,Database!$F:$F,"Total")</f>
        <v>0</v>
      </c>
      <c r="AB136" s="137">
        <f>SUMIFS(Database!$G:$G,Database!$D:$D,"Export",Database!$E:$E,$B136,Database!$C:$C,AB$1,Database!$F:$F,"Total")</f>
        <v>0</v>
      </c>
      <c r="AC136" s="137">
        <f>SUMIFS(Database!$G:$G,Database!$D:$D,"Export",Database!$E:$E,$B136,Database!$C:$C,AC$1,Database!$F:$F,"Total")</f>
        <v>0</v>
      </c>
      <c r="AD136" s="137">
        <f>SUMIFS(Database!$G:$G,Database!$D:$D,"Export",Database!$E:$E,$B136,Database!$C:$C,AD$1,Database!$F:$F,"Total")</f>
        <v>0</v>
      </c>
      <c r="AE136" s="137">
        <f>SUMIFS(Database!$G:$G,Database!$D:$D,"Export",Database!$E:$E,$B136,Database!$C:$C,AE$1,Database!$F:$F,"Total")</f>
        <v>0</v>
      </c>
      <c r="AF136" s="137">
        <f>SUMIFS(Database!$G:$G,Database!$D:$D,"Export",Database!$E:$E,$B136,Database!$C:$C,AF$1,Database!$F:$F,"Total")</f>
        <v>0</v>
      </c>
      <c r="AG136" s="137">
        <f>SUMIFS(Database!$G:$G,Database!$D:$D,"Export",Database!$E:$E,$B136,Database!$C:$C,AG$1,Database!$F:$F,"Total")</f>
        <v>0</v>
      </c>
      <c r="AH136" s="137">
        <f>SUMIFS(Database!$G:$G,Database!$D:$D,"Export",Database!$E:$E,$B136,Database!$C:$C,AH$1,Database!$F:$F,"Total")</f>
        <v>0</v>
      </c>
      <c r="AI136" s="137">
        <f>SUMIFS(Database!$G:$G,Database!$D:$D,"Export",Database!$E:$E,$B136,Database!$C:$C,AI$1,Database!$F:$F,"Total")</f>
        <v>0</v>
      </c>
      <c r="AJ136" s="137">
        <f>SUMIFS(Database!$G:$G,Database!$D:$D,"Export",Database!$E:$E,$B136,Database!$C:$C,AJ$1,Database!$F:$F,"Total")</f>
        <v>0</v>
      </c>
      <c r="AK136" s="137">
        <f>SUMIFS(Database!$G:$G,Database!$D:$D,"Export",Database!$E:$E,$B136,Database!$C:$C,AK$1,Database!$F:$F,"Total")</f>
        <v>0</v>
      </c>
      <c r="AL136" s="137">
        <f>SUMIFS(Database!$G:$G,Database!$D:$D,"Export",Database!$E:$E,$B136,Database!$C:$C,AL$1,Database!$F:$F,"Total")</f>
        <v>0</v>
      </c>
      <c r="AM136" s="137">
        <f>SUMIFS(Database!$G:$G,Database!$D:$D,"Export",Database!$E:$E,$B136,Database!$C:$C,AM$1,Database!$F:$F,"Total")</f>
        <v>0</v>
      </c>
      <c r="AN136" s="137">
        <f>SUMIFS(Database!$G:$G,Database!$D:$D,"Export",Database!$E:$E,$B136,Database!$C:$C,AN$1,Database!$F:$F,"Total")</f>
        <v>0</v>
      </c>
      <c r="AO136" s="137">
        <f>SUMIFS(Database!$G:$G,Database!$D:$D,"Export",Database!$E:$E,$B136,Database!$C:$C,AO$1,Database!$F:$F,"Total")</f>
        <v>0</v>
      </c>
      <c r="AP136" s="137">
        <f>SUMIFS(Database!$G:$G,Database!$D:$D,"Export",Database!$E:$E,$B136,Database!$C:$C,AP$1,Database!$F:$F,"Total")</f>
        <v>0</v>
      </c>
      <c r="AQ136" s="137">
        <f>SUMIFS(Database!$G:$G,Database!$D:$D,"Export",Database!$E:$E,$B136,Database!$C:$C,AQ$1,Database!$F:$F,"Total")</f>
        <v>0</v>
      </c>
      <c r="AR136" s="137">
        <f>SUMIFS(Database!$G:$G,Database!$D:$D,"Export",Database!$E:$E,$B136,Database!$C:$C,AR$1,Database!$F:$F,"Total")</f>
        <v>0</v>
      </c>
      <c r="AS136" s="137">
        <f>SUMIFS(Database!$G:$G,Database!$D:$D,"Export",Database!$E:$E,$B136,Database!$C:$C,AS$1,Database!$F:$F,"Total")</f>
        <v>0</v>
      </c>
      <c r="AT136" s="137">
        <f>SUMIFS(Database!$G:$G,Database!$D:$D,"Export",Database!$E:$E,$B136,Database!$C:$C,AT$1,Database!$F:$F,"Total")</f>
        <v>0</v>
      </c>
      <c r="AU136" s="137">
        <f>SUMIFS(Database!$G:$G,Database!$D:$D,"Export",Database!$E:$E,$B136,Database!$C:$C,AU$1,Database!$F:$F,"Total")</f>
        <v>0</v>
      </c>
      <c r="AV136" s="137">
        <f>SUMIFS(Database!$G:$G,Database!$D:$D,"Export",Database!$E:$E,$B136,Database!$C:$C,AV$1,Database!$F:$F,"Total")</f>
        <v>0</v>
      </c>
      <c r="AW136" s="137">
        <f>SUMIFS(Database!$G:$G,Database!$D:$D,"Export",Database!$E:$E,$B136,Database!$C:$C,AW$1,Database!$F:$F,"Total")</f>
        <v>0</v>
      </c>
      <c r="AX136" s="137">
        <f>SUMIFS(Database!$G:$G,Database!$D:$D,"Export",Database!$E:$E,$B136,Database!$C:$C,AX$1,Database!$F:$F,"Total")</f>
        <v>0</v>
      </c>
      <c r="AY136" s="137">
        <f>SUMIFS(Database!$G:$G,Database!$D:$D,"Export",Database!$E:$E,$B136,Database!$C:$C,AY$1,Database!$F:$F,"Total")</f>
        <v>0</v>
      </c>
      <c r="AZ136" s="137">
        <f>SUMIFS(Database!$G:$G,Database!$D:$D,"Export",Database!$E:$E,$B136,Database!$C:$C,AZ$1,Database!$F:$F,"Total")</f>
        <v>0</v>
      </c>
      <c r="BA136" s="137">
        <f>SUMIFS(Database!$G:$G,Database!$D:$D,"Export",Database!$E:$E,$B136,Database!$C:$C,BA$1,Database!$F:$F,"Total")</f>
        <v>0</v>
      </c>
      <c r="BB136" s="137">
        <f>SUMIFS(Database!$G:$G,Database!$D:$D,"Export",Database!$E:$E,$B136,Database!$C:$C,BB$1,Database!$F:$F,"Total")</f>
        <v>0</v>
      </c>
      <c r="BC136" s="137">
        <f>SUMIFS(Database!$G:$G,Database!$D:$D,"Export",Database!$E:$E,$B136,Database!$C:$C,BC$1,Database!$F:$F,"Total")</f>
        <v>0</v>
      </c>
      <c r="BD136" s="137">
        <f>SUMIFS(Database!$G:$G,Database!$D:$D,"Export",Database!$E:$E,$B136,Database!$C:$C,BD$1,Database!$F:$F,"Total")</f>
        <v>0</v>
      </c>
      <c r="BE136" s="137">
        <f>SUMIFS(Database!$G:$G,Database!$D:$D,"Export",Database!$E:$E,$B136,Database!$C:$C,BE$1,Database!$F:$F,"Total")</f>
        <v>0</v>
      </c>
      <c r="BF136" s="137">
        <f>SUMIFS(Database!$G:$G,Database!$D:$D,"Export",Database!$E:$E,$B136,Database!$C:$C,BF$1,Database!$F:$F,"Total")</f>
        <v>0</v>
      </c>
      <c r="BG136" s="137">
        <f>SUMIFS(Database!$G:$G,Database!$D:$D,"Export",Database!$E:$E,$B136,Database!$C:$C,BG$1,Database!$F:$F,"Total")</f>
        <v>0</v>
      </c>
      <c r="BH136" s="137">
        <f>SUMIFS(Database!$G:$G,Database!$D:$D,"Export",Database!$E:$E,$B136,Database!$C:$C,BH$1,Database!$F:$F,"Total")</f>
        <v>471</v>
      </c>
      <c r="BI136" s="137">
        <f>SUMIFS(Database!$G:$G,Database!$D:$D,"Export",Database!$E:$E,$B136,Database!$C:$C,BI$1,Database!$F:$F,"Total")</f>
        <v>0</v>
      </c>
      <c r="BJ136" s="137">
        <f>SUMIFS(Database!$G:$G,Database!$D:$D,"Export",Database!$E:$E,$B136,Database!$C:$C,BJ$1,Database!$F:$F,"Total")</f>
        <v>548</v>
      </c>
      <c r="BK136" s="137">
        <f>SUMIFS(Database!$G:$G,Database!$D:$D,"Export",Database!$E:$E,$B136,Database!$C:$C,BK$1,Database!$F:$F,"Total")</f>
        <v>337</v>
      </c>
      <c r="BL136" s="137">
        <f>SUMIFS(Database!$G:$G,Database!$D:$D,"Export",Database!$E:$E,$B136,Database!$C:$C,BL$1,Database!$F:$F,"Total")</f>
        <v>0</v>
      </c>
      <c r="BM136" s="137">
        <f>SUMIFS(Database!$G:$G,Database!$D:$D,"Export",Database!$E:$E,$B136,Database!$C:$C,BM$1,Database!$F:$F,"Total")</f>
        <v>0</v>
      </c>
      <c r="BN136" s="137">
        <f>SUMIFS(Database!$G:$G,Database!$D:$D,"Export",Database!$E:$E,$B136,Database!$C:$C,BN$1,Database!$F:$F,"Total")</f>
        <v>37.15</v>
      </c>
      <c r="BO136" s="137">
        <f>SUMIFS(Database!$G:$G,Database!$D:$D,"Export",Database!$E:$E,$B136,Database!$C:$C,BO$1,Database!$F:$F,"Total")</f>
        <v>0</v>
      </c>
      <c r="BP136" s="137">
        <f>SUMIFS(Database!$G:$G,Database!$D:$D,"Export",Database!$E:$E,$B136,Database!$C:$C,BP$1,Database!$F:$F,"Total")</f>
        <v>250.5</v>
      </c>
      <c r="BQ136" s="137">
        <f>SUMIFS(Database!$G:$G,Database!$D:$D,"Export",Database!$E:$E,$B136,Database!$C:$C,BQ$1,Database!$F:$F,"Total")</f>
        <v>258</v>
      </c>
      <c r="BR136" s="137">
        <f>SUMIFS(Database!$G:$G,Database!$D:$D,"Export",Database!$E:$E,$B136,Database!$C:$C,BR$1,Database!$F:$F,"Total")</f>
        <v>201.5</v>
      </c>
      <c r="BS136" s="137">
        <f>SUMIFS(Database!$G:$G,Database!$D:$D,"Export",Database!$E:$E,$B136,Database!$C:$C,BS$1,Database!$F:$F,"Total")</f>
        <v>105.5</v>
      </c>
      <c r="BT136" s="137">
        <f>SUMIFS(Database!$G:$G,Database!$D:$D,"Export",Database!$E:$E,$B136,Database!$C:$C,BT$1,Database!$F:$F,"Total")</f>
        <v>140</v>
      </c>
      <c r="BU136" s="137">
        <f>SUMIFS(Database!$G:$G,Database!$D:$D,"Export",Database!$E:$E,$B136,Database!$C:$C,BU$1,Database!$F:$F,"Total")</f>
        <v>264</v>
      </c>
      <c r="BV136" s="137">
        <f>SUMIFS(Database!$G:$G,Database!$D:$D,"Export",Database!$E:$E,$B136,Database!$C:$C,BV$1,Database!$F:$F,"Total")</f>
        <v>0</v>
      </c>
      <c r="BW136" s="137">
        <f>SUMIFS(Database!$G:$G,Database!$D:$D,"Export",Database!$E:$E,$B136,Database!$C:$C,BW$1,Database!$F:$F,"Total")</f>
        <v>0</v>
      </c>
      <c r="BX136" s="137">
        <f>SUMIFS(Database!$G:$G,Database!$D:$D,"Export",Database!$E:$E,$B136,Database!$C:$C,BX$1,Database!$F:$F,"Total")</f>
        <v>0</v>
      </c>
      <c r="BY136" s="137">
        <f>SUMIFS(Database!$G:$G,Database!$D:$D,"Export",Database!$E:$E,$B136,Database!$C:$C,BY$1,Database!$F:$F,"Total")</f>
        <v>0</v>
      </c>
      <c r="BZ136" s="137">
        <f>SUMIFS(Database!$G:$G,Database!$D:$D,"Export",Database!$E:$E,$B136,Database!$C:$C,BZ$1,Database!$F:$F,"Total")</f>
        <v>0</v>
      </c>
      <c r="CA136" s="137">
        <f>SUMIFS(Database!$G:$G,Database!$D:$D,"Export",Database!$E:$E,$B136,Database!$C:$C,CA$1,Database!$F:$F,"Total")</f>
        <v>0</v>
      </c>
      <c r="CB136" s="137">
        <f>SUMIFS(Database!$G:$G,Database!$D:$D,"Export",Database!$E:$E,$B136,Database!$C:$C,CB$1,Database!$F:$F,"Total")</f>
        <v>0</v>
      </c>
      <c r="CC136" s="137">
        <f>SUMIFS(Database!$G:$G,Database!$D:$D,"Export",Database!$E:$E,$B136,Database!$C:$C,CC$1,Database!$F:$F,"Total")</f>
        <v>0</v>
      </c>
      <c r="CD136" s="137">
        <f>SUMIFS(Database!$G:$G,Database!$D:$D,"Export",Database!$E:$E,$B136,Database!$C:$C,CD$1,Database!$F:$F,"Total")</f>
        <v>0</v>
      </c>
      <c r="CE136" s="137">
        <f>SUMIFS(Database!$G:$G,Database!$D:$D,"Export",Database!$E:$E,$B136,Database!$C:$C,CE$1,Database!$F:$F,"Total")</f>
        <v>0</v>
      </c>
      <c r="CF136" s="137">
        <f>SUMIFS(Database!$G:$G,Database!$D:$D,"Export",Database!$E:$E,$B136,Database!$C:$C,CF$1,Database!$F:$F,"Total")</f>
        <v>0</v>
      </c>
      <c r="CG136" s="137">
        <f>SUMIFS(Database!$G:$G,Database!$D:$D,"Export",Database!$E:$E,$B136,Database!$C:$C,CG$1,Database!$F:$F,"Total")</f>
        <v>0</v>
      </c>
      <c r="CH136" s="137">
        <f>SUMIFS(Database!$G:$G,Database!$D:$D,"Export",Database!$E:$E,$B136,Database!$C:$C,CH$1,Database!$F:$F,"Total")</f>
        <v>0</v>
      </c>
      <c r="CI136" s="137">
        <f>SUMIFS(Database!$G:$G,Database!$D:$D,"Export",Database!$E:$E,$B136,Database!$C:$C,CI$1,Database!$F:$F,"Total")</f>
        <v>0</v>
      </c>
      <c r="CJ136" s="137">
        <f>SUMIFS(Database!$G:$G,Database!$D:$D,"Export",Database!$E:$E,$B136,Database!$C:$C,CJ$1,Database!$F:$F,"Total")</f>
        <v>0</v>
      </c>
      <c r="CK136" s="137">
        <f>SUMIFS(Database!$G:$G,Database!$D:$D,"Export",Database!$E:$E,$B136,Database!$C:$C,CK$1,Database!$F:$F,"Total")</f>
        <v>0</v>
      </c>
      <c r="CL136" s="137">
        <f>SUMIFS(Database!$G:$G,Database!$D:$D,"Export",Database!$E:$E,$B136,Database!$C:$C,CL$1,Database!$F:$F,"Total")</f>
        <v>0</v>
      </c>
      <c r="CM136" s="137">
        <f>SUMIFS(Database!$G:$G,Database!$D:$D,"Export",Database!$E:$E,$B136,Database!$C:$C,CM$1,Database!$F:$F,"Total")</f>
        <v>0</v>
      </c>
      <c r="CN136" s="137">
        <f>SUMIFS(Database!$G:$G,Database!$D:$D,"Export",Database!$E:$E,$B136,Database!$C:$C,CN$1,Database!$F:$F,"Total")</f>
        <v>0</v>
      </c>
      <c r="CO136" s="137">
        <f>SUMIFS(Database!$G:$G,Database!$D:$D,"Export",Database!$E:$E,$B136,Database!$C:$C,CO$1,Database!$F:$F,"Total")</f>
        <v>0</v>
      </c>
      <c r="CP136" s="137">
        <f>SUMIFS(Database!$G:$G,Database!$D:$D,"Export",Database!$E:$E,$B136,Database!$C:$C,CP$1,Database!$F:$F,"Total")</f>
        <v>0</v>
      </c>
      <c r="CQ136" s="137">
        <f>SUMIFS(Database!$G:$G,Database!$D:$D,"Export",Database!$E:$E,$B136,Database!$C:$C,CQ$1,Database!$F:$F,"Total")</f>
        <v>0</v>
      </c>
      <c r="CR136" s="137">
        <f>SUMIFS(Database!$G:$G,Database!$D:$D,"Export",Database!$E:$E,$B136,Database!$C:$C,CR$1,Database!$F:$F,"Total")</f>
        <v>0</v>
      </c>
      <c r="CS136" s="137">
        <f>SUMIFS(Database!$G:$G,Database!$D:$D,"Export",Database!$E:$E,$B136,Database!$C:$C,CS$1,Database!$F:$F,"Total")</f>
        <v>0</v>
      </c>
      <c r="CT136" s="137">
        <f>SUMIFS(Database!$G:$G,Database!$D:$D,"Export",Database!$E:$E,$B136,Database!$C:$C,CT$1,Database!$F:$F,"Total")</f>
        <v>0</v>
      </c>
      <c r="CU136" s="137">
        <f>SUMIFS(Database!$G:$G,Database!$D:$D,"Export",Database!$E:$E,$B136,Database!$C:$C,CU$1,Database!$F:$F,"Total")</f>
        <v>0</v>
      </c>
    </row>
    <row r="137" spans="1:99" x14ac:dyDescent="0.25">
      <c r="A137" s="132" t="s">
        <v>485</v>
      </c>
      <c r="B137" s="133" t="s">
        <v>136</v>
      </c>
      <c r="C137" s="137">
        <f>SUMIFS(Database!$G:$G,Database!$D:$D,"Export",Database!$E:$E,$B137,Database!$C:$C,C$1,Database!$F:$F,"Total")</f>
        <v>0</v>
      </c>
      <c r="D137" s="137">
        <f>SUMIFS(Database!$G:$G,Database!$D:$D,"Export",Database!$E:$E,$B137,Database!$C:$C,D$1,Database!$F:$F,"Total")</f>
        <v>0</v>
      </c>
      <c r="E137" s="137">
        <f>SUMIFS(Database!$G:$G,Database!$D:$D,"Export",Database!$E:$E,$B137,Database!$C:$C,E$1,Database!$F:$F,"Total")</f>
        <v>0</v>
      </c>
      <c r="F137" s="137">
        <f>SUMIFS(Database!$G:$G,Database!$D:$D,"Export",Database!$E:$E,$B137,Database!$C:$C,F$1,Database!$F:$F,"Total")</f>
        <v>0</v>
      </c>
      <c r="G137" s="137">
        <f>SUMIFS(Database!$G:$G,Database!$D:$D,"Export",Database!$E:$E,$B137,Database!$C:$C,G$1,Database!$F:$F,"Total")</f>
        <v>0</v>
      </c>
      <c r="H137" s="137">
        <f>SUMIFS(Database!$G:$G,Database!$D:$D,"Export",Database!$E:$E,$B137,Database!$C:$C,H$1,Database!$F:$F,"Total")</f>
        <v>0</v>
      </c>
      <c r="I137" s="137">
        <f>SUMIFS(Database!$G:$G,Database!$D:$D,"Export",Database!$E:$E,$B137,Database!$C:$C,I$1,Database!$F:$F,"Total")</f>
        <v>0</v>
      </c>
      <c r="J137" s="137">
        <f>SUMIFS(Database!$G:$G,Database!$D:$D,"Export",Database!$E:$E,$B137,Database!$C:$C,J$1,Database!$F:$F,"Total")</f>
        <v>0</v>
      </c>
      <c r="K137" s="137">
        <f>SUMIFS(Database!$G:$G,Database!$D:$D,"Export",Database!$E:$E,$B137,Database!$C:$C,K$1,Database!$F:$F,"Total")</f>
        <v>0</v>
      </c>
      <c r="L137" s="137">
        <f>SUMIFS(Database!$G:$G,Database!$D:$D,"Export",Database!$E:$E,$B137,Database!$C:$C,L$1,Database!$F:$F,"Total")</f>
        <v>0</v>
      </c>
      <c r="M137" s="137">
        <f>SUMIFS(Database!$G:$G,Database!$D:$D,"Export",Database!$E:$E,$B137,Database!$C:$C,M$1,Database!$F:$F,"Total")</f>
        <v>0</v>
      </c>
      <c r="N137" s="137">
        <f>SUMIFS(Database!$G:$G,Database!$D:$D,"Export",Database!$E:$E,$B137,Database!$C:$C,N$1,Database!$F:$F,"Total")</f>
        <v>0</v>
      </c>
      <c r="O137" s="137">
        <f>SUMIFS(Database!$G:$G,Database!$D:$D,"Export",Database!$E:$E,$B137,Database!$C:$C,O$1,Database!$F:$F,"Total")</f>
        <v>0</v>
      </c>
      <c r="P137" s="137">
        <f>SUMIFS(Database!$G:$G,Database!$D:$D,"Export",Database!$E:$E,$B137,Database!$C:$C,P$1,Database!$F:$F,"Total")</f>
        <v>0</v>
      </c>
      <c r="Q137" s="137">
        <f>SUMIFS(Database!$G:$G,Database!$D:$D,"Export",Database!$E:$E,$B137,Database!$C:$C,Q$1,Database!$F:$F,"Total")</f>
        <v>0</v>
      </c>
      <c r="R137" s="137">
        <f>SUMIFS(Database!$G:$G,Database!$D:$D,"Export",Database!$E:$E,$B137,Database!$C:$C,R$1,Database!$F:$F,"Total")</f>
        <v>0</v>
      </c>
      <c r="S137" s="137">
        <f>SUMIFS(Database!$G:$G,Database!$D:$D,"Export",Database!$E:$E,$B137,Database!$C:$C,S$1,Database!$F:$F,"Total")</f>
        <v>0</v>
      </c>
      <c r="T137" s="137">
        <f>SUMIFS(Database!$G:$G,Database!$D:$D,"Export",Database!$E:$E,$B137,Database!$C:$C,T$1,Database!$F:$F,"Total")</f>
        <v>0</v>
      </c>
      <c r="U137" s="137">
        <f>SUMIFS(Database!$G:$G,Database!$D:$D,"Export",Database!$E:$E,$B137,Database!$C:$C,U$1,Database!$F:$F,"Total")</f>
        <v>0</v>
      </c>
      <c r="V137" s="137">
        <f>SUMIFS(Database!$G:$G,Database!$D:$D,"Export",Database!$E:$E,$B137,Database!$C:$C,V$1,Database!$F:$F,"Total")</f>
        <v>0</v>
      </c>
      <c r="W137" s="137">
        <f>SUMIFS(Database!$G:$G,Database!$D:$D,"Export",Database!$E:$E,$B137,Database!$C:$C,W$1,Database!$F:$F,"Total")</f>
        <v>0</v>
      </c>
      <c r="X137" s="137">
        <f>SUMIFS(Database!$G:$G,Database!$D:$D,"Export",Database!$E:$E,$B137,Database!$C:$C,X$1,Database!$F:$F,"Total")</f>
        <v>0</v>
      </c>
      <c r="Y137" s="137">
        <f>SUMIFS(Database!$G:$G,Database!$D:$D,"Export",Database!$E:$E,$B137,Database!$C:$C,Y$1,Database!$F:$F,"Total")</f>
        <v>0</v>
      </c>
      <c r="Z137" s="137">
        <f>SUMIFS(Database!$G:$G,Database!$D:$D,"Export",Database!$E:$E,$B137,Database!$C:$C,Z$1,Database!$F:$F,"Total")</f>
        <v>0</v>
      </c>
      <c r="AA137" s="137">
        <f>SUMIFS(Database!$G:$G,Database!$D:$D,"Export",Database!$E:$E,$B137,Database!$C:$C,AA$1,Database!$F:$F,"Total")</f>
        <v>0</v>
      </c>
      <c r="AB137" s="137">
        <f>SUMIFS(Database!$G:$G,Database!$D:$D,"Export",Database!$E:$E,$B137,Database!$C:$C,AB$1,Database!$F:$F,"Total")</f>
        <v>0</v>
      </c>
      <c r="AC137" s="137">
        <f>SUMIFS(Database!$G:$G,Database!$D:$D,"Export",Database!$E:$E,$B137,Database!$C:$C,AC$1,Database!$F:$F,"Total")</f>
        <v>0</v>
      </c>
      <c r="AD137" s="137">
        <f>SUMIFS(Database!$G:$G,Database!$D:$D,"Export",Database!$E:$E,$B137,Database!$C:$C,AD$1,Database!$F:$F,"Total")</f>
        <v>0</v>
      </c>
      <c r="AE137" s="137">
        <f>SUMIFS(Database!$G:$G,Database!$D:$D,"Export",Database!$E:$E,$B137,Database!$C:$C,AE$1,Database!$F:$F,"Total")</f>
        <v>0</v>
      </c>
      <c r="AF137" s="137">
        <f>SUMIFS(Database!$G:$G,Database!$D:$D,"Export",Database!$E:$E,$B137,Database!$C:$C,AF$1,Database!$F:$F,"Total")</f>
        <v>0</v>
      </c>
      <c r="AG137" s="137">
        <f>SUMIFS(Database!$G:$G,Database!$D:$D,"Export",Database!$E:$E,$B137,Database!$C:$C,AG$1,Database!$F:$F,"Total")</f>
        <v>0</v>
      </c>
      <c r="AH137" s="137">
        <f>SUMIFS(Database!$G:$G,Database!$D:$D,"Export",Database!$E:$E,$B137,Database!$C:$C,AH$1,Database!$F:$F,"Total")</f>
        <v>0</v>
      </c>
      <c r="AI137" s="137">
        <f>SUMIFS(Database!$G:$G,Database!$D:$D,"Export",Database!$E:$E,$B137,Database!$C:$C,AI$1,Database!$F:$F,"Total")</f>
        <v>0</v>
      </c>
      <c r="AJ137" s="137">
        <f>SUMIFS(Database!$G:$G,Database!$D:$D,"Export",Database!$E:$E,$B137,Database!$C:$C,AJ$1,Database!$F:$F,"Total")</f>
        <v>0</v>
      </c>
      <c r="AK137" s="137">
        <f>SUMIFS(Database!$G:$G,Database!$D:$D,"Export",Database!$E:$E,$B137,Database!$C:$C,AK$1,Database!$F:$F,"Total")</f>
        <v>0</v>
      </c>
      <c r="AL137" s="137">
        <f>SUMIFS(Database!$G:$G,Database!$D:$D,"Export",Database!$E:$E,$B137,Database!$C:$C,AL$1,Database!$F:$F,"Total")</f>
        <v>0</v>
      </c>
      <c r="AM137" s="137">
        <f>SUMIFS(Database!$G:$G,Database!$D:$D,"Export",Database!$E:$E,$B137,Database!$C:$C,AM$1,Database!$F:$F,"Total")</f>
        <v>0</v>
      </c>
      <c r="AN137" s="137">
        <f>SUMIFS(Database!$G:$G,Database!$D:$D,"Export",Database!$E:$E,$B137,Database!$C:$C,AN$1,Database!$F:$F,"Total")</f>
        <v>0</v>
      </c>
      <c r="AO137" s="137">
        <f>SUMIFS(Database!$G:$G,Database!$D:$D,"Export",Database!$E:$E,$B137,Database!$C:$C,AO$1,Database!$F:$F,"Total")</f>
        <v>0</v>
      </c>
      <c r="AP137" s="137">
        <f>SUMIFS(Database!$G:$G,Database!$D:$D,"Export",Database!$E:$E,$B137,Database!$C:$C,AP$1,Database!$F:$F,"Total")</f>
        <v>0</v>
      </c>
      <c r="AQ137" s="137">
        <f>SUMIFS(Database!$G:$G,Database!$D:$D,"Export",Database!$E:$E,$B137,Database!$C:$C,AQ$1,Database!$F:$F,"Total")</f>
        <v>0</v>
      </c>
      <c r="AR137" s="137">
        <f>SUMIFS(Database!$G:$G,Database!$D:$D,"Export",Database!$E:$E,$B137,Database!$C:$C,AR$1,Database!$F:$F,"Total")</f>
        <v>0</v>
      </c>
      <c r="AS137" s="137">
        <f>SUMIFS(Database!$G:$G,Database!$D:$D,"Export",Database!$E:$E,$B137,Database!$C:$C,AS$1,Database!$F:$F,"Total")</f>
        <v>0</v>
      </c>
      <c r="AT137" s="137">
        <f>SUMIFS(Database!$G:$G,Database!$D:$D,"Export",Database!$E:$E,$B137,Database!$C:$C,AT$1,Database!$F:$F,"Total")</f>
        <v>0</v>
      </c>
      <c r="AU137" s="137">
        <f>SUMIFS(Database!$G:$G,Database!$D:$D,"Export",Database!$E:$E,$B137,Database!$C:$C,AU$1,Database!$F:$F,"Total")</f>
        <v>0</v>
      </c>
      <c r="AV137" s="137">
        <f>SUMIFS(Database!$G:$G,Database!$D:$D,"Export",Database!$E:$E,$B137,Database!$C:$C,AV$1,Database!$F:$F,"Total")</f>
        <v>0</v>
      </c>
      <c r="AW137" s="137">
        <f>SUMIFS(Database!$G:$G,Database!$D:$D,"Export",Database!$E:$E,$B137,Database!$C:$C,AW$1,Database!$F:$F,"Total")</f>
        <v>0</v>
      </c>
      <c r="AX137" s="137">
        <f>SUMIFS(Database!$G:$G,Database!$D:$D,"Export",Database!$E:$E,$B137,Database!$C:$C,AX$1,Database!$F:$F,"Total")</f>
        <v>0</v>
      </c>
      <c r="AY137" s="137">
        <f>SUMIFS(Database!$G:$G,Database!$D:$D,"Export",Database!$E:$E,$B137,Database!$C:$C,AY$1,Database!$F:$F,"Total")</f>
        <v>0</v>
      </c>
      <c r="AZ137" s="137">
        <f>SUMIFS(Database!$G:$G,Database!$D:$D,"Export",Database!$E:$E,$B137,Database!$C:$C,AZ$1,Database!$F:$F,"Total")</f>
        <v>0</v>
      </c>
      <c r="BA137" s="137">
        <f>SUMIFS(Database!$G:$G,Database!$D:$D,"Export",Database!$E:$E,$B137,Database!$C:$C,BA$1,Database!$F:$F,"Total")</f>
        <v>0</v>
      </c>
      <c r="BB137" s="137">
        <f>SUMIFS(Database!$G:$G,Database!$D:$D,"Export",Database!$E:$E,$B137,Database!$C:$C,BB$1,Database!$F:$F,"Total")</f>
        <v>0</v>
      </c>
      <c r="BC137" s="137">
        <f>SUMIFS(Database!$G:$G,Database!$D:$D,"Export",Database!$E:$E,$B137,Database!$C:$C,BC$1,Database!$F:$F,"Total")</f>
        <v>0</v>
      </c>
      <c r="BD137" s="137">
        <f>SUMIFS(Database!$G:$G,Database!$D:$D,"Export",Database!$E:$E,$B137,Database!$C:$C,BD$1,Database!$F:$F,"Total")</f>
        <v>0</v>
      </c>
      <c r="BE137" s="137">
        <f>SUMIFS(Database!$G:$G,Database!$D:$D,"Export",Database!$E:$E,$B137,Database!$C:$C,BE$1,Database!$F:$F,"Total")</f>
        <v>0</v>
      </c>
      <c r="BF137" s="137">
        <f>SUMIFS(Database!$G:$G,Database!$D:$D,"Export",Database!$E:$E,$B137,Database!$C:$C,BF$1,Database!$F:$F,"Total")</f>
        <v>0</v>
      </c>
      <c r="BG137" s="137">
        <f>SUMIFS(Database!$G:$G,Database!$D:$D,"Export",Database!$E:$E,$B137,Database!$C:$C,BG$1,Database!$F:$F,"Total")</f>
        <v>0</v>
      </c>
      <c r="BH137" s="137">
        <f>SUMIFS(Database!$G:$G,Database!$D:$D,"Export",Database!$E:$E,$B137,Database!$C:$C,BH$1,Database!$F:$F,"Total")</f>
        <v>248</v>
      </c>
      <c r="BI137" s="137">
        <f>SUMIFS(Database!$G:$G,Database!$D:$D,"Export",Database!$E:$E,$B137,Database!$C:$C,BI$1,Database!$F:$F,"Total")</f>
        <v>0</v>
      </c>
      <c r="BJ137" s="137">
        <f>SUMIFS(Database!$G:$G,Database!$D:$D,"Export",Database!$E:$E,$B137,Database!$C:$C,BJ$1,Database!$F:$F,"Total")</f>
        <v>0</v>
      </c>
      <c r="BK137" s="137">
        <f>SUMIFS(Database!$G:$G,Database!$D:$D,"Export",Database!$E:$E,$B137,Database!$C:$C,BK$1,Database!$F:$F,"Total")</f>
        <v>0</v>
      </c>
      <c r="BL137" s="137">
        <f>SUMIFS(Database!$G:$G,Database!$D:$D,"Export",Database!$E:$E,$B137,Database!$C:$C,BL$1,Database!$F:$F,"Total")</f>
        <v>0</v>
      </c>
      <c r="BM137" s="137">
        <f>SUMIFS(Database!$G:$G,Database!$D:$D,"Export",Database!$E:$E,$B137,Database!$C:$C,BM$1,Database!$F:$F,"Total")</f>
        <v>0</v>
      </c>
      <c r="BN137" s="137">
        <f>SUMIFS(Database!$G:$G,Database!$D:$D,"Export",Database!$E:$E,$B137,Database!$C:$C,BN$1,Database!$F:$F,"Total")</f>
        <v>0</v>
      </c>
      <c r="BO137" s="137">
        <f>SUMIFS(Database!$G:$G,Database!$D:$D,"Export",Database!$E:$E,$B137,Database!$C:$C,BO$1,Database!$F:$F,"Total")</f>
        <v>0</v>
      </c>
      <c r="BP137" s="137">
        <f>SUMIFS(Database!$G:$G,Database!$D:$D,"Export",Database!$E:$E,$B137,Database!$C:$C,BP$1,Database!$F:$F,"Total")</f>
        <v>0</v>
      </c>
      <c r="BQ137" s="137">
        <f>SUMIFS(Database!$G:$G,Database!$D:$D,"Export",Database!$E:$E,$B137,Database!$C:$C,BQ$1,Database!$F:$F,"Total")</f>
        <v>0</v>
      </c>
      <c r="BR137" s="137">
        <f>SUMIFS(Database!$G:$G,Database!$D:$D,"Export",Database!$E:$E,$B137,Database!$C:$C,BR$1,Database!$F:$F,"Total")</f>
        <v>0</v>
      </c>
      <c r="BS137" s="137">
        <f>SUMIFS(Database!$G:$G,Database!$D:$D,"Export",Database!$E:$E,$B137,Database!$C:$C,BS$1,Database!$F:$F,"Total")</f>
        <v>0</v>
      </c>
      <c r="BT137" s="137">
        <f>SUMIFS(Database!$G:$G,Database!$D:$D,"Export",Database!$E:$E,$B137,Database!$C:$C,BT$1,Database!$F:$F,"Total")</f>
        <v>0</v>
      </c>
      <c r="BU137" s="137">
        <f>SUMIFS(Database!$G:$G,Database!$D:$D,"Export",Database!$E:$E,$B137,Database!$C:$C,BU$1,Database!$F:$F,"Total")</f>
        <v>0</v>
      </c>
      <c r="BV137" s="137">
        <f>SUMIFS(Database!$G:$G,Database!$D:$D,"Export",Database!$E:$E,$B137,Database!$C:$C,BV$1,Database!$F:$F,"Total")</f>
        <v>0</v>
      </c>
      <c r="BW137" s="137">
        <f>SUMIFS(Database!$G:$G,Database!$D:$D,"Export",Database!$E:$E,$B137,Database!$C:$C,BW$1,Database!$F:$F,"Total")</f>
        <v>0</v>
      </c>
      <c r="BX137" s="137">
        <f>SUMIFS(Database!$G:$G,Database!$D:$D,"Export",Database!$E:$E,$B137,Database!$C:$C,BX$1,Database!$F:$F,"Total")</f>
        <v>0</v>
      </c>
      <c r="BY137" s="137">
        <f>SUMIFS(Database!$G:$G,Database!$D:$D,"Export",Database!$E:$E,$B137,Database!$C:$C,BY$1,Database!$F:$F,"Total")</f>
        <v>0</v>
      </c>
      <c r="BZ137" s="137">
        <f>SUMIFS(Database!$G:$G,Database!$D:$D,"Export",Database!$E:$E,$B137,Database!$C:$C,BZ$1,Database!$F:$F,"Total")</f>
        <v>0</v>
      </c>
      <c r="CA137" s="137">
        <f>SUMIFS(Database!$G:$G,Database!$D:$D,"Export",Database!$E:$E,$B137,Database!$C:$C,CA$1,Database!$F:$F,"Total")</f>
        <v>0</v>
      </c>
      <c r="CB137" s="137">
        <f>SUMIFS(Database!$G:$G,Database!$D:$D,"Export",Database!$E:$E,$B137,Database!$C:$C,CB$1,Database!$F:$F,"Total")</f>
        <v>0</v>
      </c>
      <c r="CC137" s="137">
        <f>SUMIFS(Database!$G:$G,Database!$D:$D,"Export",Database!$E:$E,$B137,Database!$C:$C,CC$1,Database!$F:$F,"Total")</f>
        <v>0</v>
      </c>
      <c r="CD137" s="137">
        <f>SUMIFS(Database!$G:$G,Database!$D:$D,"Export",Database!$E:$E,$B137,Database!$C:$C,CD$1,Database!$F:$F,"Total")</f>
        <v>0</v>
      </c>
      <c r="CE137" s="137">
        <f>SUMIFS(Database!$G:$G,Database!$D:$D,"Export",Database!$E:$E,$B137,Database!$C:$C,CE$1,Database!$F:$F,"Total")</f>
        <v>0</v>
      </c>
      <c r="CF137" s="137">
        <f>SUMIFS(Database!$G:$G,Database!$D:$D,"Export",Database!$E:$E,$B137,Database!$C:$C,CF$1,Database!$F:$F,"Total")</f>
        <v>0</v>
      </c>
      <c r="CG137" s="137">
        <f>SUMIFS(Database!$G:$G,Database!$D:$D,"Export",Database!$E:$E,$B137,Database!$C:$C,CG$1,Database!$F:$F,"Total")</f>
        <v>0</v>
      </c>
      <c r="CH137" s="137">
        <f>SUMIFS(Database!$G:$G,Database!$D:$D,"Export",Database!$E:$E,$B137,Database!$C:$C,CH$1,Database!$F:$F,"Total")</f>
        <v>0</v>
      </c>
      <c r="CI137" s="137">
        <f>SUMIFS(Database!$G:$G,Database!$D:$D,"Export",Database!$E:$E,$B137,Database!$C:$C,CI$1,Database!$F:$F,"Total")</f>
        <v>0</v>
      </c>
      <c r="CJ137" s="137">
        <f>SUMIFS(Database!$G:$G,Database!$D:$D,"Export",Database!$E:$E,$B137,Database!$C:$C,CJ$1,Database!$F:$F,"Total")</f>
        <v>0</v>
      </c>
      <c r="CK137" s="137">
        <f>SUMIFS(Database!$G:$G,Database!$D:$D,"Export",Database!$E:$E,$B137,Database!$C:$C,CK$1,Database!$F:$F,"Total")</f>
        <v>0</v>
      </c>
      <c r="CL137" s="137">
        <f>SUMIFS(Database!$G:$G,Database!$D:$D,"Export",Database!$E:$E,$B137,Database!$C:$C,CL$1,Database!$F:$F,"Total")</f>
        <v>0</v>
      </c>
      <c r="CM137" s="137">
        <f>SUMIFS(Database!$G:$G,Database!$D:$D,"Export",Database!$E:$E,$B137,Database!$C:$C,CM$1,Database!$F:$F,"Total")</f>
        <v>0</v>
      </c>
      <c r="CN137" s="137">
        <f>SUMIFS(Database!$G:$G,Database!$D:$D,"Export",Database!$E:$E,$B137,Database!$C:$C,CN$1,Database!$F:$F,"Total")</f>
        <v>0</v>
      </c>
      <c r="CO137" s="137">
        <f>SUMIFS(Database!$G:$G,Database!$D:$D,"Export",Database!$E:$E,$B137,Database!$C:$C,CO$1,Database!$F:$F,"Total")</f>
        <v>0</v>
      </c>
      <c r="CP137" s="137">
        <f>SUMIFS(Database!$G:$G,Database!$D:$D,"Export",Database!$E:$E,$B137,Database!$C:$C,CP$1,Database!$F:$F,"Total")</f>
        <v>0</v>
      </c>
      <c r="CQ137" s="137">
        <f>SUMIFS(Database!$G:$G,Database!$D:$D,"Export",Database!$E:$E,$B137,Database!$C:$C,CQ$1,Database!$F:$F,"Total")</f>
        <v>0</v>
      </c>
      <c r="CR137" s="137">
        <f>SUMIFS(Database!$G:$G,Database!$D:$D,"Export",Database!$E:$E,$B137,Database!$C:$C,CR$1,Database!$F:$F,"Total")</f>
        <v>0</v>
      </c>
      <c r="CS137" s="137">
        <f>SUMIFS(Database!$G:$G,Database!$D:$D,"Export",Database!$E:$E,$B137,Database!$C:$C,CS$1,Database!$F:$F,"Total")</f>
        <v>0</v>
      </c>
      <c r="CT137" s="137">
        <f>SUMIFS(Database!$G:$G,Database!$D:$D,"Export",Database!$E:$E,$B137,Database!$C:$C,CT$1,Database!$F:$F,"Total")</f>
        <v>0</v>
      </c>
      <c r="CU137" s="137">
        <f>SUMIFS(Database!$G:$G,Database!$D:$D,"Export",Database!$E:$E,$B137,Database!$C:$C,CU$1,Database!$F:$F,"Total")</f>
        <v>0</v>
      </c>
    </row>
    <row r="138" spans="1:99" x14ac:dyDescent="0.25">
      <c r="A138" s="132" t="s">
        <v>485</v>
      </c>
      <c r="B138" s="133" t="s">
        <v>137</v>
      </c>
      <c r="C138" s="137">
        <f>SUMIFS(Database!$G:$G,Database!$D:$D,"Export",Database!$E:$E,$B138,Database!$C:$C,C$1,Database!$F:$F,"Total")</f>
        <v>0</v>
      </c>
      <c r="D138" s="137">
        <f>SUMIFS(Database!$G:$G,Database!$D:$D,"Export",Database!$E:$E,$B138,Database!$C:$C,D$1,Database!$F:$F,"Total")</f>
        <v>0</v>
      </c>
      <c r="E138" s="137">
        <f>SUMIFS(Database!$G:$G,Database!$D:$D,"Export",Database!$E:$E,$B138,Database!$C:$C,E$1,Database!$F:$F,"Total")</f>
        <v>0</v>
      </c>
      <c r="F138" s="137">
        <f>SUMIFS(Database!$G:$G,Database!$D:$D,"Export",Database!$E:$E,$B138,Database!$C:$C,F$1,Database!$F:$F,"Total")</f>
        <v>0</v>
      </c>
      <c r="G138" s="137">
        <f>SUMIFS(Database!$G:$G,Database!$D:$D,"Export",Database!$E:$E,$B138,Database!$C:$C,G$1,Database!$F:$F,"Total")</f>
        <v>0</v>
      </c>
      <c r="H138" s="137">
        <f>SUMIFS(Database!$G:$G,Database!$D:$D,"Export",Database!$E:$E,$B138,Database!$C:$C,H$1,Database!$F:$F,"Total")</f>
        <v>0</v>
      </c>
      <c r="I138" s="137">
        <f>SUMIFS(Database!$G:$G,Database!$D:$D,"Export",Database!$E:$E,$B138,Database!$C:$C,I$1,Database!$F:$F,"Total")</f>
        <v>0</v>
      </c>
      <c r="J138" s="137">
        <f>SUMIFS(Database!$G:$G,Database!$D:$D,"Export",Database!$E:$E,$B138,Database!$C:$C,J$1,Database!$F:$F,"Total")</f>
        <v>0</v>
      </c>
      <c r="K138" s="137">
        <f>SUMIFS(Database!$G:$G,Database!$D:$D,"Export",Database!$E:$E,$B138,Database!$C:$C,K$1,Database!$F:$F,"Total")</f>
        <v>0</v>
      </c>
      <c r="L138" s="137">
        <f>SUMIFS(Database!$G:$G,Database!$D:$D,"Export",Database!$E:$E,$B138,Database!$C:$C,L$1,Database!$F:$F,"Total")</f>
        <v>0</v>
      </c>
      <c r="M138" s="137">
        <f>SUMIFS(Database!$G:$G,Database!$D:$D,"Export",Database!$E:$E,$B138,Database!$C:$C,M$1,Database!$F:$F,"Total")</f>
        <v>0</v>
      </c>
      <c r="N138" s="137">
        <f>SUMIFS(Database!$G:$G,Database!$D:$D,"Export",Database!$E:$E,$B138,Database!$C:$C,N$1,Database!$F:$F,"Total")</f>
        <v>0</v>
      </c>
      <c r="O138" s="137">
        <f>SUMIFS(Database!$G:$G,Database!$D:$D,"Export",Database!$E:$E,$B138,Database!$C:$C,O$1,Database!$F:$F,"Total")</f>
        <v>0</v>
      </c>
      <c r="P138" s="137">
        <f>SUMIFS(Database!$G:$G,Database!$D:$D,"Export",Database!$E:$E,$B138,Database!$C:$C,P$1,Database!$F:$F,"Total")</f>
        <v>0</v>
      </c>
      <c r="Q138" s="137">
        <f>SUMIFS(Database!$G:$G,Database!$D:$D,"Export",Database!$E:$E,$B138,Database!$C:$C,Q$1,Database!$F:$F,"Total")</f>
        <v>0</v>
      </c>
      <c r="R138" s="137">
        <f>SUMIFS(Database!$G:$G,Database!$D:$D,"Export",Database!$E:$E,$B138,Database!$C:$C,R$1,Database!$F:$F,"Total")</f>
        <v>0</v>
      </c>
      <c r="S138" s="137">
        <f>SUMIFS(Database!$G:$G,Database!$D:$D,"Export",Database!$E:$E,$B138,Database!$C:$C,S$1,Database!$F:$F,"Total")</f>
        <v>0</v>
      </c>
      <c r="T138" s="137">
        <f>SUMIFS(Database!$G:$G,Database!$D:$D,"Export",Database!$E:$E,$B138,Database!$C:$C,T$1,Database!$F:$F,"Total")</f>
        <v>0</v>
      </c>
      <c r="U138" s="137">
        <f>SUMIFS(Database!$G:$G,Database!$D:$D,"Export",Database!$E:$E,$B138,Database!$C:$C,U$1,Database!$F:$F,"Total")</f>
        <v>0</v>
      </c>
      <c r="V138" s="137">
        <f>SUMIFS(Database!$G:$G,Database!$D:$D,"Export",Database!$E:$E,$B138,Database!$C:$C,V$1,Database!$F:$F,"Total")</f>
        <v>0</v>
      </c>
      <c r="W138" s="137">
        <f>SUMIFS(Database!$G:$G,Database!$D:$D,"Export",Database!$E:$E,$B138,Database!$C:$C,W$1,Database!$F:$F,"Total")</f>
        <v>0</v>
      </c>
      <c r="X138" s="137">
        <f>SUMIFS(Database!$G:$G,Database!$D:$D,"Export",Database!$E:$E,$B138,Database!$C:$C,X$1,Database!$F:$F,"Total")</f>
        <v>0</v>
      </c>
      <c r="Y138" s="137">
        <f>SUMIFS(Database!$G:$G,Database!$D:$D,"Export",Database!$E:$E,$B138,Database!$C:$C,Y$1,Database!$F:$F,"Total")</f>
        <v>0</v>
      </c>
      <c r="Z138" s="137">
        <f>SUMIFS(Database!$G:$G,Database!$D:$D,"Export",Database!$E:$E,$B138,Database!$C:$C,Z$1,Database!$F:$F,"Total")</f>
        <v>0</v>
      </c>
      <c r="AA138" s="137">
        <f>SUMIFS(Database!$G:$G,Database!$D:$D,"Export",Database!$E:$E,$B138,Database!$C:$C,AA$1,Database!$F:$F,"Total")</f>
        <v>0</v>
      </c>
      <c r="AB138" s="137">
        <f>SUMIFS(Database!$G:$G,Database!$D:$D,"Export",Database!$E:$E,$B138,Database!$C:$C,AB$1,Database!$F:$F,"Total")</f>
        <v>0</v>
      </c>
      <c r="AC138" s="137">
        <f>SUMIFS(Database!$G:$G,Database!$D:$D,"Export",Database!$E:$E,$B138,Database!$C:$C,AC$1,Database!$F:$F,"Total")</f>
        <v>0</v>
      </c>
      <c r="AD138" s="137">
        <f>SUMIFS(Database!$G:$G,Database!$D:$D,"Export",Database!$E:$E,$B138,Database!$C:$C,AD$1,Database!$F:$F,"Total")</f>
        <v>0</v>
      </c>
      <c r="AE138" s="137">
        <f>SUMIFS(Database!$G:$G,Database!$D:$D,"Export",Database!$E:$E,$B138,Database!$C:$C,AE$1,Database!$F:$F,"Total")</f>
        <v>0</v>
      </c>
      <c r="AF138" s="137">
        <f>SUMIFS(Database!$G:$G,Database!$D:$D,"Export",Database!$E:$E,$B138,Database!$C:$C,AF$1,Database!$F:$F,"Total")</f>
        <v>0</v>
      </c>
      <c r="AG138" s="137">
        <f>SUMIFS(Database!$G:$G,Database!$D:$D,"Export",Database!$E:$E,$B138,Database!$C:$C,AG$1,Database!$F:$F,"Total")</f>
        <v>0</v>
      </c>
      <c r="AH138" s="137">
        <f>SUMIFS(Database!$G:$G,Database!$D:$D,"Export",Database!$E:$E,$B138,Database!$C:$C,AH$1,Database!$F:$F,"Total")</f>
        <v>0</v>
      </c>
      <c r="AI138" s="137">
        <f>SUMIFS(Database!$G:$G,Database!$D:$D,"Export",Database!$E:$E,$B138,Database!$C:$C,AI$1,Database!$F:$F,"Total")</f>
        <v>0</v>
      </c>
      <c r="AJ138" s="137">
        <f>SUMIFS(Database!$G:$G,Database!$D:$D,"Export",Database!$E:$E,$B138,Database!$C:$C,AJ$1,Database!$F:$F,"Total")</f>
        <v>0</v>
      </c>
      <c r="AK138" s="137">
        <f>SUMIFS(Database!$G:$G,Database!$D:$D,"Export",Database!$E:$E,$B138,Database!$C:$C,AK$1,Database!$F:$F,"Total")</f>
        <v>0</v>
      </c>
      <c r="AL138" s="137">
        <f>SUMIFS(Database!$G:$G,Database!$D:$D,"Export",Database!$E:$E,$B138,Database!$C:$C,AL$1,Database!$F:$F,"Total")</f>
        <v>0</v>
      </c>
      <c r="AM138" s="137">
        <f>SUMIFS(Database!$G:$G,Database!$D:$D,"Export",Database!$E:$E,$B138,Database!$C:$C,AM$1,Database!$F:$F,"Total")</f>
        <v>0</v>
      </c>
      <c r="AN138" s="137">
        <f>SUMIFS(Database!$G:$G,Database!$D:$D,"Export",Database!$E:$E,$B138,Database!$C:$C,AN$1,Database!$F:$F,"Total")</f>
        <v>0</v>
      </c>
      <c r="AO138" s="137">
        <f>SUMIFS(Database!$G:$G,Database!$D:$D,"Export",Database!$E:$E,$B138,Database!$C:$C,AO$1,Database!$F:$F,"Total")</f>
        <v>0</v>
      </c>
      <c r="AP138" s="137">
        <f>SUMIFS(Database!$G:$G,Database!$D:$D,"Export",Database!$E:$E,$B138,Database!$C:$C,AP$1,Database!$F:$F,"Total")</f>
        <v>0</v>
      </c>
      <c r="AQ138" s="137">
        <f>SUMIFS(Database!$G:$G,Database!$D:$D,"Export",Database!$E:$E,$B138,Database!$C:$C,AQ$1,Database!$F:$F,"Total")</f>
        <v>0</v>
      </c>
      <c r="AR138" s="137">
        <f>SUMIFS(Database!$G:$G,Database!$D:$D,"Export",Database!$E:$E,$B138,Database!$C:$C,AR$1,Database!$F:$F,"Total")</f>
        <v>0</v>
      </c>
      <c r="AS138" s="137">
        <f>SUMIFS(Database!$G:$G,Database!$D:$D,"Export",Database!$E:$E,$B138,Database!$C:$C,AS$1,Database!$F:$F,"Total")</f>
        <v>0</v>
      </c>
      <c r="AT138" s="137">
        <f>SUMIFS(Database!$G:$G,Database!$D:$D,"Export",Database!$E:$E,$B138,Database!$C:$C,AT$1,Database!$F:$F,"Total")</f>
        <v>0</v>
      </c>
      <c r="AU138" s="137">
        <f>SUMIFS(Database!$G:$G,Database!$D:$D,"Export",Database!$E:$E,$B138,Database!$C:$C,AU$1,Database!$F:$F,"Total")</f>
        <v>0</v>
      </c>
      <c r="AV138" s="137">
        <f>SUMIFS(Database!$G:$G,Database!$D:$D,"Export",Database!$E:$E,$B138,Database!$C:$C,AV$1,Database!$F:$F,"Total")</f>
        <v>0</v>
      </c>
      <c r="AW138" s="137">
        <f>SUMIFS(Database!$G:$G,Database!$D:$D,"Export",Database!$E:$E,$B138,Database!$C:$C,AW$1,Database!$F:$F,"Total")</f>
        <v>0</v>
      </c>
      <c r="AX138" s="137">
        <f>SUMIFS(Database!$G:$G,Database!$D:$D,"Export",Database!$E:$E,$B138,Database!$C:$C,AX$1,Database!$F:$F,"Total")</f>
        <v>0</v>
      </c>
      <c r="AY138" s="137">
        <f>SUMIFS(Database!$G:$G,Database!$D:$D,"Export",Database!$E:$E,$B138,Database!$C:$C,AY$1,Database!$F:$F,"Total")</f>
        <v>0</v>
      </c>
      <c r="AZ138" s="137">
        <f>SUMIFS(Database!$G:$G,Database!$D:$D,"Export",Database!$E:$E,$B138,Database!$C:$C,AZ$1,Database!$F:$F,"Total")</f>
        <v>0</v>
      </c>
      <c r="BA138" s="137">
        <f>SUMIFS(Database!$G:$G,Database!$D:$D,"Export",Database!$E:$E,$B138,Database!$C:$C,BA$1,Database!$F:$F,"Total")</f>
        <v>0</v>
      </c>
      <c r="BB138" s="137">
        <f>SUMIFS(Database!$G:$G,Database!$D:$D,"Export",Database!$E:$E,$B138,Database!$C:$C,BB$1,Database!$F:$F,"Total")</f>
        <v>0</v>
      </c>
      <c r="BC138" s="137">
        <f>SUMIFS(Database!$G:$G,Database!$D:$D,"Export",Database!$E:$E,$B138,Database!$C:$C,BC$1,Database!$F:$F,"Total")</f>
        <v>0</v>
      </c>
      <c r="BD138" s="137">
        <f>SUMIFS(Database!$G:$G,Database!$D:$D,"Export",Database!$E:$E,$B138,Database!$C:$C,BD$1,Database!$F:$F,"Total")</f>
        <v>0</v>
      </c>
      <c r="BE138" s="137">
        <f>SUMIFS(Database!$G:$G,Database!$D:$D,"Export",Database!$E:$E,$B138,Database!$C:$C,BE$1,Database!$F:$F,"Total")</f>
        <v>0</v>
      </c>
      <c r="BF138" s="137">
        <f>SUMIFS(Database!$G:$G,Database!$D:$D,"Export",Database!$E:$E,$B138,Database!$C:$C,BF$1,Database!$F:$F,"Total")</f>
        <v>0</v>
      </c>
      <c r="BG138" s="137">
        <f>SUMIFS(Database!$G:$G,Database!$D:$D,"Export",Database!$E:$E,$B138,Database!$C:$C,BG$1,Database!$F:$F,"Total")</f>
        <v>0</v>
      </c>
      <c r="BH138" s="137">
        <f>SUMIFS(Database!$G:$G,Database!$D:$D,"Export",Database!$E:$E,$B138,Database!$C:$C,BH$1,Database!$F:$F,"Total")</f>
        <v>0</v>
      </c>
      <c r="BI138" s="137">
        <f>SUMIFS(Database!$G:$G,Database!$D:$D,"Export",Database!$E:$E,$B138,Database!$C:$C,BI$1,Database!$F:$F,"Total")</f>
        <v>0</v>
      </c>
      <c r="BJ138" s="137">
        <f>SUMIFS(Database!$G:$G,Database!$D:$D,"Export",Database!$E:$E,$B138,Database!$C:$C,BJ$1,Database!$F:$F,"Total")</f>
        <v>259</v>
      </c>
      <c r="BK138" s="137">
        <f>SUMIFS(Database!$G:$G,Database!$D:$D,"Export",Database!$E:$E,$B138,Database!$C:$C,BK$1,Database!$F:$F,"Total")</f>
        <v>216</v>
      </c>
      <c r="BL138" s="137">
        <f>SUMIFS(Database!$G:$G,Database!$D:$D,"Export",Database!$E:$E,$B138,Database!$C:$C,BL$1,Database!$F:$F,"Total")</f>
        <v>0</v>
      </c>
      <c r="BM138" s="137">
        <f>SUMIFS(Database!$G:$G,Database!$D:$D,"Export",Database!$E:$E,$B138,Database!$C:$C,BM$1,Database!$F:$F,"Total")</f>
        <v>0</v>
      </c>
      <c r="BN138" s="137">
        <f>SUMIFS(Database!$G:$G,Database!$D:$D,"Export",Database!$E:$E,$B138,Database!$C:$C,BN$1,Database!$F:$F,"Total")</f>
        <v>0</v>
      </c>
      <c r="BO138" s="137">
        <f>SUMIFS(Database!$G:$G,Database!$D:$D,"Export",Database!$E:$E,$B138,Database!$C:$C,BO$1,Database!$F:$F,"Total")</f>
        <v>0</v>
      </c>
      <c r="BP138" s="137">
        <f>SUMIFS(Database!$G:$G,Database!$D:$D,"Export",Database!$E:$E,$B138,Database!$C:$C,BP$1,Database!$F:$F,"Total")</f>
        <v>0</v>
      </c>
      <c r="BQ138" s="137">
        <f>SUMIFS(Database!$G:$G,Database!$D:$D,"Export",Database!$E:$E,$B138,Database!$C:$C,BQ$1,Database!$F:$F,"Total")</f>
        <v>0</v>
      </c>
      <c r="BR138" s="137">
        <f>SUMIFS(Database!$G:$G,Database!$D:$D,"Export",Database!$E:$E,$B138,Database!$C:$C,BR$1,Database!$F:$F,"Total")</f>
        <v>0</v>
      </c>
      <c r="BS138" s="137">
        <f>SUMIFS(Database!$G:$G,Database!$D:$D,"Export",Database!$E:$E,$B138,Database!$C:$C,BS$1,Database!$F:$F,"Total")</f>
        <v>0</v>
      </c>
      <c r="BT138" s="137">
        <f>SUMIFS(Database!$G:$G,Database!$D:$D,"Export",Database!$E:$E,$B138,Database!$C:$C,BT$1,Database!$F:$F,"Total")</f>
        <v>0</v>
      </c>
      <c r="BU138" s="137">
        <f>SUMIFS(Database!$G:$G,Database!$D:$D,"Export",Database!$E:$E,$B138,Database!$C:$C,BU$1,Database!$F:$F,"Total")</f>
        <v>0</v>
      </c>
      <c r="BV138" s="137">
        <f>SUMIFS(Database!$G:$G,Database!$D:$D,"Export",Database!$E:$E,$B138,Database!$C:$C,BV$1,Database!$F:$F,"Total")</f>
        <v>0</v>
      </c>
      <c r="BW138" s="137">
        <f>SUMIFS(Database!$G:$G,Database!$D:$D,"Export",Database!$E:$E,$B138,Database!$C:$C,BW$1,Database!$F:$F,"Total")</f>
        <v>0</v>
      </c>
      <c r="BX138" s="137">
        <f>SUMIFS(Database!$G:$G,Database!$D:$D,"Export",Database!$E:$E,$B138,Database!$C:$C,BX$1,Database!$F:$F,"Total")</f>
        <v>0</v>
      </c>
      <c r="BY138" s="137">
        <f>SUMIFS(Database!$G:$G,Database!$D:$D,"Export",Database!$E:$E,$B138,Database!$C:$C,BY$1,Database!$F:$F,"Total")</f>
        <v>0</v>
      </c>
      <c r="BZ138" s="137">
        <f>SUMIFS(Database!$G:$G,Database!$D:$D,"Export",Database!$E:$E,$B138,Database!$C:$C,BZ$1,Database!$F:$F,"Total")</f>
        <v>0</v>
      </c>
      <c r="CA138" s="137">
        <f>SUMIFS(Database!$G:$G,Database!$D:$D,"Export",Database!$E:$E,$B138,Database!$C:$C,CA$1,Database!$F:$F,"Total")</f>
        <v>0</v>
      </c>
      <c r="CB138" s="137">
        <f>SUMIFS(Database!$G:$G,Database!$D:$D,"Export",Database!$E:$E,$B138,Database!$C:$C,CB$1,Database!$F:$F,"Total")</f>
        <v>0</v>
      </c>
      <c r="CC138" s="137">
        <f>SUMIFS(Database!$G:$G,Database!$D:$D,"Export",Database!$E:$E,$B138,Database!$C:$C,CC$1,Database!$F:$F,"Total")</f>
        <v>0</v>
      </c>
      <c r="CD138" s="137">
        <f>SUMIFS(Database!$G:$G,Database!$D:$D,"Export",Database!$E:$E,$B138,Database!$C:$C,CD$1,Database!$F:$F,"Total")</f>
        <v>0</v>
      </c>
      <c r="CE138" s="137">
        <f>SUMIFS(Database!$G:$G,Database!$D:$D,"Export",Database!$E:$E,$B138,Database!$C:$C,CE$1,Database!$F:$F,"Total")</f>
        <v>0</v>
      </c>
      <c r="CF138" s="137">
        <f>SUMIFS(Database!$G:$G,Database!$D:$D,"Export",Database!$E:$E,$B138,Database!$C:$C,CF$1,Database!$F:$F,"Total")</f>
        <v>0</v>
      </c>
      <c r="CG138" s="137">
        <f>SUMIFS(Database!$G:$G,Database!$D:$D,"Export",Database!$E:$E,$B138,Database!$C:$C,CG$1,Database!$F:$F,"Total")</f>
        <v>0</v>
      </c>
      <c r="CH138" s="137">
        <f>SUMIFS(Database!$G:$G,Database!$D:$D,"Export",Database!$E:$E,$B138,Database!$C:$C,CH$1,Database!$F:$F,"Total")</f>
        <v>0</v>
      </c>
      <c r="CI138" s="137">
        <f>SUMIFS(Database!$G:$G,Database!$D:$D,"Export",Database!$E:$E,$B138,Database!$C:$C,CI$1,Database!$F:$F,"Total")</f>
        <v>0</v>
      </c>
      <c r="CJ138" s="137">
        <f>SUMIFS(Database!$G:$G,Database!$D:$D,"Export",Database!$E:$E,$B138,Database!$C:$C,CJ$1,Database!$F:$F,"Total")</f>
        <v>0</v>
      </c>
      <c r="CK138" s="137">
        <f>SUMIFS(Database!$G:$G,Database!$D:$D,"Export",Database!$E:$E,$B138,Database!$C:$C,CK$1,Database!$F:$F,"Total")</f>
        <v>0</v>
      </c>
      <c r="CL138" s="137">
        <f>SUMIFS(Database!$G:$G,Database!$D:$D,"Export",Database!$E:$E,$B138,Database!$C:$C,CL$1,Database!$F:$F,"Total")</f>
        <v>0</v>
      </c>
      <c r="CM138" s="137">
        <f>SUMIFS(Database!$G:$G,Database!$D:$D,"Export",Database!$E:$E,$B138,Database!$C:$C,CM$1,Database!$F:$F,"Total")</f>
        <v>0</v>
      </c>
      <c r="CN138" s="137">
        <f>SUMIFS(Database!$G:$G,Database!$D:$D,"Export",Database!$E:$E,$B138,Database!$C:$C,CN$1,Database!$F:$F,"Total")</f>
        <v>0</v>
      </c>
      <c r="CO138" s="137">
        <f>SUMIFS(Database!$G:$G,Database!$D:$D,"Export",Database!$E:$E,$B138,Database!$C:$C,CO$1,Database!$F:$F,"Total")</f>
        <v>0</v>
      </c>
      <c r="CP138" s="137">
        <f>SUMIFS(Database!$G:$G,Database!$D:$D,"Export",Database!$E:$E,$B138,Database!$C:$C,CP$1,Database!$F:$F,"Total")</f>
        <v>0</v>
      </c>
      <c r="CQ138" s="137">
        <f>SUMIFS(Database!$G:$G,Database!$D:$D,"Export",Database!$E:$E,$B138,Database!$C:$C,CQ$1,Database!$F:$F,"Total")</f>
        <v>0</v>
      </c>
      <c r="CR138" s="137">
        <f>SUMIFS(Database!$G:$G,Database!$D:$D,"Export",Database!$E:$E,$B138,Database!$C:$C,CR$1,Database!$F:$F,"Total")</f>
        <v>0</v>
      </c>
      <c r="CS138" s="137">
        <f>SUMIFS(Database!$G:$G,Database!$D:$D,"Export",Database!$E:$E,$B138,Database!$C:$C,CS$1,Database!$F:$F,"Total")</f>
        <v>0</v>
      </c>
      <c r="CT138" s="137">
        <f>SUMIFS(Database!$G:$G,Database!$D:$D,"Export",Database!$E:$E,$B138,Database!$C:$C,CT$1,Database!$F:$F,"Total")</f>
        <v>0</v>
      </c>
      <c r="CU138" s="137">
        <f>SUMIFS(Database!$G:$G,Database!$D:$D,"Export",Database!$E:$E,$B138,Database!$C:$C,CU$1,Database!$F:$F,"Total")</f>
        <v>0</v>
      </c>
    </row>
    <row r="139" spans="1:99" x14ac:dyDescent="0.25">
      <c r="A139" s="132" t="s">
        <v>485</v>
      </c>
      <c r="B139" s="133" t="s">
        <v>70</v>
      </c>
      <c r="C139" s="137">
        <f>SUMIFS(Database!$G:$G,Database!$D:$D,"Export",Database!$E:$E,$B139,Database!$C:$C,C$1,Database!$F:$F,"Total")</f>
        <v>0</v>
      </c>
      <c r="D139" s="137">
        <f>SUMIFS(Database!$G:$G,Database!$D:$D,"Export",Database!$E:$E,$B139,Database!$C:$C,D$1,Database!$F:$F,"Total")</f>
        <v>0</v>
      </c>
      <c r="E139" s="137">
        <f>SUMIFS(Database!$G:$G,Database!$D:$D,"Export",Database!$E:$E,$B139,Database!$C:$C,E$1,Database!$F:$F,"Total")</f>
        <v>0</v>
      </c>
      <c r="F139" s="137">
        <f>SUMIFS(Database!$G:$G,Database!$D:$D,"Export",Database!$E:$E,$B139,Database!$C:$C,F$1,Database!$F:$F,"Total")</f>
        <v>0</v>
      </c>
      <c r="G139" s="137">
        <f>SUMIFS(Database!$G:$G,Database!$D:$D,"Export",Database!$E:$E,$B139,Database!$C:$C,G$1,Database!$F:$F,"Total")</f>
        <v>0</v>
      </c>
      <c r="H139" s="137">
        <f>SUMIFS(Database!$G:$G,Database!$D:$D,"Export",Database!$E:$E,$B139,Database!$C:$C,H$1,Database!$F:$F,"Total")</f>
        <v>0</v>
      </c>
      <c r="I139" s="137">
        <f>SUMIFS(Database!$G:$G,Database!$D:$D,"Export",Database!$E:$E,$B139,Database!$C:$C,I$1,Database!$F:$F,"Total")</f>
        <v>0</v>
      </c>
      <c r="J139" s="137">
        <f>SUMIFS(Database!$G:$G,Database!$D:$D,"Export",Database!$E:$E,$B139,Database!$C:$C,J$1,Database!$F:$F,"Total")</f>
        <v>0</v>
      </c>
      <c r="K139" s="137">
        <f>SUMIFS(Database!$G:$G,Database!$D:$D,"Export",Database!$E:$E,$B139,Database!$C:$C,K$1,Database!$F:$F,"Total")</f>
        <v>0</v>
      </c>
      <c r="L139" s="137">
        <f>SUMIFS(Database!$G:$G,Database!$D:$D,"Export",Database!$E:$E,$B139,Database!$C:$C,L$1,Database!$F:$F,"Total")</f>
        <v>0</v>
      </c>
      <c r="M139" s="137">
        <f>SUMIFS(Database!$G:$G,Database!$D:$D,"Export",Database!$E:$E,$B139,Database!$C:$C,M$1,Database!$F:$F,"Total")</f>
        <v>0</v>
      </c>
      <c r="N139" s="137">
        <f>SUMIFS(Database!$G:$G,Database!$D:$D,"Export",Database!$E:$E,$B139,Database!$C:$C,N$1,Database!$F:$F,"Total")</f>
        <v>0</v>
      </c>
      <c r="O139" s="137">
        <f>SUMIFS(Database!$G:$G,Database!$D:$D,"Export",Database!$E:$E,$B139,Database!$C:$C,O$1,Database!$F:$F,"Total")</f>
        <v>0</v>
      </c>
      <c r="P139" s="137">
        <f>SUMIFS(Database!$G:$G,Database!$D:$D,"Export",Database!$E:$E,$B139,Database!$C:$C,P$1,Database!$F:$F,"Total")</f>
        <v>0</v>
      </c>
      <c r="Q139" s="137">
        <f>SUMIFS(Database!$G:$G,Database!$D:$D,"Export",Database!$E:$E,$B139,Database!$C:$C,Q$1,Database!$F:$F,"Total")</f>
        <v>0</v>
      </c>
      <c r="R139" s="137">
        <f>SUMIFS(Database!$G:$G,Database!$D:$D,"Export",Database!$E:$E,$B139,Database!$C:$C,R$1,Database!$F:$F,"Total")</f>
        <v>0</v>
      </c>
      <c r="S139" s="137">
        <f>SUMIFS(Database!$G:$G,Database!$D:$D,"Export",Database!$E:$E,$B139,Database!$C:$C,S$1,Database!$F:$F,"Total")</f>
        <v>0</v>
      </c>
      <c r="T139" s="137">
        <f>SUMIFS(Database!$G:$G,Database!$D:$D,"Export",Database!$E:$E,$B139,Database!$C:$C,T$1,Database!$F:$F,"Total")</f>
        <v>0</v>
      </c>
      <c r="U139" s="137">
        <f>SUMIFS(Database!$G:$G,Database!$D:$D,"Export",Database!$E:$E,$B139,Database!$C:$C,U$1,Database!$F:$F,"Total")</f>
        <v>0</v>
      </c>
      <c r="V139" s="137">
        <f>SUMIFS(Database!$G:$G,Database!$D:$D,"Export",Database!$E:$E,$B139,Database!$C:$C,V$1,Database!$F:$F,"Total")</f>
        <v>0</v>
      </c>
      <c r="W139" s="137">
        <f>SUMIFS(Database!$G:$G,Database!$D:$D,"Export",Database!$E:$E,$B139,Database!$C:$C,W$1,Database!$F:$F,"Total")</f>
        <v>0</v>
      </c>
      <c r="X139" s="137">
        <f>SUMIFS(Database!$G:$G,Database!$D:$D,"Export",Database!$E:$E,$B139,Database!$C:$C,X$1,Database!$F:$F,"Total")</f>
        <v>0</v>
      </c>
      <c r="Y139" s="137">
        <f>SUMIFS(Database!$G:$G,Database!$D:$D,"Export",Database!$E:$E,$B139,Database!$C:$C,Y$1,Database!$F:$F,"Total")</f>
        <v>0</v>
      </c>
      <c r="Z139" s="137">
        <f>SUMIFS(Database!$G:$G,Database!$D:$D,"Export",Database!$E:$E,$B139,Database!$C:$C,Z$1,Database!$F:$F,"Total")</f>
        <v>0</v>
      </c>
      <c r="AA139" s="137">
        <f>SUMIFS(Database!$G:$G,Database!$D:$D,"Export",Database!$E:$E,$B139,Database!$C:$C,AA$1,Database!$F:$F,"Total")</f>
        <v>0</v>
      </c>
      <c r="AB139" s="137">
        <f>SUMIFS(Database!$G:$G,Database!$D:$D,"Export",Database!$E:$E,$B139,Database!$C:$C,AB$1,Database!$F:$F,"Total")</f>
        <v>0</v>
      </c>
      <c r="AC139" s="137">
        <f>SUMIFS(Database!$G:$G,Database!$D:$D,"Export",Database!$E:$E,$B139,Database!$C:$C,AC$1,Database!$F:$F,"Total")</f>
        <v>0</v>
      </c>
      <c r="AD139" s="137">
        <f>SUMIFS(Database!$G:$G,Database!$D:$D,"Export",Database!$E:$E,$B139,Database!$C:$C,AD$1,Database!$F:$F,"Total")</f>
        <v>0</v>
      </c>
      <c r="AE139" s="137">
        <f>SUMIFS(Database!$G:$G,Database!$D:$D,"Export",Database!$E:$E,$B139,Database!$C:$C,AE$1,Database!$F:$F,"Total")</f>
        <v>0</v>
      </c>
      <c r="AF139" s="137">
        <f>SUMIFS(Database!$G:$G,Database!$D:$D,"Export",Database!$E:$E,$B139,Database!$C:$C,AF$1,Database!$F:$F,"Total")</f>
        <v>0</v>
      </c>
      <c r="AG139" s="137">
        <f>SUMIFS(Database!$G:$G,Database!$D:$D,"Export",Database!$E:$E,$B139,Database!$C:$C,AG$1,Database!$F:$F,"Total")</f>
        <v>0</v>
      </c>
      <c r="AH139" s="137">
        <f>SUMIFS(Database!$G:$G,Database!$D:$D,"Export",Database!$E:$E,$B139,Database!$C:$C,AH$1,Database!$F:$F,"Total")</f>
        <v>0</v>
      </c>
      <c r="AI139" s="137">
        <f>SUMIFS(Database!$G:$G,Database!$D:$D,"Export",Database!$E:$E,$B139,Database!$C:$C,AI$1,Database!$F:$F,"Total")</f>
        <v>0</v>
      </c>
      <c r="AJ139" s="137">
        <f>SUMIFS(Database!$G:$G,Database!$D:$D,"Export",Database!$E:$E,$B139,Database!$C:$C,AJ$1,Database!$F:$F,"Total")</f>
        <v>30</v>
      </c>
      <c r="AK139" s="137">
        <f>SUMIFS(Database!$G:$G,Database!$D:$D,"Export",Database!$E:$E,$B139,Database!$C:$C,AK$1,Database!$F:$F,"Total")</f>
        <v>0</v>
      </c>
      <c r="AL139" s="137">
        <f>SUMIFS(Database!$G:$G,Database!$D:$D,"Export",Database!$E:$E,$B139,Database!$C:$C,AL$1,Database!$F:$F,"Total")</f>
        <v>0</v>
      </c>
      <c r="AM139" s="137">
        <f>SUMIFS(Database!$G:$G,Database!$D:$D,"Export",Database!$E:$E,$B139,Database!$C:$C,AM$1,Database!$F:$F,"Total")</f>
        <v>0</v>
      </c>
      <c r="AN139" s="137">
        <f>SUMIFS(Database!$G:$G,Database!$D:$D,"Export",Database!$E:$E,$B139,Database!$C:$C,AN$1,Database!$F:$F,"Total")</f>
        <v>0</v>
      </c>
      <c r="AO139" s="137">
        <f>SUMIFS(Database!$G:$G,Database!$D:$D,"Export",Database!$E:$E,$B139,Database!$C:$C,AO$1,Database!$F:$F,"Total")</f>
        <v>0</v>
      </c>
      <c r="AP139" s="137">
        <f>SUMIFS(Database!$G:$G,Database!$D:$D,"Export",Database!$E:$E,$B139,Database!$C:$C,AP$1,Database!$F:$F,"Total")</f>
        <v>0</v>
      </c>
      <c r="AQ139" s="137">
        <f>SUMIFS(Database!$G:$G,Database!$D:$D,"Export",Database!$E:$E,$B139,Database!$C:$C,AQ$1,Database!$F:$F,"Total")</f>
        <v>0</v>
      </c>
      <c r="AR139" s="137">
        <f>SUMIFS(Database!$G:$G,Database!$D:$D,"Export",Database!$E:$E,$B139,Database!$C:$C,AR$1,Database!$F:$F,"Total")</f>
        <v>0</v>
      </c>
      <c r="AS139" s="137">
        <f>SUMIFS(Database!$G:$G,Database!$D:$D,"Export",Database!$E:$E,$B139,Database!$C:$C,AS$1,Database!$F:$F,"Total")</f>
        <v>0</v>
      </c>
      <c r="AT139" s="137">
        <f>SUMIFS(Database!$G:$G,Database!$D:$D,"Export",Database!$E:$E,$B139,Database!$C:$C,AT$1,Database!$F:$F,"Total")</f>
        <v>0</v>
      </c>
      <c r="AU139" s="137">
        <f>SUMIFS(Database!$G:$G,Database!$D:$D,"Export",Database!$E:$E,$B139,Database!$C:$C,AU$1,Database!$F:$F,"Total")</f>
        <v>0</v>
      </c>
      <c r="AV139" s="137">
        <f>SUMIFS(Database!$G:$G,Database!$D:$D,"Export",Database!$E:$E,$B139,Database!$C:$C,AV$1,Database!$F:$F,"Total")</f>
        <v>0</v>
      </c>
      <c r="AW139" s="137">
        <f>SUMIFS(Database!$G:$G,Database!$D:$D,"Export",Database!$E:$E,$B139,Database!$C:$C,AW$1,Database!$F:$F,"Total")</f>
        <v>0</v>
      </c>
      <c r="AX139" s="137">
        <f>SUMIFS(Database!$G:$G,Database!$D:$D,"Export",Database!$E:$E,$B139,Database!$C:$C,AX$1,Database!$F:$F,"Total")</f>
        <v>0</v>
      </c>
      <c r="AY139" s="137">
        <f>SUMIFS(Database!$G:$G,Database!$D:$D,"Export",Database!$E:$E,$B139,Database!$C:$C,AY$1,Database!$F:$F,"Total")</f>
        <v>0</v>
      </c>
      <c r="AZ139" s="137">
        <f>SUMIFS(Database!$G:$G,Database!$D:$D,"Export",Database!$E:$E,$B139,Database!$C:$C,AZ$1,Database!$F:$F,"Total")</f>
        <v>0</v>
      </c>
      <c r="BA139" s="137">
        <f>SUMIFS(Database!$G:$G,Database!$D:$D,"Export",Database!$E:$E,$B139,Database!$C:$C,BA$1,Database!$F:$F,"Total")</f>
        <v>0</v>
      </c>
      <c r="BB139" s="137">
        <f>SUMIFS(Database!$G:$G,Database!$D:$D,"Export",Database!$E:$E,$B139,Database!$C:$C,BB$1,Database!$F:$F,"Total")</f>
        <v>0</v>
      </c>
      <c r="BC139" s="137">
        <f>SUMIFS(Database!$G:$G,Database!$D:$D,"Export",Database!$E:$E,$B139,Database!$C:$C,BC$1,Database!$F:$F,"Total")</f>
        <v>0</v>
      </c>
      <c r="BD139" s="137">
        <f>SUMIFS(Database!$G:$G,Database!$D:$D,"Export",Database!$E:$E,$B139,Database!$C:$C,BD$1,Database!$F:$F,"Total")</f>
        <v>0</v>
      </c>
      <c r="BE139" s="137">
        <f>SUMIFS(Database!$G:$G,Database!$D:$D,"Export",Database!$E:$E,$B139,Database!$C:$C,BE$1,Database!$F:$F,"Total")</f>
        <v>0</v>
      </c>
      <c r="BF139" s="137">
        <f>SUMIFS(Database!$G:$G,Database!$D:$D,"Export",Database!$E:$E,$B139,Database!$C:$C,BF$1,Database!$F:$F,"Total")</f>
        <v>0</v>
      </c>
      <c r="BG139" s="137">
        <f>SUMIFS(Database!$G:$G,Database!$D:$D,"Export",Database!$E:$E,$B139,Database!$C:$C,BG$1,Database!$F:$F,"Total")</f>
        <v>0</v>
      </c>
      <c r="BH139" s="137">
        <f>SUMIFS(Database!$G:$G,Database!$D:$D,"Export",Database!$E:$E,$B139,Database!$C:$C,BH$1,Database!$F:$F,"Total")</f>
        <v>0</v>
      </c>
      <c r="BI139" s="137">
        <f>SUMIFS(Database!$G:$G,Database!$D:$D,"Export",Database!$E:$E,$B139,Database!$C:$C,BI$1,Database!$F:$F,"Total")</f>
        <v>0</v>
      </c>
      <c r="BJ139" s="137">
        <f>SUMIFS(Database!$G:$G,Database!$D:$D,"Export",Database!$E:$E,$B139,Database!$C:$C,BJ$1,Database!$F:$F,"Total")</f>
        <v>0</v>
      </c>
      <c r="BK139" s="137">
        <f>SUMIFS(Database!$G:$G,Database!$D:$D,"Export",Database!$E:$E,$B139,Database!$C:$C,BK$1,Database!$F:$F,"Total")</f>
        <v>0</v>
      </c>
      <c r="BL139" s="137">
        <f>SUMIFS(Database!$G:$G,Database!$D:$D,"Export",Database!$E:$E,$B139,Database!$C:$C,BL$1,Database!$F:$F,"Total")</f>
        <v>0</v>
      </c>
      <c r="BM139" s="137">
        <f>SUMIFS(Database!$G:$G,Database!$D:$D,"Export",Database!$E:$E,$B139,Database!$C:$C,BM$1,Database!$F:$F,"Total")</f>
        <v>0</v>
      </c>
      <c r="BN139" s="137">
        <f>SUMIFS(Database!$G:$G,Database!$D:$D,"Export",Database!$E:$E,$B139,Database!$C:$C,BN$1,Database!$F:$F,"Total")</f>
        <v>0</v>
      </c>
      <c r="BO139" s="137">
        <f>SUMIFS(Database!$G:$G,Database!$D:$D,"Export",Database!$E:$E,$B139,Database!$C:$C,BO$1,Database!$F:$F,"Total")</f>
        <v>0</v>
      </c>
      <c r="BP139" s="137">
        <f>SUMIFS(Database!$G:$G,Database!$D:$D,"Export",Database!$E:$E,$B139,Database!$C:$C,BP$1,Database!$F:$F,"Total")</f>
        <v>0</v>
      </c>
      <c r="BQ139" s="137">
        <f>SUMIFS(Database!$G:$G,Database!$D:$D,"Export",Database!$E:$E,$B139,Database!$C:$C,BQ$1,Database!$F:$F,"Total")</f>
        <v>0</v>
      </c>
      <c r="BR139" s="137">
        <f>SUMIFS(Database!$G:$G,Database!$D:$D,"Export",Database!$E:$E,$B139,Database!$C:$C,BR$1,Database!$F:$F,"Total")</f>
        <v>0</v>
      </c>
      <c r="BS139" s="137">
        <f>SUMIFS(Database!$G:$G,Database!$D:$D,"Export",Database!$E:$E,$B139,Database!$C:$C,BS$1,Database!$F:$F,"Total")</f>
        <v>0</v>
      </c>
      <c r="BT139" s="137">
        <f>SUMIFS(Database!$G:$G,Database!$D:$D,"Export",Database!$E:$E,$B139,Database!$C:$C,BT$1,Database!$F:$F,"Total")</f>
        <v>0</v>
      </c>
      <c r="BU139" s="137">
        <f>SUMIFS(Database!$G:$G,Database!$D:$D,"Export",Database!$E:$E,$B139,Database!$C:$C,BU$1,Database!$F:$F,"Total")</f>
        <v>0</v>
      </c>
      <c r="BV139" s="137">
        <f>SUMIFS(Database!$G:$G,Database!$D:$D,"Export",Database!$E:$E,$B139,Database!$C:$C,BV$1,Database!$F:$F,"Total")</f>
        <v>0</v>
      </c>
      <c r="BW139" s="137">
        <f>SUMIFS(Database!$G:$G,Database!$D:$D,"Export",Database!$E:$E,$B139,Database!$C:$C,BW$1,Database!$F:$F,"Total")</f>
        <v>0</v>
      </c>
      <c r="BX139" s="137">
        <f>SUMIFS(Database!$G:$G,Database!$D:$D,"Export",Database!$E:$E,$B139,Database!$C:$C,BX$1,Database!$F:$F,"Total")</f>
        <v>0</v>
      </c>
      <c r="BY139" s="137">
        <f>SUMIFS(Database!$G:$G,Database!$D:$D,"Export",Database!$E:$E,$B139,Database!$C:$C,BY$1,Database!$F:$F,"Total")</f>
        <v>0</v>
      </c>
      <c r="BZ139" s="137">
        <f>SUMIFS(Database!$G:$G,Database!$D:$D,"Export",Database!$E:$E,$B139,Database!$C:$C,BZ$1,Database!$F:$F,"Total")</f>
        <v>0</v>
      </c>
      <c r="CA139" s="137">
        <f>SUMIFS(Database!$G:$G,Database!$D:$D,"Export",Database!$E:$E,$B139,Database!$C:$C,CA$1,Database!$F:$F,"Total")</f>
        <v>0</v>
      </c>
      <c r="CB139" s="137">
        <f>SUMIFS(Database!$G:$G,Database!$D:$D,"Export",Database!$E:$E,$B139,Database!$C:$C,CB$1,Database!$F:$F,"Total")</f>
        <v>0</v>
      </c>
      <c r="CC139" s="137">
        <f>SUMIFS(Database!$G:$G,Database!$D:$D,"Export",Database!$E:$E,$B139,Database!$C:$C,CC$1,Database!$F:$F,"Total")</f>
        <v>0</v>
      </c>
      <c r="CD139" s="137">
        <f>SUMIFS(Database!$G:$G,Database!$D:$D,"Export",Database!$E:$E,$B139,Database!$C:$C,CD$1,Database!$F:$F,"Total")</f>
        <v>0</v>
      </c>
      <c r="CE139" s="137">
        <f>SUMIFS(Database!$G:$G,Database!$D:$D,"Export",Database!$E:$E,$B139,Database!$C:$C,CE$1,Database!$F:$F,"Total")</f>
        <v>0</v>
      </c>
      <c r="CF139" s="137">
        <f>SUMIFS(Database!$G:$G,Database!$D:$D,"Export",Database!$E:$E,$B139,Database!$C:$C,CF$1,Database!$F:$F,"Total")</f>
        <v>0</v>
      </c>
      <c r="CG139" s="137">
        <f>SUMIFS(Database!$G:$G,Database!$D:$D,"Export",Database!$E:$E,$B139,Database!$C:$C,CG$1,Database!$F:$F,"Total")</f>
        <v>0</v>
      </c>
      <c r="CH139" s="137">
        <f>SUMIFS(Database!$G:$G,Database!$D:$D,"Export",Database!$E:$E,$B139,Database!$C:$C,CH$1,Database!$F:$F,"Total")</f>
        <v>0</v>
      </c>
      <c r="CI139" s="137">
        <f>SUMIFS(Database!$G:$G,Database!$D:$D,"Export",Database!$E:$E,$B139,Database!$C:$C,CI$1,Database!$F:$F,"Total")</f>
        <v>0</v>
      </c>
      <c r="CJ139" s="137">
        <f>SUMIFS(Database!$G:$G,Database!$D:$D,"Export",Database!$E:$E,$B139,Database!$C:$C,CJ$1,Database!$F:$F,"Total")</f>
        <v>0</v>
      </c>
      <c r="CK139" s="137">
        <f>SUMIFS(Database!$G:$G,Database!$D:$D,"Export",Database!$E:$E,$B139,Database!$C:$C,CK$1,Database!$F:$F,"Total")</f>
        <v>0</v>
      </c>
      <c r="CL139" s="137">
        <f>SUMIFS(Database!$G:$G,Database!$D:$D,"Export",Database!$E:$E,$B139,Database!$C:$C,CL$1,Database!$F:$F,"Total")</f>
        <v>0</v>
      </c>
      <c r="CM139" s="137">
        <f>SUMIFS(Database!$G:$G,Database!$D:$D,"Export",Database!$E:$E,$B139,Database!$C:$C,CM$1,Database!$F:$F,"Total")</f>
        <v>0</v>
      </c>
      <c r="CN139" s="137">
        <f>SUMIFS(Database!$G:$G,Database!$D:$D,"Export",Database!$E:$E,$B139,Database!$C:$C,CN$1,Database!$F:$F,"Total")</f>
        <v>0</v>
      </c>
      <c r="CO139" s="137">
        <f>SUMIFS(Database!$G:$G,Database!$D:$D,"Export",Database!$E:$E,$B139,Database!$C:$C,CO$1,Database!$F:$F,"Total")</f>
        <v>0</v>
      </c>
      <c r="CP139" s="137">
        <f>SUMIFS(Database!$G:$G,Database!$D:$D,"Export",Database!$E:$E,$B139,Database!$C:$C,CP$1,Database!$F:$F,"Total")</f>
        <v>0</v>
      </c>
      <c r="CQ139" s="137">
        <f>SUMIFS(Database!$G:$G,Database!$D:$D,"Export",Database!$E:$E,$B139,Database!$C:$C,CQ$1,Database!$F:$F,"Total")</f>
        <v>0</v>
      </c>
      <c r="CR139" s="137">
        <f>SUMIFS(Database!$G:$G,Database!$D:$D,"Export",Database!$E:$E,$B139,Database!$C:$C,CR$1,Database!$F:$F,"Total")</f>
        <v>0</v>
      </c>
      <c r="CS139" s="137">
        <f>SUMIFS(Database!$G:$G,Database!$D:$D,"Export",Database!$E:$E,$B139,Database!$C:$C,CS$1,Database!$F:$F,"Total")</f>
        <v>0</v>
      </c>
      <c r="CT139" s="137">
        <f>SUMIFS(Database!$G:$G,Database!$D:$D,"Export",Database!$E:$E,$B139,Database!$C:$C,CT$1,Database!$F:$F,"Total")</f>
        <v>0</v>
      </c>
      <c r="CU139" s="137">
        <f>SUMIFS(Database!$G:$G,Database!$D:$D,"Export",Database!$E:$E,$B139,Database!$C:$C,CU$1,Database!$F:$F,"Total")</f>
        <v>0</v>
      </c>
    </row>
    <row r="140" spans="1:99" x14ac:dyDescent="0.25">
      <c r="A140" s="132" t="s">
        <v>485</v>
      </c>
      <c r="B140" s="133" t="s">
        <v>74</v>
      </c>
      <c r="C140" s="137">
        <f>SUMIFS(Database!$G:$G,Database!$D:$D,"Export",Database!$E:$E,$B140,Database!$C:$C,C$1,Database!$F:$F,"Total")</f>
        <v>0</v>
      </c>
      <c r="D140" s="137">
        <f>SUMIFS(Database!$G:$G,Database!$D:$D,"Export",Database!$E:$E,$B140,Database!$C:$C,D$1,Database!$F:$F,"Total")</f>
        <v>0</v>
      </c>
      <c r="E140" s="137">
        <f>SUMIFS(Database!$G:$G,Database!$D:$D,"Export",Database!$E:$E,$B140,Database!$C:$C,E$1,Database!$F:$F,"Total")</f>
        <v>0</v>
      </c>
      <c r="F140" s="137">
        <f>SUMIFS(Database!$G:$G,Database!$D:$D,"Export",Database!$E:$E,$B140,Database!$C:$C,F$1,Database!$F:$F,"Total")</f>
        <v>0</v>
      </c>
      <c r="G140" s="137">
        <f>SUMIFS(Database!$G:$G,Database!$D:$D,"Export",Database!$E:$E,$B140,Database!$C:$C,G$1,Database!$F:$F,"Total")</f>
        <v>0</v>
      </c>
      <c r="H140" s="137">
        <f>SUMIFS(Database!$G:$G,Database!$D:$D,"Export",Database!$E:$E,$B140,Database!$C:$C,H$1,Database!$F:$F,"Total")</f>
        <v>0</v>
      </c>
      <c r="I140" s="137">
        <f>SUMIFS(Database!$G:$G,Database!$D:$D,"Export",Database!$E:$E,$B140,Database!$C:$C,I$1,Database!$F:$F,"Total")</f>
        <v>0</v>
      </c>
      <c r="J140" s="137">
        <f>SUMIFS(Database!$G:$G,Database!$D:$D,"Export",Database!$E:$E,$B140,Database!$C:$C,J$1,Database!$F:$F,"Total")</f>
        <v>0</v>
      </c>
      <c r="K140" s="137">
        <f>SUMIFS(Database!$G:$G,Database!$D:$D,"Export",Database!$E:$E,$B140,Database!$C:$C,K$1,Database!$F:$F,"Total")</f>
        <v>0</v>
      </c>
      <c r="L140" s="137">
        <f>SUMIFS(Database!$G:$G,Database!$D:$D,"Export",Database!$E:$E,$B140,Database!$C:$C,L$1,Database!$F:$F,"Total")</f>
        <v>0</v>
      </c>
      <c r="M140" s="137">
        <f>SUMIFS(Database!$G:$G,Database!$D:$D,"Export",Database!$E:$E,$B140,Database!$C:$C,M$1,Database!$F:$F,"Total")</f>
        <v>0</v>
      </c>
      <c r="N140" s="137">
        <f>SUMIFS(Database!$G:$G,Database!$D:$D,"Export",Database!$E:$E,$B140,Database!$C:$C,N$1,Database!$F:$F,"Total")</f>
        <v>0</v>
      </c>
      <c r="O140" s="137">
        <f>SUMIFS(Database!$G:$G,Database!$D:$D,"Export",Database!$E:$E,$B140,Database!$C:$C,O$1,Database!$F:$F,"Total")</f>
        <v>0</v>
      </c>
      <c r="P140" s="137">
        <f>SUMIFS(Database!$G:$G,Database!$D:$D,"Export",Database!$E:$E,$B140,Database!$C:$C,P$1,Database!$F:$F,"Total")</f>
        <v>0</v>
      </c>
      <c r="Q140" s="137">
        <f>SUMIFS(Database!$G:$G,Database!$D:$D,"Export",Database!$E:$E,$B140,Database!$C:$C,Q$1,Database!$F:$F,"Total")</f>
        <v>0</v>
      </c>
      <c r="R140" s="137">
        <f>SUMIFS(Database!$G:$G,Database!$D:$D,"Export",Database!$E:$E,$B140,Database!$C:$C,R$1,Database!$F:$F,"Total")</f>
        <v>0</v>
      </c>
      <c r="S140" s="137">
        <f>SUMIFS(Database!$G:$G,Database!$D:$D,"Export",Database!$E:$E,$B140,Database!$C:$C,S$1,Database!$F:$F,"Total")</f>
        <v>0</v>
      </c>
      <c r="T140" s="137">
        <f>SUMIFS(Database!$G:$G,Database!$D:$D,"Export",Database!$E:$E,$B140,Database!$C:$C,T$1,Database!$F:$F,"Total")</f>
        <v>0</v>
      </c>
      <c r="U140" s="137">
        <f>SUMIFS(Database!$G:$G,Database!$D:$D,"Export",Database!$E:$E,$B140,Database!$C:$C,U$1,Database!$F:$F,"Total")</f>
        <v>0</v>
      </c>
      <c r="V140" s="137">
        <f>SUMIFS(Database!$G:$G,Database!$D:$D,"Export",Database!$E:$E,$B140,Database!$C:$C,V$1,Database!$F:$F,"Total")</f>
        <v>0</v>
      </c>
      <c r="W140" s="137">
        <f>SUMIFS(Database!$G:$G,Database!$D:$D,"Export",Database!$E:$E,$B140,Database!$C:$C,W$1,Database!$F:$F,"Total")</f>
        <v>0</v>
      </c>
      <c r="X140" s="137">
        <f>SUMIFS(Database!$G:$G,Database!$D:$D,"Export",Database!$E:$E,$B140,Database!$C:$C,X$1,Database!$F:$F,"Total")</f>
        <v>0</v>
      </c>
      <c r="Y140" s="137">
        <f>SUMIFS(Database!$G:$G,Database!$D:$D,"Export",Database!$E:$E,$B140,Database!$C:$C,Y$1,Database!$F:$F,"Total")</f>
        <v>0</v>
      </c>
      <c r="Z140" s="137">
        <f>SUMIFS(Database!$G:$G,Database!$D:$D,"Export",Database!$E:$E,$B140,Database!$C:$C,Z$1,Database!$F:$F,"Total")</f>
        <v>0</v>
      </c>
      <c r="AA140" s="137">
        <f>SUMIFS(Database!$G:$G,Database!$D:$D,"Export",Database!$E:$E,$B140,Database!$C:$C,AA$1,Database!$F:$F,"Total")</f>
        <v>0</v>
      </c>
      <c r="AB140" s="137">
        <f>SUMIFS(Database!$G:$G,Database!$D:$D,"Export",Database!$E:$E,$B140,Database!$C:$C,AB$1,Database!$F:$F,"Total")</f>
        <v>0</v>
      </c>
      <c r="AC140" s="137">
        <f>SUMIFS(Database!$G:$G,Database!$D:$D,"Export",Database!$E:$E,$B140,Database!$C:$C,AC$1,Database!$F:$F,"Total")</f>
        <v>0</v>
      </c>
      <c r="AD140" s="137">
        <f>SUMIFS(Database!$G:$G,Database!$D:$D,"Export",Database!$E:$E,$B140,Database!$C:$C,AD$1,Database!$F:$F,"Total")</f>
        <v>0</v>
      </c>
      <c r="AE140" s="137">
        <f>SUMIFS(Database!$G:$G,Database!$D:$D,"Export",Database!$E:$E,$B140,Database!$C:$C,AE$1,Database!$F:$F,"Total")</f>
        <v>0</v>
      </c>
      <c r="AF140" s="137">
        <f>SUMIFS(Database!$G:$G,Database!$D:$D,"Export",Database!$E:$E,$B140,Database!$C:$C,AF$1,Database!$F:$F,"Total")</f>
        <v>0</v>
      </c>
      <c r="AG140" s="137">
        <f>SUMIFS(Database!$G:$G,Database!$D:$D,"Export",Database!$E:$E,$B140,Database!$C:$C,AG$1,Database!$F:$F,"Total")</f>
        <v>0</v>
      </c>
      <c r="AH140" s="137">
        <f>SUMIFS(Database!$G:$G,Database!$D:$D,"Export",Database!$E:$E,$B140,Database!$C:$C,AH$1,Database!$F:$F,"Total")</f>
        <v>0</v>
      </c>
      <c r="AI140" s="137">
        <f>SUMIFS(Database!$G:$G,Database!$D:$D,"Export",Database!$E:$E,$B140,Database!$C:$C,AI$1,Database!$F:$F,"Total")</f>
        <v>0</v>
      </c>
      <c r="AJ140" s="137">
        <f>SUMIFS(Database!$G:$G,Database!$D:$D,"Export",Database!$E:$E,$B140,Database!$C:$C,AJ$1,Database!$F:$F,"Total")</f>
        <v>0</v>
      </c>
      <c r="AK140" s="137">
        <f>SUMIFS(Database!$G:$G,Database!$D:$D,"Export",Database!$E:$E,$B140,Database!$C:$C,AK$1,Database!$F:$F,"Total")</f>
        <v>0</v>
      </c>
      <c r="AL140" s="137">
        <f>SUMIFS(Database!$G:$G,Database!$D:$D,"Export",Database!$E:$E,$B140,Database!$C:$C,AL$1,Database!$F:$F,"Total")</f>
        <v>0</v>
      </c>
      <c r="AM140" s="137">
        <f>SUMIFS(Database!$G:$G,Database!$D:$D,"Export",Database!$E:$E,$B140,Database!$C:$C,AM$1,Database!$F:$F,"Total")</f>
        <v>0</v>
      </c>
      <c r="AN140" s="137">
        <f>SUMIFS(Database!$G:$G,Database!$D:$D,"Export",Database!$E:$E,$B140,Database!$C:$C,AN$1,Database!$F:$F,"Total")</f>
        <v>0</v>
      </c>
      <c r="AO140" s="137">
        <f>SUMIFS(Database!$G:$G,Database!$D:$D,"Export",Database!$E:$E,$B140,Database!$C:$C,AO$1,Database!$F:$F,"Total")</f>
        <v>0</v>
      </c>
      <c r="AP140" s="137">
        <f>SUMIFS(Database!$G:$G,Database!$D:$D,"Export",Database!$E:$E,$B140,Database!$C:$C,AP$1,Database!$F:$F,"Total")</f>
        <v>0</v>
      </c>
      <c r="AQ140" s="137">
        <f>SUMIFS(Database!$G:$G,Database!$D:$D,"Export",Database!$E:$E,$B140,Database!$C:$C,AQ$1,Database!$F:$F,"Total")</f>
        <v>0</v>
      </c>
      <c r="AR140" s="137">
        <f>SUMIFS(Database!$G:$G,Database!$D:$D,"Export",Database!$E:$E,$B140,Database!$C:$C,AR$1,Database!$F:$F,"Total")</f>
        <v>0</v>
      </c>
      <c r="AS140" s="137">
        <f>SUMIFS(Database!$G:$G,Database!$D:$D,"Export",Database!$E:$E,$B140,Database!$C:$C,AS$1,Database!$F:$F,"Total")</f>
        <v>0</v>
      </c>
      <c r="AT140" s="137">
        <f>SUMIFS(Database!$G:$G,Database!$D:$D,"Export",Database!$E:$E,$B140,Database!$C:$C,AT$1,Database!$F:$F,"Total")</f>
        <v>0</v>
      </c>
      <c r="AU140" s="137">
        <f>SUMIFS(Database!$G:$G,Database!$D:$D,"Export",Database!$E:$E,$B140,Database!$C:$C,AU$1,Database!$F:$F,"Total")</f>
        <v>0</v>
      </c>
      <c r="AV140" s="137">
        <f>SUMIFS(Database!$G:$G,Database!$D:$D,"Export",Database!$E:$E,$B140,Database!$C:$C,AV$1,Database!$F:$F,"Total")</f>
        <v>0</v>
      </c>
      <c r="AW140" s="137">
        <f>SUMIFS(Database!$G:$G,Database!$D:$D,"Export",Database!$E:$E,$B140,Database!$C:$C,AW$1,Database!$F:$F,"Total")</f>
        <v>0</v>
      </c>
      <c r="AX140" s="137">
        <f>SUMIFS(Database!$G:$G,Database!$D:$D,"Export",Database!$E:$E,$B140,Database!$C:$C,AX$1,Database!$F:$F,"Total")</f>
        <v>0</v>
      </c>
      <c r="AY140" s="137">
        <f>SUMIFS(Database!$G:$G,Database!$D:$D,"Export",Database!$E:$E,$B140,Database!$C:$C,AY$1,Database!$F:$F,"Total")</f>
        <v>0</v>
      </c>
      <c r="AZ140" s="137">
        <f>SUMIFS(Database!$G:$G,Database!$D:$D,"Export",Database!$E:$E,$B140,Database!$C:$C,AZ$1,Database!$F:$F,"Total")</f>
        <v>0</v>
      </c>
      <c r="BA140" s="137">
        <f>SUMIFS(Database!$G:$G,Database!$D:$D,"Export",Database!$E:$E,$B140,Database!$C:$C,BA$1,Database!$F:$F,"Total")</f>
        <v>0</v>
      </c>
      <c r="BB140" s="137">
        <f>SUMIFS(Database!$G:$G,Database!$D:$D,"Export",Database!$E:$E,$B140,Database!$C:$C,BB$1,Database!$F:$F,"Total")</f>
        <v>0</v>
      </c>
      <c r="BC140" s="137">
        <f>SUMIFS(Database!$G:$G,Database!$D:$D,"Export",Database!$E:$E,$B140,Database!$C:$C,BC$1,Database!$F:$F,"Total")</f>
        <v>0</v>
      </c>
      <c r="BD140" s="137">
        <f>SUMIFS(Database!$G:$G,Database!$D:$D,"Export",Database!$E:$E,$B140,Database!$C:$C,BD$1,Database!$F:$F,"Total")</f>
        <v>0</v>
      </c>
      <c r="BE140" s="137">
        <f>SUMIFS(Database!$G:$G,Database!$D:$D,"Export",Database!$E:$E,$B140,Database!$C:$C,BE$1,Database!$F:$F,"Total")</f>
        <v>0</v>
      </c>
      <c r="BF140" s="137">
        <f>SUMIFS(Database!$G:$G,Database!$D:$D,"Export",Database!$E:$E,$B140,Database!$C:$C,BF$1,Database!$F:$F,"Total")</f>
        <v>0</v>
      </c>
      <c r="BG140" s="137">
        <f>SUMIFS(Database!$G:$G,Database!$D:$D,"Export",Database!$E:$E,$B140,Database!$C:$C,BG$1,Database!$F:$F,"Total")</f>
        <v>0</v>
      </c>
      <c r="BH140" s="137">
        <f>SUMIFS(Database!$G:$G,Database!$D:$D,"Export",Database!$E:$E,$B140,Database!$C:$C,BH$1,Database!$F:$F,"Total")</f>
        <v>5612</v>
      </c>
      <c r="BI140" s="137">
        <f>SUMIFS(Database!$G:$G,Database!$D:$D,"Export",Database!$E:$E,$B140,Database!$C:$C,BI$1,Database!$F:$F,"Total")</f>
        <v>0</v>
      </c>
      <c r="BJ140" s="137">
        <f>SUMIFS(Database!$G:$G,Database!$D:$D,"Export",Database!$E:$E,$B140,Database!$C:$C,BJ$1,Database!$F:$F,"Total")</f>
        <v>4907</v>
      </c>
      <c r="BK140" s="137">
        <f>SUMIFS(Database!$G:$G,Database!$D:$D,"Export",Database!$E:$E,$B140,Database!$C:$C,BK$1,Database!$F:$F,"Total")</f>
        <v>7504</v>
      </c>
      <c r="BL140" s="137">
        <f>SUMIFS(Database!$G:$G,Database!$D:$D,"Export",Database!$E:$E,$B140,Database!$C:$C,BL$1,Database!$F:$F,"Total")</f>
        <v>0</v>
      </c>
      <c r="BM140" s="137">
        <f>SUMIFS(Database!$G:$G,Database!$D:$D,"Export",Database!$E:$E,$B140,Database!$C:$C,BM$1,Database!$F:$F,"Total")</f>
        <v>0</v>
      </c>
      <c r="BN140" s="137">
        <f>SUMIFS(Database!$G:$G,Database!$D:$D,"Export",Database!$E:$E,$B140,Database!$C:$C,BN$1,Database!$F:$F,"Total")</f>
        <v>6349.1</v>
      </c>
      <c r="BO140" s="137">
        <f>SUMIFS(Database!$G:$G,Database!$D:$D,"Export",Database!$E:$E,$B140,Database!$C:$C,BO$1,Database!$F:$F,"Total")</f>
        <v>0</v>
      </c>
      <c r="BP140" s="137">
        <f>SUMIFS(Database!$G:$G,Database!$D:$D,"Export",Database!$E:$E,$B140,Database!$C:$C,BP$1,Database!$F:$F,"Total")</f>
        <v>9399.2000000000007</v>
      </c>
      <c r="BQ140" s="137">
        <f>SUMIFS(Database!$G:$G,Database!$D:$D,"Export",Database!$E:$E,$B140,Database!$C:$C,BQ$1,Database!$F:$F,"Total")</f>
        <v>6045</v>
      </c>
      <c r="BR140" s="137">
        <f>SUMIFS(Database!$G:$G,Database!$D:$D,"Export",Database!$E:$E,$B140,Database!$C:$C,BR$1,Database!$F:$F,"Total")</f>
        <v>5727</v>
      </c>
      <c r="BS140" s="137">
        <f>SUMIFS(Database!$G:$G,Database!$D:$D,"Export",Database!$E:$E,$B140,Database!$C:$C,BS$1,Database!$F:$F,"Total")</f>
        <v>7440.5</v>
      </c>
      <c r="BT140" s="137">
        <f>SUMIFS(Database!$G:$G,Database!$D:$D,"Export",Database!$E:$E,$B140,Database!$C:$C,BT$1,Database!$F:$F,"Total")</f>
        <v>6404</v>
      </c>
      <c r="BU140" s="137">
        <f>SUMIFS(Database!$G:$G,Database!$D:$D,"Export",Database!$E:$E,$B140,Database!$C:$C,BU$1,Database!$F:$F,"Total")</f>
        <v>10015</v>
      </c>
      <c r="BV140" s="137">
        <f>SUMIFS(Database!$G:$G,Database!$D:$D,"Export",Database!$E:$E,$B140,Database!$C:$C,BV$1,Database!$F:$F,"Total")</f>
        <v>0</v>
      </c>
      <c r="BW140" s="137">
        <f>SUMIFS(Database!$G:$G,Database!$D:$D,"Export",Database!$E:$E,$B140,Database!$C:$C,BW$1,Database!$F:$F,"Total")</f>
        <v>0</v>
      </c>
      <c r="BX140" s="137">
        <f>SUMIFS(Database!$G:$G,Database!$D:$D,"Export",Database!$E:$E,$B140,Database!$C:$C,BX$1,Database!$F:$F,"Total")</f>
        <v>0</v>
      </c>
      <c r="BY140" s="137">
        <f>SUMIFS(Database!$G:$G,Database!$D:$D,"Export",Database!$E:$E,$B140,Database!$C:$C,BY$1,Database!$F:$F,"Total")</f>
        <v>0</v>
      </c>
      <c r="BZ140" s="137">
        <f>SUMIFS(Database!$G:$G,Database!$D:$D,"Export",Database!$E:$E,$B140,Database!$C:$C,BZ$1,Database!$F:$F,"Total")</f>
        <v>0</v>
      </c>
      <c r="CA140" s="137">
        <f>SUMIFS(Database!$G:$G,Database!$D:$D,"Export",Database!$E:$E,$B140,Database!$C:$C,CA$1,Database!$F:$F,"Total")</f>
        <v>0</v>
      </c>
      <c r="CB140" s="137">
        <f>SUMIFS(Database!$G:$G,Database!$D:$D,"Export",Database!$E:$E,$B140,Database!$C:$C,CB$1,Database!$F:$F,"Total")</f>
        <v>0</v>
      </c>
      <c r="CC140" s="137">
        <f>SUMIFS(Database!$G:$G,Database!$D:$D,"Export",Database!$E:$E,$B140,Database!$C:$C,CC$1,Database!$F:$F,"Total")</f>
        <v>0</v>
      </c>
      <c r="CD140" s="137">
        <f>SUMIFS(Database!$G:$G,Database!$D:$D,"Export",Database!$E:$E,$B140,Database!$C:$C,CD$1,Database!$F:$F,"Total")</f>
        <v>0</v>
      </c>
      <c r="CE140" s="137">
        <f>SUMIFS(Database!$G:$G,Database!$D:$D,"Export",Database!$E:$E,$B140,Database!$C:$C,CE$1,Database!$F:$F,"Total")</f>
        <v>0</v>
      </c>
      <c r="CF140" s="137">
        <f>SUMIFS(Database!$G:$G,Database!$D:$D,"Export",Database!$E:$E,$B140,Database!$C:$C,CF$1,Database!$F:$F,"Total")</f>
        <v>0</v>
      </c>
      <c r="CG140" s="137">
        <f>SUMIFS(Database!$G:$G,Database!$D:$D,"Export",Database!$E:$E,$B140,Database!$C:$C,CG$1,Database!$F:$F,"Total")</f>
        <v>0</v>
      </c>
      <c r="CH140" s="137">
        <f>SUMIFS(Database!$G:$G,Database!$D:$D,"Export",Database!$E:$E,$B140,Database!$C:$C,CH$1,Database!$F:$F,"Total")</f>
        <v>0</v>
      </c>
      <c r="CI140" s="137">
        <f>SUMIFS(Database!$G:$G,Database!$D:$D,"Export",Database!$E:$E,$B140,Database!$C:$C,CI$1,Database!$F:$F,"Total")</f>
        <v>0</v>
      </c>
      <c r="CJ140" s="137">
        <f>SUMIFS(Database!$G:$G,Database!$D:$D,"Export",Database!$E:$E,$B140,Database!$C:$C,CJ$1,Database!$F:$F,"Total")</f>
        <v>0</v>
      </c>
      <c r="CK140" s="137">
        <f>SUMIFS(Database!$G:$G,Database!$D:$D,"Export",Database!$E:$E,$B140,Database!$C:$C,CK$1,Database!$F:$F,"Total")</f>
        <v>0</v>
      </c>
      <c r="CL140" s="137">
        <f>SUMIFS(Database!$G:$G,Database!$D:$D,"Export",Database!$E:$E,$B140,Database!$C:$C,CL$1,Database!$F:$F,"Total")</f>
        <v>0</v>
      </c>
      <c r="CM140" s="137">
        <f>SUMIFS(Database!$G:$G,Database!$D:$D,"Export",Database!$E:$E,$B140,Database!$C:$C,CM$1,Database!$F:$F,"Total")</f>
        <v>0</v>
      </c>
      <c r="CN140" s="137">
        <f>SUMIFS(Database!$G:$G,Database!$D:$D,"Export",Database!$E:$E,$B140,Database!$C:$C,CN$1,Database!$F:$F,"Total")</f>
        <v>0</v>
      </c>
      <c r="CO140" s="137">
        <f>SUMIFS(Database!$G:$G,Database!$D:$D,"Export",Database!$E:$E,$B140,Database!$C:$C,CO$1,Database!$F:$F,"Total")</f>
        <v>0</v>
      </c>
      <c r="CP140" s="137">
        <f>SUMIFS(Database!$G:$G,Database!$D:$D,"Export",Database!$E:$E,$B140,Database!$C:$C,CP$1,Database!$F:$F,"Total")</f>
        <v>0</v>
      </c>
      <c r="CQ140" s="137">
        <f>SUMIFS(Database!$G:$G,Database!$D:$D,"Export",Database!$E:$E,$B140,Database!$C:$C,CQ$1,Database!$F:$F,"Total")</f>
        <v>0</v>
      </c>
      <c r="CR140" s="137">
        <f>SUMIFS(Database!$G:$G,Database!$D:$D,"Export",Database!$E:$E,$B140,Database!$C:$C,CR$1,Database!$F:$F,"Total")</f>
        <v>0</v>
      </c>
      <c r="CS140" s="137">
        <f>SUMIFS(Database!$G:$G,Database!$D:$D,"Export",Database!$E:$E,$B140,Database!$C:$C,CS$1,Database!$F:$F,"Total")</f>
        <v>0</v>
      </c>
      <c r="CT140" s="137">
        <f>SUMIFS(Database!$G:$G,Database!$D:$D,"Export",Database!$E:$E,$B140,Database!$C:$C,CT$1,Database!$F:$F,"Total")</f>
        <v>0</v>
      </c>
      <c r="CU140" s="137">
        <f>SUMIFS(Database!$G:$G,Database!$D:$D,"Export",Database!$E:$E,$B140,Database!$C:$C,CU$1,Database!$F:$F,"Total")</f>
        <v>0</v>
      </c>
    </row>
    <row r="141" spans="1:99" x14ac:dyDescent="0.25">
      <c r="A141" s="132" t="s">
        <v>485</v>
      </c>
      <c r="B141" s="133" t="s">
        <v>75</v>
      </c>
      <c r="C141" s="137">
        <f>SUMIFS(Database!$G:$G,Database!$D:$D,"Export",Database!$E:$E,$B141,Database!$C:$C,C$1,Database!$F:$F,"Total")</f>
        <v>0</v>
      </c>
      <c r="D141" s="137">
        <f>SUMIFS(Database!$G:$G,Database!$D:$D,"Export",Database!$E:$E,$B141,Database!$C:$C,D$1,Database!$F:$F,"Total")</f>
        <v>0</v>
      </c>
      <c r="E141" s="137">
        <f>SUMIFS(Database!$G:$G,Database!$D:$D,"Export",Database!$E:$E,$B141,Database!$C:$C,E$1,Database!$F:$F,"Total")</f>
        <v>0</v>
      </c>
      <c r="F141" s="137">
        <f>SUMIFS(Database!$G:$G,Database!$D:$D,"Export",Database!$E:$E,$B141,Database!$C:$C,F$1,Database!$F:$F,"Total")</f>
        <v>0</v>
      </c>
      <c r="G141" s="137">
        <f>SUMIFS(Database!$G:$G,Database!$D:$D,"Export",Database!$E:$E,$B141,Database!$C:$C,G$1,Database!$F:$F,"Total")</f>
        <v>0</v>
      </c>
      <c r="H141" s="137">
        <f>SUMIFS(Database!$G:$G,Database!$D:$D,"Export",Database!$E:$E,$B141,Database!$C:$C,H$1,Database!$F:$F,"Total")</f>
        <v>0</v>
      </c>
      <c r="I141" s="137">
        <f>SUMIFS(Database!$G:$G,Database!$D:$D,"Export",Database!$E:$E,$B141,Database!$C:$C,I$1,Database!$F:$F,"Total")</f>
        <v>0</v>
      </c>
      <c r="J141" s="137">
        <f>SUMIFS(Database!$G:$G,Database!$D:$D,"Export",Database!$E:$E,$B141,Database!$C:$C,J$1,Database!$F:$F,"Total")</f>
        <v>0</v>
      </c>
      <c r="K141" s="137">
        <f>SUMIFS(Database!$G:$G,Database!$D:$D,"Export",Database!$E:$E,$B141,Database!$C:$C,K$1,Database!$F:$F,"Total")</f>
        <v>0</v>
      </c>
      <c r="L141" s="137">
        <f>SUMIFS(Database!$G:$G,Database!$D:$D,"Export",Database!$E:$E,$B141,Database!$C:$C,L$1,Database!$F:$F,"Total")</f>
        <v>0</v>
      </c>
      <c r="M141" s="137">
        <f>SUMIFS(Database!$G:$G,Database!$D:$D,"Export",Database!$E:$E,$B141,Database!$C:$C,M$1,Database!$F:$F,"Total")</f>
        <v>0</v>
      </c>
      <c r="N141" s="137">
        <f>SUMIFS(Database!$G:$G,Database!$D:$D,"Export",Database!$E:$E,$B141,Database!$C:$C,N$1,Database!$F:$F,"Total")</f>
        <v>0</v>
      </c>
      <c r="O141" s="137">
        <f>SUMIFS(Database!$G:$G,Database!$D:$D,"Export",Database!$E:$E,$B141,Database!$C:$C,O$1,Database!$F:$F,"Total")</f>
        <v>0</v>
      </c>
      <c r="P141" s="137">
        <f>SUMIFS(Database!$G:$G,Database!$D:$D,"Export",Database!$E:$E,$B141,Database!$C:$C,P$1,Database!$F:$F,"Total")</f>
        <v>0</v>
      </c>
      <c r="Q141" s="137">
        <f>SUMIFS(Database!$G:$G,Database!$D:$D,"Export",Database!$E:$E,$B141,Database!$C:$C,Q$1,Database!$F:$F,"Total")</f>
        <v>0</v>
      </c>
      <c r="R141" s="137">
        <f>SUMIFS(Database!$G:$G,Database!$D:$D,"Export",Database!$E:$E,$B141,Database!$C:$C,R$1,Database!$F:$F,"Total")</f>
        <v>0</v>
      </c>
      <c r="S141" s="137">
        <f>SUMIFS(Database!$G:$G,Database!$D:$D,"Export",Database!$E:$E,$B141,Database!$C:$C,S$1,Database!$F:$F,"Total")</f>
        <v>0</v>
      </c>
      <c r="T141" s="137">
        <f>SUMIFS(Database!$G:$G,Database!$D:$D,"Export",Database!$E:$E,$B141,Database!$C:$C,T$1,Database!$F:$F,"Total")</f>
        <v>0</v>
      </c>
      <c r="U141" s="137">
        <f>SUMIFS(Database!$G:$G,Database!$D:$D,"Export",Database!$E:$E,$B141,Database!$C:$C,U$1,Database!$F:$F,"Total")</f>
        <v>0</v>
      </c>
      <c r="V141" s="137">
        <f>SUMIFS(Database!$G:$G,Database!$D:$D,"Export",Database!$E:$E,$B141,Database!$C:$C,V$1,Database!$F:$F,"Total")</f>
        <v>0</v>
      </c>
      <c r="W141" s="137">
        <f>SUMIFS(Database!$G:$G,Database!$D:$D,"Export",Database!$E:$E,$B141,Database!$C:$C,W$1,Database!$F:$F,"Total")</f>
        <v>0</v>
      </c>
      <c r="X141" s="137">
        <f>SUMIFS(Database!$G:$G,Database!$D:$D,"Export",Database!$E:$E,$B141,Database!$C:$C,X$1,Database!$F:$F,"Total")</f>
        <v>0</v>
      </c>
      <c r="Y141" s="137">
        <f>SUMIFS(Database!$G:$G,Database!$D:$D,"Export",Database!$E:$E,$B141,Database!$C:$C,Y$1,Database!$F:$F,"Total")</f>
        <v>0</v>
      </c>
      <c r="Z141" s="137">
        <f>SUMIFS(Database!$G:$G,Database!$D:$D,"Export",Database!$E:$E,$B141,Database!$C:$C,Z$1,Database!$F:$F,"Total")</f>
        <v>0</v>
      </c>
      <c r="AA141" s="137">
        <f>SUMIFS(Database!$G:$G,Database!$D:$D,"Export",Database!$E:$E,$B141,Database!$C:$C,AA$1,Database!$F:$F,"Total")</f>
        <v>0</v>
      </c>
      <c r="AB141" s="137">
        <f>SUMIFS(Database!$G:$G,Database!$D:$D,"Export",Database!$E:$E,$B141,Database!$C:$C,AB$1,Database!$F:$F,"Total")</f>
        <v>0</v>
      </c>
      <c r="AC141" s="137">
        <f>SUMIFS(Database!$G:$G,Database!$D:$D,"Export",Database!$E:$E,$B141,Database!$C:$C,AC$1,Database!$F:$F,"Total")</f>
        <v>0</v>
      </c>
      <c r="AD141" s="137">
        <f>SUMIFS(Database!$G:$G,Database!$D:$D,"Export",Database!$E:$E,$B141,Database!$C:$C,AD$1,Database!$F:$F,"Total")</f>
        <v>0</v>
      </c>
      <c r="AE141" s="137">
        <f>SUMIFS(Database!$G:$G,Database!$D:$D,"Export",Database!$E:$E,$B141,Database!$C:$C,AE$1,Database!$F:$F,"Total")</f>
        <v>0</v>
      </c>
      <c r="AF141" s="137">
        <f>SUMIFS(Database!$G:$G,Database!$D:$D,"Export",Database!$E:$E,$B141,Database!$C:$C,AF$1,Database!$F:$F,"Total")</f>
        <v>0</v>
      </c>
      <c r="AG141" s="137">
        <f>SUMIFS(Database!$G:$G,Database!$D:$D,"Export",Database!$E:$E,$B141,Database!$C:$C,AG$1,Database!$F:$F,"Total")</f>
        <v>0</v>
      </c>
      <c r="AH141" s="137">
        <f>SUMIFS(Database!$G:$G,Database!$D:$D,"Export",Database!$E:$E,$B141,Database!$C:$C,AH$1,Database!$F:$F,"Total")</f>
        <v>0</v>
      </c>
      <c r="AI141" s="137">
        <f>SUMIFS(Database!$G:$G,Database!$D:$D,"Export",Database!$E:$E,$B141,Database!$C:$C,AI$1,Database!$F:$F,"Total")</f>
        <v>0</v>
      </c>
      <c r="AJ141" s="137">
        <f>SUMIFS(Database!$G:$G,Database!$D:$D,"Export",Database!$E:$E,$B141,Database!$C:$C,AJ$1,Database!$F:$F,"Total")</f>
        <v>14000</v>
      </c>
      <c r="AK141" s="137">
        <f>SUMIFS(Database!$G:$G,Database!$D:$D,"Export",Database!$E:$E,$B141,Database!$C:$C,AK$1,Database!$F:$F,"Total")</f>
        <v>0</v>
      </c>
      <c r="AL141" s="137">
        <f>SUMIFS(Database!$G:$G,Database!$D:$D,"Export",Database!$E:$E,$B141,Database!$C:$C,AL$1,Database!$F:$F,"Total")</f>
        <v>0</v>
      </c>
      <c r="AM141" s="137">
        <f>SUMIFS(Database!$G:$G,Database!$D:$D,"Export",Database!$E:$E,$B141,Database!$C:$C,AM$1,Database!$F:$F,"Total")</f>
        <v>0</v>
      </c>
      <c r="AN141" s="137">
        <f>SUMIFS(Database!$G:$G,Database!$D:$D,"Export",Database!$E:$E,$B141,Database!$C:$C,AN$1,Database!$F:$F,"Total")</f>
        <v>0</v>
      </c>
      <c r="AO141" s="137">
        <f>SUMIFS(Database!$G:$G,Database!$D:$D,"Export",Database!$E:$E,$B141,Database!$C:$C,AO$1,Database!$F:$F,"Total")</f>
        <v>0</v>
      </c>
      <c r="AP141" s="137">
        <f>SUMIFS(Database!$G:$G,Database!$D:$D,"Export",Database!$E:$E,$B141,Database!$C:$C,AP$1,Database!$F:$F,"Total")</f>
        <v>0</v>
      </c>
      <c r="AQ141" s="137">
        <f>SUMIFS(Database!$G:$G,Database!$D:$D,"Export",Database!$E:$E,$B141,Database!$C:$C,AQ$1,Database!$F:$F,"Total")</f>
        <v>0</v>
      </c>
      <c r="AR141" s="137">
        <f>SUMIFS(Database!$G:$G,Database!$D:$D,"Export",Database!$E:$E,$B141,Database!$C:$C,AR$1,Database!$F:$F,"Total")</f>
        <v>0</v>
      </c>
      <c r="AS141" s="137">
        <f>SUMIFS(Database!$G:$G,Database!$D:$D,"Export",Database!$E:$E,$B141,Database!$C:$C,AS$1,Database!$F:$F,"Total")</f>
        <v>0</v>
      </c>
      <c r="AT141" s="137">
        <f>SUMIFS(Database!$G:$G,Database!$D:$D,"Export",Database!$E:$E,$B141,Database!$C:$C,AT$1,Database!$F:$F,"Total")</f>
        <v>0</v>
      </c>
      <c r="AU141" s="137">
        <f>SUMIFS(Database!$G:$G,Database!$D:$D,"Export",Database!$E:$E,$B141,Database!$C:$C,AU$1,Database!$F:$F,"Total")</f>
        <v>0</v>
      </c>
      <c r="AV141" s="137">
        <f>SUMIFS(Database!$G:$G,Database!$D:$D,"Export",Database!$E:$E,$B141,Database!$C:$C,AV$1,Database!$F:$F,"Total")</f>
        <v>0</v>
      </c>
      <c r="AW141" s="137">
        <f>SUMIFS(Database!$G:$G,Database!$D:$D,"Export",Database!$E:$E,$B141,Database!$C:$C,AW$1,Database!$F:$F,"Total")</f>
        <v>0</v>
      </c>
      <c r="AX141" s="137">
        <f>SUMIFS(Database!$G:$G,Database!$D:$D,"Export",Database!$E:$E,$B141,Database!$C:$C,AX$1,Database!$F:$F,"Total")</f>
        <v>0</v>
      </c>
      <c r="AY141" s="137">
        <f>SUMIFS(Database!$G:$G,Database!$D:$D,"Export",Database!$E:$E,$B141,Database!$C:$C,AY$1,Database!$F:$F,"Total")</f>
        <v>0</v>
      </c>
      <c r="AZ141" s="137">
        <f>SUMIFS(Database!$G:$G,Database!$D:$D,"Export",Database!$E:$E,$B141,Database!$C:$C,AZ$1,Database!$F:$F,"Total")</f>
        <v>0</v>
      </c>
      <c r="BA141" s="137">
        <f>SUMIFS(Database!$G:$G,Database!$D:$D,"Export",Database!$E:$E,$B141,Database!$C:$C,BA$1,Database!$F:$F,"Total")</f>
        <v>0</v>
      </c>
      <c r="BB141" s="137">
        <f>SUMIFS(Database!$G:$G,Database!$D:$D,"Export",Database!$E:$E,$B141,Database!$C:$C,BB$1,Database!$F:$F,"Total")</f>
        <v>0</v>
      </c>
      <c r="BC141" s="137">
        <f>SUMIFS(Database!$G:$G,Database!$D:$D,"Export",Database!$E:$E,$B141,Database!$C:$C,BC$1,Database!$F:$F,"Total")</f>
        <v>0</v>
      </c>
      <c r="BD141" s="137">
        <f>SUMIFS(Database!$G:$G,Database!$D:$D,"Export",Database!$E:$E,$B141,Database!$C:$C,BD$1,Database!$F:$F,"Total")</f>
        <v>0</v>
      </c>
      <c r="BE141" s="137">
        <f>SUMIFS(Database!$G:$G,Database!$D:$D,"Export",Database!$E:$E,$B141,Database!$C:$C,BE$1,Database!$F:$F,"Total")</f>
        <v>0</v>
      </c>
      <c r="BF141" s="137">
        <f>SUMIFS(Database!$G:$G,Database!$D:$D,"Export",Database!$E:$E,$B141,Database!$C:$C,BF$1,Database!$F:$F,"Total")</f>
        <v>0</v>
      </c>
      <c r="BG141" s="137">
        <f>SUMIFS(Database!$G:$G,Database!$D:$D,"Export",Database!$E:$E,$B141,Database!$C:$C,BG$1,Database!$F:$F,"Total")</f>
        <v>0</v>
      </c>
      <c r="BH141" s="137">
        <f>SUMIFS(Database!$G:$G,Database!$D:$D,"Export",Database!$E:$E,$B141,Database!$C:$C,BH$1,Database!$F:$F,"Total")</f>
        <v>0</v>
      </c>
      <c r="BI141" s="137">
        <f>SUMIFS(Database!$G:$G,Database!$D:$D,"Export",Database!$E:$E,$B141,Database!$C:$C,BI$1,Database!$F:$F,"Total")</f>
        <v>0</v>
      </c>
      <c r="BJ141" s="137">
        <f>SUMIFS(Database!$G:$G,Database!$D:$D,"Export",Database!$E:$E,$B141,Database!$C:$C,BJ$1,Database!$F:$F,"Total")</f>
        <v>0</v>
      </c>
      <c r="BK141" s="137">
        <f>SUMIFS(Database!$G:$G,Database!$D:$D,"Export",Database!$E:$E,$B141,Database!$C:$C,BK$1,Database!$F:$F,"Total")</f>
        <v>0</v>
      </c>
      <c r="BL141" s="137">
        <f>SUMIFS(Database!$G:$G,Database!$D:$D,"Export",Database!$E:$E,$B141,Database!$C:$C,BL$1,Database!$F:$F,"Total")</f>
        <v>0</v>
      </c>
      <c r="BM141" s="137">
        <f>SUMIFS(Database!$G:$G,Database!$D:$D,"Export",Database!$E:$E,$B141,Database!$C:$C,BM$1,Database!$F:$F,"Total")</f>
        <v>0</v>
      </c>
      <c r="BN141" s="137">
        <f>SUMIFS(Database!$G:$G,Database!$D:$D,"Export",Database!$E:$E,$B141,Database!$C:$C,BN$1,Database!$F:$F,"Total")</f>
        <v>0</v>
      </c>
      <c r="BO141" s="137">
        <f>SUMIFS(Database!$G:$G,Database!$D:$D,"Export",Database!$E:$E,$B141,Database!$C:$C,BO$1,Database!$F:$F,"Total")</f>
        <v>0</v>
      </c>
      <c r="BP141" s="137">
        <f>SUMIFS(Database!$G:$G,Database!$D:$D,"Export",Database!$E:$E,$B141,Database!$C:$C,BP$1,Database!$F:$F,"Total")</f>
        <v>0</v>
      </c>
      <c r="BQ141" s="137">
        <f>SUMIFS(Database!$G:$G,Database!$D:$D,"Export",Database!$E:$E,$B141,Database!$C:$C,BQ$1,Database!$F:$F,"Total")</f>
        <v>0</v>
      </c>
      <c r="BR141" s="137">
        <f>SUMIFS(Database!$G:$G,Database!$D:$D,"Export",Database!$E:$E,$B141,Database!$C:$C,BR$1,Database!$F:$F,"Total")</f>
        <v>0</v>
      </c>
      <c r="BS141" s="137">
        <f>SUMIFS(Database!$G:$G,Database!$D:$D,"Export",Database!$E:$E,$B141,Database!$C:$C,BS$1,Database!$F:$F,"Total")</f>
        <v>0</v>
      </c>
      <c r="BT141" s="137">
        <f>SUMIFS(Database!$G:$G,Database!$D:$D,"Export",Database!$E:$E,$B141,Database!$C:$C,BT$1,Database!$F:$F,"Total")</f>
        <v>0</v>
      </c>
      <c r="BU141" s="137">
        <f>SUMIFS(Database!$G:$G,Database!$D:$D,"Export",Database!$E:$E,$B141,Database!$C:$C,BU$1,Database!$F:$F,"Total")</f>
        <v>0</v>
      </c>
      <c r="BV141" s="137">
        <f>SUMIFS(Database!$G:$G,Database!$D:$D,"Export",Database!$E:$E,$B141,Database!$C:$C,BV$1,Database!$F:$F,"Total")</f>
        <v>0</v>
      </c>
      <c r="BW141" s="137">
        <f>SUMIFS(Database!$G:$G,Database!$D:$D,"Export",Database!$E:$E,$B141,Database!$C:$C,BW$1,Database!$F:$F,"Total")</f>
        <v>0</v>
      </c>
      <c r="BX141" s="137">
        <f>SUMIFS(Database!$G:$G,Database!$D:$D,"Export",Database!$E:$E,$B141,Database!$C:$C,BX$1,Database!$F:$F,"Total")</f>
        <v>0</v>
      </c>
      <c r="BY141" s="137">
        <f>SUMIFS(Database!$G:$G,Database!$D:$D,"Export",Database!$E:$E,$B141,Database!$C:$C,BY$1,Database!$F:$F,"Total")</f>
        <v>0</v>
      </c>
      <c r="BZ141" s="137">
        <f>SUMIFS(Database!$G:$G,Database!$D:$D,"Export",Database!$E:$E,$B141,Database!$C:$C,BZ$1,Database!$F:$F,"Total")</f>
        <v>0</v>
      </c>
      <c r="CA141" s="137">
        <f>SUMIFS(Database!$G:$G,Database!$D:$D,"Export",Database!$E:$E,$B141,Database!$C:$C,CA$1,Database!$F:$F,"Total")</f>
        <v>0</v>
      </c>
      <c r="CB141" s="137">
        <f>SUMIFS(Database!$G:$G,Database!$D:$D,"Export",Database!$E:$E,$B141,Database!$C:$C,CB$1,Database!$F:$F,"Total")</f>
        <v>0</v>
      </c>
      <c r="CC141" s="137">
        <f>SUMIFS(Database!$G:$G,Database!$D:$D,"Export",Database!$E:$E,$B141,Database!$C:$C,CC$1,Database!$F:$F,"Total")</f>
        <v>0</v>
      </c>
      <c r="CD141" s="137">
        <f>SUMIFS(Database!$G:$G,Database!$D:$D,"Export",Database!$E:$E,$B141,Database!$C:$C,CD$1,Database!$F:$F,"Total")</f>
        <v>0</v>
      </c>
      <c r="CE141" s="137">
        <f>SUMIFS(Database!$G:$G,Database!$D:$D,"Export",Database!$E:$E,$B141,Database!$C:$C,CE$1,Database!$F:$F,"Total")</f>
        <v>0</v>
      </c>
      <c r="CF141" s="137">
        <f>SUMIFS(Database!$G:$G,Database!$D:$D,"Export",Database!$E:$E,$B141,Database!$C:$C,CF$1,Database!$F:$F,"Total")</f>
        <v>0</v>
      </c>
      <c r="CG141" s="137">
        <f>SUMIFS(Database!$G:$G,Database!$D:$D,"Export",Database!$E:$E,$B141,Database!$C:$C,CG$1,Database!$F:$F,"Total")</f>
        <v>0</v>
      </c>
      <c r="CH141" s="137">
        <f>SUMIFS(Database!$G:$G,Database!$D:$D,"Export",Database!$E:$E,$B141,Database!$C:$C,CH$1,Database!$F:$F,"Total")</f>
        <v>0</v>
      </c>
      <c r="CI141" s="137">
        <f>SUMIFS(Database!$G:$G,Database!$D:$D,"Export",Database!$E:$E,$B141,Database!$C:$C,CI$1,Database!$F:$F,"Total")</f>
        <v>0</v>
      </c>
      <c r="CJ141" s="137">
        <f>SUMIFS(Database!$G:$G,Database!$D:$D,"Export",Database!$E:$E,$B141,Database!$C:$C,CJ$1,Database!$F:$F,"Total")</f>
        <v>0</v>
      </c>
      <c r="CK141" s="137">
        <f>SUMIFS(Database!$G:$G,Database!$D:$D,"Export",Database!$E:$E,$B141,Database!$C:$C,CK$1,Database!$F:$F,"Total")</f>
        <v>0</v>
      </c>
      <c r="CL141" s="137">
        <f>SUMIFS(Database!$G:$G,Database!$D:$D,"Export",Database!$E:$E,$B141,Database!$C:$C,CL$1,Database!$F:$F,"Total")</f>
        <v>0</v>
      </c>
      <c r="CM141" s="137">
        <f>SUMIFS(Database!$G:$G,Database!$D:$D,"Export",Database!$E:$E,$B141,Database!$C:$C,CM$1,Database!$F:$F,"Total")</f>
        <v>0</v>
      </c>
      <c r="CN141" s="137">
        <f>SUMIFS(Database!$G:$G,Database!$D:$D,"Export",Database!$E:$E,$B141,Database!$C:$C,CN$1,Database!$F:$F,"Total")</f>
        <v>0</v>
      </c>
      <c r="CO141" s="137">
        <f>SUMIFS(Database!$G:$G,Database!$D:$D,"Export",Database!$E:$E,$B141,Database!$C:$C,CO$1,Database!$F:$F,"Total")</f>
        <v>0</v>
      </c>
      <c r="CP141" s="137">
        <f>SUMIFS(Database!$G:$G,Database!$D:$D,"Export",Database!$E:$E,$B141,Database!$C:$C,CP$1,Database!$F:$F,"Total")</f>
        <v>0</v>
      </c>
      <c r="CQ141" s="137">
        <f>SUMIFS(Database!$G:$G,Database!$D:$D,"Export",Database!$E:$E,$B141,Database!$C:$C,CQ$1,Database!$F:$F,"Total")</f>
        <v>0</v>
      </c>
      <c r="CR141" s="137">
        <f>SUMIFS(Database!$G:$G,Database!$D:$D,"Export",Database!$E:$E,$B141,Database!$C:$C,CR$1,Database!$F:$F,"Total")</f>
        <v>0</v>
      </c>
      <c r="CS141" s="137">
        <f>SUMIFS(Database!$G:$G,Database!$D:$D,"Export",Database!$E:$E,$B141,Database!$C:$C,CS$1,Database!$F:$F,"Total")</f>
        <v>0</v>
      </c>
      <c r="CT141" s="137">
        <f>SUMIFS(Database!$G:$G,Database!$D:$D,"Export",Database!$E:$E,$B141,Database!$C:$C,CT$1,Database!$F:$F,"Total")</f>
        <v>0</v>
      </c>
      <c r="CU141" s="137">
        <f>SUMIFS(Database!$G:$G,Database!$D:$D,"Export",Database!$E:$E,$B141,Database!$C:$C,CU$1,Database!$F:$F,"Total")</f>
        <v>0</v>
      </c>
    </row>
    <row r="142" spans="1:99" x14ac:dyDescent="0.25">
      <c r="A142" s="132" t="s">
        <v>485</v>
      </c>
      <c r="B142" s="133" t="s">
        <v>78</v>
      </c>
      <c r="C142" s="137">
        <f>SUMIFS(Database!$G:$G,Database!$D:$D,"Export",Database!$E:$E,$B142,Database!$C:$C,C$1,Database!$F:$F,"Total")</f>
        <v>0</v>
      </c>
      <c r="D142" s="137">
        <f>SUMIFS(Database!$G:$G,Database!$D:$D,"Export",Database!$E:$E,$B142,Database!$C:$C,D$1,Database!$F:$F,"Total")</f>
        <v>0</v>
      </c>
      <c r="E142" s="137">
        <f>SUMIFS(Database!$G:$G,Database!$D:$D,"Export",Database!$E:$E,$B142,Database!$C:$C,E$1,Database!$F:$F,"Total")</f>
        <v>0</v>
      </c>
      <c r="F142" s="137">
        <f>SUMIFS(Database!$G:$G,Database!$D:$D,"Export",Database!$E:$E,$B142,Database!$C:$C,F$1,Database!$F:$F,"Total")</f>
        <v>0</v>
      </c>
      <c r="G142" s="137">
        <f>SUMIFS(Database!$G:$G,Database!$D:$D,"Export",Database!$E:$E,$B142,Database!$C:$C,G$1,Database!$F:$F,"Total")</f>
        <v>0</v>
      </c>
      <c r="H142" s="137">
        <f>SUMIFS(Database!$G:$G,Database!$D:$D,"Export",Database!$E:$E,$B142,Database!$C:$C,H$1,Database!$F:$F,"Total")</f>
        <v>0</v>
      </c>
      <c r="I142" s="137">
        <f>SUMIFS(Database!$G:$G,Database!$D:$D,"Export",Database!$E:$E,$B142,Database!$C:$C,I$1,Database!$F:$F,"Total")</f>
        <v>0</v>
      </c>
      <c r="J142" s="137">
        <f>SUMIFS(Database!$G:$G,Database!$D:$D,"Export",Database!$E:$E,$B142,Database!$C:$C,J$1,Database!$F:$F,"Total")</f>
        <v>0</v>
      </c>
      <c r="K142" s="137">
        <f>SUMIFS(Database!$G:$G,Database!$D:$D,"Export",Database!$E:$E,$B142,Database!$C:$C,K$1,Database!$F:$F,"Total")</f>
        <v>0</v>
      </c>
      <c r="L142" s="137">
        <f>SUMIFS(Database!$G:$G,Database!$D:$D,"Export",Database!$E:$E,$B142,Database!$C:$C,L$1,Database!$F:$F,"Total")</f>
        <v>0</v>
      </c>
      <c r="M142" s="137">
        <f>SUMIFS(Database!$G:$G,Database!$D:$D,"Export",Database!$E:$E,$B142,Database!$C:$C,M$1,Database!$F:$F,"Total")</f>
        <v>0</v>
      </c>
      <c r="N142" s="137">
        <f>SUMIFS(Database!$G:$G,Database!$D:$D,"Export",Database!$E:$E,$B142,Database!$C:$C,N$1,Database!$F:$F,"Total")</f>
        <v>0</v>
      </c>
      <c r="O142" s="137">
        <f>SUMIFS(Database!$G:$G,Database!$D:$D,"Export",Database!$E:$E,$B142,Database!$C:$C,O$1,Database!$F:$F,"Total")</f>
        <v>0</v>
      </c>
      <c r="P142" s="137">
        <f>SUMIFS(Database!$G:$G,Database!$D:$D,"Export",Database!$E:$E,$B142,Database!$C:$C,P$1,Database!$F:$F,"Total")</f>
        <v>0</v>
      </c>
      <c r="Q142" s="137">
        <f>SUMIFS(Database!$G:$G,Database!$D:$D,"Export",Database!$E:$E,$B142,Database!$C:$C,Q$1,Database!$F:$F,"Total")</f>
        <v>0</v>
      </c>
      <c r="R142" s="137">
        <f>SUMIFS(Database!$G:$G,Database!$D:$D,"Export",Database!$E:$E,$B142,Database!$C:$C,R$1,Database!$F:$F,"Total")</f>
        <v>0</v>
      </c>
      <c r="S142" s="137">
        <f>SUMIFS(Database!$G:$G,Database!$D:$D,"Export",Database!$E:$E,$B142,Database!$C:$C,S$1,Database!$F:$F,"Total")</f>
        <v>0</v>
      </c>
      <c r="T142" s="137">
        <f>SUMIFS(Database!$G:$G,Database!$D:$D,"Export",Database!$E:$E,$B142,Database!$C:$C,T$1,Database!$F:$F,"Total")</f>
        <v>0</v>
      </c>
      <c r="U142" s="137">
        <f>SUMIFS(Database!$G:$G,Database!$D:$D,"Export",Database!$E:$E,$B142,Database!$C:$C,U$1,Database!$F:$F,"Total")</f>
        <v>0</v>
      </c>
      <c r="V142" s="137">
        <f>SUMIFS(Database!$G:$G,Database!$D:$D,"Export",Database!$E:$E,$B142,Database!$C:$C,V$1,Database!$F:$F,"Total")</f>
        <v>0</v>
      </c>
      <c r="W142" s="137">
        <f>SUMIFS(Database!$G:$G,Database!$D:$D,"Export",Database!$E:$E,$B142,Database!$C:$C,W$1,Database!$F:$F,"Total")</f>
        <v>0</v>
      </c>
      <c r="X142" s="137">
        <f>SUMIFS(Database!$G:$G,Database!$D:$D,"Export",Database!$E:$E,$B142,Database!$C:$C,X$1,Database!$F:$F,"Total")</f>
        <v>0</v>
      </c>
      <c r="Y142" s="137">
        <f>SUMIFS(Database!$G:$G,Database!$D:$D,"Export",Database!$E:$E,$B142,Database!$C:$C,Y$1,Database!$F:$F,"Total")</f>
        <v>0</v>
      </c>
      <c r="Z142" s="137">
        <f>SUMIFS(Database!$G:$G,Database!$D:$D,"Export",Database!$E:$E,$B142,Database!$C:$C,Z$1,Database!$F:$F,"Total")</f>
        <v>0</v>
      </c>
      <c r="AA142" s="137">
        <f>SUMIFS(Database!$G:$G,Database!$D:$D,"Export",Database!$E:$E,$B142,Database!$C:$C,AA$1,Database!$F:$F,"Total")</f>
        <v>0</v>
      </c>
      <c r="AB142" s="137">
        <f>SUMIFS(Database!$G:$G,Database!$D:$D,"Export",Database!$E:$E,$B142,Database!$C:$C,AB$1,Database!$F:$F,"Total")</f>
        <v>0</v>
      </c>
      <c r="AC142" s="137">
        <f>SUMIFS(Database!$G:$G,Database!$D:$D,"Export",Database!$E:$E,$B142,Database!$C:$C,AC$1,Database!$F:$F,"Total")</f>
        <v>0</v>
      </c>
      <c r="AD142" s="137">
        <f>SUMIFS(Database!$G:$G,Database!$D:$D,"Export",Database!$E:$E,$B142,Database!$C:$C,AD$1,Database!$F:$F,"Total")</f>
        <v>0</v>
      </c>
      <c r="AE142" s="137">
        <f>SUMIFS(Database!$G:$G,Database!$D:$D,"Export",Database!$E:$E,$B142,Database!$C:$C,AE$1,Database!$F:$F,"Total")</f>
        <v>0</v>
      </c>
      <c r="AF142" s="137">
        <f>SUMIFS(Database!$G:$G,Database!$D:$D,"Export",Database!$E:$E,$B142,Database!$C:$C,AF$1,Database!$F:$F,"Total")</f>
        <v>0</v>
      </c>
      <c r="AG142" s="137">
        <f>SUMIFS(Database!$G:$G,Database!$D:$D,"Export",Database!$E:$E,$B142,Database!$C:$C,AG$1,Database!$F:$F,"Total")</f>
        <v>0</v>
      </c>
      <c r="AH142" s="137">
        <f>SUMIFS(Database!$G:$G,Database!$D:$D,"Export",Database!$E:$E,$B142,Database!$C:$C,AH$1,Database!$F:$F,"Total")</f>
        <v>0</v>
      </c>
      <c r="AI142" s="137">
        <f>SUMIFS(Database!$G:$G,Database!$D:$D,"Export",Database!$E:$E,$B142,Database!$C:$C,AI$1,Database!$F:$F,"Total")</f>
        <v>0</v>
      </c>
      <c r="AJ142" s="137">
        <f>SUMIFS(Database!$G:$G,Database!$D:$D,"Export",Database!$E:$E,$B142,Database!$C:$C,AJ$1,Database!$F:$F,"Total")</f>
        <v>0</v>
      </c>
      <c r="AK142" s="137">
        <f>SUMIFS(Database!$G:$G,Database!$D:$D,"Export",Database!$E:$E,$B142,Database!$C:$C,AK$1,Database!$F:$F,"Total")</f>
        <v>0</v>
      </c>
      <c r="AL142" s="137">
        <f>SUMIFS(Database!$G:$G,Database!$D:$D,"Export",Database!$E:$E,$B142,Database!$C:$C,AL$1,Database!$F:$F,"Total")</f>
        <v>0</v>
      </c>
      <c r="AM142" s="137">
        <f>SUMIFS(Database!$G:$G,Database!$D:$D,"Export",Database!$E:$E,$B142,Database!$C:$C,AM$1,Database!$F:$F,"Total")</f>
        <v>0</v>
      </c>
      <c r="AN142" s="137">
        <f>SUMIFS(Database!$G:$G,Database!$D:$D,"Export",Database!$E:$E,$B142,Database!$C:$C,AN$1,Database!$F:$F,"Total")</f>
        <v>0</v>
      </c>
      <c r="AO142" s="137">
        <f>SUMIFS(Database!$G:$G,Database!$D:$D,"Export",Database!$E:$E,$B142,Database!$C:$C,AO$1,Database!$F:$F,"Total")</f>
        <v>0</v>
      </c>
      <c r="AP142" s="137">
        <f>SUMIFS(Database!$G:$G,Database!$D:$D,"Export",Database!$E:$E,$B142,Database!$C:$C,AP$1,Database!$F:$F,"Total")</f>
        <v>0</v>
      </c>
      <c r="AQ142" s="137">
        <f>SUMIFS(Database!$G:$G,Database!$D:$D,"Export",Database!$E:$E,$B142,Database!$C:$C,AQ$1,Database!$F:$F,"Total")</f>
        <v>0</v>
      </c>
      <c r="AR142" s="137">
        <f>SUMIFS(Database!$G:$G,Database!$D:$D,"Export",Database!$E:$E,$B142,Database!$C:$C,AR$1,Database!$F:$F,"Total")</f>
        <v>0</v>
      </c>
      <c r="AS142" s="137">
        <f>SUMIFS(Database!$G:$G,Database!$D:$D,"Export",Database!$E:$E,$B142,Database!$C:$C,AS$1,Database!$F:$F,"Total")</f>
        <v>0</v>
      </c>
      <c r="AT142" s="137">
        <f>SUMIFS(Database!$G:$G,Database!$D:$D,"Export",Database!$E:$E,$B142,Database!$C:$C,AT$1,Database!$F:$F,"Total")</f>
        <v>0</v>
      </c>
      <c r="AU142" s="137">
        <f>SUMIFS(Database!$G:$G,Database!$D:$D,"Export",Database!$E:$E,$B142,Database!$C:$C,AU$1,Database!$F:$F,"Total")</f>
        <v>0</v>
      </c>
      <c r="AV142" s="137">
        <f>SUMIFS(Database!$G:$G,Database!$D:$D,"Export",Database!$E:$E,$B142,Database!$C:$C,AV$1,Database!$F:$F,"Total")</f>
        <v>0</v>
      </c>
      <c r="AW142" s="137">
        <f>SUMIFS(Database!$G:$G,Database!$D:$D,"Export",Database!$E:$E,$B142,Database!$C:$C,AW$1,Database!$F:$F,"Total")</f>
        <v>0</v>
      </c>
      <c r="AX142" s="137">
        <f>SUMIFS(Database!$G:$G,Database!$D:$D,"Export",Database!$E:$E,$B142,Database!$C:$C,AX$1,Database!$F:$F,"Total")</f>
        <v>0</v>
      </c>
      <c r="AY142" s="137">
        <f>SUMIFS(Database!$G:$G,Database!$D:$D,"Export",Database!$E:$E,$B142,Database!$C:$C,AY$1,Database!$F:$F,"Total")</f>
        <v>0</v>
      </c>
      <c r="AZ142" s="137">
        <f>SUMIFS(Database!$G:$G,Database!$D:$D,"Export",Database!$E:$E,$B142,Database!$C:$C,AZ$1,Database!$F:$F,"Total")</f>
        <v>0</v>
      </c>
      <c r="BA142" s="137">
        <f>SUMIFS(Database!$G:$G,Database!$D:$D,"Export",Database!$E:$E,$B142,Database!$C:$C,BA$1,Database!$F:$F,"Total")</f>
        <v>0</v>
      </c>
      <c r="BB142" s="137">
        <f>SUMIFS(Database!$G:$G,Database!$D:$D,"Export",Database!$E:$E,$B142,Database!$C:$C,BB$1,Database!$F:$F,"Total")</f>
        <v>0</v>
      </c>
      <c r="BC142" s="137">
        <f>SUMIFS(Database!$G:$G,Database!$D:$D,"Export",Database!$E:$E,$B142,Database!$C:$C,BC$1,Database!$F:$F,"Total")</f>
        <v>0</v>
      </c>
      <c r="BD142" s="137">
        <f>SUMIFS(Database!$G:$G,Database!$D:$D,"Export",Database!$E:$E,$B142,Database!$C:$C,BD$1,Database!$F:$F,"Total")</f>
        <v>0</v>
      </c>
      <c r="BE142" s="137">
        <f>SUMIFS(Database!$G:$G,Database!$D:$D,"Export",Database!$E:$E,$B142,Database!$C:$C,BE$1,Database!$F:$F,"Total")</f>
        <v>0</v>
      </c>
      <c r="BF142" s="137">
        <f>SUMIFS(Database!$G:$G,Database!$D:$D,"Export",Database!$E:$E,$B142,Database!$C:$C,BF$1,Database!$F:$F,"Total")</f>
        <v>0</v>
      </c>
      <c r="BG142" s="137">
        <f>SUMIFS(Database!$G:$G,Database!$D:$D,"Export",Database!$E:$E,$B142,Database!$C:$C,BG$1,Database!$F:$F,"Total")</f>
        <v>0</v>
      </c>
      <c r="BH142" s="137">
        <f>SUMIFS(Database!$G:$G,Database!$D:$D,"Export",Database!$E:$E,$B142,Database!$C:$C,BH$1,Database!$F:$F,"Total")</f>
        <v>0</v>
      </c>
      <c r="BI142" s="137">
        <f>SUMIFS(Database!$G:$G,Database!$D:$D,"Export",Database!$E:$E,$B142,Database!$C:$C,BI$1,Database!$F:$F,"Total")</f>
        <v>0</v>
      </c>
      <c r="BJ142" s="137">
        <f>SUMIFS(Database!$G:$G,Database!$D:$D,"Export",Database!$E:$E,$B142,Database!$C:$C,BJ$1,Database!$F:$F,"Total")</f>
        <v>0</v>
      </c>
      <c r="BK142" s="137">
        <f>SUMIFS(Database!$G:$G,Database!$D:$D,"Export",Database!$E:$E,$B142,Database!$C:$C,BK$1,Database!$F:$F,"Total")</f>
        <v>0</v>
      </c>
      <c r="BL142" s="137">
        <f>SUMIFS(Database!$G:$G,Database!$D:$D,"Export",Database!$E:$E,$B142,Database!$C:$C,BL$1,Database!$F:$F,"Total")</f>
        <v>0</v>
      </c>
      <c r="BM142" s="137">
        <f>SUMIFS(Database!$G:$G,Database!$D:$D,"Export",Database!$E:$E,$B142,Database!$C:$C,BM$1,Database!$F:$F,"Total")</f>
        <v>0</v>
      </c>
      <c r="BN142" s="137">
        <f>SUMIFS(Database!$G:$G,Database!$D:$D,"Export",Database!$E:$E,$B142,Database!$C:$C,BN$1,Database!$F:$F,"Total")</f>
        <v>0</v>
      </c>
      <c r="BO142" s="137">
        <f>SUMIFS(Database!$G:$G,Database!$D:$D,"Export",Database!$E:$E,$B142,Database!$C:$C,BO$1,Database!$F:$F,"Total")</f>
        <v>0</v>
      </c>
      <c r="BP142" s="137">
        <f>SUMIFS(Database!$G:$G,Database!$D:$D,"Export",Database!$E:$E,$B142,Database!$C:$C,BP$1,Database!$F:$F,"Total")</f>
        <v>807</v>
      </c>
      <c r="BQ142" s="137">
        <f>SUMIFS(Database!$G:$G,Database!$D:$D,"Export",Database!$E:$E,$B142,Database!$C:$C,BQ$1,Database!$F:$F,"Total")</f>
        <v>1638</v>
      </c>
      <c r="BR142" s="137">
        <f>SUMIFS(Database!$G:$G,Database!$D:$D,"Export",Database!$E:$E,$B142,Database!$C:$C,BR$1,Database!$F:$F,"Total")</f>
        <v>5137</v>
      </c>
      <c r="BS142" s="137">
        <f>SUMIFS(Database!$G:$G,Database!$D:$D,"Export",Database!$E:$E,$B142,Database!$C:$C,BS$1,Database!$F:$F,"Total")</f>
        <v>2585</v>
      </c>
      <c r="BT142" s="137">
        <f>SUMIFS(Database!$G:$G,Database!$D:$D,"Export",Database!$E:$E,$B142,Database!$C:$C,BT$1,Database!$F:$F,"Total")</f>
        <v>1109</v>
      </c>
      <c r="BU142" s="137">
        <f>SUMIFS(Database!$G:$G,Database!$D:$D,"Export",Database!$E:$E,$B142,Database!$C:$C,BU$1,Database!$F:$F,"Total")</f>
        <v>2950</v>
      </c>
      <c r="BV142" s="137">
        <f>SUMIFS(Database!$G:$G,Database!$D:$D,"Export",Database!$E:$E,$B142,Database!$C:$C,BV$1,Database!$F:$F,"Total")</f>
        <v>0</v>
      </c>
      <c r="BW142" s="137">
        <f>SUMIFS(Database!$G:$G,Database!$D:$D,"Export",Database!$E:$E,$B142,Database!$C:$C,BW$1,Database!$F:$F,"Total")</f>
        <v>0</v>
      </c>
      <c r="BX142" s="137">
        <f>SUMIFS(Database!$G:$G,Database!$D:$D,"Export",Database!$E:$E,$B142,Database!$C:$C,BX$1,Database!$F:$F,"Total")</f>
        <v>0</v>
      </c>
      <c r="BY142" s="137">
        <f>SUMIFS(Database!$G:$G,Database!$D:$D,"Export",Database!$E:$E,$B142,Database!$C:$C,BY$1,Database!$F:$F,"Total")</f>
        <v>0</v>
      </c>
      <c r="BZ142" s="137">
        <f>SUMIFS(Database!$G:$G,Database!$D:$D,"Export",Database!$E:$E,$B142,Database!$C:$C,BZ$1,Database!$F:$F,"Total")</f>
        <v>0</v>
      </c>
      <c r="CA142" s="137">
        <f>SUMIFS(Database!$G:$G,Database!$D:$D,"Export",Database!$E:$E,$B142,Database!$C:$C,CA$1,Database!$F:$F,"Total")</f>
        <v>0</v>
      </c>
      <c r="CB142" s="137">
        <f>SUMIFS(Database!$G:$G,Database!$D:$D,"Export",Database!$E:$E,$B142,Database!$C:$C,CB$1,Database!$F:$F,"Total")</f>
        <v>0</v>
      </c>
      <c r="CC142" s="137">
        <f>SUMIFS(Database!$G:$G,Database!$D:$D,"Export",Database!$E:$E,$B142,Database!$C:$C,CC$1,Database!$F:$F,"Total")</f>
        <v>0</v>
      </c>
      <c r="CD142" s="137">
        <f>SUMIFS(Database!$G:$G,Database!$D:$D,"Export",Database!$E:$E,$B142,Database!$C:$C,CD$1,Database!$F:$F,"Total")</f>
        <v>0</v>
      </c>
      <c r="CE142" s="137">
        <f>SUMIFS(Database!$G:$G,Database!$D:$D,"Export",Database!$E:$E,$B142,Database!$C:$C,CE$1,Database!$F:$F,"Total")</f>
        <v>0</v>
      </c>
      <c r="CF142" s="137">
        <f>SUMIFS(Database!$G:$G,Database!$D:$D,"Export",Database!$E:$E,$B142,Database!$C:$C,CF$1,Database!$F:$F,"Total")</f>
        <v>0</v>
      </c>
      <c r="CG142" s="137">
        <f>SUMIFS(Database!$G:$G,Database!$D:$D,"Export",Database!$E:$E,$B142,Database!$C:$C,CG$1,Database!$F:$F,"Total")</f>
        <v>0</v>
      </c>
      <c r="CH142" s="137">
        <f>SUMIFS(Database!$G:$G,Database!$D:$D,"Export",Database!$E:$E,$B142,Database!$C:$C,CH$1,Database!$F:$F,"Total")</f>
        <v>0</v>
      </c>
      <c r="CI142" s="137">
        <f>SUMIFS(Database!$G:$G,Database!$D:$D,"Export",Database!$E:$E,$B142,Database!$C:$C,CI$1,Database!$F:$F,"Total")</f>
        <v>0</v>
      </c>
      <c r="CJ142" s="137">
        <f>SUMIFS(Database!$G:$G,Database!$D:$D,"Export",Database!$E:$E,$B142,Database!$C:$C,CJ$1,Database!$F:$F,"Total")</f>
        <v>0</v>
      </c>
      <c r="CK142" s="137">
        <f>SUMIFS(Database!$G:$G,Database!$D:$D,"Export",Database!$E:$E,$B142,Database!$C:$C,CK$1,Database!$F:$F,"Total")</f>
        <v>0</v>
      </c>
      <c r="CL142" s="137">
        <f>SUMIFS(Database!$G:$G,Database!$D:$D,"Export",Database!$E:$E,$B142,Database!$C:$C,CL$1,Database!$F:$F,"Total")</f>
        <v>0</v>
      </c>
      <c r="CM142" s="137">
        <f>SUMIFS(Database!$G:$G,Database!$D:$D,"Export",Database!$E:$E,$B142,Database!$C:$C,CM$1,Database!$F:$F,"Total")</f>
        <v>0</v>
      </c>
      <c r="CN142" s="137">
        <f>SUMIFS(Database!$G:$G,Database!$D:$D,"Export",Database!$E:$E,$B142,Database!$C:$C,CN$1,Database!$F:$F,"Total")</f>
        <v>0</v>
      </c>
      <c r="CO142" s="137">
        <f>SUMIFS(Database!$G:$G,Database!$D:$D,"Export",Database!$E:$E,$B142,Database!$C:$C,CO$1,Database!$F:$F,"Total")</f>
        <v>0</v>
      </c>
      <c r="CP142" s="137">
        <f>SUMIFS(Database!$G:$G,Database!$D:$D,"Export",Database!$E:$E,$B142,Database!$C:$C,CP$1,Database!$F:$F,"Total")</f>
        <v>0</v>
      </c>
      <c r="CQ142" s="137">
        <f>SUMIFS(Database!$G:$G,Database!$D:$D,"Export",Database!$E:$E,$B142,Database!$C:$C,CQ$1,Database!$F:$F,"Total")</f>
        <v>0</v>
      </c>
      <c r="CR142" s="137">
        <f>SUMIFS(Database!$G:$G,Database!$D:$D,"Export",Database!$E:$E,$B142,Database!$C:$C,CR$1,Database!$F:$F,"Total")</f>
        <v>0</v>
      </c>
      <c r="CS142" s="137">
        <f>SUMIFS(Database!$G:$G,Database!$D:$D,"Export",Database!$E:$E,$B142,Database!$C:$C,CS$1,Database!$F:$F,"Total")</f>
        <v>0</v>
      </c>
      <c r="CT142" s="137">
        <f>SUMIFS(Database!$G:$G,Database!$D:$D,"Export",Database!$E:$E,$B142,Database!$C:$C,CT$1,Database!$F:$F,"Total")</f>
        <v>0</v>
      </c>
      <c r="CU142" s="137">
        <f>SUMIFS(Database!$G:$G,Database!$D:$D,"Export",Database!$E:$E,$B142,Database!$C:$C,CU$1,Database!$F:$F,"Total")</f>
        <v>0</v>
      </c>
    </row>
    <row r="143" spans="1:99" x14ac:dyDescent="0.25">
      <c r="A143" s="132" t="s">
        <v>485</v>
      </c>
      <c r="B143" s="133" t="s">
        <v>138</v>
      </c>
      <c r="C143" s="137">
        <f>SUMIFS(Database!$G:$G,Database!$D:$D,"Export",Database!$E:$E,$B143,Database!$C:$C,C$1,Database!$F:$F,"Total")</f>
        <v>0</v>
      </c>
      <c r="D143" s="137">
        <f>SUMIFS(Database!$G:$G,Database!$D:$D,"Export",Database!$E:$E,$B143,Database!$C:$C,D$1,Database!$F:$F,"Total")</f>
        <v>0</v>
      </c>
      <c r="E143" s="137">
        <f>SUMIFS(Database!$G:$G,Database!$D:$D,"Export",Database!$E:$E,$B143,Database!$C:$C,E$1,Database!$F:$F,"Total")</f>
        <v>0</v>
      </c>
      <c r="F143" s="137">
        <f>SUMIFS(Database!$G:$G,Database!$D:$D,"Export",Database!$E:$E,$B143,Database!$C:$C,F$1,Database!$F:$F,"Total")</f>
        <v>0</v>
      </c>
      <c r="G143" s="137">
        <f>SUMIFS(Database!$G:$G,Database!$D:$D,"Export",Database!$E:$E,$B143,Database!$C:$C,G$1,Database!$F:$F,"Total")</f>
        <v>0</v>
      </c>
      <c r="H143" s="137">
        <f>SUMIFS(Database!$G:$G,Database!$D:$D,"Export",Database!$E:$E,$B143,Database!$C:$C,H$1,Database!$F:$F,"Total")</f>
        <v>0</v>
      </c>
      <c r="I143" s="137">
        <f>SUMIFS(Database!$G:$G,Database!$D:$D,"Export",Database!$E:$E,$B143,Database!$C:$C,I$1,Database!$F:$F,"Total")</f>
        <v>0</v>
      </c>
      <c r="J143" s="137">
        <f>SUMIFS(Database!$G:$G,Database!$D:$D,"Export",Database!$E:$E,$B143,Database!$C:$C,J$1,Database!$F:$F,"Total")</f>
        <v>0</v>
      </c>
      <c r="K143" s="137">
        <f>SUMIFS(Database!$G:$G,Database!$D:$D,"Export",Database!$E:$E,$B143,Database!$C:$C,K$1,Database!$F:$F,"Total")</f>
        <v>0</v>
      </c>
      <c r="L143" s="137">
        <f>SUMIFS(Database!$G:$G,Database!$D:$D,"Export",Database!$E:$E,$B143,Database!$C:$C,L$1,Database!$F:$F,"Total")</f>
        <v>0</v>
      </c>
      <c r="M143" s="137">
        <f>SUMIFS(Database!$G:$G,Database!$D:$D,"Export",Database!$E:$E,$B143,Database!$C:$C,M$1,Database!$F:$F,"Total")</f>
        <v>0</v>
      </c>
      <c r="N143" s="137">
        <f>SUMIFS(Database!$G:$G,Database!$D:$D,"Export",Database!$E:$E,$B143,Database!$C:$C,N$1,Database!$F:$F,"Total")</f>
        <v>0</v>
      </c>
      <c r="O143" s="137">
        <f>SUMIFS(Database!$G:$G,Database!$D:$D,"Export",Database!$E:$E,$B143,Database!$C:$C,O$1,Database!$F:$F,"Total")</f>
        <v>0</v>
      </c>
      <c r="P143" s="137">
        <f>SUMIFS(Database!$G:$G,Database!$D:$D,"Export",Database!$E:$E,$B143,Database!$C:$C,P$1,Database!$F:$F,"Total")</f>
        <v>0</v>
      </c>
      <c r="Q143" s="137">
        <f>SUMIFS(Database!$G:$G,Database!$D:$D,"Export",Database!$E:$E,$B143,Database!$C:$C,Q$1,Database!$F:$F,"Total")</f>
        <v>0</v>
      </c>
      <c r="R143" s="137">
        <f>SUMIFS(Database!$G:$G,Database!$D:$D,"Export",Database!$E:$E,$B143,Database!$C:$C,R$1,Database!$F:$F,"Total")</f>
        <v>0</v>
      </c>
      <c r="S143" s="137">
        <f>SUMIFS(Database!$G:$G,Database!$D:$D,"Export",Database!$E:$E,$B143,Database!$C:$C,S$1,Database!$F:$F,"Total")</f>
        <v>0</v>
      </c>
      <c r="T143" s="137">
        <f>SUMIFS(Database!$G:$G,Database!$D:$D,"Export",Database!$E:$E,$B143,Database!$C:$C,T$1,Database!$F:$F,"Total")</f>
        <v>0</v>
      </c>
      <c r="U143" s="137">
        <f>SUMIFS(Database!$G:$G,Database!$D:$D,"Export",Database!$E:$E,$B143,Database!$C:$C,U$1,Database!$F:$F,"Total")</f>
        <v>0</v>
      </c>
      <c r="V143" s="137">
        <f>SUMIFS(Database!$G:$G,Database!$D:$D,"Export",Database!$E:$E,$B143,Database!$C:$C,V$1,Database!$F:$F,"Total")</f>
        <v>0</v>
      </c>
      <c r="W143" s="137">
        <f>SUMIFS(Database!$G:$G,Database!$D:$D,"Export",Database!$E:$E,$B143,Database!$C:$C,W$1,Database!$F:$F,"Total")</f>
        <v>0</v>
      </c>
      <c r="X143" s="137">
        <f>SUMIFS(Database!$G:$G,Database!$D:$D,"Export",Database!$E:$E,$B143,Database!$C:$C,X$1,Database!$F:$F,"Total")</f>
        <v>0</v>
      </c>
      <c r="Y143" s="137">
        <f>SUMIFS(Database!$G:$G,Database!$D:$D,"Export",Database!$E:$E,$B143,Database!$C:$C,Y$1,Database!$F:$F,"Total")</f>
        <v>0</v>
      </c>
      <c r="Z143" s="137">
        <f>SUMIFS(Database!$G:$G,Database!$D:$D,"Export",Database!$E:$E,$B143,Database!$C:$C,Z$1,Database!$F:$F,"Total")</f>
        <v>0</v>
      </c>
      <c r="AA143" s="137">
        <f>SUMIFS(Database!$G:$G,Database!$D:$D,"Export",Database!$E:$E,$B143,Database!$C:$C,AA$1,Database!$F:$F,"Total")</f>
        <v>0</v>
      </c>
      <c r="AB143" s="137">
        <f>SUMIFS(Database!$G:$G,Database!$D:$D,"Export",Database!$E:$E,$B143,Database!$C:$C,AB$1,Database!$F:$F,"Total")</f>
        <v>0</v>
      </c>
      <c r="AC143" s="137">
        <f>SUMIFS(Database!$G:$G,Database!$D:$D,"Export",Database!$E:$E,$B143,Database!$C:$C,AC$1,Database!$F:$F,"Total")</f>
        <v>0</v>
      </c>
      <c r="AD143" s="137">
        <f>SUMIFS(Database!$G:$G,Database!$D:$D,"Export",Database!$E:$E,$B143,Database!$C:$C,AD$1,Database!$F:$F,"Total")</f>
        <v>0</v>
      </c>
      <c r="AE143" s="137">
        <f>SUMIFS(Database!$G:$G,Database!$D:$D,"Export",Database!$E:$E,$B143,Database!$C:$C,AE$1,Database!$F:$F,"Total")</f>
        <v>0</v>
      </c>
      <c r="AF143" s="137">
        <f>SUMIFS(Database!$G:$G,Database!$D:$D,"Export",Database!$E:$E,$B143,Database!$C:$C,AF$1,Database!$F:$F,"Total")</f>
        <v>0</v>
      </c>
      <c r="AG143" s="137">
        <f>SUMIFS(Database!$G:$G,Database!$D:$D,"Export",Database!$E:$E,$B143,Database!$C:$C,AG$1,Database!$F:$F,"Total")</f>
        <v>0</v>
      </c>
      <c r="AH143" s="137">
        <f>SUMIFS(Database!$G:$G,Database!$D:$D,"Export",Database!$E:$E,$B143,Database!$C:$C,AH$1,Database!$F:$F,"Total")</f>
        <v>0</v>
      </c>
      <c r="AI143" s="137">
        <f>SUMIFS(Database!$G:$G,Database!$D:$D,"Export",Database!$E:$E,$B143,Database!$C:$C,AI$1,Database!$F:$F,"Total")</f>
        <v>0</v>
      </c>
      <c r="AJ143" s="137">
        <f>SUMIFS(Database!$G:$G,Database!$D:$D,"Export",Database!$E:$E,$B143,Database!$C:$C,AJ$1,Database!$F:$F,"Total")</f>
        <v>0</v>
      </c>
      <c r="AK143" s="137">
        <f>SUMIFS(Database!$G:$G,Database!$D:$D,"Export",Database!$E:$E,$B143,Database!$C:$C,AK$1,Database!$F:$F,"Total")</f>
        <v>0</v>
      </c>
      <c r="AL143" s="137">
        <f>SUMIFS(Database!$G:$G,Database!$D:$D,"Export",Database!$E:$E,$B143,Database!$C:$C,AL$1,Database!$F:$F,"Total")</f>
        <v>0</v>
      </c>
      <c r="AM143" s="137">
        <f>SUMIFS(Database!$G:$G,Database!$D:$D,"Export",Database!$E:$E,$B143,Database!$C:$C,AM$1,Database!$F:$F,"Total")</f>
        <v>0</v>
      </c>
      <c r="AN143" s="137">
        <f>SUMIFS(Database!$G:$G,Database!$D:$D,"Export",Database!$E:$E,$B143,Database!$C:$C,AN$1,Database!$F:$F,"Total")</f>
        <v>0</v>
      </c>
      <c r="AO143" s="137">
        <f>SUMIFS(Database!$G:$G,Database!$D:$D,"Export",Database!$E:$E,$B143,Database!$C:$C,AO$1,Database!$F:$F,"Total")</f>
        <v>0</v>
      </c>
      <c r="AP143" s="137">
        <f>SUMIFS(Database!$G:$G,Database!$D:$D,"Export",Database!$E:$E,$B143,Database!$C:$C,AP$1,Database!$F:$F,"Total")</f>
        <v>0</v>
      </c>
      <c r="AQ143" s="137">
        <f>SUMIFS(Database!$G:$G,Database!$D:$D,"Export",Database!$E:$E,$B143,Database!$C:$C,AQ$1,Database!$F:$F,"Total")</f>
        <v>0</v>
      </c>
      <c r="AR143" s="137">
        <f>SUMIFS(Database!$G:$G,Database!$D:$D,"Export",Database!$E:$E,$B143,Database!$C:$C,AR$1,Database!$F:$F,"Total")</f>
        <v>0</v>
      </c>
      <c r="AS143" s="137">
        <f>SUMIFS(Database!$G:$G,Database!$D:$D,"Export",Database!$E:$E,$B143,Database!$C:$C,AS$1,Database!$F:$F,"Total")</f>
        <v>0</v>
      </c>
      <c r="AT143" s="137">
        <f>SUMIFS(Database!$G:$G,Database!$D:$D,"Export",Database!$E:$E,$B143,Database!$C:$C,AT$1,Database!$F:$F,"Total")</f>
        <v>0</v>
      </c>
      <c r="AU143" s="137">
        <f>SUMIFS(Database!$G:$G,Database!$D:$D,"Export",Database!$E:$E,$B143,Database!$C:$C,AU$1,Database!$F:$F,"Total")</f>
        <v>0</v>
      </c>
      <c r="AV143" s="137">
        <f>SUMIFS(Database!$G:$G,Database!$D:$D,"Export",Database!$E:$E,$B143,Database!$C:$C,AV$1,Database!$F:$F,"Total")</f>
        <v>0</v>
      </c>
      <c r="AW143" s="137">
        <f>SUMIFS(Database!$G:$G,Database!$D:$D,"Export",Database!$E:$E,$B143,Database!$C:$C,AW$1,Database!$F:$F,"Total")</f>
        <v>0</v>
      </c>
      <c r="AX143" s="137">
        <f>SUMIFS(Database!$G:$G,Database!$D:$D,"Export",Database!$E:$E,$B143,Database!$C:$C,AX$1,Database!$F:$F,"Total")</f>
        <v>0</v>
      </c>
      <c r="AY143" s="137">
        <f>SUMIFS(Database!$G:$G,Database!$D:$D,"Export",Database!$E:$E,$B143,Database!$C:$C,AY$1,Database!$F:$F,"Total")</f>
        <v>0</v>
      </c>
      <c r="AZ143" s="137">
        <f>SUMIFS(Database!$G:$G,Database!$D:$D,"Export",Database!$E:$E,$B143,Database!$C:$C,AZ$1,Database!$F:$F,"Total")</f>
        <v>0</v>
      </c>
      <c r="BA143" s="137">
        <f>SUMIFS(Database!$G:$G,Database!$D:$D,"Export",Database!$E:$E,$B143,Database!$C:$C,BA$1,Database!$F:$F,"Total")</f>
        <v>0</v>
      </c>
      <c r="BB143" s="137">
        <f>SUMIFS(Database!$G:$G,Database!$D:$D,"Export",Database!$E:$E,$B143,Database!$C:$C,BB$1,Database!$F:$F,"Total")</f>
        <v>0</v>
      </c>
      <c r="BC143" s="137">
        <f>SUMIFS(Database!$G:$G,Database!$D:$D,"Export",Database!$E:$E,$B143,Database!$C:$C,BC$1,Database!$F:$F,"Total")</f>
        <v>0</v>
      </c>
      <c r="BD143" s="137">
        <f>SUMIFS(Database!$G:$G,Database!$D:$D,"Export",Database!$E:$E,$B143,Database!$C:$C,BD$1,Database!$F:$F,"Total")</f>
        <v>0</v>
      </c>
      <c r="BE143" s="137">
        <f>SUMIFS(Database!$G:$G,Database!$D:$D,"Export",Database!$E:$E,$B143,Database!$C:$C,BE$1,Database!$F:$F,"Total")</f>
        <v>0</v>
      </c>
      <c r="BF143" s="137">
        <f>SUMIFS(Database!$G:$G,Database!$D:$D,"Export",Database!$E:$E,$B143,Database!$C:$C,BF$1,Database!$F:$F,"Total")</f>
        <v>0</v>
      </c>
      <c r="BG143" s="137">
        <f>SUMIFS(Database!$G:$G,Database!$D:$D,"Export",Database!$E:$E,$B143,Database!$C:$C,BG$1,Database!$F:$F,"Total")</f>
        <v>0</v>
      </c>
      <c r="BH143" s="137">
        <f>SUMIFS(Database!$G:$G,Database!$D:$D,"Export",Database!$E:$E,$B143,Database!$C:$C,BH$1,Database!$F:$F,"Total")</f>
        <v>3161</v>
      </c>
      <c r="BI143" s="137">
        <f>SUMIFS(Database!$G:$G,Database!$D:$D,"Export",Database!$E:$E,$B143,Database!$C:$C,BI$1,Database!$F:$F,"Total")</f>
        <v>0</v>
      </c>
      <c r="BJ143" s="137">
        <f>SUMIFS(Database!$G:$G,Database!$D:$D,"Export",Database!$E:$E,$B143,Database!$C:$C,BJ$1,Database!$F:$F,"Total")</f>
        <v>1931</v>
      </c>
      <c r="BK143" s="137">
        <f>SUMIFS(Database!$G:$G,Database!$D:$D,"Export",Database!$E:$E,$B143,Database!$C:$C,BK$1,Database!$F:$F,"Total")</f>
        <v>2479</v>
      </c>
      <c r="BL143" s="137">
        <f>SUMIFS(Database!$G:$G,Database!$D:$D,"Export",Database!$E:$E,$B143,Database!$C:$C,BL$1,Database!$F:$F,"Total")</f>
        <v>0</v>
      </c>
      <c r="BM143" s="137">
        <f>SUMIFS(Database!$G:$G,Database!$D:$D,"Export",Database!$E:$E,$B143,Database!$C:$C,BM$1,Database!$F:$F,"Total")</f>
        <v>0</v>
      </c>
      <c r="BN143" s="137">
        <f>SUMIFS(Database!$G:$G,Database!$D:$D,"Export",Database!$E:$E,$B143,Database!$C:$C,BN$1,Database!$F:$F,"Total")</f>
        <v>2081</v>
      </c>
      <c r="BO143" s="137">
        <f>SUMIFS(Database!$G:$G,Database!$D:$D,"Export",Database!$E:$E,$B143,Database!$C:$C,BO$1,Database!$F:$F,"Total")</f>
        <v>0</v>
      </c>
      <c r="BP143" s="137">
        <f>SUMIFS(Database!$G:$G,Database!$D:$D,"Export",Database!$E:$E,$B143,Database!$C:$C,BP$1,Database!$F:$F,"Total")</f>
        <v>0</v>
      </c>
      <c r="BQ143" s="137">
        <f>SUMIFS(Database!$G:$G,Database!$D:$D,"Export",Database!$E:$E,$B143,Database!$C:$C,BQ$1,Database!$F:$F,"Total")</f>
        <v>0</v>
      </c>
      <c r="BR143" s="137">
        <f>SUMIFS(Database!$G:$G,Database!$D:$D,"Export",Database!$E:$E,$B143,Database!$C:$C,BR$1,Database!$F:$F,"Total")</f>
        <v>0</v>
      </c>
      <c r="BS143" s="137">
        <f>SUMIFS(Database!$G:$G,Database!$D:$D,"Export",Database!$E:$E,$B143,Database!$C:$C,BS$1,Database!$F:$F,"Total")</f>
        <v>0</v>
      </c>
      <c r="BT143" s="137">
        <f>SUMIFS(Database!$G:$G,Database!$D:$D,"Export",Database!$E:$E,$B143,Database!$C:$C,BT$1,Database!$F:$F,"Total")</f>
        <v>0</v>
      </c>
      <c r="BU143" s="137">
        <f>SUMIFS(Database!$G:$G,Database!$D:$D,"Export",Database!$E:$E,$B143,Database!$C:$C,BU$1,Database!$F:$F,"Total")</f>
        <v>0</v>
      </c>
      <c r="BV143" s="137">
        <f>SUMIFS(Database!$G:$G,Database!$D:$D,"Export",Database!$E:$E,$B143,Database!$C:$C,BV$1,Database!$F:$F,"Total")</f>
        <v>0</v>
      </c>
      <c r="BW143" s="137">
        <f>SUMIFS(Database!$G:$G,Database!$D:$D,"Export",Database!$E:$E,$B143,Database!$C:$C,BW$1,Database!$F:$F,"Total")</f>
        <v>0</v>
      </c>
      <c r="BX143" s="137">
        <f>SUMIFS(Database!$G:$G,Database!$D:$D,"Export",Database!$E:$E,$B143,Database!$C:$C,BX$1,Database!$F:$F,"Total")</f>
        <v>0</v>
      </c>
      <c r="BY143" s="137">
        <f>SUMIFS(Database!$G:$G,Database!$D:$D,"Export",Database!$E:$E,$B143,Database!$C:$C,BY$1,Database!$F:$F,"Total")</f>
        <v>0</v>
      </c>
      <c r="BZ143" s="137">
        <f>SUMIFS(Database!$G:$G,Database!$D:$D,"Export",Database!$E:$E,$B143,Database!$C:$C,BZ$1,Database!$F:$F,"Total")</f>
        <v>0</v>
      </c>
      <c r="CA143" s="137">
        <f>SUMIFS(Database!$G:$G,Database!$D:$D,"Export",Database!$E:$E,$B143,Database!$C:$C,CA$1,Database!$F:$F,"Total")</f>
        <v>0</v>
      </c>
      <c r="CB143" s="137">
        <f>SUMIFS(Database!$G:$G,Database!$D:$D,"Export",Database!$E:$E,$B143,Database!$C:$C,CB$1,Database!$F:$F,"Total")</f>
        <v>0</v>
      </c>
      <c r="CC143" s="137">
        <f>SUMIFS(Database!$G:$G,Database!$D:$D,"Export",Database!$E:$E,$B143,Database!$C:$C,CC$1,Database!$F:$F,"Total")</f>
        <v>0</v>
      </c>
      <c r="CD143" s="137">
        <f>SUMIFS(Database!$G:$G,Database!$D:$D,"Export",Database!$E:$E,$B143,Database!$C:$C,CD$1,Database!$F:$F,"Total")</f>
        <v>0</v>
      </c>
      <c r="CE143" s="137">
        <f>SUMIFS(Database!$G:$G,Database!$D:$D,"Export",Database!$E:$E,$B143,Database!$C:$C,CE$1,Database!$F:$F,"Total")</f>
        <v>0</v>
      </c>
      <c r="CF143" s="137">
        <f>SUMIFS(Database!$G:$G,Database!$D:$D,"Export",Database!$E:$E,$B143,Database!$C:$C,CF$1,Database!$F:$F,"Total")</f>
        <v>0</v>
      </c>
      <c r="CG143" s="137">
        <f>SUMIFS(Database!$G:$G,Database!$D:$D,"Export",Database!$E:$E,$B143,Database!$C:$C,CG$1,Database!$F:$F,"Total")</f>
        <v>0</v>
      </c>
      <c r="CH143" s="137">
        <f>SUMIFS(Database!$G:$G,Database!$D:$D,"Export",Database!$E:$E,$B143,Database!$C:$C,CH$1,Database!$F:$F,"Total")</f>
        <v>0</v>
      </c>
      <c r="CI143" s="137">
        <f>SUMIFS(Database!$G:$G,Database!$D:$D,"Export",Database!$E:$E,$B143,Database!$C:$C,CI$1,Database!$F:$F,"Total")</f>
        <v>0</v>
      </c>
      <c r="CJ143" s="137">
        <f>SUMIFS(Database!$G:$G,Database!$D:$D,"Export",Database!$E:$E,$B143,Database!$C:$C,CJ$1,Database!$F:$F,"Total")</f>
        <v>0</v>
      </c>
      <c r="CK143" s="137">
        <f>SUMIFS(Database!$G:$G,Database!$D:$D,"Export",Database!$E:$E,$B143,Database!$C:$C,CK$1,Database!$F:$F,"Total")</f>
        <v>0</v>
      </c>
      <c r="CL143" s="137">
        <f>SUMIFS(Database!$G:$G,Database!$D:$D,"Export",Database!$E:$E,$B143,Database!$C:$C,CL$1,Database!$F:$F,"Total")</f>
        <v>0</v>
      </c>
      <c r="CM143" s="137">
        <f>SUMIFS(Database!$G:$G,Database!$D:$D,"Export",Database!$E:$E,$B143,Database!$C:$C,CM$1,Database!$F:$F,"Total")</f>
        <v>0</v>
      </c>
      <c r="CN143" s="137">
        <f>SUMIFS(Database!$G:$G,Database!$D:$D,"Export",Database!$E:$E,$B143,Database!$C:$C,CN$1,Database!$F:$F,"Total")</f>
        <v>0</v>
      </c>
      <c r="CO143" s="137">
        <f>SUMIFS(Database!$G:$G,Database!$D:$D,"Export",Database!$E:$E,$B143,Database!$C:$C,CO$1,Database!$F:$F,"Total")</f>
        <v>0</v>
      </c>
      <c r="CP143" s="137">
        <f>SUMIFS(Database!$G:$G,Database!$D:$D,"Export",Database!$E:$E,$B143,Database!$C:$C,CP$1,Database!$F:$F,"Total")</f>
        <v>0</v>
      </c>
      <c r="CQ143" s="137">
        <f>SUMIFS(Database!$G:$G,Database!$D:$D,"Export",Database!$E:$E,$B143,Database!$C:$C,CQ$1,Database!$F:$F,"Total")</f>
        <v>0</v>
      </c>
      <c r="CR143" s="137">
        <f>SUMIFS(Database!$G:$G,Database!$D:$D,"Export",Database!$E:$E,$B143,Database!$C:$C,CR$1,Database!$F:$F,"Total")</f>
        <v>0</v>
      </c>
      <c r="CS143" s="137">
        <f>SUMIFS(Database!$G:$G,Database!$D:$D,"Export",Database!$E:$E,$B143,Database!$C:$C,CS$1,Database!$F:$F,"Total")</f>
        <v>0</v>
      </c>
      <c r="CT143" s="137">
        <f>SUMIFS(Database!$G:$G,Database!$D:$D,"Export",Database!$E:$E,$B143,Database!$C:$C,CT$1,Database!$F:$F,"Total")</f>
        <v>0</v>
      </c>
      <c r="CU143" s="137">
        <f>SUMIFS(Database!$G:$G,Database!$D:$D,"Export",Database!$E:$E,$B143,Database!$C:$C,CU$1,Database!$F:$F,"Total")</f>
        <v>0</v>
      </c>
    </row>
    <row r="144" spans="1:99" x14ac:dyDescent="0.25">
      <c r="A144" s="132" t="s">
        <v>485</v>
      </c>
      <c r="B144" s="133" t="s">
        <v>139</v>
      </c>
      <c r="C144" s="137">
        <f>SUMIFS(Database!$G:$G,Database!$D:$D,"Export",Database!$E:$E,$B144,Database!$C:$C,C$1,Database!$F:$F,"Total")</f>
        <v>0</v>
      </c>
      <c r="D144" s="137">
        <f>SUMIFS(Database!$G:$G,Database!$D:$D,"Export",Database!$E:$E,$B144,Database!$C:$C,D$1,Database!$F:$F,"Total")</f>
        <v>0</v>
      </c>
      <c r="E144" s="137">
        <f>SUMIFS(Database!$G:$G,Database!$D:$D,"Export",Database!$E:$E,$B144,Database!$C:$C,E$1,Database!$F:$F,"Total")</f>
        <v>0</v>
      </c>
      <c r="F144" s="137">
        <f>SUMIFS(Database!$G:$G,Database!$D:$D,"Export",Database!$E:$E,$B144,Database!$C:$C,F$1,Database!$F:$F,"Total")</f>
        <v>0</v>
      </c>
      <c r="G144" s="137">
        <f>SUMIFS(Database!$G:$G,Database!$D:$D,"Export",Database!$E:$E,$B144,Database!$C:$C,G$1,Database!$F:$F,"Total")</f>
        <v>0</v>
      </c>
      <c r="H144" s="137">
        <f>SUMIFS(Database!$G:$G,Database!$D:$D,"Export",Database!$E:$E,$B144,Database!$C:$C,H$1,Database!$F:$F,"Total")</f>
        <v>0</v>
      </c>
      <c r="I144" s="137">
        <f>SUMIFS(Database!$G:$G,Database!$D:$D,"Export",Database!$E:$E,$B144,Database!$C:$C,I$1,Database!$F:$F,"Total")</f>
        <v>0</v>
      </c>
      <c r="J144" s="137">
        <f>SUMIFS(Database!$G:$G,Database!$D:$D,"Export",Database!$E:$E,$B144,Database!$C:$C,J$1,Database!$F:$F,"Total")</f>
        <v>0</v>
      </c>
      <c r="K144" s="137">
        <f>SUMIFS(Database!$G:$G,Database!$D:$D,"Export",Database!$E:$E,$B144,Database!$C:$C,K$1,Database!$F:$F,"Total")</f>
        <v>0</v>
      </c>
      <c r="L144" s="137">
        <f>SUMIFS(Database!$G:$G,Database!$D:$D,"Export",Database!$E:$E,$B144,Database!$C:$C,L$1,Database!$F:$F,"Total")</f>
        <v>0</v>
      </c>
      <c r="M144" s="137">
        <f>SUMIFS(Database!$G:$G,Database!$D:$D,"Export",Database!$E:$E,$B144,Database!$C:$C,M$1,Database!$F:$F,"Total")</f>
        <v>0</v>
      </c>
      <c r="N144" s="137">
        <f>SUMIFS(Database!$G:$G,Database!$D:$D,"Export",Database!$E:$E,$B144,Database!$C:$C,N$1,Database!$F:$F,"Total")</f>
        <v>0</v>
      </c>
      <c r="O144" s="137">
        <f>SUMIFS(Database!$G:$G,Database!$D:$D,"Export",Database!$E:$E,$B144,Database!$C:$C,O$1,Database!$F:$F,"Total")</f>
        <v>0</v>
      </c>
      <c r="P144" s="137">
        <f>SUMIFS(Database!$G:$G,Database!$D:$D,"Export",Database!$E:$E,$B144,Database!$C:$C,P$1,Database!$F:$F,"Total")</f>
        <v>0</v>
      </c>
      <c r="Q144" s="137">
        <f>SUMIFS(Database!$G:$G,Database!$D:$D,"Export",Database!$E:$E,$B144,Database!$C:$C,Q$1,Database!$F:$F,"Total")</f>
        <v>0</v>
      </c>
      <c r="R144" s="137">
        <f>SUMIFS(Database!$G:$G,Database!$D:$D,"Export",Database!$E:$E,$B144,Database!$C:$C,R$1,Database!$F:$F,"Total")</f>
        <v>0</v>
      </c>
      <c r="S144" s="137">
        <f>SUMIFS(Database!$G:$G,Database!$D:$D,"Export",Database!$E:$E,$B144,Database!$C:$C,S$1,Database!$F:$F,"Total")</f>
        <v>0</v>
      </c>
      <c r="T144" s="137">
        <f>SUMIFS(Database!$G:$G,Database!$D:$D,"Export",Database!$E:$E,$B144,Database!$C:$C,T$1,Database!$F:$F,"Total")</f>
        <v>0</v>
      </c>
      <c r="U144" s="137">
        <f>SUMIFS(Database!$G:$G,Database!$D:$D,"Export",Database!$E:$E,$B144,Database!$C:$C,U$1,Database!$F:$F,"Total")</f>
        <v>0</v>
      </c>
      <c r="V144" s="137">
        <f>SUMIFS(Database!$G:$G,Database!$D:$D,"Export",Database!$E:$E,$B144,Database!$C:$C,V$1,Database!$F:$F,"Total")</f>
        <v>0</v>
      </c>
      <c r="W144" s="137">
        <f>SUMIFS(Database!$G:$G,Database!$D:$D,"Export",Database!$E:$E,$B144,Database!$C:$C,W$1,Database!$F:$F,"Total")</f>
        <v>0</v>
      </c>
      <c r="X144" s="137">
        <f>SUMIFS(Database!$G:$G,Database!$D:$D,"Export",Database!$E:$E,$B144,Database!$C:$C,X$1,Database!$F:$F,"Total")</f>
        <v>0</v>
      </c>
      <c r="Y144" s="137">
        <f>SUMIFS(Database!$G:$G,Database!$D:$D,"Export",Database!$E:$E,$B144,Database!$C:$C,Y$1,Database!$F:$F,"Total")</f>
        <v>0</v>
      </c>
      <c r="Z144" s="137">
        <f>SUMIFS(Database!$G:$G,Database!$D:$D,"Export",Database!$E:$E,$B144,Database!$C:$C,Z$1,Database!$F:$F,"Total")</f>
        <v>0</v>
      </c>
      <c r="AA144" s="137">
        <f>SUMIFS(Database!$G:$G,Database!$D:$D,"Export",Database!$E:$E,$B144,Database!$C:$C,AA$1,Database!$F:$F,"Total")</f>
        <v>0</v>
      </c>
      <c r="AB144" s="137">
        <f>SUMIFS(Database!$G:$G,Database!$D:$D,"Export",Database!$E:$E,$B144,Database!$C:$C,AB$1,Database!$F:$F,"Total")</f>
        <v>0</v>
      </c>
      <c r="AC144" s="137">
        <f>SUMIFS(Database!$G:$G,Database!$D:$D,"Export",Database!$E:$E,$B144,Database!$C:$C,AC$1,Database!$F:$F,"Total")</f>
        <v>0</v>
      </c>
      <c r="AD144" s="137">
        <f>SUMIFS(Database!$G:$G,Database!$D:$D,"Export",Database!$E:$E,$B144,Database!$C:$C,AD$1,Database!$F:$F,"Total")</f>
        <v>0</v>
      </c>
      <c r="AE144" s="137">
        <f>SUMIFS(Database!$G:$G,Database!$D:$D,"Export",Database!$E:$E,$B144,Database!$C:$C,AE$1,Database!$F:$F,"Total")</f>
        <v>0</v>
      </c>
      <c r="AF144" s="137">
        <f>SUMIFS(Database!$G:$G,Database!$D:$D,"Export",Database!$E:$E,$B144,Database!$C:$C,AF$1,Database!$F:$F,"Total")</f>
        <v>0</v>
      </c>
      <c r="AG144" s="137">
        <f>SUMIFS(Database!$G:$G,Database!$D:$D,"Export",Database!$E:$E,$B144,Database!$C:$C,AG$1,Database!$F:$F,"Total")</f>
        <v>0</v>
      </c>
      <c r="AH144" s="137">
        <f>SUMIFS(Database!$G:$G,Database!$D:$D,"Export",Database!$E:$E,$B144,Database!$C:$C,AH$1,Database!$F:$F,"Total")</f>
        <v>0</v>
      </c>
      <c r="AI144" s="137">
        <f>SUMIFS(Database!$G:$G,Database!$D:$D,"Export",Database!$E:$E,$B144,Database!$C:$C,AI$1,Database!$F:$F,"Total")</f>
        <v>0</v>
      </c>
      <c r="AJ144" s="137">
        <f>SUMIFS(Database!$G:$G,Database!$D:$D,"Export",Database!$E:$E,$B144,Database!$C:$C,AJ$1,Database!$F:$F,"Total")</f>
        <v>366</v>
      </c>
      <c r="AK144" s="137">
        <f>SUMIFS(Database!$G:$G,Database!$D:$D,"Export",Database!$E:$E,$B144,Database!$C:$C,AK$1,Database!$F:$F,"Total")</f>
        <v>456</v>
      </c>
      <c r="AL144" s="137">
        <f>SUMIFS(Database!$G:$G,Database!$D:$D,"Export",Database!$E:$E,$B144,Database!$C:$C,AL$1,Database!$F:$F,"Total")</f>
        <v>429</v>
      </c>
      <c r="AM144" s="137">
        <f>SUMIFS(Database!$G:$G,Database!$D:$D,"Export",Database!$E:$E,$B144,Database!$C:$C,AM$1,Database!$F:$F,"Total")</f>
        <v>471</v>
      </c>
      <c r="AN144" s="137">
        <f>SUMIFS(Database!$G:$G,Database!$D:$D,"Export",Database!$E:$E,$B144,Database!$C:$C,AN$1,Database!$F:$F,"Total")</f>
        <v>499</v>
      </c>
      <c r="AO144" s="137">
        <f>SUMIFS(Database!$G:$G,Database!$D:$D,"Export",Database!$E:$E,$B144,Database!$C:$C,AO$1,Database!$F:$F,"Total")</f>
        <v>699</v>
      </c>
      <c r="AP144" s="137">
        <f>SUMIFS(Database!$G:$G,Database!$D:$D,"Export",Database!$E:$E,$B144,Database!$C:$C,AP$1,Database!$F:$F,"Total")</f>
        <v>379</v>
      </c>
      <c r="AQ144" s="137">
        <f>SUMIFS(Database!$G:$G,Database!$D:$D,"Export",Database!$E:$E,$B144,Database!$C:$C,AQ$1,Database!$F:$F,"Total")</f>
        <v>230</v>
      </c>
      <c r="AR144" s="137">
        <f>SUMIFS(Database!$G:$G,Database!$D:$D,"Export",Database!$E:$E,$B144,Database!$C:$C,AR$1,Database!$F:$F,"Total")</f>
        <v>293</v>
      </c>
      <c r="AS144" s="137">
        <f>SUMIFS(Database!$G:$G,Database!$D:$D,"Export",Database!$E:$E,$B144,Database!$C:$C,AS$1,Database!$F:$F,"Total")</f>
        <v>446</v>
      </c>
      <c r="AT144" s="137">
        <f>SUMIFS(Database!$G:$G,Database!$D:$D,"Export",Database!$E:$E,$B144,Database!$C:$C,AT$1,Database!$F:$F,"Total")</f>
        <v>151</v>
      </c>
      <c r="AU144" s="137">
        <f>SUMIFS(Database!$G:$G,Database!$D:$D,"Export",Database!$E:$E,$B144,Database!$C:$C,AU$1,Database!$F:$F,"Total")</f>
        <v>208</v>
      </c>
      <c r="AV144" s="137">
        <f>SUMIFS(Database!$G:$G,Database!$D:$D,"Export",Database!$E:$E,$B144,Database!$C:$C,AV$1,Database!$F:$F,"Total")</f>
        <v>145</v>
      </c>
      <c r="AW144" s="137">
        <f>SUMIFS(Database!$G:$G,Database!$D:$D,"Export",Database!$E:$E,$B144,Database!$C:$C,AW$1,Database!$F:$F,"Total")</f>
        <v>242</v>
      </c>
      <c r="AX144" s="137">
        <f>SUMIFS(Database!$G:$G,Database!$D:$D,"Export",Database!$E:$E,$B144,Database!$C:$C,AX$1,Database!$F:$F,"Total")</f>
        <v>166</v>
      </c>
      <c r="AY144" s="137">
        <f>SUMIFS(Database!$G:$G,Database!$D:$D,"Export",Database!$E:$E,$B144,Database!$C:$C,AY$1,Database!$F:$F,"Total")</f>
        <v>254</v>
      </c>
      <c r="AZ144" s="137">
        <f>SUMIFS(Database!$G:$G,Database!$D:$D,"Export",Database!$E:$E,$B144,Database!$C:$C,AZ$1,Database!$F:$F,"Total")</f>
        <v>407</v>
      </c>
      <c r="BA144" s="137">
        <f>SUMIFS(Database!$G:$G,Database!$D:$D,"Export",Database!$E:$E,$B144,Database!$C:$C,BA$1,Database!$F:$F,"Total")</f>
        <v>253</v>
      </c>
      <c r="BB144" s="137">
        <f>SUMIFS(Database!$G:$G,Database!$D:$D,"Export",Database!$E:$E,$B144,Database!$C:$C,BB$1,Database!$F:$F,"Total")</f>
        <v>252</v>
      </c>
      <c r="BC144" s="137">
        <f>SUMIFS(Database!$G:$G,Database!$D:$D,"Export",Database!$E:$E,$B144,Database!$C:$C,BC$1,Database!$F:$F,"Total")</f>
        <v>167</v>
      </c>
      <c r="BD144" s="137">
        <f>SUMIFS(Database!$G:$G,Database!$D:$D,"Export",Database!$E:$E,$B144,Database!$C:$C,BD$1,Database!$F:$F,"Total")</f>
        <v>144</v>
      </c>
      <c r="BE144" s="137">
        <f>SUMIFS(Database!$G:$G,Database!$D:$D,"Export",Database!$E:$E,$B144,Database!$C:$C,BE$1,Database!$F:$F,"Total")</f>
        <v>614</v>
      </c>
      <c r="BF144" s="137">
        <f>SUMIFS(Database!$G:$G,Database!$D:$D,"Export",Database!$E:$E,$B144,Database!$C:$C,BF$1,Database!$F:$F,"Total")</f>
        <v>910</v>
      </c>
      <c r="BG144" s="137">
        <f>SUMIFS(Database!$G:$G,Database!$D:$D,"Export",Database!$E:$E,$B144,Database!$C:$C,BG$1,Database!$F:$F,"Total")</f>
        <v>894</v>
      </c>
      <c r="BH144" s="137">
        <f>SUMIFS(Database!$G:$G,Database!$D:$D,"Export",Database!$E:$E,$B144,Database!$C:$C,BH$1,Database!$F:$F,"Total")</f>
        <v>549</v>
      </c>
      <c r="BI144" s="137">
        <f>SUMIFS(Database!$G:$G,Database!$D:$D,"Export",Database!$E:$E,$B144,Database!$C:$C,BI$1,Database!$F:$F,"Total")</f>
        <v>0</v>
      </c>
      <c r="BJ144" s="137">
        <f>SUMIFS(Database!$G:$G,Database!$D:$D,"Export",Database!$E:$E,$B144,Database!$C:$C,BJ$1,Database!$F:$F,"Total")</f>
        <v>283</v>
      </c>
      <c r="BK144" s="137">
        <f>SUMIFS(Database!$G:$G,Database!$D:$D,"Export",Database!$E:$E,$B144,Database!$C:$C,BK$1,Database!$F:$F,"Total")</f>
        <v>167</v>
      </c>
      <c r="BL144" s="137">
        <f>SUMIFS(Database!$G:$G,Database!$D:$D,"Export",Database!$E:$E,$B144,Database!$C:$C,BL$1,Database!$F:$F,"Total")</f>
        <v>0</v>
      </c>
      <c r="BM144" s="137">
        <f>SUMIFS(Database!$G:$G,Database!$D:$D,"Export",Database!$E:$E,$B144,Database!$C:$C,BM$1,Database!$F:$F,"Total")</f>
        <v>0</v>
      </c>
      <c r="BN144" s="137">
        <f>SUMIFS(Database!$G:$G,Database!$D:$D,"Export",Database!$E:$E,$B144,Database!$C:$C,BN$1,Database!$F:$F,"Total")</f>
        <v>864</v>
      </c>
      <c r="BO144" s="137">
        <f>SUMIFS(Database!$G:$G,Database!$D:$D,"Export",Database!$E:$E,$B144,Database!$C:$C,BO$1,Database!$F:$F,"Total")</f>
        <v>0</v>
      </c>
      <c r="BP144" s="137">
        <f>SUMIFS(Database!$G:$G,Database!$D:$D,"Export",Database!$E:$E,$B144,Database!$C:$C,BP$1,Database!$F:$F,"Total")</f>
        <v>507</v>
      </c>
      <c r="BQ144" s="137">
        <f>SUMIFS(Database!$G:$G,Database!$D:$D,"Export",Database!$E:$E,$B144,Database!$C:$C,BQ$1,Database!$F:$F,"Total")</f>
        <v>348</v>
      </c>
      <c r="BR144" s="137">
        <f>SUMIFS(Database!$G:$G,Database!$D:$D,"Export",Database!$E:$E,$B144,Database!$C:$C,BR$1,Database!$F:$F,"Total")</f>
        <v>180</v>
      </c>
      <c r="BS144" s="137">
        <f>SUMIFS(Database!$G:$G,Database!$D:$D,"Export",Database!$E:$E,$B144,Database!$C:$C,BS$1,Database!$F:$F,"Total")</f>
        <v>176</v>
      </c>
      <c r="BT144" s="137">
        <f>SUMIFS(Database!$G:$G,Database!$D:$D,"Export",Database!$E:$E,$B144,Database!$C:$C,BT$1,Database!$F:$F,"Total")</f>
        <v>116</v>
      </c>
      <c r="BU144" s="137">
        <f>SUMIFS(Database!$G:$G,Database!$D:$D,"Export",Database!$E:$E,$B144,Database!$C:$C,BU$1,Database!$F:$F,"Total")</f>
        <v>19</v>
      </c>
      <c r="BV144" s="137">
        <f>SUMIFS(Database!$G:$G,Database!$D:$D,"Export",Database!$E:$E,$B144,Database!$C:$C,BV$1,Database!$F:$F,"Total")</f>
        <v>0</v>
      </c>
      <c r="BW144" s="137">
        <f>SUMIFS(Database!$G:$G,Database!$D:$D,"Export",Database!$E:$E,$B144,Database!$C:$C,BW$1,Database!$F:$F,"Total")</f>
        <v>0</v>
      </c>
      <c r="BX144" s="137">
        <f>SUMIFS(Database!$G:$G,Database!$D:$D,"Export",Database!$E:$E,$B144,Database!$C:$C,BX$1,Database!$F:$F,"Total")</f>
        <v>0</v>
      </c>
      <c r="BY144" s="137">
        <f>SUMIFS(Database!$G:$G,Database!$D:$D,"Export",Database!$E:$E,$B144,Database!$C:$C,BY$1,Database!$F:$F,"Total")</f>
        <v>0</v>
      </c>
      <c r="BZ144" s="137">
        <f>SUMIFS(Database!$G:$G,Database!$D:$D,"Export",Database!$E:$E,$B144,Database!$C:$C,BZ$1,Database!$F:$F,"Total")</f>
        <v>0</v>
      </c>
      <c r="CA144" s="137">
        <f>SUMIFS(Database!$G:$G,Database!$D:$D,"Export",Database!$E:$E,$B144,Database!$C:$C,CA$1,Database!$F:$F,"Total")</f>
        <v>0</v>
      </c>
      <c r="CB144" s="137">
        <f>SUMIFS(Database!$G:$G,Database!$D:$D,"Export",Database!$E:$E,$B144,Database!$C:$C,CB$1,Database!$F:$F,"Total")</f>
        <v>0</v>
      </c>
      <c r="CC144" s="137">
        <f>SUMIFS(Database!$G:$G,Database!$D:$D,"Export",Database!$E:$E,$B144,Database!$C:$C,CC$1,Database!$F:$F,"Total")</f>
        <v>0</v>
      </c>
      <c r="CD144" s="137">
        <f>SUMIFS(Database!$G:$G,Database!$D:$D,"Export",Database!$E:$E,$B144,Database!$C:$C,CD$1,Database!$F:$F,"Total")</f>
        <v>0</v>
      </c>
      <c r="CE144" s="137">
        <f>SUMIFS(Database!$G:$G,Database!$D:$D,"Export",Database!$E:$E,$B144,Database!$C:$C,CE$1,Database!$F:$F,"Total")</f>
        <v>0</v>
      </c>
      <c r="CF144" s="137">
        <f>SUMIFS(Database!$G:$G,Database!$D:$D,"Export",Database!$E:$E,$B144,Database!$C:$C,CF$1,Database!$F:$F,"Total")</f>
        <v>0</v>
      </c>
      <c r="CG144" s="137">
        <f>SUMIFS(Database!$G:$G,Database!$D:$D,"Export",Database!$E:$E,$B144,Database!$C:$C,CG$1,Database!$F:$F,"Total")</f>
        <v>0</v>
      </c>
      <c r="CH144" s="137">
        <f>SUMIFS(Database!$G:$G,Database!$D:$D,"Export",Database!$E:$E,$B144,Database!$C:$C,CH$1,Database!$F:$F,"Total")</f>
        <v>0</v>
      </c>
      <c r="CI144" s="137">
        <f>SUMIFS(Database!$G:$G,Database!$D:$D,"Export",Database!$E:$E,$B144,Database!$C:$C,CI$1,Database!$F:$F,"Total")</f>
        <v>0</v>
      </c>
      <c r="CJ144" s="137">
        <f>SUMIFS(Database!$G:$G,Database!$D:$D,"Export",Database!$E:$E,$B144,Database!$C:$C,CJ$1,Database!$F:$F,"Total")</f>
        <v>0</v>
      </c>
      <c r="CK144" s="137">
        <f>SUMIFS(Database!$G:$G,Database!$D:$D,"Export",Database!$E:$E,$B144,Database!$C:$C,CK$1,Database!$F:$F,"Total")</f>
        <v>0</v>
      </c>
      <c r="CL144" s="137">
        <f>SUMIFS(Database!$G:$G,Database!$D:$D,"Export",Database!$E:$E,$B144,Database!$C:$C,CL$1,Database!$F:$F,"Total")</f>
        <v>0</v>
      </c>
      <c r="CM144" s="137">
        <f>SUMIFS(Database!$G:$G,Database!$D:$D,"Export",Database!$E:$E,$B144,Database!$C:$C,CM$1,Database!$F:$F,"Total")</f>
        <v>0</v>
      </c>
      <c r="CN144" s="137">
        <f>SUMIFS(Database!$G:$G,Database!$D:$D,"Export",Database!$E:$E,$B144,Database!$C:$C,CN$1,Database!$F:$F,"Total")</f>
        <v>0</v>
      </c>
      <c r="CO144" s="137">
        <f>SUMIFS(Database!$G:$G,Database!$D:$D,"Export",Database!$E:$E,$B144,Database!$C:$C,CO$1,Database!$F:$F,"Total")</f>
        <v>0</v>
      </c>
      <c r="CP144" s="137">
        <f>SUMIFS(Database!$G:$G,Database!$D:$D,"Export",Database!$E:$E,$B144,Database!$C:$C,CP$1,Database!$F:$F,"Total")</f>
        <v>0</v>
      </c>
      <c r="CQ144" s="137">
        <f>SUMIFS(Database!$G:$G,Database!$D:$D,"Export",Database!$E:$E,$B144,Database!$C:$C,CQ$1,Database!$F:$F,"Total")</f>
        <v>0</v>
      </c>
      <c r="CR144" s="137">
        <f>SUMIFS(Database!$G:$G,Database!$D:$D,"Export",Database!$E:$E,$B144,Database!$C:$C,CR$1,Database!$F:$F,"Total")</f>
        <v>0</v>
      </c>
      <c r="CS144" s="137">
        <f>SUMIFS(Database!$G:$G,Database!$D:$D,"Export",Database!$E:$E,$B144,Database!$C:$C,CS$1,Database!$F:$F,"Total")</f>
        <v>0</v>
      </c>
      <c r="CT144" s="137">
        <f>SUMIFS(Database!$G:$G,Database!$D:$D,"Export",Database!$E:$E,$B144,Database!$C:$C,CT$1,Database!$F:$F,"Total")</f>
        <v>0</v>
      </c>
      <c r="CU144" s="137">
        <f>SUMIFS(Database!$G:$G,Database!$D:$D,"Export",Database!$E:$E,$B144,Database!$C:$C,CU$1,Database!$F:$F,"Total")</f>
        <v>0</v>
      </c>
    </row>
    <row r="145" spans="1:99" x14ac:dyDescent="0.25">
      <c r="A145" s="132" t="s">
        <v>485</v>
      </c>
      <c r="B145" s="133" t="s">
        <v>141</v>
      </c>
      <c r="C145" s="137">
        <f>SUMIFS(Database!$G:$G,Database!$D:$D,"Export",Database!$E:$E,$B145,Database!$C:$C,C$1,Database!$F:$F,"Total")</f>
        <v>0</v>
      </c>
      <c r="D145" s="137">
        <f>SUMIFS(Database!$G:$G,Database!$D:$D,"Export",Database!$E:$E,$B145,Database!$C:$C,D$1,Database!$F:$F,"Total")</f>
        <v>0</v>
      </c>
      <c r="E145" s="137">
        <f>SUMIFS(Database!$G:$G,Database!$D:$D,"Export",Database!$E:$E,$B145,Database!$C:$C,E$1,Database!$F:$F,"Total")</f>
        <v>0</v>
      </c>
      <c r="F145" s="137">
        <f>SUMIFS(Database!$G:$G,Database!$D:$D,"Export",Database!$E:$E,$B145,Database!$C:$C,F$1,Database!$F:$F,"Total")</f>
        <v>0</v>
      </c>
      <c r="G145" s="137">
        <f>SUMIFS(Database!$G:$G,Database!$D:$D,"Export",Database!$E:$E,$B145,Database!$C:$C,G$1,Database!$F:$F,"Total")</f>
        <v>0</v>
      </c>
      <c r="H145" s="137">
        <f>SUMIFS(Database!$G:$G,Database!$D:$D,"Export",Database!$E:$E,$B145,Database!$C:$C,H$1,Database!$F:$F,"Total")</f>
        <v>0</v>
      </c>
      <c r="I145" s="137">
        <f>SUMIFS(Database!$G:$G,Database!$D:$D,"Export",Database!$E:$E,$B145,Database!$C:$C,I$1,Database!$F:$F,"Total")</f>
        <v>0</v>
      </c>
      <c r="J145" s="137">
        <f>SUMIFS(Database!$G:$G,Database!$D:$D,"Export",Database!$E:$E,$B145,Database!$C:$C,J$1,Database!$F:$F,"Total")</f>
        <v>0</v>
      </c>
      <c r="K145" s="137">
        <f>SUMIFS(Database!$G:$G,Database!$D:$D,"Export",Database!$E:$E,$B145,Database!$C:$C,K$1,Database!$F:$F,"Total")</f>
        <v>0</v>
      </c>
      <c r="L145" s="137">
        <f>SUMIFS(Database!$G:$G,Database!$D:$D,"Export",Database!$E:$E,$B145,Database!$C:$C,L$1,Database!$F:$F,"Total")</f>
        <v>0</v>
      </c>
      <c r="M145" s="137">
        <f>SUMIFS(Database!$G:$G,Database!$D:$D,"Export",Database!$E:$E,$B145,Database!$C:$C,M$1,Database!$F:$F,"Total")</f>
        <v>0</v>
      </c>
      <c r="N145" s="137">
        <f>SUMIFS(Database!$G:$G,Database!$D:$D,"Export",Database!$E:$E,$B145,Database!$C:$C,N$1,Database!$F:$F,"Total")</f>
        <v>0</v>
      </c>
      <c r="O145" s="137">
        <f>SUMIFS(Database!$G:$G,Database!$D:$D,"Export",Database!$E:$E,$B145,Database!$C:$C,O$1,Database!$F:$F,"Total")</f>
        <v>0</v>
      </c>
      <c r="P145" s="137">
        <f>SUMIFS(Database!$G:$G,Database!$D:$D,"Export",Database!$E:$E,$B145,Database!$C:$C,P$1,Database!$F:$F,"Total")</f>
        <v>0</v>
      </c>
      <c r="Q145" s="137">
        <f>SUMIFS(Database!$G:$G,Database!$D:$D,"Export",Database!$E:$E,$B145,Database!$C:$C,Q$1,Database!$F:$F,"Total")</f>
        <v>0</v>
      </c>
      <c r="R145" s="137">
        <f>SUMIFS(Database!$G:$G,Database!$D:$D,"Export",Database!$E:$E,$B145,Database!$C:$C,R$1,Database!$F:$F,"Total")</f>
        <v>0</v>
      </c>
      <c r="S145" s="137">
        <f>SUMIFS(Database!$G:$G,Database!$D:$D,"Export",Database!$E:$E,$B145,Database!$C:$C,S$1,Database!$F:$F,"Total")</f>
        <v>0</v>
      </c>
      <c r="T145" s="137">
        <f>SUMIFS(Database!$G:$G,Database!$D:$D,"Export",Database!$E:$E,$B145,Database!$C:$C,T$1,Database!$F:$F,"Total")</f>
        <v>0</v>
      </c>
      <c r="U145" s="137">
        <f>SUMIFS(Database!$G:$G,Database!$D:$D,"Export",Database!$E:$E,$B145,Database!$C:$C,U$1,Database!$F:$F,"Total")</f>
        <v>0</v>
      </c>
      <c r="V145" s="137">
        <f>SUMIFS(Database!$G:$G,Database!$D:$D,"Export",Database!$E:$E,$B145,Database!$C:$C,V$1,Database!$F:$F,"Total")</f>
        <v>0</v>
      </c>
      <c r="W145" s="137">
        <f>SUMIFS(Database!$G:$G,Database!$D:$D,"Export",Database!$E:$E,$B145,Database!$C:$C,W$1,Database!$F:$F,"Total")</f>
        <v>0</v>
      </c>
      <c r="X145" s="137">
        <f>SUMIFS(Database!$G:$G,Database!$D:$D,"Export",Database!$E:$E,$B145,Database!$C:$C,X$1,Database!$F:$F,"Total")</f>
        <v>0</v>
      </c>
      <c r="Y145" s="137">
        <f>SUMIFS(Database!$G:$G,Database!$D:$D,"Export",Database!$E:$E,$B145,Database!$C:$C,Y$1,Database!$F:$F,"Total")</f>
        <v>0</v>
      </c>
      <c r="Z145" s="137">
        <f>SUMIFS(Database!$G:$G,Database!$D:$D,"Export",Database!$E:$E,$B145,Database!$C:$C,Z$1,Database!$F:$F,"Total")</f>
        <v>0</v>
      </c>
      <c r="AA145" s="137">
        <f>SUMIFS(Database!$G:$G,Database!$D:$D,"Export",Database!$E:$E,$B145,Database!$C:$C,AA$1,Database!$F:$F,"Total")</f>
        <v>0</v>
      </c>
      <c r="AB145" s="137">
        <f>SUMIFS(Database!$G:$G,Database!$D:$D,"Export",Database!$E:$E,$B145,Database!$C:$C,AB$1,Database!$F:$F,"Total")</f>
        <v>0</v>
      </c>
      <c r="AC145" s="137">
        <f>SUMIFS(Database!$G:$G,Database!$D:$D,"Export",Database!$E:$E,$B145,Database!$C:$C,AC$1,Database!$F:$F,"Total")</f>
        <v>0</v>
      </c>
      <c r="AD145" s="137">
        <f>SUMIFS(Database!$G:$G,Database!$D:$D,"Export",Database!$E:$E,$B145,Database!$C:$C,AD$1,Database!$F:$F,"Total")</f>
        <v>0</v>
      </c>
      <c r="AE145" s="137">
        <f>SUMIFS(Database!$G:$G,Database!$D:$D,"Export",Database!$E:$E,$B145,Database!$C:$C,AE$1,Database!$F:$F,"Total")</f>
        <v>0</v>
      </c>
      <c r="AF145" s="137">
        <f>SUMIFS(Database!$G:$G,Database!$D:$D,"Export",Database!$E:$E,$B145,Database!$C:$C,AF$1,Database!$F:$F,"Total")</f>
        <v>0</v>
      </c>
      <c r="AG145" s="137">
        <f>SUMIFS(Database!$G:$G,Database!$D:$D,"Export",Database!$E:$E,$B145,Database!$C:$C,AG$1,Database!$F:$F,"Total")</f>
        <v>0</v>
      </c>
      <c r="AH145" s="137">
        <f>SUMIFS(Database!$G:$G,Database!$D:$D,"Export",Database!$E:$E,$B145,Database!$C:$C,AH$1,Database!$F:$F,"Total")</f>
        <v>0</v>
      </c>
      <c r="AI145" s="137">
        <f>SUMIFS(Database!$G:$G,Database!$D:$D,"Export",Database!$E:$E,$B145,Database!$C:$C,AI$1,Database!$F:$F,"Total")</f>
        <v>0</v>
      </c>
      <c r="AJ145" s="137">
        <f>SUMIFS(Database!$G:$G,Database!$D:$D,"Export",Database!$E:$E,$B145,Database!$C:$C,AJ$1,Database!$F:$F,"Total")</f>
        <v>0</v>
      </c>
      <c r="AK145" s="137">
        <f>SUMIFS(Database!$G:$G,Database!$D:$D,"Export",Database!$E:$E,$B145,Database!$C:$C,AK$1,Database!$F:$F,"Total")</f>
        <v>0</v>
      </c>
      <c r="AL145" s="137">
        <f>SUMIFS(Database!$G:$G,Database!$D:$D,"Export",Database!$E:$E,$B145,Database!$C:$C,AL$1,Database!$F:$F,"Total")</f>
        <v>0</v>
      </c>
      <c r="AM145" s="137">
        <f>SUMIFS(Database!$G:$G,Database!$D:$D,"Export",Database!$E:$E,$B145,Database!$C:$C,AM$1,Database!$F:$F,"Total")</f>
        <v>0</v>
      </c>
      <c r="AN145" s="137">
        <f>SUMIFS(Database!$G:$G,Database!$D:$D,"Export",Database!$E:$E,$B145,Database!$C:$C,AN$1,Database!$F:$F,"Total")</f>
        <v>0</v>
      </c>
      <c r="AO145" s="137">
        <f>SUMIFS(Database!$G:$G,Database!$D:$D,"Export",Database!$E:$E,$B145,Database!$C:$C,AO$1,Database!$F:$F,"Total")</f>
        <v>0</v>
      </c>
      <c r="AP145" s="137">
        <f>SUMIFS(Database!$G:$G,Database!$D:$D,"Export",Database!$E:$E,$B145,Database!$C:$C,AP$1,Database!$F:$F,"Total")</f>
        <v>0</v>
      </c>
      <c r="AQ145" s="137">
        <f>SUMIFS(Database!$G:$G,Database!$D:$D,"Export",Database!$E:$E,$B145,Database!$C:$C,AQ$1,Database!$F:$F,"Total")</f>
        <v>0</v>
      </c>
      <c r="AR145" s="137">
        <f>SUMIFS(Database!$G:$G,Database!$D:$D,"Export",Database!$E:$E,$B145,Database!$C:$C,AR$1,Database!$F:$F,"Total")</f>
        <v>0</v>
      </c>
      <c r="AS145" s="137">
        <f>SUMIFS(Database!$G:$G,Database!$D:$D,"Export",Database!$E:$E,$B145,Database!$C:$C,AS$1,Database!$F:$F,"Total")</f>
        <v>0</v>
      </c>
      <c r="AT145" s="137">
        <f>SUMIFS(Database!$G:$G,Database!$D:$D,"Export",Database!$E:$E,$B145,Database!$C:$C,AT$1,Database!$F:$F,"Total")</f>
        <v>0</v>
      </c>
      <c r="AU145" s="137">
        <f>SUMIFS(Database!$G:$G,Database!$D:$D,"Export",Database!$E:$E,$B145,Database!$C:$C,AU$1,Database!$F:$F,"Total")</f>
        <v>0</v>
      </c>
      <c r="AV145" s="137">
        <f>SUMIFS(Database!$G:$G,Database!$D:$D,"Export",Database!$E:$E,$B145,Database!$C:$C,AV$1,Database!$F:$F,"Total")</f>
        <v>0</v>
      </c>
      <c r="AW145" s="137">
        <f>SUMIFS(Database!$G:$G,Database!$D:$D,"Export",Database!$E:$E,$B145,Database!$C:$C,AW$1,Database!$F:$F,"Total")</f>
        <v>0</v>
      </c>
      <c r="AX145" s="137">
        <f>SUMIFS(Database!$G:$G,Database!$D:$D,"Export",Database!$E:$E,$B145,Database!$C:$C,AX$1,Database!$F:$F,"Total")</f>
        <v>0</v>
      </c>
      <c r="AY145" s="137">
        <f>SUMIFS(Database!$G:$G,Database!$D:$D,"Export",Database!$E:$E,$B145,Database!$C:$C,AY$1,Database!$F:$F,"Total")</f>
        <v>0</v>
      </c>
      <c r="AZ145" s="137">
        <f>SUMIFS(Database!$G:$G,Database!$D:$D,"Export",Database!$E:$E,$B145,Database!$C:$C,AZ$1,Database!$F:$F,"Total")</f>
        <v>0</v>
      </c>
      <c r="BA145" s="137">
        <f>SUMIFS(Database!$G:$G,Database!$D:$D,"Export",Database!$E:$E,$B145,Database!$C:$C,BA$1,Database!$F:$F,"Total")</f>
        <v>0</v>
      </c>
      <c r="BB145" s="137">
        <f>SUMIFS(Database!$G:$G,Database!$D:$D,"Export",Database!$E:$E,$B145,Database!$C:$C,BB$1,Database!$F:$F,"Total")</f>
        <v>0</v>
      </c>
      <c r="BC145" s="137">
        <f>SUMIFS(Database!$G:$G,Database!$D:$D,"Export",Database!$E:$E,$B145,Database!$C:$C,BC$1,Database!$F:$F,"Total")</f>
        <v>0</v>
      </c>
      <c r="BD145" s="137">
        <f>SUMIFS(Database!$G:$G,Database!$D:$D,"Export",Database!$E:$E,$B145,Database!$C:$C,BD$1,Database!$F:$F,"Total")</f>
        <v>0</v>
      </c>
      <c r="BE145" s="137">
        <f>SUMIFS(Database!$G:$G,Database!$D:$D,"Export",Database!$E:$E,$B145,Database!$C:$C,BE$1,Database!$F:$F,"Total")</f>
        <v>0</v>
      </c>
      <c r="BF145" s="137">
        <f>SUMIFS(Database!$G:$G,Database!$D:$D,"Export",Database!$E:$E,$B145,Database!$C:$C,BF$1,Database!$F:$F,"Total")</f>
        <v>0</v>
      </c>
      <c r="BG145" s="137">
        <f>SUMIFS(Database!$G:$G,Database!$D:$D,"Export",Database!$E:$E,$B145,Database!$C:$C,BG$1,Database!$F:$F,"Total")</f>
        <v>0</v>
      </c>
      <c r="BH145" s="137">
        <f>SUMIFS(Database!$G:$G,Database!$D:$D,"Export",Database!$E:$E,$B145,Database!$C:$C,BH$1,Database!$F:$F,"Total")</f>
        <v>848</v>
      </c>
      <c r="BI145" s="137">
        <f>SUMIFS(Database!$G:$G,Database!$D:$D,"Export",Database!$E:$E,$B145,Database!$C:$C,BI$1,Database!$F:$F,"Total")</f>
        <v>0</v>
      </c>
      <c r="BJ145" s="137">
        <f>SUMIFS(Database!$G:$G,Database!$D:$D,"Export",Database!$E:$E,$B145,Database!$C:$C,BJ$1,Database!$F:$F,"Total")</f>
        <v>386</v>
      </c>
      <c r="BK145" s="137">
        <f>SUMIFS(Database!$G:$G,Database!$D:$D,"Export",Database!$E:$E,$B145,Database!$C:$C,BK$1,Database!$F:$F,"Total")</f>
        <v>328</v>
      </c>
      <c r="BL145" s="137">
        <f>SUMIFS(Database!$G:$G,Database!$D:$D,"Export",Database!$E:$E,$B145,Database!$C:$C,BL$1,Database!$F:$F,"Total")</f>
        <v>0</v>
      </c>
      <c r="BM145" s="137">
        <f>SUMIFS(Database!$G:$G,Database!$D:$D,"Export",Database!$E:$E,$B145,Database!$C:$C,BM$1,Database!$F:$F,"Total")</f>
        <v>0</v>
      </c>
      <c r="BN145" s="137">
        <f>SUMIFS(Database!$G:$G,Database!$D:$D,"Export",Database!$E:$E,$B145,Database!$C:$C,BN$1,Database!$F:$F,"Total")</f>
        <v>192.65</v>
      </c>
      <c r="BO145" s="137">
        <f>SUMIFS(Database!$G:$G,Database!$D:$D,"Export",Database!$E:$E,$B145,Database!$C:$C,BO$1,Database!$F:$F,"Total")</f>
        <v>0</v>
      </c>
      <c r="BP145" s="137">
        <f>SUMIFS(Database!$G:$G,Database!$D:$D,"Export",Database!$E:$E,$B145,Database!$C:$C,BP$1,Database!$F:$F,"Total")</f>
        <v>538.75</v>
      </c>
      <c r="BQ145" s="137">
        <f>SUMIFS(Database!$G:$G,Database!$D:$D,"Export",Database!$E:$E,$B145,Database!$C:$C,BQ$1,Database!$F:$F,"Total")</f>
        <v>922</v>
      </c>
      <c r="BR145" s="137">
        <f>SUMIFS(Database!$G:$G,Database!$D:$D,"Export",Database!$E:$E,$B145,Database!$C:$C,BR$1,Database!$F:$F,"Total")</f>
        <v>565.5</v>
      </c>
      <c r="BS145" s="137">
        <f>SUMIFS(Database!$G:$G,Database!$D:$D,"Export",Database!$E:$E,$B145,Database!$C:$C,BS$1,Database!$F:$F,"Total")</f>
        <v>174</v>
      </c>
      <c r="BT145" s="137">
        <f>SUMIFS(Database!$G:$G,Database!$D:$D,"Export",Database!$E:$E,$B145,Database!$C:$C,BT$1,Database!$F:$F,"Total")</f>
        <v>280.5</v>
      </c>
      <c r="BU145" s="137">
        <f>SUMIFS(Database!$G:$G,Database!$D:$D,"Export",Database!$E:$E,$B145,Database!$C:$C,BU$1,Database!$F:$F,"Total")</f>
        <v>113</v>
      </c>
      <c r="BV145" s="137">
        <f>SUMIFS(Database!$G:$G,Database!$D:$D,"Export",Database!$E:$E,$B145,Database!$C:$C,BV$1,Database!$F:$F,"Total")</f>
        <v>0</v>
      </c>
      <c r="BW145" s="137">
        <f>SUMIFS(Database!$G:$G,Database!$D:$D,"Export",Database!$E:$E,$B145,Database!$C:$C,BW$1,Database!$F:$F,"Total")</f>
        <v>0</v>
      </c>
      <c r="BX145" s="137">
        <f>SUMIFS(Database!$G:$G,Database!$D:$D,"Export",Database!$E:$E,$B145,Database!$C:$C,BX$1,Database!$F:$F,"Total")</f>
        <v>0</v>
      </c>
      <c r="BY145" s="137">
        <f>SUMIFS(Database!$G:$G,Database!$D:$D,"Export",Database!$E:$E,$B145,Database!$C:$C,BY$1,Database!$F:$F,"Total")</f>
        <v>0</v>
      </c>
      <c r="BZ145" s="137">
        <f>SUMIFS(Database!$G:$G,Database!$D:$D,"Export",Database!$E:$E,$B145,Database!$C:$C,BZ$1,Database!$F:$F,"Total")</f>
        <v>0</v>
      </c>
      <c r="CA145" s="137">
        <f>SUMIFS(Database!$G:$G,Database!$D:$D,"Export",Database!$E:$E,$B145,Database!$C:$C,CA$1,Database!$F:$F,"Total")</f>
        <v>0</v>
      </c>
      <c r="CB145" s="137">
        <f>SUMIFS(Database!$G:$G,Database!$D:$D,"Export",Database!$E:$E,$B145,Database!$C:$C,CB$1,Database!$F:$F,"Total")</f>
        <v>0</v>
      </c>
      <c r="CC145" s="137">
        <f>SUMIFS(Database!$G:$G,Database!$D:$D,"Export",Database!$E:$E,$B145,Database!$C:$C,CC$1,Database!$F:$F,"Total")</f>
        <v>0</v>
      </c>
      <c r="CD145" s="137">
        <f>SUMIFS(Database!$G:$G,Database!$D:$D,"Export",Database!$E:$E,$B145,Database!$C:$C,CD$1,Database!$F:$F,"Total")</f>
        <v>0</v>
      </c>
      <c r="CE145" s="137">
        <f>SUMIFS(Database!$G:$G,Database!$D:$D,"Export",Database!$E:$E,$B145,Database!$C:$C,CE$1,Database!$F:$F,"Total")</f>
        <v>0</v>
      </c>
      <c r="CF145" s="137">
        <f>SUMIFS(Database!$G:$G,Database!$D:$D,"Export",Database!$E:$E,$B145,Database!$C:$C,CF$1,Database!$F:$F,"Total")</f>
        <v>0</v>
      </c>
      <c r="CG145" s="137">
        <f>SUMIFS(Database!$G:$G,Database!$D:$D,"Export",Database!$E:$E,$B145,Database!$C:$C,CG$1,Database!$F:$F,"Total")</f>
        <v>0</v>
      </c>
      <c r="CH145" s="137">
        <f>SUMIFS(Database!$G:$G,Database!$D:$D,"Export",Database!$E:$E,$B145,Database!$C:$C,CH$1,Database!$F:$F,"Total")</f>
        <v>0</v>
      </c>
      <c r="CI145" s="137">
        <f>SUMIFS(Database!$G:$G,Database!$D:$D,"Export",Database!$E:$E,$B145,Database!$C:$C,CI$1,Database!$F:$F,"Total")</f>
        <v>0</v>
      </c>
      <c r="CJ145" s="137">
        <f>SUMIFS(Database!$G:$G,Database!$D:$D,"Export",Database!$E:$E,$B145,Database!$C:$C,CJ$1,Database!$F:$F,"Total")</f>
        <v>0</v>
      </c>
      <c r="CK145" s="137">
        <f>SUMIFS(Database!$G:$G,Database!$D:$D,"Export",Database!$E:$E,$B145,Database!$C:$C,CK$1,Database!$F:$F,"Total")</f>
        <v>0</v>
      </c>
      <c r="CL145" s="137">
        <f>SUMIFS(Database!$G:$G,Database!$D:$D,"Export",Database!$E:$E,$B145,Database!$C:$C,CL$1,Database!$F:$F,"Total")</f>
        <v>0</v>
      </c>
      <c r="CM145" s="137">
        <f>SUMIFS(Database!$G:$G,Database!$D:$D,"Export",Database!$E:$E,$B145,Database!$C:$C,CM$1,Database!$F:$F,"Total")</f>
        <v>0</v>
      </c>
      <c r="CN145" s="137">
        <f>SUMIFS(Database!$G:$G,Database!$D:$D,"Export",Database!$E:$E,$B145,Database!$C:$C,CN$1,Database!$F:$F,"Total")</f>
        <v>0</v>
      </c>
      <c r="CO145" s="137">
        <f>SUMIFS(Database!$G:$G,Database!$D:$D,"Export",Database!$E:$E,$B145,Database!$C:$C,CO$1,Database!$F:$F,"Total")</f>
        <v>0</v>
      </c>
      <c r="CP145" s="137">
        <f>SUMIFS(Database!$G:$G,Database!$D:$D,"Export",Database!$E:$E,$B145,Database!$C:$C,CP$1,Database!$F:$F,"Total")</f>
        <v>0</v>
      </c>
      <c r="CQ145" s="137">
        <f>SUMIFS(Database!$G:$G,Database!$D:$D,"Export",Database!$E:$E,$B145,Database!$C:$C,CQ$1,Database!$F:$F,"Total")</f>
        <v>0</v>
      </c>
      <c r="CR145" s="137">
        <f>SUMIFS(Database!$G:$G,Database!$D:$D,"Export",Database!$E:$E,$B145,Database!$C:$C,CR$1,Database!$F:$F,"Total")</f>
        <v>0</v>
      </c>
      <c r="CS145" s="137">
        <f>SUMIFS(Database!$G:$G,Database!$D:$D,"Export",Database!$E:$E,$B145,Database!$C:$C,CS$1,Database!$F:$F,"Total")</f>
        <v>0</v>
      </c>
      <c r="CT145" s="137">
        <f>SUMIFS(Database!$G:$G,Database!$D:$D,"Export",Database!$E:$E,$B145,Database!$C:$C,CT$1,Database!$F:$F,"Total")</f>
        <v>0</v>
      </c>
      <c r="CU145" s="137">
        <f>SUMIFS(Database!$G:$G,Database!$D:$D,"Export",Database!$E:$E,$B145,Database!$C:$C,CU$1,Database!$F:$F,"Total")</f>
        <v>0</v>
      </c>
    </row>
    <row r="146" spans="1:99" x14ac:dyDescent="0.25">
      <c r="A146" s="132" t="s">
        <v>485</v>
      </c>
      <c r="B146" s="133" t="s">
        <v>142</v>
      </c>
      <c r="C146" s="137">
        <f>SUMIFS(Database!$G:$G,Database!$D:$D,"Export",Database!$E:$E,$B146,Database!$C:$C,C$1,Database!$F:$F,"Total")</f>
        <v>0</v>
      </c>
      <c r="D146" s="137">
        <f>SUMIFS(Database!$G:$G,Database!$D:$D,"Export",Database!$E:$E,$B146,Database!$C:$C,D$1,Database!$F:$F,"Total")</f>
        <v>0</v>
      </c>
      <c r="E146" s="137">
        <f>SUMIFS(Database!$G:$G,Database!$D:$D,"Export",Database!$E:$E,$B146,Database!$C:$C,E$1,Database!$F:$F,"Total")</f>
        <v>0</v>
      </c>
      <c r="F146" s="137">
        <f>SUMIFS(Database!$G:$G,Database!$D:$D,"Export",Database!$E:$E,$B146,Database!$C:$C,F$1,Database!$F:$F,"Total")</f>
        <v>0</v>
      </c>
      <c r="G146" s="137">
        <f>SUMIFS(Database!$G:$G,Database!$D:$D,"Export",Database!$E:$E,$B146,Database!$C:$C,G$1,Database!$F:$F,"Total")</f>
        <v>0</v>
      </c>
      <c r="H146" s="137">
        <f>SUMIFS(Database!$G:$G,Database!$D:$D,"Export",Database!$E:$E,$B146,Database!$C:$C,H$1,Database!$F:$F,"Total")</f>
        <v>0</v>
      </c>
      <c r="I146" s="137">
        <f>SUMIFS(Database!$G:$G,Database!$D:$D,"Export",Database!$E:$E,$B146,Database!$C:$C,I$1,Database!$F:$F,"Total")</f>
        <v>0</v>
      </c>
      <c r="J146" s="137">
        <f>SUMIFS(Database!$G:$G,Database!$D:$D,"Export",Database!$E:$E,$B146,Database!$C:$C,J$1,Database!$F:$F,"Total")</f>
        <v>0</v>
      </c>
      <c r="K146" s="137">
        <f>SUMIFS(Database!$G:$G,Database!$D:$D,"Export",Database!$E:$E,$B146,Database!$C:$C,K$1,Database!$F:$F,"Total")</f>
        <v>0</v>
      </c>
      <c r="L146" s="137">
        <f>SUMIFS(Database!$G:$G,Database!$D:$D,"Export",Database!$E:$E,$B146,Database!$C:$C,L$1,Database!$F:$F,"Total")</f>
        <v>0</v>
      </c>
      <c r="M146" s="137">
        <f>SUMIFS(Database!$G:$G,Database!$D:$D,"Export",Database!$E:$E,$B146,Database!$C:$C,M$1,Database!$F:$F,"Total")</f>
        <v>0</v>
      </c>
      <c r="N146" s="137">
        <f>SUMIFS(Database!$G:$G,Database!$D:$D,"Export",Database!$E:$E,$B146,Database!$C:$C,N$1,Database!$F:$F,"Total")</f>
        <v>0</v>
      </c>
      <c r="O146" s="137">
        <f>SUMIFS(Database!$G:$G,Database!$D:$D,"Export",Database!$E:$E,$B146,Database!$C:$C,O$1,Database!$F:$F,"Total")</f>
        <v>0</v>
      </c>
      <c r="P146" s="137">
        <f>SUMIFS(Database!$G:$G,Database!$D:$D,"Export",Database!$E:$E,$B146,Database!$C:$C,P$1,Database!$F:$F,"Total")</f>
        <v>0</v>
      </c>
      <c r="Q146" s="137">
        <f>SUMIFS(Database!$G:$G,Database!$D:$D,"Export",Database!$E:$E,$B146,Database!$C:$C,Q$1,Database!$F:$F,"Total")</f>
        <v>0</v>
      </c>
      <c r="R146" s="137">
        <f>SUMIFS(Database!$G:$G,Database!$D:$D,"Export",Database!$E:$E,$B146,Database!$C:$C,R$1,Database!$F:$F,"Total")</f>
        <v>0</v>
      </c>
      <c r="S146" s="137">
        <f>SUMIFS(Database!$G:$G,Database!$D:$D,"Export",Database!$E:$E,$B146,Database!$C:$C,S$1,Database!$F:$F,"Total")</f>
        <v>0</v>
      </c>
      <c r="T146" s="137">
        <f>SUMIFS(Database!$G:$G,Database!$D:$D,"Export",Database!$E:$E,$B146,Database!$C:$C,T$1,Database!$F:$F,"Total")</f>
        <v>0</v>
      </c>
      <c r="U146" s="137">
        <f>SUMIFS(Database!$G:$G,Database!$D:$D,"Export",Database!$E:$E,$B146,Database!$C:$C,U$1,Database!$F:$F,"Total")</f>
        <v>0</v>
      </c>
      <c r="V146" s="137">
        <f>SUMIFS(Database!$G:$G,Database!$D:$D,"Export",Database!$E:$E,$B146,Database!$C:$C,V$1,Database!$F:$F,"Total")</f>
        <v>0</v>
      </c>
      <c r="W146" s="137">
        <f>SUMIFS(Database!$G:$G,Database!$D:$D,"Export",Database!$E:$E,$B146,Database!$C:$C,W$1,Database!$F:$F,"Total")</f>
        <v>0</v>
      </c>
      <c r="X146" s="137">
        <f>SUMIFS(Database!$G:$G,Database!$D:$D,"Export",Database!$E:$E,$B146,Database!$C:$C,X$1,Database!$F:$F,"Total")</f>
        <v>0</v>
      </c>
      <c r="Y146" s="137">
        <f>SUMIFS(Database!$G:$G,Database!$D:$D,"Export",Database!$E:$E,$B146,Database!$C:$C,Y$1,Database!$F:$F,"Total")</f>
        <v>0</v>
      </c>
      <c r="Z146" s="137">
        <f>SUMIFS(Database!$G:$G,Database!$D:$D,"Export",Database!$E:$E,$B146,Database!$C:$C,Z$1,Database!$F:$F,"Total")</f>
        <v>0</v>
      </c>
      <c r="AA146" s="137">
        <f>SUMIFS(Database!$G:$G,Database!$D:$D,"Export",Database!$E:$E,$B146,Database!$C:$C,AA$1,Database!$F:$F,"Total")</f>
        <v>0</v>
      </c>
      <c r="AB146" s="137">
        <f>SUMIFS(Database!$G:$G,Database!$D:$D,"Export",Database!$E:$E,$B146,Database!$C:$C,AB$1,Database!$F:$F,"Total")</f>
        <v>0</v>
      </c>
      <c r="AC146" s="137">
        <f>SUMIFS(Database!$G:$G,Database!$D:$D,"Export",Database!$E:$E,$B146,Database!$C:$C,AC$1,Database!$F:$F,"Total")</f>
        <v>0</v>
      </c>
      <c r="AD146" s="137">
        <f>SUMIFS(Database!$G:$G,Database!$D:$D,"Export",Database!$E:$E,$B146,Database!$C:$C,AD$1,Database!$F:$F,"Total")</f>
        <v>0</v>
      </c>
      <c r="AE146" s="137">
        <f>SUMIFS(Database!$G:$G,Database!$D:$D,"Export",Database!$E:$E,$B146,Database!$C:$C,AE$1,Database!$F:$F,"Total")</f>
        <v>2925</v>
      </c>
      <c r="AF146" s="137">
        <f>SUMIFS(Database!$G:$G,Database!$D:$D,"Export",Database!$E:$E,$B146,Database!$C:$C,AF$1,Database!$F:$F,"Total")</f>
        <v>8961</v>
      </c>
      <c r="AG146" s="137">
        <f>SUMIFS(Database!$G:$G,Database!$D:$D,"Export",Database!$E:$E,$B146,Database!$C:$C,AG$1,Database!$F:$F,"Total")</f>
        <v>0</v>
      </c>
      <c r="AH146" s="137">
        <f>SUMIFS(Database!$G:$G,Database!$D:$D,"Export",Database!$E:$E,$B146,Database!$C:$C,AH$1,Database!$F:$F,"Total")</f>
        <v>12759</v>
      </c>
      <c r="AI146" s="137">
        <f>SUMIFS(Database!$G:$G,Database!$D:$D,"Export",Database!$E:$E,$B146,Database!$C:$C,AI$1,Database!$F:$F,"Total")</f>
        <v>14084</v>
      </c>
      <c r="AJ146" s="137">
        <f>SUMIFS(Database!$G:$G,Database!$D:$D,"Export",Database!$E:$E,$B146,Database!$C:$C,AJ$1,Database!$F:$F,"Total")</f>
        <v>7793</v>
      </c>
      <c r="AK146" s="137">
        <f>SUMIFS(Database!$G:$G,Database!$D:$D,"Export",Database!$E:$E,$B146,Database!$C:$C,AK$1,Database!$F:$F,"Total")</f>
        <v>14875</v>
      </c>
      <c r="AL146" s="137">
        <f>SUMIFS(Database!$G:$G,Database!$D:$D,"Export",Database!$E:$E,$B146,Database!$C:$C,AL$1,Database!$F:$F,"Total")</f>
        <v>19572</v>
      </c>
      <c r="AM146" s="137">
        <f>SUMIFS(Database!$G:$G,Database!$D:$D,"Export",Database!$E:$E,$B146,Database!$C:$C,AM$1,Database!$F:$F,"Total")</f>
        <v>7157</v>
      </c>
      <c r="AN146" s="137">
        <f>SUMIFS(Database!$G:$G,Database!$D:$D,"Export",Database!$E:$E,$B146,Database!$C:$C,AN$1,Database!$F:$F,"Total")</f>
        <v>19534</v>
      </c>
      <c r="AO146" s="137">
        <f>SUMIFS(Database!$G:$G,Database!$D:$D,"Export",Database!$E:$E,$B146,Database!$C:$C,AO$1,Database!$F:$F,"Total")</f>
        <v>19224</v>
      </c>
      <c r="AP146" s="137">
        <f>SUMIFS(Database!$G:$G,Database!$D:$D,"Export",Database!$E:$E,$B146,Database!$C:$C,AP$1,Database!$F:$F,"Total")</f>
        <v>6529</v>
      </c>
      <c r="AQ146" s="137">
        <f>SUMIFS(Database!$G:$G,Database!$D:$D,"Export",Database!$E:$E,$B146,Database!$C:$C,AQ$1,Database!$F:$F,"Total")</f>
        <v>1177</v>
      </c>
      <c r="AR146" s="137">
        <f>SUMIFS(Database!$G:$G,Database!$D:$D,"Export",Database!$E:$E,$B146,Database!$C:$C,AR$1,Database!$F:$F,"Total")</f>
        <v>21163</v>
      </c>
      <c r="AS146" s="137">
        <f>SUMIFS(Database!$G:$G,Database!$D:$D,"Export",Database!$E:$E,$B146,Database!$C:$C,AS$1,Database!$F:$F,"Total")</f>
        <v>22074</v>
      </c>
      <c r="AT146" s="137">
        <f>SUMIFS(Database!$G:$G,Database!$D:$D,"Export",Database!$E:$E,$B146,Database!$C:$C,AT$1,Database!$F:$F,"Total")</f>
        <v>7778</v>
      </c>
      <c r="AU146" s="137">
        <f>SUMIFS(Database!$G:$G,Database!$D:$D,"Export",Database!$E:$E,$B146,Database!$C:$C,AU$1,Database!$F:$F,"Total")</f>
        <v>14361</v>
      </c>
      <c r="AV146" s="137">
        <f>SUMIFS(Database!$G:$G,Database!$D:$D,"Export",Database!$E:$E,$B146,Database!$C:$C,AV$1,Database!$F:$F,"Total")</f>
        <v>10711</v>
      </c>
      <c r="AW146" s="137">
        <f>SUMIFS(Database!$G:$G,Database!$D:$D,"Export",Database!$E:$E,$B146,Database!$C:$C,AW$1,Database!$F:$F,"Total")</f>
        <v>27386</v>
      </c>
      <c r="AX146" s="137">
        <f>SUMIFS(Database!$G:$G,Database!$D:$D,"Export",Database!$E:$E,$B146,Database!$C:$C,AX$1,Database!$F:$F,"Total")</f>
        <v>28056</v>
      </c>
      <c r="AY146" s="137">
        <f>SUMIFS(Database!$G:$G,Database!$D:$D,"Export",Database!$E:$E,$B146,Database!$C:$C,AY$1,Database!$F:$F,"Total")</f>
        <v>15817</v>
      </c>
      <c r="AZ146" s="137">
        <f>SUMIFS(Database!$G:$G,Database!$D:$D,"Export",Database!$E:$E,$B146,Database!$C:$C,AZ$1,Database!$F:$F,"Total")</f>
        <v>21071</v>
      </c>
      <c r="BA146" s="137">
        <f>SUMIFS(Database!$G:$G,Database!$D:$D,"Export",Database!$E:$E,$B146,Database!$C:$C,BA$1,Database!$F:$F,"Total")</f>
        <v>24500</v>
      </c>
      <c r="BB146" s="137">
        <f>SUMIFS(Database!$G:$G,Database!$D:$D,"Export",Database!$E:$E,$B146,Database!$C:$C,BB$1,Database!$F:$F,"Total")</f>
        <v>12880</v>
      </c>
      <c r="BC146" s="137">
        <f>SUMIFS(Database!$G:$G,Database!$D:$D,"Export",Database!$E:$E,$B146,Database!$C:$C,BC$1,Database!$F:$F,"Total")</f>
        <v>24827</v>
      </c>
      <c r="BD146" s="137">
        <f>SUMIFS(Database!$G:$G,Database!$D:$D,"Export",Database!$E:$E,$B146,Database!$C:$C,BD$1,Database!$F:$F,"Total")</f>
        <v>18672</v>
      </c>
      <c r="BE146" s="137">
        <f>SUMIFS(Database!$G:$G,Database!$D:$D,"Export",Database!$E:$E,$B146,Database!$C:$C,BE$1,Database!$F:$F,"Total")</f>
        <v>21481</v>
      </c>
      <c r="BF146" s="137">
        <f>SUMIFS(Database!$G:$G,Database!$D:$D,"Export",Database!$E:$E,$B146,Database!$C:$C,BF$1,Database!$F:$F,"Total")</f>
        <v>33306</v>
      </c>
      <c r="BG146" s="137">
        <f>SUMIFS(Database!$G:$G,Database!$D:$D,"Export",Database!$E:$E,$B146,Database!$C:$C,BG$1,Database!$F:$F,"Total")</f>
        <v>20979</v>
      </c>
      <c r="BH146" s="137">
        <f>SUMIFS(Database!$G:$G,Database!$D:$D,"Export",Database!$E:$E,$B146,Database!$C:$C,BH$1,Database!$F:$F,"Total")</f>
        <v>16433</v>
      </c>
      <c r="BI146" s="137">
        <f>SUMIFS(Database!$G:$G,Database!$D:$D,"Export",Database!$E:$E,$B146,Database!$C:$C,BI$1,Database!$F:$F,"Total")</f>
        <v>0</v>
      </c>
      <c r="BJ146" s="137">
        <f>SUMIFS(Database!$G:$G,Database!$D:$D,"Export",Database!$E:$E,$B146,Database!$C:$C,BJ$1,Database!$F:$F,"Total")</f>
        <v>0</v>
      </c>
      <c r="BK146" s="137">
        <f>SUMIFS(Database!$G:$G,Database!$D:$D,"Export",Database!$E:$E,$B146,Database!$C:$C,BK$1,Database!$F:$F,"Total")</f>
        <v>0</v>
      </c>
      <c r="BL146" s="137">
        <f>SUMIFS(Database!$G:$G,Database!$D:$D,"Export",Database!$E:$E,$B146,Database!$C:$C,BL$1,Database!$F:$F,"Total")</f>
        <v>0</v>
      </c>
      <c r="BM146" s="137">
        <f>SUMIFS(Database!$G:$G,Database!$D:$D,"Export",Database!$E:$E,$B146,Database!$C:$C,BM$1,Database!$F:$F,"Total")</f>
        <v>0</v>
      </c>
      <c r="BN146" s="137">
        <f>SUMIFS(Database!$G:$G,Database!$D:$D,"Export",Database!$E:$E,$B146,Database!$C:$C,BN$1,Database!$F:$F,"Total")</f>
        <v>16245</v>
      </c>
      <c r="BO146" s="137">
        <f>SUMIFS(Database!$G:$G,Database!$D:$D,"Export",Database!$E:$E,$B146,Database!$C:$C,BO$1,Database!$F:$F,"Total")</f>
        <v>0</v>
      </c>
      <c r="BP146" s="137">
        <f>SUMIFS(Database!$G:$G,Database!$D:$D,"Export",Database!$E:$E,$B146,Database!$C:$C,BP$1,Database!$F:$F,"Total")</f>
        <v>23536</v>
      </c>
      <c r="BQ146" s="137">
        <f>SUMIFS(Database!$G:$G,Database!$D:$D,"Export",Database!$E:$E,$B146,Database!$C:$C,BQ$1,Database!$F:$F,"Total")</f>
        <v>43874</v>
      </c>
      <c r="BR146" s="137">
        <f>SUMIFS(Database!$G:$G,Database!$D:$D,"Export",Database!$E:$E,$B146,Database!$C:$C,BR$1,Database!$F:$F,"Total")</f>
        <v>62632</v>
      </c>
      <c r="BS146" s="137">
        <f>SUMIFS(Database!$G:$G,Database!$D:$D,"Export",Database!$E:$E,$B146,Database!$C:$C,BS$1,Database!$F:$F,"Total")</f>
        <v>48440</v>
      </c>
      <c r="BT146" s="137">
        <f>SUMIFS(Database!$G:$G,Database!$D:$D,"Export",Database!$E:$E,$B146,Database!$C:$C,BT$1,Database!$F:$F,"Total")</f>
        <v>17567</v>
      </c>
      <c r="BU146" s="137">
        <f>SUMIFS(Database!$G:$G,Database!$D:$D,"Export",Database!$E:$E,$B146,Database!$C:$C,BU$1,Database!$F:$F,"Total")</f>
        <v>22859</v>
      </c>
      <c r="BV146" s="137">
        <f>SUMIFS(Database!$G:$G,Database!$D:$D,"Export",Database!$E:$E,$B146,Database!$C:$C,BV$1,Database!$F:$F,"Total")</f>
        <v>0</v>
      </c>
      <c r="BW146" s="137">
        <f>SUMIFS(Database!$G:$G,Database!$D:$D,"Export",Database!$E:$E,$B146,Database!$C:$C,BW$1,Database!$F:$F,"Total")</f>
        <v>0</v>
      </c>
      <c r="BX146" s="137">
        <f>SUMIFS(Database!$G:$G,Database!$D:$D,"Export",Database!$E:$E,$B146,Database!$C:$C,BX$1,Database!$F:$F,"Total")</f>
        <v>0</v>
      </c>
      <c r="BY146" s="137">
        <f>SUMIFS(Database!$G:$G,Database!$D:$D,"Export",Database!$E:$E,$B146,Database!$C:$C,BY$1,Database!$F:$F,"Total")</f>
        <v>0</v>
      </c>
      <c r="BZ146" s="137">
        <f>SUMIFS(Database!$G:$G,Database!$D:$D,"Export",Database!$E:$E,$B146,Database!$C:$C,BZ$1,Database!$F:$F,"Total")</f>
        <v>0</v>
      </c>
      <c r="CA146" s="137">
        <f>SUMIFS(Database!$G:$G,Database!$D:$D,"Export",Database!$E:$E,$B146,Database!$C:$C,CA$1,Database!$F:$F,"Total")</f>
        <v>0</v>
      </c>
      <c r="CB146" s="137">
        <f>SUMIFS(Database!$G:$G,Database!$D:$D,"Export",Database!$E:$E,$B146,Database!$C:$C,CB$1,Database!$F:$F,"Total")</f>
        <v>0</v>
      </c>
      <c r="CC146" s="137">
        <f>SUMIFS(Database!$G:$G,Database!$D:$D,"Export",Database!$E:$E,$B146,Database!$C:$C,CC$1,Database!$F:$F,"Total")</f>
        <v>0</v>
      </c>
      <c r="CD146" s="137">
        <f>SUMIFS(Database!$G:$G,Database!$D:$D,"Export",Database!$E:$E,$B146,Database!$C:$C,CD$1,Database!$F:$F,"Total")</f>
        <v>0</v>
      </c>
      <c r="CE146" s="137">
        <f>SUMIFS(Database!$G:$G,Database!$D:$D,"Export",Database!$E:$E,$B146,Database!$C:$C,CE$1,Database!$F:$F,"Total")</f>
        <v>0</v>
      </c>
      <c r="CF146" s="137">
        <f>SUMIFS(Database!$G:$G,Database!$D:$D,"Export",Database!$E:$E,$B146,Database!$C:$C,CF$1,Database!$F:$F,"Total")</f>
        <v>0</v>
      </c>
      <c r="CG146" s="137">
        <f>SUMIFS(Database!$G:$G,Database!$D:$D,"Export",Database!$E:$E,$B146,Database!$C:$C,CG$1,Database!$F:$F,"Total")</f>
        <v>0</v>
      </c>
      <c r="CH146" s="137">
        <f>SUMIFS(Database!$G:$G,Database!$D:$D,"Export",Database!$E:$E,$B146,Database!$C:$C,CH$1,Database!$F:$F,"Total")</f>
        <v>0</v>
      </c>
      <c r="CI146" s="137">
        <f>SUMIFS(Database!$G:$G,Database!$D:$D,"Export",Database!$E:$E,$B146,Database!$C:$C,CI$1,Database!$F:$F,"Total")</f>
        <v>0</v>
      </c>
      <c r="CJ146" s="137">
        <f>SUMIFS(Database!$G:$G,Database!$D:$D,"Export",Database!$E:$E,$B146,Database!$C:$C,CJ$1,Database!$F:$F,"Total")</f>
        <v>0</v>
      </c>
      <c r="CK146" s="137">
        <f>SUMIFS(Database!$G:$G,Database!$D:$D,"Export",Database!$E:$E,$B146,Database!$C:$C,CK$1,Database!$F:$F,"Total")</f>
        <v>0</v>
      </c>
      <c r="CL146" s="137">
        <f>SUMIFS(Database!$G:$G,Database!$D:$D,"Export",Database!$E:$E,$B146,Database!$C:$C,CL$1,Database!$F:$F,"Total")</f>
        <v>0</v>
      </c>
      <c r="CM146" s="137">
        <f>SUMIFS(Database!$G:$G,Database!$D:$D,"Export",Database!$E:$E,$B146,Database!$C:$C,CM$1,Database!$F:$F,"Total")</f>
        <v>0</v>
      </c>
      <c r="CN146" s="137">
        <f>SUMIFS(Database!$G:$G,Database!$D:$D,"Export",Database!$E:$E,$B146,Database!$C:$C,CN$1,Database!$F:$F,"Total")</f>
        <v>0</v>
      </c>
      <c r="CO146" s="137">
        <f>SUMIFS(Database!$G:$G,Database!$D:$D,"Export",Database!$E:$E,$B146,Database!$C:$C,CO$1,Database!$F:$F,"Total")</f>
        <v>0</v>
      </c>
      <c r="CP146" s="137">
        <f>SUMIFS(Database!$G:$G,Database!$D:$D,"Export",Database!$E:$E,$B146,Database!$C:$C,CP$1,Database!$F:$F,"Total")</f>
        <v>0</v>
      </c>
      <c r="CQ146" s="137">
        <f>SUMIFS(Database!$G:$G,Database!$D:$D,"Export",Database!$E:$E,$B146,Database!$C:$C,CQ$1,Database!$F:$F,"Total")</f>
        <v>0</v>
      </c>
      <c r="CR146" s="137">
        <f>SUMIFS(Database!$G:$G,Database!$D:$D,"Export",Database!$E:$E,$B146,Database!$C:$C,CR$1,Database!$F:$F,"Total")</f>
        <v>0</v>
      </c>
      <c r="CS146" s="137">
        <f>SUMIFS(Database!$G:$G,Database!$D:$D,"Export",Database!$E:$E,$B146,Database!$C:$C,CS$1,Database!$F:$F,"Total")</f>
        <v>0</v>
      </c>
      <c r="CT146" s="137">
        <f>SUMIFS(Database!$G:$G,Database!$D:$D,"Export",Database!$E:$E,$B146,Database!$C:$C,CT$1,Database!$F:$F,"Total")</f>
        <v>0</v>
      </c>
      <c r="CU146" s="137">
        <f>SUMIFS(Database!$G:$G,Database!$D:$D,"Export",Database!$E:$E,$B146,Database!$C:$C,CU$1,Database!$F:$F,"Total")</f>
        <v>0</v>
      </c>
    </row>
    <row r="147" spans="1:99" x14ac:dyDescent="0.25">
      <c r="A147" s="132" t="s">
        <v>485</v>
      </c>
      <c r="B147" s="133" t="s">
        <v>143</v>
      </c>
      <c r="C147" s="137">
        <f>SUMIFS(Database!$G:$G,Database!$D:$D,"Export",Database!$E:$E,$B147,Database!$C:$C,C$1,Database!$F:$F,"Total")</f>
        <v>0</v>
      </c>
      <c r="D147" s="137">
        <f>SUMIFS(Database!$G:$G,Database!$D:$D,"Export",Database!$E:$E,$B147,Database!$C:$C,D$1,Database!$F:$F,"Total")</f>
        <v>0</v>
      </c>
      <c r="E147" s="137">
        <f>SUMIFS(Database!$G:$G,Database!$D:$D,"Export",Database!$E:$E,$B147,Database!$C:$C,E$1,Database!$F:$F,"Total")</f>
        <v>0</v>
      </c>
      <c r="F147" s="137">
        <f>SUMIFS(Database!$G:$G,Database!$D:$D,"Export",Database!$E:$E,$B147,Database!$C:$C,F$1,Database!$F:$F,"Total")</f>
        <v>0</v>
      </c>
      <c r="G147" s="137">
        <f>SUMIFS(Database!$G:$G,Database!$D:$D,"Export",Database!$E:$E,$B147,Database!$C:$C,G$1,Database!$F:$F,"Total")</f>
        <v>0</v>
      </c>
      <c r="H147" s="137">
        <f>SUMIFS(Database!$G:$G,Database!$D:$D,"Export",Database!$E:$E,$B147,Database!$C:$C,H$1,Database!$F:$F,"Total")</f>
        <v>0</v>
      </c>
      <c r="I147" s="137">
        <f>SUMIFS(Database!$G:$G,Database!$D:$D,"Export",Database!$E:$E,$B147,Database!$C:$C,I$1,Database!$F:$F,"Total")</f>
        <v>0</v>
      </c>
      <c r="J147" s="137">
        <f>SUMIFS(Database!$G:$G,Database!$D:$D,"Export",Database!$E:$E,$B147,Database!$C:$C,J$1,Database!$F:$F,"Total")</f>
        <v>0</v>
      </c>
      <c r="K147" s="137">
        <f>SUMIFS(Database!$G:$G,Database!$D:$D,"Export",Database!$E:$E,$B147,Database!$C:$C,K$1,Database!$F:$F,"Total")</f>
        <v>0</v>
      </c>
      <c r="L147" s="137">
        <f>SUMIFS(Database!$G:$G,Database!$D:$D,"Export",Database!$E:$E,$B147,Database!$C:$C,L$1,Database!$F:$F,"Total")</f>
        <v>0</v>
      </c>
      <c r="M147" s="137">
        <f>SUMIFS(Database!$G:$G,Database!$D:$D,"Export",Database!$E:$E,$B147,Database!$C:$C,M$1,Database!$F:$F,"Total")</f>
        <v>0</v>
      </c>
      <c r="N147" s="137">
        <f>SUMIFS(Database!$G:$G,Database!$D:$D,"Export",Database!$E:$E,$B147,Database!$C:$C,N$1,Database!$F:$F,"Total")</f>
        <v>0</v>
      </c>
      <c r="O147" s="137">
        <f>SUMIFS(Database!$G:$G,Database!$D:$D,"Export",Database!$E:$E,$B147,Database!$C:$C,O$1,Database!$F:$F,"Total")</f>
        <v>0</v>
      </c>
      <c r="P147" s="137">
        <f>SUMIFS(Database!$G:$G,Database!$D:$D,"Export",Database!$E:$E,$B147,Database!$C:$C,P$1,Database!$F:$F,"Total")</f>
        <v>0</v>
      </c>
      <c r="Q147" s="137">
        <f>SUMIFS(Database!$G:$G,Database!$D:$D,"Export",Database!$E:$E,$B147,Database!$C:$C,Q$1,Database!$F:$F,"Total")</f>
        <v>0</v>
      </c>
      <c r="R147" s="137">
        <f>SUMIFS(Database!$G:$G,Database!$D:$D,"Export",Database!$E:$E,$B147,Database!$C:$C,R$1,Database!$F:$F,"Total")</f>
        <v>0</v>
      </c>
      <c r="S147" s="137">
        <f>SUMIFS(Database!$G:$G,Database!$D:$D,"Export",Database!$E:$E,$B147,Database!$C:$C,S$1,Database!$F:$F,"Total")</f>
        <v>0</v>
      </c>
      <c r="T147" s="137">
        <f>SUMIFS(Database!$G:$G,Database!$D:$D,"Export",Database!$E:$E,$B147,Database!$C:$C,T$1,Database!$F:$F,"Total")</f>
        <v>0</v>
      </c>
      <c r="U147" s="137">
        <f>SUMIFS(Database!$G:$G,Database!$D:$D,"Export",Database!$E:$E,$B147,Database!$C:$C,U$1,Database!$F:$F,"Total")</f>
        <v>0</v>
      </c>
      <c r="V147" s="137">
        <f>SUMIFS(Database!$G:$G,Database!$D:$D,"Export",Database!$E:$E,$B147,Database!$C:$C,V$1,Database!$F:$F,"Total")</f>
        <v>0</v>
      </c>
      <c r="W147" s="137">
        <f>SUMIFS(Database!$G:$G,Database!$D:$D,"Export",Database!$E:$E,$B147,Database!$C:$C,W$1,Database!$F:$F,"Total")</f>
        <v>0</v>
      </c>
      <c r="X147" s="137">
        <f>SUMIFS(Database!$G:$G,Database!$D:$D,"Export",Database!$E:$E,$B147,Database!$C:$C,X$1,Database!$F:$F,"Total")</f>
        <v>0</v>
      </c>
      <c r="Y147" s="137">
        <f>SUMIFS(Database!$G:$G,Database!$D:$D,"Export",Database!$E:$E,$B147,Database!$C:$C,Y$1,Database!$F:$F,"Total")</f>
        <v>0</v>
      </c>
      <c r="Z147" s="137">
        <f>SUMIFS(Database!$G:$G,Database!$D:$D,"Export",Database!$E:$E,$B147,Database!$C:$C,Z$1,Database!$F:$F,"Total")</f>
        <v>0</v>
      </c>
      <c r="AA147" s="137">
        <f>SUMIFS(Database!$G:$G,Database!$D:$D,"Export",Database!$E:$E,$B147,Database!$C:$C,AA$1,Database!$F:$F,"Total")</f>
        <v>0</v>
      </c>
      <c r="AB147" s="137">
        <f>SUMIFS(Database!$G:$G,Database!$D:$D,"Export",Database!$E:$E,$B147,Database!$C:$C,AB$1,Database!$F:$F,"Total")</f>
        <v>0</v>
      </c>
      <c r="AC147" s="137">
        <f>SUMIFS(Database!$G:$G,Database!$D:$D,"Export",Database!$E:$E,$B147,Database!$C:$C,AC$1,Database!$F:$F,"Total")</f>
        <v>0</v>
      </c>
      <c r="AD147" s="137">
        <f>SUMIFS(Database!$G:$G,Database!$D:$D,"Export",Database!$E:$E,$B147,Database!$C:$C,AD$1,Database!$F:$F,"Total")</f>
        <v>0</v>
      </c>
      <c r="AE147" s="137">
        <f>SUMIFS(Database!$G:$G,Database!$D:$D,"Export",Database!$E:$E,$B147,Database!$C:$C,AE$1,Database!$F:$F,"Total")</f>
        <v>0</v>
      </c>
      <c r="AF147" s="137">
        <f>SUMIFS(Database!$G:$G,Database!$D:$D,"Export",Database!$E:$E,$B147,Database!$C:$C,AF$1,Database!$F:$F,"Total")</f>
        <v>0</v>
      </c>
      <c r="AG147" s="137">
        <f>SUMIFS(Database!$G:$G,Database!$D:$D,"Export",Database!$E:$E,$B147,Database!$C:$C,AG$1,Database!$F:$F,"Total")</f>
        <v>0</v>
      </c>
      <c r="AH147" s="137">
        <f>SUMIFS(Database!$G:$G,Database!$D:$D,"Export",Database!$E:$E,$B147,Database!$C:$C,AH$1,Database!$F:$F,"Total")</f>
        <v>0</v>
      </c>
      <c r="AI147" s="137">
        <f>SUMIFS(Database!$G:$G,Database!$D:$D,"Export",Database!$E:$E,$B147,Database!$C:$C,AI$1,Database!$F:$F,"Total")</f>
        <v>0</v>
      </c>
      <c r="AJ147" s="137">
        <f>SUMIFS(Database!$G:$G,Database!$D:$D,"Export",Database!$E:$E,$B147,Database!$C:$C,AJ$1,Database!$F:$F,"Total")</f>
        <v>0</v>
      </c>
      <c r="AK147" s="137">
        <f>SUMIFS(Database!$G:$G,Database!$D:$D,"Export",Database!$E:$E,$B147,Database!$C:$C,AK$1,Database!$F:$F,"Total")</f>
        <v>0</v>
      </c>
      <c r="AL147" s="137">
        <f>SUMIFS(Database!$G:$G,Database!$D:$D,"Export",Database!$E:$E,$B147,Database!$C:$C,AL$1,Database!$F:$F,"Total")</f>
        <v>0</v>
      </c>
      <c r="AM147" s="137">
        <f>SUMIFS(Database!$G:$G,Database!$D:$D,"Export",Database!$E:$E,$B147,Database!$C:$C,AM$1,Database!$F:$F,"Total")</f>
        <v>0</v>
      </c>
      <c r="AN147" s="137">
        <f>SUMIFS(Database!$G:$G,Database!$D:$D,"Export",Database!$E:$E,$B147,Database!$C:$C,AN$1,Database!$F:$F,"Total")</f>
        <v>0</v>
      </c>
      <c r="AO147" s="137">
        <f>SUMIFS(Database!$G:$G,Database!$D:$D,"Export",Database!$E:$E,$B147,Database!$C:$C,AO$1,Database!$F:$F,"Total")</f>
        <v>0</v>
      </c>
      <c r="AP147" s="137">
        <f>SUMIFS(Database!$G:$G,Database!$D:$D,"Export",Database!$E:$E,$B147,Database!$C:$C,AP$1,Database!$F:$F,"Total")</f>
        <v>0</v>
      </c>
      <c r="AQ147" s="137">
        <f>SUMIFS(Database!$G:$G,Database!$D:$D,"Export",Database!$E:$E,$B147,Database!$C:$C,AQ$1,Database!$F:$F,"Total")</f>
        <v>0</v>
      </c>
      <c r="AR147" s="137">
        <f>SUMIFS(Database!$G:$G,Database!$D:$D,"Export",Database!$E:$E,$B147,Database!$C:$C,AR$1,Database!$F:$F,"Total")</f>
        <v>0</v>
      </c>
      <c r="AS147" s="137">
        <f>SUMIFS(Database!$G:$G,Database!$D:$D,"Export",Database!$E:$E,$B147,Database!$C:$C,AS$1,Database!$F:$F,"Total")</f>
        <v>0</v>
      </c>
      <c r="AT147" s="137">
        <f>SUMIFS(Database!$G:$G,Database!$D:$D,"Export",Database!$E:$E,$B147,Database!$C:$C,AT$1,Database!$F:$F,"Total")</f>
        <v>0</v>
      </c>
      <c r="AU147" s="137">
        <f>SUMIFS(Database!$G:$G,Database!$D:$D,"Export",Database!$E:$E,$B147,Database!$C:$C,AU$1,Database!$F:$F,"Total")</f>
        <v>0</v>
      </c>
      <c r="AV147" s="137">
        <f>SUMIFS(Database!$G:$G,Database!$D:$D,"Export",Database!$E:$E,$B147,Database!$C:$C,AV$1,Database!$F:$F,"Total")</f>
        <v>0</v>
      </c>
      <c r="AW147" s="137">
        <f>SUMIFS(Database!$G:$G,Database!$D:$D,"Export",Database!$E:$E,$B147,Database!$C:$C,AW$1,Database!$F:$F,"Total")</f>
        <v>0</v>
      </c>
      <c r="AX147" s="137">
        <f>SUMIFS(Database!$G:$G,Database!$D:$D,"Export",Database!$E:$E,$B147,Database!$C:$C,AX$1,Database!$F:$F,"Total")</f>
        <v>0</v>
      </c>
      <c r="AY147" s="137">
        <f>SUMIFS(Database!$G:$G,Database!$D:$D,"Export",Database!$E:$E,$B147,Database!$C:$C,AY$1,Database!$F:$F,"Total")</f>
        <v>0</v>
      </c>
      <c r="AZ147" s="137">
        <f>SUMIFS(Database!$G:$G,Database!$D:$D,"Export",Database!$E:$E,$B147,Database!$C:$C,AZ$1,Database!$F:$F,"Total")</f>
        <v>0</v>
      </c>
      <c r="BA147" s="137">
        <f>SUMIFS(Database!$G:$G,Database!$D:$D,"Export",Database!$E:$E,$B147,Database!$C:$C,BA$1,Database!$F:$F,"Total")</f>
        <v>0</v>
      </c>
      <c r="BB147" s="137">
        <f>SUMIFS(Database!$G:$G,Database!$D:$D,"Export",Database!$E:$E,$B147,Database!$C:$C,BB$1,Database!$F:$F,"Total")</f>
        <v>0</v>
      </c>
      <c r="BC147" s="137">
        <f>SUMIFS(Database!$G:$G,Database!$D:$D,"Export",Database!$E:$E,$B147,Database!$C:$C,BC$1,Database!$F:$F,"Total")</f>
        <v>0</v>
      </c>
      <c r="BD147" s="137">
        <f>SUMIFS(Database!$G:$G,Database!$D:$D,"Export",Database!$E:$E,$B147,Database!$C:$C,BD$1,Database!$F:$F,"Total")</f>
        <v>0</v>
      </c>
      <c r="BE147" s="137">
        <f>SUMIFS(Database!$G:$G,Database!$D:$D,"Export",Database!$E:$E,$B147,Database!$C:$C,BE$1,Database!$F:$F,"Total")</f>
        <v>0</v>
      </c>
      <c r="BF147" s="137">
        <f>SUMIFS(Database!$G:$G,Database!$D:$D,"Export",Database!$E:$E,$B147,Database!$C:$C,BF$1,Database!$F:$F,"Total")</f>
        <v>0</v>
      </c>
      <c r="BG147" s="137">
        <f>SUMIFS(Database!$G:$G,Database!$D:$D,"Export",Database!$E:$E,$B147,Database!$C:$C,BG$1,Database!$F:$F,"Total")</f>
        <v>537</v>
      </c>
      <c r="BH147" s="137">
        <f>SUMIFS(Database!$G:$G,Database!$D:$D,"Export",Database!$E:$E,$B147,Database!$C:$C,BH$1,Database!$F:$F,"Total")</f>
        <v>522</v>
      </c>
      <c r="BI147" s="137">
        <f>SUMIFS(Database!$G:$G,Database!$D:$D,"Export",Database!$E:$E,$B147,Database!$C:$C,BI$1,Database!$F:$F,"Total")</f>
        <v>0</v>
      </c>
      <c r="BJ147" s="137">
        <f>SUMIFS(Database!$G:$G,Database!$D:$D,"Export",Database!$E:$E,$B147,Database!$C:$C,BJ$1,Database!$F:$F,"Total")</f>
        <v>0</v>
      </c>
      <c r="BK147" s="137">
        <f>SUMIFS(Database!$G:$G,Database!$D:$D,"Export",Database!$E:$E,$B147,Database!$C:$C,BK$1,Database!$F:$F,"Total")</f>
        <v>0</v>
      </c>
      <c r="BL147" s="137">
        <f>SUMIFS(Database!$G:$G,Database!$D:$D,"Export",Database!$E:$E,$B147,Database!$C:$C,BL$1,Database!$F:$F,"Total")</f>
        <v>0</v>
      </c>
      <c r="BM147" s="137">
        <f>SUMIFS(Database!$G:$G,Database!$D:$D,"Export",Database!$E:$E,$B147,Database!$C:$C,BM$1,Database!$F:$F,"Total")</f>
        <v>0</v>
      </c>
      <c r="BN147" s="137">
        <f>SUMIFS(Database!$G:$G,Database!$D:$D,"Export",Database!$E:$E,$B147,Database!$C:$C,BN$1,Database!$F:$F,"Total")</f>
        <v>207</v>
      </c>
      <c r="BO147" s="137">
        <f>SUMIFS(Database!$G:$G,Database!$D:$D,"Export",Database!$E:$E,$B147,Database!$C:$C,BO$1,Database!$F:$F,"Total")</f>
        <v>0</v>
      </c>
      <c r="BP147" s="137">
        <f>SUMIFS(Database!$G:$G,Database!$D:$D,"Export",Database!$E:$E,$B147,Database!$C:$C,BP$1,Database!$F:$F,"Total")</f>
        <v>871</v>
      </c>
      <c r="BQ147" s="137">
        <f>SUMIFS(Database!$G:$G,Database!$D:$D,"Export",Database!$E:$E,$B147,Database!$C:$C,BQ$1,Database!$F:$F,"Total")</f>
        <v>369</v>
      </c>
      <c r="BR147" s="137">
        <f>SUMIFS(Database!$G:$G,Database!$D:$D,"Export",Database!$E:$E,$B147,Database!$C:$C,BR$1,Database!$F:$F,"Total")</f>
        <v>564</v>
      </c>
      <c r="BS147" s="137">
        <f>SUMIFS(Database!$G:$G,Database!$D:$D,"Export",Database!$E:$E,$B147,Database!$C:$C,BS$1,Database!$F:$F,"Total")</f>
        <v>324</v>
      </c>
      <c r="BT147" s="137">
        <f>SUMIFS(Database!$G:$G,Database!$D:$D,"Export",Database!$E:$E,$B147,Database!$C:$C,BT$1,Database!$F:$F,"Total")</f>
        <v>149</v>
      </c>
      <c r="BU147" s="137">
        <f>SUMIFS(Database!$G:$G,Database!$D:$D,"Export",Database!$E:$E,$B147,Database!$C:$C,BU$1,Database!$F:$F,"Total")</f>
        <v>224</v>
      </c>
      <c r="BV147" s="137">
        <f>SUMIFS(Database!$G:$G,Database!$D:$D,"Export",Database!$E:$E,$B147,Database!$C:$C,BV$1,Database!$F:$F,"Total")</f>
        <v>0</v>
      </c>
      <c r="BW147" s="137">
        <f>SUMIFS(Database!$G:$G,Database!$D:$D,"Export",Database!$E:$E,$B147,Database!$C:$C,BW$1,Database!$F:$F,"Total")</f>
        <v>0</v>
      </c>
      <c r="BX147" s="137">
        <f>SUMIFS(Database!$G:$G,Database!$D:$D,"Export",Database!$E:$E,$B147,Database!$C:$C,BX$1,Database!$F:$F,"Total")</f>
        <v>0</v>
      </c>
      <c r="BY147" s="137">
        <f>SUMIFS(Database!$G:$G,Database!$D:$D,"Export",Database!$E:$E,$B147,Database!$C:$C,BY$1,Database!$F:$F,"Total")</f>
        <v>0</v>
      </c>
      <c r="BZ147" s="137">
        <f>SUMIFS(Database!$G:$G,Database!$D:$D,"Export",Database!$E:$E,$B147,Database!$C:$C,BZ$1,Database!$F:$F,"Total")</f>
        <v>0</v>
      </c>
      <c r="CA147" s="137">
        <f>SUMIFS(Database!$G:$G,Database!$D:$D,"Export",Database!$E:$E,$B147,Database!$C:$C,CA$1,Database!$F:$F,"Total")</f>
        <v>0</v>
      </c>
      <c r="CB147" s="137">
        <f>SUMIFS(Database!$G:$G,Database!$D:$D,"Export",Database!$E:$E,$B147,Database!$C:$C,CB$1,Database!$F:$F,"Total")</f>
        <v>0</v>
      </c>
      <c r="CC147" s="137">
        <f>SUMIFS(Database!$G:$G,Database!$D:$D,"Export",Database!$E:$E,$B147,Database!$C:$C,CC$1,Database!$F:$F,"Total")</f>
        <v>0</v>
      </c>
      <c r="CD147" s="137">
        <f>SUMIFS(Database!$G:$G,Database!$D:$D,"Export",Database!$E:$E,$B147,Database!$C:$C,CD$1,Database!$F:$F,"Total")</f>
        <v>0</v>
      </c>
      <c r="CE147" s="137">
        <f>SUMIFS(Database!$G:$G,Database!$D:$D,"Export",Database!$E:$E,$B147,Database!$C:$C,CE$1,Database!$F:$F,"Total")</f>
        <v>0</v>
      </c>
      <c r="CF147" s="137">
        <f>SUMIFS(Database!$G:$G,Database!$D:$D,"Export",Database!$E:$E,$B147,Database!$C:$C,CF$1,Database!$F:$F,"Total")</f>
        <v>0</v>
      </c>
      <c r="CG147" s="137">
        <f>SUMIFS(Database!$G:$G,Database!$D:$D,"Export",Database!$E:$E,$B147,Database!$C:$C,CG$1,Database!$F:$F,"Total")</f>
        <v>0</v>
      </c>
      <c r="CH147" s="137">
        <f>SUMIFS(Database!$G:$G,Database!$D:$D,"Export",Database!$E:$E,$B147,Database!$C:$C,CH$1,Database!$F:$F,"Total")</f>
        <v>0</v>
      </c>
      <c r="CI147" s="137">
        <f>SUMIFS(Database!$G:$G,Database!$D:$D,"Export",Database!$E:$E,$B147,Database!$C:$C,CI$1,Database!$F:$F,"Total")</f>
        <v>0</v>
      </c>
      <c r="CJ147" s="137">
        <f>SUMIFS(Database!$G:$G,Database!$D:$D,"Export",Database!$E:$E,$B147,Database!$C:$C,CJ$1,Database!$F:$F,"Total")</f>
        <v>0</v>
      </c>
      <c r="CK147" s="137">
        <f>SUMIFS(Database!$G:$G,Database!$D:$D,"Export",Database!$E:$E,$B147,Database!$C:$C,CK$1,Database!$F:$F,"Total")</f>
        <v>0</v>
      </c>
      <c r="CL147" s="137">
        <f>SUMIFS(Database!$G:$G,Database!$D:$D,"Export",Database!$E:$E,$B147,Database!$C:$C,CL$1,Database!$F:$F,"Total")</f>
        <v>0</v>
      </c>
      <c r="CM147" s="137">
        <f>SUMIFS(Database!$G:$G,Database!$D:$D,"Export",Database!$E:$E,$B147,Database!$C:$C,CM$1,Database!$F:$F,"Total")</f>
        <v>0</v>
      </c>
      <c r="CN147" s="137">
        <f>SUMIFS(Database!$G:$G,Database!$D:$D,"Export",Database!$E:$E,$B147,Database!$C:$C,CN$1,Database!$F:$F,"Total")</f>
        <v>0</v>
      </c>
      <c r="CO147" s="137">
        <f>SUMIFS(Database!$G:$G,Database!$D:$D,"Export",Database!$E:$E,$B147,Database!$C:$C,CO$1,Database!$F:$F,"Total")</f>
        <v>0</v>
      </c>
      <c r="CP147" s="137">
        <f>SUMIFS(Database!$G:$G,Database!$D:$D,"Export",Database!$E:$E,$B147,Database!$C:$C,CP$1,Database!$F:$F,"Total")</f>
        <v>0</v>
      </c>
      <c r="CQ147" s="137">
        <f>SUMIFS(Database!$G:$G,Database!$D:$D,"Export",Database!$E:$E,$B147,Database!$C:$C,CQ$1,Database!$F:$F,"Total")</f>
        <v>0</v>
      </c>
      <c r="CR147" s="137">
        <f>SUMIFS(Database!$G:$G,Database!$D:$D,"Export",Database!$E:$E,$B147,Database!$C:$C,CR$1,Database!$F:$F,"Total")</f>
        <v>0</v>
      </c>
      <c r="CS147" s="137">
        <f>SUMIFS(Database!$G:$G,Database!$D:$D,"Export",Database!$E:$E,$B147,Database!$C:$C,CS$1,Database!$F:$F,"Total")</f>
        <v>0</v>
      </c>
      <c r="CT147" s="137">
        <f>SUMIFS(Database!$G:$G,Database!$D:$D,"Export",Database!$E:$E,$B147,Database!$C:$C,CT$1,Database!$F:$F,"Total")</f>
        <v>0</v>
      </c>
      <c r="CU147" s="137">
        <f>SUMIFS(Database!$G:$G,Database!$D:$D,"Export",Database!$E:$E,$B147,Database!$C:$C,CU$1,Database!$F:$F,"Total")</f>
        <v>0</v>
      </c>
    </row>
    <row r="148" spans="1:99" x14ac:dyDescent="0.25">
      <c r="A148" s="132" t="s">
        <v>485</v>
      </c>
      <c r="B148" s="133" t="s">
        <v>144</v>
      </c>
      <c r="C148" s="137">
        <f>SUMIFS(Database!$G:$G,Database!$D:$D,"Export",Database!$E:$E,$B148,Database!$C:$C,C$1,Database!$F:$F,"Total")</f>
        <v>0</v>
      </c>
      <c r="D148" s="137">
        <f>SUMIFS(Database!$G:$G,Database!$D:$D,"Export",Database!$E:$E,$B148,Database!$C:$C,D$1,Database!$F:$F,"Total")</f>
        <v>0</v>
      </c>
      <c r="E148" s="137">
        <f>SUMIFS(Database!$G:$G,Database!$D:$D,"Export",Database!$E:$E,$B148,Database!$C:$C,E$1,Database!$F:$F,"Total")</f>
        <v>0</v>
      </c>
      <c r="F148" s="137">
        <f>SUMIFS(Database!$G:$G,Database!$D:$D,"Export",Database!$E:$E,$B148,Database!$C:$C,F$1,Database!$F:$F,"Total")</f>
        <v>0</v>
      </c>
      <c r="G148" s="137">
        <f>SUMIFS(Database!$G:$G,Database!$D:$D,"Export",Database!$E:$E,$B148,Database!$C:$C,G$1,Database!$F:$F,"Total")</f>
        <v>0</v>
      </c>
      <c r="H148" s="137">
        <f>SUMIFS(Database!$G:$G,Database!$D:$D,"Export",Database!$E:$E,$B148,Database!$C:$C,H$1,Database!$F:$F,"Total")</f>
        <v>0</v>
      </c>
      <c r="I148" s="137">
        <f>SUMIFS(Database!$G:$G,Database!$D:$D,"Export",Database!$E:$E,$B148,Database!$C:$C,I$1,Database!$F:$F,"Total")</f>
        <v>0</v>
      </c>
      <c r="J148" s="137">
        <f>SUMIFS(Database!$G:$G,Database!$D:$D,"Export",Database!$E:$E,$B148,Database!$C:$C,J$1,Database!$F:$F,"Total")</f>
        <v>0</v>
      </c>
      <c r="K148" s="137">
        <f>SUMIFS(Database!$G:$G,Database!$D:$D,"Export",Database!$E:$E,$B148,Database!$C:$C,K$1,Database!$F:$F,"Total")</f>
        <v>0</v>
      </c>
      <c r="L148" s="137">
        <f>SUMIFS(Database!$G:$G,Database!$D:$D,"Export",Database!$E:$E,$B148,Database!$C:$C,L$1,Database!$F:$F,"Total")</f>
        <v>0</v>
      </c>
      <c r="M148" s="137">
        <f>SUMIFS(Database!$G:$G,Database!$D:$D,"Export",Database!$E:$E,$B148,Database!$C:$C,M$1,Database!$F:$F,"Total")</f>
        <v>0</v>
      </c>
      <c r="N148" s="137">
        <f>SUMIFS(Database!$G:$G,Database!$D:$D,"Export",Database!$E:$E,$B148,Database!$C:$C,N$1,Database!$F:$F,"Total")</f>
        <v>0</v>
      </c>
      <c r="O148" s="137">
        <f>SUMIFS(Database!$G:$G,Database!$D:$D,"Export",Database!$E:$E,$B148,Database!$C:$C,O$1,Database!$F:$F,"Total")</f>
        <v>0</v>
      </c>
      <c r="P148" s="137">
        <f>SUMIFS(Database!$G:$G,Database!$D:$D,"Export",Database!$E:$E,$B148,Database!$C:$C,P$1,Database!$F:$F,"Total")</f>
        <v>0</v>
      </c>
      <c r="Q148" s="137">
        <f>SUMIFS(Database!$G:$G,Database!$D:$D,"Export",Database!$E:$E,$B148,Database!$C:$C,Q$1,Database!$F:$F,"Total")</f>
        <v>0</v>
      </c>
      <c r="R148" s="137">
        <f>SUMIFS(Database!$G:$G,Database!$D:$D,"Export",Database!$E:$E,$B148,Database!$C:$C,R$1,Database!$F:$F,"Total")</f>
        <v>0</v>
      </c>
      <c r="S148" s="137">
        <f>SUMIFS(Database!$G:$G,Database!$D:$D,"Export",Database!$E:$E,$B148,Database!$C:$C,S$1,Database!$F:$F,"Total")</f>
        <v>0</v>
      </c>
      <c r="T148" s="137">
        <f>SUMIFS(Database!$G:$G,Database!$D:$D,"Export",Database!$E:$E,$B148,Database!$C:$C,T$1,Database!$F:$F,"Total")</f>
        <v>0</v>
      </c>
      <c r="U148" s="137">
        <f>SUMIFS(Database!$G:$G,Database!$D:$D,"Export",Database!$E:$E,$B148,Database!$C:$C,U$1,Database!$F:$F,"Total")</f>
        <v>0</v>
      </c>
      <c r="V148" s="137">
        <f>SUMIFS(Database!$G:$G,Database!$D:$D,"Export",Database!$E:$E,$B148,Database!$C:$C,V$1,Database!$F:$F,"Total")</f>
        <v>0</v>
      </c>
      <c r="W148" s="137">
        <f>SUMIFS(Database!$G:$G,Database!$D:$D,"Export",Database!$E:$E,$B148,Database!$C:$C,W$1,Database!$F:$F,"Total")</f>
        <v>0</v>
      </c>
      <c r="X148" s="137">
        <f>SUMIFS(Database!$G:$G,Database!$D:$D,"Export",Database!$E:$E,$B148,Database!$C:$C,X$1,Database!$F:$F,"Total")</f>
        <v>0</v>
      </c>
      <c r="Y148" s="137">
        <f>SUMIFS(Database!$G:$G,Database!$D:$D,"Export",Database!$E:$E,$B148,Database!$C:$C,Y$1,Database!$F:$F,"Total")</f>
        <v>0</v>
      </c>
      <c r="Z148" s="137">
        <f>SUMIFS(Database!$G:$G,Database!$D:$D,"Export",Database!$E:$E,$B148,Database!$C:$C,Z$1,Database!$F:$F,"Total")</f>
        <v>0</v>
      </c>
      <c r="AA148" s="137">
        <f>SUMIFS(Database!$G:$G,Database!$D:$D,"Export",Database!$E:$E,$B148,Database!$C:$C,AA$1,Database!$F:$F,"Total")</f>
        <v>0</v>
      </c>
      <c r="AB148" s="137">
        <f>SUMIFS(Database!$G:$G,Database!$D:$D,"Export",Database!$E:$E,$B148,Database!$C:$C,AB$1,Database!$F:$F,"Total")</f>
        <v>0</v>
      </c>
      <c r="AC148" s="137">
        <f>SUMIFS(Database!$G:$G,Database!$D:$D,"Export",Database!$E:$E,$B148,Database!$C:$C,AC$1,Database!$F:$F,"Total")</f>
        <v>0</v>
      </c>
      <c r="AD148" s="137">
        <f>SUMIFS(Database!$G:$G,Database!$D:$D,"Export",Database!$E:$E,$B148,Database!$C:$C,AD$1,Database!$F:$F,"Total")</f>
        <v>0</v>
      </c>
      <c r="AE148" s="137">
        <f>SUMIFS(Database!$G:$G,Database!$D:$D,"Export",Database!$E:$E,$B148,Database!$C:$C,AE$1,Database!$F:$F,"Total")</f>
        <v>328</v>
      </c>
      <c r="AF148" s="137">
        <f>SUMIFS(Database!$G:$G,Database!$D:$D,"Export",Database!$E:$E,$B148,Database!$C:$C,AF$1,Database!$F:$F,"Total")</f>
        <v>1181</v>
      </c>
      <c r="AG148" s="137">
        <f>SUMIFS(Database!$G:$G,Database!$D:$D,"Export",Database!$E:$E,$B148,Database!$C:$C,AG$1,Database!$F:$F,"Total")</f>
        <v>0</v>
      </c>
      <c r="AH148" s="137">
        <f>SUMIFS(Database!$G:$G,Database!$D:$D,"Export",Database!$E:$E,$B148,Database!$C:$C,AH$1,Database!$F:$F,"Total")</f>
        <v>610</v>
      </c>
      <c r="AI148" s="137">
        <f>SUMIFS(Database!$G:$G,Database!$D:$D,"Export",Database!$E:$E,$B148,Database!$C:$C,AI$1,Database!$F:$F,"Total")</f>
        <v>648</v>
      </c>
      <c r="AJ148" s="137">
        <f>SUMIFS(Database!$G:$G,Database!$D:$D,"Export",Database!$E:$E,$B148,Database!$C:$C,AJ$1,Database!$F:$F,"Total")</f>
        <v>591</v>
      </c>
      <c r="AK148" s="137">
        <f>SUMIFS(Database!$G:$G,Database!$D:$D,"Export",Database!$E:$E,$B148,Database!$C:$C,AK$1,Database!$F:$F,"Total")</f>
        <v>867</v>
      </c>
      <c r="AL148" s="137">
        <f>SUMIFS(Database!$G:$G,Database!$D:$D,"Export",Database!$E:$E,$B148,Database!$C:$C,AL$1,Database!$F:$F,"Total")</f>
        <v>1417</v>
      </c>
      <c r="AM148" s="137">
        <f>SUMIFS(Database!$G:$G,Database!$D:$D,"Export",Database!$E:$E,$B148,Database!$C:$C,AM$1,Database!$F:$F,"Total")</f>
        <v>288</v>
      </c>
      <c r="AN148" s="137">
        <f>SUMIFS(Database!$G:$G,Database!$D:$D,"Export",Database!$E:$E,$B148,Database!$C:$C,AN$1,Database!$F:$F,"Total")</f>
        <v>1094</v>
      </c>
      <c r="AO148" s="137">
        <f>SUMIFS(Database!$G:$G,Database!$D:$D,"Export",Database!$E:$E,$B148,Database!$C:$C,AO$1,Database!$F:$F,"Total")</f>
        <v>525</v>
      </c>
      <c r="AP148" s="137">
        <f>SUMIFS(Database!$G:$G,Database!$D:$D,"Export",Database!$E:$E,$B148,Database!$C:$C,AP$1,Database!$F:$F,"Total")</f>
        <v>225</v>
      </c>
      <c r="AQ148" s="137">
        <f>SUMIFS(Database!$G:$G,Database!$D:$D,"Export",Database!$E:$E,$B148,Database!$C:$C,AQ$1,Database!$F:$F,"Total")</f>
        <v>24022</v>
      </c>
      <c r="AR148" s="137">
        <f>SUMIFS(Database!$G:$G,Database!$D:$D,"Export",Database!$E:$E,$B148,Database!$C:$C,AR$1,Database!$F:$F,"Total")</f>
        <v>4276</v>
      </c>
      <c r="AS148" s="137">
        <f>SUMIFS(Database!$G:$G,Database!$D:$D,"Export",Database!$E:$E,$B148,Database!$C:$C,AS$1,Database!$F:$F,"Total")</f>
        <v>638</v>
      </c>
      <c r="AT148" s="137">
        <f>SUMIFS(Database!$G:$G,Database!$D:$D,"Export",Database!$E:$E,$B148,Database!$C:$C,AT$1,Database!$F:$F,"Total")</f>
        <v>598</v>
      </c>
      <c r="AU148" s="137">
        <f>SUMIFS(Database!$G:$G,Database!$D:$D,"Export",Database!$E:$E,$B148,Database!$C:$C,AU$1,Database!$F:$F,"Total")</f>
        <v>1024</v>
      </c>
      <c r="AV148" s="137">
        <f>SUMIFS(Database!$G:$G,Database!$D:$D,"Export",Database!$E:$E,$B148,Database!$C:$C,AV$1,Database!$F:$F,"Total")</f>
        <v>394</v>
      </c>
      <c r="AW148" s="137">
        <f>SUMIFS(Database!$G:$G,Database!$D:$D,"Export",Database!$E:$E,$B148,Database!$C:$C,AW$1,Database!$F:$F,"Total")</f>
        <v>844</v>
      </c>
      <c r="AX148" s="137">
        <f>SUMIFS(Database!$G:$G,Database!$D:$D,"Export",Database!$E:$E,$B148,Database!$C:$C,AX$1,Database!$F:$F,"Total")</f>
        <v>851</v>
      </c>
      <c r="AY148" s="137">
        <f>SUMIFS(Database!$G:$G,Database!$D:$D,"Export",Database!$E:$E,$B148,Database!$C:$C,AY$1,Database!$F:$F,"Total")</f>
        <v>946</v>
      </c>
      <c r="AZ148" s="137">
        <f>SUMIFS(Database!$G:$G,Database!$D:$D,"Export",Database!$E:$E,$B148,Database!$C:$C,AZ$1,Database!$F:$F,"Total")</f>
        <v>941</v>
      </c>
      <c r="BA148" s="137">
        <f>SUMIFS(Database!$G:$G,Database!$D:$D,"Export",Database!$E:$E,$B148,Database!$C:$C,BA$1,Database!$F:$F,"Total")</f>
        <v>882</v>
      </c>
      <c r="BB148" s="137">
        <f>SUMIFS(Database!$G:$G,Database!$D:$D,"Export",Database!$E:$E,$B148,Database!$C:$C,BB$1,Database!$F:$F,"Total")</f>
        <v>673</v>
      </c>
      <c r="BC148" s="137">
        <f>SUMIFS(Database!$G:$G,Database!$D:$D,"Export",Database!$E:$E,$B148,Database!$C:$C,BC$1,Database!$F:$F,"Total")</f>
        <v>1224</v>
      </c>
      <c r="BD148" s="137">
        <f>SUMIFS(Database!$G:$G,Database!$D:$D,"Export",Database!$E:$E,$B148,Database!$C:$C,BD$1,Database!$F:$F,"Total")</f>
        <v>699</v>
      </c>
      <c r="BE148" s="137">
        <f>SUMIFS(Database!$G:$G,Database!$D:$D,"Export",Database!$E:$E,$B148,Database!$C:$C,BE$1,Database!$F:$F,"Total")</f>
        <v>1894</v>
      </c>
      <c r="BF148" s="137">
        <f>SUMIFS(Database!$G:$G,Database!$D:$D,"Export",Database!$E:$E,$B148,Database!$C:$C,BF$1,Database!$F:$F,"Total")</f>
        <v>599</v>
      </c>
      <c r="BG148" s="137">
        <f>SUMIFS(Database!$G:$G,Database!$D:$D,"Export",Database!$E:$E,$B148,Database!$C:$C,BG$1,Database!$F:$F,"Total")</f>
        <v>0</v>
      </c>
      <c r="BH148" s="137">
        <f>SUMIFS(Database!$G:$G,Database!$D:$D,"Export",Database!$E:$E,$B148,Database!$C:$C,BH$1,Database!$F:$F,"Total")</f>
        <v>0</v>
      </c>
      <c r="BI148" s="137">
        <f>SUMIFS(Database!$G:$G,Database!$D:$D,"Export",Database!$E:$E,$B148,Database!$C:$C,BI$1,Database!$F:$F,"Total")</f>
        <v>0</v>
      </c>
      <c r="BJ148" s="137">
        <f>SUMIFS(Database!$G:$G,Database!$D:$D,"Export",Database!$E:$E,$B148,Database!$C:$C,BJ$1,Database!$F:$F,"Total")</f>
        <v>0</v>
      </c>
      <c r="BK148" s="137">
        <f>SUMIFS(Database!$G:$G,Database!$D:$D,"Export",Database!$E:$E,$B148,Database!$C:$C,BK$1,Database!$F:$F,"Total")</f>
        <v>0</v>
      </c>
      <c r="BL148" s="137">
        <f>SUMIFS(Database!$G:$G,Database!$D:$D,"Export",Database!$E:$E,$B148,Database!$C:$C,BL$1,Database!$F:$F,"Total")</f>
        <v>0</v>
      </c>
      <c r="BM148" s="137">
        <f>SUMIFS(Database!$G:$G,Database!$D:$D,"Export",Database!$E:$E,$B148,Database!$C:$C,BM$1,Database!$F:$F,"Total")</f>
        <v>0</v>
      </c>
      <c r="BN148" s="137">
        <f>SUMIFS(Database!$G:$G,Database!$D:$D,"Export",Database!$E:$E,$B148,Database!$C:$C,BN$1,Database!$F:$F,"Total")</f>
        <v>0</v>
      </c>
      <c r="BO148" s="137">
        <f>SUMIFS(Database!$G:$G,Database!$D:$D,"Export",Database!$E:$E,$B148,Database!$C:$C,BO$1,Database!$F:$F,"Total")</f>
        <v>0</v>
      </c>
      <c r="BP148" s="137">
        <f>SUMIFS(Database!$G:$G,Database!$D:$D,"Export",Database!$E:$E,$B148,Database!$C:$C,BP$1,Database!$F:$F,"Total")</f>
        <v>0</v>
      </c>
      <c r="BQ148" s="137">
        <f>SUMIFS(Database!$G:$G,Database!$D:$D,"Export",Database!$E:$E,$B148,Database!$C:$C,BQ$1,Database!$F:$F,"Total")</f>
        <v>0</v>
      </c>
      <c r="BR148" s="137">
        <f>SUMIFS(Database!$G:$G,Database!$D:$D,"Export",Database!$E:$E,$B148,Database!$C:$C,BR$1,Database!$F:$F,"Total")</f>
        <v>0</v>
      </c>
      <c r="BS148" s="137">
        <f>SUMIFS(Database!$G:$G,Database!$D:$D,"Export",Database!$E:$E,$B148,Database!$C:$C,BS$1,Database!$F:$F,"Total")</f>
        <v>0</v>
      </c>
      <c r="BT148" s="137">
        <f>SUMIFS(Database!$G:$G,Database!$D:$D,"Export",Database!$E:$E,$B148,Database!$C:$C,BT$1,Database!$F:$F,"Total")</f>
        <v>0</v>
      </c>
      <c r="BU148" s="137">
        <f>SUMIFS(Database!$G:$G,Database!$D:$D,"Export",Database!$E:$E,$B148,Database!$C:$C,BU$1,Database!$F:$F,"Total")</f>
        <v>0</v>
      </c>
      <c r="BV148" s="137">
        <f>SUMIFS(Database!$G:$G,Database!$D:$D,"Export",Database!$E:$E,$B148,Database!$C:$C,BV$1,Database!$F:$F,"Total")</f>
        <v>0</v>
      </c>
      <c r="BW148" s="137">
        <f>SUMIFS(Database!$G:$G,Database!$D:$D,"Export",Database!$E:$E,$B148,Database!$C:$C,BW$1,Database!$F:$F,"Total")</f>
        <v>0</v>
      </c>
      <c r="BX148" s="137">
        <f>SUMIFS(Database!$G:$G,Database!$D:$D,"Export",Database!$E:$E,$B148,Database!$C:$C,BX$1,Database!$F:$F,"Total")</f>
        <v>0</v>
      </c>
      <c r="BY148" s="137">
        <f>SUMIFS(Database!$G:$G,Database!$D:$D,"Export",Database!$E:$E,$B148,Database!$C:$C,BY$1,Database!$F:$F,"Total")</f>
        <v>0</v>
      </c>
      <c r="BZ148" s="137">
        <f>SUMIFS(Database!$G:$G,Database!$D:$D,"Export",Database!$E:$E,$B148,Database!$C:$C,BZ$1,Database!$F:$F,"Total")</f>
        <v>0</v>
      </c>
      <c r="CA148" s="137">
        <f>SUMIFS(Database!$G:$G,Database!$D:$D,"Export",Database!$E:$E,$B148,Database!$C:$C,CA$1,Database!$F:$F,"Total")</f>
        <v>0</v>
      </c>
      <c r="CB148" s="137">
        <f>SUMIFS(Database!$G:$G,Database!$D:$D,"Export",Database!$E:$E,$B148,Database!$C:$C,CB$1,Database!$F:$F,"Total")</f>
        <v>0</v>
      </c>
      <c r="CC148" s="137">
        <f>SUMIFS(Database!$G:$G,Database!$D:$D,"Export",Database!$E:$E,$B148,Database!$C:$C,CC$1,Database!$F:$F,"Total")</f>
        <v>0</v>
      </c>
      <c r="CD148" s="137">
        <f>SUMIFS(Database!$G:$G,Database!$D:$D,"Export",Database!$E:$E,$B148,Database!$C:$C,CD$1,Database!$F:$F,"Total")</f>
        <v>0</v>
      </c>
      <c r="CE148" s="137">
        <f>SUMIFS(Database!$G:$G,Database!$D:$D,"Export",Database!$E:$E,$B148,Database!$C:$C,CE$1,Database!$F:$F,"Total")</f>
        <v>0</v>
      </c>
      <c r="CF148" s="137">
        <f>SUMIFS(Database!$G:$G,Database!$D:$D,"Export",Database!$E:$E,$B148,Database!$C:$C,CF$1,Database!$F:$F,"Total")</f>
        <v>0</v>
      </c>
      <c r="CG148" s="137">
        <f>SUMIFS(Database!$G:$G,Database!$D:$D,"Export",Database!$E:$E,$B148,Database!$C:$C,CG$1,Database!$F:$F,"Total")</f>
        <v>0</v>
      </c>
      <c r="CH148" s="137">
        <f>SUMIFS(Database!$G:$G,Database!$D:$D,"Export",Database!$E:$E,$B148,Database!$C:$C,CH$1,Database!$F:$F,"Total")</f>
        <v>0</v>
      </c>
      <c r="CI148" s="137">
        <f>SUMIFS(Database!$G:$G,Database!$D:$D,"Export",Database!$E:$E,$B148,Database!$C:$C,CI$1,Database!$F:$F,"Total")</f>
        <v>0</v>
      </c>
      <c r="CJ148" s="137">
        <f>SUMIFS(Database!$G:$G,Database!$D:$D,"Export",Database!$E:$E,$B148,Database!$C:$C,CJ$1,Database!$F:$F,"Total")</f>
        <v>0</v>
      </c>
      <c r="CK148" s="137">
        <f>SUMIFS(Database!$G:$G,Database!$D:$D,"Export",Database!$E:$E,$B148,Database!$C:$C,CK$1,Database!$F:$F,"Total")</f>
        <v>0</v>
      </c>
      <c r="CL148" s="137">
        <f>SUMIFS(Database!$G:$G,Database!$D:$D,"Export",Database!$E:$E,$B148,Database!$C:$C,CL$1,Database!$F:$F,"Total")</f>
        <v>0</v>
      </c>
      <c r="CM148" s="137">
        <f>SUMIFS(Database!$G:$G,Database!$D:$D,"Export",Database!$E:$E,$B148,Database!$C:$C,CM$1,Database!$F:$F,"Total")</f>
        <v>0</v>
      </c>
      <c r="CN148" s="137">
        <f>SUMIFS(Database!$G:$G,Database!$D:$D,"Export",Database!$E:$E,$B148,Database!$C:$C,CN$1,Database!$F:$F,"Total")</f>
        <v>0</v>
      </c>
      <c r="CO148" s="137">
        <f>SUMIFS(Database!$G:$G,Database!$D:$D,"Export",Database!$E:$E,$B148,Database!$C:$C,CO$1,Database!$F:$F,"Total")</f>
        <v>0</v>
      </c>
      <c r="CP148" s="137">
        <f>SUMIFS(Database!$G:$G,Database!$D:$D,"Export",Database!$E:$E,$B148,Database!$C:$C,CP$1,Database!$F:$F,"Total")</f>
        <v>0</v>
      </c>
      <c r="CQ148" s="137">
        <f>SUMIFS(Database!$G:$G,Database!$D:$D,"Export",Database!$E:$E,$B148,Database!$C:$C,CQ$1,Database!$F:$F,"Total")</f>
        <v>0</v>
      </c>
      <c r="CR148" s="137">
        <f>SUMIFS(Database!$G:$G,Database!$D:$D,"Export",Database!$E:$E,$B148,Database!$C:$C,CR$1,Database!$F:$F,"Total")</f>
        <v>0</v>
      </c>
      <c r="CS148" s="137">
        <f>SUMIFS(Database!$G:$G,Database!$D:$D,"Export",Database!$E:$E,$B148,Database!$C:$C,CS$1,Database!$F:$F,"Total")</f>
        <v>0</v>
      </c>
      <c r="CT148" s="137">
        <f>SUMIFS(Database!$G:$G,Database!$D:$D,"Export",Database!$E:$E,$B148,Database!$C:$C,CT$1,Database!$F:$F,"Total")</f>
        <v>0</v>
      </c>
      <c r="CU148" s="137">
        <f>SUMIFS(Database!$G:$G,Database!$D:$D,"Export",Database!$E:$E,$B148,Database!$C:$C,CU$1,Database!$F:$F,"Total")</f>
        <v>0</v>
      </c>
    </row>
    <row r="149" spans="1:99" x14ac:dyDescent="0.25">
      <c r="A149" s="132" t="s">
        <v>485</v>
      </c>
      <c r="B149" s="133" t="s">
        <v>145</v>
      </c>
      <c r="C149" s="137">
        <f>SUMIFS(Database!$G:$G,Database!$D:$D,"Export",Database!$E:$E,$B149,Database!$C:$C,C$1,Database!$F:$F,"Total")</f>
        <v>0</v>
      </c>
      <c r="D149" s="137">
        <f>SUMIFS(Database!$G:$G,Database!$D:$D,"Export",Database!$E:$E,$B149,Database!$C:$C,D$1,Database!$F:$F,"Total")</f>
        <v>0</v>
      </c>
      <c r="E149" s="137">
        <f>SUMIFS(Database!$G:$G,Database!$D:$D,"Export",Database!$E:$E,$B149,Database!$C:$C,E$1,Database!$F:$F,"Total")</f>
        <v>0</v>
      </c>
      <c r="F149" s="137">
        <f>SUMIFS(Database!$G:$G,Database!$D:$D,"Export",Database!$E:$E,$B149,Database!$C:$C,F$1,Database!$F:$F,"Total")</f>
        <v>0</v>
      </c>
      <c r="G149" s="137">
        <f>SUMIFS(Database!$G:$G,Database!$D:$D,"Export",Database!$E:$E,$B149,Database!$C:$C,G$1,Database!$F:$F,"Total")</f>
        <v>0</v>
      </c>
      <c r="H149" s="137">
        <f>SUMIFS(Database!$G:$G,Database!$D:$D,"Export",Database!$E:$E,$B149,Database!$C:$C,H$1,Database!$F:$F,"Total")</f>
        <v>0</v>
      </c>
      <c r="I149" s="137">
        <f>SUMIFS(Database!$G:$G,Database!$D:$D,"Export",Database!$E:$E,$B149,Database!$C:$C,I$1,Database!$F:$F,"Total")</f>
        <v>0</v>
      </c>
      <c r="J149" s="137">
        <f>SUMIFS(Database!$G:$G,Database!$D:$D,"Export",Database!$E:$E,$B149,Database!$C:$C,J$1,Database!$F:$F,"Total")</f>
        <v>0</v>
      </c>
      <c r="K149" s="137">
        <f>SUMIFS(Database!$G:$G,Database!$D:$D,"Export",Database!$E:$E,$B149,Database!$C:$C,K$1,Database!$F:$F,"Total")</f>
        <v>0</v>
      </c>
      <c r="L149" s="137">
        <f>SUMIFS(Database!$G:$G,Database!$D:$D,"Export",Database!$E:$E,$B149,Database!$C:$C,L$1,Database!$F:$F,"Total")</f>
        <v>0</v>
      </c>
      <c r="M149" s="137">
        <f>SUMIFS(Database!$G:$G,Database!$D:$D,"Export",Database!$E:$E,$B149,Database!$C:$C,M$1,Database!$F:$F,"Total")</f>
        <v>0</v>
      </c>
      <c r="N149" s="137">
        <f>SUMIFS(Database!$G:$G,Database!$D:$D,"Export",Database!$E:$E,$B149,Database!$C:$C,N$1,Database!$F:$F,"Total")</f>
        <v>0</v>
      </c>
      <c r="O149" s="137">
        <f>SUMIFS(Database!$G:$G,Database!$D:$D,"Export",Database!$E:$E,$B149,Database!$C:$C,O$1,Database!$F:$F,"Total")</f>
        <v>0</v>
      </c>
      <c r="P149" s="137">
        <f>SUMIFS(Database!$G:$G,Database!$D:$D,"Export",Database!$E:$E,$B149,Database!$C:$C,P$1,Database!$F:$F,"Total")</f>
        <v>0</v>
      </c>
      <c r="Q149" s="137">
        <f>SUMIFS(Database!$G:$G,Database!$D:$D,"Export",Database!$E:$E,$B149,Database!$C:$C,Q$1,Database!$F:$F,"Total")</f>
        <v>0</v>
      </c>
      <c r="R149" s="137">
        <f>SUMIFS(Database!$G:$G,Database!$D:$D,"Export",Database!$E:$E,$B149,Database!$C:$C,R$1,Database!$F:$F,"Total")</f>
        <v>0</v>
      </c>
      <c r="S149" s="137">
        <f>SUMIFS(Database!$G:$G,Database!$D:$D,"Export",Database!$E:$E,$B149,Database!$C:$C,S$1,Database!$F:$F,"Total")</f>
        <v>0</v>
      </c>
      <c r="T149" s="137">
        <f>SUMIFS(Database!$G:$G,Database!$D:$D,"Export",Database!$E:$E,$B149,Database!$C:$C,T$1,Database!$F:$F,"Total")</f>
        <v>0</v>
      </c>
      <c r="U149" s="137">
        <f>SUMIFS(Database!$G:$G,Database!$D:$D,"Export",Database!$E:$E,$B149,Database!$C:$C,U$1,Database!$F:$F,"Total")</f>
        <v>0</v>
      </c>
      <c r="V149" s="137">
        <f>SUMIFS(Database!$G:$G,Database!$D:$D,"Export",Database!$E:$E,$B149,Database!$C:$C,V$1,Database!$F:$F,"Total")</f>
        <v>0</v>
      </c>
      <c r="W149" s="137">
        <f>SUMIFS(Database!$G:$G,Database!$D:$D,"Export",Database!$E:$E,$B149,Database!$C:$C,W$1,Database!$F:$F,"Total")</f>
        <v>0</v>
      </c>
      <c r="X149" s="137">
        <f>SUMIFS(Database!$G:$G,Database!$D:$D,"Export",Database!$E:$E,$B149,Database!$C:$C,X$1,Database!$F:$F,"Total")</f>
        <v>0</v>
      </c>
      <c r="Y149" s="137">
        <f>SUMIFS(Database!$G:$G,Database!$D:$D,"Export",Database!$E:$E,$B149,Database!$C:$C,Y$1,Database!$F:$F,"Total")</f>
        <v>0</v>
      </c>
      <c r="Z149" s="137">
        <f>SUMIFS(Database!$G:$G,Database!$D:$D,"Export",Database!$E:$E,$B149,Database!$C:$C,Z$1,Database!$F:$F,"Total")</f>
        <v>0</v>
      </c>
      <c r="AA149" s="137">
        <f>SUMIFS(Database!$G:$G,Database!$D:$D,"Export",Database!$E:$E,$B149,Database!$C:$C,AA$1,Database!$F:$F,"Total")</f>
        <v>0</v>
      </c>
      <c r="AB149" s="137">
        <f>SUMIFS(Database!$G:$G,Database!$D:$D,"Export",Database!$E:$E,$B149,Database!$C:$C,AB$1,Database!$F:$F,"Total")</f>
        <v>0</v>
      </c>
      <c r="AC149" s="137">
        <f>SUMIFS(Database!$G:$G,Database!$D:$D,"Export",Database!$E:$E,$B149,Database!$C:$C,AC$1,Database!$F:$F,"Total")</f>
        <v>0</v>
      </c>
      <c r="AD149" s="137">
        <f>SUMIFS(Database!$G:$G,Database!$D:$D,"Export",Database!$E:$E,$B149,Database!$C:$C,AD$1,Database!$F:$F,"Total")</f>
        <v>0</v>
      </c>
      <c r="AE149" s="137">
        <f>SUMIFS(Database!$G:$G,Database!$D:$D,"Export",Database!$E:$E,$B149,Database!$C:$C,AE$1,Database!$F:$F,"Total")</f>
        <v>0</v>
      </c>
      <c r="AF149" s="137">
        <f>SUMIFS(Database!$G:$G,Database!$D:$D,"Export",Database!$E:$E,$B149,Database!$C:$C,AF$1,Database!$F:$F,"Total")</f>
        <v>0</v>
      </c>
      <c r="AG149" s="137">
        <f>SUMIFS(Database!$G:$G,Database!$D:$D,"Export",Database!$E:$E,$B149,Database!$C:$C,AG$1,Database!$F:$F,"Total")</f>
        <v>0</v>
      </c>
      <c r="AH149" s="137">
        <f>SUMIFS(Database!$G:$G,Database!$D:$D,"Export",Database!$E:$E,$B149,Database!$C:$C,AH$1,Database!$F:$F,"Total")</f>
        <v>0</v>
      </c>
      <c r="AI149" s="137">
        <f>SUMIFS(Database!$G:$G,Database!$D:$D,"Export",Database!$E:$E,$B149,Database!$C:$C,AI$1,Database!$F:$F,"Total")</f>
        <v>0</v>
      </c>
      <c r="AJ149" s="137">
        <f>SUMIFS(Database!$G:$G,Database!$D:$D,"Export",Database!$E:$E,$B149,Database!$C:$C,AJ$1,Database!$F:$F,"Total")</f>
        <v>0</v>
      </c>
      <c r="AK149" s="137">
        <f>SUMIFS(Database!$G:$G,Database!$D:$D,"Export",Database!$E:$E,$B149,Database!$C:$C,AK$1,Database!$F:$F,"Total")</f>
        <v>0</v>
      </c>
      <c r="AL149" s="137">
        <f>SUMIFS(Database!$G:$G,Database!$D:$D,"Export",Database!$E:$E,$B149,Database!$C:$C,AL$1,Database!$F:$F,"Total")</f>
        <v>0</v>
      </c>
      <c r="AM149" s="137">
        <f>SUMIFS(Database!$G:$G,Database!$D:$D,"Export",Database!$E:$E,$B149,Database!$C:$C,AM$1,Database!$F:$F,"Total")</f>
        <v>0</v>
      </c>
      <c r="AN149" s="137">
        <f>SUMIFS(Database!$G:$G,Database!$D:$D,"Export",Database!$E:$E,$B149,Database!$C:$C,AN$1,Database!$F:$F,"Total")</f>
        <v>0</v>
      </c>
      <c r="AO149" s="137">
        <f>SUMIFS(Database!$G:$G,Database!$D:$D,"Export",Database!$E:$E,$B149,Database!$C:$C,AO$1,Database!$F:$F,"Total")</f>
        <v>0</v>
      </c>
      <c r="AP149" s="137">
        <f>SUMIFS(Database!$G:$G,Database!$D:$D,"Export",Database!$E:$E,$B149,Database!$C:$C,AP$1,Database!$F:$F,"Total")</f>
        <v>0</v>
      </c>
      <c r="AQ149" s="137">
        <f>SUMIFS(Database!$G:$G,Database!$D:$D,"Export",Database!$E:$E,$B149,Database!$C:$C,AQ$1,Database!$F:$F,"Total")</f>
        <v>0</v>
      </c>
      <c r="AR149" s="137">
        <f>SUMIFS(Database!$G:$G,Database!$D:$D,"Export",Database!$E:$E,$B149,Database!$C:$C,AR$1,Database!$F:$F,"Total")</f>
        <v>0</v>
      </c>
      <c r="AS149" s="137">
        <f>SUMIFS(Database!$G:$G,Database!$D:$D,"Export",Database!$E:$E,$B149,Database!$C:$C,AS$1,Database!$F:$F,"Total")</f>
        <v>0</v>
      </c>
      <c r="AT149" s="137">
        <f>SUMIFS(Database!$G:$G,Database!$D:$D,"Export",Database!$E:$E,$B149,Database!$C:$C,AT$1,Database!$F:$F,"Total")</f>
        <v>0</v>
      </c>
      <c r="AU149" s="137">
        <f>SUMIFS(Database!$G:$G,Database!$D:$D,"Export",Database!$E:$E,$B149,Database!$C:$C,AU$1,Database!$F:$F,"Total")</f>
        <v>0</v>
      </c>
      <c r="AV149" s="137">
        <f>SUMIFS(Database!$G:$G,Database!$D:$D,"Export",Database!$E:$E,$B149,Database!$C:$C,AV$1,Database!$F:$F,"Total")</f>
        <v>0</v>
      </c>
      <c r="AW149" s="137">
        <f>SUMIFS(Database!$G:$G,Database!$D:$D,"Export",Database!$E:$E,$B149,Database!$C:$C,AW$1,Database!$F:$F,"Total")</f>
        <v>0</v>
      </c>
      <c r="AX149" s="137">
        <f>SUMIFS(Database!$G:$G,Database!$D:$D,"Export",Database!$E:$E,$B149,Database!$C:$C,AX$1,Database!$F:$F,"Total")</f>
        <v>0</v>
      </c>
      <c r="AY149" s="137">
        <f>SUMIFS(Database!$G:$G,Database!$D:$D,"Export",Database!$E:$E,$B149,Database!$C:$C,AY$1,Database!$F:$F,"Total")</f>
        <v>0</v>
      </c>
      <c r="AZ149" s="137">
        <f>SUMIFS(Database!$G:$G,Database!$D:$D,"Export",Database!$E:$E,$B149,Database!$C:$C,AZ$1,Database!$F:$F,"Total")</f>
        <v>0</v>
      </c>
      <c r="BA149" s="137">
        <f>SUMIFS(Database!$G:$G,Database!$D:$D,"Export",Database!$E:$E,$B149,Database!$C:$C,BA$1,Database!$F:$F,"Total")</f>
        <v>0</v>
      </c>
      <c r="BB149" s="137">
        <f>SUMIFS(Database!$G:$G,Database!$D:$D,"Export",Database!$E:$E,$B149,Database!$C:$C,BB$1,Database!$F:$F,"Total")</f>
        <v>0</v>
      </c>
      <c r="BC149" s="137">
        <f>SUMIFS(Database!$G:$G,Database!$D:$D,"Export",Database!$E:$E,$B149,Database!$C:$C,BC$1,Database!$F:$F,"Total")</f>
        <v>0</v>
      </c>
      <c r="BD149" s="137">
        <f>SUMIFS(Database!$G:$G,Database!$D:$D,"Export",Database!$E:$E,$B149,Database!$C:$C,BD$1,Database!$F:$F,"Total")</f>
        <v>0</v>
      </c>
      <c r="BE149" s="137">
        <f>SUMIFS(Database!$G:$G,Database!$D:$D,"Export",Database!$E:$E,$B149,Database!$C:$C,BE$1,Database!$F:$F,"Total")</f>
        <v>0</v>
      </c>
      <c r="BF149" s="137">
        <f>SUMIFS(Database!$G:$G,Database!$D:$D,"Export",Database!$E:$E,$B149,Database!$C:$C,BF$1,Database!$F:$F,"Total")</f>
        <v>0</v>
      </c>
      <c r="BG149" s="137">
        <f>SUMIFS(Database!$G:$G,Database!$D:$D,"Export",Database!$E:$E,$B149,Database!$C:$C,BG$1,Database!$F:$F,"Total")</f>
        <v>0</v>
      </c>
      <c r="BH149" s="137">
        <f>SUMIFS(Database!$G:$G,Database!$D:$D,"Export",Database!$E:$E,$B149,Database!$C:$C,BH$1,Database!$F:$F,"Total")</f>
        <v>0</v>
      </c>
      <c r="BI149" s="137">
        <f>SUMIFS(Database!$G:$G,Database!$D:$D,"Export",Database!$E:$E,$B149,Database!$C:$C,BI$1,Database!$F:$F,"Total")</f>
        <v>0</v>
      </c>
      <c r="BJ149" s="137">
        <f>SUMIFS(Database!$G:$G,Database!$D:$D,"Export",Database!$E:$E,$B149,Database!$C:$C,BJ$1,Database!$F:$F,"Total")</f>
        <v>2473053</v>
      </c>
      <c r="BK149" s="137">
        <f>SUMIFS(Database!$G:$G,Database!$D:$D,"Export",Database!$E:$E,$B149,Database!$C:$C,BK$1,Database!$F:$F,"Total")</f>
        <v>6069127</v>
      </c>
      <c r="BL149" s="137">
        <f>SUMIFS(Database!$G:$G,Database!$D:$D,"Export",Database!$E:$E,$B149,Database!$C:$C,BL$1,Database!$F:$F,"Total")</f>
        <v>0</v>
      </c>
      <c r="BM149" s="137">
        <f>SUMIFS(Database!$G:$G,Database!$D:$D,"Export",Database!$E:$E,$B149,Database!$C:$C,BM$1,Database!$F:$F,"Total")</f>
        <v>0</v>
      </c>
      <c r="BN149" s="137">
        <f>SUMIFS(Database!$G:$G,Database!$D:$D,"Export",Database!$E:$E,$B149,Database!$C:$C,BN$1,Database!$F:$F,"Total")</f>
        <v>0</v>
      </c>
      <c r="BO149" s="137">
        <f>SUMIFS(Database!$G:$G,Database!$D:$D,"Export",Database!$E:$E,$B149,Database!$C:$C,BO$1,Database!$F:$F,"Total")</f>
        <v>0</v>
      </c>
      <c r="BP149" s="137">
        <f>SUMIFS(Database!$G:$G,Database!$D:$D,"Export",Database!$E:$E,$B149,Database!$C:$C,BP$1,Database!$F:$F,"Total")</f>
        <v>0</v>
      </c>
      <c r="BQ149" s="137">
        <f>SUMIFS(Database!$G:$G,Database!$D:$D,"Export",Database!$E:$E,$B149,Database!$C:$C,BQ$1,Database!$F:$F,"Total")</f>
        <v>0</v>
      </c>
      <c r="BR149" s="137">
        <f>SUMIFS(Database!$G:$G,Database!$D:$D,"Export",Database!$E:$E,$B149,Database!$C:$C,BR$1,Database!$F:$F,"Total")</f>
        <v>0</v>
      </c>
      <c r="BS149" s="137">
        <f>SUMIFS(Database!$G:$G,Database!$D:$D,"Export",Database!$E:$E,$B149,Database!$C:$C,BS$1,Database!$F:$F,"Total")</f>
        <v>0</v>
      </c>
      <c r="BT149" s="137">
        <f>SUMIFS(Database!$G:$G,Database!$D:$D,"Export",Database!$E:$E,$B149,Database!$C:$C,BT$1,Database!$F:$F,"Total")</f>
        <v>0</v>
      </c>
      <c r="BU149" s="137">
        <f>SUMIFS(Database!$G:$G,Database!$D:$D,"Export",Database!$E:$E,$B149,Database!$C:$C,BU$1,Database!$F:$F,"Total")</f>
        <v>0</v>
      </c>
      <c r="BV149" s="137">
        <f>SUMIFS(Database!$G:$G,Database!$D:$D,"Export",Database!$E:$E,$B149,Database!$C:$C,BV$1,Database!$F:$F,"Total")</f>
        <v>0</v>
      </c>
      <c r="BW149" s="137">
        <f>SUMIFS(Database!$G:$G,Database!$D:$D,"Export",Database!$E:$E,$B149,Database!$C:$C,BW$1,Database!$F:$F,"Total")</f>
        <v>0</v>
      </c>
      <c r="BX149" s="137">
        <f>SUMIFS(Database!$G:$G,Database!$D:$D,"Export",Database!$E:$E,$B149,Database!$C:$C,BX$1,Database!$F:$F,"Total")</f>
        <v>0</v>
      </c>
      <c r="BY149" s="137">
        <f>SUMIFS(Database!$G:$G,Database!$D:$D,"Export",Database!$E:$E,$B149,Database!$C:$C,BY$1,Database!$F:$F,"Total")</f>
        <v>0</v>
      </c>
      <c r="BZ149" s="137">
        <f>SUMIFS(Database!$G:$G,Database!$D:$D,"Export",Database!$E:$E,$B149,Database!$C:$C,BZ$1,Database!$F:$F,"Total")</f>
        <v>0</v>
      </c>
      <c r="CA149" s="137">
        <f>SUMIFS(Database!$G:$G,Database!$D:$D,"Export",Database!$E:$E,$B149,Database!$C:$C,CA$1,Database!$F:$F,"Total")</f>
        <v>0</v>
      </c>
      <c r="CB149" s="137">
        <f>SUMIFS(Database!$G:$G,Database!$D:$D,"Export",Database!$E:$E,$B149,Database!$C:$C,CB$1,Database!$F:$F,"Total")</f>
        <v>0</v>
      </c>
      <c r="CC149" s="137">
        <f>SUMIFS(Database!$G:$G,Database!$D:$D,"Export",Database!$E:$E,$B149,Database!$C:$C,CC$1,Database!$F:$F,"Total")</f>
        <v>0</v>
      </c>
      <c r="CD149" s="137">
        <f>SUMIFS(Database!$G:$G,Database!$D:$D,"Export",Database!$E:$E,$B149,Database!$C:$C,CD$1,Database!$F:$F,"Total")</f>
        <v>0</v>
      </c>
      <c r="CE149" s="137">
        <f>SUMIFS(Database!$G:$G,Database!$D:$D,"Export",Database!$E:$E,$B149,Database!$C:$C,CE$1,Database!$F:$F,"Total")</f>
        <v>0</v>
      </c>
      <c r="CF149" s="137">
        <f>SUMIFS(Database!$G:$G,Database!$D:$D,"Export",Database!$E:$E,$B149,Database!$C:$C,CF$1,Database!$F:$F,"Total")</f>
        <v>0</v>
      </c>
      <c r="CG149" s="137">
        <f>SUMIFS(Database!$G:$G,Database!$D:$D,"Export",Database!$E:$E,$B149,Database!$C:$C,CG$1,Database!$F:$F,"Total")</f>
        <v>0</v>
      </c>
      <c r="CH149" s="137">
        <f>SUMIFS(Database!$G:$G,Database!$D:$D,"Export",Database!$E:$E,$B149,Database!$C:$C,CH$1,Database!$F:$F,"Total")</f>
        <v>0</v>
      </c>
      <c r="CI149" s="137">
        <f>SUMIFS(Database!$G:$G,Database!$D:$D,"Export",Database!$E:$E,$B149,Database!$C:$C,CI$1,Database!$F:$F,"Total")</f>
        <v>0</v>
      </c>
      <c r="CJ149" s="137">
        <f>SUMIFS(Database!$G:$G,Database!$D:$D,"Export",Database!$E:$E,$B149,Database!$C:$C,CJ$1,Database!$F:$F,"Total")</f>
        <v>0</v>
      </c>
      <c r="CK149" s="137">
        <f>SUMIFS(Database!$G:$G,Database!$D:$D,"Export",Database!$E:$E,$B149,Database!$C:$C,CK$1,Database!$F:$F,"Total")</f>
        <v>0</v>
      </c>
      <c r="CL149" s="137">
        <f>SUMIFS(Database!$G:$G,Database!$D:$D,"Export",Database!$E:$E,$B149,Database!$C:$C,CL$1,Database!$F:$F,"Total")</f>
        <v>0</v>
      </c>
      <c r="CM149" s="137">
        <f>SUMIFS(Database!$G:$G,Database!$D:$D,"Export",Database!$E:$E,$B149,Database!$C:$C,CM$1,Database!$F:$F,"Total")</f>
        <v>0</v>
      </c>
      <c r="CN149" s="137">
        <f>SUMIFS(Database!$G:$G,Database!$D:$D,"Export",Database!$E:$E,$B149,Database!$C:$C,CN$1,Database!$F:$F,"Total")</f>
        <v>0</v>
      </c>
      <c r="CO149" s="137">
        <f>SUMIFS(Database!$G:$G,Database!$D:$D,"Export",Database!$E:$E,$B149,Database!$C:$C,CO$1,Database!$F:$F,"Total")</f>
        <v>0</v>
      </c>
      <c r="CP149" s="137">
        <f>SUMIFS(Database!$G:$G,Database!$D:$D,"Export",Database!$E:$E,$B149,Database!$C:$C,CP$1,Database!$F:$F,"Total")</f>
        <v>0</v>
      </c>
      <c r="CQ149" s="137">
        <f>SUMIFS(Database!$G:$G,Database!$D:$D,"Export",Database!$E:$E,$B149,Database!$C:$C,CQ$1,Database!$F:$F,"Total")</f>
        <v>0</v>
      </c>
      <c r="CR149" s="137">
        <f>SUMIFS(Database!$G:$G,Database!$D:$D,"Export",Database!$E:$E,$B149,Database!$C:$C,CR$1,Database!$F:$F,"Total")</f>
        <v>0</v>
      </c>
      <c r="CS149" s="137">
        <f>SUMIFS(Database!$G:$G,Database!$D:$D,"Export",Database!$E:$E,$B149,Database!$C:$C,CS$1,Database!$F:$F,"Total")</f>
        <v>0</v>
      </c>
      <c r="CT149" s="137">
        <f>SUMIFS(Database!$G:$G,Database!$D:$D,"Export",Database!$E:$E,$B149,Database!$C:$C,CT$1,Database!$F:$F,"Total")</f>
        <v>0</v>
      </c>
      <c r="CU149" s="137">
        <f>SUMIFS(Database!$G:$G,Database!$D:$D,"Export",Database!$E:$E,$B149,Database!$C:$C,CU$1,Database!$F:$F,"Total")</f>
        <v>0</v>
      </c>
    </row>
    <row r="150" spans="1:99" x14ac:dyDescent="0.25">
      <c r="A150" s="132" t="s">
        <v>485</v>
      </c>
      <c r="B150" s="133" t="s">
        <v>146</v>
      </c>
      <c r="C150" s="137">
        <f>SUMIFS(Database!$G:$G,Database!$D:$D,"Export",Database!$E:$E,$B150,Database!$C:$C,C$1,Database!$F:$F,"Total")</f>
        <v>0</v>
      </c>
      <c r="D150" s="137">
        <f>SUMIFS(Database!$G:$G,Database!$D:$D,"Export",Database!$E:$E,$B150,Database!$C:$C,D$1,Database!$F:$F,"Total")</f>
        <v>0</v>
      </c>
      <c r="E150" s="137">
        <f>SUMIFS(Database!$G:$G,Database!$D:$D,"Export",Database!$E:$E,$B150,Database!$C:$C,E$1,Database!$F:$F,"Total")</f>
        <v>0</v>
      </c>
      <c r="F150" s="137">
        <f>SUMIFS(Database!$G:$G,Database!$D:$D,"Export",Database!$E:$E,$B150,Database!$C:$C,F$1,Database!$F:$F,"Total")</f>
        <v>0</v>
      </c>
      <c r="G150" s="137">
        <f>SUMIFS(Database!$G:$G,Database!$D:$D,"Export",Database!$E:$E,$B150,Database!$C:$C,G$1,Database!$F:$F,"Total")</f>
        <v>0</v>
      </c>
      <c r="H150" s="137">
        <f>SUMIFS(Database!$G:$G,Database!$D:$D,"Export",Database!$E:$E,$B150,Database!$C:$C,H$1,Database!$F:$F,"Total")</f>
        <v>0</v>
      </c>
      <c r="I150" s="137">
        <f>SUMIFS(Database!$G:$G,Database!$D:$D,"Export",Database!$E:$E,$B150,Database!$C:$C,I$1,Database!$F:$F,"Total")</f>
        <v>0</v>
      </c>
      <c r="J150" s="137">
        <f>SUMIFS(Database!$G:$G,Database!$D:$D,"Export",Database!$E:$E,$B150,Database!$C:$C,J$1,Database!$F:$F,"Total")</f>
        <v>0</v>
      </c>
      <c r="K150" s="137">
        <f>SUMIFS(Database!$G:$G,Database!$D:$D,"Export",Database!$E:$E,$B150,Database!$C:$C,K$1,Database!$F:$F,"Total")</f>
        <v>0</v>
      </c>
      <c r="L150" s="137">
        <f>SUMIFS(Database!$G:$G,Database!$D:$D,"Export",Database!$E:$E,$B150,Database!$C:$C,L$1,Database!$F:$F,"Total")</f>
        <v>0</v>
      </c>
      <c r="M150" s="137">
        <f>SUMIFS(Database!$G:$G,Database!$D:$D,"Export",Database!$E:$E,$B150,Database!$C:$C,M$1,Database!$F:$F,"Total")</f>
        <v>0</v>
      </c>
      <c r="N150" s="137">
        <f>SUMIFS(Database!$G:$G,Database!$D:$D,"Export",Database!$E:$E,$B150,Database!$C:$C,N$1,Database!$F:$F,"Total")</f>
        <v>0</v>
      </c>
      <c r="O150" s="137">
        <f>SUMIFS(Database!$G:$G,Database!$D:$D,"Export",Database!$E:$E,$B150,Database!$C:$C,O$1,Database!$F:$F,"Total")</f>
        <v>0</v>
      </c>
      <c r="P150" s="137">
        <f>SUMIFS(Database!$G:$G,Database!$D:$D,"Export",Database!$E:$E,$B150,Database!$C:$C,P$1,Database!$F:$F,"Total")</f>
        <v>0</v>
      </c>
      <c r="Q150" s="137">
        <f>SUMIFS(Database!$G:$G,Database!$D:$D,"Export",Database!$E:$E,$B150,Database!$C:$C,Q$1,Database!$F:$F,"Total")</f>
        <v>0</v>
      </c>
      <c r="R150" s="137">
        <f>SUMIFS(Database!$G:$G,Database!$D:$D,"Export",Database!$E:$E,$B150,Database!$C:$C,R$1,Database!$F:$F,"Total")</f>
        <v>0</v>
      </c>
      <c r="S150" s="137">
        <f>SUMIFS(Database!$G:$G,Database!$D:$D,"Export",Database!$E:$E,$B150,Database!$C:$C,S$1,Database!$F:$F,"Total")</f>
        <v>0</v>
      </c>
      <c r="T150" s="137">
        <f>SUMIFS(Database!$G:$G,Database!$D:$D,"Export",Database!$E:$E,$B150,Database!$C:$C,T$1,Database!$F:$F,"Total")</f>
        <v>0</v>
      </c>
      <c r="U150" s="137">
        <f>SUMIFS(Database!$G:$G,Database!$D:$D,"Export",Database!$E:$E,$B150,Database!$C:$C,U$1,Database!$F:$F,"Total")</f>
        <v>0</v>
      </c>
      <c r="V150" s="137">
        <f>SUMIFS(Database!$G:$G,Database!$D:$D,"Export",Database!$E:$E,$B150,Database!$C:$C,V$1,Database!$F:$F,"Total")</f>
        <v>0</v>
      </c>
      <c r="W150" s="137">
        <f>SUMIFS(Database!$G:$G,Database!$D:$D,"Export",Database!$E:$E,$B150,Database!$C:$C,W$1,Database!$F:$F,"Total")</f>
        <v>0</v>
      </c>
      <c r="X150" s="137">
        <f>SUMIFS(Database!$G:$G,Database!$D:$D,"Export",Database!$E:$E,$B150,Database!$C:$C,X$1,Database!$F:$F,"Total")</f>
        <v>0</v>
      </c>
      <c r="Y150" s="137">
        <f>SUMIFS(Database!$G:$G,Database!$D:$D,"Export",Database!$E:$E,$B150,Database!$C:$C,Y$1,Database!$F:$F,"Total")</f>
        <v>0</v>
      </c>
      <c r="Z150" s="137">
        <f>SUMIFS(Database!$G:$G,Database!$D:$D,"Export",Database!$E:$E,$B150,Database!$C:$C,Z$1,Database!$F:$F,"Total")</f>
        <v>0</v>
      </c>
      <c r="AA150" s="137">
        <f>SUMIFS(Database!$G:$G,Database!$D:$D,"Export",Database!$E:$E,$B150,Database!$C:$C,AA$1,Database!$F:$F,"Total")</f>
        <v>0</v>
      </c>
      <c r="AB150" s="137">
        <f>SUMIFS(Database!$G:$G,Database!$D:$D,"Export",Database!$E:$E,$B150,Database!$C:$C,AB$1,Database!$F:$F,"Total")</f>
        <v>0</v>
      </c>
      <c r="AC150" s="137">
        <f>SUMIFS(Database!$G:$G,Database!$D:$D,"Export",Database!$E:$E,$B150,Database!$C:$C,AC$1,Database!$F:$F,"Total")</f>
        <v>0</v>
      </c>
      <c r="AD150" s="137">
        <f>SUMIFS(Database!$G:$G,Database!$D:$D,"Export",Database!$E:$E,$B150,Database!$C:$C,AD$1,Database!$F:$F,"Total")</f>
        <v>0</v>
      </c>
      <c r="AE150" s="137">
        <f>SUMIFS(Database!$G:$G,Database!$D:$D,"Export",Database!$E:$E,$B150,Database!$C:$C,AE$1,Database!$F:$F,"Total")</f>
        <v>0</v>
      </c>
      <c r="AF150" s="137">
        <f>SUMIFS(Database!$G:$G,Database!$D:$D,"Export",Database!$E:$E,$B150,Database!$C:$C,AF$1,Database!$F:$F,"Total")</f>
        <v>0</v>
      </c>
      <c r="AG150" s="137">
        <f>SUMIFS(Database!$G:$G,Database!$D:$D,"Export",Database!$E:$E,$B150,Database!$C:$C,AG$1,Database!$F:$F,"Total")</f>
        <v>0</v>
      </c>
      <c r="AH150" s="137">
        <f>SUMIFS(Database!$G:$G,Database!$D:$D,"Export",Database!$E:$E,$B150,Database!$C:$C,AH$1,Database!$F:$F,"Total")</f>
        <v>0</v>
      </c>
      <c r="AI150" s="137">
        <f>SUMIFS(Database!$G:$G,Database!$D:$D,"Export",Database!$E:$E,$B150,Database!$C:$C,AI$1,Database!$F:$F,"Total")</f>
        <v>0</v>
      </c>
      <c r="AJ150" s="137">
        <f>SUMIFS(Database!$G:$G,Database!$D:$D,"Export",Database!$E:$E,$B150,Database!$C:$C,AJ$1,Database!$F:$F,"Total")</f>
        <v>1264</v>
      </c>
      <c r="AK150" s="137">
        <f>SUMIFS(Database!$G:$G,Database!$D:$D,"Export",Database!$E:$E,$B150,Database!$C:$C,AK$1,Database!$F:$F,"Total")</f>
        <v>0</v>
      </c>
      <c r="AL150" s="137">
        <f>SUMIFS(Database!$G:$G,Database!$D:$D,"Export",Database!$E:$E,$B150,Database!$C:$C,AL$1,Database!$F:$F,"Total")</f>
        <v>0</v>
      </c>
      <c r="AM150" s="137">
        <f>SUMIFS(Database!$G:$G,Database!$D:$D,"Export",Database!$E:$E,$B150,Database!$C:$C,AM$1,Database!$F:$F,"Total")</f>
        <v>0</v>
      </c>
      <c r="AN150" s="137">
        <f>SUMIFS(Database!$G:$G,Database!$D:$D,"Export",Database!$E:$E,$B150,Database!$C:$C,AN$1,Database!$F:$F,"Total")</f>
        <v>0</v>
      </c>
      <c r="AO150" s="137">
        <f>SUMIFS(Database!$G:$G,Database!$D:$D,"Export",Database!$E:$E,$B150,Database!$C:$C,AO$1,Database!$F:$F,"Total")</f>
        <v>0</v>
      </c>
      <c r="AP150" s="137">
        <f>SUMIFS(Database!$G:$G,Database!$D:$D,"Export",Database!$E:$E,$B150,Database!$C:$C,AP$1,Database!$F:$F,"Total")</f>
        <v>0</v>
      </c>
      <c r="AQ150" s="137">
        <f>SUMIFS(Database!$G:$G,Database!$D:$D,"Export",Database!$E:$E,$B150,Database!$C:$C,AQ$1,Database!$F:$F,"Total")</f>
        <v>0</v>
      </c>
      <c r="AR150" s="137">
        <f>SUMIFS(Database!$G:$G,Database!$D:$D,"Export",Database!$E:$E,$B150,Database!$C:$C,AR$1,Database!$F:$F,"Total")</f>
        <v>0</v>
      </c>
      <c r="AS150" s="137">
        <f>SUMIFS(Database!$G:$G,Database!$D:$D,"Export",Database!$E:$E,$B150,Database!$C:$C,AS$1,Database!$F:$F,"Total")</f>
        <v>0</v>
      </c>
      <c r="AT150" s="137">
        <f>SUMIFS(Database!$G:$G,Database!$D:$D,"Export",Database!$E:$E,$B150,Database!$C:$C,AT$1,Database!$F:$F,"Total")</f>
        <v>0</v>
      </c>
      <c r="AU150" s="137">
        <f>SUMIFS(Database!$G:$G,Database!$D:$D,"Export",Database!$E:$E,$B150,Database!$C:$C,AU$1,Database!$F:$F,"Total")</f>
        <v>0</v>
      </c>
      <c r="AV150" s="137">
        <f>SUMIFS(Database!$G:$G,Database!$D:$D,"Export",Database!$E:$E,$B150,Database!$C:$C,AV$1,Database!$F:$F,"Total")</f>
        <v>0</v>
      </c>
      <c r="AW150" s="137">
        <f>SUMIFS(Database!$G:$G,Database!$D:$D,"Export",Database!$E:$E,$B150,Database!$C:$C,AW$1,Database!$F:$F,"Total")</f>
        <v>0</v>
      </c>
      <c r="AX150" s="137">
        <f>SUMIFS(Database!$G:$G,Database!$D:$D,"Export",Database!$E:$E,$B150,Database!$C:$C,AX$1,Database!$F:$F,"Total")</f>
        <v>0</v>
      </c>
      <c r="AY150" s="137">
        <f>SUMIFS(Database!$G:$G,Database!$D:$D,"Export",Database!$E:$E,$B150,Database!$C:$C,AY$1,Database!$F:$F,"Total")</f>
        <v>0</v>
      </c>
      <c r="AZ150" s="137">
        <f>SUMIFS(Database!$G:$G,Database!$D:$D,"Export",Database!$E:$E,$B150,Database!$C:$C,AZ$1,Database!$F:$F,"Total")</f>
        <v>0</v>
      </c>
      <c r="BA150" s="137">
        <f>SUMIFS(Database!$G:$G,Database!$D:$D,"Export",Database!$E:$E,$B150,Database!$C:$C,BA$1,Database!$F:$F,"Total")</f>
        <v>0</v>
      </c>
      <c r="BB150" s="137">
        <f>SUMIFS(Database!$G:$G,Database!$D:$D,"Export",Database!$E:$E,$B150,Database!$C:$C,BB$1,Database!$F:$F,"Total")</f>
        <v>0</v>
      </c>
      <c r="BC150" s="137">
        <f>SUMIFS(Database!$G:$G,Database!$D:$D,"Export",Database!$E:$E,$B150,Database!$C:$C,BC$1,Database!$F:$F,"Total")</f>
        <v>0</v>
      </c>
      <c r="BD150" s="137">
        <f>SUMIFS(Database!$G:$G,Database!$D:$D,"Export",Database!$E:$E,$B150,Database!$C:$C,BD$1,Database!$F:$F,"Total")</f>
        <v>0</v>
      </c>
      <c r="BE150" s="137">
        <f>SUMIFS(Database!$G:$G,Database!$D:$D,"Export",Database!$E:$E,$B150,Database!$C:$C,BE$1,Database!$F:$F,"Total")</f>
        <v>0</v>
      </c>
      <c r="BF150" s="137">
        <f>SUMIFS(Database!$G:$G,Database!$D:$D,"Export",Database!$E:$E,$B150,Database!$C:$C,BF$1,Database!$F:$F,"Total")</f>
        <v>0</v>
      </c>
      <c r="BG150" s="137">
        <f>SUMIFS(Database!$G:$G,Database!$D:$D,"Export",Database!$E:$E,$B150,Database!$C:$C,BG$1,Database!$F:$F,"Total")</f>
        <v>0</v>
      </c>
      <c r="BH150" s="137">
        <f>SUMIFS(Database!$G:$G,Database!$D:$D,"Export",Database!$E:$E,$B150,Database!$C:$C,BH$1,Database!$F:$F,"Total")</f>
        <v>0</v>
      </c>
      <c r="BI150" s="137">
        <f>SUMIFS(Database!$G:$G,Database!$D:$D,"Export",Database!$E:$E,$B150,Database!$C:$C,BI$1,Database!$F:$F,"Total")</f>
        <v>0</v>
      </c>
      <c r="BJ150" s="137">
        <f>SUMIFS(Database!$G:$G,Database!$D:$D,"Export",Database!$E:$E,$B150,Database!$C:$C,BJ$1,Database!$F:$F,"Total")</f>
        <v>0</v>
      </c>
      <c r="BK150" s="137">
        <f>SUMIFS(Database!$G:$G,Database!$D:$D,"Export",Database!$E:$E,$B150,Database!$C:$C,BK$1,Database!$F:$F,"Total")</f>
        <v>0</v>
      </c>
      <c r="BL150" s="137">
        <f>SUMIFS(Database!$G:$G,Database!$D:$D,"Export",Database!$E:$E,$B150,Database!$C:$C,BL$1,Database!$F:$F,"Total")</f>
        <v>0</v>
      </c>
      <c r="BM150" s="137">
        <f>SUMIFS(Database!$G:$G,Database!$D:$D,"Export",Database!$E:$E,$B150,Database!$C:$C,BM$1,Database!$F:$F,"Total")</f>
        <v>0</v>
      </c>
      <c r="BN150" s="137">
        <f>SUMIFS(Database!$G:$G,Database!$D:$D,"Export",Database!$E:$E,$B150,Database!$C:$C,BN$1,Database!$F:$F,"Total")</f>
        <v>0</v>
      </c>
      <c r="BO150" s="137">
        <f>SUMIFS(Database!$G:$G,Database!$D:$D,"Export",Database!$E:$E,$B150,Database!$C:$C,BO$1,Database!$F:$F,"Total")</f>
        <v>0</v>
      </c>
      <c r="BP150" s="137">
        <f>SUMIFS(Database!$G:$G,Database!$D:$D,"Export",Database!$E:$E,$B150,Database!$C:$C,BP$1,Database!$F:$F,"Total")</f>
        <v>0</v>
      </c>
      <c r="BQ150" s="137">
        <f>SUMIFS(Database!$G:$G,Database!$D:$D,"Export",Database!$E:$E,$B150,Database!$C:$C,BQ$1,Database!$F:$F,"Total")</f>
        <v>0</v>
      </c>
      <c r="BR150" s="137">
        <f>SUMIFS(Database!$G:$G,Database!$D:$D,"Export",Database!$E:$E,$B150,Database!$C:$C,BR$1,Database!$F:$F,"Total")</f>
        <v>0</v>
      </c>
      <c r="BS150" s="137">
        <f>SUMIFS(Database!$G:$G,Database!$D:$D,"Export",Database!$E:$E,$B150,Database!$C:$C,BS$1,Database!$F:$F,"Total")</f>
        <v>0</v>
      </c>
      <c r="BT150" s="137">
        <f>SUMIFS(Database!$G:$G,Database!$D:$D,"Export",Database!$E:$E,$B150,Database!$C:$C,BT$1,Database!$F:$F,"Total")</f>
        <v>0</v>
      </c>
      <c r="BU150" s="137">
        <f>SUMIFS(Database!$G:$G,Database!$D:$D,"Export",Database!$E:$E,$B150,Database!$C:$C,BU$1,Database!$F:$F,"Total")</f>
        <v>0</v>
      </c>
      <c r="BV150" s="137">
        <f>SUMIFS(Database!$G:$G,Database!$D:$D,"Export",Database!$E:$E,$B150,Database!$C:$C,BV$1,Database!$F:$F,"Total")</f>
        <v>0</v>
      </c>
      <c r="BW150" s="137">
        <f>SUMIFS(Database!$G:$G,Database!$D:$D,"Export",Database!$E:$E,$B150,Database!$C:$C,BW$1,Database!$F:$F,"Total")</f>
        <v>0</v>
      </c>
      <c r="BX150" s="137">
        <f>SUMIFS(Database!$G:$G,Database!$D:$D,"Export",Database!$E:$E,$B150,Database!$C:$C,BX$1,Database!$F:$F,"Total")</f>
        <v>0</v>
      </c>
      <c r="BY150" s="137">
        <f>SUMIFS(Database!$G:$G,Database!$D:$D,"Export",Database!$E:$E,$B150,Database!$C:$C,BY$1,Database!$F:$F,"Total")</f>
        <v>0</v>
      </c>
      <c r="BZ150" s="137">
        <f>SUMIFS(Database!$G:$G,Database!$D:$D,"Export",Database!$E:$E,$B150,Database!$C:$C,BZ$1,Database!$F:$F,"Total")</f>
        <v>0</v>
      </c>
      <c r="CA150" s="137">
        <f>SUMIFS(Database!$G:$G,Database!$D:$D,"Export",Database!$E:$E,$B150,Database!$C:$C,CA$1,Database!$F:$F,"Total")</f>
        <v>0</v>
      </c>
      <c r="CB150" s="137">
        <f>SUMIFS(Database!$G:$G,Database!$D:$D,"Export",Database!$E:$E,$B150,Database!$C:$C,CB$1,Database!$F:$F,"Total")</f>
        <v>0</v>
      </c>
      <c r="CC150" s="137">
        <f>SUMIFS(Database!$G:$G,Database!$D:$D,"Export",Database!$E:$E,$B150,Database!$C:$C,CC$1,Database!$F:$F,"Total")</f>
        <v>0</v>
      </c>
      <c r="CD150" s="137">
        <f>SUMIFS(Database!$G:$G,Database!$D:$D,"Export",Database!$E:$E,$B150,Database!$C:$C,CD$1,Database!$F:$F,"Total")</f>
        <v>0</v>
      </c>
      <c r="CE150" s="137">
        <f>SUMIFS(Database!$G:$G,Database!$D:$D,"Export",Database!$E:$E,$B150,Database!$C:$C,CE$1,Database!$F:$F,"Total")</f>
        <v>0</v>
      </c>
      <c r="CF150" s="137">
        <f>SUMIFS(Database!$G:$G,Database!$D:$D,"Export",Database!$E:$E,$B150,Database!$C:$C,CF$1,Database!$F:$F,"Total")</f>
        <v>0</v>
      </c>
      <c r="CG150" s="137">
        <f>SUMIFS(Database!$G:$G,Database!$D:$D,"Export",Database!$E:$E,$B150,Database!$C:$C,CG$1,Database!$F:$F,"Total")</f>
        <v>0</v>
      </c>
      <c r="CH150" s="137">
        <f>SUMIFS(Database!$G:$G,Database!$D:$D,"Export",Database!$E:$E,$B150,Database!$C:$C,CH$1,Database!$F:$F,"Total")</f>
        <v>0</v>
      </c>
      <c r="CI150" s="137">
        <f>SUMIFS(Database!$G:$G,Database!$D:$D,"Export",Database!$E:$E,$B150,Database!$C:$C,CI$1,Database!$F:$F,"Total")</f>
        <v>0</v>
      </c>
      <c r="CJ150" s="137">
        <f>SUMIFS(Database!$G:$G,Database!$D:$D,"Export",Database!$E:$E,$B150,Database!$C:$C,CJ$1,Database!$F:$F,"Total")</f>
        <v>0</v>
      </c>
      <c r="CK150" s="137">
        <f>SUMIFS(Database!$G:$G,Database!$D:$D,"Export",Database!$E:$E,$B150,Database!$C:$C,CK$1,Database!$F:$F,"Total")</f>
        <v>0</v>
      </c>
      <c r="CL150" s="137">
        <f>SUMIFS(Database!$G:$G,Database!$D:$D,"Export",Database!$E:$E,$B150,Database!$C:$C,CL$1,Database!$F:$F,"Total")</f>
        <v>0</v>
      </c>
      <c r="CM150" s="137">
        <f>SUMIFS(Database!$G:$G,Database!$D:$D,"Export",Database!$E:$E,$B150,Database!$C:$C,CM$1,Database!$F:$F,"Total")</f>
        <v>0</v>
      </c>
      <c r="CN150" s="137">
        <f>SUMIFS(Database!$G:$G,Database!$D:$D,"Export",Database!$E:$E,$B150,Database!$C:$C,CN$1,Database!$F:$F,"Total")</f>
        <v>0</v>
      </c>
      <c r="CO150" s="137">
        <f>SUMIFS(Database!$G:$G,Database!$D:$D,"Export",Database!$E:$E,$B150,Database!$C:$C,CO$1,Database!$F:$F,"Total")</f>
        <v>0</v>
      </c>
      <c r="CP150" s="137">
        <f>SUMIFS(Database!$G:$G,Database!$D:$D,"Export",Database!$E:$E,$B150,Database!$C:$C,CP$1,Database!$F:$F,"Total")</f>
        <v>0</v>
      </c>
      <c r="CQ150" s="137">
        <f>SUMIFS(Database!$G:$G,Database!$D:$D,"Export",Database!$E:$E,$B150,Database!$C:$C,CQ$1,Database!$F:$F,"Total")</f>
        <v>0</v>
      </c>
      <c r="CR150" s="137">
        <f>SUMIFS(Database!$G:$G,Database!$D:$D,"Export",Database!$E:$E,$B150,Database!$C:$C,CR$1,Database!$F:$F,"Total")</f>
        <v>0</v>
      </c>
      <c r="CS150" s="137">
        <f>SUMIFS(Database!$G:$G,Database!$D:$D,"Export",Database!$E:$E,$B150,Database!$C:$C,CS$1,Database!$F:$F,"Total")</f>
        <v>0</v>
      </c>
      <c r="CT150" s="137">
        <f>SUMIFS(Database!$G:$G,Database!$D:$D,"Export",Database!$E:$E,$B150,Database!$C:$C,CT$1,Database!$F:$F,"Total")</f>
        <v>0</v>
      </c>
      <c r="CU150" s="137">
        <f>SUMIFS(Database!$G:$G,Database!$D:$D,"Export",Database!$E:$E,$B150,Database!$C:$C,CU$1,Database!$F:$F,"Total")</f>
        <v>0</v>
      </c>
    </row>
    <row r="151" spans="1:99" x14ac:dyDescent="0.25">
      <c r="A151" s="132" t="s">
        <v>485</v>
      </c>
      <c r="B151" s="133" t="s">
        <v>99</v>
      </c>
      <c r="C151" s="137">
        <f>SUMIFS(Database!$G:$G,Database!$D:$D,"Export",Database!$E:$E,$B151,Database!$C:$C,C$1,Database!$F:$F,"Total")</f>
        <v>0</v>
      </c>
      <c r="D151" s="137">
        <f>SUMIFS(Database!$G:$G,Database!$D:$D,"Export",Database!$E:$E,$B151,Database!$C:$C,D$1,Database!$F:$F,"Total")</f>
        <v>0</v>
      </c>
      <c r="E151" s="137">
        <f>SUMIFS(Database!$G:$G,Database!$D:$D,"Export",Database!$E:$E,$B151,Database!$C:$C,E$1,Database!$F:$F,"Total")</f>
        <v>0</v>
      </c>
      <c r="F151" s="137">
        <f>SUMIFS(Database!$G:$G,Database!$D:$D,"Export",Database!$E:$E,$B151,Database!$C:$C,F$1,Database!$F:$F,"Total")</f>
        <v>0</v>
      </c>
      <c r="G151" s="137">
        <f>SUMIFS(Database!$G:$G,Database!$D:$D,"Export",Database!$E:$E,$B151,Database!$C:$C,G$1,Database!$F:$F,"Total")</f>
        <v>0</v>
      </c>
      <c r="H151" s="137">
        <f>SUMIFS(Database!$G:$G,Database!$D:$D,"Export",Database!$E:$E,$B151,Database!$C:$C,H$1,Database!$F:$F,"Total")</f>
        <v>0</v>
      </c>
      <c r="I151" s="137">
        <f>SUMIFS(Database!$G:$G,Database!$D:$D,"Export",Database!$E:$E,$B151,Database!$C:$C,I$1,Database!$F:$F,"Total")</f>
        <v>0</v>
      </c>
      <c r="J151" s="137">
        <f>SUMIFS(Database!$G:$G,Database!$D:$D,"Export",Database!$E:$E,$B151,Database!$C:$C,J$1,Database!$F:$F,"Total")</f>
        <v>0</v>
      </c>
      <c r="K151" s="137">
        <f>SUMIFS(Database!$G:$G,Database!$D:$D,"Export",Database!$E:$E,$B151,Database!$C:$C,K$1,Database!$F:$F,"Total")</f>
        <v>0</v>
      </c>
      <c r="L151" s="137">
        <f>SUMIFS(Database!$G:$G,Database!$D:$D,"Export",Database!$E:$E,$B151,Database!$C:$C,L$1,Database!$F:$F,"Total")</f>
        <v>0</v>
      </c>
      <c r="M151" s="137">
        <f>SUMIFS(Database!$G:$G,Database!$D:$D,"Export",Database!$E:$E,$B151,Database!$C:$C,M$1,Database!$F:$F,"Total")</f>
        <v>0</v>
      </c>
      <c r="N151" s="137">
        <f>SUMIFS(Database!$G:$G,Database!$D:$D,"Export",Database!$E:$E,$B151,Database!$C:$C,N$1,Database!$F:$F,"Total")</f>
        <v>0</v>
      </c>
      <c r="O151" s="137">
        <f>SUMIFS(Database!$G:$G,Database!$D:$D,"Export",Database!$E:$E,$B151,Database!$C:$C,O$1,Database!$F:$F,"Total")</f>
        <v>0</v>
      </c>
      <c r="P151" s="137">
        <f>SUMIFS(Database!$G:$G,Database!$D:$D,"Export",Database!$E:$E,$B151,Database!$C:$C,P$1,Database!$F:$F,"Total")</f>
        <v>0</v>
      </c>
      <c r="Q151" s="137">
        <f>SUMIFS(Database!$G:$G,Database!$D:$D,"Export",Database!$E:$E,$B151,Database!$C:$C,Q$1,Database!$F:$F,"Total")</f>
        <v>0</v>
      </c>
      <c r="R151" s="137">
        <f>SUMIFS(Database!$G:$G,Database!$D:$D,"Export",Database!$E:$E,$B151,Database!$C:$C,R$1,Database!$F:$F,"Total")</f>
        <v>0</v>
      </c>
      <c r="S151" s="137">
        <f>SUMIFS(Database!$G:$G,Database!$D:$D,"Export",Database!$E:$E,$B151,Database!$C:$C,S$1,Database!$F:$F,"Total")</f>
        <v>0</v>
      </c>
      <c r="T151" s="137">
        <f>SUMIFS(Database!$G:$G,Database!$D:$D,"Export",Database!$E:$E,$B151,Database!$C:$C,T$1,Database!$F:$F,"Total")</f>
        <v>0</v>
      </c>
      <c r="U151" s="137">
        <f>SUMIFS(Database!$G:$G,Database!$D:$D,"Export",Database!$E:$E,$B151,Database!$C:$C,U$1,Database!$F:$F,"Total")</f>
        <v>0</v>
      </c>
      <c r="V151" s="137">
        <f>SUMIFS(Database!$G:$G,Database!$D:$D,"Export",Database!$E:$E,$B151,Database!$C:$C,V$1,Database!$F:$F,"Total")</f>
        <v>0</v>
      </c>
      <c r="W151" s="137">
        <f>SUMIFS(Database!$G:$G,Database!$D:$D,"Export",Database!$E:$E,$B151,Database!$C:$C,W$1,Database!$F:$F,"Total")</f>
        <v>0</v>
      </c>
      <c r="X151" s="137">
        <f>SUMIFS(Database!$G:$G,Database!$D:$D,"Export",Database!$E:$E,$B151,Database!$C:$C,X$1,Database!$F:$F,"Total")</f>
        <v>0</v>
      </c>
      <c r="Y151" s="137">
        <f>SUMIFS(Database!$G:$G,Database!$D:$D,"Export",Database!$E:$E,$B151,Database!$C:$C,Y$1,Database!$F:$F,"Total")</f>
        <v>0</v>
      </c>
      <c r="Z151" s="137">
        <f>SUMIFS(Database!$G:$G,Database!$D:$D,"Export",Database!$E:$E,$B151,Database!$C:$C,Z$1,Database!$F:$F,"Total")</f>
        <v>0</v>
      </c>
      <c r="AA151" s="137">
        <f>SUMIFS(Database!$G:$G,Database!$D:$D,"Export",Database!$E:$E,$B151,Database!$C:$C,AA$1,Database!$F:$F,"Total")</f>
        <v>0</v>
      </c>
      <c r="AB151" s="137">
        <f>SUMIFS(Database!$G:$G,Database!$D:$D,"Export",Database!$E:$E,$B151,Database!$C:$C,AB$1,Database!$F:$F,"Total")</f>
        <v>0</v>
      </c>
      <c r="AC151" s="137">
        <f>SUMIFS(Database!$G:$G,Database!$D:$D,"Export",Database!$E:$E,$B151,Database!$C:$C,AC$1,Database!$F:$F,"Total")</f>
        <v>0</v>
      </c>
      <c r="AD151" s="137">
        <f>SUMIFS(Database!$G:$G,Database!$D:$D,"Export",Database!$E:$E,$B151,Database!$C:$C,AD$1,Database!$F:$F,"Total")</f>
        <v>0</v>
      </c>
      <c r="AE151" s="137">
        <f>SUMIFS(Database!$G:$G,Database!$D:$D,"Export",Database!$E:$E,$B151,Database!$C:$C,AE$1,Database!$F:$F,"Total")</f>
        <v>0</v>
      </c>
      <c r="AF151" s="137">
        <f>SUMIFS(Database!$G:$G,Database!$D:$D,"Export",Database!$E:$E,$B151,Database!$C:$C,AF$1,Database!$F:$F,"Total")</f>
        <v>0</v>
      </c>
      <c r="AG151" s="137">
        <f>SUMIFS(Database!$G:$G,Database!$D:$D,"Export",Database!$E:$E,$B151,Database!$C:$C,AG$1,Database!$F:$F,"Total")</f>
        <v>0</v>
      </c>
      <c r="AH151" s="137">
        <f>SUMIFS(Database!$G:$G,Database!$D:$D,"Export",Database!$E:$E,$B151,Database!$C:$C,AH$1,Database!$F:$F,"Total")</f>
        <v>0</v>
      </c>
      <c r="AI151" s="137">
        <f>SUMIFS(Database!$G:$G,Database!$D:$D,"Export",Database!$E:$E,$B151,Database!$C:$C,AI$1,Database!$F:$F,"Total")</f>
        <v>0</v>
      </c>
      <c r="AJ151" s="137">
        <f>SUMIFS(Database!$G:$G,Database!$D:$D,"Export",Database!$E:$E,$B151,Database!$C:$C,AJ$1,Database!$F:$F,"Total")</f>
        <v>80</v>
      </c>
      <c r="AK151" s="137">
        <f>SUMIFS(Database!$G:$G,Database!$D:$D,"Export",Database!$E:$E,$B151,Database!$C:$C,AK$1,Database!$F:$F,"Total")</f>
        <v>0</v>
      </c>
      <c r="AL151" s="137">
        <f>SUMIFS(Database!$G:$G,Database!$D:$D,"Export",Database!$E:$E,$B151,Database!$C:$C,AL$1,Database!$F:$F,"Total")</f>
        <v>0</v>
      </c>
      <c r="AM151" s="137">
        <f>SUMIFS(Database!$G:$G,Database!$D:$D,"Export",Database!$E:$E,$B151,Database!$C:$C,AM$1,Database!$F:$F,"Total")</f>
        <v>0</v>
      </c>
      <c r="AN151" s="137">
        <f>SUMIFS(Database!$G:$G,Database!$D:$D,"Export",Database!$E:$E,$B151,Database!$C:$C,AN$1,Database!$F:$F,"Total")</f>
        <v>0</v>
      </c>
      <c r="AO151" s="137">
        <f>SUMIFS(Database!$G:$G,Database!$D:$D,"Export",Database!$E:$E,$B151,Database!$C:$C,AO$1,Database!$F:$F,"Total")</f>
        <v>0</v>
      </c>
      <c r="AP151" s="137">
        <f>SUMIFS(Database!$G:$G,Database!$D:$D,"Export",Database!$E:$E,$B151,Database!$C:$C,AP$1,Database!$F:$F,"Total")</f>
        <v>0</v>
      </c>
      <c r="AQ151" s="137">
        <f>SUMIFS(Database!$G:$G,Database!$D:$D,"Export",Database!$E:$E,$B151,Database!$C:$C,AQ$1,Database!$F:$F,"Total")</f>
        <v>0</v>
      </c>
      <c r="AR151" s="137">
        <f>SUMIFS(Database!$G:$G,Database!$D:$D,"Export",Database!$E:$E,$B151,Database!$C:$C,AR$1,Database!$F:$F,"Total")</f>
        <v>0</v>
      </c>
      <c r="AS151" s="137">
        <f>SUMIFS(Database!$G:$G,Database!$D:$D,"Export",Database!$E:$E,$B151,Database!$C:$C,AS$1,Database!$F:$F,"Total")</f>
        <v>0</v>
      </c>
      <c r="AT151" s="137">
        <f>SUMIFS(Database!$G:$G,Database!$D:$D,"Export",Database!$E:$E,$B151,Database!$C:$C,AT$1,Database!$F:$F,"Total")</f>
        <v>0</v>
      </c>
      <c r="AU151" s="137">
        <f>SUMIFS(Database!$G:$G,Database!$D:$D,"Export",Database!$E:$E,$B151,Database!$C:$C,AU$1,Database!$F:$F,"Total")</f>
        <v>0</v>
      </c>
      <c r="AV151" s="137">
        <f>SUMIFS(Database!$G:$G,Database!$D:$D,"Export",Database!$E:$E,$B151,Database!$C:$C,AV$1,Database!$F:$F,"Total")</f>
        <v>0</v>
      </c>
      <c r="AW151" s="137">
        <f>SUMIFS(Database!$G:$G,Database!$D:$D,"Export",Database!$E:$E,$B151,Database!$C:$C,AW$1,Database!$F:$F,"Total")</f>
        <v>0</v>
      </c>
      <c r="AX151" s="137">
        <f>SUMIFS(Database!$G:$G,Database!$D:$D,"Export",Database!$E:$E,$B151,Database!$C:$C,AX$1,Database!$F:$F,"Total")</f>
        <v>0</v>
      </c>
      <c r="AY151" s="137">
        <f>SUMIFS(Database!$G:$G,Database!$D:$D,"Export",Database!$E:$E,$B151,Database!$C:$C,AY$1,Database!$F:$F,"Total")</f>
        <v>0</v>
      </c>
      <c r="AZ151" s="137">
        <f>SUMIFS(Database!$G:$G,Database!$D:$D,"Export",Database!$E:$E,$B151,Database!$C:$C,AZ$1,Database!$F:$F,"Total")</f>
        <v>0</v>
      </c>
      <c r="BA151" s="137">
        <f>SUMIFS(Database!$G:$G,Database!$D:$D,"Export",Database!$E:$E,$B151,Database!$C:$C,BA$1,Database!$F:$F,"Total")</f>
        <v>0</v>
      </c>
      <c r="BB151" s="137">
        <f>SUMIFS(Database!$G:$G,Database!$D:$D,"Export",Database!$E:$E,$B151,Database!$C:$C,BB$1,Database!$F:$F,"Total")</f>
        <v>0</v>
      </c>
      <c r="BC151" s="137">
        <f>SUMIFS(Database!$G:$G,Database!$D:$D,"Export",Database!$E:$E,$B151,Database!$C:$C,BC$1,Database!$F:$F,"Total")</f>
        <v>0</v>
      </c>
      <c r="BD151" s="137">
        <f>SUMIFS(Database!$G:$G,Database!$D:$D,"Export",Database!$E:$E,$B151,Database!$C:$C,BD$1,Database!$F:$F,"Total")</f>
        <v>0</v>
      </c>
      <c r="BE151" s="137">
        <f>SUMIFS(Database!$G:$G,Database!$D:$D,"Export",Database!$E:$E,$B151,Database!$C:$C,BE$1,Database!$F:$F,"Total")</f>
        <v>0</v>
      </c>
      <c r="BF151" s="137">
        <f>SUMIFS(Database!$G:$G,Database!$D:$D,"Export",Database!$E:$E,$B151,Database!$C:$C,BF$1,Database!$F:$F,"Total")</f>
        <v>0</v>
      </c>
      <c r="BG151" s="137">
        <f>SUMIFS(Database!$G:$G,Database!$D:$D,"Export",Database!$E:$E,$B151,Database!$C:$C,BG$1,Database!$F:$F,"Total")</f>
        <v>0</v>
      </c>
      <c r="BH151" s="137">
        <f>SUMIFS(Database!$G:$G,Database!$D:$D,"Export",Database!$E:$E,$B151,Database!$C:$C,BH$1,Database!$F:$F,"Total")</f>
        <v>0</v>
      </c>
      <c r="BI151" s="137">
        <f>SUMIFS(Database!$G:$G,Database!$D:$D,"Export",Database!$E:$E,$B151,Database!$C:$C,BI$1,Database!$F:$F,"Total")</f>
        <v>0</v>
      </c>
      <c r="BJ151" s="137">
        <f>SUMIFS(Database!$G:$G,Database!$D:$D,"Export",Database!$E:$E,$B151,Database!$C:$C,BJ$1,Database!$F:$F,"Total")</f>
        <v>0</v>
      </c>
      <c r="BK151" s="137">
        <f>SUMIFS(Database!$G:$G,Database!$D:$D,"Export",Database!$E:$E,$B151,Database!$C:$C,BK$1,Database!$F:$F,"Total")</f>
        <v>0</v>
      </c>
      <c r="BL151" s="137">
        <f>SUMIFS(Database!$G:$G,Database!$D:$D,"Export",Database!$E:$E,$B151,Database!$C:$C,BL$1,Database!$F:$F,"Total")</f>
        <v>0</v>
      </c>
      <c r="BM151" s="137">
        <f>SUMIFS(Database!$G:$G,Database!$D:$D,"Export",Database!$E:$E,$B151,Database!$C:$C,BM$1,Database!$F:$F,"Total")</f>
        <v>0</v>
      </c>
      <c r="BN151" s="137">
        <f>SUMIFS(Database!$G:$G,Database!$D:$D,"Export",Database!$E:$E,$B151,Database!$C:$C,BN$1,Database!$F:$F,"Total")</f>
        <v>0</v>
      </c>
      <c r="BO151" s="137">
        <f>SUMIFS(Database!$G:$G,Database!$D:$D,"Export",Database!$E:$E,$B151,Database!$C:$C,BO$1,Database!$F:$F,"Total")</f>
        <v>0</v>
      </c>
      <c r="BP151" s="137">
        <f>SUMIFS(Database!$G:$G,Database!$D:$D,"Export",Database!$E:$E,$B151,Database!$C:$C,BP$1,Database!$F:$F,"Total")</f>
        <v>0</v>
      </c>
      <c r="BQ151" s="137">
        <f>SUMIFS(Database!$G:$G,Database!$D:$D,"Export",Database!$E:$E,$B151,Database!$C:$C,BQ$1,Database!$F:$F,"Total")</f>
        <v>0</v>
      </c>
      <c r="BR151" s="137">
        <f>SUMIFS(Database!$G:$G,Database!$D:$D,"Export",Database!$E:$E,$B151,Database!$C:$C,BR$1,Database!$F:$F,"Total")</f>
        <v>0</v>
      </c>
      <c r="BS151" s="137">
        <f>SUMIFS(Database!$G:$G,Database!$D:$D,"Export",Database!$E:$E,$B151,Database!$C:$C,BS$1,Database!$F:$F,"Total")</f>
        <v>0</v>
      </c>
      <c r="BT151" s="137">
        <f>SUMIFS(Database!$G:$G,Database!$D:$D,"Export",Database!$E:$E,$B151,Database!$C:$C,BT$1,Database!$F:$F,"Total")</f>
        <v>0</v>
      </c>
      <c r="BU151" s="137">
        <f>SUMIFS(Database!$G:$G,Database!$D:$D,"Export",Database!$E:$E,$B151,Database!$C:$C,BU$1,Database!$F:$F,"Total")</f>
        <v>0</v>
      </c>
      <c r="BV151" s="137">
        <f>SUMIFS(Database!$G:$G,Database!$D:$D,"Export",Database!$E:$E,$B151,Database!$C:$C,BV$1,Database!$F:$F,"Total")</f>
        <v>0</v>
      </c>
      <c r="BW151" s="137">
        <f>SUMIFS(Database!$G:$G,Database!$D:$D,"Export",Database!$E:$E,$B151,Database!$C:$C,BW$1,Database!$F:$F,"Total")</f>
        <v>0</v>
      </c>
      <c r="BX151" s="137">
        <f>SUMIFS(Database!$G:$G,Database!$D:$D,"Export",Database!$E:$E,$B151,Database!$C:$C,BX$1,Database!$F:$F,"Total")</f>
        <v>0</v>
      </c>
      <c r="BY151" s="137">
        <f>SUMIFS(Database!$G:$G,Database!$D:$D,"Export",Database!$E:$E,$B151,Database!$C:$C,BY$1,Database!$F:$F,"Total")</f>
        <v>0</v>
      </c>
      <c r="BZ151" s="137">
        <f>SUMIFS(Database!$G:$G,Database!$D:$D,"Export",Database!$E:$E,$B151,Database!$C:$C,BZ$1,Database!$F:$F,"Total")</f>
        <v>0</v>
      </c>
      <c r="CA151" s="137">
        <f>SUMIFS(Database!$G:$G,Database!$D:$D,"Export",Database!$E:$E,$B151,Database!$C:$C,CA$1,Database!$F:$F,"Total")</f>
        <v>0</v>
      </c>
      <c r="CB151" s="137">
        <f>SUMIFS(Database!$G:$G,Database!$D:$D,"Export",Database!$E:$E,$B151,Database!$C:$C,CB$1,Database!$F:$F,"Total")</f>
        <v>0</v>
      </c>
      <c r="CC151" s="137">
        <f>SUMIFS(Database!$G:$G,Database!$D:$D,"Export",Database!$E:$E,$B151,Database!$C:$C,CC$1,Database!$F:$F,"Total")</f>
        <v>0</v>
      </c>
      <c r="CD151" s="137">
        <f>SUMIFS(Database!$G:$G,Database!$D:$D,"Export",Database!$E:$E,$B151,Database!$C:$C,CD$1,Database!$F:$F,"Total")</f>
        <v>0</v>
      </c>
      <c r="CE151" s="137">
        <f>SUMIFS(Database!$G:$G,Database!$D:$D,"Export",Database!$E:$E,$B151,Database!$C:$C,CE$1,Database!$F:$F,"Total")</f>
        <v>0</v>
      </c>
      <c r="CF151" s="137">
        <f>SUMIFS(Database!$G:$G,Database!$D:$D,"Export",Database!$E:$E,$B151,Database!$C:$C,CF$1,Database!$F:$F,"Total")</f>
        <v>0</v>
      </c>
      <c r="CG151" s="137">
        <f>SUMIFS(Database!$G:$G,Database!$D:$D,"Export",Database!$E:$E,$B151,Database!$C:$C,CG$1,Database!$F:$F,"Total")</f>
        <v>0</v>
      </c>
      <c r="CH151" s="137">
        <f>SUMIFS(Database!$G:$G,Database!$D:$D,"Export",Database!$E:$E,$B151,Database!$C:$C,CH$1,Database!$F:$F,"Total")</f>
        <v>0</v>
      </c>
      <c r="CI151" s="137">
        <f>SUMIFS(Database!$G:$G,Database!$D:$D,"Export",Database!$E:$E,$B151,Database!$C:$C,CI$1,Database!$F:$F,"Total")</f>
        <v>0</v>
      </c>
      <c r="CJ151" s="137">
        <f>SUMIFS(Database!$G:$G,Database!$D:$D,"Export",Database!$E:$E,$B151,Database!$C:$C,CJ$1,Database!$F:$F,"Total")</f>
        <v>0</v>
      </c>
      <c r="CK151" s="137">
        <f>SUMIFS(Database!$G:$G,Database!$D:$D,"Export",Database!$E:$E,$B151,Database!$C:$C,CK$1,Database!$F:$F,"Total")</f>
        <v>0</v>
      </c>
      <c r="CL151" s="137">
        <f>SUMIFS(Database!$G:$G,Database!$D:$D,"Export",Database!$E:$E,$B151,Database!$C:$C,CL$1,Database!$F:$F,"Total")</f>
        <v>0</v>
      </c>
      <c r="CM151" s="137">
        <f>SUMIFS(Database!$G:$G,Database!$D:$D,"Export",Database!$E:$E,$B151,Database!$C:$C,CM$1,Database!$F:$F,"Total")</f>
        <v>0</v>
      </c>
      <c r="CN151" s="137">
        <f>SUMIFS(Database!$G:$G,Database!$D:$D,"Export",Database!$E:$E,$B151,Database!$C:$C,CN$1,Database!$F:$F,"Total")</f>
        <v>0</v>
      </c>
      <c r="CO151" s="137">
        <f>SUMIFS(Database!$G:$G,Database!$D:$D,"Export",Database!$E:$E,$B151,Database!$C:$C,CO$1,Database!$F:$F,"Total")</f>
        <v>0</v>
      </c>
      <c r="CP151" s="137">
        <f>SUMIFS(Database!$G:$G,Database!$D:$D,"Export",Database!$E:$E,$B151,Database!$C:$C,CP$1,Database!$F:$F,"Total")</f>
        <v>0</v>
      </c>
      <c r="CQ151" s="137">
        <f>SUMIFS(Database!$G:$G,Database!$D:$D,"Export",Database!$E:$E,$B151,Database!$C:$C,CQ$1,Database!$F:$F,"Total")</f>
        <v>0</v>
      </c>
      <c r="CR151" s="137">
        <f>SUMIFS(Database!$G:$G,Database!$D:$D,"Export",Database!$E:$E,$B151,Database!$C:$C,CR$1,Database!$F:$F,"Total")</f>
        <v>0</v>
      </c>
      <c r="CS151" s="137">
        <f>SUMIFS(Database!$G:$G,Database!$D:$D,"Export",Database!$E:$E,$B151,Database!$C:$C,CS$1,Database!$F:$F,"Total")</f>
        <v>0</v>
      </c>
      <c r="CT151" s="137">
        <f>SUMIFS(Database!$G:$G,Database!$D:$D,"Export",Database!$E:$E,$B151,Database!$C:$C,CT$1,Database!$F:$F,"Total")</f>
        <v>0</v>
      </c>
      <c r="CU151" s="137">
        <f>SUMIFS(Database!$G:$G,Database!$D:$D,"Export",Database!$E:$E,$B151,Database!$C:$C,CU$1,Database!$F:$F,"Total")</f>
        <v>0</v>
      </c>
    </row>
    <row r="152" spans="1:99" x14ac:dyDescent="0.25">
      <c r="A152" s="132" t="s">
        <v>485</v>
      </c>
      <c r="B152" s="133" t="s">
        <v>314</v>
      </c>
      <c r="C152" s="137">
        <f>SUMIFS(Database!$G:$G,Database!$D:$D,"Export",Database!$E:$E,$B152,Database!$C:$C,C$1,Database!$F:$F,"Total")</f>
        <v>0</v>
      </c>
      <c r="D152" s="137">
        <f>SUMIFS(Database!$G:$G,Database!$D:$D,"Export",Database!$E:$E,$B152,Database!$C:$C,D$1,Database!$F:$F,"Total")</f>
        <v>0</v>
      </c>
      <c r="E152" s="137">
        <f>SUMIFS(Database!$G:$G,Database!$D:$D,"Export",Database!$E:$E,$B152,Database!$C:$C,E$1,Database!$F:$F,"Total")</f>
        <v>0</v>
      </c>
      <c r="F152" s="137">
        <f>SUMIFS(Database!$G:$G,Database!$D:$D,"Export",Database!$E:$E,$B152,Database!$C:$C,F$1,Database!$F:$F,"Total")</f>
        <v>0</v>
      </c>
      <c r="G152" s="137">
        <f>SUMIFS(Database!$G:$G,Database!$D:$D,"Export",Database!$E:$E,$B152,Database!$C:$C,G$1,Database!$F:$F,"Total")</f>
        <v>0</v>
      </c>
      <c r="H152" s="137">
        <f>SUMIFS(Database!$G:$G,Database!$D:$D,"Export",Database!$E:$E,$B152,Database!$C:$C,H$1,Database!$F:$F,"Total")</f>
        <v>0</v>
      </c>
      <c r="I152" s="137">
        <f>SUMIFS(Database!$G:$G,Database!$D:$D,"Export",Database!$E:$E,$B152,Database!$C:$C,I$1,Database!$F:$F,"Total")</f>
        <v>0</v>
      </c>
      <c r="J152" s="137">
        <f>SUMIFS(Database!$G:$G,Database!$D:$D,"Export",Database!$E:$E,$B152,Database!$C:$C,J$1,Database!$F:$F,"Total")</f>
        <v>0</v>
      </c>
      <c r="K152" s="137">
        <f>SUMIFS(Database!$G:$G,Database!$D:$D,"Export",Database!$E:$E,$B152,Database!$C:$C,K$1,Database!$F:$F,"Total")</f>
        <v>0</v>
      </c>
      <c r="L152" s="137">
        <f>SUMIFS(Database!$G:$G,Database!$D:$D,"Export",Database!$E:$E,$B152,Database!$C:$C,L$1,Database!$F:$F,"Total")</f>
        <v>0</v>
      </c>
      <c r="M152" s="137">
        <f>SUMIFS(Database!$G:$G,Database!$D:$D,"Export",Database!$E:$E,$B152,Database!$C:$C,M$1,Database!$F:$F,"Total")</f>
        <v>0</v>
      </c>
      <c r="N152" s="137">
        <f>SUMIFS(Database!$G:$G,Database!$D:$D,"Export",Database!$E:$E,$B152,Database!$C:$C,N$1,Database!$F:$F,"Total")</f>
        <v>0</v>
      </c>
      <c r="O152" s="137">
        <f>SUMIFS(Database!$G:$G,Database!$D:$D,"Export",Database!$E:$E,$B152,Database!$C:$C,O$1,Database!$F:$F,"Total")</f>
        <v>0</v>
      </c>
      <c r="P152" s="137">
        <f>SUMIFS(Database!$G:$G,Database!$D:$D,"Export",Database!$E:$E,$B152,Database!$C:$C,P$1,Database!$F:$F,"Total")</f>
        <v>0</v>
      </c>
      <c r="Q152" s="137">
        <f>SUMIFS(Database!$G:$G,Database!$D:$D,"Export",Database!$E:$E,$B152,Database!$C:$C,Q$1,Database!$F:$F,"Total")</f>
        <v>0</v>
      </c>
      <c r="R152" s="137">
        <f>SUMIFS(Database!$G:$G,Database!$D:$D,"Export",Database!$E:$E,$B152,Database!$C:$C,R$1,Database!$F:$F,"Total")</f>
        <v>0</v>
      </c>
      <c r="S152" s="137">
        <f>SUMIFS(Database!$G:$G,Database!$D:$D,"Export",Database!$E:$E,$B152,Database!$C:$C,S$1,Database!$F:$F,"Total")</f>
        <v>0</v>
      </c>
      <c r="T152" s="137">
        <f>SUMIFS(Database!$G:$G,Database!$D:$D,"Export",Database!$E:$E,$B152,Database!$C:$C,T$1,Database!$F:$F,"Total")</f>
        <v>0</v>
      </c>
      <c r="U152" s="137">
        <f>SUMIFS(Database!$G:$G,Database!$D:$D,"Export",Database!$E:$E,$B152,Database!$C:$C,U$1,Database!$F:$F,"Total")</f>
        <v>0</v>
      </c>
      <c r="V152" s="137">
        <f>SUMIFS(Database!$G:$G,Database!$D:$D,"Export",Database!$E:$E,$B152,Database!$C:$C,V$1,Database!$F:$F,"Total")</f>
        <v>0</v>
      </c>
      <c r="W152" s="137">
        <f>SUMIFS(Database!$G:$G,Database!$D:$D,"Export",Database!$E:$E,$B152,Database!$C:$C,W$1,Database!$F:$F,"Total")</f>
        <v>0</v>
      </c>
      <c r="X152" s="137">
        <f>SUMIFS(Database!$G:$G,Database!$D:$D,"Export",Database!$E:$E,$B152,Database!$C:$C,X$1,Database!$F:$F,"Total")</f>
        <v>0</v>
      </c>
      <c r="Y152" s="137">
        <f>SUMIFS(Database!$G:$G,Database!$D:$D,"Export",Database!$E:$E,$B152,Database!$C:$C,Y$1,Database!$F:$F,"Total")</f>
        <v>0</v>
      </c>
      <c r="Z152" s="137">
        <f>SUMIFS(Database!$G:$G,Database!$D:$D,"Export",Database!$E:$E,$B152,Database!$C:$C,Z$1,Database!$F:$F,"Total")</f>
        <v>0</v>
      </c>
      <c r="AA152" s="137">
        <f>SUMIFS(Database!$G:$G,Database!$D:$D,"Export",Database!$E:$E,$B152,Database!$C:$C,AA$1,Database!$F:$F,"Total")</f>
        <v>0</v>
      </c>
      <c r="AB152" s="137">
        <f>SUMIFS(Database!$G:$G,Database!$D:$D,"Export",Database!$E:$E,$B152,Database!$C:$C,AB$1,Database!$F:$F,"Total")</f>
        <v>0</v>
      </c>
      <c r="AC152" s="137">
        <f>SUMIFS(Database!$G:$G,Database!$D:$D,"Export",Database!$E:$E,$B152,Database!$C:$C,AC$1,Database!$F:$F,"Total")</f>
        <v>0</v>
      </c>
      <c r="AD152" s="137">
        <f>SUMIFS(Database!$G:$G,Database!$D:$D,"Export",Database!$E:$E,$B152,Database!$C:$C,AD$1,Database!$F:$F,"Total")</f>
        <v>0</v>
      </c>
      <c r="AE152" s="137">
        <f>SUMIFS(Database!$G:$G,Database!$D:$D,"Export",Database!$E:$E,$B152,Database!$C:$C,AE$1,Database!$F:$F,"Total")</f>
        <v>0</v>
      </c>
      <c r="AF152" s="137">
        <f>SUMIFS(Database!$G:$G,Database!$D:$D,"Export",Database!$E:$E,$B152,Database!$C:$C,AF$1,Database!$F:$F,"Total")</f>
        <v>0</v>
      </c>
      <c r="AG152" s="137">
        <f>SUMIFS(Database!$G:$G,Database!$D:$D,"Export",Database!$E:$E,$B152,Database!$C:$C,AG$1,Database!$F:$F,"Total")</f>
        <v>0</v>
      </c>
      <c r="AH152" s="137">
        <f>SUMIFS(Database!$G:$G,Database!$D:$D,"Export",Database!$E:$E,$B152,Database!$C:$C,AH$1,Database!$F:$F,"Total")</f>
        <v>0</v>
      </c>
      <c r="AI152" s="137">
        <f>SUMIFS(Database!$G:$G,Database!$D:$D,"Export",Database!$E:$E,$B152,Database!$C:$C,AI$1,Database!$F:$F,"Total")</f>
        <v>0</v>
      </c>
      <c r="AJ152" s="137">
        <f>SUMIFS(Database!$G:$G,Database!$D:$D,"Export",Database!$E:$E,$B152,Database!$C:$C,AJ$1,Database!$F:$F,"Total")</f>
        <v>473</v>
      </c>
      <c r="AK152" s="137">
        <f>SUMIFS(Database!$G:$G,Database!$D:$D,"Export",Database!$E:$E,$B152,Database!$C:$C,AK$1,Database!$F:$F,"Total")</f>
        <v>0</v>
      </c>
      <c r="AL152" s="137">
        <f>SUMIFS(Database!$G:$G,Database!$D:$D,"Export",Database!$E:$E,$B152,Database!$C:$C,AL$1,Database!$F:$F,"Total")</f>
        <v>0</v>
      </c>
      <c r="AM152" s="137">
        <f>SUMIFS(Database!$G:$G,Database!$D:$D,"Export",Database!$E:$E,$B152,Database!$C:$C,AM$1,Database!$F:$F,"Total")</f>
        <v>133</v>
      </c>
      <c r="AN152" s="137">
        <f>SUMIFS(Database!$G:$G,Database!$D:$D,"Export",Database!$E:$E,$B152,Database!$C:$C,AN$1,Database!$F:$F,"Total")</f>
        <v>0</v>
      </c>
      <c r="AO152" s="137">
        <f>SUMIFS(Database!$G:$G,Database!$D:$D,"Export",Database!$E:$E,$B152,Database!$C:$C,AO$1,Database!$F:$F,"Total")</f>
        <v>0</v>
      </c>
      <c r="AP152" s="137">
        <f>SUMIFS(Database!$G:$G,Database!$D:$D,"Export",Database!$E:$E,$B152,Database!$C:$C,AP$1,Database!$F:$F,"Total")</f>
        <v>0</v>
      </c>
      <c r="AQ152" s="137">
        <f>SUMIFS(Database!$G:$G,Database!$D:$D,"Export",Database!$E:$E,$B152,Database!$C:$C,AQ$1,Database!$F:$F,"Total")</f>
        <v>0</v>
      </c>
      <c r="AR152" s="137">
        <f>SUMIFS(Database!$G:$G,Database!$D:$D,"Export",Database!$E:$E,$B152,Database!$C:$C,AR$1,Database!$F:$F,"Total")</f>
        <v>0</v>
      </c>
      <c r="AS152" s="137">
        <f>SUMIFS(Database!$G:$G,Database!$D:$D,"Export",Database!$E:$E,$B152,Database!$C:$C,AS$1,Database!$F:$F,"Total")</f>
        <v>0</v>
      </c>
      <c r="AT152" s="137">
        <f>SUMIFS(Database!$G:$G,Database!$D:$D,"Export",Database!$E:$E,$B152,Database!$C:$C,AT$1,Database!$F:$F,"Total")</f>
        <v>0</v>
      </c>
      <c r="AU152" s="137">
        <f>SUMIFS(Database!$G:$G,Database!$D:$D,"Export",Database!$E:$E,$B152,Database!$C:$C,AU$1,Database!$F:$F,"Total")</f>
        <v>0</v>
      </c>
      <c r="AV152" s="137">
        <f>SUMIFS(Database!$G:$G,Database!$D:$D,"Export",Database!$E:$E,$B152,Database!$C:$C,AV$1,Database!$F:$F,"Total")</f>
        <v>1146</v>
      </c>
      <c r="AW152" s="137">
        <f>SUMIFS(Database!$G:$G,Database!$D:$D,"Export",Database!$E:$E,$B152,Database!$C:$C,AW$1,Database!$F:$F,"Total")</f>
        <v>1398</v>
      </c>
      <c r="AX152" s="137">
        <f>SUMIFS(Database!$G:$G,Database!$D:$D,"Export",Database!$E:$E,$B152,Database!$C:$C,AX$1,Database!$F:$F,"Total")</f>
        <v>903</v>
      </c>
      <c r="AY152" s="137">
        <f>SUMIFS(Database!$G:$G,Database!$D:$D,"Export",Database!$E:$E,$B152,Database!$C:$C,AY$1,Database!$F:$F,"Total")</f>
        <v>916</v>
      </c>
      <c r="AZ152" s="137">
        <f>SUMIFS(Database!$G:$G,Database!$D:$D,"Export",Database!$E:$E,$B152,Database!$C:$C,AZ$1,Database!$F:$F,"Total")</f>
        <v>191</v>
      </c>
      <c r="BA152" s="137">
        <f>SUMIFS(Database!$G:$G,Database!$D:$D,"Export",Database!$E:$E,$B152,Database!$C:$C,BA$1,Database!$F:$F,"Total")</f>
        <v>1558</v>
      </c>
      <c r="BB152" s="137">
        <f>SUMIFS(Database!$G:$G,Database!$D:$D,"Export",Database!$E:$E,$B152,Database!$C:$C,BB$1,Database!$F:$F,"Total")</f>
        <v>460</v>
      </c>
      <c r="BC152" s="137">
        <f>SUMIFS(Database!$G:$G,Database!$D:$D,"Export",Database!$E:$E,$B152,Database!$C:$C,BC$1,Database!$F:$F,"Total")</f>
        <v>534</v>
      </c>
      <c r="BD152" s="137">
        <f>SUMIFS(Database!$G:$G,Database!$D:$D,"Export",Database!$E:$E,$B152,Database!$C:$C,BD$1,Database!$F:$F,"Total")</f>
        <v>442</v>
      </c>
      <c r="BE152" s="137">
        <f>SUMIFS(Database!$G:$G,Database!$D:$D,"Export",Database!$E:$E,$B152,Database!$C:$C,BE$1,Database!$F:$F,"Total")</f>
        <v>118</v>
      </c>
      <c r="BF152" s="137">
        <f>SUMIFS(Database!$G:$G,Database!$D:$D,"Export",Database!$E:$E,$B152,Database!$C:$C,BF$1,Database!$F:$F,"Total")</f>
        <v>64</v>
      </c>
      <c r="BG152" s="137">
        <f>SUMIFS(Database!$G:$G,Database!$D:$D,"Export",Database!$E:$E,$B152,Database!$C:$C,BG$1,Database!$F:$F,"Total")</f>
        <v>215</v>
      </c>
      <c r="BH152" s="137">
        <f>SUMIFS(Database!$G:$G,Database!$D:$D,"Export",Database!$E:$E,$B152,Database!$C:$C,BH$1,Database!$F:$F,"Total")</f>
        <v>0</v>
      </c>
      <c r="BI152" s="137">
        <f>SUMIFS(Database!$G:$G,Database!$D:$D,"Export",Database!$E:$E,$B152,Database!$C:$C,BI$1,Database!$F:$F,"Total")</f>
        <v>0</v>
      </c>
      <c r="BJ152" s="137">
        <f>SUMIFS(Database!$G:$G,Database!$D:$D,"Export",Database!$E:$E,$B152,Database!$C:$C,BJ$1,Database!$F:$F,"Total")</f>
        <v>0</v>
      </c>
      <c r="BK152" s="137">
        <f>SUMIFS(Database!$G:$G,Database!$D:$D,"Export",Database!$E:$E,$B152,Database!$C:$C,BK$1,Database!$F:$F,"Total")</f>
        <v>0</v>
      </c>
      <c r="BL152" s="137">
        <f>SUMIFS(Database!$G:$G,Database!$D:$D,"Export",Database!$E:$E,$B152,Database!$C:$C,BL$1,Database!$F:$F,"Total")</f>
        <v>0</v>
      </c>
      <c r="BM152" s="137">
        <f>SUMIFS(Database!$G:$G,Database!$D:$D,"Export",Database!$E:$E,$B152,Database!$C:$C,BM$1,Database!$F:$F,"Total")</f>
        <v>0</v>
      </c>
      <c r="BN152" s="137">
        <f>SUMIFS(Database!$G:$G,Database!$D:$D,"Export",Database!$E:$E,$B152,Database!$C:$C,BN$1,Database!$F:$F,"Total")</f>
        <v>0</v>
      </c>
      <c r="BO152" s="137">
        <f>SUMIFS(Database!$G:$G,Database!$D:$D,"Export",Database!$E:$E,$B152,Database!$C:$C,BO$1,Database!$F:$F,"Total")</f>
        <v>0</v>
      </c>
      <c r="BP152" s="137">
        <f>SUMIFS(Database!$G:$G,Database!$D:$D,"Export",Database!$E:$E,$B152,Database!$C:$C,BP$1,Database!$F:$F,"Total")</f>
        <v>0</v>
      </c>
      <c r="BQ152" s="137">
        <f>SUMIFS(Database!$G:$G,Database!$D:$D,"Export",Database!$E:$E,$B152,Database!$C:$C,BQ$1,Database!$F:$F,"Total")</f>
        <v>0</v>
      </c>
      <c r="BR152" s="137">
        <f>SUMIFS(Database!$G:$G,Database!$D:$D,"Export",Database!$E:$E,$B152,Database!$C:$C,BR$1,Database!$F:$F,"Total")</f>
        <v>0</v>
      </c>
      <c r="BS152" s="137">
        <f>SUMIFS(Database!$G:$G,Database!$D:$D,"Export",Database!$E:$E,$B152,Database!$C:$C,BS$1,Database!$F:$F,"Total")</f>
        <v>0</v>
      </c>
      <c r="BT152" s="137">
        <f>SUMIFS(Database!$G:$G,Database!$D:$D,"Export",Database!$E:$E,$B152,Database!$C:$C,BT$1,Database!$F:$F,"Total")</f>
        <v>0</v>
      </c>
      <c r="BU152" s="137">
        <f>SUMIFS(Database!$G:$G,Database!$D:$D,"Export",Database!$E:$E,$B152,Database!$C:$C,BU$1,Database!$F:$F,"Total")</f>
        <v>0</v>
      </c>
      <c r="BV152" s="137">
        <f>SUMIFS(Database!$G:$G,Database!$D:$D,"Export",Database!$E:$E,$B152,Database!$C:$C,BV$1,Database!$F:$F,"Total")</f>
        <v>0</v>
      </c>
      <c r="BW152" s="137">
        <f>SUMIFS(Database!$G:$G,Database!$D:$D,"Export",Database!$E:$E,$B152,Database!$C:$C,BW$1,Database!$F:$F,"Total")</f>
        <v>0</v>
      </c>
      <c r="BX152" s="137">
        <f>SUMIFS(Database!$G:$G,Database!$D:$D,"Export",Database!$E:$E,$B152,Database!$C:$C,BX$1,Database!$F:$F,"Total")</f>
        <v>0</v>
      </c>
      <c r="BY152" s="137">
        <f>SUMIFS(Database!$G:$G,Database!$D:$D,"Export",Database!$E:$E,$B152,Database!$C:$C,BY$1,Database!$F:$F,"Total")</f>
        <v>0</v>
      </c>
      <c r="BZ152" s="137">
        <f>SUMIFS(Database!$G:$G,Database!$D:$D,"Export",Database!$E:$E,$B152,Database!$C:$C,BZ$1,Database!$F:$F,"Total")</f>
        <v>0</v>
      </c>
      <c r="CA152" s="137">
        <f>SUMIFS(Database!$G:$G,Database!$D:$D,"Export",Database!$E:$E,$B152,Database!$C:$C,CA$1,Database!$F:$F,"Total")</f>
        <v>0</v>
      </c>
      <c r="CB152" s="137">
        <f>SUMIFS(Database!$G:$G,Database!$D:$D,"Export",Database!$E:$E,$B152,Database!$C:$C,CB$1,Database!$F:$F,"Total")</f>
        <v>0</v>
      </c>
      <c r="CC152" s="137">
        <f>SUMIFS(Database!$G:$G,Database!$D:$D,"Export",Database!$E:$E,$B152,Database!$C:$C,CC$1,Database!$F:$F,"Total")</f>
        <v>0</v>
      </c>
      <c r="CD152" s="137">
        <f>SUMIFS(Database!$G:$G,Database!$D:$D,"Export",Database!$E:$E,$B152,Database!$C:$C,CD$1,Database!$F:$F,"Total")</f>
        <v>0</v>
      </c>
      <c r="CE152" s="137">
        <f>SUMIFS(Database!$G:$G,Database!$D:$D,"Export",Database!$E:$E,$B152,Database!$C:$C,CE$1,Database!$F:$F,"Total")</f>
        <v>0</v>
      </c>
      <c r="CF152" s="137">
        <f>SUMIFS(Database!$G:$G,Database!$D:$D,"Export",Database!$E:$E,$B152,Database!$C:$C,CF$1,Database!$F:$F,"Total")</f>
        <v>0</v>
      </c>
      <c r="CG152" s="137">
        <f>SUMIFS(Database!$G:$G,Database!$D:$D,"Export",Database!$E:$E,$B152,Database!$C:$C,CG$1,Database!$F:$F,"Total")</f>
        <v>0</v>
      </c>
      <c r="CH152" s="137">
        <f>SUMIFS(Database!$G:$G,Database!$D:$D,"Export",Database!$E:$E,$B152,Database!$C:$C,CH$1,Database!$F:$F,"Total")</f>
        <v>0</v>
      </c>
      <c r="CI152" s="137">
        <f>SUMIFS(Database!$G:$G,Database!$D:$D,"Export",Database!$E:$E,$B152,Database!$C:$C,CI$1,Database!$F:$F,"Total")</f>
        <v>0</v>
      </c>
      <c r="CJ152" s="137">
        <f>SUMIFS(Database!$G:$G,Database!$D:$D,"Export",Database!$E:$E,$B152,Database!$C:$C,CJ$1,Database!$F:$F,"Total")</f>
        <v>0</v>
      </c>
      <c r="CK152" s="137">
        <f>SUMIFS(Database!$G:$G,Database!$D:$D,"Export",Database!$E:$E,$B152,Database!$C:$C,CK$1,Database!$F:$F,"Total")</f>
        <v>0</v>
      </c>
      <c r="CL152" s="137">
        <f>SUMIFS(Database!$G:$G,Database!$D:$D,"Export",Database!$E:$E,$B152,Database!$C:$C,CL$1,Database!$F:$F,"Total")</f>
        <v>0</v>
      </c>
      <c r="CM152" s="137">
        <f>SUMIFS(Database!$G:$G,Database!$D:$D,"Export",Database!$E:$E,$B152,Database!$C:$C,CM$1,Database!$F:$F,"Total")</f>
        <v>0</v>
      </c>
      <c r="CN152" s="137">
        <f>SUMIFS(Database!$G:$G,Database!$D:$D,"Export",Database!$E:$E,$B152,Database!$C:$C,CN$1,Database!$F:$F,"Total")</f>
        <v>0</v>
      </c>
      <c r="CO152" s="137">
        <f>SUMIFS(Database!$G:$G,Database!$D:$D,"Export",Database!$E:$E,$B152,Database!$C:$C,CO$1,Database!$F:$F,"Total")</f>
        <v>0</v>
      </c>
      <c r="CP152" s="137">
        <f>SUMIFS(Database!$G:$G,Database!$D:$D,"Export",Database!$E:$E,$B152,Database!$C:$C,CP$1,Database!$F:$F,"Total")</f>
        <v>0</v>
      </c>
      <c r="CQ152" s="137">
        <f>SUMIFS(Database!$G:$G,Database!$D:$D,"Export",Database!$E:$E,$B152,Database!$C:$C,CQ$1,Database!$F:$F,"Total")</f>
        <v>0</v>
      </c>
      <c r="CR152" s="137">
        <f>SUMIFS(Database!$G:$G,Database!$D:$D,"Export",Database!$E:$E,$B152,Database!$C:$C,CR$1,Database!$F:$F,"Total")</f>
        <v>0</v>
      </c>
      <c r="CS152" s="137">
        <f>SUMIFS(Database!$G:$G,Database!$D:$D,"Export",Database!$E:$E,$B152,Database!$C:$C,CS$1,Database!$F:$F,"Total")</f>
        <v>0</v>
      </c>
      <c r="CT152" s="137">
        <f>SUMIFS(Database!$G:$G,Database!$D:$D,"Export",Database!$E:$E,$B152,Database!$C:$C,CT$1,Database!$F:$F,"Total")</f>
        <v>0</v>
      </c>
      <c r="CU152" s="137">
        <f>SUMIFS(Database!$G:$G,Database!$D:$D,"Export",Database!$E:$E,$B152,Database!$C:$C,CU$1,Database!$F:$F,"Total")</f>
        <v>0</v>
      </c>
    </row>
    <row r="153" spans="1:99" x14ac:dyDescent="0.25">
      <c r="A153" s="132" t="s">
        <v>485</v>
      </c>
      <c r="B153" s="133" t="s">
        <v>147</v>
      </c>
      <c r="C153" s="137">
        <f>SUMIFS(Database!$G:$G,Database!$D:$D,"Export",Database!$E:$E,$B153,Database!$C:$C,C$1,Database!$F:$F,"Total")</f>
        <v>0</v>
      </c>
      <c r="D153" s="137">
        <f>SUMIFS(Database!$G:$G,Database!$D:$D,"Export",Database!$E:$E,$B153,Database!$C:$C,D$1,Database!$F:$F,"Total")</f>
        <v>0</v>
      </c>
      <c r="E153" s="137">
        <f>SUMIFS(Database!$G:$G,Database!$D:$D,"Export",Database!$E:$E,$B153,Database!$C:$C,E$1,Database!$F:$F,"Total")</f>
        <v>0</v>
      </c>
      <c r="F153" s="137">
        <f>SUMIFS(Database!$G:$G,Database!$D:$D,"Export",Database!$E:$E,$B153,Database!$C:$C,F$1,Database!$F:$F,"Total")</f>
        <v>0</v>
      </c>
      <c r="G153" s="137">
        <f>SUMIFS(Database!$G:$G,Database!$D:$D,"Export",Database!$E:$E,$B153,Database!$C:$C,G$1,Database!$F:$F,"Total")</f>
        <v>0</v>
      </c>
      <c r="H153" s="137">
        <f>SUMIFS(Database!$G:$G,Database!$D:$D,"Export",Database!$E:$E,$B153,Database!$C:$C,H$1,Database!$F:$F,"Total")</f>
        <v>0</v>
      </c>
      <c r="I153" s="137">
        <f>SUMIFS(Database!$G:$G,Database!$D:$D,"Export",Database!$E:$E,$B153,Database!$C:$C,I$1,Database!$F:$F,"Total")</f>
        <v>0</v>
      </c>
      <c r="J153" s="137">
        <f>SUMIFS(Database!$G:$G,Database!$D:$D,"Export",Database!$E:$E,$B153,Database!$C:$C,J$1,Database!$F:$F,"Total")</f>
        <v>0</v>
      </c>
      <c r="K153" s="137">
        <f>SUMIFS(Database!$G:$G,Database!$D:$D,"Export",Database!$E:$E,$B153,Database!$C:$C,K$1,Database!$F:$F,"Total")</f>
        <v>0</v>
      </c>
      <c r="L153" s="137">
        <f>SUMIFS(Database!$G:$G,Database!$D:$D,"Export",Database!$E:$E,$B153,Database!$C:$C,L$1,Database!$F:$F,"Total")</f>
        <v>0</v>
      </c>
      <c r="M153" s="137">
        <f>SUMIFS(Database!$G:$G,Database!$D:$D,"Export",Database!$E:$E,$B153,Database!$C:$C,M$1,Database!$F:$F,"Total")</f>
        <v>0</v>
      </c>
      <c r="N153" s="137">
        <f>SUMIFS(Database!$G:$G,Database!$D:$D,"Export",Database!$E:$E,$B153,Database!$C:$C,N$1,Database!$F:$F,"Total")</f>
        <v>0</v>
      </c>
      <c r="O153" s="137">
        <f>SUMIFS(Database!$G:$G,Database!$D:$D,"Export",Database!$E:$E,$B153,Database!$C:$C,O$1,Database!$F:$F,"Total")</f>
        <v>0</v>
      </c>
      <c r="P153" s="137">
        <f>SUMIFS(Database!$G:$G,Database!$D:$D,"Export",Database!$E:$E,$B153,Database!$C:$C,P$1,Database!$F:$F,"Total")</f>
        <v>0</v>
      </c>
      <c r="Q153" s="137">
        <f>SUMIFS(Database!$G:$G,Database!$D:$D,"Export",Database!$E:$E,$B153,Database!$C:$C,Q$1,Database!$F:$F,"Total")</f>
        <v>0</v>
      </c>
      <c r="R153" s="137">
        <f>SUMIFS(Database!$G:$G,Database!$D:$D,"Export",Database!$E:$E,$B153,Database!$C:$C,R$1,Database!$F:$F,"Total")</f>
        <v>0</v>
      </c>
      <c r="S153" s="137">
        <f>SUMIFS(Database!$G:$G,Database!$D:$D,"Export",Database!$E:$E,$B153,Database!$C:$C,S$1,Database!$F:$F,"Total")</f>
        <v>0</v>
      </c>
      <c r="T153" s="137">
        <f>SUMIFS(Database!$G:$G,Database!$D:$D,"Export",Database!$E:$E,$B153,Database!$C:$C,T$1,Database!$F:$F,"Total")</f>
        <v>0</v>
      </c>
      <c r="U153" s="137">
        <f>SUMIFS(Database!$G:$G,Database!$D:$D,"Export",Database!$E:$E,$B153,Database!$C:$C,U$1,Database!$F:$F,"Total")</f>
        <v>0</v>
      </c>
      <c r="V153" s="137">
        <f>SUMIFS(Database!$G:$G,Database!$D:$D,"Export",Database!$E:$E,$B153,Database!$C:$C,V$1,Database!$F:$F,"Total")</f>
        <v>0</v>
      </c>
      <c r="W153" s="137">
        <f>SUMIFS(Database!$G:$G,Database!$D:$D,"Export",Database!$E:$E,$B153,Database!$C:$C,W$1,Database!$F:$F,"Total")</f>
        <v>0</v>
      </c>
      <c r="X153" s="137">
        <f>SUMIFS(Database!$G:$G,Database!$D:$D,"Export",Database!$E:$E,$B153,Database!$C:$C,X$1,Database!$F:$F,"Total")</f>
        <v>0</v>
      </c>
      <c r="Y153" s="137">
        <f>SUMIFS(Database!$G:$G,Database!$D:$D,"Export",Database!$E:$E,$B153,Database!$C:$C,Y$1,Database!$F:$F,"Total")</f>
        <v>0</v>
      </c>
      <c r="Z153" s="137">
        <f>SUMIFS(Database!$G:$G,Database!$D:$D,"Export",Database!$E:$E,$B153,Database!$C:$C,Z$1,Database!$F:$F,"Total")</f>
        <v>0</v>
      </c>
      <c r="AA153" s="137">
        <f>SUMIFS(Database!$G:$G,Database!$D:$D,"Export",Database!$E:$E,$B153,Database!$C:$C,AA$1,Database!$F:$F,"Total")</f>
        <v>0</v>
      </c>
      <c r="AB153" s="137">
        <f>SUMIFS(Database!$G:$G,Database!$D:$D,"Export",Database!$E:$E,$B153,Database!$C:$C,AB$1,Database!$F:$F,"Total")</f>
        <v>0</v>
      </c>
      <c r="AC153" s="137">
        <f>SUMIFS(Database!$G:$G,Database!$D:$D,"Export",Database!$E:$E,$B153,Database!$C:$C,AC$1,Database!$F:$F,"Total")</f>
        <v>0</v>
      </c>
      <c r="AD153" s="137">
        <f>SUMIFS(Database!$G:$G,Database!$D:$D,"Export",Database!$E:$E,$B153,Database!$C:$C,AD$1,Database!$F:$F,"Total")</f>
        <v>0</v>
      </c>
      <c r="AE153" s="137">
        <f>SUMIFS(Database!$G:$G,Database!$D:$D,"Export",Database!$E:$E,$B153,Database!$C:$C,AE$1,Database!$F:$F,"Total")</f>
        <v>0</v>
      </c>
      <c r="AF153" s="137">
        <f>SUMIFS(Database!$G:$G,Database!$D:$D,"Export",Database!$E:$E,$B153,Database!$C:$C,AF$1,Database!$F:$F,"Total")</f>
        <v>0</v>
      </c>
      <c r="AG153" s="137">
        <f>SUMIFS(Database!$G:$G,Database!$D:$D,"Export",Database!$E:$E,$B153,Database!$C:$C,AG$1,Database!$F:$F,"Total")</f>
        <v>0</v>
      </c>
      <c r="AH153" s="137">
        <f>SUMIFS(Database!$G:$G,Database!$D:$D,"Export",Database!$E:$E,$B153,Database!$C:$C,AH$1,Database!$F:$F,"Total")</f>
        <v>0</v>
      </c>
      <c r="AI153" s="137">
        <f>SUMIFS(Database!$G:$G,Database!$D:$D,"Export",Database!$E:$E,$B153,Database!$C:$C,AI$1,Database!$F:$F,"Total")</f>
        <v>0</v>
      </c>
      <c r="AJ153" s="137">
        <f>SUMIFS(Database!$G:$G,Database!$D:$D,"Export",Database!$E:$E,$B153,Database!$C:$C,AJ$1,Database!$F:$F,"Total")</f>
        <v>0</v>
      </c>
      <c r="AK153" s="137">
        <f>SUMIFS(Database!$G:$G,Database!$D:$D,"Export",Database!$E:$E,$B153,Database!$C:$C,AK$1,Database!$F:$F,"Total")</f>
        <v>0</v>
      </c>
      <c r="AL153" s="137">
        <f>SUMIFS(Database!$G:$G,Database!$D:$D,"Export",Database!$E:$E,$B153,Database!$C:$C,AL$1,Database!$F:$F,"Total")</f>
        <v>0</v>
      </c>
      <c r="AM153" s="137">
        <f>SUMIFS(Database!$G:$G,Database!$D:$D,"Export",Database!$E:$E,$B153,Database!$C:$C,AM$1,Database!$F:$F,"Total")</f>
        <v>0</v>
      </c>
      <c r="AN153" s="137">
        <f>SUMIFS(Database!$G:$G,Database!$D:$D,"Export",Database!$E:$E,$B153,Database!$C:$C,AN$1,Database!$F:$F,"Total")</f>
        <v>0</v>
      </c>
      <c r="AO153" s="137">
        <f>SUMIFS(Database!$G:$G,Database!$D:$D,"Export",Database!$E:$E,$B153,Database!$C:$C,AO$1,Database!$F:$F,"Total")</f>
        <v>0</v>
      </c>
      <c r="AP153" s="137">
        <f>SUMIFS(Database!$G:$G,Database!$D:$D,"Export",Database!$E:$E,$B153,Database!$C:$C,AP$1,Database!$F:$F,"Total")</f>
        <v>0</v>
      </c>
      <c r="AQ153" s="137">
        <f>SUMIFS(Database!$G:$G,Database!$D:$D,"Export",Database!$E:$E,$B153,Database!$C:$C,AQ$1,Database!$F:$F,"Total")</f>
        <v>0</v>
      </c>
      <c r="AR153" s="137">
        <f>SUMIFS(Database!$G:$G,Database!$D:$D,"Export",Database!$E:$E,$B153,Database!$C:$C,AR$1,Database!$F:$F,"Total")</f>
        <v>0</v>
      </c>
      <c r="AS153" s="137">
        <f>SUMIFS(Database!$G:$G,Database!$D:$D,"Export",Database!$E:$E,$B153,Database!$C:$C,AS$1,Database!$F:$F,"Total")</f>
        <v>0</v>
      </c>
      <c r="AT153" s="137">
        <f>SUMIFS(Database!$G:$G,Database!$D:$D,"Export",Database!$E:$E,$B153,Database!$C:$C,AT$1,Database!$F:$F,"Total")</f>
        <v>0</v>
      </c>
      <c r="AU153" s="137">
        <f>SUMIFS(Database!$G:$G,Database!$D:$D,"Export",Database!$E:$E,$B153,Database!$C:$C,AU$1,Database!$F:$F,"Total")</f>
        <v>382</v>
      </c>
      <c r="AV153" s="137">
        <f>SUMIFS(Database!$G:$G,Database!$D:$D,"Export",Database!$E:$E,$B153,Database!$C:$C,AV$1,Database!$F:$F,"Total")</f>
        <v>202</v>
      </c>
      <c r="AW153" s="137">
        <f>SUMIFS(Database!$G:$G,Database!$D:$D,"Export",Database!$E:$E,$B153,Database!$C:$C,AW$1,Database!$F:$F,"Total")</f>
        <v>574</v>
      </c>
      <c r="AX153" s="137">
        <f>SUMIFS(Database!$G:$G,Database!$D:$D,"Export",Database!$E:$E,$B153,Database!$C:$C,AX$1,Database!$F:$F,"Total")</f>
        <v>281</v>
      </c>
      <c r="AY153" s="137">
        <f>SUMIFS(Database!$G:$G,Database!$D:$D,"Export",Database!$E:$E,$B153,Database!$C:$C,AY$1,Database!$F:$F,"Total")</f>
        <v>203</v>
      </c>
      <c r="AZ153" s="137">
        <f>SUMIFS(Database!$G:$G,Database!$D:$D,"Export",Database!$E:$E,$B153,Database!$C:$C,AZ$1,Database!$F:$F,"Total")</f>
        <v>121</v>
      </c>
      <c r="BA153" s="137">
        <f>SUMIFS(Database!$G:$G,Database!$D:$D,"Export",Database!$E:$E,$B153,Database!$C:$C,BA$1,Database!$F:$F,"Total")</f>
        <v>602</v>
      </c>
      <c r="BB153" s="137">
        <f>SUMIFS(Database!$G:$G,Database!$D:$D,"Export",Database!$E:$E,$B153,Database!$C:$C,BB$1,Database!$F:$F,"Total")</f>
        <v>106</v>
      </c>
      <c r="BC153" s="137">
        <f>SUMIFS(Database!$G:$G,Database!$D:$D,"Export",Database!$E:$E,$B153,Database!$C:$C,BC$1,Database!$F:$F,"Total")</f>
        <v>153</v>
      </c>
      <c r="BD153" s="137">
        <f>SUMIFS(Database!$G:$G,Database!$D:$D,"Export",Database!$E:$E,$B153,Database!$C:$C,BD$1,Database!$F:$F,"Total")</f>
        <v>9</v>
      </c>
      <c r="BE153" s="137">
        <f>SUMIFS(Database!$G:$G,Database!$D:$D,"Export",Database!$E:$E,$B153,Database!$C:$C,BE$1,Database!$F:$F,"Total")</f>
        <v>20</v>
      </c>
      <c r="BF153" s="137">
        <f>SUMIFS(Database!$G:$G,Database!$D:$D,"Export",Database!$E:$E,$B153,Database!$C:$C,BF$1,Database!$F:$F,"Total")</f>
        <v>5</v>
      </c>
      <c r="BG153" s="137">
        <f>SUMIFS(Database!$G:$G,Database!$D:$D,"Export",Database!$E:$E,$B153,Database!$C:$C,BG$1,Database!$F:$F,"Total")</f>
        <v>101</v>
      </c>
      <c r="BH153" s="137">
        <f>SUMIFS(Database!$G:$G,Database!$D:$D,"Export",Database!$E:$E,$B153,Database!$C:$C,BH$1,Database!$F:$F,"Total")</f>
        <v>1852</v>
      </c>
      <c r="BI153" s="137">
        <f>SUMIFS(Database!$G:$G,Database!$D:$D,"Export",Database!$E:$E,$B153,Database!$C:$C,BI$1,Database!$F:$F,"Total")</f>
        <v>0</v>
      </c>
      <c r="BJ153" s="137">
        <f>SUMIFS(Database!$G:$G,Database!$D:$D,"Export",Database!$E:$E,$B153,Database!$C:$C,BJ$1,Database!$F:$F,"Total")</f>
        <v>1425</v>
      </c>
      <c r="BK153" s="137">
        <f>SUMIFS(Database!$G:$G,Database!$D:$D,"Export",Database!$E:$E,$B153,Database!$C:$C,BK$1,Database!$F:$F,"Total")</f>
        <v>635</v>
      </c>
      <c r="BL153" s="137">
        <f>SUMIFS(Database!$G:$G,Database!$D:$D,"Export",Database!$E:$E,$B153,Database!$C:$C,BL$1,Database!$F:$F,"Total")</f>
        <v>0</v>
      </c>
      <c r="BM153" s="137">
        <f>SUMIFS(Database!$G:$G,Database!$D:$D,"Export",Database!$E:$E,$B153,Database!$C:$C,BM$1,Database!$F:$F,"Total")</f>
        <v>0</v>
      </c>
      <c r="BN153" s="137">
        <f>SUMIFS(Database!$G:$G,Database!$D:$D,"Export",Database!$E:$E,$B153,Database!$C:$C,BN$1,Database!$F:$F,"Total")</f>
        <v>1495</v>
      </c>
      <c r="BO153" s="137">
        <f>SUMIFS(Database!$G:$G,Database!$D:$D,"Export",Database!$E:$E,$B153,Database!$C:$C,BO$1,Database!$F:$F,"Total")</f>
        <v>0</v>
      </c>
      <c r="BP153" s="137">
        <f>SUMIFS(Database!$G:$G,Database!$D:$D,"Export",Database!$E:$E,$B153,Database!$C:$C,BP$1,Database!$F:$F,"Total")</f>
        <v>943</v>
      </c>
      <c r="BQ153" s="137">
        <f>SUMIFS(Database!$G:$G,Database!$D:$D,"Export",Database!$E:$E,$B153,Database!$C:$C,BQ$1,Database!$F:$F,"Total")</f>
        <v>820</v>
      </c>
      <c r="BR153" s="137">
        <f>SUMIFS(Database!$G:$G,Database!$D:$D,"Export",Database!$E:$E,$B153,Database!$C:$C,BR$1,Database!$F:$F,"Total")</f>
        <v>468</v>
      </c>
      <c r="BS153" s="137">
        <f>SUMIFS(Database!$G:$G,Database!$D:$D,"Export",Database!$E:$E,$B153,Database!$C:$C,BS$1,Database!$F:$F,"Total")</f>
        <v>387.5</v>
      </c>
      <c r="BT153" s="137">
        <f>SUMIFS(Database!$G:$G,Database!$D:$D,"Export",Database!$E:$E,$B153,Database!$C:$C,BT$1,Database!$F:$F,"Total")</f>
        <v>802.75</v>
      </c>
      <c r="BU153" s="137">
        <f>SUMIFS(Database!$G:$G,Database!$D:$D,"Export",Database!$E:$E,$B153,Database!$C:$C,BU$1,Database!$F:$F,"Total")</f>
        <v>212</v>
      </c>
      <c r="BV153" s="137">
        <f>SUMIFS(Database!$G:$G,Database!$D:$D,"Export",Database!$E:$E,$B153,Database!$C:$C,BV$1,Database!$F:$F,"Total")</f>
        <v>0</v>
      </c>
      <c r="BW153" s="137">
        <f>SUMIFS(Database!$G:$G,Database!$D:$D,"Export",Database!$E:$E,$B153,Database!$C:$C,BW$1,Database!$F:$F,"Total")</f>
        <v>0</v>
      </c>
      <c r="BX153" s="137">
        <f>SUMIFS(Database!$G:$G,Database!$D:$D,"Export",Database!$E:$E,$B153,Database!$C:$C,BX$1,Database!$F:$F,"Total")</f>
        <v>0</v>
      </c>
      <c r="BY153" s="137">
        <f>SUMIFS(Database!$G:$G,Database!$D:$D,"Export",Database!$E:$E,$B153,Database!$C:$C,BY$1,Database!$F:$F,"Total")</f>
        <v>0</v>
      </c>
      <c r="BZ153" s="137">
        <f>SUMIFS(Database!$G:$G,Database!$D:$D,"Export",Database!$E:$E,$B153,Database!$C:$C,BZ$1,Database!$F:$F,"Total")</f>
        <v>0</v>
      </c>
      <c r="CA153" s="137">
        <f>SUMIFS(Database!$G:$G,Database!$D:$D,"Export",Database!$E:$E,$B153,Database!$C:$C,CA$1,Database!$F:$F,"Total")</f>
        <v>0</v>
      </c>
      <c r="CB153" s="137">
        <f>SUMIFS(Database!$G:$G,Database!$D:$D,"Export",Database!$E:$E,$B153,Database!$C:$C,CB$1,Database!$F:$F,"Total")</f>
        <v>0</v>
      </c>
      <c r="CC153" s="137">
        <f>SUMIFS(Database!$G:$G,Database!$D:$D,"Export",Database!$E:$E,$B153,Database!$C:$C,CC$1,Database!$F:$F,"Total")</f>
        <v>0</v>
      </c>
      <c r="CD153" s="137">
        <f>SUMIFS(Database!$G:$G,Database!$D:$D,"Export",Database!$E:$E,$B153,Database!$C:$C,CD$1,Database!$F:$F,"Total")</f>
        <v>0</v>
      </c>
      <c r="CE153" s="137">
        <f>SUMIFS(Database!$G:$G,Database!$D:$D,"Export",Database!$E:$E,$B153,Database!$C:$C,CE$1,Database!$F:$F,"Total")</f>
        <v>0</v>
      </c>
      <c r="CF153" s="137">
        <f>SUMIFS(Database!$G:$G,Database!$D:$D,"Export",Database!$E:$E,$B153,Database!$C:$C,CF$1,Database!$F:$F,"Total")</f>
        <v>0</v>
      </c>
      <c r="CG153" s="137">
        <f>SUMIFS(Database!$G:$G,Database!$D:$D,"Export",Database!$E:$E,$B153,Database!$C:$C,CG$1,Database!$F:$F,"Total")</f>
        <v>0</v>
      </c>
      <c r="CH153" s="137">
        <f>SUMIFS(Database!$G:$G,Database!$D:$D,"Export",Database!$E:$E,$B153,Database!$C:$C,CH$1,Database!$F:$F,"Total")</f>
        <v>0</v>
      </c>
      <c r="CI153" s="137">
        <f>SUMIFS(Database!$G:$G,Database!$D:$D,"Export",Database!$E:$E,$B153,Database!$C:$C,CI$1,Database!$F:$F,"Total")</f>
        <v>0</v>
      </c>
      <c r="CJ153" s="137">
        <f>SUMIFS(Database!$G:$G,Database!$D:$D,"Export",Database!$E:$E,$B153,Database!$C:$C,CJ$1,Database!$F:$F,"Total")</f>
        <v>0</v>
      </c>
      <c r="CK153" s="137">
        <f>SUMIFS(Database!$G:$G,Database!$D:$D,"Export",Database!$E:$E,$B153,Database!$C:$C,CK$1,Database!$F:$F,"Total")</f>
        <v>0</v>
      </c>
      <c r="CL153" s="137">
        <f>SUMIFS(Database!$G:$G,Database!$D:$D,"Export",Database!$E:$E,$B153,Database!$C:$C,CL$1,Database!$F:$F,"Total")</f>
        <v>0</v>
      </c>
      <c r="CM153" s="137">
        <f>SUMIFS(Database!$G:$G,Database!$D:$D,"Export",Database!$E:$E,$B153,Database!$C:$C,CM$1,Database!$F:$F,"Total")</f>
        <v>0</v>
      </c>
      <c r="CN153" s="137">
        <f>SUMIFS(Database!$G:$G,Database!$D:$D,"Export",Database!$E:$E,$B153,Database!$C:$C,CN$1,Database!$F:$F,"Total")</f>
        <v>0</v>
      </c>
      <c r="CO153" s="137">
        <f>SUMIFS(Database!$G:$G,Database!$D:$D,"Export",Database!$E:$E,$B153,Database!$C:$C,CO$1,Database!$F:$F,"Total")</f>
        <v>0</v>
      </c>
      <c r="CP153" s="137">
        <f>SUMIFS(Database!$G:$G,Database!$D:$D,"Export",Database!$E:$E,$B153,Database!$C:$C,CP$1,Database!$F:$F,"Total")</f>
        <v>0</v>
      </c>
      <c r="CQ153" s="137">
        <f>SUMIFS(Database!$G:$G,Database!$D:$D,"Export",Database!$E:$E,$B153,Database!$C:$C,CQ$1,Database!$F:$F,"Total")</f>
        <v>0</v>
      </c>
      <c r="CR153" s="137">
        <f>SUMIFS(Database!$G:$G,Database!$D:$D,"Export",Database!$E:$E,$B153,Database!$C:$C,CR$1,Database!$F:$F,"Total")</f>
        <v>0</v>
      </c>
      <c r="CS153" s="137">
        <f>SUMIFS(Database!$G:$G,Database!$D:$D,"Export",Database!$E:$E,$B153,Database!$C:$C,CS$1,Database!$F:$F,"Total")</f>
        <v>0</v>
      </c>
      <c r="CT153" s="137">
        <f>SUMIFS(Database!$G:$G,Database!$D:$D,"Export",Database!$E:$E,$B153,Database!$C:$C,CT$1,Database!$F:$F,"Total")</f>
        <v>0</v>
      </c>
      <c r="CU153" s="137">
        <f>SUMIFS(Database!$G:$G,Database!$D:$D,"Export",Database!$E:$E,$B153,Database!$C:$C,CU$1,Database!$F:$F,"Total")</f>
        <v>0</v>
      </c>
    </row>
    <row r="154" spans="1:99" x14ac:dyDescent="0.25">
      <c r="A154" s="132" t="s">
        <v>485</v>
      </c>
      <c r="B154" s="133" t="s">
        <v>148</v>
      </c>
      <c r="C154" s="137">
        <f>SUMIFS(Database!$G:$G,Database!$D:$D,"Export",Database!$E:$E,$B154,Database!$C:$C,C$1,Database!$F:$F,"Total")</f>
        <v>0</v>
      </c>
      <c r="D154" s="137">
        <f>SUMIFS(Database!$G:$G,Database!$D:$D,"Export",Database!$E:$E,$B154,Database!$C:$C,D$1,Database!$F:$F,"Total")</f>
        <v>0</v>
      </c>
      <c r="E154" s="137">
        <f>SUMIFS(Database!$G:$G,Database!$D:$D,"Export",Database!$E:$E,$B154,Database!$C:$C,E$1,Database!$F:$F,"Total")</f>
        <v>0</v>
      </c>
      <c r="F154" s="137">
        <f>SUMIFS(Database!$G:$G,Database!$D:$D,"Export",Database!$E:$E,$B154,Database!$C:$C,F$1,Database!$F:$F,"Total")</f>
        <v>0</v>
      </c>
      <c r="G154" s="137">
        <f>SUMIFS(Database!$G:$G,Database!$D:$D,"Export",Database!$E:$E,$B154,Database!$C:$C,G$1,Database!$F:$F,"Total")</f>
        <v>0</v>
      </c>
      <c r="H154" s="137">
        <f>SUMIFS(Database!$G:$G,Database!$D:$D,"Export",Database!$E:$E,$B154,Database!$C:$C,H$1,Database!$F:$F,"Total")</f>
        <v>0</v>
      </c>
      <c r="I154" s="137">
        <f>SUMIFS(Database!$G:$G,Database!$D:$D,"Export",Database!$E:$E,$B154,Database!$C:$C,I$1,Database!$F:$F,"Total")</f>
        <v>0</v>
      </c>
      <c r="J154" s="137">
        <f>SUMIFS(Database!$G:$G,Database!$D:$D,"Export",Database!$E:$E,$B154,Database!$C:$C,J$1,Database!$F:$F,"Total")</f>
        <v>0</v>
      </c>
      <c r="K154" s="137">
        <f>SUMIFS(Database!$G:$G,Database!$D:$D,"Export",Database!$E:$E,$B154,Database!$C:$C,K$1,Database!$F:$F,"Total")</f>
        <v>0</v>
      </c>
      <c r="L154" s="137">
        <f>SUMIFS(Database!$G:$G,Database!$D:$D,"Export",Database!$E:$E,$B154,Database!$C:$C,L$1,Database!$F:$F,"Total")</f>
        <v>0</v>
      </c>
      <c r="M154" s="137">
        <f>SUMIFS(Database!$G:$G,Database!$D:$D,"Export",Database!$E:$E,$B154,Database!$C:$C,M$1,Database!$F:$F,"Total")</f>
        <v>0</v>
      </c>
      <c r="N154" s="137">
        <f>SUMIFS(Database!$G:$G,Database!$D:$D,"Export",Database!$E:$E,$B154,Database!$C:$C,N$1,Database!$F:$F,"Total")</f>
        <v>0</v>
      </c>
      <c r="O154" s="137">
        <f>SUMIFS(Database!$G:$G,Database!$D:$D,"Export",Database!$E:$E,$B154,Database!$C:$C,O$1,Database!$F:$F,"Total")</f>
        <v>0</v>
      </c>
      <c r="P154" s="137">
        <f>SUMIFS(Database!$G:$G,Database!$D:$D,"Export",Database!$E:$E,$B154,Database!$C:$C,P$1,Database!$F:$F,"Total")</f>
        <v>0</v>
      </c>
      <c r="Q154" s="137">
        <f>SUMIFS(Database!$G:$G,Database!$D:$D,"Export",Database!$E:$E,$B154,Database!$C:$C,Q$1,Database!$F:$F,"Total")</f>
        <v>0</v>
      </c>
      <c r="R154" s="137">
        <f>SUMIFS(Database!$G:$G,Database!$D:$D,"Export",Database!$E:$E,$B154,Database!$C:$C,R$1,Database!$F:$F,"Total")</f>
        <v>0</v>
      </c>
      <c r="S154" s="137">
        <f>SUMIFS(Database!$G:$G,Database!$D:$D,"Export",Database!$E:$E,$B154,Database!$C:$C,S$1,Database!$F:$F,"Total")</f>
        <v>0</v>
      </c>
      <c r="T154" s="137">
        <f>SUMIFS(Database!$G:$G,Database!$D:$D,"Export",Database!$E:$E,$B154,Database!$C:$C,T$1,Database!$F:$F,"Total")</f>
        <v>0</v>
      </c>
      <c r="U154" s="137">
        <f>SUMIFS(Database!$G:$G,Database!$D:$D,"Export",Database!$E:$E,$B154,Database!$C:$C,U$1,Database!$F:$F,"Total")</f>
        <v>0</v>
      </c>
      <c r="V154" s="137">
        <f>SUMIFS(Database!$G:$G,Database!$D:$D,"Export",Database!$E:$E,$B154,Database!$C:$C,V$1,Database!$F:$F,"Total")</f>
        <v>0</v>
      </c>
      <c r="W154" s="137">
        <f>SUMIFS(Database!$G:$G,Database!$D:$D,"Export",Database!$E:$E,$B154,Database!$C:$C,W$1,Database!$F:$F,"Total")</f>
        <v>0</v>
      </c>
      <c r="X154" s="137">
        <f>SUMIFS(Database!$G:$G,Database!$D:$D,"Export",Database!$E:$E,$B154,Database!$C:$C,X$1,Database!$F:$F,"Total")</f>
        <v>0</v>
      </c>
      <c r="Y154" s="137">
        <f>SUMIFS(Database!$G:$G,Database!$D:$D,"Export",Database!$E:$E,$B154,Database!$C:$C,Y$1,Database!$F:$F,"Total")</f>
        <v>0</v>
      </c>
      <c r="Z154" s="137">
        <f>SUMIFS(Database!$G:$G,Database!$D:$D,"Export",Database!$E:$E,$B154,Database!$C:$C,Z$1,Database!$F:$F,"Total")</f>
        <v>0</v>
      </c>
      <c r="AA154" s="137">
        <f>SUMIFS(Database!$G:$G,Database!$D:$D,"Export",Database!$E:$E,$B154,Database!$C:$C,AA$1,Database!$F:$F,"Total")</f>
        <v>0</v>
      </c>
      <c r="AB154" s="137">
        <f>SUMIFS(Database!$G:$G,Database!$D:$D,"Export",Database!$E:$E,$B154,Database!$C:$C,AB$1,Database!$F:$F,"Total")</f>
        <v>0</v>
      </c>
      <c r="AC154" s="137">
        <f>SUMIFS(Database!$G:$G,Database!$D:$D,"Export",Database!$E:$E,$B154,Database!$C:$C,AC$1,Database!$F:$F,"Total")</f>
        <v>0</v>
      </c>
      <c r="AD154" s="137">
        <f>SUMIFS(Database!$G:$G,Database!$D:$D,"Export",Database!$E:$E,$B154,Database!$C:$C,AD$1,Database!$F:$F,"Total")</f>
        <v>0</v>
      </c>
      <c r="AE154" s="137">
        <f>SUMIFS(Database!$G:$G,Database!$D:$D,"Export",Database!$E:$E,$B154,Database!$C:$C,AE$1,Database!$F:$F,"Total")</f>
        <v>1463</v>
      </c>
      <c r="AF154" s="137">
        <f>SUMIFS(Database!$G:$G,Database!$D:$D,"Export",Database!$E:$E,$B154,Database!$C:$C,AF$1,Database!$F:$F,"Total")</f>
        <v>2234</v>
      </c>
      <c r="AG154" s="137">
        <f>SUMIFS(Database!$G:$G,Database!$D:$D,"Export",Database!$E:$E,$B154,Database!$C:$C,AG$1,Database!$F:$F,"Total")</f>
        <v>0</v>
      </c>
      <c r="AH154" s="137">
        <f>SUMIFS(Database!$G:$G,Database!$D:$D,"Export",Database!$E:$E,$B154,Database!$C:$C,AH$1,Database!$F:$F,"Total")</f>
        <v>1350</v>
      </c>
      <c r="AI154" s="137">
        <f>SUMIFS(Database!$G:$G,Database!$D:$D,"Export",Database!$E:$E,$B154,Database!$C:$C,AI$1,Database!$F:$F,"Total")</f>
        <v>1514</v>
      </c>
      <c r="AJ154" s="137">
        <f>SUMIFS(Database!$G:$G,Database!$D:$D,"Export",Database!$E:$E,$B154,Database!$C:$C,AJ$1,Database!$F:$F,"Total")</f>
        <v>2073</v>
      </c>
      <c r="AK154" s="137">
        <f>SUMIFS(Database!$G:$G,Database!$D:$D,"Export",Database!$E:$E,$B154,Database!$C:$C,AK$1,Database!$F:$F,"Total")</f>
        <v>1416</v>
      </c>
      <c r="AL154" s="137">
        <f>SUMIFS(Database!$G:$G,Database!$D:$D,"Export",Database!$E:$E,$B154,Database!$C:$C,AL$1,Database!$F:$F,"Total")</f>
        <v>913</v>
      </c>
      <c r="AM154" s="137">
        <f>SUMIFS(Database!$G:$G,Database!$D:$D,"Export",Database!$E:$E,$B154,Database!$C:$C,AM$1,Database!$F:$F,"Total")</f>
        <v>1328</v>
      </c>
      <c r="AN154" s="137">
        <f>SUMIFS(Database!$G:$G,Database!$D:$D,"Export",Database!$E:$E,$B154,Database!$C:$C,AN$1,Database!$F:$F,"Total")</f>
        <v>1178</v>
      </c>
      <c r="AO154" s="137">
        <f>SUMIFS(Database!$G:$G,Database!$D:$D,"Export",Database!$E:$E,$B154,Database!$C:$C,AO$1,Database!$F:$F,"Total")</f>
        <v>1998</v>
      </c>
      <c r="AP154" s="137">
        <f>SUMIFS(Database!$G:$G,Database!$D:$D,"Export",Database!$E:$E,$B154,Database!$C:$C,AP$1,Database!$F:$F,"Total")</f>
        <v>2196</v>
      </c>
      <c r="AQ154" s="137">
        <f>SUMIFS(Database!$G:$G,Database!$D:$D,"Export",Database!$E:$E,$B154,Database!$C:$C,AQ$1,Database!$F:$F,"Total")</f>
        <v>2717</v>
      </c>
      <c r="AR154" s="137">
        <f>SUMIFS(Database!$G:$G,Database!$D:$D,"Export",Database!$E:$E,$B154,Database!$C:$C,AR$1,Database!$F:$F,"Total")</f>
        <v>1964</v>
      </c>
      <c r="AS154" s="137">
        <f>SUMIFS(Database!$G:$G,Database!$D:$D,"Export",Database!$E:$E,$B154,Database!$C:$C,AS$1,Database!$F:$F,"Total")</f>
        <v>2011</v>
      </c>
      <c r="AT154" s="137">
        <f>SUMIFS(Database!$G:$G,Database!$D:$D,"Export",Database!$E:$E,$B154,Database!$C:$C,AT$1,Database!$F:$F,"Total")</f>
        <v>1531</v>
      </c>
      <c r="AU154" s="137">
        <f>SUMIFS(Database!$G:$G,Database!$D:$D,"Export",Database!$E:$E,$B154,Database!$C:$C,AU$1,Database!$F:$F,"Total")</f>
        <v>1345</v>
      </c>
      <c r="AV154" s="137">
        <f>SUMIFS(Database!$G:$G,Database!$D:$D,"Export",Database!$E:$E,$B154,Database!$C:$C,AV$1,Database!$F:$F,"Total")</f>
        <v>1551</v>
      </c>
      <c r="AW154" s="137">
        <f>SUMIFS(Database!$G:$G,Database!$D:$D,"Export",Database!$E:$E,$B154,Database!$C:$C,AW$1,Database!$F:$F,"Total")</f>
        <v>1465</v>
      </c>
      <c r="AX154" s="137">
        <f>SUMIFS(Database!$G:$G,Database!$D:$D,"Export",Database!$E:$E,$B154,Database!$C:$C,AX$1,Database!$F:$F,"Total")</f>
        <v>769</v>
      </c>
      <c r="AY154" s="137">
        <f>SUMIFS(Database!$G:$G,Database!$D:$D,"Export",Database!$E:$E,$B154,Database!$C:$C,AY$1,Database!$F:$F,"Total")</f>
        <v>1094</v>
      </c>
      <c r="AZ154" s="137">
        <f>SUMIFS(Database!$G:$G,Database!$D:$D,"Export",Database!$E:$E,$B154,Database!$C:$C,AZ$1,Database!$F:$F,"Total")</f>
        <v>1108</v>
      </c>
      <c r="BA154" s="137">
        <f>SUMIFS(Database!$G:$G,Database!$D:$D,"Export",Database!$E:$E,$B154,Database!$C:$C,BA$1,Database!$F:$F,"Total")</f>
        <v>1695</v>
      </c>
      <c r="BB154" s="137">
        <f>SUMIFS(Database!$G:$G,Database!$D:$D,"Export",Database!$E:$E,$B154,Database!$C:$C,BB$1,Database!$F:$F,"Total")</f>
        <v>1783</v>
      </c>
      <c r="BC154" s="137">
        <f>SUMIFS(Database!$G:$G,Database!$D:$D,"Export",Database!$E:$E,$B154,Database!$C:$C,BC$1,Database!$F:$F,"Total")</f>
        <v>1793</v>
      </c>
      <c r="BD154" s="137">
        <f>SUMIFS(Database!$G:$G,Database!$D:$D,"Export",Database!$E:$E,$B154,Database!$C:$C,BD$1,Database!$F:$F,"Total")</f>
        <v>1124</v>
      </c>
      <c r="BE154" s="137">
        <f>SUMIFS(Database!$G:$G,Database!$D:$D,"Export",Database!$E:$E,$B154,Database!$C:$C,BE$1,Database!$F:$F,"Total")</f>
        <v>1935</v>
      </c>
      <c r="BF154" s="137">
        <f>SUMIFS(Database!$G:$G,Database!$D:$D,"Export",Database!$E:$E,$B154,Database!$C:$C,BF$1,Database!$F:$F,"Total")</f>
        <v>3261</v>
      </c>
      <c r="BG154" s="137">
        <f>SUMIFS(Database!$G:$G,Database!$D:$D,"Export",Database!$E:$E,$B154,Database!$C:$C,BG$1,Database!$F:$F,"Total")</f>
        <v>2077</v>
      </c>
      <c r="BH154" s="137">
        <f>SUMIFS(Database!$G:$G,Database!$D:$D,"Export",Database!$E:$E,$B154,Database!$C:$C,BH$1,Database!$F:$F,"Total")</f>
        <v>3098</v>
      </c>
      <c r="BI154" s="137">
        <f>SUMIFS(Database!$G:$G,Database!$D:$D,"Export",Database!$E:$E,$B154,Database!$C:$C,BI$1,Database!$F:$F,"Total")</f>
        <v>0</v>
      </c>
      <c r="BJ154" s="137">
        <f>SUMIFS(Database!$G:$G,Database!$D:$D,"Export",Database!$E:$E,$B154,Database!$C:$C,BJ$1,Database!$F:$F,"Total")</f>
        <v>3253</v>
      </c>
      <c r="BK154" s="137">
        <f>SUMIFS(Database!$G:$G,Database!$D:$D,"Export",Database!$E:$E,$B154,Database!$C:$C,BK$1,Database!$F:$F,"Total")</f>
        <v>2520</v>
      </c>
      <c r="BL154" s="137">
        <f>SUMIFS(Database!$G:$G,Database!$D:$D,"Export",Database!$E:$E,$B154,Database!$C:$C,BL$1,Database!$F:$F,"Total")</f>
        <v>0</v>
      </c>
      <c r="BM154" s="137">
        <f>SUMIFS(Database!$G:$G,Database!$D:$D,"Export",Database!$E:$E,$B154,Database!$C:$C,BM$1,Database!$F:$F,"Total")</f>
        <v>0</v>
      </c>
      <c r="BN154" s="137">
        <f>SUMIFS(Database!$G:$G,Database!$D:$D,"Export",Database!$E:$E,$B154,Database!$C:$C,BN$1,Database!$F:$F,"Total")</f>
        <v>2278</v>
      </c>
      <c r="BO154" s="137">
        <f>SUMIFS(Database!$G:$G,Database!$D:$D,"Export",Database!$E:$E,$B154,Database!$C:$C,BO$1,Database!$F:$F,"Total")</f>
        <v>0</v>
      </c>
      <c r="BP154" s="137">
        <f>SUMIFS(Database!$G:$G,Database!$D:$D,"Export",Database!$E:$E,$B154,Database!$C:$C,BP$1,Database!$F:$F,"Total")</f>
        <v>2615</v>
      </c>
      <c r="BQ154" s="137">
        <f>SUMIFS(Database!$G:$G,Database!$D:$D,"Export",Database!$E:$E,$B154,Database!$C:$C,BQ$1,Database!$F:$F,"Total")</f>
        <v>1694</v>
      </c>
      <c r="BR154" s="137">
        <f>SUMIFS(Database!$G:$G,Database!$D:$D,"Export",Database!$E:$E,$B154,Database!$C:$C,BR$1,Database!$F:$F,"Total")</f>
        <v>1057</v>
      </c>
      <c r="BS154" s="137">
        <f>SUMIFS(Database!$G:$G,Database!$D:$D,"Export",Database!$E:$E,$B154,Database!$C:$C,BS$1,Database!$F:$F,"Total")</f>
        <v>2675</v>
      </c>
      <c r="BT154" s="137">
        <f>SUMIFS(Database!$G:$G,Database!$D:$D,"Export",Database!$E:$E,$B154,Database!$C:$C,BT$1,Database!$F:$F,"Total")</f>
        <v>820</v>
      </c>
      <c r="BU154" s="137">
        <f>SUMIFS(Database!$G:$G,Database!$D:$D,"Export",Database!$E:$E,$B154,Database!$C:$C,BU$1,Database!$F:$F,"Total")</f>
        <v>700</v>
      </c>
      <c r="BV154" s="137">
        <f>SUMIFS(Database!$G:$G,Database!$D:$D,"Export",Database!$E:$E,$B154,Database!$C:$C,BV$1,Database!$F:$F,"Total")</f>
        <v>0</v>
      </c>
      <c r="BW154" s="137">
        <f>SUMIFS(Database!$G:$G,Database!$D:$D,"Export",Database!$E:$E,$B154,Database!$C:$C,BW$1,Database!$F:$F,"Total")</f>
        <v>0</v>
      </c>
      <c r="BX154" s="137">
        <f>SUMIFS(Database!$G:$G,Database!$D:$D,"Export",Database!$E:$E,$B154,Database!$C:$C,BX$1,Database!$F:$F,"Total")</f>
        <v>0</v>
      </c>
      <c r="BY154" s="137">
        <f>SUMIFS(Database!$G:$G,Database!$D:$D,"Export",Database!$E:$E,$B154,Database!$C:$C,BY$1,Database!$F:$F,"Total")</f>
        <v>0</v>
      </c>
      <c r="BZ154" s="137">
        <f>SUMIFS(Database!$G:$G,Database!$D:$D,"Export",Database!$E:$E,$B154,Database!$C:$C,BZ$1,Database!$F:$F,"Total")</f>
        <v>0</v>
      </c>
      <c r="CA154" s="137">
        <f>SUMIFS(Database!$G:$G,Database!$D:$D,"Export",Database!$E:$E,$B154,Database!$C:$C,CA$1,Database!$F:$F,"Total")</f>
        <v>0</v>
      </c>
      <c r="CB154" s="137">
        <f>SUMIFS(Database!$G:$G,Database!$D:$D,"Export",Database!$E:$E,$B154,Database!$C:$C,CB$1,Database!$F:$F,"Total")</f>
        <v>0</v>
      </c>
      <c r="CC154" s="137">
        <f>SUMIFS(Database!$G:$G,Database!$D:$D,"Export",Database!$E:$E,$B154,Database!$C:$C,CC$1,Database!$F:$F,"Total")</f>
        <v>0</v>
      </c>
      <c r="CD154" s="137">
        <f>SUMIFS(Database!$G:$G,Database!$D:$D,"Export",Database!$E:$E,$B154,Database!$C:$C,CD$1,Database!$F:$F,"Total")</f>
        <v>0</v>
      </c>
      <c r="CE154" s="137">
        <f>SUMIFS(Database!$G:$G,Database!$D:$D,"Export",Database!$E:$E,$B154,Database!$C:$C,CE$1,Database!$F:$F,"Total")</f>
        <v>0</v>
      </c>
      <c r="CF154" s="137">
        <f>SUMIFS(Database!$G:$G,Database!$D:$D,"Export",Database!$E:$E,$B154,Database!$C:$C,CF$1,Database!$F:$F,"Total")</f>
        <v>0</v>
      </c>
      <c r="CG154" s="137">
        <f>SUMIFS(Database!$G:$G,Database!$D:$D,"Export",Database!$E:$E,$B154,Database!$C:$C,CG$1,Database!$F:$F,"Total")</f>
        <v>0</v>
      </c>
      <c r="CH154" s="137">
        <f>SUMIFS(Database!$G:$G,Database!$D:$D,"Export",Database!$E:$E,$B154,Database!$C:$C,CH$1,Database!$F:$F,"Total")</f>
        <v>0</v>
      </c>
      <c r="CI154" s="137">
        <f>SUMIFS(Database!$G:$G,Database!$D:$D,"Export",Database!$E:$E,$B154,Database!$C:$C,CI$1,Database!$F:$F,"Total")</f>
        <v>0</v>
      </c>
      <c r="CJ154" s="137">
        <f>SUMIFS(Database!$G:$G,Database!$D:$D,"Export",Database!$E:$E,$B154,Database!$C:$C,CJ$1,Database!$F:$F,"Total")</f>
        <v>0</v>
      </c>
      <c r="CK154" s="137">
        <f>SUMIFS(Database!$G:$G,Database!$D:$D,"Export",Database!$E:$E,$B154,Database!$C:$C,CK$1,Database!$F:$F,"Total")</f>
        <v>0</v>
      </c>
      <c r="CL154" s="137">
        <f>SUMIFS(Database!$G:$G,Database!$D:$D,"Export",Database!$E:$E,$B154,Database!$C:$C,CL$1,Database!$F:$F,"Total")</f>
        <v>0</v>
      </c>
      <c r="CM154" s="137">
        <f>SUMIFS(Database!$G:$G,Database!$D:$D,"Export",Database!$E:$E,$B154,Database!$C:$C,CM$1,Database!$F:$F,"Total")</f>
        <v>0</v>
      </c>
      <c r="CN154" s="137">
        <f>SUMIFS(Database!$G:$G,Database!$D:$D,"Export",Database!$E:$E,$B154,Database!$C:$C,CN$1,Database!$F:$F,"Total")</f>
        <v>0</v>
      </c>
      <c r="CO154" s="137">
        <f>SUMIFS(Database!$G:$G,Database!$D:$D,"Export",Database!$E:$E,$B154,Database!$C:$C,CO$1,Database!$F:$F,"Total")</f>
        <v>0</v>
      </c>
      <c r="CP154" s="137">
        <f>SUMIFS(Database!$G:$G,Database!$D:$D,"Export",Database!$E:$E,$B154,Database!$C:$C,CP$1,Database!$F:$F,"Total")</f>
        <v>0</v>
      </c>
      <c r="CQ154" s="137">
        <f>SUMIFS(Database!$G:$G,Database!$D:$D,"Export",Database!$E:$E,$B154,Database!$C:$C,CQ$1,Database!$F:$F,"Total")</f>
        <v>0</v>
      </c>
      <c r="CR154" s="137">
        <f>SUMIFS(Database!$G:$G,Database!$D:$D,"Export",Database!$E:$E,$B154,Database!$C:$C,CR$1,Database!$F:$F,"Total")</f>
        <v>0</v>
      </c>
      <c r="CS154" s="137">
        <f>SUMIFS(Database!$G:$G,Database!$D:$D,"Export",Database!$E:$E,$B154,Database!$C:$C,CS$1,Database!$F:$F,"Total")</f>
        <v>0</v>
      </c>
      <c r="CT154" s="137">
        <f>SUMIFS(Database!$G:$G,Database!$D:$D,"Export",Database!$E:$E,$B154,Database!$C:$C,CT$1,Database!$F:$F,"Total")</f>
        <v>0</v>
      </c>
      <c r="CU154" s="137">
        <f>SUMIFS(Database!$G:$G,Database!$D:$D,"Export",Database!$E:$E,$B154,Database!$C:$C,CU$1,Database!$F:$F,"Total")</f>
        <v>0</v>
      </c>
    </row>
    <row r="155" spans="1:99" x14ac:dyDescent="0.25">
      <c r="A155" s="132" t="s">
        <v>485</v>
      </c>
      <c r="B155" s="133" t="s">
        <v>149</v>
      </c>
      <c r="C155" s="137">
        <f>SUMIFS(Database!$G:$G,Database!$D:$D,"Export",Database!$E:$E,$B155,Database!$C:$C,C$1,Database!$F:$F,"Total")</f>
        <v>0</v>
      </c>
      <c r="D155" s="137">
        <f>SUMIFS(Database!$G:$G,Database!$D:$D,"Export",Database!$E:$E,$B155,Database!$C:$C,D$1,Database!$F:$F,"Total")</f>
        <v>0</v>
      </c>
      <c r="E155" s="137">
        <f>SUMIFS(Database!$G:$G,Database!$D:$D,"Export",Database!$E:$E,$B155,Database!$C:$C,E$1,Database!$F:$F,"Total")</f>
        <v>0</v>
      </c>
      <c r="F155" s="137">
        <f>SUMIFS(Database!$G:$G,Database!$D:$D,"Export",Database!$E:$E,$B155,Database!$C:$C,F$1,Database!$F:$F,"Total")</f>
        <v>0</v>
      </c>
      <c r="G155" s="137">
        <f>SUMIFS(Database!$G:$G,Database!$D:$D,"Export",Database!$E:$E,$B155,Database!$C:$C,G$1,Database!$F:$F,"Total")</f>
        <v>0</v>
      </c>
      <c r="H155" s="137">
        <f>SUMIFS(Database!$G:$G,Database!$D:$D,"Export",Database!$E:$E,$B155,Database!$C:$C,H$1,Database!$F:$F,"Total")</f>
        <v>0</v>
      </c>
      <c r="I155" s="137">
        <f>SUMIFS(Database!$G:$G,Database!$D:$D,"Export",Database!$E:$E,$B155,Database!$C:$C,I$1,Database!$F:$F,"Total")</f>
        <v>0</v>
      </c>
      <c r="J155" s="137">
        <f>SUMIFS(Database!$G:$G,Database!$D:$D,"Export",Database!$E:$E,$B155,Database!$C:$C,J$1,Database!$F:$F,"Total")</f>
        <v>0</v>
      </c>
      <c r="K155" s="137">
        <f>SUMIFS(Database!$G:$G,Database!$D:$D,"Export",Database!$E:$E,$B155,Database!$C:$C,K$1,Database!$F:$F,"Total")</f>
        <v>0</v>
      </c>
      <c r="L155" s="137">
        <f>SUMIFS(Database!$G:$G,Database!$D:$D,"Export",Database!$E:$E,$B155,Database!$C:$C,L$1,Database!$F:$F,"Total")</f>
        <v>0</v>
      </c>
      <c r="M155" s="137">
        <f>SUMIFS(Database!$G:$G,Database!$D:$D,"Export",Database!$E:$E,$B155,Database!$C:$C,M$1,Database!$F:$F,"Total")</f>
        <v>0</v>
      </c>
      <c r="N155" s="137">
        <f>SUMIFS(Database!$G:$G,Database!$D:$D,"Export",Database!$E:$E,$B155,Database!$C:$C,N$1,Database!$F:$F,"Total")</f>
        <v>0</v>
      </c>
      <c r="O155" s="137">
        <f>SUMIFS(Database!$G:$G,Database!$D:$D,"Export",Database!$E:$E,$B155,Database!$C:$C,O$1,Database!$F:$F,"Total")</f>
        <v>0</v>
      </c>
      <c r="P155" s="137">
        <f>SUMIFS(Database!$G:$G,Database!$D:$D,"Export",Database!$E:$E,$B155,Database!$C:$C,P$1,Database!$F:$F,"Total")</f>
        <v>0</v>
      </c>
      <c r="Q155" s="137">
        <f>SUMIFS(Database!$G:$G,Database!$D:$D,"Export",Database!$E:$E,$B155,Database!$C:$C,Q$1,Database!$F:$F,"Total")</f>
        <v>0</v>
      </c>
      <c r="R155" s="137">
        <f>SUMIFS(Database!$G:$G,Database!$D:$D,"Export",Database!$E:$E,$B155,Database!$C:$C,R$1,Database!$F:$F,"Total")</f>
        <v>0</v>
      </c>
      <c r="S155" s="137">
        <f>SUMIFS(Database!$G:$G,Database!$D:$D,"Export",Database!$E:$E,$B155,Database!$C:$C,S$1,Database!$F:$F,"Total")</f>
        <v>0</v>
      </c>
      <c r="T155" s="137">
        <f>SUMIFS(Database!$G:$G,Database!$D:$D,"Export",Database!$E:$E,$B155,Database!$C:$C,T$1,Database!$F:$F,"Total")</f>
        <v>0</v>
      </c>
      <c r="U155" s="137">
        <f>SUMIFS(Database!$G:$G,Database!$D:$D,"Export",Database!$E:$E,$B155,Database!$C:$C,U$1,Database!$F:$F,"Total")</f>
        <v>0</v>
      </c>
      <c r="V155" s="137">
        <f>SUMIFS(Database!$G:$G,Database!$D:$D,"Export",Database!$E:$E,$B155,Database!$C:$C,V$1,Database!$F:$F,"Total")</f>
        <v>0</v>
      </c>
      <c r="W155" s="137">
        <f>SUMIFS(Database!$G:$G,Database!$D:$D,"Export",Database!$E:$E,$B155,Database!$C:$C,W$1,Database!$F:$F,"Total")</f>
        <v>0</v>
      </c>
      <c r="X155" s="137">
        <f>SUMIFS(Database!$G:$G,Database!$D:$D,"Export",Database!$E:$E,$B155,Database!$C:$C,X$1,Database!$F:$F,"Total")</f>
        <v>0</v>
      </c>
      <c r="Y155" s="137">
        <f>SUMIFS(Database!$G:$G,Database!$D:$D,"Export",Database!$E:$E,$B155,Database!$C:$C,Y$1,Database!$F:$F,"Total")</f>
        <v>0</v>
      </c>
      <c r="Z155" s="137">
        <f>SUMIFS(Database!$G:$G,Database!$D:$D,"Export",Database!$E:$E,$B155,Database!$C:$C,Z$1,Database!$F:$F,"Total")</f>
        <v>0</v>
      </c>
      <c r="AA155" s="137">
        <f>SUMIFS(Database!$G:$G,Database!$D:$D,"Export",Database!$E:$E,$B155,Database!$C:$C,AA$1,Database!$F:$F,"Total")</f>
        <v>0</v>
      </c>
      <c r="AB155" s="137">
        <f>SUMIFS(Database!$G:$G,Database!$D:$D,"Export",Database!$E:$E,$B155,Database!$C:$C,AB$1,Database!$F:$F,"Total")</f>
        <v>0</v>
      </c>
      <c r="AC155" s="137">
        <f>SUMIFS(Database!$G:$G,Database!$D:$D,"Export",Database!$E:$E,$B155,Database!$C:$C,AC$1,Database!$F:$F,"Total")</f>
        <v>0</v>
      </c>
      <c r="AD155" s="137">
        <f>SUMIFS(Database!$G:$G,Database!$D:$D,"Export",Database!$E:$E,$B155,Database!$C:$C,AD$1,Database!$F:$F,"Total")</f>
        <v>0</v>
      </c>
      <c r="AE155" s="137">
        <f>SUMIFS(Database!$G:$G,Database!$D:$D,"Export",Database!$E:$E,$B155,Database!$C:$C,AE$1,Database!$F:$F,"Total")</f>
        <v>0</v>
      </c>
      <c r="AF155" s="137">
        <f>SUMIFS(Database!$G:$G,Database!$D:$D,"Export",Database!$E:$E,$B155,Database!$C:$C,AF$1,Database!$F:$F,"Total")</f>
        <v>0</v>
      </c>
      <c r="AG155" s="137">
        <f>SUMIFS(Database!$G:$G,Database!$D:$D,"Export",Database!$E:$E,$B155,Database!$C:$C,AG$1,Database!$F:$F,"Total")</f>
        <v>0</v>
      </c>
      <c r="AH155" s="137">
        <f>SUMIFS(Database!$G:$G,Database!$D:$D,"Export",Database!$E:$E,$B155,Database!$C:$C,AH$1,Database!$F:$F,"Total")</f>
        <v>0</v>
      </c>
      <c r="AI155" s="137">
        <f>SUMIFS(Database!$G:$G,Database!$D:$D,"Export",Database!$E:$E,$B155,Database!$C:$C,AI$1,Database!$F:$F,"Total")</f>
        <v>0</v>
      </c>
      <c r="AJ155" s="137">
        <f>SUMIFS(Database!$G:$G,Database!$D:$D,"Export",Database!$E:$E,$B155,Database!$C:$C,AJ$1,Database!$F:$F,"Total")</f>
        <v>205</v>
      </c>
      <c r="AK155" s="137">
        <f>SUMIFS(Database!$G:$G,Database!$D:$D,"Export",Database!$E:$E,$B155,Database!$C:$C,AK$1,Database!$F:$F,"Total")</f>
        <v>0</v>
      </c>
      <c r="AL155" s="137">
        <f>SUMIFS(Database!$G:$G,Database!$D:$D,"Export",Database!$E:$E,$B155,Database!$C:$C,AL$1,Database!$F:$F,"Total")</f>
        <v>0</v>
      </c>
      <c r="AM155" s="137">
        <f>SUMIFS(Database!$G:$G,Database!$D:$D,"Export",Database!$E:$E,$B155,Database!$C:$C,AM$1,Database!$F:$F,"Total")</f>
        <v>167</v>
      </c>
      <c r="AN155" s="137">
        <f>SUMIFS(Database!$G:$G,Database!$D:$D,"Export",Database!$E:$E,$B155,Database!$C:$C,AN$1,Database!$F:$F,"Total")</f>
        <v>0</v>
      </c>
      <c r="AO155" s="137">
        <f>SUMIFS(Database!$G:$G,Database!$D:$D,"Export",Database!$E:$E,$B155,Database!$C:$C,AO$1,Database!$F:$F,"Total")</f>
        <v>0</v>
      </c>
      <c r="AP155" s="137">
        <f>SUMIFS(Database!$G:$G,Database!$D:$D,"Export",Database!$E:$E,$B155,Database!$C:$C,AP$1,Database!$F:$F,"Total")</f>
        <v>0</v>
      </c>
      <c r="AQ155" s="137">
        <f>SUMIFS(Database!$G:$G,Database!$D:$D,"Export",Database!$E:$E,$B155,Database!$C:$C,AQ$1,Database!$F:$F,"Total")</f>
        <v>0</v>
      </c>
      <c r="AR155" s="137">
        <f>SUMIFS(Database!$G:$G,Database!$D:$D,"Export",Database!$E:$E,$B155,Database!$C:$C,AR$1,Database!$F:$F,"Total")</f>
        <v>0</v>
      </c>
      <c r="AS155" s="137">
        <f>SUMIFS(Database!$G:$G,Database!$D:$D,"Export",Database!$E:$E,$B155,Database!$C:$C,AS$1,Database!$F:$F,"Total")</f>
        <v>0</v>
      </c>
      <c r="AT155" s="137">
        <f>SUMIFS(Database!$G:$G,Database!$D:$D,"Export",Database!$E:$E,$B155,Database!$C:$C,AT$1,Database!$F:$F,"Total")</f>
        <v>0</v>
      </c>
      <c r="AU155" s="137">
        <f>SUMIFS(Database!$G:$G,Database!$D:$D,"Export",Database!$E:$E,$B155,Database!$C:$C,AU$1,Database!$F:$F,"Total")</f>
        <v>874</v>
      </c>
      <c r="AV155" s="137">
        <f>SUMIFS(Database!$G:$G,Database!$D:$D,"Export",Database!$E:$E,$B155,Database!$C:$C,AV$1,Database!$F:$F,"Total")</f>
        <v>0</v>
      </c>
      <c r="AW155" s="137">
        <f>SUMIFS(Database!$G:$G,Database!$D:$D,"Export",Database!$E:$E,$B155,Database!$C:$C,AW$1,Database!$F:$F,"Total")</f>
        <v>0</v>
      </c>
      <c r="AX155" s="137">
        <f>SUMIFS(Database!$G:$G,Database!$D:$D,"Export",Database!$E:$E,$B155,Database!$C:$C,AX$1,Database!$F:$F,"Total")</f>
        <v>0</v>
      </c>
      <c r="AY155" s="137">
        <f>SUMIFS(Database!$G:$G,Database!$D:$D,"Export",Database!$E:$E,$B155,Database!$C:$C,AY$1,Database!$F:$F,"Total")</f>
        <v>0</v>
      </c>
      <c r="AZ155" s="137">
        <f>SUMIFS(Database!$G:$G,Database!$D:$D,"Export",Database!$E:$E,$B155,Database!$C:$C,AZ$1,Database!$F:$F,"Total")</f>
        <v>0</v>
      </c>
      <c r="BA155" s="137">
        <f>SUMIFS(Database!$G:$G,Database!$D:$D,"Export",Database!$E:$E,$B155,Database!$C:$C,BA$1,Database!$F:$F,"Total")</f>
        <v>0</v>
      </c>
      <c r="BB155" s="137">
        <f>SUMIFS(Database!$G:$G,Database!$D:$D,"Export",Database!$E:$E,$B155,Database!$C:$C,BB$1,Database!$F:$F,"Total")</f>
        <v>0</v>
      </c>
      <c r="BC155" s="137">
        <f>SUMIFS(Database!$G:$G,Database!$D:$D,"Export",Database!$E:$E,$B155,Database!$C:$C,BC$1,Database!$F:$F,"Total")</f>
        <v>0</v>
      </c>
      <c r="BD155" s="137">
        <f>SUMIFS(Database!$G:$G,Database!$D:$D,"Export",Database!$E:$E,$B155,Database!$C:$C,BD$1,Database!$F:$F,"Total")</f>
        <v>0</v>
      </c>
      <c r="BE155" s="137">
        <f>SUMIFS(Database!$G:$G,Database!$D:$D,"Export",Database!$E:$E,$B155,Database!$C:$C,BE$1,Database!$F:$F,"Total")</f>
        <v>0</v>
      </c>
      <c r="BF155" s="137">
        <f>SUMIFS(Database!$G:$G,Database!$D:$D,"Export",Database!$E:$E,$B155,Database!$C:$C,BF$1,Database!$F:$F,"Total")</f>
        <v>0</v>
      </c>
      <c r="BG155" s="137">
        <f>SUMIFS(Database!$G:$G,Database!$D:$D,"Export",Database!$E:$E,$B155,Database!$C:$C,BG$1,Database!$F:$F,"Total")</f>
        <v>0</v>
      </c>
      <c r="BH155" s="137">
        <f>SUMIFS(Database!$G:$G,Database!$D:$D,"Export",Database!$E:$E,$B155,Database!$C:$C,BH$1,Database!$F:$F,"Total")</f>
        <v>0</v>
      </c>
      <c r="BI155" s="137">
        <f>SUMIFS(Database!$G:$G,Database!$D:$D,"Export",Database!$E:$E,$B155,Database!$C:$C,BI$1,Database!$F:$F,"Total")</f>
        <v>0</v>
      </c>
      <c r="BJ155" s="137">
        <f>SUMIFS(Database!$G:$G,Database!$D:$D,"Export",Database!$E:$E,$B155,Database!$C:$C,BJ$1,Database!$F:$F,"Total")</f>
        <v>0</v>
      </c>
      <c r="BK155" s="137">
        <f>SUMIFS(Database!$G:$G,Database!$D:$D,"Export",Database!$E:$E,$B155,Database!$C:$C,BK$1,Database!$F:$F,"Total")</f>
        <v>0</v>
      </c>
      <c r="BL155" s="137">
        <f>SUMIFS(Database!$G:$G,Database!$D:$D,"Export",Database!$E:$E,$B155,Database!$C:$C,BL$1,Database!$F:$F,"Total")</f>
        <v>0</v>
      </c>
      <c r="BM155" s="137">
        <f>SUMIFS(Database!$G:$G,Database!$D:$D,"Export",Database!$E:$E,$B155,Database!$C:$C,BM$1,Database!$F:$F,"Total")</f>
        <v>0</v>
      </c>
      <c r="BN155" s="137">
        <f>SUMIFS(Database!$G:$G,Database!$D:$D,"Export",Database!$E:$E,$B155,Database!$C:$C,BN$1,Database!$F:$F,"Total")</f>
        <v>0</v>
      </c>
      <c r="BO155" s="137">
        <f>SUMIFS(Database!$G:$G,Database!$D:$D,"Export",Database!$E:$E,$B155,Database!$C:$C,BO$1,Database!$F:$F,"Total")</f>
        <v>0</v>
      </c>
      <c r="BP155" s="137">
        <f>SUMIFS(Database!$G:$G,Database!$D:$D,"Export",Database!$E:$E,$B155,Database!$C:$C,BP$1,Database!$F:$F,"Total")</f>
        <v>0</v>
      </c>
      <c r="BQ155" s="137">
        <f>SUMIFS(Database!$G:$G,Database!$D:$D,"Export",Database!$E:$E,$B155,Database!$C:$C,BQ$1,Database!$F:$F,"Total")</f>
        <v>0</v>
      </c>
      <c r="BR155" s="137">
        <f>SUMIFS(Database!$G:$G,Database!$D:$D,"Export",Database!$E:$E,$B155,Database!$C:$C,BR$1,Database!$F:$F,"Total")</f>
        <v>0</v>
      </c>
      <c r="BS155" s="137">
        <f>SUMIFS(Database!$G:$G,Database!$D:$D,"Export",Database!$E:$E,$B155,Database!$C:$C,BS$1,Database!$F:$F,"Total")</f>
        <v>0</v>
      </c>
      <c r="BT155" s="137">
        <f>SUMIFS(Database!$G:$G,Database!$D:$D,"Export",Database!$E:$E,$B155,Database!$C:$C,BT$1,Database!$F:$F,"Total")</f>
        <v>0</v>
      </c>
      <c r="BU155" s="137">
        <f>SUMIFS(Database!$G:$G,Database!$D:$D,"Export",Database!$E:$E,$B155,Database!$C:$C,BU$1,Database!$F:$F,"Total")</f>
        <v>0</v>
      </c>
      <c r="BV155" s="137">
        <f>SUMIFS(Database!$G:$G,Database!$D:$D,"Export",Database!$E:$E,$B155,Database!$C:$C,BV$1,Database!$F:$F,"Total")</f>
        <v>0</v>
      </c>
      <c r="BW155" s="137">
        <f>SUMIFS(Database!$G:$G,Database!$D:$D,"Export",Database!$E:$E,$B155,Database!$C:$C,BW$1,Database!$F:$F,"Total")</f>
        <v>0</v>
      </c>
      <c r="BX155" s="137">
        <f>SUMIFS(Database!$G:$G,Database!$D:$D,"Export",Database!$E:$E,$B155,Database!$C:$C,BX$1,Database!$F:$F,"Total")</f>
        <v>0</v>
      </c>
      <c r="BY155" s="137">
        <f>SUMIFS(Database!$G:$G,Database!$D:$D,"Export",Database!$E:$E,$B155,Database!$C:$C,BY$1,Database!$F:$F,"Total")</f>
        <v>0</v>
      </c>
      <c r="BZ155" s="137">
        <f>SUMIFS(Database!$G:$G,Database!$D:$D,"Export",Database!$E:$E,$B155,Database!$C:$C,BZ$1,Database!$F:$F,"Total")</f>
        <v>0</v>
      </c>
      <c r="CA155" s="137">
        <f>SUMIFS(Database!$G:$G,Database!$D:$D,"Export",Database!$E:$E,$B155,Database!$C:$C,CA$1,Database!$F:$F,"Total")</f>
        <v>0</v>
      </c>
      <c r="CB155" s="137">
        <f>SUMIFS(Database!$G:$G,Database!$D:$D,"Export",Database!$E:$E,$B155,Database!$C:$C,CB$1,Database!$F:$F,"Total")</f>
        <v>0</v>
      </c>
      <c r="CC155" s="137">
        <f>SUMIFS(Database!$G:$G,Database!$D:$D,"Export",Database!$E:$E,$B155,Database!$C:$C,CC$1,Database!$F:$F,"Total")</f>
        <v>0</v>
      </c>
      <c r="CD155" s="137">
        <f>SUMIFS(Database!$G:$G,Database!$D:$D,"Export",Database!$E:$E,$B155,Database!$C:$C,CD$1,Database!$F:$F,"Total")</f>
        <v>0</v>
      </c>
      <c r="CE155" s="137">
        <f>SUMIFS(Database!$G:$G,Database!$D:$D,"Export",Database!$E:$E,$B155,Database!$C:$C,CE$1,Database!$F:$F,"Total")</f>
        <v>0</v>
      </c>
      <c r="CF155" s="137">
        <f>SUMIFS(Database!$G:$G,Database!$D:$D,"Export",Database!$E:$E,$B155,Database!$C:$C,CF$1,Database!$F:$F,"Total")</f>
        <v>0</v>
      </c>
      <c r="CG155" s="137">
        <f>SUMIFS(Database!$G:$G,Database!$D:$D,"Export",Database!$E:$E,$B155,Database!$C:$C,CG$1,Database!$F:$F,"Total")</f>
        <v>0</v>
      </c>
      <c r="CH155" s="137">
        <f>SUMIFS(Database!$G:$G,Database!$D:$D,"Export",Database!$E:$E,$B155,Database!$C:$C,CH$1,Database!$F:$F,"Total")</f>
        <v>0</v>
      </c>
      <c r="CI155" s="137">
        <f>SUMIFS(Database!$G:$G,Database!$D:$D,"Export",Database!$E:$E,$B155,Database!$C:$C,CI$1,Database!$F:$F,"Total")</f>
        <v>0</v>
      </c>
      <c r="CJ155" s="137">
        <f>SUMIFS(Database!$G:$G,Database!$D:$D,"Export",Database!$E:$E,$B155,Database!$C:$C,CJ$1,Database!$F:$F,"Total")</f>
        <v>0</v>
      </c>
      <c r="CK155" s="137">
        <f>SUMIFS(Database!$G:$G,Database!$D:$D,"Export",Database!$E:$E,$B155,Database!$C:$C,CK$1,Database!$F:$F,"Total")</f>
        <v>0</v>
      </c>
      <c r="CL155" s="137">
        <f>SUMIFS(Database!$G:$G,Database!$D:$D,"Export",Database!$E:$E,$B155,Database!$C:$C,CL$1,Database!$F:$F,"Total")</f>
        <v>0</v>
      </c>
      <c r="CM155" s="137">
        <f>SUMIFS(Database!$G:$G,Database!$D:$D,"Export",Database!$E:$E,$B155,Database!$C:$C,CM$1,Database!$F:$F,"Total")</f>
        <v>0</v>
      </c>
      <c r="CN155" s="137">
        <f>SUMIFS(Database!$G:$G,Database!$D:$D,"Export",Database!$E:$E,$B155,Database!$C:$C,CN$1,Database!$F:$F,"Total")</f>
        <v>0</v>
      </c>
      <c r="CO155" s="137">
        <f>SUMIFS(Database!$G:$G,Database!$D:$D,"Export",Database!$E:$E,$B155,Database!$C:$C,CO$1,Database!$F:$F,"Total")</f>
        <v>0</v>
      </c>
      <c r="CP155" s="137">
        <f>SUMIFS(Database!$G:$G,Database!$D:$D,"Export",Database!$E:$E,$B155,Database!$C:$C,CP$1,Database!$F:$F,"Total")</f>
        <v>0</v>
      </c>
      <c r="CQ155" s="137">
        <f>SUMIFS(Database!$G:$G,Database!$D:$D,"Export",Database!$E:$E,$B155,Database!$C:$C,CQ$1,Database!$F:$F,"Total")</f>
        <v>0</v>
      </c>
      <c r="CR155" s="137">
        <f>SUMIFS(Database!$G:$G,Database!$D:$D,"Export",Database!$E:$E,$B155,Database!$C:$C,CR$1,Database!$F:$F,"Total")</f>
        <v>0</v>
      </c>
      <c r="CS155" s="137">
        <f>SUMIFS(Database!$G:$G,Database!$D:$D,"Export",Database!$E:$E,$B155,Database!$C:$C,CS$1,Database!$F:$F,"Total")</f>
        <v>0</v>
      </c>
      <c r="CT155" s="137">
        <f>SUMIFS(Database!$G:$G,Database!$D:$D,"Export",Database!$E:$E,$B155,Database!$C:$C,CT$1,Database!$F:$F,"Total")</f>
        <v>0</v>
      </c>
      <c r="CU155" s="137">
        <f>SUMIFS(Database!$G:$G,Database!$D:$D,"Export",Database!$E:$E,$B155,Database!$C:$C,CU$1,Database!$F:$F,"Total")</f>
        <v>0</v>
      </c>
    </row>
    <row r="156" spans="1:99" x14ac:dyDescent="0.25">
      <c r="A156" s="132" t="s">
        <v>485</v>
      </c>
      <c r="B156" s="133" t="s">
        <v>150</v>
      </c>
      <c r="C156" s="137">
        <f>SUMIFS(Database!$G:$G,Database!$D:$D,"Export",Database!$E:$E,$B156,Database!$C:$C,C$1,Database!$F:$F,"Total")</f>
        <v>0</v>
      </c>
      <c r="D156" s="137">
        <f>SUMIFS(Database!$G:$G,Database!$D:$D,"Export",Database!$E:$E,$B156,Database!$C:$C,D$1,Database!$F:$F,"Total")</f>
        <v>0</v>
      </c>
      <c r="E156" s="137">
        <f>SUMIFS(Database!$G:$G,Database!$D:$D,"Export",Database!$E:$E,$B156,Database!$C:$C,E$1,Database!$F:$F,"Total")</f>
        <v>0</v>
      </c>
      <c r="F156" s="137">
        <f>SUMIFS(Database!$G:$G,Database!$D:$D,"Export",Database!$E:$E,$B156,Database!$C:$C,F$1,Database!$F:$F,"Total")</f>
        <v>0</v>
      </c>
      <c r="G156" s="137">
        <f>SUMIFS(Database!$G:$G,Database!$D:$D,"Export",Database!$E:$E,$B156,Database!$C:$C,G$1,Database!$F:$F,"Total")</f>
        <v>0</v>
      </c>
      <c r="H156" s="137">
        <f>SUMIFS(Database!$G:$G,Database!$D:$D,"Export",Database!$E:$E,$B156,Database!$C:$C,H$1,Database!$F:$F,"Total")</f>
        <v>0</v>
      </c>
      <c r="I156" s="137">
        <f>SUMIFS(Database!$G:$G,Database!$D:$D,"Export",Database!$E:$E,$B156,Database!$C:$C,I$1,Database!$F:$F,"Total")</f>
        <v>0</v>
      </c>
      <c r="J156" s="137">
        <f>SUMIFS(Database!$G:$G,Database!$D:$D,"Export",Database!$E:$E,$B156,Database!$C:$C,J$1,Database!$F:$F,"Total")</f>
        <v>0</v>
      </c>
      <c r="K156" s="137">
        <f>SUMIFS(Database!$G:$G,Database!$D:$D,"Export",Database!$E:$E,$B156,Database!$C:$C,K$1,Database!$F:$F,"Total")</f>
        <v>0</v>
      </c>
      <c r="L156" s="137">
        <f>SUMIFS(Database!$G:$G,Database!$D:$D,"Export",Database!$E:$E,$B156,Database!$C:$C,L$1,Database!$F:$F,"Total")</f>
        <v>0</v>
      </c>
      <c r="M156" s="137">
        <f>SUMIFS(Database!$G:$G,Database!$D:$D,"Export",Database!$E:$E,$B156,Database!$C:$C,M$1,Database!$F:$F,"Total")</f>
        <v>0</v>
      </c>
      <c r="N156" s="137">
        <f>SUMIFS(Database!$G:$G,Database!$D:$D,"Export",Database!$E:$E,$B156,Database!$C:$C,N$1,Database!$F:$F,"Total")</f>
        <v>0</v>
      </c>
      <c r="O156" s="137">
        <f>SUMIFS(Database!$G:$G,Database!$D:$D,"Export",Database!$E:$E,$B156,Database!$C:$C,O$1,Database!$F:$F,"Total")</f>
        <v>0</v>
      </c>
      <c r="P156" s="137">
        <f>SUMIFS(Database!$G:$G,Database!$D:$D,"Export",Database!$E:$E,$B156,Database!$C:$C,P$1,Database!$F:$F,"Total")</f>
        <v>0</v>
      </c>
      <c r="Q156" s="137">
        <f>SUMIFS(Database!$G:$G,Database!$D:$D,"Export",Database!$E:$E,$B156,Database!$C:$C,Q$1,Database!$F:$F,"Total")</f>
        <v>0</v>
      </c>
      <c r="R156" s="137">
        <f>SUMIFS(Database!$G:$G,Database!$D:$D,"Export",Database!$E:$E,$B156,Database!$C:$C,R$1,Database!$F:$F,"Total")</f>
        <v>0</v>
      </c>
      <c r="S156" s="137">
        <f>SUMIFS(Database!$G:$G,Database!$D:$D,"Export",Database!$E:$E,$B156,Database!$C:$C,S$1,Database!$F:$F,"Total")</f>
        <v>0</v>
      </c>
      <c r="T156" s="137">
        <f>SUMIFS(Database!$G:$G,Database!$D:$D,"Export",Database!$E:$E,$B156,Database!$C:$C,T$1,Database!$F:$F,"Total")</f>
        <v>0</v>
      </c>
      <c r="U156" s="137">
        <f>SUMIFS(Database!$G:$G,Database!$D:$D,"Export",Database!$E:$E,$B156,Database!$C:$C,U$1,Database!$F:$F,"Total")</f>
        <v>0</v>
      </c>
      <c r="V156" s="137">
        <f>SUMIFS(Database!$G:$G,Database!$D:$D,"Export",Database!$E:$E,$B156,Database!$C:$C,V$1,Database!$F:$F,"Total")</f>
        <v>0</v>
      </c>
      <c r="W156" s="137">
        <f>SUMIFS(Database!$G:$G,Database!$D:$D,"Export",Database!$E:$E,$B156,Database!$C:$C,W$1,Database!$F:$F,"Total")</f>
        <v>0</v>
      </c>
      <c r="X156" s="137">
        <f>SUMIFS(Database!$G:$G,Database!$D:$D,"Export",Database!$E:$E,$B156,Database!$C:$C,X$1,Database!$F:$F,"Total")</f>
        <v>0</v>
      </c>
      <c r="Y156" s="137">
        <f>SUMIFS(Database!$G:$G,Database!$D:$D,"Export",Database!$E:$E,$B156,Database!$C:$C,Y$1,Database!$F:$F,"Total")</f>
        <v>0</v>
      </c>
      <c r="Z156" s="137">
        <f>SUMIFS(Database!$G:$G,Database!$D:$D,"Export",Database!$E:$E,$B156,Database!$C:$C,Z$1,Database!$F:$F,"Total")</f>
        <v>0</v>
      </c>
      <c r="AA156" s="137">
        <f>SUMIFS(Database!$G:$G,Database!$D:$D,"Export",Database!$E:$E,$B156,Database!$C:$C,AA$1,Database!$F:$F,"Total")</f>
        <v>0</v>
      </c>
      <c r="AB156" s="137">
        <f>SUMIFS(Database!$G:$G,Database!$D:$D,"Export",Database!$E:$E,$B156,Database!$C:$C,AB$1,Database!$F:$F,"Total")</f>
        <v>0</v>
      </c>
      <c r="AC156" s="137">
        <f>SUMIFS(Database!$G:$G,Database!$D:$D,"Export",Database!$E:$E,$B156,Database!$C:$C,AC$1,Database!$F:$F,"Total")</f>
        <v>0</v>
      </c>
      <c r="AD156" s="137">
        <f>SUMIFS(Database!$G:$G,Database!$D:$D,"Export",Database!$E:$E,$B156,Database!$C:$C,AD$1,Database!$F:$F,"Total")</f>
        <v>0</v>
      </c>
      <c r="AE156" s="137">
        <f>SUMIFS(Database!$G:$G,Database!$D:$D,"Export",Database!$E:$E,$B156,Database!$C:$C,AE$1,Database!$F:$F,"Total")</f>
        <v>28014</v>
      </c>
      <c r="AF156" s="137">
        <f>SUMIFS(Database!$G:$G,Database!$D:$D,"Export",Database!$E:$E,$B156,Database!$C:$C,AF$1,Database!$F:$F,"Total")</f>
        <v>40823</v>
      </c>
      <c r="AG156" s="137">
        <f>SUMIFS(Database!$G:$G,Database!$D:$D,"Export",Database!$E:$E,$B156,Database!$C:$C,AG$1,Database!$F:$F,"Total")</f>
        <v>0</v>
      </c>
      <c r="AH156" s="137">
        <f>SUMIFS(Database!$G:$G,Database!$D:$D,"Export",Database!$E:$E,$B156,Database!$C:$C,AH$1,Database!$F:$F,"Total")</f>
        <v>37166</v>
      </c>
      <c r="AI156" s="137">
        <f>SUMIFS(Database!$G:$G,Database!$D:$D,"Export",Database!$E:$E,$B156,Database!$C:$C,AI$1,Database!$F:$F,"Total")</f>
        <v>48879</v>
      </c>
      <c r="AJ156" s="137">
        <f>SUMIFS(Database!$G:$G,Database!$D:$D,"Export",Database!$E:$E,$B156,Database!$C:$C,AJ$1,Database!$F:$F,"Total")</f>
        <v>45632</v>
      </c>
      <c r="AK156" s="137">
        <f>SUMIFS(Database!$G:$G,Database!$D:$D,"Export",Database!$E:$E,$B156,Database!$C:$C,AK$1,Database!$F:$F,"Total")</f>
        <v>43298</v>
      </c>
      <c r="AL156" s="137">
        <f>SUMIFS(Database!$G:$G,Database!$D:$D,"Export",Database!$E:$E,$B156,Database!$C:$C,AL$1,Database!$F:$F,"Total")</f>
        <v>42229</v>
      </c>
      <c r="AM156" s="137">
        <f>SUMIFS(Database!$G:$G,Database!$D:$D,"Export",Database!$E:$E,$B156,Database!$C:$C,AM$1,Database!$F:$F,"Total")</f>
        <v>53211</v>
      </c>
      <c r="AN156" s="137">
        <f>SUMIFS(Database!$G:$G,Database!$D:$D,"Export",Database!$E:$E,$B156,Database!$C:$C,AN$1,Database!$F:$F,"Total")</f>
        <v>58191</v>
      </c>
      <c r="AO156" s="137">
        <f>SUMIFS(Database!$G:$G,Database!$D:$D,"Export",Database!$E:$E,$B156,Database!$C:$C,AO$1,Database!$F:$F,"Total")</f>
        <v>51812</v>
      </c>
      <c r="AP156" s="137">
        <f>SUMIFS(Database!$G:$G,Database!$D:$D,"Export",Database!$E:$E,$B156,Database!$C:$C,AP$1,Database!$F:$F,"Total")</f>
        <v>52409</v>
      </c>
      <c r="AQ156" s="137">
        <f>SUMIFS(Database!$G:$G,Database!$D:$D,"Export",Database!$E:$E,$B156,Database!$C:$C,AQ$1,Database!$F:$F,"Total")</f>
        <v>43492</v>
      </c>
      <c r="AR156" s="137">
        <f>SUMIFS(Database!$G:$G,Database!$D:$D,"Export",Database!$E:$E,$B156,Database!$C:$C,AR$1,Database!$F:$F,"Total")</f>
        <v>42353</v>
      </c>
      <c r="AS156" s="137">
        <f>SUMIFS(Database!$G:$G,Database!$D:$D,"Export",Database!$E:$E,$B156,Database!$C:$C,AS$1,Database!$F:$F,"Total")</f>
        <v>54093</v>
      </c>
      <c r="AT156" s="137">
        <f>SUMIFS(Database!$G:$G,Database!$D:$D,"Export",Database!$E:$E,$B156,Database!$C:$C,AT$1,Database!$F:$F,"Total")</f>
        <v>43346</v>
      </c>
      <c r="AU156" s="137">
        <f>SUMIFS(Database!$G:$G,Database!$D:$D,"Export",Database!$E:$E,$B156,Database!$C:$C,AU$1,Database!$F:$F,"Total")</f>
        <v>44618</v>
      </c>
      <c r="AV156" s="137">
        <f>SUMIFS(Database!$G:$G,Database!$D:$D,"Export",Database!$E:$E,$B156,Database!$C:$C,AV$1,Database!$F:$F,"Total")</f>
        <v>43486</v>
      </c>
      <c r="AW156" s="137">
        <f>SUMIFS(Database!$G:$G,Database!$D:$D,"Export",Database!$E:$E,$B156,Database!$C:$C,AW$1,Database!$F:$F,"Total")</f>
        <v>52996</v>
      </c>
      <c r="AX156" s="137">
        <f>SUMIFS(Database!$G:$G,Database!$D:$D,"Export",Database!$E:$E,$B156,Database!$C:$C,AX$1,Database!$F:$F,"Total")</f>
        <v>35736</v>
      </c>
      <c r="AY156" s="137">
        <f>SUMIFS(Database!$G:$G,Database!$D:$D,"Export",Database!$E:$E,$B156,Database!$C:$C,AY$1,Database!$F:$F,"Total")</f>
        <v>47949</v>
      </c>
      <c r="AZ156" s="137">
        <f>SUMIFS(Database!$G:$G,Database!$D:$D,"Export",Database!$E:$E,$B156,Database!$C:$C,AZ$1,Database!$F:$F,"Total")</f>
        <v>50195</v>
      </c>
      <c r="BA156" s="137">
        <f>SUMIFS(Database!$G:$G,Database!$D:$D,"Export",Database!$E:$E,$B156,Database!$C:$C,BA$1,Database!$F:$F,"Total")</f>
        <v>43946</v>
      </c>
      <c r="BB156" s="137">
        <f>SUMIFS(Database!$G:$G,Database!$D:$D,"Export",Database!$E:$E,$B156,Database!$C:$C,BB$1,Database!$F:$F,"Total")</f>
        <v>45361</v>
      </c>
      <c r="BC156" s="137">
        <f>SUMIFS(Database!$G:$G,Database!$D:$D,"Export",Database!$E:$E,$B156,Database!$C:$C,BC$1,Database!$F:$F,"Total")</f>
        <v>46802</v>
      </c>
      <c r="BD156" s="137">
        <f>SUMIFS(Database!$G:$G,Database!$D:$D,"Export",Database!$E:$E,$B156,Database!$C:$C,BD$1,Database!$F:$F,"Total")</f>
        <v>28728</v>
      </c>
      <c r="BE156" s="137">
        <f>SUMIFS(Database!$G:$G,Database!$D:$D,"Export",Database!$E:$E,$B156,Database!$C:$C,BE$1,Database!$F:$F,"Total")</f>
        <v>35242</v>
      </c>
      <c r="BF156" s="137">
        <f>SUMIFS(Database!$G:$G,Database!$D:$D,"Export",Database!$E:$E,$B156,Database!$C:$C,BF$1,Database!$F:$F,"Total")</f>
        <v>37121</v>
      </c>
      <c r="BG156" s="137">
        <f>SUMIFS(Database!$G:$G,Database!$D:$D,"Export",Database!$E:$E,$B156,Database!$C:$C,BG$1,Database!$F:$F,"Total")</f>
        <v>27630</v>
      </c>
      <c r="BH156" s="137">
        <f>SUMIFS(Database!$G:$G,Database!$D:$D,"Export",Database!$E:$E,$B156,Database!$C:$C,BH$1,Database!$F:$F,"Total")</f>
        <v>35610</v>
      </c>
      <c r="BI156" s="137">
        <f>SUMIFS(Database!$G:$G,Database!$D:$D,"Export",Database!$E:$E,$B156,Database!$C:$C,BI$1,Database!$F:$F,"Total")</f>
        <v>0</v>
      </c>
      <c r="BJ156" s="137">
        <f>SUMIFS(Database!$G:$G,Database!$D:$D,"Export",Database!$E:$E,$B156,Database!$C:$C,BJ$1,Database!$F:$F,"Total")</f>
        <v>33717</v>
      </c>
      <c r="BK156" s="137">
        <f>SUMIFS(Database!$G:$G,Database!$D:$D,"Export",Database!$E:$E,$B156,Database!$C:$C,BK$1,Database!$F:$F,"Total")</f>
        <v>36931</v>
      </c>
      <c r="BL156" s="137">
        <f>SUMIFS(Database!$G:$G,Database!$D:$D,"Export",Database!$E:$E,$B156,Database!$C:$C,BL$1,Database!$F:$F,"Total")</f>
        <v>0</v>
      </c>
      <c r="BM156" s="137">
        <f>SUMIFS(Database!$G:$G,Database!$D:$D,"Export",Database!$E:$E,$B156,Database!$C:$C,BM$1,Database!$F:$F,"Total")</f>
        <v>0</v>
      </c>
      <c r="BN156" s="137">
        <f>SUMIFS(Database!$G:$G,Database!$D:$D,"Export",Database!$E:$E,$B156,Database!$C:$C,BN$1,Database!$F:$F,"Total")</f>
        <v>28397</v>
      </c>
      <c r="BO156" s="137">
        <f>SUMIFS(Database!$G:$G,Database!$D:$D,"Export",Database!$E:$E,$B156,Database!$C:$C,BO$1,Database!$F:$F,"Total")</f>
        <v>0</v>
      </c>
      <c r="BP156" s="137">
        <f>SUMIFS(Database!$G:$G,Database!$D:$D,"Export",Database!$E:$E,$B156,Database!$C:$C,BP$1,Database!$F:$F,"Total")</f>
        <v>30200</v>
      </c>
      <c r="BQ156" s="137">
        <f>SUMIFS(Database!$G:$G,Database!$D:$D,"Export",Database!$E:$E,$B156,Database!$C:$C,BQ$1,Database!$F:$F,"Total")</f>
        <v>26380</v>
      </c>
      <c r="BR156" s="137">
        <f>SUMIFS(Database!$G:$G,Database!$D:$D,"Export",Database!$E:$E,$B156,Database!$C:$C,BR$1,Database!$F:$F,"Total")</f>
        <v>19972</v>
      </c>
      <c r="BS156" s="137">
        <f>SUMIFS(Database!$G:$G,Database!$D:$D,"Export",Database!$E:$E,$B156,Database!$C:$C,BS$1,Database!$F:$F,"Total")</f>
        <v>19744</v>
      </c>
      <c r="BT156" s="137">
        <f>SUMIFS(Database!$G:$G,Database!$D:$D,"Export",Database!$E:$E,$B156,Database!$C:$C,BT$1,Database!$F:$F,"Total")</f>
        <v>23786</v>
      </c>
      <c r="BU156" s="137">
        <f>SUMIFS(Database!$G:$G,Database!$D:$D,"Export",Database!$E:$E,$B156,Database!$C:$C,BU$1,Database!$F:$F,"Total")</f>
        <v>15479</v>
      </c>
      <c r="BV156" s="137">
        <f>SUMIFS(Database!$G:$G,Database!$D:$D,"Export",Database!$E:$E,$B156,Database!$C:$C,BV$1,Database!$F:$F,"Total")</f>
        <v>0</v>
      </c>
      <c r="BW156" s="137">
        <f>SUMIFS(Database!$G:$G,Database!$D:$D,"Export",Database!$E:$E,$B156,Database!$C:$C,BW$1,Database!$F:$F,"Total")</f>
        <v>0</v>
      </c>
      <c r="BX156" s="137">
        <f>SUMIFS(Database!$G:$G,Database!$D:$D,"Export",Database!$E:$E,$B156,Database!$C:$C,BX$1,Database!$F:$F,"Total")</f>
        <v>0</v>
      </c>
      <c r="BY156" s="137">
        <f>SUMIFS(Database!$G:$G,Database!$D:$D,"Export",Database!$E:$E,$B156,Database!$C:$C,BY$1,Database!$F:$F,"Total")</f>
        <v>0</v>
      </c>
      <c r="BZ156" s="137">
        <f>SUMIFS(Database!$G:$G,Database!$D:$D,"Export",Database!$E:$E,$B156,Database!$C:$C,BZ$1,Database!$F:$F,"Total")</f>
        <v>0</v>
      </c>
      <c r="CA156" s="137">
        <f>SUMIFS(Database!$G:$G,Database!$D:$D,"Export",Database!$E:$E,$B156,Database!$C:$C,CA$1,Database!$F:$F,"Total")</f>
        <v>0</v>
      </c>
      <c r="CB156" s="137">
        <f>SUMIFS(Database!$G:$G,Database!$D:$D,"Export",Database!$E:$E,$B156,Database!$C:$C,CB$1,Database!$F:$F,"Total")</f>
        <v>0</v>
      </c>
      <c r="CC156" s="137">
        <f>SUMIFS(Database!$G:$G,Database!$D:$D,"Export",Database!$E:$E,$B156,Database!$C:$C,CC$1,Database!$F:$F,"Total")</f>
        <v>0</v>
      </c>
      <c r="CD156" s="137">
        <f>SUMIFS(Database!$G:$G,Database!$D:$D,"Export",Database!$E:$E,$B156,Database!$C:$C,CD$1,Database!$F:$F,"Total")</f>
        <v>0</v>
      </c>
      <c r="CE156" s="137">
        <f>SUMIFS(Database!$G:$G,Database!$D:$D,"Export",Database!$E:$E,$B156,Database!$C:$C,CE$1,Database!$F:$F,"Total")</f>
        <v>0</v>
      </c>
      <c r="CF156" s="137">
        <f>SUMIFS(Database!$G:$G,Database!$D:$D,"Export",Database!$E:$E,$B156,Database!$C:$C,CF$1,Database!$F:$F,"Total")</f>
        <v>0</v>
      </c>
      <c r="CG156" s="137">
        <f>SUMIFS(Database!$G:$G,Database!$D:$D,"Export",Database!$E:$E,$B156,Database!$C:$C,CG$1,Database!$F:$F,"Total")</f>
        <v>0</v>
      </c>
      <c r="CH156" s="137">
        <f>SUMIFS(Database!$G:$G,Database!$D:$D,"Export",Database!$E:$E,$B156,Database!$C:$C,CH$1,Database!$F:$F,"Total")</f>
        <v>0</v>
      </c>
      <c r="CI156" s="137">
        <f>SUMIFS(Database!$G:$G,Database!$D:$D,"Export",Database!$E:$E,$B156,Database!$C:$C,CI$1,Database!$F:$F,"Total")</f>
        <v>0</v>
      </c>
      <c r="CJ156" s="137">
        <f>SUMIFS(Database!$G:$G,Database!$D:$D,"Export",Database!$E:$E,$B156,Database!$C:$C,CJ$1,Database!$F:$F,"Total")</f>
        <v>0</v>
      </c>
      <c r="CK156" s="137">
        <f>SUMIFS(Database!$G:$G,Database!$D:$D,"Export",Database!$E:$E,$B156,Database!$C:$C,CK$1,Database!$F:$F,"Total")</f>
        <v>0</v>
      </c>
      <c r="CL156" s="137">
        <f>SUMIFS(Database!$G:$G,Database!$D:$D,"Export",Database!$E:$E,$B156,Database!$C:$C,CL$1,Database!$F:$F,"Total")</f>
        <v>0</v>
      </c>
      <c r="CM156" s="137">
        <f>SUMIFS(Database!$G:$G,Database!$D:$D,"Export",Database!$E:$E,$B156,Database!$C:$C,CM$1,Database!$F:$F,"Total")</f>
        <v>0</v>
      </c>
      <c r="CN156" s="137">
        <f>SUMIFS(Database!$G:$G,Database!$D:$D,"Export",Database!$E:$E,$B156,Database!$C:$C,CN$1,Database!$F:$F,"Total")</f>
        <v>0</v>
      </c>
      <c r="CO156" s="137">
        <f>SUMIFS(Database!$G:$G,Database!$D:$D,"Export",Database!$E:$E,$B156,Database!$C:$C,CO$1,Database!$F:$F,"Total")</f>
        <v>0</v>
      </c>
      <c r="CP156" s="137">
        <f>SUMIFS(Database!$G:$G,Database!$D:$D,"Export",Database!$E:$E,$B156,Database!$C:$C,CP$1,Database!$F:$F,"Total")</f>
        <v>0</v>
      </c>
      <c r="CQ156" s="137">
        <f>SUMIFS(Database!$G:$G,Database!$D:$D,"Export",Database!$E:$E,$B156,Database!$C:$C,CQ$1,Database!$F:$F,"Total")</f>
        <v>0</v>
      </c>
      <c r="CR156" s="137">
        <f>SUMIFS(Database!$G:$G,Database!$D:$D,"Export",Database!$E:$E,$B156,Database!$C:$C,CR$1,Database!$F:$F,"Total")</f>
        <v>0</v>
      </c>
      <c r="CS156" s="137">
        <f>SUMIFS(Database!$G:$G,Database!$D:$D,"Export",Database!$E:$E,$B156,Database!$C:$C,CS$1,Database!$F:$F,"Total")</f>
        <v>0</v>
      </c>
      <c r="CT156" s="137">
        <f>SUMIFS(Database!$G:$G,Database!$D:$D,"Export",Database!$E:$E,$B156,Database!$C:$C,CT$1,Database!$F:$F,"Total")</f>
        <v>0</v>
      </c>
      <c r="CU156" s="137">
        <f>SUMIFS(Database!$G:$G,Database!$D:$D,"Export",Database!$E:$E,$B156,Database!$C:$C,CU$1,Database!$F:$F,"Total")</f>
        <v>0</v>
      </c>
    </row>
    <row r="157" spans="1:99" x14ac:dyDescent="0.25">
      <c r="A157" s="132" t="s">
        <v>485</v>
      </c>
      <c r="B157" s="133" t="s">
        <v>151</v>
      </c>
      <c r="C157" s="137">
        <f>SUMIFS(Database!$G:$G,Database!$D:$D,"Export",Database!$E:$E,$B157,Database!$C:$C,C$1,Database!$F:$F,"Total")</f>
        <v>0</v>
      </c>
      <c r="D157" s="137">
        <f>SUMIFS(Database!$G:$G,Database!$D:$D,"Export",Database!$E:$E,$B157,Database!$C:$C,D$1,Database!$F:$F,"Total")</f>
        <v>0</v>
      </c>
      <c r="E157" s="137">
        <f>SUMIFS(Database!$G:$G,Database!$D:$D,"Export",Database!$E:$E,$B157,Database!$C:$C,E$1,Database!$F:$F,"Total")</f>
        <v>0</v>
      </c>
      <c r="F157" s="137">
        <f>SUMIFS(Database!$G:$G,Database!$D:$D,"Export",Database!$E:$E,$B157,Database!$C:$C,F$1,Database!$F:$F,"Total")</f>
        <v>0</v>
      </c>
      <c r="G157" s="137">
        <f>SUMIFS(Database!$G:$G,Database!$D:$D,"Export",Database!$E:$E,$B157,Database!$C:$C,G$1,Database!$F:$F,"Total")</f>
        <v>0</v>
      </c>
      <c r="H157" s="137">
        <f>SUMIFS(Database!$G:$G,Database!$D:$D,"Export",Database!$E:$E,$B157,Database!$C:$C,H$1,Database!$F:$F,"Total")</f>
        <v>0</v>
      </c>
      <c r="I157" s="137">
        <f>SUMIFS(Database!$G:$G,Database!$D:$D,"Export",Database!$E:$E,$B157,Database!$C:$C,I$1,Database!$F:$F,"Total")</f>
        <v>0</v>
      </c>
      <c r="J157" s="137">
        <f>SUMIFS(Database!$G:$G,Database!$D:$D,"Export",Database!$E:$E,$B157,Database!$C:$C,J$1,Database!$F:$F,"Total")</f>
        <v>0</v>
      </c>
      <c r="K157" s="137">
        <f>SUMIFS(Database!$G:$G,Database!$D:$D,"Export",Database!$E:$E,$B157,Database!$C:$C,K$1,Database!$F:$F,"Total")</f>
        <v>0</v>
      </c>
      <c r="L157" s="137">
        <f>SUMIFS(Database!$G:$G,Database!$D:$D,"Export",Database!$E:$E,$B157,Database!$C:$C,L$1,Database!$F:$F,"Total")</f>
        <v>0</v>
      </c>
      <c r="M157" s="137">
        <f>SUMIFS(Database!$G:$G,Database!$D:$D,"Export",Database!$E:$E,$B157,Database!$C:$C,M$1,Database!$F:$F,"Total")</f>
        <v>0</v>
      </c>
      <c r="N157" s="137">
        <f>SUMIFS(Database!$G:$G,Database!$D:$D,"Export",Database!$E:$E,$B157,Database!$C:$C,N$1,Database!$F:$F,"Total")</f>
        <v>0</v>
      </c>
      <c r="O157" s="137">
        <f>SUMIFS(Database!$G:$G,Database!$D:$D,"Export",Database!$E:$E,$B157,Database!$C:$C,O$1,Database!$F:$F,"Total")</f>
        <v>0</v>
      </c>
      <c r="P157" s="137">
        <f>SUMIFS(Database!$G:$G,Database!$D:$D,"Export",Database!$E:$E,$B157,Database!$C:$C,P$1,Database!$F:$F,"Total")</f>
        <v>0</v>
      </c>
      <c r="Q157" s="137">
        <f>SUMIFS(Database!$G:$G,Database!$D:$D,"Export",Database!$E:$E,$B157,Database!$C:$C,Q$1,Database!$F:$F,"Total")</f>
        <v>0</v>
      </c>
      <c r="R157" s="137">
        <f>SUMIFS(Database!$G:$G,Database!$D:$D,"Export",Database!$E:$E,$B157,Database!$C:$C,R$1,Database!$F:$F,"Total")</f>
        <v>0</v>
      </c>
      <c r="S157" s="137">
        <f>SUMIFS(Database!$G:$G,Database!$D:$D,"Export",Database!$E:$E,$B157,Database!$C:$C,S$1,Database!$F:$F,"Total")</f>
        <v>0</v>
      </c>
      <c r="T157" s="137">
        <f>SUMIFS(Database!$G:$G,Database!$D:$D,"Export",Database!$E:$E,$B157,Database!$C:$C,T$1,Database!$F:$F,"Total")</f>
        <v>0</v>
      </c>
      <c r="U157" s="137">
        <f>SUMIFS(Database!$G:$G,Database!$D:$D,"Export",Database!$E:$E,$B157,Database!$C:$C,U$1,Database!$F:$F,"Total")</f>
        <v>0</v>
      </c>
      <c r="V157" s="137">
        <f>SUMIFS(Database!$G:$G,Database!$D:$D,"Export",Database!$E:$E,$B157,Database!$C:$C,V$1,Database!$F:$F,"Total")</f>
        <v>0</v>
      </c>
      <c r="W157" s="137">
        <f>SUMIFS(Database!$G:$G,Database!$D:$D,"Export",Database!$E:$E,$B157,Database!$C:$C,W$1,Database!$F:$F,"Total")</f>
        <v>0</v>
      </c>
      <c r="X157" s="137">
        <f>SUMIFS(Database!$G:$G,Database!$D:$D,"Export",Database!$E:$E,$B157,Database!$C:$C,X$1,Database!$F:$F,"Total")</f>
        <v>0</v>
      </c>
      <c r="Y157" s="137">
        <f>SUMIFS(Database!$G:$G,Database!$D:$D,"Export",Database!$E:$E,$B157,Database!$C:$C,Y$1,Database!$F:$F,"Total")</f>
        <v>0</v>
      </c>
      <c r="Z157" s="137">
        <f>SUMIFS(Database!$G:$G,Database!$D:$D,"Export",Database!$E:$E,$B157,Database!$C:$C,Z$1,Database!$F:$F,"Total")</f>
        <v>0</v>
      </c>
      <c r="AA157" s="137">
        <f>SUMIFS(Database!$G:$G,Database!$D:$D,"Export",Database!$E:$E,$B157,Database!$C:$C,AA$1,Database!$F:$F,"Total")</f>
        <v>0</v>
      </c>
      <c r="AB157" s="137">
        <f>SUMIFS(Database!$G:$G,Database!$D:$D,"Export",Database!$E:$E,$B157,Database!$C:$C,AB$1,Database!$F:$F,"Total")</f>
        <v>0</v>
      </c>
      <c r="AC157" s="137">
        <f>SUMIFS(Database!$G:$G,Database!$D:$D,"Export",Database!$E:$E,$B157,Database!$C:$C,AC$1,Database!$F:$F,"Total")</f>
        <v>0</v>
      </c>
      <c r="AD157" s="137">
        <f>SUMIFS(Database!$G:$G,Database!$D:$D,"Export",Database!$E:$E,$B157,Database!$C:$C,AD$1,Database!$F:$F,"Total")</f>
        <v>0</v>
      </c>
      <c r="AE157" s="137">
        <f>SUMIFS(Database!$G:$G,Database!$D:$D,"Export",Database!$E:$E,$B157,Database!$C:$C,AE$1,Database!$F:$F,"Total")</f>
        <v>0</v>
      </c>
      <c r="AF157" s="137">
        <f>SUMIFS(Database!$G:$G,Database!$D:$D,"Export",Database!$E:$E,$B157,Database!$C:$C,AF$1,Database!$F:$F,"Total")</f>
        <v>0</v>
      </c>
      <c r="AG157" s="137">
        <f>SUMIFS(Database!$G:$G,Database!$D:$D,"Export",Database!$E:$E,$B157,Database!$C:$C,AG$1,Database!$F:$F,"Total")</f>
        <v>0</v>
      </c>
      <c r="AH157" s="137">
        <f>SUMIFS(Database!$G:$G,Database!$D:$D,"Export",Database!$E:$E,$B157,Database!$C:$C,AH$1,Database!$F:$F,"Total")</f>
        <v>0</v>
      </c>
      <c r="AI157" s="137">
        <f>SUMIFS(Database!$G:$G,Database!$D:$D,"Export",Database!$E:$E,$B157,Database!$C:$C,AI$1,Database!$F:$F,"Total")</f>
        <v>0</v>
      </c>
      <c r="AJ157" s="137">
        <f>SUMIFS(Database!$G:$G,Database!$D:$D,"Export",Database!$E:$E,$B157,Database!$C:$C,AJ$1,Database!$F:$F,"Total")</f>
        <v>53</v>
      </c>
      <c r="AK157" s="137">
        <f>SUMIFS(Database!$G:$G,Database!$D:$D,"Export",Database!$E:$E,$B157,Database!$C:$C,AK$1,Database!$F:$F,"Total")</f>
        <v>0</v>
      </c>
      <c r="AL157" s="137">
        <f>SUMIFS(Database!$G:$G,Database!$D:$D,"Export",Database!$E:$E,$B157,Database!$C:$C,AL$1,Database!$F:$F,"Total")</f>
        <v>0</v>
      </c>
      <c r="AM157" s="137">
        <f>SUMIFS(Database!$G:$G,Database!$D:$D,"Export",Database!$E:$E,$B157,Database!$C:$C,AM$1,Database!$F:$F,"Total")</f>
        <v>0</v>
      </c>
      <c r="AN157" s="137">
        <f>SUMIFS(Database!$G:$G,Database!$D:$D,"Export",Database!$E:$E,$B157,Database!$C:$C,AN$1,Database!$F:$F,"Total")</f>
        <v>0</v>
      </c>
      <c r="AO157" s="137">
        <f>SUMIFS(Database!$G:$G,Database!$D:$D,"Export",Database!$E:$E,$B157,Database!$C:$C,AO$1,Database!$F:$F,"Total")</f>
        <v>0</v>
      </c>
      <c r="AP157" s="137">
        <f>SUMIFS(Database!$G:$G,Database!$D:$D,"Export",Database!$E:$E,$B157,Database!$C:$C,AP$1,Database!$F:$F,"Total")</f>
        <v>0</v>
      </c>
      <c r="AQ157" s="137">
        <f>SUMIFS(Database!$G:$G,Database!$D:$D,"Export",Database!$E:$E,$B157,Database!$C:$C,AQ$1,Database!$F:$F,"Total")</f>
        <v>0</v>
      </c>
      <c r="AR157" s="137">
        <f>SUMIFS(Database!$G:$G,Database!$D:$D,"Export",Database!$E:$E,$B157,Database!$C:$C,AR$1,Database!$F:$F,"Total")</f>
        <v>0</v>
      </c>
      <c r="AS157" s="137">
        <f>SUMIFS(Database!$G:$G,Database!$D:$D,"Export",Database!$E:$E,$B157,Database!$C:$C,AS$1,Database!$F:$F,"Total")</f>
        <v>0</v>
      </c>
      <c r="AT157" s="137">
        <f>SUMIFS(Database!$G:$G,Database!$D:$D,"Export",Database!$E:$E,$B157,Database!$C:$C,AT$1,Database!$F:$F,"Total")</f>
        <v>0</v>
      </c>
      <c r="AU157" s="137">
        <f>SUMIFS(Database!$G:$G,Database!$D:$D,"Export",Database!$E:$E,$B157,Database!$C:$C,AU$1,Database!$F:$F,"Total")</f>
        <v>0</v>
      </c>
      <c r="AV157" s="137">
        <f>SUMIFS(Database!$G:$G,Database!$D:$D,"Export",Database!$E:$E,$B157,Database!$C:$C,AV$1,Database!$F:$F,"Total")</f>
        <v>0</v>
      </c>
      <c r="AW157" s="137">
        <f>SUMIFS(Database!$G:$G,Database!$D:$D,"Export",Database!$E:$E,$B157,Database!$C:$C,AW$1,Database!$F:$F,"Total")</f>
        <v>0</v>
      </c>
      <c r="AX157" s="137">
        <f>SUMIFS(Database!$G:$G,Database!$D:$D,"Export",Database!$E:$E,$B157,Database!$C:$C,AX$1,Database!$F:$F,"Total")</f>
        <v>0</v>
      </c>
      <c r="AY157" s="137">
        <f>SUMIFS(Database!$G:$G,Database!$D:$D,"Export",Database!$E:$E,$B157,Database!$C:$C,AY$1,Database!$F:$F,"Total")</f>
        <v>0</v>
      </c>
      <c r="AZ157" s="137">
        <f>SUMIFS(Database!$G:$G,Database!$D:$D,"Export",Database!$E:$E,$B157,Database!$C:$C,AZ$1,Database!$F:$F,"Total")</f>
        <v>0</v>
      </c>
      <c r="BA157" s="137">
        <f>SUMIFS(Database!$G:$G,Database!$D:$D,"Export",Database!$E:$E,$B157,Database!$C:$C,BA$1,Database!$F:$F,"Total")</f>
        <v>0</v>
      </c>
      <c r="BB157" s="137">
        <f>SUMIFS(Database!$G:$G,Database!$D:$D,"Export",Database!$E:$E,$B157,Database!$C:$C,BB$1,Database!$F:$F,"Total")</f>
        <v>0</v>
      </c>
      <c r="BC157" s="137">
        <f>SUMIFS(Database!$G:$G,Database!$D:$D,"Export",Database!$E:$E,$B157,Database!$C:$C,BC$1,Database!$F:$F,"Total")</f>
        <v>0</v>
      </c>
      <c r="BD157" s="137">
        <f>SUMIFS(Database!$G:$G,Database!$D:$D,"Export",Database!$E:$E,$B157,Database!$C:$C,BD$1,Database!$F:$F,"Total")</f>
        <v>0</v>
      </c>
      <c r="BE157" s="137">
        <f>SUMIFS(Database!$G:$G,Database!$D:$D,"Export",Database!$E:$E,$B157,Database!$C:$C,BE$1,Database!$F:$F,"Total")</f>
        <v>0</v>
      </c>
      <c r="BF157" s="137">
        <f>SUMIFS(Database!$G:$G,Database!$D:$D,"Export",Database!$E:$E,$B157,Database!$C:$C,BF$1,Database!$F:$F,"Total")</f>
        <v>0</v>
      </c>
      <c r="BG157" s="137">
        <f>SUMIFS(Database!$G:$G,Database!$D:$D,"Export",Database!$E:$E,$B157,Database!$C:$C,BG$1,Database!$F:$F,"Total")</f>
        <v>0</v>
      </c>
      <c r="BH157" s="137">
        <f>SUMIFS(Database!$G:$G,Database!$D:$D,"Export",Database!$E:$E,$B157,Database!$C:$C,BH$1,Database!$F:$F,"Total")</f>
        <v>0</v>
      </c>
      <c r="BI157" s="137">
        <f>SUMIFS(Database!$G:$G,Database!$D:$D,"Export",Database!$E:$E,$B157,Database!$C:$C,BI$1,Database!$F:$F,"Total")</f>
        <v>0</v>
      </c>
      <c r="BJ157" s="137">
        <f>SUMIFS(Database!$G:$G,Database!$D:$D,"Export",Database!$E:$E,$B157,Database!$C:$C,BJ$1,Database!$F:$F,"Total")</f>
        <v>0</v>
      </c>
      <c r="BK157" s="137">
        <f>SUMIFS(Database!$G:$G,Database!$D:$D,"Export",Database!$E:$E,$B157,Database!$C:$C,BK$1,Database!$F:$F,"Total")</f>
        <v>0</v>
      </c>
      <c r="BL157" s="137">
        <f>SUMIFS(Database!$G:$G,Database!$D:$D,"Export",Database!$E:$E,$B157,Database!$C:$C,BL$1,Database!$F:$F,"Total")</f>
        <v>0</v>
      </c>
      <c r="BM157" s="137">
        <f>SUMIFS(Database!$G:$G,Database!$D:$D,"Export",Database!$E:$E,$B157,Database!$C:$C,BM$1,Database!$F:$F,"Total")</f>
        <v>0</v>
      </c>
      <c r="BN157" s="137">
        <f>SUMIFS(Database!$G:$G,Database!$D:$D,"Export",Database!$E:$E,$B157,Database!$C:$C,BN$1,Database!$F:$F,"Total")</f>
        <v>0</v>
      </c>
      <c r="BO157" s="137">
        <f>SUMIFS(Database!$G:$G,Database!$D:$D,"Export",Database!$E:$E,$B157,Database!$C:$C,BO$1,Database!$F:$F,"Total")</f>
        <v>0</v>
      </c>
      <c r="BP157" s="137">
        <f>SUMIFS(Database!$G:$G,Database!$D:$D,"Export",Database!$E:$E,$B157,Database!$C:$C,BP$1,Database!$F:$F,"Total")</f>
        <v>0</v>
      </c>
      <c r="BQ157" s="137">
        <f>SUMIFS(Database!$G:$G,Database!$D:$D,"Export",Database!$E:$E,$B157,Database!$C:$C,BQ$1,Database!$F:$F,"Total")</f>
        <v>0</v>
      </c>
      <c r="BR157" s="137">
        <f>SUMIFS(Database!$G:$G,Database!$D:$D,"Export",Database!$E:$E,$B157,Database!$C:$C,BR$1,Database!$F:$F,"Total")</f>
        <v>0</v>
      </c>
      <c r="BS157" s="137">
        <f>SUMIFS(Database!$G:$G,Database!$D:$D,"Export",Database!$E:$E,$B157,Database!$C:$C,BS$1,Database!$F:$F,"Total")</f>
        <v>0</v>
      </c>
      <c r="BT157" s="137">
        <f>SUMIFS(Database!$G:$G,Database!$D:$D,"Export",Database!$E:$E,$B157,Database!$C:$C,BT$1,Database!$F:$F,"Total")</f>
        <v>0</v>
      </c>
      <c r="BU157" s="137">
        <f>SUMIFS(Database!$G:$G,Database!$D:$D,"Export",Database!$E:$E,$B157,Database!$C:$C,BU$1,Database!$F:$F,"Total")</f>
        <v>0</v>
      </c>
      <c r="BV157" s="137">
        <f>SUMIFS(Database!$G:$G,Database!$D:$D,"Export",Database!$E:$E,$B157,Database!$C:$C,BV$1,Database!$F:$F,"Total")</f>
        <v>0</v>
      </c>
      <c r="BW157" s="137">
        <f>SUMIFS(Database!$G:$G,Database!$D:$D,"Export",Database!$E:$E,$B157,Database!$C:$C,BW$1,Database!$F:$F,"Total")</f>
        <v>0</v>
      </c>
      <c r="BX157" s="137">
        <f>SUMIFS(Database!$G:$G,Database!$D:$D,"Export",Database!$E:$E,$B157,Database!$C:$C,BX$1,Database!$F:$F,"Total")</f>
        <v>0</v>
      </c>
      <c r="BY157" s="137">
        <f>SUMIFS(Database!$G:$G,Database!$D:$D,"Export",Database!$E:$E,$B157,Database!$C:$C,BY$1,Database!$F:$F,"Total")</f>
        <v>0</v>
      </c>
      <c r="BZ157" s="137">
        <f>SUMIFS(Database!$G:$G,Database!$D:$D,"Export",Database!$E:$E,$B157,Database!$C:$C,BZ$1,Database!$F:$F,"Total")</f>
        <v>0</v>
      </c>
      <c r="CA157" s="137">
        <f>SUMIFS(Database!$G:$G,Database!$D:$D,"Export",Database!$E:$E,$B157,Database!$C:$C,CA$1,Database!$F:$F,"Total")</f>
        <v>0</v>
      </c>
      <c r="CB157" s="137">
        <f>SUMIFS(Database!$G:$G,Database!$D:$D,"Export",Database!$E:$E,$B157,Database!$C:$C,CB$1,Database!$F:$F,"Total")</f>
        <v>0</v>
      </c>
      <c r="CC157" s="137">
        <f>SUMIFS(Database!$G:$G,Database!$D:$D,"Export",Database!$E:$E,$B157,Database!$C:$C,CC$1,Database!$F:$F,"Total")</f>
        <v>0</v>
      </c>
      <c r="CD157" s="137">
        <f>SUMIFS(Database!$G:$G,Database!$D:$D,"Export",Database!$E:$E,$B157,Database!$C:$C,CD$1,Database!$F:$F,"Total")</f>
        <v>0</v>
      </c>
      <c r="CE157" s="137">
        <f>SUMIFS(Database!$G:$G,Database!$D:$D,"Export",Database!$E:$E,$B157,Database!$C:$C,CE$1,Database!$F:$F,"Total")</f>
        <v>0</v>
      </c>
      <c r="CF157" s="137">
        <f>SUMIFS(Database!$G:$G,Database!$D:$D,"Export",Database!$E:$E,$B157,Database!$C:$C,CF$1,Database!$F:$F,"Total")</f>
        <v>0</v>
      </c>
      <c r="CG157" s="137">
        <f>SUMIFS(Database!$G:$G,Database!$D:$D,"Export",Database!$E:$E,$B157,Database!$C:$C,CG$1,Database!$F:$F,"Total")</f>
        <v>0</v>
      </c>
      <c r="CH157" s="137">
        <f>SUMIFS(Database!$G:$G,Database!$D:$D,"Export",Database!$E:$E,$B157,Database!$C:$C,CH$1,Database!$F:$F,"Total")</f>
        <v>0</v>
      </c>
      <c r="CI157" s="137">
        <f>SUMIFS(Database!$G:$G,Database!$D:$D,"Export",Database!$E:$E,$B157,Database!$C:$C,CI$1,Database!$F:$F,"Total")</f>
        <v>0</v>
      </c>
      <c r="CJ157" s="137">
        <f>SUMIFS(Database!$G:$G,Database!$D:$D,"Export",Database!$E:$E,$B157,Database!$C:$C,CJ$1,Database!$F:$F,"Total")</f>
        <v>0</v>
      </c>
      <c r="CK157" s="137">
        <f>SUMIFS(Database!$G:$G,Database!$D:$D,"Export",Database!$E:$E,$B157,Database!$C:$C,CK$1,Database!$F:$F,"Total")</f>
        <v>0</v>
      </c>
      <c r="CL157" s="137">
        <f>SUMIFS(Database!$G:$G,Database!$D:$D,"Export",Database!$E:$E,$B157,Database!$C:$C,CL$1,Database!$F:$F,"Total")</f>
        <v>0</v>
      </c>
      <c r="CM157" s="137">
        <f>SUMIFS(Database!$G:$G,Database!$D:$D,"Export",Database!$E:$E,$B157,Database!$C:$C,CM$1,Database!$F:$F,"Total")</f>
        <v>0</v>
      </c>
      <c r="CN157" s="137">
        <f>SUMIFS(Database!$G:$G,Database!$D:$D,"Export",Database!$E:$E,$B157,Database!$C:$C,CN$1,Database!$F:$F,"Total")</f>
        <v>0</v>
      </c>
      <c r="CO157" s="137">
        <f>SUMIFS(Database!$G:$G,Database!$D:$D,"Export",Database!$E:$E,$B157,Database!$C:$C,CO$1,Database!$F:$F,"Total")</f>
        <v>0</v>
      </c>
      <c r="CP157" s="137">
        <f>SUMIFS(Database!$G:$G,Database!$D:$D,"Export",Database!$E:$E,$B157,Database!$C:$C,CP$1,Database!$F:$F,"Total")</f>
        <v>0</v>
      </c>
      <c r="CQ157" s="137">
        <f>SUMIFS(Database!$G:$G,Database!$D:$D,"Export",Database!$E:$E,$B157,Database!$C:$C,CQ$1,Database!$F:$F,"Total")</f>
        <v>0</v>
      </c>
      <c r="CR157" s="137">
        <f>SUMIFS(Database!$G:$G,Database!$D:$D,"Export",Database!$E:$E,$B157,Database!$C:$C,CR$1,Database!$F:$F,"Total")</f>
        <v>0</v>
      </c>
      <c r="CS157" s="137">
        <f>SUMIFS(Database!$G:$G,Database!$D:$D,"Export",Database!$E:$E,$B157,Database!$C:$C,CS$1,Database!$F:$F,"Total")</f>
        <v>0</v>
      </c>
      <c r="CT157" s="137">
        <f>SUMIFS(Database!$G:$G,Database!$D:$D,"Export",Database!$E:$E,$B157,Database!$C:$C,CT$1,Database!$F:$F,"Total")</f>
        <v>0</v>
      </c>
      <c r="CU157" s="137">
        <f>SUMIFS(Database!$G:$G,Database!$D:$D,"Export",Database!$E:$E,$B157,Database!$C:$C,CU$1,Database!$F:$F,"Total")</f>
        <v>0</v>
      </c>
    </row>
    <row r="158" spans="1:99" x14ac:dyDescent="0.25">
      <c r="A158" s="132" t="s">
        <v>485</v>
      </c>
      <c r="B158" s="133" t="s">
        <v>152</v>
      </c>
      <c r="C158" s="137">
        <f>SUMIFS(Database!$G:$G,Database!$D:$D,"Export",Database!$E:$E,$B158,Database!$C:$C,C$1,Database!$F:$F,"Total")</f>
        <v>0</v>
      </c>
      <c r="D158" s="137">
        <f>SUMIFS(Database!$G:$G,Database!$D:$D,"Export",Database!$E:$E,$B158,Database!$C:$C,D$1,Database!$F:$F,"Total")</f>
        <v>0</v>
      </c>
      <c r="E158" s="137">
        <f>SUMIFS(Database!$G:$G,Database!$D:$D,"Export",Database!$E:$E,$B158,Database!$C:$C,E$1,Database!$F:$F,"Total")</f>
        <v>0</v>
      </c>
      <c r="F158" s="137">
        <f>SUMIFS(Database!$G:$G,Database!$D:$D,"Export",Database!$E:$E,$B158,Database!$C:$C,F$1,Database!$F:$F,"Total")</f>
        <v>0</v>
      </c>
      <c r="G158" s="137">
        <f>SUMIFS(Database!$G:$G,Database!$D:$D,"Export",Database!$E:$E,$B158,Database!$C:$C,G$1,Database!$F:$F,"Total")</f>
        <v>0</v>
      </c>
      <c r="H158" s="137">
        <f>SUMIFS(Database!$G:$G,Database!$D:$D,"Export",Database!$E:$E,$B158,Database!$C:$C,H$1,Database!$F:$F,"Total")</f>
        <v>0</v>
      </c>
      <c r="I158" s="137">
        <f>SUMIFS(Database!$G:$G,Database!$D:$D,"Export",Database!$E:$E,$B158,Database!$C:$C,I$1,Database!$F:$F,"Total")</f>
        <v>0</v>
      </c>
      <c r="J158" s="137">
        <f>SUMIFS(Database!$G:$G,Database!$D:$D,"Export",Database!$E:$E,$B158,Database!$C:$C,J$1,Database!$F:$F,"Total")</f>
        <v>0</v>
      </c>
      <c r="K158" s="137">
        <f>SUMIFS(Database!$G:$G,Database!$D:$D,"Export",Database!$E:$E,$B158,Database!$C:$C,K$1,Database!$F:$F,"Total")</f>
        <v>0</v>
      </c>
      <c r="L158" s="137">
        <f>SUMIFS(Database!$G:$G,Database!$D:$D,"Export",Database!$E:$E,$B158,Database!$C:$C,L$1,Database!$F:$F,"Total")</f>
        <v>0</v>
      </c>
      <c r="M158" s="137">
        <f>SUMIFS(Database!$G:$G,Database!$D:$D,"Export",Database!$E:$E,$B158,Database!$C:$C,M$1,Database!$F:$F,"Total")</f>
        <v>0</v>
      </c>
      <c r="N158" s="137">
        <f>SUMIFS(Database!$G:$G,Database!$D:$D,"Export",Database!$E:$E,$B158,Database!$C:$C,N$1,Database!$F:$F,"Total")</f>
        <v>0</v>
      </c>
      <c r="O158" s="137">
        <f>SUMIFS(Database!$G:$G,Database!$D:$D,"Export",Database!$E:$E,$B158,Database!$C:$C,O$1,Database!$F:$F,"Total")</f>
        <v>0</v>
      </c>
      <c r="P158" s="137">
        <f>SUMIFS(Database!$G:$G,Database!$D:$D,"Export",Database!$E:$E,$B158,Database!$C:$C,P$1,Database!$F:$F,"Total")</f>
        <v>0</v>
      </c>
      <c r="Q158" s="137">
        <f>SUMIFS(Database!$G:$G,Database!$D:$D,"Export",Database!$E:$E,$B158,Database!$C:$C,Q$1,Database!$F:$F,"Total")</f>
        <v>0</v>
      </c>
      <c r="R158" s="137">
        <f>SUMIFS(Database!$G:$G,Database!$D:$D,"Export",Database!$E:$E,$B158,Database!$C:$C,R$1,Database!$F:$F,"Total")</f>
        <v>0</v>
      </c>
      <c r="S158" s="137">
        <f>SUMIFS(Database!$G:$G,Database!$D:$D,"Export",Database!$E:$E,$B158,Database!$C:$C,S$1,Database!$F:$F,"Total")</f>
        <v>0</v>
      </c>
      <c r="T158" s="137">
        <f>SUMIFS(Database!$G:$G,Database!$D:$D,"Export",Database!$E:$E,$B158,Database!$C:$C,T$1,Database!$F:$F,"Total")</f>
        <v>0</v>
      </c>
      <c r="U158" s="137">
        <f>SUMIFS(Database!$G:$G,Database!$D:$D,"Export",Database!$E:$E,$B158,Database!$C:$C,U$1,Database!$F:$F,"Total")</f>
        <v>0</v>
      </c>
      <c r="V158" s="137">
        <f>SUMIFS(Database!$G:$G,Database!$D:$D,"Export",Database!$E:$E,$B158,Database!$C:$C,V$1,Database!$F:$F,"Total")</f>
        <v>0</v>
      </c>
      <c r="W158" s="137">
        <f>SUMIFS(Database!$G:$G,Database!$D:$D,"Export",Database!$E:$E,$B158,Database!$C:$C,W$1,Database!$F:$F,"Total")</f>
        <v>0</v>
      </c>
      <c r="X158" s="137">
        <f>SUMIFS(Database!$G:$G,Database!$D:$D,"Export",Database!$E:$E,$B158,Database!$C:$C,X$1,Database!$F:$F,"Total")</f>
        <v>0</v>
      </c>
      <c r="Y158" s="137">
        <f>SUMIFS(Database!$G:$G,Database!$D:$D,"Export",Database!$E:$E,$B158,Database!$C:$C,Y$1,Database!$F:$F,"Total")</f>
        <v>0</v>
      </c>
      <c r="Z158" s="137">
        <f>SUMIFS(Database!$G:$G,Database!$D:$D,"Export",Database!$E:$E,$B158,Database!$C:$C,Z$1,Database!$F:$F,"Total")</f>
        <v>0</v>
      </c>
      <c r="AA158" s="137">
        <f>SUMIFS(Database!$G:$G,Database!$D:$D,"Export",Database!$E:$E,$B158,Database!$C:$C,AA$1,Database!$F:$F,"Total")</f>
        <v>0</v>
      </c>
      <c r="AB158" s="137">
        <f>SUMIFS(Database!$G:$G,Database!$D:$D,"Export",Database!$E:$E,$B158,Database!$C:$C,AB$1,Database!$F:$F,"Total")</f>
        <v>0</v>
      </c>
      <c r="AC158" s="137">
        <f>SUMIFS(Database!$G:$G,Database!$D:$D,"Export",Database!$E:$E,$B158,Database!$C:$C,AC$1,Database!$F:$F,"Total")</f>
        <v>0</v>
      </c>
      <c r="AD158" s="137">
        <f>SUMIFS(Database!$G:$G,Database!$D:$D,"Export",Database!$E:$E,$B158,Database!$C:$C,AD$1,Database!$F:$F,"Total")</f>
        <v>0</v>
      </c>
      <c r="AE158" s="137">
        <f>SUMIFS(Database!$G:$G,Database!$D:$D,"Export",Database!$E:$E,$B158,Database!$C:$C,AE$1,Database!$F:$F,"Total")</f>
        <v>0</v>
      </c>
      <c r="AF158" s="137">
        <f>SUMIFS(Database!$G:$G,Database!$D:$D,"Export",Database!$E:$E,$B158,Database!$C:$C,AF$1,Database!$F:$F,"Total")</f>
        <v>0</v>
      </c>
      <c r="AG158" s="137">
        <f>SUMIFS(Database!$G:$G,Database!$D:$D,"Export",Database!$E:$E,$B158,Database!$C:$C,AG$1,Database!$F:$F,"Total")</f>
        <v>0</v>
      </c>
      <c r="AH158" s="137">
        <f>SUMIFS(Database!$G:$G,Database!$D:$D,"Export",Database!$E:$E,$B158,Database!$C:$C,AH$1,Database!$F:$F,"Total")</f>
        <v>0</v>
      </c>
      <c r="AI158" s="137">
        <f>SUMIFS(Database!$G:$G,Database!$D:$D,"Export",Database!$E:$E,$B158,Database!$C:$C,AI$1,Database!$F:$F,"Total")</f>
        <v>0</v>
      </c>
      <c r="AJ158" s="137">
        <f>SUMIFS(Database!$G:$G,Database!$D:$D,"Export",Database!$E:$E,$B158,Database!$C:$C,AJ$1,Database!$F:$F,"Total")</f>
        <v>30</v>
      </c>
      <c r="AK158" s="137">
        <f>SUMIFS(Database!$G:$G,Database!$D:$D,"Export",Database!$E:$E,$B158,Database!$C:$C,AK$1,Database!$F:$F,"Total")</f>
        <v>0</v>
      </c>
      <c r="AL158" s="137">
        <f>SUMIFS(Database!$G:$G,Database!$D:$D,"Export",Database!$E:$E,$B158,Database!$C:$C,AL$1,Database!$F:$F,"Total")</f>
        <v>0</v>
      </c>
      <c r="AM158" s="137">
        <f>SUMIFS(Database!$G:$G,Database!$D:$D,"Export",Database!$E:$E,$B158,Database!$C:$C,AM$1,Database!$F:$F,"Total")</f>
        <v>0</v>
      </c>
      <c r="AN158" s="137">
        <f>SUMIFS(Database!$G:$G,Database!$D:$D,"Export",Database!$E:$E,$B158,Database!$C:$C,AN$1,Database!$F:$F,"Total")</f>
        <v>0</v>
      </c>
      <c r="AO158" s="137">
        <f>SUMIFS(Database!$G:$G,Database!$D:$D,"Export",Database!$E:$E,$B158,Database!$C:$C,AO$1,Database!$F:$F,"Total")</f>
        <v>0</v>
      </c>
      <c r="AP158" s="137">
        <f>SUMIFS(Database!$G:$G,Database!$D:$D,"Export",Database!$E:$E,$B158,Database!$C:$C,AP$1,Database!$F:$F,"Total")</f>
        <v>0</v>
      </c>
      <c r="AQ158" s="137">
        <f>SUMIFS(Database!$G:$G,Database!$D:$D,"Export",Database!$E:$E,$B158,Database!$C:$C,AQ$1,Database!$F:$F,"Total")</f>
        <v>0</v>
      </c>
      <c r="AR158" s="137">
        <f>SUMIFS(Database!$G:$G,Database!$D:$D,"Export",Database!$E:$E,$B158,Database!$C:$C,AR$1,Database!$F:$F,"Total")</f>
        <v>0</v>
      </c>
      <c r="AS158" s="137">
        <f>SUMIFS(Database!$G:$G,Database!$D:$D,"Export",Database!$E:$E,$B158,Database!$C:$C,AS$1,Database!$F:$F,"Total")</f>
        <v>0</v>
      </c>
      <c r="AT158" s="137">
        <f>SUMIFS(Database!$G:$G,Database!$D:$D,"Export",Database!$E:$E,$B158,Database!$C:$C,AT$1,Database!$F:$F,"Total")</f>
        <v>0</v>
      </c>
      <c r="AU158" s="137">
        <f>SUMIFS(Database!$G:$G,Database!$D:$D,"Export",Database!$E:$E,$B158,Database!$C:$C,AU$1,Database!$F:$F,"Total")</f>
        <v>0</v>
      </c>
      <c r="AV158" s="137">
        <f>SUMIFS(Database!$G:$G,Database!$D:$D,"Export",Database!$E:$E,$B158,Database!$C:$C,AV$1,Database!$F:$F,"Total")</f>
        <v>0</v>
      </c>
      <c r="AW158" s="137">
        <f>SUMIFS(Database!$G:$G,Database!$D:$D,"Export",Database!$E:$E,$B158,Database!$C:$C,AW$1,Database!$F:$F,"Total")</f>
        <v>0</v>
      </c>
      <c r="AX158" s="137">
        <f>SUMIFS(Database!$G:$G,Database!$D:$D,"Export",Database!$E:$E,$B158,Database!$C:$C,AX$1,Database!$F:$F,"Total")</f>
        <v>0</v>
      </c>
      <c r="AY158" s="137">
        <f>SUMIFS(Database!$G:$G,Database!$D:$D,"Export",Database!$E:$E,$B158,Database!$C:$C,AY$1,Database!$F:$F,"Total")</f>
        <v>0</v>
      </c>
      <c r="AZ158" s="137">
        <f>SUMIFS(Database!$G:$G,Database!$D:$D,"Export",Database!$E:$E,$B158,Database!$C:$C,AZ$1,Database!$F:$F,"Total")</f>
        <v>0</v>
      </c>
      <c r="BA158" s="137">
        <f>SUMIFS(Database!$G:$G,Database!$D:$D,"Export",Database!$E:$E,$B158,Database!$C:$C,BA$1,Database!$F:$F,"Total")</f>
        <v>0</v>
      </c>
      <c r="BB158" s="137">
        <f>SUMIFS(Database!$G:$G,Database!$D:$D,"Export",Database!$E:$E,$B158,Database!$C:$C,BB$1,Database!$F:$F,"Total")</f>
        <v>0</v>
      </c>
      <c r="BC158" s="137">
        <f>SUMIFS(Database!$G:$G,Database!$D:$D,"Export",Database!$E:$E,$B158,Database!$C:$C,BC$1,Database!$F:$F,"Total")</f>
        <v>0</v>
      </c>
      <c r="BD158" s="137">
        <f>SUMIFS(Database!$G:$G,Database!$D:$D,"Export",Database!$E:$E,$B158,Database!$C:$C,BD$1,Database!$F:$F,"Total")</f>
        <v>0</v>
      </c>
      <c r="BE158" s="137">
        <f>SUMIFS(Database!$G:$G,Database!$D:$D,"Export",Database!$E:$E,$B158,Database!$C:$C,BE$1,Database!$F:$F,"Total")</f>
        <v>0</v>
      </c>
      <c r="BF158" s="137">
        <f>SUMIFS(Database!$G:$G,Database!$D:$D,"Export",Database!$E:$E,$B158,Database!$C:$C,BF$1,Database!$F:$F,"Total")</f>
        <v>0</v>
      </c>
      <c r="BG158" s="137">
        <f>SUMIFS(Database!$G:$G,Database!$D:$D,"Export",Database!$E:$E,$B158,Database!$C:$C,BG$1,Database!$F:$F,"Total")</f>
        <v>0</v>
      </c>
      <c r="BH158" s="137">
        <f>SUMIFS(Database!$G:$G,Database!$D:$D,"Export",Database!$E:$E,$B158,Database!$C:$C,BH$1,Database!$F:$F,"Total")</f>
        <v>0</v>
      </c>
      <c r="BI158" s="137">
        <f>SUMIFS(Database!$G:$G,Database!$D:$D,"Export",Database!$E:$E,$B158,Database!$C:$C,BI$1,Database!$F:$F,"Total")</f>
        <v>0</v>
      </c>
      <c r="BJ158" s="137">
        <f>SUMIFS(Database!$G:$G,Database!$D:$D,"Export",Database!$E:$E,$B158,Database!$C:$C,BJ$1,Database!$F:$F,"Total")</f>
        <v>0</v>
      </c>
      <c r="BK158" s="137">
        <f>SUMIFS(Database!$G:$G,Database!$D:$D,"Export",Database!$E:$E,$B158,Database!$C:$C,BK$1,Database!$F:$F,"Total")</f>
        <v>0</v>
      </c>
      <c r="BL158" s="137">
        <f>SUMIFS(Database!$G:$G,Database!$D:$D,"Export",Database!$E:$E,$B158,Database!$C:$C,BL$1,Database!$F:$F,"Total")</f>
        <v>0</v>
      </c>
      <c r="BM158" s="137">
        <f>SUMIFS(Database!$G:$G,Database!$D:$D,"Export",Database!$E:$E,$B158,Database!$C:$C,BM$1,Database!$F:$F,"Total")</f>
        <v>0</v>
      </c>
      <c r="BN158" s="137">
        <f>SUMIFS(Database!$G:$G,Database!$D:$D,"Export",Database!$E:$E,$B158,Database!$C:$C,BN$1,Database!$F:$F,"Total")</f>
        <v>0</v>
      </c>
      <c r="BO158" s="137">
        <f>SUMIFS(Database!$G:$G,Database!$D:$D,"Export",Database!$E:$E,$B158,Database!$C:$C,BO$1,Database!$F:$F,"Total")</f>
        <v>0</v>
      </c>
      <c r="BP158" s="137">
        <f>SUMIFS(Database!$G:$G,Database!$D:$D,"Export",Database!$E:$E,$B158,Database!$C:$C,BP$1,Database!$F:$F,"Total")</f>
        <v>0</v>
      </c>
      <c r="BQ158" s="137">
        <f>SUMIFS(Database!$G:$G,Database!$D:$D,"Export",Database!$E:$E,$B158,Database!$C:$C,BQ$1,Database!$F:$F,"Total")</f>
        <v>0</v>
      </c>
      <c r="BR158" s="137">
        <f>SUMIFS(Database!$G:$G,Database!$D:$D,"Export",Database!$E:$E,$B158,Database!$C:$C,BR$1,Database!$F:$F,"Total")</f>
        <v>0</v>
      </c>
      <c r="BS158" s="137">
        <f>SUMIFS(Database!$G:$G,Database!$D:$D,"Export",Database!$E:$E,$B158,Database!$C:$C,BS$1,Database!$F:$F,"Total")</f>
        <v>0</v>
      </c>
      <c r="BT158" s="137">
        <f>SUMIFS(Database!$G:$G,Database!$D:$D,"Export",Database!$E:$E,$B158,Database!$C:$C,BT$1,Database!$F:$F,"Total")</f>
        <v>0</v>
      </c>
      <c r="BU158" s="137">
        <f>SUMIFS(Database!$G:$G,Database!$D:$D,"Export",Database!$E:$E,$B158,Database!$C:$C,BU$1,Database!$F:$F,"Total")</f>
        <v>0</v>
      </c>
      <c r="BV158" s="137">
        <f>SUMIFS(Database!$G:$G,Database!$D:$D,"Export",Database!$E:$E,$B158,Database!$C:$C,BV$1,Database!$F:$F,"Total")</f>
        <v>0</v>
      </c>
      <c r="BW158" s="137">
        <f>SUMIFS(Database!$G:$G,Database!$D:$D,"Export",Database!$E:$E,$B158,Database!$C:$C,BW$1,Database!$F:$F,"Total")</f>
        <v>0</v>
      </c>
      <c r="BX158" s="137">
        <f>SUMIFS(Database!$G:$G,Database!$D:$D,"Export",Database!$E:$E,$B158,Database!$C:$C,BX$1,Database!$F:$F,"Total")</f>
        <v>0</v>
      </c>
      <c r="BY158" s="137">
        <f>SUMIFS(Database!$G:$G,Database!$D:$D,"Export",Database!$E:$E,$B158,Database!$C:$C,BY$1,Database!$F:$F,"Total")</f>
        <v>0</v>
      </c>
      <c r="BZ158" s="137">
        <f>SUMIFS(Database!$G:$G,Database!$D:$D,"Export",Database!$E:$E,$B158,Database!$C:$C,BZ$1,Database!$F:$F,"Total")</f>
        <v>0</v>
      </c>
      <c r="CA158" s="137">
        <f>SUMIFS(Database!$G:$G,Database!$D:$D,"Export",Database!$E:$E,$B158,Database!$C:$C,CA$1,Database!$F:$F,"Total")</f>
        <v>0</v>
      </c>
      <c r="CB158" s="137">
        <f>SUMIFS(Database!$G:$G,Database!$D:$D,"Export",Database!$E:$E,$B158,Database!$C:$C,CB$1,Database!$F:$F,"Total")</f>
        <v>0</v>
      </c>
      <c r="CC158" s="137">
        <f>SUMIFS(Database!$G:$G,Database!$D:$D,"Export",Database!$E:$E,$B158,Database!$C:$C,CC$1,Database!$F:$F,"Total")</f>
        <v>0</v>
      </c>
      <c r="CD158" s="137">
        <f>SUMIFS(Database!$G:$G,Database!$D:$D,"Export",Database!$E:$E,$B158,Database!$C:$C,CD$1,Database!$F:$F,"Total")</f>
        <v>0</v>
      </c>
      <c r="CE158" s="137">
        <f>SUMIFS(Database!$G:$G,Database!$D:$D,"Export",Database!$E:$E,$B158,Database!$C:$C,CE$1,Database!$F:$F,"Total")</f>
        <v>0</v>
      </c>
      <c r="CF158" s="137">
        <f>SUMIFS(Database!$G:$G,Database!$D:$D,"Export",Database!$E:$E,$B158,Database!$C:$C,CF$1,Database!$F:$F,"Total")</f>
        <v>0</v>
      </c>
      <c r="CG158" s="137">
        <f>SUMIFS(Database!$G:$G,Database!$D:$D,"Export",Database!$E:$E,$B158,Database!$C:$C,CG$1,Database!$F:$F,"Total")</f>
        <v>0</v>
      </c>
      <c r="CH158" s="137">
        <f>SUMIFS(Database!$G:$G,Database!$D:$D,"Export",Database!$E:$E,$B158,Database!$C:$C,CH$1,Database!$F:$F,"Total")</f>
        <v>0</v>
      </c>
      <c r="CI158" s="137">
        <f>SUMIFS(Database!$G:$G,Database!$D:$D,"Export",Database!$E:$E,$B158,Database!$C:$C,CI$1,Database!$F:$F,"Total")</f>
        <v>0</v>
      </c>
      <c r="CJ158" s="137">
        <f>SUMIFS(Database!$G:$G,Database!$D:$D,"Export",Database!$E:$E,$B158,Database!$C:$C,CJ$1,Database!$F:$F,"Total")</f>
        <v>0</v>
      </c>
      <c r="CK158" s="137">
        <f>SUMIFS(Database!$G:$G,Database!$D:$D,"Export",Database!$E:$E,$B158,Database!$C:$C,CK$1,Database!$F:$F,"Total")</f>
        <v>0</v>
      </c>
      <c r="CL158" s="137">
        <f>SUMIFS(Database!$G:$G,Database!$D:$D,"Export",Database!$E:$E,$B158,Database!$C:$C,CL$1,Database!$F:$F,"Total")</f>
        <v>0</v>
      </c>
      <c r="CM158" s="137">
        <f>SUMIFS(Database!$G:$G,Database!$D:$D,"Export",Database!$E:$E,$B158,Database!$C:$C,CM$1,Database!$F:$F,"Total")</f>
        <v>0</v>
      </c>
      <c r="CN158" s="137">
        <f>SUMIFS(Database!$G:$G,Database!$D:$D,"Export",Database!$E:$E,$B158,Database!$C:$C,CN$1,Database!$F:$F,"Total")</f>
        <v>0</v>
      </c>
      <c r="CO158" s="137">
        <f>SUMIFS(Database!$G:$G,Database!$D:$D,"Export",Database!$E:$E,$B158,Database!$C:$C,CO$1,Database!$F:$F,"Total")</f>
        <v>0</v>
      </c>
      <c r="CP158" s="137">
        <f>SUMIFS(Database!$G:$G,Database!$D:$D,"Export",Database!$E:$E,$B158,Database!$C:$C,CP$1,Database!$F:$F,"Total")</f>
        <v>0</v>
      </c>
      <c r="CQ158" s="137">
        <f>SUMIFS(Database!$G:$G,Database!$D:$D,"Export",Database!$E:$E,$B158,Database!$C:$C,CQ$1,Database!$F:$F,"Total")</f>
        <v>0</v>
      </c>
      <c r="CR158" s="137">
        <f>SUMIFS(Database!$G:$G,Database!$D:$D,"Export",Database!$E:$E,$B158,Database!$C:$C,CR$1,Database!$F:$F,"Total")</f>
        <v>0</v>
      </c>
      <c r="CS158" s="137">
        <f>SUMIFS(Database!$G:$G,Database!$D:$D,"Export",Database!$E:$E,$B158,Database!$C:$C,CS$1,Database!$F:$F,"Total")</f>
        <v>0</v>
      </c>
      <c r="CT158" s="137">
        <f>SUMIFS(Database!$G:$G,Database!$D:$D,"Export",Database!$E:$E,$B158,Database!$C:$C,CT$1,Database!$F:$F,"Total")</f>
        <v>0</v>
      </c>
      <c r="CU158" s="137">
        <f>SUMIFS(Database!$G:$G,Database!$D:$D,"Export",Database!$E:$E,$B158,Database!$C:$C,CU$1,Database!$F:$F,"Total")</f>
        <v>0</v>
      </c>
    </row>
    <row r="159" spans="1:99" x14ac:dyDescent="0.25">
      <c r="A159" s="132" t="s">
        <v>485</v>
      </c>
      <c r="B159" s="133" t="s">
        <v>101</v>
      </c>
      <c r="C159" s="137">
        <f>SUMIFS(Database!$G:$G,Database!$D:$D,"Export",Database!$E:$E,$B159,Database!$C:$C,C$1,Database!$F:$F,"Total")</f>
        <v>0</v>
      </c>
      <c r="D159" s="137">
        <f>SUMIFS(Database!$G:$G,Database!$D:$D,"Export",Database!$E:$E,$B159,Database!$C:$C,D$1,Database!$F:$F,"Total")</f>
        <v>0</v>
      </c>
      <c r="E159" s="137">
        <f>SUMIFS(Database!$G:$G,Database!$D:$D,"Export",Database!$E:$E,$B159,Database!$C:$C,E$1,Database!$F:$F,"Total")</f>
        <v>0</v>
      </c>
      <c r="F159" s="137">
        <f>SUMIFS(Database!$G:$G,Database!$D:$D,"Export",Database!$E:$E,$B159,Database!$C:$C,F$1,Database!$F:$F,"Total")</f>
        <v>0</v>
      </c>
      <c r="G159" s="137">
        <f>SUMIFS(Database!$G:$G,Database!$D:$D,"Export",Database!$E:$E,$B159,Database!$C:$C,G$1,Database!$F:$F,"Total")</f>
        <v>0</v>
      </c>
      <c r="H159" s="137">
        <f>SUMIFS(Database!$G:$G,Database!$D:$D,"Export",Database!$E:$E,$B159,Database!$C:$C,H$1,Database!$F:$F,"Total")</f>
        <v>0</v>
      </c>
      <c r="I159" s="137">
        <f>SUMIFS(Database!$G:$G,Database!$D:$D,"Export",Database!$E:$E,$B159,Database!$C:$C,I$1,Database!$F:$F,"Total")</f>
        <v>0</v>
      </c>
      <c r="J159" s="137">
        <f>SUMIFS(Database!$G:$G,Database!$D:$D,"Export",Database!$E:$E,$B159,Database!$C:$C,J$1,Database!$F:$F,"Total")</f>
        <v>0</v>
      </c>
      <c r="K159" s="137">
        <f>SUMIFS(Database!$G:$G,Database!$D:$D,"Export",Database!$E:$E,$B159,Database!$C:$C,K$1,Database!$F:$F,"Total")</f>
        <v>0</v>
      </c>
      <c r="L159" s="137">
        <f>SUMIFS(Database!$G:$G,Database!$D:$D,"Export",Database!$E:$E,$B159,Database!$C:$C,L$1,Database!$F:$F,"Total")</f>
        <v>0</v>
      </c>
      <c r="M159" s="137">
        <f>SUMIFS(Database!$G:$G,Database!$D:$D,"Export",Database!$E:$E,$B159,Database!$C:$C,M$1,Database!$F:$F,"Total")</f>
        <v>0</v>
      </c>
      <c r="N159" s="137">
        <f>SUMIFS(Database!$G:$G,Database!$D:$D,"Export",Database!$E:$E,$B159,Database!$C:$C,N$1,Database!$F:$F,"Total")</f>
        <v>0</v>
      </c>
      <c r="O159" s="137">
        <f>SUMIFS(Database!$G:$G,Database!$D:$D,"Export",Database!$E:$E,$B159,Database!$C:$C,O$1,Database!$F:$F,"Total")</f>
        <v>0</v>
      </c>
      <c r="P159" s="137">
        <f>SUMIFS(Database!$G:$G,Database!$D:$D,"Export",Database!$E:$E,$B159,Database!$C:$C,P$1,Database!$F:$F,"Total")</f>
        <v>0</v>
      </c>
      <c r="Q159" s="137">
        <f>SUMIFS(Database!$G:$G,Database!$D:$D,"Export",Database!$E:$E,$B159,Database!$C:$C,Q$1,Database!$F:$F,"Total")</f>
        <v>0</v>
      </c>
      <c r="R159" s="137">
        <f>SUMIFS(Database!$G:$G,Database!$D:$D,"Export",Database!$E:$E,$B159,Database!$C:$C,R$1,Database!$F:$F,"Total")</f>
        <v>0</v>
      </c>
      <c r="S159" s="137">
        <f>SUMIFS(Database!$G:$G,Database!$D:$D,"Export",Database!$E:$E,$B159,Database!$C:$C,S$1,Database!$F:$F,"Total")</f>
        <v>0</v>
      </c>
      <c r="T159" s="137">
        <f>SUMIFS(Database!$G:$G,Database!$D:$D,"Export",Database!$E:$E,$B159,Database!$C:$C,T$1,Database!$F:$F,"Total")</f>
        <v>0</v>
      </c>
      <c r="U159" s="137">
        <f>SUMIFS(Database!$G:$G,Database!$D:$D,"Export",Database!$E:$E,$B159,Database!$C:$C,U$1,Database!$F:$F,"Total")</f>
        <v>0</v>
      </c>
      <c r="V159" s="137">
        <f>SUMIFS(Database!$G:$G,Database!$D:$D,"Export",Database!$E:$E,$B159,Database!$C:$C,V$1,Database!$F:$F,"Total")</f>
        <v>0</v>
      </c>
      <c r="W159" s="137">
        <f>SUMIFS(Database!$G:$G,Database!$D:$D,"Export",Database!$E:$E,$B159,Database!$C:$C,W$1,Database!$F:$F,"Total")</f>
        <v>0</v>
      </c>
      <c r="X159" s="137">
        <f>SUMIFS(Database!$G:$G,Database!$D:$D,"Export",Database!$E:$E,$B159,Database!$C:$C,X$1,Database!$F:$F,"Total")</f>
        <v>0</v>
      </c>
      <c r="Y159" s="137">
        <f>SUMIFS(Database!$G:$G,Database!$D:$D,"Export",Database!$E:$E,$B159,Database!$C:$C,Y$1,Database!$F:$F,"Total")</f>
        <v>0</v>
      </c>
      <c r="Z159" s="137">
        <f>SUMIFS(Database!$G:$G,Database!$D:$D,"Export",Database!$E:$E,$B159,Database!$C:$C,Z$1,Database!$F:$F,"Total")</f>
        <v>0</v>
      </c>
      <c r="AA159" s="137">
        <f>SUMIFS(Database!$G:$G,Database!$D:$D,"Export",Database!$E:$E,$B159,Database!$C:$C,AA$1,Database!$F:$F,"Total")</f>
        <v>0</v>
      </c>
      <c r="AB159" s="137">
        <f>SUMIFS(Database!$G:$G,Database!$D:$D,"Export",Database!$E:$E,$B159,Database!$C:$C,AB$1,Database!$F:$F,"Total")</f>
        <v>0</v>
      </c>
      <c r="AC159" s="137">
        <f>SUMIFS(Database!$G:$G,Database!$D:$D,"Export",Database!$E:$E,$B159,Database!$C:$C,AC$1,Database!$F:$F,"Total")</f>
        <v>0</v>
      </c>
      <c r="AD159" s="137">
        <f>SUMIFS(Database!$G:$G,Database!$D:$D,"Export",Database!$E:$E,$B159,Database!$C:$C,AD$1,Database!$F:$F,"Total")</f>
        <v>0</v>
      </c>
      <c r="AE159" s="137">
        <f>SUMIFS(Database!$G:$G,Database!$D:$D,"Export",Database!$E:$E,$B159,Database!$C:$C,AE$1,Database!$F:$F,"Total")</f>
        <v>0</v>
      </c>
      <c r="AF159" s="137">
        <f>SUMIFS(Database!$G:$G,Database!$D:$D,"Export",Database!$E:$E,$B159,Database!$C:$C,AF$1,Database!$F:$F,"Total")</f>
        <v>0</v>
      </c>
      <c r="AG159" s="137">
        <f>SUMIFS(Database!$G:$G,Database!$D:$D,"Export",Database!$E:$E,$B159,Database!$C:$C,AG$1,Database!$F:$F,"Total")</f>
        <v>0</v>
      </c>
      <c r="AH159" s="137">
        <f>SUMIFS(Database!$G:$G,Database!$D:$D,"Export",Database!$E:$E,$B159,Database!$C:$C,AH$1,Database!$F:$F,"Total")</f>
        <v>0</v>
      </c>
      <c r="AI159" s="137">
        <f>SUMIFS(Database!$G:$G,Database!$D:$D,"Export",Database!$E:$E,$B159,Database!$C:$C,AI$1,Database!$F:$F,"Total")</f>
        <v>0</v>
      </c>
      <c r="AJ159" s="137">
        <f>SUMIFS(Database!$G:$G,Database!$D:$D,"Export",Database!$E:$E,$B159,Database!$C:$C,AJ$1,Database!$F:$F,"Total")</f>
        <v>15000</v>
      </c>
      <c r="AK159" s="137">
        <f>SUMIFS(Database!$G:$G,Database!$D:$D,"Export",Database!$E:$E,$B159,Database!$C:$C,AK$1,Database!$F:$F,"Total")</f>
        <v>0</v>
      </c>
      <c r="AL159" s="137">
        <f>SUMIFS(Database!$G:$G,Database!$D:$D,"Export",Database!$E:$E,$B159,Database!$C:$C,AL$1,Database!$F:$F,"Total")</f>
        <v>0</v>
      </c>
      <c r="AM159" s="137">
        <f>SUMIFS(Database!$G:$G,Database!$D:$D,"Export",Database!$E:$E,$B159,Database!$C:$C,AM$1,Database!$F:$F,"Total")</f>
        <v>0</v>
      </c>
      <c r="AN159" s="137">
        <f>SUMIFS(Database!$G:$G,Database!$D:$D,"Export",Database!$E:$E,$B159,Database!$C:$C,AN$1,Database!$F:$F,"Total")</f>
        <v>0</v>
      </c>
      <c r="AO159" s="137">
        <f>SUMIFS(Database!$G:$G,Database!$D:$D,"Export",Database!$E:$E,$B159,Database!$C:$C,AO$1,Database!$F:$F,"Total")</f>
        <v>0</v>
      </c>
      <c r="AP159" s="137">
        <f>SUMIFS(Database!$G:$G,Database!$D:$D,"Export",Database!$E:$E,$B159,Database!$C:$C,AP$1,Database!$F:$F,"Total")</f>
        <v>0</v>
      </c>
      <c r="AQ159" s="137">
        <f>SUMIFS(Database!$G:$G,Database!$D:$D,"Export",Database!$E:$E,$B159,Database!$C:$C,AQ$1,Database!$F:$F,"Total")</f>
        <v>0</v>
      </c>
      <c r="AR159" s="137">
        <f>SUMIFS(Database!$G:$G,Database!$D:$D,"Export",Database!$E:$E,$B159,Database!$C:$C,AR$1,Database!$F:$F,"Total")</f>
        <v>0</v>
      </c>
      <c r="AS159" s="137">
        <f>SUMIFS(Database!$G:$G,Database!$D:$D,"Export",Database!$E:$E,$B159,Database!$C:$C,AS$1,Database!$F:$F,"Total")</f>
        <v>0</v>
      </c>
      <c r="AT159" s="137">
        <f>SUMIFS(Database!$G:$G,Database!$D:$D,"Export",Database!$E:$E,$B159,Database!$C:$C,AT$1,Database!$F:$F,"Total")</f>
        <v>0</v>
      </c>
      <c r="AU159" s="137">
        <f>SUMIFS(Database!$G:$G,Database!$D:$D,"Export",Database!$E:$E,$B159,Database!$C:$C,AU$1,Database!$F:$F,"Total")</f>
        <v>0</v>
      </c>
      <c r="AV159" s="137">
        <f>SUMIFS(Database!$G:$G,Database!$D:$D,"Export",Database!$E:$E,$B159,Database!$C:$C,AV$1,Database!$F:$F,"Total")</f>
        <v>0</v>
      </c>
      <c r="AW159" s="137">
        <f>SUMIFS(Database!$G:$G,Database!$D:$D,"Export",Database!$E:$E,$B159,Database!$C:$C,AW$1,Database!$F:$F,"Total")</f>
        <v>0</v>
      </c>
      <c r="AX159" s="137">
        <f>SUMIFS(Database!$G:$G,Database!$D:$D,"Export",Database!$E:$E,$B159,Database!$C:$C,AX$1,Database!$F:$F,"Total")</f>
        <v>0</v>
      </c>
      <c r="AY159" s="137">
        <f>SUMIFS(Database!$G:$G,Database!$D:$D,"Export",Database!$E:$E,$B159,Database!$C:$C,AY$1,Database!$F:$F,"Total")</f>
        <v>0</v>
      </c>
      <c r="AZ159" s="137">
        <f>SUMIFS(Database!$G:$G,Database!$D:$D,"Export",Database!$E:$E,$B159,Database!$C:$C,AZ$1,Database!$F:$F,"Total")</f>
        <v>0</v>
      </c>
      <c r="BA159" s="137">
        <f>SUMIFS(Database!$G:$G,Database!$D:$D,"Export",Database!$E:$E,$B159,Database!$C:$C,BA$1,Database!$F:$F,"Total")</f>
        <v>0</v>
      </c>
      <c r="BB159" s="137">
        <f>SUMIFS(Database!$G:$G,Database!$D:$D,"Export",Database!$E:$E,$B159,Database!$C:$C,BB$1,Database!$F:$F,"Total")</f>
        <v>0</v>
      </c>
      <c r="BC159" s="137">
        <f>SUMIFS(Database!$G:$G,Database!$D:$D,"Export",Database!$E:$E,$B159,Database!$C:$C,BC$1,Database!$F:$F,"Total")</f>
        <v>0</v>
      </c>
      <c r="BD159" s="137">
        <f>SUMIFS(Database!$G:$G,Database!$D:$D,"Export",Database!$E:$E,$B159,Database!$C:$C,BD$1,Database!$F:$F,"Total")</f>
        <v>0</v>
      </c>
      <c r="BE159" s="137">
        <f>SUMIFS(Database!$G:$G,Database!$D:$D,"Export",Database!$E:$E,$B159,Database!$C:$C,BE$1,Database!$F:$F,"Total")</f>
        <v>0</v>
      </c>
      <c r="BF159" s="137">
        <f>SUMIFS(Database!$G:$G,Database!$D:$D,"Export",Database!$E:$E,$B159,Database!$C:$C,BF$1,Database!$F:$F,"Total")</f>
        <v>0</v>
      </c>
      <c r="BG159" s="137">
        <f>SUMIFS(Database!$G:$G,Database!$D:$D,"Export",Database!$E:$E,$B159,Database!$C:$C,BG$1,Database!$F:$F,"Total")</f>
        <v>0</v>
      </c>
      <c r="BH159" s="137">
        <f>SUMIFS(Database!$G:$G,Database!$D:$D,"Export",Database!$E:$E,$B159,Database!$C:$C,BH$1,Database!$F:$F,"Total")</f>
        <v>0</v>
      </c>
      <c r="BI159" s="137">
        <f>SUMIFS(Database!$G:$G,Database!$D:$D,"Export",Database!$E:$E,$B159,Database!$C:$C,BI$1,Database!$F:$F,"Total")</f>
        <v>0</v>
      </c>
      <c r="BJ159" s="137">
        <f>SUMIFS(Database!$G:$G,Database!$D:$D,"Export",Database!$E:$E,$B159,Database!$C:$C,BJ$1,Database!$F:$F,"Total")</f>
        <v>0</v>
      </c>
      <c r="BK159" s="137">
        <f>SUMIFS(Database!$G:$G,Database!$D:$D,"Export",Database!$E:$E,$B159,Database!$C:$C,BK$1,Database!$F:$F,"Total")</f>
        <v>0</v>
      </c>
      <c r="BL159" s="137">
        <f>SUMIFS(Database!$G:$G,Database!$D:$D,"Export",Database!$E:$E,$B159,Database!$C:$C,BL$1,Database!$F:$F,"Total")</f>
        <v>0</v>
      </c>
      <c r="BM159" s="137">
        <f>SUMIFS(Database!$G:$G,Database!$D:$D,"Export",Database!$E:$E,$B159,Database!$C:$C,BM$1,Database!$F:$F,"Total")</f>
        <v>0</v>
      </c>
      <c r="BN159" s="137">
        <f>SUMIFS(Database!$G:$G,Database!$D:$D,"Export",Database!$E:$E,$B159,Database!$C:$C,BN$1,Database!$F:$F,"Total")</f>
        <v>0</v>
      </c>
      <c r="BO159" s="137">
        <f>SUMIFS(Database!$G:$G,Database!$D:$D,"Export",Database!$E:$E,$B159,Database!$C:$C,BO$1,Database!$F:$F,"Total")</f>
        <v>0</v>
      </c>
      <c r="BP159" s="137">
        <f>SUMIFS(Database!$G:$G,Database!$D:$D,"Export",Database!$E:$E,$B159,Database!$C:$C,BP$1,Database!$F:$F,"Total")</f>
        <v>0</v>
      </c>
      <c r="BQ159" s="137">
        <f>SUMIFS(Database!$G:$G,Database!$D:$D,"Export",Database!$E:$E,$B159,Database!$C:$C,BQ$1,Database!$F:$F,"Total")</f>
        <v>0</v>
      </c>
      <c r="BR159" s="137">
        <f>SUMIFS(Database!$G:$G,Database!$D:$D,"Export",Database!$E:$E,$B159,Database!$C:$C,BR$1,Database!$F:$F,"Total")</f>
        <v>0</v>
      </c>
      <c r="BS159" s="137">
        <f>SUMIFS(Database!$G:$G,Database!$D:$D,"Export",Database!$E:$E,$B159,Database!$C:$C,BS$1,Database!$F:$F,"Total")</f>
        <v>0</v>
      </c>
      <c r="BT159" s="137">
        <f>SUMIFS(Database!$G:$G,Database!$D:$D,"Export",Database!$E:$E,$B159,Database!$C:$C,BT$1,Database!$F:$F,"Total")</f>
        <v>0</v>
      </c>
      <c r="BU159" s="137">
        <f>SUMIFS(Database!$G:$G,Database!$D:$D,"Export",Database!$E:$E,$B159,Database!$C:$C,BU$1,Database!$F:$F,"Total")</f>
        <v>0</v>
      </c>
      <c r="BV159" s="137">
        <f>SUMIFS(Database!$G:$G,Database!$D:$D,"Export",Database!$E:$E,$B159,Database!$C:$C,BV$1,Database!$F:$F,"Total")</f>
        <v>0</v>
      </c>
      <c r="BW159" s="137">
        <f>SUMIFS(Database!$G:$G,Database!$D:$D,"Export",Database!$E:$E,$B159,Database!$C:$C,BW$1,Database!$F:$F,"Total")</f>
        <v>0</v>
      </c>
      <c r="BX159" s="137">
        <f>SUMIFS(Database!$G:$G,Database!$D:$D,"Export",Database!$E:$E,$B159,Database!$C:$C,BX$1,Database!$F:$F,"Total")</f>
        <v>0</v>
      </c>
      <c r="BY159" s="137">
        <f>SUMIFS(Database!$G:$G,Database!$D:$D,"Export",Database!$E:$E,$B159,Database!$C:$C,BY$1,Database!$F:$F,"Total")</f>
        <v>0</v>
      </c>
      <c r="BZ159" s="137">
        <f>SUMIFS(Database!$G:$G,Database!$D:$D,"Export",Database!$E:$E,$B159,Database!$C:$C,BZ$1,Database!$F:$F,"Total")</f>
        <v>0</v>
      </c>
      <c r="CA159" s="137">
        <f>SUMIFS(Database!$G:$G,Database!$D:$D,"Export",Database!$E:$E,$B159,Database!$C:$C,CA$1,Database!$F:$F,"Total")</f>
        <v>0</v>
      </c>
      <c r="CB159" s="137">
        <f>SUMIFS(Database!$G:$G,Database!$D:$D,"Export",Database!$E:$E,$B159,Database!$C:$C,CB$1,Database!$F:$F,"Total")</f>
        <v>0</v>
      </c>
      <c r="CC159" s="137">
        <f>SUMIFS(Database!$G:$G,Database!$D:$D,"Export",Database!$E:$E,$B159,Database!$C:$C,CC$1,Database!$F:$F,"Total")</f>
        <v>0</v>
      </c>
      <c r="CD159" s="137">
        <f>SUMIFS(Database!$G:$G,Database!$D:$D,"Export",Database!$E:$E,$B159,Database!$C:$C,CD$1,Database!$F:$F,"Total")</f>
        <v>0</v>
      </c>
      <c r="CE159" s="137">
        <f>SUMIFS(Database!$G:$G,Database!$D:$D,"Export",Database!$E:$E,$B159,Database!$C:$C,CE$1,Database!$F:$F,"Total")</f>
        <v>0</v>
      </c>
      <c r="CF159" s="137">
        <f>SUMIFS(Database!$G:$G,Database!$D:$D,"Export",Database!$E:$E,$B159,Database!$C:$C,CF$1,Database!$F:$F,"Total")</f>
        <v>0</v>
      </c>
      <c r="CG159" s="137">
        <f>SUMIFS(Database!$G:$G,Database!$D:$D,"Export",Database!$E:$E,$B159,Database!$C:$C,CG$1,Database!$F:$F,"Total")</f>
        <v>0</v>
      </c>
      <c r="CH159" s="137">
        <f>SUMIFS(Database!$G:$G,Database!$D:$D,"Export",Database!$E:$E,$B159,Database!$C:$C,CH$1,Database!$F:$F,"Total")</f>
        <v>0</v>
      </c>
      <c r="CI159" s="137">
        <f>SUMIFS(Database!$G:$G,Database!$D:$D,"Export",Database!$E:$E,$B159,Database!$C:$C,CI$1,Database!$F:$F,"Total")</f>
        <v>0</v>
      </c>
      <c r="CJ159" s="137">
        <f>SUMIFS(Database!$G:$G,Database!$D:$D,"Export",Database!$E:$E,$B159,Database!$C:$C,CJ$1,Database!$F:$F,"Total")</f>
        <v>0</v>
      </c>
      <c r="CK159" s="137">
        <f>SUMIFS(Database!$G:$G,Database!$D:$D,"Export",Database!$E:$E,$B159,Database!$C:$C,CK$1,Database!$F:$F,"Total")</f>
        <v>0</v>
      </c>
      <c r="CL159" s="137">
        <f>SUMIFS(Database!$G:$G,Database!$D:$D,"Export",Database!$E:$E,$B159,Database!$C:$C,CL$1,Database!$F:$F,"Total")</f>
        <v>0</v>
      </c>
      <c r="CM159" s="137">
        <f>SUMIFS(Database!$G:$G,Database!$D:$D,"Export",Database!$E:$E,$B159,Database!$C:$C,CM$1,Database!$F:$F,"Total")</f>
        <v>0</v>
      </c>
      <c r="CN159" s="137">
        <f>SUMIFS(Database!$G:$G,Database!$D:$D,"Export",Database!$E:$E,$B159,Database!$C:$C,CN$1,Database!$F:$F,"Total")</f>
        <v>0</v>
      </c>
      <c r="CO159" s="137">
        <f>SUMIFS(Database!$G:$G,Database!$D:$D,"Export",Database!$E:$E,$B159,Database!$C:$C,CO$1,Database!$F:$F,"Total")</f>
        <v>0</v>
      </c>
      <c r="CP159" s="137">
        <f>SUMIFS(Database!$G:$G,Database!$D:$D,"Export",Database!$E:$E,$B159,Database!$C:$C,CP$1,Database!$F:$F,"Total")</f>
        <v>0</v>
      </c>
      <c r="CQ159" s="137">
        <f>SUMIFS(Database!$G:$G,Database!$D:$D,"Export",Database!$E:$E,$B159,Database!$C:$C,CQ$1,Database!$F:$F,"Total")</f>
        <v>0</v>
      </c>
      <c r="CR159" s="137">
        <f>SUMIFS(Database!$G:$G,Database!$D:$D,"Export",Database!$E:$E,$B159,Database!$C:$C,CR$1,Database!$F:$F,"Total")</f>
        <v>0</v>
      </c>
      <c r="CS159" s="137">
        <f>SUMIFS(Database!$G:$G,Database!$D:$D,"Export",Database!$E:$E,$B159,Database!$C:$C,CS$1,Database!$F:$F,"Total")</f>
        <v>0</v>
      </c>
      <c r="CT159" s="137">
        <f>SUMIFS(Database!$G:$G,Database!$D:$D,"Export",Database!$E:$E,$B159,Database!$C:$C,CT$1,Database!$F:$F,"Total")</f>
        <v>0</v>
      </c>
      <c r="CU159" s="137">
        <f>SUMIFS(Database!$G:$G,Database!$D:$D,"Export",Database!$E:$E,$B159,Database!$C:$C,CU$1,Database!$F:$F,"Total")</f>
        <v>0</v>
      </c>
    </row>
    <row r="160" spans="1:99" x14ac:dyDescent="0.25">
      <c r="A160" s="132" t="s">
        <v>485</v>
      </c>
      <c r="B160" s="133" t="s">
        <v>153</v>
      </c>
      <c r="C160" s="137">
        <f>SUMIFS(Database!$G:$G,Database!$D:$D,"Export",Database!$E:$E,$B160,Database!$C:$C,C$1,Database!$F:$F,"Total")</f>
        <v>0</v>
      </c>
      <c r="D160" s="137">
        <f>SUMIFS(Database!$G:$G,Database!$D:$D,"Export",Database!$E:$E,$B160,Database!$C:$C,D$1,Database!$F:$F,"Total")</f>
        <v>0</v>
      </c>
      <c r="E160" s="137">
        <f>SUMIFS(Database!$G:$G,Database!$D:$D,"Export",Database!$E:$E,$B160,Database!$C:$C,E$1,Database!$F:$F,"Total")</f>
        <v>0</v>
      </c>
      <c r="F160" s="137">
        <f>SUMIFS(Database!$G:$G,Database!$D:$D,"Export",Database!$E:$E,$B160,Database!$C:$C,F$1,Database!$F:$F,"Total")</f>
        <v>0</v>
      </c>
      <c r="G160" s="137">
        <f>SUMIFS(Database!$G:$G,Database!$D:$D,"Export",Database!$E:$E,$B160,Database!$C:$C,G$1,Database!$F:$F,"Total")</f>
        <v>0</v>
      </c>
      <c r="H160" s="137">
        <f>SUMIFS(Database!$G:$G,Database!$D:$D,"Export",Database!$E:$E,$B160,Database!$C:$C,H$1,Database!$F:$F,"Total")</f>
        <v>0</v>
      </c>
      <c r="I160" s="137">
        <f>SUMIFS(Database!$G:$G,Database!$D:$D,"Export",Database!$E:$E,$B160,Database!$C:$C,I$1,Database!$F:$F,"Total")</f>
        <v>0</v>
      </c>
      <c r="J160" s="137">
        <f>SUMIFS(Database!$G:$G,Database!$D:$D,"Export",Database!$E:$E,$B160,Database!$C:$C,J$1,Database!$F:$F,"Total")</f>
        <v>0</v>
      </c>
      <c r="K160" s="137">
        <f>SUMIFS(Database!$G:$G,Database!$D:$D,"Export",Database!$E:$E,$B160,Database!$C:$C,K$1,Database!$F:$F,"Total")</f>
        <v>0</v>
      </c>
      <c r="L160" s="137">
        <f>SUMIFS(Database!$G:$G,Database!$D:$D,"Export",Database!$E:$E,$B160,Database!$C:$C,L$1,Database!$F:$F,"Total")</f>
        <v>0</v>
      </c>
      <c r="M160" s="137">
        <f>SUMIFS(Database!$G:$G,Database!$D:$D,"Export",Database!$E:$E,$B160,Database!$C:$C,M$1,Database!$F:$F,"Total")</f>
        <v>0</v>
      </c>
      <c r="N160" s="137">
        <f>SUMIFS(Database!$G:$G,Database!$D:$D,"Export",Database!$E:$E,$B160,Database!$C:$C,N$1,Database!$F:$F,"Total")</f>
        <v>0</v>
      </c>
      <c r="O160" s="137">
        <f>SUMIFS(Database!$G:$G,Database!$D:$D,"Export",Database!$E:$E,$B160,Database!$C:$C,O$1,Database!$F:$F,"Total")</f>
        <v>0</v>
      </c>
      <c r="P160" s="137">
        <f>SUMIFS(Database!$G:$G,Database!$D:$D,"Export",Database!$E:$E,$B160,Database!$C:$C,P$1,Database!$F:$F,"Total")</f>
        <v>0</v>
      </c>
      <c r="Q160" s="137">
        <f>SUMIFS(Database!$G:$G,Database!$D:$D,"Export",Database!$E:$E,$B160,Database!$C:$C,Q$1,Database!$F:$F,"Total")</f>
        <v>0</v>
      </c>
      <c r="R160" s="137">
        <f>SUMIFS(Database!$G:$G,Database!$D:$D,"Export",Database!$E:$E,$B160,Database!$C:$C,R$1,Database!$F:$F,"Total")</f>
        <v>0</v>
      </c>
      <c r="S160" s="137">
        <f>SUMIFS(Database!$G:$G,Database!$D:$D,"Export",Database!$E:$E,$B160,Database!$C:$C,S$1,Database!$F:$F,"Total")</f>
        <v>0</v>
      </c>
      <c r="T160" s="137">
        <f>SUMIFS(Database!$G:$G,Database!$D:$D,"Export",Database!$E:$E,$B160,Database!$C:$C,T$1,Database!$F:$F,"Total")</f>
        <v>0</v>
      </c>
      <c r="U160" s="137">
        <f>SUMIFS(Database!$G:$G,Database!$D:$D,"Export",Database!$E:$E,$B160,Database!$C:$C,U$1,Database!$F:$F,"Total")</f>
        <v>0</v>
      </c>
      <c r="V160" s="137">
        <f>SUMIFS(Database!$G:$G,Database!$D:$D,"Export",Database!$E:$E,$B160,Database!$C:$C,V$1,Database!$F:$F,"Total")</f>
        <v>0</v>
      </c>
      <c r="W160" s="137">
        <f>SUMIFS(Database!$G:$G,Database!$D:$D,"Export",Database!$E:$E,$B160,Database!$C:$C,W$1,Database!$F:$F,"Total")</f>
        <v>0</v>
      </c>
      <c r="X160" s="137">
        <f>SUMIFS(Database!$G:$G,Database!$D:$D,"Export",Database!$E:$E,$B160,Database!$C:$C,X$1,Database!$F:$F,"Total")</f>
        <v>0</v>
      </c>
      <c r="Y160" s="137">
        <f>SUMIFS(Database!$G:$G,Database!$D:$D,"Export",Database!$E:$E,$B160,Database!$C:$C,Y$1,Database!$F:$F,"Total")</f>
        <v>0</v>
      </c>
      <c r="Z160" s="137">
        <f>SUMIFS(Database!$G:$G,Database!$D:$D,"Export",Database!$E:$E,$B160,Database!$C:$C,Z$1,Database!$F:$F,"Total")</f>
        <v>0</v>
      </c>
      <c r="AA160" s="137">
        <f>SUMIFS(Database!$G:$G,Database!$D:$D,"Export",Database!$E:$E,$B160,Database!$C:$C,AA$1,Database!$F:$F,"Total")</f>
        <v>0</v>
      </c>
      <c r="AB160" s="137">
        <f>SUMIFS(Database!$G:$G,Database!$D:$D,"Export",Database!$E:$E,$B160,Database!$C:$C,AB$1,Database!$F:$F,"Total")</f>
        <v>0</v>
      </c>
      <c r="AC160" s="137">
        <f>SUMIFS(Database!$G:$G,Database!$D:$D,"Export",Database!$E:$E,$B160,Database!$C:$C,AC$1,Database!$F:$F,"Total")</f>
        <v>0</v>
      </c>
      <c r="AD160" s="137">
        <f>SUMIFS(Database!$G:$G,Database!$D:$D,"Export",Database!$E:$E,$B160,Database!$C:$C,AD$1,Database!$F:$F,"Total")</f>
        <v>0</v>
      </c>
      <c r="AE160" s="137">
        <f>SUMIFS(Database!$G:$G,Database!$D:$D,"Export",Database!$E:$E,$B160,Database!$C:$C,AE$1,Database!$F:$F,"Total")</f>
        <v>0</v>
      </c>
      <c r="AF160" s="137">
        <f>SUMIFS(Database!$G:$G,Database!$D:$D,"Export",Database!$E:$E,$B160,Database!$C:$C,AF$1,Database!$F:$F,"Total")</f>
        <v>0</v>
      </c>
      <c r="AG160" s="137">
        <f>SUMIFS(Database!$G:$G,Database!$D:$D,"Export",Database!$E:$E,$B160,Database!$C:$C,AG$1,Database!$F:$F,"Total")</f>
        <v>0</v>
      </c>
      <c r="AH160" s="137">
        <f>SUMIFS(Database!$G:$G,Database!$D:$D,"Export",Database!$E:$E,$B160,Database!$C:$C,AH$1,Database!$F:$F,"Total")</f>
        <v>0</v>
      </c>
      <c r="AI160" s="137">
        <f>SUMIFS(Database!$G:$G,Database!$D:$D,"Export",Database!$E:$E,$B160,Database!$C:$C,AI$1,Database!$F:$F,"Total")</f>
        <v>0</v>
      </c>
      <c r="AJ160" s="137">
        <f>SUMIFS(Database!$G:$G,Database!$D:$D,"Export",Database!$E:$E,$B160,Database!$C:$C,AJ$1,Database!$F:$F,"Total")</f>
        <v>225</v>
      </c>
      <c r="AK160" s="137">
        <f>SUMIFS(Database!$G:$G,Database!$D:$D,"Export",Database!$E:$E,$B160,Database!$C:$C,AK$1,Database!$F:$F,"Total")</f>
        <v>0</v>
      </c>
      <c r="AL160" s="137">
        <f>SUMIFS(Database!$G:$G,Database!$D:$D,"Export",Database!$E:$E,$B160,Database!$C:$C,AL$1,Database!$F:$F,"Total")</f>
        <v>0</v>
      </c>
      <c r="AM160" s="137">
        <f>SUMIFS(Database!$G:$G,Database!$D:$D,"Export",Database!$E:$E,$B160,Database!$C:$C,AM$1,Database!$F:$F,"Total")</f>
        <v>0</v>
      </c>
      <c r="AN160" s="137">
        <f>SUMIFS(Database!$G:$G,Database!$D:$D,"Export",Database!$E:$E,$B160,Database!$C:$C,AN$1,Database!$F:$F,"Total")</f>
        <v>0</v>
      </c>
      <c r="AO160" s="137">
        <f>SUMIFS(Database!$G:$G,Database!$D:$D,"Export",Database!$E:$E,$B160,Database!$C:$C,AO$1,Database!$F:$F,"Total")</f>
        <v>0</v>
      </c>
      <c r="AP160" s="137">
        <f>SUMIFS(Database!$G:$G,Database!$D:$D,"Export",Database!$E:$E,$B160,Database!$C:$C,AP$1,Database!$F:$F,"Total")</f>
        <v>0</v>
      </c>
      <c r="AQ160" s="137">
        <f>SUMIFS(Database!$G:$G,Database!$D:$D,"Export",Database!$E:$E,$B160,Database!$C:$C,AQ$1,Database!$F:$F,"Total")</f>
        <v>0</v>
      </c>
      <c r="AR160" s="137">
        <f>SUMIFS(Database!$G:$G,Database!$D:$D,"Export",Database!$E:$E,$B160,Database!$C:$C,AR$1,Database!$F:$F,"Total")</f>
        <v>0</v>
      </c>
      <c r="AS160" s="137">
        <f>SUMIFS(Database!$G:$G,Database!$D:$D,"Export",Database!$E:$E,$B160,Database!$C:$C,AS$1,Database!$F:$F,"Total")</f>
        <v>0</v>
      </c>
      <c r="AT160" s="137">
        <f>SUMIFS(Database!$G:$G,Database!$D:$D,"Export",Database!$E:$E,$B160,Database!$C:$C,AT$1,Database!$F:$F,"Total")</f>
        <v>0</v>
      </c>
      <c r="AU160" s="137">
        <f>SUMIFS(Database!$G:$G,Database!$D:$D,"Export",Database!$E:$E,$B160,Database!$C:$C,AU$1,Database!$F:$F,"Total")</f>
        <v>0</v>
      </c>
      <c r="AV160" s="137">
        <f>SUMIFS(Database!$G:$G,Database!$D:$D,"Export",Database!$E:$E,$B160,Database!$C:$C,AV$1,Database!$F:$F,"Total")</f>
        <v>0</v>
      </c>
      <c r="AW160" s="137">
        <f>SUMIFS(Database!$G:$G,Database!$D:$D,"Export",Database!$E:$E,$B160,Database!$C:$C,AW$1,Database!$F:$F,"Total")</f>
        <v>0</v>
      </c>
      <c r="AX160" s="137">
        <f>SUMIFS(Database!$G:$G,Database!$D:$D,"Export",Database!$E:$E,$B160,Database!$C:$C,AX$1,Database!$F:$F,"Total")</f>
        <v>0</v>
      </c>
      <c r="AY160" s="137">
        <f>SUMIFS(Database!$G:$G,Database!$D:$D,"Export",Database!$E:$E,$B160,Database!$C:$C,AY$1,Database!$F:$F,"Total")</f>
        <v>0</v>
      </c>
      <c r="AZ160" s="137">
        <f>SUMIFS(Database!$G:$G,Database!$D:$D,"Export",Database!$E:$E,$B160,Database!$C:$C,AZ$1,Database!$F:$F,"Total")</f>
        <v>0</v>
      </c>
      <c r="BA160" s="137">
        <f>SUMIFS(Database!$G:$G,Database!$D:$D,"Export",Database!$E:$E,$B160,Database!$C:$C,BA$1,Database!$F:$F,"Total")</f>
        <v>0</v>
      </c>
      <c r="BB160" s="137">
        <f>SUMIFS(Database!$G:$G,Database!$D:$D,"Export",Database!$E:$E,$B160,Database!$C:$C,BB$1,Database!$F:$F,"Total")</f>
        <v>0</v>
      </c>
      <c r="BC160" s="137">
        <f>SUMIFS(Database!$G:$G,Database!$D:$D,"Export",Database!$E:$E,$B160,Database!$C:$C,BC$1,Database!$F:$F,"Total")</f>
        <v>0</v>
      </c>
      <c r="BD160" s="137">
        <f>SUMIFS(Database!$G:$G,Database!$D:$D,"Export",Database!$E:$E,$B160,Database!$C:$C,BD$1,Database!$F:$F,"Total")</f>
        <v>0</v>
      </c>
      <c r="BE160" s="137">
        <f>SUMIFS(Database!$G:$G,Database!$D:$D,"Export",Database!$E:$E,$B160,Database!$C:$C,BE$1,Database!$F:$F,"Total")</f>
        <v>0</v>
      </c>
      <c r="BF160" s="137">
        <f>SUMIFS(Database!$G:$G,Database!$D:$D,"Export",Database!$E:$E,$B160,Database!$C:$C,BF$1,Database!$F:$F,"Total")</f>
        <v>0</v>
      </c>
      <c r="BG160" s="137">
        <f>SUMIFS(Database!$G:$G,Database!$D:$D,"Export",Database!$E:$E,$B160,Database!$C:$C,BG$1,Database!$F:$F,"Total")</f>
        <v>0</v>
      </c>
      <c r="BH160" s="137">
        <f>SUMIFS(Database!$G:$G,Database!$D:$D,"Export",Database!$E:$E,$B160,Database!$C:$C,BH$1,Database!$F:$F,"Total")</f>
        <v>0</v>
      </c>
      <c r="BI160" s="137">
        <f>SUMIFS(Database!$G:$G,Database!$D:$D,"Export",Database!$E:$E,$B160,Database!$C:$C,BI$1,Database!$F:$F,"Total")</f>
        <v>0</v>
      </c>
      <c r="BJ160" s="137">
        <f>SUMIFS(Database!$G:$G,Database!$D:$D,"Export",Database!$E:$E,$B160,Database!$C:$C,BJ$1,Database!$F:$F,"Total")</f>
        <v>0</v>
      </c>
      <c r="BK160" s="137">
        <f>SUMIFS(Database!$G:$G,Database!$D:$D,"Export",Database!$E:$E,$B160,Database!$C:$C,BK$1,Database!$F:$F,"Total")</f>
        <v>0</v>
      </c>
      <c r="BL160" s="137">
        <f>SUMIFS(Database!$G:$G,Database!$D:$D,"Export",Database!$E:$E,$B160,Database!$C:$C,BL$1,Database!$F:$F,"Total")</f>
        <v>0</v>
      </c>
      <c r="BM160" s="137">
        <f>SUMIFS(Database!$G:$G,Database!$D:$D,"Export",Database!$E:$E,$B160,Database!$C:$C,BM$1,Database!$F:$F,"Total")</f>
        <v>0</v>
      </c>
      <c r="BN160" s="137">
        <f>SUMIFS(Database!$G:$G,Database!$D:$D,"Export",Database!$E:$E,$B160,Database!$C:$C,BN$1,Database!$F:$F,"Total")</f>
        <v>0</v>
      </c>
      <c r="BO160" s="137">
        <f>SUMIFS(Database!$G:$G,Database!$D:$D,"Export",Database!$E:$E,$B160,Database!$C:$C,BO$1,Database!$F:$F,"Total")</f>
        <v>0</v>
      </c>
      <c r="BP160" s="137">
        <f>SUMIFS(Database!$G:$G,Database!$D:$D,"Export",Database!$E:$E,$B160,Database!$C:$C,BP$1,Database!$F:$F,"Total")</f>
        <v>0</v>
      </c>
      <c r="BQ160" s="137">
        <f>SUMIFS(Database!$G:$G,Database!$D:$D,"Export",Database!$E:$E,$B160,Database!$C:$C,BQ$1,Database!$F:$F,"Total")</f>
        <v>0</v>
      </c>
      <c r="BR160" s="137">
        <f>SUMIFS(Database!$G:$G,Database!$D:$D,"Export",Database!$E:$E,$B160,Database!$C:$C,BR$1,Database!$F:$F,"Total")</f>
        <v>0</v>
      </c>
      <c r="BS160" s="137">
        <f>SUMIFS(Database!$G:$G,Database!$D:$D,"Export",Database!$E:$E,$B160,Database!$C:$C,BS$1,Database!$F:$F,"Total")</f>
        <v>0</v>
      </c>
      <c r="BT160" s="137">
        <f>SUMIFS(Database!$G:$G,Database!$D:$D,"Export",Database!$E:$E,$B160,Database!$C:$C,BT$1,Database!$F:$F,"Total")</f>
        <v>0</v>
      </c>
      <c r="BU160" s="137">
        <f>SUMIFS(Database!$G:$G,Database!$D:$D,"Export",Database!$E:$E,$B160,Database!$C:$C,BU$1,Database!$F:$F,"Total")</f>
        <v>0</v>
      </c>
      <c r="BV160" s="137">
        <f>SUMIFS(Database!$G:$G,Database!$D:$D,"Export",Database!$E:$E,$B160,Database!$C:$C,BV$1,Database!$F:$F,"Total")</f>
        <v>0</v>
      </c>
      <c r="BW160" s="137">
        <f>SUMIFS(Database!$G:$G,Database!$D:$D,"Export",Database!$E:$E,$B160,Database!$C:$C,BW$1,Database!$F:$F,"Total")</f>
        <v>0</v>
      </c>
      <c r="BX160" s="137">
        <f>SUMIFS(Database!$G:$G,Database!$D:$D,"Export",Database!$E:$E,$B160,Database!$C:$C,BX$1,Database!$F:$F,"Total")</f>
        <v>0</v>
      </c>
      <c r="BY160" s="137">
        <f>SUMIFS(Database!$G:$G,Database!$D:$D,"Export",Database!$E:$E,$B160,Database!$C:$C,BY$1,Database!$F:$F,"Total")</f>
        <v>0</v>
      </c>
      <c r="BZ160" s="137">
        <f>SUMIFS(Database!$G:$G,Database!$D:$D,"Export",Database!$E:$E,$B160,Database!$C:$C,BZ$1,Database!$F:$F,"Total")</f>
        <v>0</v>
      </c>
      <c r="CA160" s="137">
        <f>SUMIFS(Database!$G:$G,Database!$D:$D,"Export",Database!$E:$E,$B160,Database!$C:$C,CA$1,Database!$F:$F,"Total")</f>
        <v>0</v>
      </c>
      <c r="CB160" s="137">
        <f>SUMIFS(Database!$G:$G,Database!$D:$D,"Export",Database!$E:$E,$B160,Database!$C:$C,CB$1,Database!$F:$F,"Total")</f>
        <v>0</v>
      </c>
      <c r="CC160" s="137">
        <f>SUMIFS(Database!$G:$G,Database!$D:$D,"Export",Database!$E:$E,$B160,Database!$C:$C,CC$1,Database!$F:$F,"Total")</f>
        <v>0</v>
      </c>
      <c r="CD160" s="137">
        <f>SUMIFS(Database!$G:$G,Database!$D:$D,"Export",Database!$E:$E,$B160,Database!$C:$C,CD$1,Database!$F:$F,"Total")</f>
        <v>0</v>
      </c>
      <c r="CE160" s="137">
        <f>SUMIFS(Database!$G:$G,Database!$D:$D,"Export",Database!$E:$E,$B160,Database!$C:$C,CE$1,Database!$F:$F,"Total")</f>
        <v>0</v>
      </c>
      <c r="CF160" s="137">
        <f>SUMIFS(Database!$G:$G,Database!$D:$D,"Export",Database!$E:$E,$B160,Database!$C:$C,CF$1,Database!$F:$F,"Total")</f>
        <v>0</v>
      </c>
      <c r="CG160" s="137">
        <f>SUMIFS(Database!$G:$G,Database!$D:$D,"Export",Database!$E:$E,$B160,Database!$C:$C,CG$1,Database!$F:$F,"Total")</f>
        <v>0</v>
      </c>
      <c r="CH160" s="137">
        <f>SUMIFS(Database!$G:$G,Database!$D:$D,"Export",Database!$E:$E,$B160,Database!$C:$C,CH$1,Database!$F:$F,"Total")</f>
        <v>0</v>
      </c>
      <c r="CI160" s="137">
        <f>SUMIFS(Database!$G:$G,Database!$D:$D,"Export",Database!$E:$E,$B160,Database!$C:$C,CI$1,Database!$F:$F,"Total")</f>
        <v>0</v>
      </c>
      <c r="CJ160" s="137">
        <f>SUMIFS(Database!$G:$G,Database!$D:$D,"Export",Database!$E:$E,$B160,Database!$C:$C,CJ$1,Database!$F:$F,"Total")</f>
        <v>0</v>
      </c>
      <c r="CK160" s="137">
        <f>SUMIFS(Database!$G:$G,Database!$D:$D,"Export",Database!$E:$E,$B160,Database!$C:$C,CK$1,Database!$F:$F,"Total")</f>
        <v>0</v>
      </c>
      <c r="CL160" s="137">
        <f>SUMIFS(Database!$G:$G,Database!$D:$D,"Export",Database!$E:$E,$B160,Database!$C:$C,CL$1,Database!$F:$F,"Total")</f>
        <v>0</v>
      </c>
      <c r="CM160" s="137">
        <f>SUMIFS(Database!$G:$G,Database!$D:$D,"Export",Database!$E:$E,$B160,Database!$C:$C,CM$1,Database!$F:$F,"Total")</f>
        <v>0</v>
      </c>
      <c r="CN160" s="137">
        <f>SUMIFS(Database!$G:$G,Database!$D:$D,"Export",Database!$E:$E,$B160,Database!$C:$C,CN$1,Database!$F:$F,"Total")</f>
        <v>0</v>
      </c>
      <c r="CO160" s="137">
        <f>SUMIFS(Database!$G:$G,Database!$D:$D,"Export",Database!$E:$E,$B160,Database!$C:$C,CO$1,Database!$F:$F,"Total")</f>
        <v>0</v>
      </c>
      <c r="CP160" s="137">
        <f>SUMIFS(Database!$G:$G,Database!$D:$D,"Export",Database!$E:$E,$B160,Database!$C:$C,CP$1,Database!$F:$F,"Total")</f>
        <v>0</v>
      </c>
      <c r="CQ160" s="137">
        <f>SUMIFS(Database!$G:$G,Database!$D:$D,"Export",Database!$E:$E,$B160,Database!$C:$C,CQ$1,Database!$F:$F,"Total")</f>
        <v>0</v>
      </c>
      <c r="CR160" s="137">
        <f>SUMIFS(Database!$G:$G,Database!$D:$D,"Export",Database!$E:$E,$B160,Database!$C:$C,CR$1,Database!$F:$F,"Total")</f>
        <v>0</v>
      </c>
      <c r="CS160" s="137">
        <f>SUMIFS(Database!$G:$G,Database!$D:$D,"Export",Database!$E:$E,$B160,Database!$C:$C,CS$1,Database!$F:$F,"Total")</f>
        <v>0</v>
      </c>
      <c r="CT160" s="137">
        <f>SUMIFS(Database!$G:$G,Database!$D:$D,"Export",Database!$E:$E,$B160,Database!$C:$C,CT$1,Database!$F:$F,"Total")</f>
        <v>0</v>
      </c>
      <c r="CU160" s="137">
        <f>SUMIFS(Database!$G:$G,Database!$D:$D,"Export",Database!$E:$E,$B160,Database!$C:$C,CU$1,Database!$F:$F,"Total")</f>
        <v>0</v>
      </c>
    </row>
    <row r="161" spans="1:99" x14ac:dyDescent="0.25">
      <c r="A161" s="132" t="s">
        <v>485</v>
      </c>
      <c r="B161" s="133" t="s">
        <v>154</v>
      </c>
      <c r="C161" s="137">
        <f>SUMIFS(Database!$G:$G,Database!$D:$D,"Export",Database!$E:$E,$B161,Database!$C:$C,C$1,Database!$F:$F,"Total")</f>
        <v>0</v>
      </c>
      <c r="D161" s="137">
        <f>SUMIFS(Database!$G:$G,Database!$D:$D,"Export",Database!$E:$E,$B161,Database!$C:$C,D$1,Database!$F:$F,"Total")</f>
        <v>0</v>
      </c>
      <c r="E161" s="137">
        <f>SUMIFS(Database!$G:$G,Database!$D:$D,"Export",Database!$E:$E,$B161,Database!$C:$C,E$1,Database!$F:$F,"Total")</f>
        <v>0</v>
      </c>
      <c r="F161" s="137">
        <f>SUMIFS(Database!$G:$G,Database!$D:$D,"Export",Database!$E:$E,$B161,Database!$C:$C,F$1,Database!$F:$F,"Total")</f>
        <v>0</v>
      </c>
      <c r="G161" s="137">
        <f>SUMIFS(Database!$G:$G,Database!$D:$D,"Export",Database!$E:$E,$B161,Database!$C:$C,G$1,Database!$F:$F,"Total")</f>
        <v>0</v>
      </c>
      <c r="H161" s="137">
        <f>SUMIFS(Database!$G:$G,Database!$D:$D,"Export",Database!$E:$E,$B161,Database!$C:$C,H$1,Database!$F:$F,"Total")</f>
        <v>0</v>
      </c>
      <c r="I161" s="137">
        <f>SUMIFS(Database!$G:$G,Database!$D:$D,"Export",Database!$E:$E,$B161,Database!$C:$C,I$1,Database!$F:$F,"Total")</f>
        <v>0</v>
      </c>
      <c r="J161" s="137">
        <f>SUMIFS(Database!$G:$G,Database!$D:$D,"Export",Database!$E:$E,$B161,Database!$C:$C,J$1,Database!$F:$F,"Total")</f>
        <v>0</v>
      </c>
      <c r="K161" s="137">
        <f>SUMIFS(Database!$G:$G,Database!$D:$D,"Export",Database!$E:$E,$B161,Database!$C:$C,K$1,Database!$F:$F,"Total")</f>
        <v>0</v>
      </c>
      <c r="L161" s="137">
        <f>SUMIFS(Database!$G:$G,Database!$D:$D,"Export",Database!$E:$E,$B161,Database!$C:$C,L$1,Database!$F:$F,"Total")</f>
        <v>0</v>
      </c>
      <c r="M161" s="137">
        <f>SUMIFS(Database!$G:$G,Database!$D:$D,"Export",Database!$E:$E,$B161,Database!$C:$C,M$1,Database!$F:$F,"Total")</f>
        <v>0</v>
      </c>
      <c r="N161" s="137">
        <f>SUMIFS(Database!$G:$G,Database!$D:$D,"Export",Database!$E:$E,$B161,Database!$C:$C,N$1,Database!$F:$F,"Total")</f>
        <v>0</v>
      </c>
      <c r="O161" s="137">
        <f>SUMIFS(Database!$G:$G,Database!$D:$D,"Export",Database!$E:$E,$B161,Database!$C:$C,O$1,Database!$F:$F,"Total")</f>
        <v>0</v>
      </c>
      <c r="P161" s="137">
        <f>SUMIFS(Database!$G:$G,Database!$D:$D,"Export",Database!$E:$E,$B161,Database!$C:$C,P$1,Database!$F:$F,"Total")</f>
        <v>0</v>
      </c>
      <c r="Q161" s="137">
        <f>SUMIFS(Database!$G:$G,Database!$D:$D,"Export",Database!$E:$E,$B161,Database!$C:$C,Q$1,Database!$F:$F,"Total")</f>
        <v>0</v>
      </c>
      <c r="R161" s="137">
        <f>SUMIFS(Database!$G:$G,Database!$D:$D,"Export",Database!$E:$E,$B161,Database!$C:$C,R$1,Database!$F:$F,"Total")</f>
        <v>0</v>
      </c>
      <c r="S161" s="137">
        <f>SUMIFS(Database!$G:$G,Database!$D:$D,"Export",Database!$E:$E,$B161,Database!$C:$C,S$1,Database!$F:$F,"Total")</f>
        <v>0</v>
      </c>
      <c r="T161" s="137">
        <f>SUMIFS(Database!$G:$G,Database!$D:$D,"Export",Database!$E:$E,$B161,Database!$C:$C,T$1,Database!$F:$F,"Total")</f>
        <v>0</v>
      </c>
      <c r="U161" s="137">
        <f>SUMIFS(Database!$G:$G,Database!$D:$D,"Export",Database!$E:$E,$B161,Database!$C:$C,U$1,Database!$F:$F,"Total")</f>
        <v>0</v>
      </c>
      <c r="V161" s="137">
        <f>SUMIFS(Database!$G:$G,Database!$D:$D,"Export",Database!$E:$E,$B161,Database!$C:$C,V$1,Database!$F:$F,"Total")</f>
        <v>0</v>
      </c>
      <c r="W161" s="137">
        <f>SUMIFS(Database!$G:$G,Database!$D:$D,"Export",Database!$E:$E,$B161,Database!$C:$C,W$1,Database!$F:$F,"Total")</f>
        <v>0</v>
      </c>
      <c r="X161" s="137">
        <f>SUMIFS(Database!$G:$G,Database!$D:$D,"Export",Database!$E:$E,$B161,Database!$C:$C,X$1,Database!$F:$F,"Total")</f>
        <v>0</v>
      </c>
      <c r="Y161" s="137">
        <f>SUMIFS(Database!$G:$G,Database!$D:$D,"Export",Database!$E:$E,$B161,Database!$C:$C,Y$1,Database!$F:$F,"Total")</f>
        <v>0</v>
      </c>
      <c r="Z161" s="137">
        <f>SUMIFS(Database!$G:$G,Database!$D:$D,"Export",Database!$E:$E,$B161,Database!$C:$C,Z$1,Database!$F:$F,"Total")</f>
        <v>0</v>
      </c>
      <c r="AA161" s="137">
        <f>SUMIFS(Database!$G:$G,Database!$D:$D,"Export",Database!$E:$E,$B161,Database!$C:$C,AA$1,Database!$F:$F,"Total")</f>
        <v>0</v>
      </c>
      <c r="AB161" s="137">
        <f>SUMIFS(Database!$G:$G,Database!$D:$D,"Export",Database!$E:$E,$B161,Database!$C:$C,AB$1,Database!$F:$F,"Total")</f>
        <v>0</v>
      </c>
      <c r="AC161" s="137">
        <f>SUMIFS(Database!$G:$G,Database!$D:$D,"Export",Database!$E:$E,$B161,Database!$C:$C,AC$1,Database!$F:$F,"Total")</f>
        <v>0</v>
      </c>
      <c r="AD161" s="137">
        <f>SUMIFS(Database!$G:$G,Database!$D:$D,"Export",Database!$E:$E,$B161,Database!$C:$C,AD$1,Database!$F:$F,"Total")</f>
        <v>0</v>
      </c>
      <c r="AE161" s="137">
        <f>SUMIFS(Database!$G:$G,Database!$D:$D,"Export",Database!$E:$E,$B161,Database!$C:$C,AE$1,Database!$F:$F,"Total")</f>
        <v>753</v>
      </c>
      <c r="AF161" s="137">
        <f>SUMIFS(Database!$G:$G,Database!$D:$D,"Export",Database!$E:$E,$B161,Database!$C:$C,AF$1,Database!$F:$F,"Total")</f>
        <v>1163</v>
      </c>
      <c r="AG161" s="137">
        <f>SUMIFS(Database!$G:$G,Database!$D:$D,"Export",Database!$E:$E,$B161,Database!$C:$C,AG$1,Database!$F:$F,"Total")</f>
        <v>0</v>
      </c>
      <c r="AH161" s="137">
        <f>SUMIFS(Database!$G:$G,Database!$D:$D,"Export",Database!$E:$E,$B161,Database!$C:$C,AH$1,Database!$F:$F,"Total")</f>
        <v>1631</v>
      </c>
      <c r="AI161" s="137">
        <f>SUMIFS(Database!$G:$G,Database!$D:$D,"Export",Database!$E:$E,$B161,Database!$C:$C,AI$1,Database!$F:$F,"Total")</f>
        <v>2642</v>
      </c>
      <c r="AJ161" s="137">
        <f>SUMIFS(Database!$G:$G,Database!$D:$D,"Export",Database!$E:$E,$B161,Database!$C:$C,AJ$1,Database!$F:$F,"Total")</f>
        <v>2403</v>
      </c>
      <c r="AK161" s="137">
        <f>SUMIFS(Database!$G:$G,Database!$D:$D,"Export",Database!$E:$E,$B161,Database!$C:$C,AK$1,Database!$F:$F,"Total")</f>
        <v>1797</v>
      </c>
      <c r="AL161" s="137">
        <f>SUMIFS(Database!$G:$G,Database!$D:$D,"Export",Database!$E:$E,$B161,Database!$C:$C,AL$1,Database!$F:$F,"Total")</f>
        <v>2952</v>
      </c>
      <c r="AM161" s="137">
        <f>SUMIFS(Database!$G:$G,Database!$D:$D,"Export",Database!$E:$E,$B161,Database!$C:$C,AM$1,Database!$F:$F,"Total")</f>
        <v>3689</v>
      </c>
      <c r="AN161" s="137">
        <f>SUMIFS(Database!$G:$G,Database!$D:$D,"Export",Database!$E:$E,$B161,Database!$C:$C,AN$1,Database!$F:$F,"Total")</f>
        <v>3579</v>
      </c>
      <c r="AO161" s="137">
        <f>SUMIFS(Database!$G:$G,Database!$D:$D,"Export",Database!$E:$E,$B161,Database!$C:$C,AO$1,Database!$F:$F,"Total")</f>
        <v>3716</v>
      </c>
      <c r="AP161" s="137">
        <f>SUMIFS(Database!$G:$G,Database!$D:$D,"Export",Database!$E:$E,$B161,Database!$C:$C,AP$1,Database!$F:$F,"Total")</f>
        <v>2625</v>
      </c>
      <c r="AQ161" s="137">
        <f>SUMIFS(Database!$G:$G,Database!$D:$D,"Export",Database!$E:$E,$B161,Database!$C:$C,AQ$1,Database!$F:$F,"Total")</f>
        <v>3534</v>
      </c>
      <c r="AR161" s="137">
        <f>SUMIFS(Database!$G:$G,Database!$D:$D,"Export",Database!$E:$E,$B161,Database!$C:$C,AR$1,Database!$F:$F,"Total")</f>
        <v>3719</v>
      </c>
      <c r="AS161" s="137">
        <f>SUMIFS(Database!$G:$G,Database!$D:$D,"Export",Database!$E:$E,$B161,Database!$C:$C,AS$1,Database!$F:$F,"Total")</f>
        <v>3046</v>
      </c>
      <c r="AT161" s="137">
        <f>SUMIFS(Database!$G:$G,Database!$D:$D,"Export",Database!$E:$E,$B161,Database!$C:$C,AT$1,Database!$F:$F,"Total")</f>
        <v>2558</v>
      </c>
      <c r="AU161" s="137">
        <f>SUMIFS(Database!$G:$G,Database!$D:$D,"Export",Database!$E:$E,$B161,Database!$C:$C,AU$1,Database!$F:$F,"Total")</f>
        <v>2304</v>
      </c>
      <c r="AV161" s="137">
        <f>SUMIFS(Database!$G:$G,Database!$D:$D,"Export",Database!$E:$E,$B161,Database!$C:$C,AV$1,Database!$F:$F,"Total")</f>
        <v>2575</v>
      </c>
      <c r="AW161" s="137">
        <f>SUMIFS(Database!$G:$G,Database!$D:$D,"Export",Database!$E:$E,$B161,Database!$C:$C,AW$1,Database!$F:$F,"Total")</f>
        <v>2757</v>
      </c>
      <c r="AX161" s="137">
        <f>SUMIFS(Database!$G:$G,Database!$D:$D,"Export",Database!$E:$E,$B161,Database!$C:$C,AX$1,Database!$F:$F,"Total")</f>
        <v>2256</v>
      </c>
      <c r="AY161" s="137">
        <f>SUMIFS(Database!$G:$G,Database!$D:$D,"Export",Database!$E:$E,$B161,Database!$C:$C,AY$1,Database!$F:$F,"Total")</f>
        <v>2808</v>
      </c>
      <c r="AZ161" s="137">
        <f>SUMIFS(Database!$G:$G,Database!$D:$D,"Export",Database!$E:$E,$B161,Database!$C:$C,AZ$1,Database!$F:$F,"Total")</f>
        <v>2786</v>
      </c>
      <c r="BA161" s="137">
        <f>SUMIFS(Database!$G:$G,Database!$D:$D,"Export",Database!$E:$E,$B161,Database!$C:$C,BA$1,Database!$F:$F,"Total")</f>
        <v>3244</v>
      </c>
      <c r="BB161" s="137">
        <f>SUMIFS(Database!$G:$G,Database!$D:$D,"Export",Database!$E:$E,$B161,Database!$C:$C,BB$1,Database!$F:$F,"Total")</f>
        <v>2474</v>
      </c>
      <c r="BC161" s="137">
        <f>SUMIFS(Database!$G:$G,Database!$D:$D,"Export",Database!$E:$E,$B161,Database!$C:$C,BC$1,Database!$F:$F,"Total")</f>
        <v>1972</v>
      </c>
      <c r="BD161" s="137">
        <f>SUMIFS(Database!$G:$G,Database!$D:$D,"Export",Database!$E:$E,$B161,Database!$C:$C,BD$1,Database!$F:$F,"Total")</f>
        <v>1292</v>
      </c>
      <c r="BE161" s="137">
        <f>SUMIFS(Database!$G:$G,Database!$D:$D,"Export",Database!$E:$E,$B161,Database!$C:$C,BE$1,Database!$F:$F,"Total")</f>
        <v>1947</v>
      </c>
      <c r="BF161" s="137">
        <f>SUMIFS(Database!$G:$G,Database!$D:$D,"Export",Database!$E:$E,$B161,Database!$C:$C,BF$1,Database!$F:$F,"Total")</f>
        <v>2791</v>
      </c>
      <c r="BG161" s="137">
        <f>SUMIFS(Database!$G:$G,Database!$D:$D,"Export",Database!$E:$E,$B161,Database!$C:$C,BG$1,Database!$F:$F,"Total")</f>
        <v>2858</v>
      </c>
      <c r="BH161" s="137">
        <f>SUMIFS(Database!$G:$G,Database!$D:$D,"Export",Database!$E:$E,$B161,Database!$C:$C,BH$1,Database!$F:$F,"Total")</f>
        <v>3126</v>
      </c>
      <c r="BI161" s="137">
        <f>SUMIFS(Database!$G:$G,Database!$D:$D,"Export",Database!$E:$E,$B161,Database!$C:$C,BI$1,Database!$F:$F,"Total")</f>
        <v>0</v>
      </c>
      <c r="BJ161" s="137">
        <f>SUMIFS(Database!$G:$G,Database!$D:$D,"Export",Database!$E:$E,$B161,Database!$C:$C,BJ$1,Database!$F:$F,"Total")</f>
        <v>2810</v>
      </c>
      <c r="BK161" s="137">
        <f>SUMIFS(Database!$G:$G,Database!$D:$D,"Export",Database!$E:$E,$B161,Database!$C:$C,BK$1,Database!$F:$F,"Total")</f>
        <v>3392</v>
      </c>
      <c r="BL161" s="137">
        <f>SUMIFS(Database!$G:$G,Database!$D:$D,"Export",Database!$E:$E,$B161,Database!$C:$C,BL$1,Database!$F:$F,"Total")</f>
        <v>0</v>
      </c>
      <c r="BM161" s="137">
        <f>SUMIFS(Database!$G:$G,Database!$D:$D,"Export",Database!$E:$E,$B161,Database!$C:$C,BM$1,Database!$F:$F,"Total")</f>
        <v>0</v>
      </c>
      <c r="BN161" s="137">
        <f>SUMIFS(Database!$G:$G,Database!$D:$D,"Export",Database!$E:$E,$B161,Database!$C:$C,BN$1,Database!$F:$F,"Total")</f>
        <v>4238</v>
      </c>
      <c r="BO161" s="137">
        <f>SUMIFS(Database!$G:$G,Database!$D:$D,"Export",Database!$E:$E,$B161,Database!$C:$C,BO$1,Database!$F:$F,"Total")</f>
        <v>0</v>
      </c>
      <c r="BP161" s="137">
        <f>SUMIFS(Database!$G:$G,Database!$D:$D,"Export",Database!$E:$E,$B161,Database!$C:$C,BP$1,Database!$F:$F,"Total")</f>
        <v>3273.5</v>
      </c>
      <c r="BQ161" s="137">
        <f>SUMIFS(Database!$G:$G,Database!$D:$D,"Export",Database!$E:$E,$B161,Database!$C:$C,BQ$1,Database!$F:$F,"Total")</f>
        <v>3223.5</v>
      </c>
      <c r="BR161" s="137">
        <f>SUMIFS(Database!$G:$G,Database!$D:$D,"Export",Database!$E:$E,$B161,Database!$C:$C,BR$1,Database!$F:$F,"Total")</f>
        <v>3768</v>
      </c>
      <c r="BS161" s="137">
        <f>SUMIFS(Database!$G:$G,Database!$D:$D,"Export",Database!$E:$E,$B161,Database!$C:$C,BS$1,Database!$F:$F,"Total")</f>
        <v>1897.5</v>
      </c>
      <c r="BT161" s="137">
        <f>SUMIFS(Database!$G:$G,Database!$D:$D,"Export",Database!$E:$E,$B161,Database!$C:$C,BT$1,Database!$F:$F,"Total")</f>
        <v>3197.5</v>
      </c>
      <c r="BU161" s="137">
        <f>SUMIFS(Database!$G:$G,Database!$D:$D,"Export",Database!$E:$E,$B161,Database!$C:$C,BU$1,Database!$F:$F,"Total")</f>
        <v>1589</v>
      </c>
      <c r="BV161" s="137">
        <f>SUMIFS(Database!$G:$G,Database!$D:$D,"Export",Database!$E:$E,$B161,Database!$C:$C,BV$1,Database!$F:$F,"Total")</f>
        <v>0</v>
      </c>
      <c r="BW161" s="137">
        <f>SUMIFS(Database!$G:$G,Database!$D:$D,"Export",Database!$E:$E,$B161,Database!$C:$C,BW$1,Database!$F:$F,"Total")</f>
        <v>0</v>
      </c>
      <c r="BX161" s="137">
        <f>SUMIFS(Database!$G:$G,Database!$D:$D,"Export",Database!$E:$E,$B161,Database!$C:$C,BX$1,Database!$F:$F,"Total")</f>
        <v>0</v>
      </c>
      <c r="BY161" s="137">
        <f>SUMIFS(Database!$G:$G,Database!$D:$D,"Export",Database!$E:$E,$B161,Database!$C:$C,BY$1,Database!$F:$F,"Total")</f>
        <v>0</v>
      </c>
      <c r="BZ161" s="137">
        <f>SUMIFS(Database!$G:$G,Database!$D:$D,"Export",Database!$E:$E,$B161,Database!$C:$C,BZ$1,Database!$F:$F,"Total")</f>
        <v>0</v>
      </c>
      <c r="CA161" s="137">
        <f>SUMIFS(Database!$G:$G,Database!$D:$D,"Export",Database!$E:$E,$B161,Database!$C:$C,CA$1,Database!$F:$F,"Total")</f>
        <v>0</v>
      </c>
      <c r="CB161" s="137">
        <f>SUMIFS(Database!$G:$G,Database!$D:$D,"Export",Database!$E:$E,$B161,Database!$C:$C,CB$1,Database!$F:$F,"Total")</f>
        <v>0</v>
      </c>
      <c r="CC161" s="137">
        <f>SUMIFS(Database!$G:$G,Database!$D:$D,"Export",Database!$E:$E,$B161,Database!$C:$C,CC$1,Database!$F:$F,"Total")</f>
        <v>0</v>
      </c>
      <c r="CD161" s="137">
        <f>SUMIFS(Database!$G:$G,Database!$D:$D,"Export",Database!$E:$E,$B161,Database!$C:$C,CD$1,Database!$F:$F,"Total")</f>
        <v>0</v>
      </c>
      <c r="CE161" s="137">
        <f>SUMIFS(Database!$G:$G,Database!$D:$D,"Export",Database!$E:$E,$B161,Database!$C:$C,CE$1,Database!$F:$F,"Total")</f>
        <v>0</v>
      </c>
      <c r="CF161" s="137">
        <f>SUMIFS(Database!$G:$G,Database!$D:$D,"Export",Database!$E:$E,$B161,Database!$C:$C,CF$1,Database!$F:$F,"Total")</f>
        <v>0</v>
      </c>
      <c r="CG161" s="137">
        <f>SUMIFS(Database!$G:$G,Database!$D:$D,"Export",Database!$E:$E,$B161,Database!$C:$C,CG$1,Database!$F:$F,"Total")</f>
        <v>0</v>
      </c>
      <c r="CH161" s="137">
        <f>SUMIFS(Database!$G:$G,Database!$D:$D,"Export",Database!$E:$E,$B161,Database!$C:$C,CH$1,Database!$F:$F,"Total")</f>
        <v>0</v>
      </c>
      <c r="CI161" s="137">
        <f>SUMIFS(Database!$G:$G,Database!$D:$D,"Export",Database!$E:$E,$B161,Database!$C:$C,CI$1,Database!$F:$F,"Total")</f>
        <v>0</v>
      </c>
      <c r="CJ161" s="137">
        <f>SUMIFS(Database!$G:$G,Database!$D:$D,"Export",Database!$E:$E,$B161,Database!$C:$C,CJ$1,Database!$F:$F,"Total")</f>
        <v>0</v>
      </c>
      <c r="CK161" s="137">
        <f>SUMIFS(Database!$G:$G,Database!$D:$D,"Export",Database!$E:$E,$B161,Database!$C:$C,CK$1,Database!$F:$F,"Total")</f>
        <v>0</v>
      </c>
      <c r="CL161" s="137">
        <f>SUMIFS(Database!$G:$G,Database!$D:$D,"Export",Database!$E:$E,$B161,Database!$C:$C,CL$1,Database!$F:$F,"Total")</f>
        <v>0</v>
      </c>
      <c r="CM161" s="137">
        <f>SUMIFS(Database!$G:$G,Database!$D:$D,"Export",Database!$E:$E,$B161,Database!$C:$C,CM$1,Database!$F:$F,"Total")</f>
        <v>0</v>
      </c>
      <c r="CN161" s="137">
        <f>SUMIFS(Database!$G:$G,Database!$D:$D,"Export",Database!$E:$E,$B161,Database!$C:$C,CN$1,Database!$F:$F,"Total")</f>
        <v>0</v>
      </c>
      <c r="CO161" s="137">
        <f>SUMIFS(Database!$G:$G,Database!$D:$D,"Export",Database!$E:$E,$B161,Database!$C:$C,CO$1,Database!$F:$F,"Total")</f>
        <v>0</v>
      </c>
      <c r="CP161" s="137">
        <f>SUMIFS(Database!$G:$G,Database!$D:$D,"Export",Database!$E:$E,$B161,Database!$C:$C,CP$1,Database!$F:$F,"Total")</f>
        <v>0</v>
      </c>
      <c r="CQ161" s="137">
        <f>SUMIFS(Database!$G:$G,Database!$D:$D,"Export",Database!$E:$E,$B161,Database!$C:$C,CQ$1,Database!$F:$F,"Total")</f>
        <v>0</v>
      </c>
      <c r="CR161" s="137">
        <f>SUMIFS(Database!$G:$G,Database!$D:$D,"Export",Database!$E:$E,$B161,Database!$C:$C,CR$1,Database!$F:$F,"Total")</f>
        <v>0</v>
      </c>
      <c r="CS161" s="137">
        <f>SUMIFS(Database!$G:$G,Database!$D:$D,"Export",Database!$E:$E,$B161,Database!$C:$C,CS$1,Database!$F:$F,"Total")</f>
        <v>0</v>
      </c>
      <c r="CT161" s="137">
        <f>SUMIFS(Database!$G:$G,Database!$D:$D,"Export",Database!$E:$E,$B161,Database!$C:$C,CT$1,Database!$F:$F,"Total")</f>
        <v>0</v>
      </c>
      <c r="CU161" s="137">
        <f>SUMIFS(Database!$G:$G,Database!$D:$D,"Export",Database!$E:$E,$B161,Database!$C:$C,CU$1,Database!$F:$F,"Total")</f>
        <v>0</v>
      </c>
    </row>
    <row r="162" spans="1:99" x14ac:dyDescent="0.25">
      <c r="A162" s="132" t="s">
        <v>485</v>
      </c>
      <c r="B162" s="133" t="s">
        <v>155</v>
      </c>
      <c r="C162" s="137">
        <f>SUMIFS(Database!$G:$G,Database!$D:$D,"Export",Database!$E:$E,$B162,Database!$C:$C,C$1,Database!$F:$F,"Total")</f>
        <v>0</v>
      </c>
      <c r="D162" s="137">
        <f>SUMIFS(Database!$G:$G,Database!$D:$D,"Export",Database!$E:$E,$B162,Database!$C:$C,D$1,Database!$F:$F,"Total")</f>
        <v>0</v>
      </c>
      <c r="E162" s="137">
        <f>SUMIFS(Database!$G:$G,Database!$D:$D,"Export",Database!$E:$E,$B162,Database!$C:$C,E$1,Database!$F:$F,"Total")</f>
        <v>0</v>
      </c>
      <c r="F162" s="137">
        <f>SUMIFS(Database!$G:$G,Database!$D:$D,"Export",Database!$E:$E,$B162,Database!$C:$C,F$1,Database!$F:$F,"Total")</f>
        <v>0</v>
      </c>
      <c r="G162" s="137">
        <f>SUMIFS(Database!$G:$G,Database!$D:$D,"Export",Database!$E:$E,$B162,Database!$C:$C,G$1,Database!$F:$F,"Total")</f>
        <v>0</v>
      </c>
      <c r="H162" s="137">
        <f>SUMIFS(Database!$G:$G,Database!$D:$D,"Export",Database!$E:$E,$B162,Database!$C:$C,H$1,Database!$F:$F,"Total")</f>
        <v>0</v>
      </c>
      <c r="I162" s="137">
        <f>SUMIFS(Database!$G:$G,Database!$D:$D,"Export",Database!$E:$E,$B162,Database!$C:$C,I$1,Database!$F:$F,"Total")</f>
        <v>0</v>
      </c>
      <c r="J162" s="137">
        <f>SUMIFS(Database!$G:$G,Database!$D:$D,"Export",Database!$E:$E,$B162,Database!$C:$C,J$1,Database!$F:$F,"Total")</f>
        <v>0</v>
      </c>
      <c r="K162" s="137">
        <f>SUMIFS(Database!$G:$G,Database!$D:$D,"Export",Database!$E:$E,$B162,Database!$C:$C,K$1,Database!$F:$F,"Total")</f>
        <v>0</v>
      </c>
      <c r="L162" s="137">
        <f>SUMIFS(Database!$G:$G,Database!$D:$D,"Export",Database!$E:$E,$B162,Database!$C:$C,L$1,Database!$F:$F,"Total")</f>
        <v>0</v>
      </c>
      <c r="M162" s="137">
        <f>SUMIFS(Database!$G:$G,Database!$D:$D,"Export",Database!$E:$E,$B162,Database!$C:$C,M$1,Database!$F:$F,"Total")</f>
        <v>0</v>
      </c>
      <c r="N162" s="137">
        <f>SUMIFS(Database!$G:$G,Database!$D:$D,"Export",Database!$E:$E,$B162,Database!$C:$C,N$1,Database!$F:$F,"Total")</f>
        <v>0</v>
      </c>
      <c r="O162" s="137">
        <f>SUMIFS(Database!$G:$G,Database!$D:$D,"Export",Database!$E:$E,$B162,Database!$C:$C,O$1,Database!$F:$F,"Total")</f>
        <v>0</v>
      </c>
      <c r="P162" s="137">
        <f>SUMIFS(Database!$G:$G,Database!$D:$D,"Export",Database!$E:$E,$B162,Database!$C:$C,P$1,Database!$F:$F,"Total")</f>
        <v>0</v>
      </c>
      <c r="Q162" s="137">
        <f>SUMIFS(Database!$G:$G,Database!$D:$D,"Export",Database!$E:$E,$B162,Database!$C:$C,Q$1,Database!$F:$F,"Total")</f>
        <v>0</v>
      </c>
      <c r="R162" s="137">
        <f>SUMIFS(Database!$G:$G,Database!$D:$D,"Export",Database!$E:$E,$B162,Database!$C:$C,R$1,Database!$F:$F,"Total")</f>
        <v>0</v>
      </c>
      <c r="S162" s="137">
        <f>SUMIFS(Database!$G:$G,Database!$D:$D,"Export",Database!$E:$E,$B162,Database!$C:$C,S$1,Database!$F:$F,"Total")</f>
        <v>0</v>
      </c>
      <c r="T162" s="137">
        <f>SUMIFS(Database!$G:$G,Database!$D:$D,"Export",Database!$E:$E,$B162,Database!$C:$C,T$1,Database!$F:$F,"Total")</f>
        <v>0</v>
      </c>
      <c r="U162" s="137">
        <f>SUMIFS(Database!$G:$G,Database!$D:$D,"Export",Database!$E:$E,$B162,Database!$C:$C,U$1,Database!$F:$F,"Total")</f>
        <v>0</v>
      </c>
      <c r="V162" s="137">
        <f>SUMIFS(Database!$G:$G,Database!$D:$D,"Export",Database!$E:$E,$B162,Database!$C:$C,V$1,Database!$F:$F,"Total")</f>
        <v>0</v>
      </c>
      <c r="W162" s="137">
        <f>SUMIFS(Database!$G:$G,Database!$D:$D,"Export",Database!$E:$E,$B162,Database!$C:$C,W$1,Database!$F:$F,"Total")</f>
        <v>0</v>
      </c>
      <c r="X162" s="137">
        <f>SUMIFS(Database!$G:$G,Database!$D:$D,"Export",Database!$E:$E,$B162,Database!$C:$C,X$1,Database!$F:$F,"Total")</f>
        <v>0</v>
      </c>
      <c r="Y162" s="137">
        <f>SUMIFS(Database!$G:$G,Database!$D:$D,"Export",Database!$E:$E,$B162,Database!$C:$C,Y$1,Database!$F:$F,"Total")</f>
        <v>0</v>
      </c>
      <c r="Z162" s="137">
        <f>SUMIFS(Database!$G:$G,Database!$D:$D,"Export",Database!$E:$E,$B162,Database!$C:$C,Z$1,Database!$F:$F,"Total")</f>
        <v>0</v>
      </c>
      <c r="AA162" s="137">
        <f>SUMIFS(Database!$G:$G,Database!$D:$D,"Export",Database!$E:$E,$B162,Database!$C:$C,AA$1,Database!$F:$F,"Total")</f>
        <v>0</v>
      </c>
      <c r="AB162" s="137">
        <f>SUMIFS(Database!$G:$G,Database!$D:$D,"Export",Database!$E:$E,$B162,Database!$C:$C,AB$1,Database!$F:$F,"Total")</f>
        <v>0</v>
      </c>
      <c r="AC162" s="137">
        <f>SUMIFS(Database!$G:$G,Database!$D:$D,"Export",Database!$E:$E,$B162,Database!$C:$C,AC$1,Database!$F:$F,"Total")</f>
        <v>0</v>
      </c>
      <c r="AD162" s="137">
        <f>SUMIFS(Database!$G:$G,Database!$D:$D,"Export",Database!$E:$E,$B162,Database!$C:$C,AD$1,Database!$F:$F,"Total")</f>
        <v>0</v>
      </c>
      <c r="AE162" s="137">
        <f>SUMIFS(Database!$G:$G,Database!$D:$D,"Export",Database!$E:$E,$B162,Database!$C:$C,AE$1,Database!$F:$F,"Total")</f>
        <v>78373</v>
      </c>
      <c r="AF162" s="137">
        <f>SUMIFS(Database!$G:$G,Database!$D:$D,"Export",Database!$E:$E,$B162,Database!$C:$C,AF$1,Database!$F:$F,"Total")</f>
        <v>87896</v>
      </c>
      <c r="AG162" s="137">
        <f>SUMIFS(Database!$G:$G,Database!$D:$D,"Export",Database!$E:$E,$B162,Database!$C:$C,AG$1,Database!$F:$F,"Total")</f>
        <v>0</v>
      </c>
      <c r="AH162" s="137">
        <f>SUMIFS(Database!$G:$G,Database!$D:$D,"Export",Database!$E:$E,$B162,Database!$C:$C,AH$1,Database!$F:$F,"Total")</f>
        <v>96347</v>
      </c>
      <c r="AI162" s="137">
        <f>SUMIFS(Database!$G:$G,Database!$D:$D,"Export",Database!$E:$E,$B162,Database!$C:$C,AI$1,Database!$F:$F,"Total")</f>
        <v>123251</v>
      </c>
      <c r="AJ162" s="137">
        <f>SUMIFS(Database!$G:$G,Database!$D:$D,"Export",Database!$E:$E,$B162,Database!$C:$C,AJ$1,Database!$F:$F,"Total")</f>
        <v>129544</v>
      </c>
      <c r="AK162" s="137">
        <f>SUMIFS(Database!$G:$G,Database!$D:$D,"Export",Database!$E:$E,$B162,Database!$C:$C,AK$1,Database!$F:$F,"Total")</f>
        <v>107387</v>
      </c>
      <c r="AL162" s="137">
        <f>SUMIFS(Database!$G:$G,Database!$D:$D,"Export",Database!$E:$E,$B162,Database!$C:$C,AL$1,Database!$F:$F,"Total")</f>
        <v>103352</v>
      </c>
      <c r="AM162" s="137">
        <f>SUMIFS(Database!$G:$G,Database!$D:$D,"Export",Database!$E:$E,$B162,Database!$C:$C,AM$1,Database!$F:$F,"Total")</f>
        <v>137906</v>
      </c>
      <c r="AN162" s="137">
        <f>SUMIFS(Database!$G:$G,Database!$D:$D,"Export",Database!$E:$E,$B162,Database!$C:$C,AN$1,Database!$F:$F,"Total")</f>
        <v>133996</v>
      </c>
      <c r="AO162" s="137">
        <f>SUMIFS(Database!$G:$G,Database!$D:$D,"Export",Database!$E:$E,$B162,Database!$C:$C,AO$1,Database!$F:$F,"Total")</f>
        <v>123175</v>
      </c>
      <c r="AP162" s="137">
        <f>SUMIFS(Database!$G:$G,Database!$D:$D,"Export",Database!$E:$E,$B162,Database!$C:$C,AP$1,Database!$F:$F,"Total")</f>
        <v>121444</v>
      </c>
      <c r="AQ162" s="137">
        <f>SUMIFS(Database!$G:$G,Database!$D:$D,"Export",Database!$E:$E,$B162,Database!$C:$C,AQ$1,Database!$F:$F,"Total")</f>
        <v>104463</v>
      </c>
      <c r="AR162" s="137">
        <f>SUMIFS(Database!$G:$G,Database!$D:$D,"Export",Database!$E:$E,$B162,Database!$C:$C,AR$1,Database!$F:$F,"Total")</f>
        <v>108703</v>
      </c>
      <c r="AS162" s="137">
        <f>SUMIFS(Database!$G:$G,Database!$D:$D,"Export",Database!$E:$E,$B162,Database!$C:$C,AS$1,Database!$F:$F,"Total")</f>
        <v>127751</v>
      </c>
      <c r="AT162" s="137">
        <f>SUMIFS(Database!$G:$G,Database!$D:$D,"Export",Database!$E:$E,$B162,Database!$C:$C,AT$1,Database!$F:$F,"Total")</f>
        <v>105283</v>
      </c>
      <c r="AU162" s="137">
        <f>SUMIFS(Database!$G:$G,Database!$D:$D,"Export",Database!$E:$E,$B162,Database!$C:$C,AU$1,Database!$F:$F,"Total")</f>
        <v>97548</v>
      </c>
      <c r="AV162" s="137">
        <f>SUMIFS(Database!$G:$G,Database!$D:$D,"Export",Database!$E:$E,$B162,Database!$C:$C,AV$1,Database!$F:$F,"Total")</f>
        <v>101846</v>
      </c>
      <c r="AW162" s="137">
        <f>SUMIFS(Database!$G:$G,Database!$D:$D,"Export",Database!$E:$E,$B162,Database!$C:$C,AW$1,Database!$F:$F,"Total")</f>
        <v>119767</v>
      </c>
      <c r="AX162" s="137">
        <f>SUMIFS(Database!$G:$G,Database!$D:$D,"Export",Database!$E:$E,$B162,Database!$C:$C,AX$1,Database!$F:$F,"Total")</f>
        <v>93881</v>
      </c>
      <c r="AY162" s="137">
        <f>SUMIFS(Database!$G:$G,Database!$D:$D,"Export",Database!$E:$E,$B162,Database!$C:$C,AY$1,Database!$F:$F,"Total")</f>
        <v>116012</v>
      </c>
      <c r="AZ162" s="137">
        <f>SUMIFS(Database!$G:$G,Database!$D:$D,"Export",Database!$E:$E,$B162,Database!$C:$C,AZ$1,Database!$F:$F,"Total")</f>
        <v>113813</v>
      </c>
      <c r="BA162" s="137">
        <f>SUMIFS(Database!$G:$G,Database!$D:$D,"Export",Database!$E:$E,$B162,Database!$C:$C,BA$1,Database!$F:$F,"Total")</f>
        <v>108305</v>
      </c>
      <c r="BB162" s="137">
        <f>SUMIFS(Database!$G:$G,Database!$D:$D,"Export",Database!$E:$E,$B162,Database!$C:$C,BB$1,Database!$F:$F,"Total")</f>
        <v>115065</v>
      </c>
      <c r="BC162" s="137">
        <f>SUMIFS(Database!$G:$G,Database!$D:$D,"Export",Database!$E:$E,$B162,Database!$C:$C,BC$1,Database!$F:$F,"Total")</f>
        <v>111512</v>
      </c>
      <c r="BD162" s="137">
        <f>SUMIFS(Database!$G:$G,Database!$D:$D,"Export",Database!$E:$E,$B162,Database!$C:$C,BD$1,Database!$F:$F,"Total")</f>
        <v>88551</v>
      </c>
      <c r="BE162" s="137">
        <f>SUMIFS(Database!$G:$G,Database!$D:$D,"Export",Database!$E:$E,$B162,Database!$C:$C,BE$1,Database!$F:$F,"Total")</f>
        <v>94905</v>
      </c>
      <c r="BF162" s="137">
        <f>SUMIFS(Database!$G:$G,Database!$D:$D,"Export",Database!$E:$E,$B162,Database!$C:$C,BF$1,Database!$F:$F,"Total")</f>
        <v>99225</v>
      </c>
      <c r="BG162" s="137">
        <f>SUMIFS(Database!$G:$G,Database!$D:$D,"Export",Database!$E:$E,$B162,Database!$C:$C,BG$1,Database!$F:$F,"Total")</f>
        <v>73814</v>
      </c>
      <c r="BH162" s="137">
        <f>SUMIFS(Database!$G:$G,Database!$D:$D,"Export",Database!$E:$E,$B162,Database!$C:$C,BH$1,Database!$F:$F,"Total")</f>
        <v>99978</v>
      </c>
      <c r="BI162" s="137">
        <f>SUMIFS(Database!$G:$G,Database!$D:$D,"Export",Database!$E:$E,$B162,Database!$C:$C,BI$1,Database!$F:$F,"Total")</f>
        <v>0</v>
      </c>
      <c r="BJ162" s="137">
        <f>SUMIFS(Database!$G:$G,Database!$D:$D,"Export",Database!$E:$E,$B162,Database!$C:$C,BJ$1,Database!$F:$F,"Total")</f>
        <v>81908</v>
      </c>
      <c r="BK162" s="137">
        <f>SUMIFS(Database!$G:$G,Database!$D:$D,"Export",Database!$E:$E,$B162,Database!$C:$C,BK$1,Database!$F:$F,"Total")</f>
        <v>91150</v>
      </c>
      <c r="BL162" s="137">
        <f>SUMIFS(Database!$G:$G,Database!$D:$D,"Export",Database!$E:$E,$B162,Database!$C:$C,BL$1,Database!$F:$F,"Total")</f>
        <v>0</v>
      </c>
      <c r="BM162" s="137">
        <f>SUMIFS(Database!$G:$G,Database!$D:$D,"Export",Database!$E:$E,$B162,Database!$C:$C,BM$1,Database!$F:$F,"Total")</f>
        <v>0</v>
      </c>
      <c r="BN162" s="137">
        <f>SUMIFS(Database!$G:$G,Database!$D:$D,"Export",Database!$E:$E,$B162,Database!$C:$C,BN$1,Database!$F:$F,"Total")</f>
        <v>83453</v>
      </c>
      <c r="BO162" s="137">
        <f>SUMIFS(Database!$G:$G,Database!$D:$D,"Export",Database!$E:$E,$B162,Database!$C:$C,BO$1,Database!$F:$F,"Total")</f>
        <v>0</v>
      </c>
      <c r="BP162" s="137">
        <f>SUMIFS(Database!$G:$G,Database!$D:$D,"Export",Database!$E:$E,$B162,Database!$C:$C,BP$1,Database!$F:$F,"Total")</f>
        <v>78711</v>
      </c>
      <c r="BQ162" s="137">
        <f>SUMIFS(Database!$G:$G,Database!$D:$D,"Export",Database!$E:$E,$B162,Database!$C:$C,BQ$1,Database!$F:$F,"Total")</f>
        <v>69839</v>
      </c>
      <c r="BR162" s="137">
        <f>SUMIFS(Database!$G:$G,Database!$D:$D,"Export",Database!$E:$E,$B162,Database!$C:$C,BR$1,Database!$F:$F,"Total")</f>
        <v>61287</v>
      </c>
      <c r="BS162" s="137">
        <f>SUMIFS(Database!$G:$G,Database!$D:$D,"Export",Database!$E:$E,$B162,Database!$C:$C,BS$1,Database!$F:$F,"Total")</f>
        <v>56220</v>
      </c>
      <c r="BT162" s="137">
        <f>SUMIFS(Database!$G:$G,Database!$D:$D,"Export",Database!$E:$E,$B162,Database!$C:$C,BT$1,Database!$F:$F,"Total")</f>
        <v>49018</v>
      </c>
      <c r="BU162" s="137">
        <f>SUMIFS(Database!$G:$G,Database!$D:$D,"Export",Database!$E:$E,$B162,Database!$C:$C,BU$1,Database!$F:$F,"Total")</f>
        <v>42219</v>
      </c>
      <c r="BV162" s="137">
        <f>SUMIFS(Database!$G:$G,Database!$D:$D,"Export",Database!$E:$E,$B162,Database!$C:$C,BV$1,Database!$F:$F,"Total")</f>
        <v>0</v>
      </c>
      <c r="BW162" s="137">
        <f>SUMIFS(Database!$G:$G,Database!$D:$D,"Export",Database!$E:$E,$B162,Database!$C:$C,BW$1,Database!$F:$F,"Total")</f>
        <v>0</v>
      </c>
      <c r="BX162" s="137">
        <f>SUMIFS(Database!$G:$G,Database!$D:$D,"Export",Database!$E:$E,$B162,Database!$C:$C,BX$1,Database!$F:$F,"Total")</f>
        <v>0</v>
      </c>
      <c r="BY162" s="137">
        <f>SUMIFS(Database!$G:$G,Database!$D:$D,"Export",Database!$E:$E,$B162,Database!$C:$C,BY$1,Database!$F:$F,"Total")</f>
        <v>0</v>
      </c>
      <c r="BZ162" s="137">
        <f>SUMIFS(Database!$G:$G,Database!$D:$D,"Export",Database!$E:$E,$B162,Database!$C:$C,BZ$1,Database!$F:$F,"Total")</f>
        <v>0</v>
      </c>
      <c r="CA162" s="137">
        <f>SUMIFS(Database!$G:$G,Database!$D:$D,"Export",Database!$E:$E,$B162,Database!$C:$C,CA$1,Database!$F:$F,"Total")</f>
        <v>0</v>
      </c>
      <c r="CB162" s="137">
        <f>SUMIFS(Database!$G:$G,Database!$D:$D,"Export",Database!$E:$E,$B162,Database!$C:$C,CB$1,Database!$F:$F,"Total")</f>
        <v>0</v>
      </c>
      <c r="CC162" s="137">
        <f>SUMIFS(Database!$G:$G,Database!$D:$D,"Export",Database!$E:$E,$B162,Database!$C:$C,CC$1,Database!$F:$F,"Total")</f>
        <v>0</v>
      </c>
      <c r="CD162" s="137">
        <f>SUMIFS(Database!$G:$G,Database!$D:$D,"Export",Database!$E:$E,$B162,Database!$C:$C,CD$1,Database!$F:$F,"Total")</f>
        <v>0</v>
      </c>
      <c r="CE162" s="137">
        <f>SUMIFS(Database!$G:$G,Database!$D:$D,"Export",Database!$E:$E,$B162,Database!$C:$C,CE$1,Database!$F:$F,"Total")</f>
        <v>0</v>
      </c>
      <c r="CF162" s="137">
        <f>SUMIFS(Database!$G:$G,Database!$D:$D,"Export",Database!$E:$E,$B162,Database!$C:$C,CF$1,Database!$F:$F,"Total")</f>
        <v>0</v>
      </c>
      <c r="CG162" s="137">
        <f>SUMIFS(Database!$G:$G,Database!$D:$D,"Export",Database!$E:$E,$B162,Database!$C:$C,CG$1,Database!$F:$F,"Total")</f>
        <v>0</v>
      </c>
      <c r="CH162" s="137">
        <f>SUMIFS(Database!$G:$G,Database!$D:$D,"Export",Database!$E:$E,$B162,Database!$C:$C,CH$1,Database!$F:$F,"Total")</f>
        <v>0</v>
      </c>
      <c r="CI162" s="137">
        <f>SUMIFS(Database!$G:$G,Database!$D:$D,"Export",Database!$E:$E,$B162,Database!$C:$C,CI$1,Database!$F:$F,"Total")</f>
        <v>0</v>
      </c>
      <c r="CJ162" s="137">
        <f>SUMIFS(Database!$G:$G,Database!$D:$D,"Export",Database!$E:$E,$B162,Database!$C:$C,CJ$1,Database!$F:$F,"Total")</f>
        <v>0</v>
      </c>
      <c r="CK162" s="137">
        <f>SUMIFS(Database!$G:$G,Database!$D:$D,"Export",Database!$E:$E,$B162,Database!$C:$C,CK$1,Database!$F:$F,"Total")</f>
        <v>0</v>
      </c>
      <c r="CL162" s="137">
        <f>SUMIFS(Database!$G:$G,Database!$D:$D,"Export",Database!$E:$E,$B162,Database!$C:$C,CL$1,Database!$F:$F,"Total")</f>
        <v>0</v>
      </c>
      <c r="CM162" s="137">
        <f>SUMIFS(Database!$G:$G,Database!$D:$D,"Export",Database!$E:$E,$B162,Database!$C:$C,CM$1,Database!$F:$F,"Total")</f>
        <v>0</v>
      </c>
      <c r="CN162" s="137">
        <f>SUMIFS(Database!$G:$G,Database!$D:$D,"Export",Database!$E:$E,$B162,Database!$C:$C,CN$1,Database!$F:$F,"Total")</f>
        <v>0</v>
      </c>
      <c r="CO162" s="137">
        <f>SUMIFS(Database!$G:$G,Database!$D:$D,"Export",Database!$E:$E,$B162,Database!$C:$C,CO$1,Database!$F:$F,"Total")</f>
        <v>0</v>
      </c>
      <c r="CP162" s="137">
        <f>SUMIFS(Database!$G:$G,Database!$D:$D,"Export",Database!$E:$E,$B162,Database!$C:$C,CP$1,Database!$F:$F,"Total")</f>
        <v>0</v>
      </c>
      <c r="CQ162" s="137">
        <f>SUMIFS(Database!$G:$G,Database!$D:$D,"Export",Database!$E:$E,$B162,Database!$C:$C,CQ$1,Database!$F:$F,"Total")</f>
        <v>0</v>
      </c>
      <c r="CR162" s="137">
        <f>SUMIFS(Database!$G:$G,Database!$D:$D,"Export",Database!$E:$E,$B162,Database!$C:$C,CR$1,Database!$F:$F,"Total")</f>
        <v>0</v>
      </c>
      <c r="CS162" s="137">
        <f>SUMIFS(Database!$G:$G,Database!$D:$D,"Export",Database!$E:$E,$B162,Database!$C:$C,CS$1,Database!$F:$F,"Total")</f>
        <v>0</v>
      </c>
      <c r="CT162" s="137">
        <f>SUMIFS(Database!$G:$G,Database!$D:$D,"Export",Database!$E:$E,$B162,Database!$C:$C,CT$1,Database!$F:$F,"Total")</f>
        <v>0</v>
      </c>
      <c r="CU162" s="137">
        <f>SUMIFS(Database!$G:$G,Database!$D:$D,"Export",Database!$E:$E,$B162,Database!$C:$C,CU$1,Database!$F:$F,"Total")</f>
        <v>0</v>
      </c>
    </row>
    <row r="163" spans="1:99" x14ac:dyDescent="0.25">
      <c r="A163" s="132" t="s">
        <v>485</v>
      </c>
      <c r="B163" s="133" t="s">
        <v>156</v>
      </c>
      <c r="C163" s="137">
        <f>SUMIFS(Database!$G:$G,Database!$D:$D,"Export",Database!$E:$E,$B163,Database!$C:$C,C$1,Database!$F:$F,"Total")</f>
        <v>0</v>
      </c>
      <c r="D163" s="137">
        <f>SUMIFS(Database!$G:$G,Database!$D:$D,"Export",Database!$E:$E,$B163,Database!$C:$C,D$1,Database!$F:$F,"Total")</f>
        <v>0</v>
      </c>
      <c r="E163" s="137">
        <f>SUMIFS(Database!$G:$G,Database!$D:$D,"Export",Database!$E:$E,$B163,Database!$C:$C,E$1,Database!$F:$F,"Total")</f>
        <v>0</v>
      </c>
      <c r="F163" s="137">
        <f>SUMIFS(Database!$G:$G,Database!$D:$D,"Export",Database!$E:$E,$B163,Database!$C:$C,F$1,Database!$F:$F,"Total")</f>
        <v>0</v>
      </c>
      <c r="G163" s="137">
        <f>SUMIFS(Database!$G:$G,Database!$D:$D,"Export",Database!$E:$E,$B163,Database!$C:$C,G$1,Database!$F:$F,"Total")</f>
        <v>0</v>
      </c>
      <c r="H163" s="137">
        <f>SUMIFS(Database!$G:$G,Database!$D:$D,"Export",Database!$E:$E,$B163,Database!$C:$C,H$1,Database!$F:$F,"Total")</f>
        <v>0</v>
      </c>
      <c r="I163" s="137">
        <f>SUMIFS(Database!$G:$G,Database!$D:$D,"Export",Database!$E:$E,$B163,Database!$C:$C,I$1,Database!$F:$F,"Total")</f>
        <v>0</v>
      </c>
      <c r="J163" s="137">
        <f>SUMIFS(Database!$G:$G,Database!$D:$D,"Export",Database!$E:$E,$B163,Database!$C:$C,J$1,Database!$F:$F,"Total")</f>
        <v>0</v>
      </c>
      <c r="K163" s="137">
        <f>SUMIFS(Database!$G:$G,Database!$D:$D,"Export",Database!$E:$E,$B163,Database!$C:$C,K$1,Database!$F:$F,"Total")</f>
        <v>0</v>
      </c>
      <c r="L163" s="137">
        <f>SUMIFS(Database!$G:$G,Database!$D:$D,"Export",Database!$E:$E,$B163,Database!$C:$C,L$1,Database!$F:$F,"Total")</f>
        <v>0</v>
      </c>
      <c r="M163" s="137">
        <f>SUMIFS(Database!$G:$G,Database!$D:$D,"Export",Database!$E:$E,$B163,Database!$C:$C,M$1,Database!$F:$F,"Total")</f>
        <v>0</v>
      </c>
      <c r="N163" s="137">
        <f>SUMIFS(Database!$G:$G,Database!$D:$D,"Export",Database!$E:$E,$B163,Database!$C:$C,N$1,Database!$F:$F,"Total")</f>
        <v>0</v>
      </c>
      <c r="O163" s="137">
        <f>SUMIFS(Database!$G:$G,Database!$D:$D,"Export",Database!$E:$E,$B163,Database!$C:$C,O$1,Database!$F:$F,"Total")</f>
        <v>0</v>
      </c>
      <c r="P163" s="137">
        <f>SUMIFS(Database!$G:$G,Database!$D:$D,"Export",Database!$E:$E,$B163,Database!$C:$C,P$1,Database!$F:$F,"Total")</f>
        <v>0</v>
      </c>
      <c r="Q163" s="137">
        <f>SUMIFS(Database!$G:$G,Database!$D:$D,"Export",Database!$E:$E,$B163,Database!$C:$C,Q$1,Database!$F:$F,"Total")</f>
        <v>0</v>
      </c>
      <c r="R163" s="137">
        <f>SUMIFS(Database!$G:$G,Database!$D:$D,"Export",Database!$E:$E,$B163,Database!$C:$C,R$1,Database!$F:$F,"Total")</f>
        <v>0</v>
      </c>
      <c r="S163" s="137">
        <f>SUMIFS(Database!$G:$G,Database!$D:$D,"Export",Database!$E:$E,$B163,Database!$C:$C,S$1,Database!$F:$F,"Total")</f>
        <v>0</v>
      </c>
      <c r="T163" s="137">
        <f>SUMIFS(Database!$G:$G,Database!$D:$D,"Export",Database!$E:$E,$B163,Database!$C:$C,T$1,Database!$F:$F,"Total")</f>
        <v>0</v>
      </c>
      <c r="U163" s="137">
        <f>SUMIFS(Database!$G:$G,Database!$D:$D,"Export",Database!$E:$E,$B163,Database!$C:$C,U$1,Database!$F:$F,"Total")</f>
        <v>0</v>
      </c>
      <c r="V163" s="137">
        <f>SUMIFS(Database!$G:$G,Database!$D:$D,"Export",Database!$E:$E,$B163,Database!$C:$C,V$1,Database!$F:$F,"Total")</f>
        <v>0</v>
      </c>
      <c r="W163" s="137">
        <f>SUMIFS(Database!$G:$G,Database!$D:$D,"Export",Database!$E:$E,$B163,Database!$C:$C,W$1,Database!$F:$F,"Total")</f>
        <v>0</v>
      </c>
      <c r="X163" s="137">
        <f>SUMIFS(Database!$G:$G,Database!$D:$D,"Export",Database!$E:$E,$B163,Database!$C:$C,X$1,Database!$F:$F,"Total")</f>
        <v>0</v>
      </c>
      <c r="Y163" s="137">
        <f>SUMIFS(Database!$G:$G,Database!$D:$D,"Export",Database!$E:$E,$B163,Database!$C:$C,Y$1,Database!$F:$F,"Total")</f>
        <v>0</v>
      </c>
      <c r="Z163" s="137">
        <f>SUMIFS(Database!$G:$G,Database!$D:$D,"Export",Database!$E:$E,$B163,Database!$C:$C,Z$1,Database!$F:$F,"Total")</f>
        <v>0</v>
      </c>
      <c r="AA163" s="137">
        <f>SUMIFS(Database!$G:$G,Database!$D:$D,"Export",Database!$E:$E,$B163,Database!$C:$C,AA$1,Database!$F:$F,"Total")</f>
        <v>0</v>
      </c>
      <c r="AB163" s="137">
        <f>SUMIFS(Database!$G:$G,Database!$D:$D,"Export",Database!$E:$E,$B163,Database!$C:$C,AB$1,Database!$F:$F,"Total")</f>
        <v>0</v>
      </c>
      <c r="AC163" s="137">
        <f>SUMIFS(Database!$G:$G,Database!$D:$D,"Export",Database!$E:$E,$B163,Database!$C:$C,AC$1,Database!$F:$F,"Total")</f>
        <v>0</v>
      </c>
      <c r="AD163" s="137">
        <f>SUMIFS(Database!$G:$G,Database!$D:$D,"Export",Database!$E:$E,$B163,Database!$C:$C,AD$1,Database!$F:$F,"Total")</f>
        <v>0</v>
      </c>
      <c r="AE163" s="137">
        <f>SUMIFS(Database!$G:$G,Database!$D:$D,"Export",Database!$E:$E,$B163,Database!$C:$C,AE$1,Database!$F:$F,"Total")</f>
        <v>9966</v>
      </c>
      <c r="AF163" s="137">
        <f>SUMIFS(Database!$G:$G,Database!$D:$D,"Export",Database!$E:$E,$B163,Database!$C:$C,AF$1,Database!$F:$F,"Total")</f>
        <v>11725</v>
      </c>
      <c r="AG163" s="137">
        <f>SUMIFS(Database!$G:$G,Database!$D:$D,"Export",Database!$E:$E,$B163,Database!$C:$C,AG$1,Database!$F:$F,"Total")</f>
        <v>0</v>
      </c>
      <c r="AH163" s="137">
        <f>SUMIFS(Database!$G:$G,Database!$D:$D,"Export",Database!$E:$E,$B163,Database!$C:$C,AH$1,Database!$F:$F,"Total")</f>
        <v>13549</v>
      </c>
      <c r="AI163" s="137">
        <f>SUMIFS(Database!$G:$G,Database!$D:$D,"Export",Database!$E:$E,$B163,Database!$C:$C,AI$1,Database!$F:$F,"Total")</f>
        <v>18704</v>
      </c>
      <c r="AJ163" s="137">
        <f>SUMIFS(Database!$G:$G,Database!$D:$D,"Export",Database!$E:$E,$B163,Database!$C:$C,AJ$1,Database!$F:$F,"Total")</f>
        <v>15405</v>
      </c>
      <c r="AK163" s="137">
        <f>SUMIFS(Database!$G:$G,Database!$D:$D,"Export",Database!$E:$E,$B163,Database!$C:$C,AK$1,Database!$F:$F,"Total")</f>
        <v>11825</v>
      </c>
      <c r="AL163" s="137">
        <f>SUMIFS(Database!$G:$G,Database!$D:$D,"Export",Database!$E:$E,$B163,Database!$C:$C,AL$1,Database!$F:$F,"Total")</f>
        <v>12802</v>
      </c>
      <c r="AM163" s="137">
        <f>SUMIFS(Database!$G:$G,Database!$D:$D,"Export",Database!$E:$E,$B163,Database!$C:$C,AM$1,Database!$F:$F,"Total")</f>
        <v>17977</v>
      </c>
      <c r="AN163" s="137">
        <f>SUMIFS(Database!$G:$G,Database!$D:$D,"Export",Database!$E:$E,$B163,Database!$C:$C,AN$1,Database!$F:$F,"Total")</f>
        <v>18237</v>
      </c>
      <c r="AO163" s="137">
        <f>SUMIFS(Database!$G:$G,Database!$D:$D,"Export",Database!$E:$E,$B163,Database!$C:$C,AO$1,Database!$F:$F,"Total")</f>
        <v>17344</v>
      </c>
      <c r="AP163" s="137">
        <f>SUMIFS(Database!$G:$G,Database!$D:$D,"Export",Database!$E:$E,$B163,Database!$C:$C,AP$1,Database!$F:$F,"Total")</f>
        <v>15836</v>
      </c>
      <c r="AQ163" s="137">
        <f>SUMIFS(Database!$G:$G,Database!$D:$D,"Export",Database!$E:$E,$B163,Database!$C:$C,AQ$1,Database!$F:$F,"Total")</f>
        <v>14596</v>
      </c>
      <c r="AR163" s="137">
        <f>SUMIFS(Database!$G:$G,Database!$D:$D,"Export",Database!$E:$E,$B163,Database!$C:$C,AR$1,Database!$F:$F,"Total")</f>
        <v>4560</v>
      </c>
      <c r="AS163" s="137">
        <f>SUMIFS(Database!$G:$G,Database!$D:$D,"Export",Database!$E:$E,$B163,Database!$C:$C,AS$1,Database!$F:$F,"Total")</f>
        <v>15235</v>
      </c>
      <c r="AT163" s="137">
        <f>SUMIFS(Database!$G:$G,Database!$D:$D,"Export",Database!$E:$E,$B163,Database!$C:$C,AT$1,Database!$F:$F,"Total")</f>
        <v>11357</v>
      </c>
      <c r="AU163" s="137">
        <f>SUMIFS(Database!$G:$G,Database!$D:$D,"Export",Database!$E:$E,$B163,Database!$C:$C,AU$1,Database!$F:$F,"Total")</f>
        <v>10029</v>
      </c>
      <c r="AV163" s="137">
        <f>SUMIFS(Database!$G:$G,Database!$D:$D,"Export",Database!$E:$E,$B163,Database!$C:$C,AV$1,Database!$F:$F,"Total")</f>
        <v>10485</v>
      </c>
      <c r="AW163" s="137">
        <f>SUMIFS(Database!$G:$G,Database!$D:$D,"Export",Database!$E:$E,$B163,Database!$C:$C,AW$1,Database!$F:$F,"Total")</f>
        <v>12224</v>
      </c>
      <c r="AX163" s="137">
        <f>SUMIFS(Database!$G:$G,Database!$D:$D,"Export",Database!$E:$E,$B163,Database!$C:$C,AX$1,Database!$F:$F,"Total")</f>
        <v>9332</v>
      </c>
      <c r="AY163" s="137">
        <f>SUMIFS(Database!$G:$G,Database!$D:$D,"Export",Database!$E:$E,$B163,Database!$C:$C,AY$1,Database!$F:$F,"Total")</f>
        <v>11094</v>
      </c>
      <c r="AZ163" s="137">
        <f>SUMIFS(Database!$G:$G,Database!$D:$D,"Export",Database!$E:$E,$B163,Database!$C:$C,AZ$1,Database!$F:$F,"Total")</f>
        <v>11388</v>
      </c>
      <c r="BA163" s="137">
        <f>SUMIFS(Database!$G:$G,Database!$D:$D,"Export",Database!$E:$E,$B163,Database!$C:$C,BA$1,Database!$F:$F,"Total")</f>
        <v>11450</v>
      </c>
      <c r="BB163" s="137">
        <f>SUMIFS(Database!$G:$G,Database!$D:$D,"Export",Database!$E:$E,$B163,Database!$C:$C,BB$1,Database!$F:$F,"Total")</f>
        <v>11322</v>
      </c>
      <c r="BC163" s="137">
        <f>SUMIFS(Database!$G:$G,Database!$D:$D,"Export",Database!$E:$E,$B163,Database!$C:$C,BC$1,Database!$F:$F,"Total")</f>
        <v>11703</v>
      </c>
      <c r="BD163" s="137">
        <f>SUMIFS(Database!$G:$G,Database!$D:$D,"Export",Database!$E:$E,$B163,Database!$C:$C,BD$1,Database!$F:$F,"Total")</f>
        <v>8705</v>
      </c>
      <c r="BE163" s="137">
        <f>SUMIFS(Database!$G:$G,Database!$D:$D,"Export",Database!$E:$E,$B163,Database!$C:$C,BE$1,Database!$F:$F,"Total")</f>
        <v>9179</v>
      </c>
      <c r="BF163" s="137">
        <f>SUMIFS(Database!$G:$G,Database!$D:$D,"Export",Database!$E:$E,$B163,Database!$C:$C,BF$1,Database!$F:$F,"Total")</f>
        <v>9651</v>
      </c>
      <c r="BG163" s="137">
        <f>SUMIFS(Database!$G:$G,Database!$D:$D,"Export",Database!$E:$E,$B163,Database!$C:$C,BG$1,Database!$F:$F,"Total")</f>
        <v>7380</v>
      </c>
      <c r="BH163" s="137">
        <f>SUMIFS(Database!$G:$G,Database!$D:$D,"Export",Database!$E:$E,$B163,Database!$C:$C,BH$1,Database!$F:$F,"Total")</f>
        <v>9514</v>
      </c>
      <c r="BI163" s="137">
        <f>SUMIFS(Database!$G:$G,Database!$D:$D,"Export",Database!$E:$E,$B163,Database!$C:$C,BI$1,Database!$F:$F,"Total")</f>
        <v>0</v>
      </c>
      <c r="BJ163" s="137">
        <f>SUMIFS(Database!$G:$G,Database!$D:$D,"Export",Database!$E:$E,$B163,Database!$C:$C,BJ$1,Database!$F:$F,"Total")</f>
        <v>8724</v>
      </c>
      <c r="BK163" s="137">
        <f>SUMIFS(Database!$G:$G,Database!$D:$D,"Export",Database!$E:$E,$B163,Database!$C:$C,BK$1,Database!$F:$F,"Total")</f>
        <v>9564</v>
      </c>
      <c r="BL163" s="137">
        <f>SUMIFS(Database!$G:$G,Database!$D:$D,"Export",Database!$E:$E,$B163,Database!$C:$C,BL$1,Database!$F:$F,"Total")</f>
        <v>0</v>
      </c>
      <c r="BM163" s="137">
        <f>SUMIFS(Database!$G:$G,Database!$D:$D,"Export",Database!$E:$E,$B163,Database!$C:$C,BM$1,Database!$F:$F,"Total")</f>
        <v>0</v>
      </c>
      <c r="BN163" s="137">
        <f>SUMIFS(Database!$G:$G,Database!$D:$D,"Export",Database!$E:$E,$B163,Database!$C:$C,BN$1,Database!$F:$F,"Total")</f>
        <v>9199</v>
      </c>
      <c r="BO163" s="137">
        <f>SUMIFS(Database!$G:$G,Database!$D:$D,"Export",Database!$E:$E,$B163,Database!$C:$C,BO$1,Database!$F:$F,"Total")</f>
        <v>0</v>
      </c>
      <c r="BP163" s="137">
        <f>SUMIFS(Database!$G:$G,Database!$D:$D,"Export",Database!$E:$E,$B163,Database!$C:$C,BP$1,Database!$F:$F,"Total")</f>
        <v>10164</v>
      </c>
      <c r="BQ163" s="137">
        <f>SUMIFS(Database!$G:$G,Database!$D:$D,"Export",Database!$E:$E,$B163,Database!$C:$C,BQ$1,Database!$F:$F,"Total")</f>
        <v>8860.5</v>
      </c>
      <c r="BR163" s="137">
        <f>SUMIFS(Database!$G:$G,Database!$D:$D,"Export",Database!$E:$E,$B163,Database!$C:$C,BR$1,Database!$F:$F,"Total")</f>
        <v>8098</v>
      </c>
      <c r="BS163" s="137">
        <f>SUMIFS(Database!$G:$G,Database!$D:$D,"Export",Database!$E:$E,$B163,Database!$C:$C,BS$1,Database!$F:$F,"Total")</f>
        <v>8758.5</v>
      </c>
      <c r="BT163" s="137">
        <f>SUMIFS(Database!$G:$G,Database!$D:$D,"Export",Database!$E:$E,$B163,Database!$C:$C,BT$1,Database!$F:$F,"Total")</f>
        <v>8975</v>
      </c>
      <c r="BU163" s="137">
        <f>SUMIFS(Database!$G:$G,Database!$D:$D,"Export",Database!$E:$E,$B163,Database!$C:$C,BU$1,Database!$F:$F,"Total")</f>
        <v>5962</v>
      </c>
      <c r="BV163" s="137">
        <f>SUMIFS(Database!$G:$G,Database!$D:$D,"Export",Database!$E:$E,$B163,Database!$C:$C,BV$1,Database!$F:$F,"Total")</f>
        <v>0</v>
      </c>
      <c r="BW163" s="137">
        <f>SUMIFS(Database!$G:$G,Database!$D:$D,"Export",Database!$E:$E,$B163,Database!$C:$C,BW$1,Database!$F:$F,"Total")</f>
        <v>0</v>
      </c>
      <c r="BX163" s="137">
        <f>SUMIFS(Database!$G:$G,Database!$D:$D,"Export",Database!$E:$E,$B163,Database!$C:$C,BX$1,Database!$F:$F,"Total")</f>
        <v>0</v>
      </c>
      <c r="BY163" s="137">
        <f>SUMIFS(Database!$G:$G,Database!$D:$D,"Export",Database!$E:$E,$B163,Database!$C:$C,BY$1,Database!$F:$F,"Total")</f>
        <v>0</v>
      </c>
      <c r="BZ163" s="137">
        <f>SUMIFS(Database!$G:$G,Database!$D:$D,"Export",Database!$E:$E,$B163,Database!$C:$C,BZ$1,Database!$F:$F,"Total")</f>
        <v>0</v>
      </c>
      <c r="CA163" s="137">
        <f>SUMIFS(Database!$G:$G,Database!$D:$D,"Export",Database!$E:$E,$B163,Database!$C:$C,CA$1,Database!$F:$F,"Total")</f>
        <v>0</v>
      </c>
      <c r="CB163" s="137">
        <f>SUMIFS(Database!$G:$G,Database!$D:$D,"Export",Database!$E:$E,$B163,Database!$C:$C,CB$1,Database!$F:$F,"Total")</f>
        <v>0</v>
      </c>
      <c r="CC163" s="137">
        <f>SUMIFS(Database!$G:$G,Database!$D:$D,"Export",Database!$E:$E,$B163,Database!$C:$C,CC$1,Database!$F:$F,"Total")</f>
        <v>0</v>
      </c>
      <c r="CD163" s="137">
        <f>SUMIFS(Database!$G:$G,Database!$D:$D,"Export",Database!$E:$E,$B163,Database!$C:$C,CD$1,Database!$F:$F,"Total")</f>
        <v>0</v>
      </c>
      <c r="CE163" s="137">
        <f>SUMIFS(Database!$G:$G,Database!$D:$D,"Export",Database!$E:$E,$B163,Database!$C:$C,CE$1,Database!$F:$F,"Total")</f>
        <v>0</v>
      </c>
      <c r="CF163" s="137">
        <f>SUMIFS(Database!$G:$G,Database!$D:$D,"Export",Database!$E:$E,$B163,Database!$C:$C,CF$1,Database!$F:$F,"Total")</f>
        <v>0</v>
      </c>
      <c r="CG163" s="137">
        <f>SUMIFS(Database!$G:$G,Database!$D:$D,"Export",Database!$E:$E,$B163,Database!$C:$C,CG$1,Database!$F:$F,"Total")</f>
        <v>0</v>
      </c>
      <c r="CH163" s="137">
        <f>SUMIFS(Database!$G:$G,Database!$D:$D,"Export",Database!$E:$E,$B163,Database!$C:$C,CH$1,Database!$F:$F,"Total")</f>
        <v>0</v>
      </c>
      <c r="CI163" s="137">
        <f>SUMIFS(Database!$G:$G,Database!$D:$D,"Export",Database!$E:$E,$B163,Database!$C:$C,CI$1,Database!$F:$F,"Total")</f>
        <v>0</v>
      </c>
      <c r="CJ163" s="137">
        <f>SUMIFS(Database!$G:$G,Database!$D:$D,"Export",Database!$E:$E,$B163,Database!$C:$C,CJ$1,Database!$F:$F,"Total")</f>
        <v>0</v>
      </c>
      <c r="CK163" s="137">
        <f>SUMIFS(Database!$G:$G,Database!$D:$D,"Export",Database!$E:$E,$B163,Database!$C:$C,CK$1,Database!$F:$F,"Total")</f>
        <v>0</v>
      </c>
      <c r="CL163" s="137">
        <f>SUMIFS(Database!$G:$G,Database!$D:$D,"Export",Database!$E:$E,$B163,Database!$C:$C,CL$1,Database!$F:$F,"Total")</f>
        <v>0</v>
      </c>
      <c r="CM163" s="137">
        <f>SUMIFS(Database!$G:$G,Database!$D:$D,"Export",Database!$E:$E,$B163,Database!$C:$C,CM$1,Database!$F:$F,"Total")</f>
        <v>0</v>
      </c>
      <c r="CN163" s="137">
        <f>SUMIFS(Database!$G:$G,Database!$D:$D,"Export",Database!$E:$E,$B163,Database!$C:$C,CN$1,Database!$F:$F,"Total")</f>
        <v>0</v>
      </c>
      <c r="CO163" s="137">
        <f>SUMIFS(Database!$G:$G,Database!$D:$D,"Export",Database!$E:$E,$B163,Database!$C:$C,CO$1,Database!$F:$F,"Total")</f>
        <v>0</v>
      </c>
      <c r="CP163" s="137">
        <f>SUMIFS(Database!$G:$G,Database!$D:$D,"Export",Database!$E:$E,$B163,Database!$C:$C,CP$1,Database!$F:$F,"Total")</f>
        <v>0</v>
      </c>
      <c r="CQ163" s="137">
        <f>SUMIFS(Database!$G:$G,Database!$D:$D,"Export",Database!$E:$E,$B163,Database!$C:$C,CQ$1,Database!$F:$F,"Total")</f>
        <v>0</v>
      </c>
      <c r="CR163" s="137">
        <f>SUMIFS(Database!$G:$G,Database!$D:$D,"Export",Database!$E:$E,$B163,Database!$C:$C,CR$1,Database!$F:$F,"Total")</f>
        <v>0</v>
      </c>
      <c r="CS163" s="137">
        <f>SUMIFS(Database!$G:$G,Database!$D:$D,"Export",Database!$E:$E,$B163,Database!$C:$C,CS$1,Database!$F:$F,"Total")</f>
        <v>0</v>
      </c>
      <c r="CT163" s="137">
        <f>SUMIFS(Database!$G:$G,Database!$D:$D,"Export",Database!$E:$E,$B163,Database!$C:$C,CT$1,Database!$F:$F,"Total")</f>
        <v>0</v>
      </c>
      <c r="CU163" s="137">
        <f>SUMIFS(Database!$G:$G,Database!$D:$D,"Export",Database!$E:$E,$B163,Database!$C:$C,CU$1,Database!$F:$F,"Total")</f>
        <v>0</v>
      </c>
    </row>
    <row r="164" spans="1:99" x14ac:dyDescent="0.25">
      <c r="A164" s="132" t="s">
        <v>485</v>
      </c>
      <c r="B164" s="133" t="s">
        <v>157</v>
      </c>
      <c r="C164" s="137">
        <f>SUMIFS(Database!$G:$G,Database!$D:$D,"Export",Database!$E:$E,$B164,Database!$C:$C,C$1,Database!$F:$F,"Total")</f>
        <v>0</v>
      </c>
      <c r="D164" s="137">
        <f>SUMIFS(Database!$G:$G,Database!$D:$D,"Export",Database!$E:$E,$B164,Database!$C:$C,D$1,Database!$F:$F,"Total")</f>
        <v>0</v>
      </c>
      <c r="E164" s="137">
        <f>SUMIFS(Database!$G:$G,Database!$D:$D,"Export",Database!$E:$E,$B164,Database!$C:$C,E$1,Database!$F:$F,"Total")</f>
        <v>0</v>
      </c>
      <c r="F164" s="137">
        <f>SUMIFS(Database!$G:$G,Database!$D:$D,"Export",Database!$E:$E,$B164,Database!$C:$C,F$1,Database!$F:$F,"Total")</f>
        <v>0</v>
      </c>
      <c r="G164" s="137">
        <f>SUMIFS(Database!$G:$G,Database!$D:$D,"Export",Database!$E:$E,$B164,Database!$C:$C,G$1,Database!$F:$F,"Total")</f>
        <v>0</v>
      </c>
      <c r="H164" s="137">
        <f>SUMIFS(Database!$G:$G,Database!$D:$D,"Export",Database!$E:$E,$B164,Database!$C:$C,H$1,Database!$F:$F,"Total")</f>
        <v>0</v>
      </c>
      <c r="I164" s="137">
        <f>SUMIFS(Database!$G:$G,Database!$D:$D,"Export",Database!$E:$E,$B164,Database!$C:$C,I$1,Database!$F:$F,"Total")</f>
        <v>0</v>
      </c>
      <c r="J164" s="137">
        <f>SUMIFS(Database!$G:$G,Database!$D:$D,"Export",Database!$E:$E,$B164,Database!$C:$C,J$1,Database!$F:$F,"Total")</f>
        <v>0</v>
      </c>
      <c r="K164" s="137">
        <f>SUMIFS(Database!$G:$G,Database!$D:$D,"Export",Database!$E:$E,$B164,Database!$C:$C,K$1,Database!$F:$F,"Total")</f>
        <v>0</v>
      </c>
      <c r="L164" s="137">
        <f>SUMIFS(Database!$G:$G,Database!$D:$D,"Export",Database!$E:$E,$B164,Database!$C:$C,L$1,Database!$F:$F,"Total")</f>
        <v>0</v>
      </c>
      <c r="M164" s="137">
        <f>SUMIFS(Database!$G:$G,Database!$D:$D,"Export",Database!$E:$E,$B164,Database!$C:$C,M$1,Database!$F:$F,"Total")</f>
        <v>0</v>
      </c>
      <c r="N164" s="137">
        <f>SUMIFS(Database!$G:$G,Database!$D:$D,"Export",Database!$E:$E,$B164,Database!$C:$C,N$1,Database!$F:$F,"Total")</f>
        <v>0</v>
      </c>
      <c r="O164" s="137">
        <f>SUMIFS(Database!$G:$G,Database!$D:$D,"Export",Database!$E:$E,$B164,Database!$C:$C,O$1,Database!$F:$F,"Total")</f>
        <v>0</v>
      </c>
      <c r="P164" s="137">
        <f>SUMIFS(Database!$G:$G,Database!$D:$D,"Export",Database!$E:$E,$B164,Database!$C:$C,P$1,Database!$F:$F,"Total")</f>
        <v>0</v>
      </c>
      <c r="Q164" s="137">
        <f>SUMIFS(Database!$G:$G,Database!$D:$D,"Export",Database!$E:$E,$B164,Database!$C:$C,Q$1,Database!$F:$F,"Total")</f>
        <v>0</v>
      </c>
      <c r="R164" s="137">
        <f>SUMIFS(Database!$G:$G,Database!$D:$D,"Export",Database!$E:$E,$B164,Database!$C:$C,R$1,Database!$F:$F,"Total")</f>
        <v>0</v>
      </c>
      <c r="S164" s="137">
        <f>SUMIFS(Database!$G:$G,Database!$D:$D,"Export",Database!$E:$E,$B164,Database!$C:$C,S$1,Database!$F:$F,"Total")</f>
        <v>0</v>
      </c>
      <c r="T164" s="137">
        <f>SUMIFS(Database!$G:$G,Database!$D:$D,"Export",Database!$E:$E,$B164,Database!$C:$C,T$1,Database!$F:$F,"Total")</f>
        <v>0</v>
      </c>
      <c r="U164" s="137">
        <f>SUMIFS(Database!$G:$G,Database!$D:$D,"Export",Database!$E:$E,$B164,Database!$C:$C,U$1,Database!$F:$F,"Total")</f>
        <v>0</v>
      </c>
      <c r="V164" s="137">
        <f>SUMIFS(Database!$G:$G,Database!$D:$D,"Export",Database!$E:$E,$B164,Database!$C:$C,V$1,Database!$F:$F,"Total")</f>
        <v>0</v>
      </c>
      <c r="W164" s="137">
        <f>SUMIFS(Database!$G:$G,Database!$D:$D,"Export",Database!$E:$E,$B164,Database!$C:$C,W$1,Database!$F:$F,"Total")</f>
        <v>0</v>
      </c>
      <c r="X164" s="137">
        <f>SUMIFS(Database!$G:$G,Database!$D:$D,"Export",Database!$E:$E,$B164,Database!$C:$C,X$1,Database!$F:$F,"Total")</f>
        <v>0</v>
      </c>
      <c r="Y164" s="137">
        <f>SUMIFS(Database!$G:$G,Database!$D:$D,"Export",Database!$E:$E,$B164,Database!$C:$C,Y$1,Database!$F:$F,"Total")</f>
        <v>0</v>
      </c>
      <c r="Z164" s="137">
        <f>SUMIFS(Database!$G:$G,Database!$D:$D,"Export",Database!$E:$E,$B164,Database!$C:$C,Z$1,Database!$F:$F,"Total")</f>
        <v>0</v>
      </c>
      <c r="AA164" s="137">
        <f>SUMIFS(Database!$G:$G,Database!$D:$D,"Export",Database!$E:$E,$B164,Database!$C:$C,AA$1,Database!$F:$F,"Total")</f>
        <v>0</v>
      </c>
      <c r="AB164" s="137">
        <f>SUMIFS(Database!$G:$G,Database!$D:$D,"Export",Database!$E:$E,$B164,Database!$C:$C,AB$1,Database!$F:$F,"Total")</f>
        <v>0</v>
      </c>
      <c r="AC164" s="137">
        <f>SUMIFS(Database!$G:$G,Database!$D:$D,"Export",Database!$E:$E,$B164,Database!$C:$C,AC$1,Database!$F:$F,"Total")</f>
        <v>0</v>
      </c>
      <c r="AD164" s="137">
        <f>SUMIFS(Database!$G:$G,Database!$D:$D,"Export",Database!$E:$E,$B164,Database!$C:$C,AD$1,Database!$F:$F,"Total")</f>
        <v>0</v>
      </c>
      <c r="AE164" s="137">
        <f>SUMIFS(Database!$G:$G,Database!$D:$D,"Export",Database!$E:$E,$B164,Database!$C:$C,AE$1,Database!$F:$F,"Total")</f>
        <v>0</v>
      </c>
      <c r="AF164" s="137">
        <f>SUMIFS(Database!$G:$G,Database!$D:$D,"Export",Database!$E:$E,$B164,Database!$C:$C,AF$1,Database!$F:$F,"Total")</f>
        <v>0</v>
      </c>
      <c r="AG164" s="137">
        <f>SUMIFS(Database!$G:$G,Database!$D:$D,"Export",Database!$E:$E,$B164,Database!$C:$C,AG$1,Database!$F:$F,"Total")</f>
        <v>0</v>
      </c>
      <c r="AH164" s="137">
        <f>SUMIFS(Database!$G:$G,Database!$D:$D,"Export",Database!$E:$E,$B164,Database!$C:$C,AH$1,Database!$F:$F,"Total")</f>
        <v>0</v>
      </c>
      <c r="AI164" s="137">
        <f>SUMIFS(Database!$G:$G,Database!$D:$D,"Export",Database!$E:$E,$B164,Database!$C:$C,AI$1,Database!$F:$F,"Total")</f>
        <v>0</v>
      </c>
      <c r="AJ164" s="137">
        <f>SUMIFS(Database!$G:$G,Database!$D:$D,"Export",Database!$E:$E,$B164,Database!$C:$C,AJ$1,Database!$F:$F,"Total")</f>
        <v>0</v>
      </c>
      <c r="AK164" s="137">
        <f>SUMIFS(Database!$G:$G,Database!$D:$D,"Export",Database!$E:$E,$B164,Database!$C:$C,AK$1,Database!$F:$F,"Total")</f>
        <v>0</v>
      </c>
      <c r="AL164" s="137">
        <f>SUMIFS(Database!$G:$G,Database!$D:$D,"Export",Database!$E:$E,$B164,Database!$C:$C,AL$1,Database!$F:$F,"Total")</f>
        <v>0</v>
      </c>
      <c r="AM164" s="137">
        <f>SUMIFS(Database!$G:$G,Database!$D:$D,"Export",Database!$E:$E,$B164,Database!$C:$C,AM$1,Database!$F:$F,"Total")</f>
        <v>0</v>
      </c>
      <c r="AN164" s="137">
        <f>SUMIFS(Database!$G:$G,Database!$D:$D,"Export",Database!$E:$E,$B164,Database!$C:$C,AN$1,Database!$F:$F,"Total")</f>
        <v>0</v>
      </c>
      <c r="AO164" s="137">
        <f>SUMIFS(Database!$G:$G,Database!$D:$D,"Export",Database!$E:$E,$B164,Database!$C:$C,AO$1,Database!$F:$F,"Total")</f>
        <v>0</v>
      </c>
      <c r="AP164" s="137">
        <f>SUMIFS(Database!$G:$G,Database!$D:$D,"Export",Database!$E:$E,$B164,Database!$C:$C,AP$1,Database!$F:$F,"Total")</f>
        <v>0</v>
      </c>
      <c r="AQ164" s="137">
        <f>SUMIFS(Database!$G:$G,Database!$D:$D,"Export",Database!$E:$E,$B164,Database!$C:$C,AQ$1,Database!$F:$F,"Total")</f>
        <v>0</v>
      </c>
      <c r="AR164" s="137">
        <f>SUMIFS(Database!$G:$G,Database!$D:$D,"Export",Database!$E:$E,$B164,Database!$C:$C,AR$1,Database!$F:$F,"Total")</f>
        <v>0</v>
      </c>
      <c r="AS164" s="137">
        <f>SUMIFS(Database!$G:$G,Database!$D:$D,"Export",Database!$E:$E,$B164,Database!$C:$C,AS$1,Database!$F:$F,"Total")</f>
        <v>0</v>
      </c>
      <c r="AT164" s="137">
        <f>SUMIFS(Database!$G:$G,Database!$D:$D,"Export",Database!$E:$E,$B164,Database!$C:$C,AT$1,Database!$F:$F,"Total")</f>
        <v>0</v>
      </c>
      <c r="AU164" s="137">
        <f>SUMIFS(Database!$G:$G,Database!$D:$D,"Export",Database!$E:$E,$B164,Database!$C:$C,AU$1,Database!$F:$F,"Total")</f>
        <v>0</v>
      </c>
      <c r="AV164" s="137">
        <f>SUMIFS(Database!$G:$G,Database!$D:$D,"Export",Database!$E:$E,$B164,Database!$C:$C,AV$1,Database!$F:$F,"Total")</f>
        <v>0</v>
      </c>
      <c r="AW164" s="137">
        <f>SUMIFS(Database!$G:$G,Database!$D:$D,"Export",Database!$E:$E,$B164,Database!$C:$C,AW$1,Database!$F:$F,"Total")</f>
        <v>0</v>
      </c>
      <c r="AX164" s="137">
        <f>SUMIFS(Database!$G:$G,Database!$D:$D,"Export",Database!$E:$E,$B164,Database!$C:$C,AX$1,Database!$F:$F,"Total")</f>
        <v>0</v>
      </c>
      <c r="AY164" s="137">
        <f>SUMIFS(Database!$G:$G,Database!$D:$D,"Export",Database!$E:$E,$B164,Database!$C:$C,AY$1,Database!$F:$F,"Total")</f>
        <v>0</v>
      </c>
      <c r="AZ164" s="137">
        <f>SUMIFS(Database!$G:$G,Database!$D:$D,"Export",Database!$E:$E,$B164,Database!$C:$C,AZ$1,Database!$F:$F,"Total")</f>
        <v>0</v>
      </c>
      <c r="BA164" s="137">
        <f>SUMIFS(Database!$G:$G,Database!$D:$D,"Export",Database!$E:$E,$B164,Database!$C:$C,BA$1,Database!$F:$F,"Total")</f>
        <v>0</v>
      </c>
      <c r="BB164" s="137">
        <f>SUMIFS(Database!$G:$G,Database!$D:$D,"Export",Database!$E:$E,$B164,Database!$C:$C,BB$1,Database!$F:$F,"Total")</f>
        <v>0</v>
      </c>
      <c r="BC164" s="137">
        <f>SUMIFS(Database!$G:$G,Database!$D:$D,"Export",Database!$E:$E,$B164,Database!$C:$C,BC$1,Database!$F:$F,"Total")</f>
        <v>0</v>
      </c>
      <c r="BD164" s="137">
        <f>SUMIFS(Database!$G:$G,Database!$D:$D,"Export",Database!$E:$E,$B164,Database!$C:$C,BD$1,Database!$F:$F,"Total")</f>
        <v>0</v>
      </c>
      <c r="BE164" s="137">
        <f>SUMIFS(Database!$G:$G,Database!$D:$D,"Export",Database!$E:$E,$B164,Database!$C:$C,BE$1,Database!$F:$F,"Total")</f>
        <v>0</v>
      </c>
      <c r="BF164" s="137">
        <f>SUMIFS(Database!$G:$G,Database!$D:$D,"Export",Database!$E:$E,$B164,Database!$C:$C,BF$1,Database!$F:$F,"Total")</f>
        <v>0</v>
      </c>
      <c r="BG164" s="137">
        <f>SUMIFS(Database!$G:$G,Database!$D:$D,"Export",Database!$E:$E,$B164,Database!$C:$C,BG$1,Database!$F:$F,"Total")</f>
        <v>0</v>
      </c>
      <c r="BH164" s="137">
        <f>SUMIFS(Database!$G:$G,Database!$D:$D,"Export",Database!$E:$E,$B164,Database!$C:$C,BH$1,Database!$F:$F,"Total")</f>
        <v>879</v>
      </c>
      <c r="BI164" s="137">
        <f>SUMIFS(Database!$G:$G,Database!$D:$D,"Export",Database!$E:$E,$B164,Database!$C:$C,BI$1,Database!$F:$F,"Total")</f>
        <v>0</v>
      </c>
      <c r="BJ164" s="137">
        <f>SUMIFS(Database!$G:$G,Database!$D:$D,"Export",Database!$E:$E,$B164,Database!$C:$C,BJ$1,Database!$F:$F,"Total")</f>
        <v>775</v>
      </c>
      <c r="BK164" s="137">
        <f>SUMIFS(Database!$G:$G,Database!$D:$D,"Export",Database!$E:$E,$B164,Database!$C:$C,BK$1,Database!$F:$F,"Total")</f>
        <v>715</v>
      </c>
      <c r="BL164" s="137">
        <f>SUMIFS(Database!$G:$G,Database!$D:$D,"Export",Database!$E:$E,$B164,Database!$C:$C,BL$1,Database!$F:$F,"Total")</f>
        <v>0</v>
      </c>
      <c r="BM164" s="137">
        <f>SUMIFS(Database!$G:$G,Database!$D:$D,"Export",Database!$E:$E,$B164,Database!$C:$C,BM$1,Database!$F:$F,"Total")</f>
        <v>0</v>
      </c>
      <c r="BN164" s="137">
        <f>SUMIFS(Database!$G:$G,Database!$D:$D,"Export",Database!$E:$E,$B164,Database!$C:$C,BN$1,Database!$F:$F,"Total")</f>
        <v>0</v>
      </c>
      <c r="BO164" s="137">
        <f>SUMIFS(Database!$G:$G,Database!$D:$D,"Export",Database!$E:$E,$B164,Database!$C:$C,BO$1,Database!$F:$F,"Total")</f>
        <v>0</v>
      </c>
      <c r="BP164" s="137">
        <f>SUMIFS(Database!$G:$G,Database!$D:$D,"Export",Database!$E:$E,$B164,Database!$C:$C,BP$1,Database!$F:$F,"Total")</f>
        <v>0</v>
      </c>
      <c r="BQ164" s="137">
        <f>SUMIFS(Database!$G:$G,Database!$D:$D,"Export",Database!$E:$E,$B164,Database!$C:$C,BQ$1,Database!$F:$F,"Total")</f>
        <v>0</v>
      </c>
      <c r="BR164" s="137">
        <f>SUMIFS(Database!$G:$G,Database!$D:$D,"Export",Database!$E:$E,$B164,Database!$C:$C,BR$1,Database!$F:$F,"Total")</f>
        <v>0</v>
      </c>
      <c r="BS164" s="137">
        <f>SUMIFS(Database!$G:$G,Database!$D:$D,"Export",Database!$E:$E,$B164,Database!$C:$C,BS$1,Database!$F:$F,"Total")</f>
        <v>0</v>
      </c>
      <c r="BT164" s="137">
        <f>SUMIFS(Database!$G:$G,Database!$D:$D,"Export",Database!$E:$E,$B164,Database!$C:$C,BT$1,Database!$F:$F,"Total")</f>
        <v>0</v>
      </c>
      <c r="BU164" s="137">
        <f>SUMIFS(Database!$G:$G,Database!$D:$D,"Export",Database!$E:$E,$B164,Database!$C:$C,BU$1,Database!$F:$F,"Total")</f>
        <v>0</v>
      </c>
      <c r="BV164" s="137">
        <f>SUMIFS(Database!$G:$G,Database!$D:$D,"Export",Database!$E:$E,$B164,Database!$C:$C,BV$1,Database!$F:$F,"Total")</f>
        <v>0</v>
      </c>
      <c r="BW164" s="137">
        <f>SUMIFS(Database!$G:$G,Database!$D:$D,"Export",Database!$E:$E,$B164,Database!$C:$C,BW$1,Database!$F:$F,"Total")</f>
        <v>0</v>
      </c>
      <c r="BX164" s="137">
        <f>SUMIFS(Database!$G:$G,Database!$D:$D,"Export",Database!$E:$E,$B164,Database!$C:$C,BX$1,Database!$F:$F,"Total")</f>
        <v>0</v>
      </c>
      <c r="BY164" s="137">
        <f>SUMIFS(Database!$G:$G,Database!$D:$D,"Export",Database!$E:$E,$B164,Database!$C:$C,BY$1,Database!$F:$F,"Total")</f>
        <v>0</v>
      </c>
      <c r="BZ164" s="137">
        <f>SUMIFS(Database!$G:$G,Database!$D:$D,"Export",Database!$E:$E,$B164,Database!$C:$C,BZ$1,Database!$F:$F,"Total")</f>
        <v>0</v>
      </c>
      <c r="CA164" s="137">
        <f>SUMIFS(Database!$G:$G,Database!$D:$D,"Export",Database!$E:$E,$B164,Database!$C:$C,CA$1,Database!$F:$F,"Total")</f>
        <v>0</v>
      </c>
      <c r="CB164" s="137">
        <f>SUMIFS(Database!$G:$G,Database!$D:$D,"Export",Database!$E:$E,$B164,Database!$C:$C,CB$1,Database!$F:$F,"Total")</f>
        <v>0</v>
      </c>
      <c r="CC164" s="137">
        <f>SUMIFS(Database!$G:$G,Database!$D:$D,"Export",Database!$E:$E,$B164,Database!$C:$C,CC$1,Database!$F:$F,"Total")</f>
        <v>0</v>
      </c>
      <c r="CD164" s="137">
        <f>SUMIFS(Database!$G:$G,Database!$D:$D,"Export",Database!$E:$E,$B164,Database!$C:$C,CD$1,Database!$F:$F,"Total")</f>
        <v>0</v>
      </c>
      <c r="CE164" s="137">
        <f>SUMIFS(Database!$G:$G,Database!$D:$D,"Export",Database!$E:$E,$B164,Database!$C:$C,CE$1,Database!$F:$F,"Total")</f>
        <v>0</v>
      </c>
      <c r="CF164" s="137">
        <f>SUMIFS(Database!$G:$G,Database!$D:$D,"Export",Database!$E:$E,$B164,Database!$C:$C,CF$1,Database!$F:$F,"Total")</f>
        <v>0</v>
      </c>
      <c r="CG164" s="137">
        <f>SUMIFS(Database!$G:$G,Database!$D:$D,"Export",Database!$E:$E,$B164,Database!$C:$C,CG$1,Database!$F:$F,"Total")</f>
        <v>0</v>
      </c>
      <c r="CH164" s="137">
        <f>SUMIFS(Database!$G:$G,Database!$D:$D,"Export",Database!$E:$E,$B164,Database!$C:$C,CH$1,Database!$F:$F,"Total")</f>
        <v>0</v>
      </c>
      <c r="CI164" s="137">
        <f>SUMIFS(Database!$G:$G,Database!$D:$D,"Export",Database!$E:$E,$B164,Database!$C:$C,CI$1,Database!$F:$F,"Total")</f>
        <v>0</v>
      </c>
      <c r="CJ164" s="137">
        <f>SUMIFS(Database!$G:$G,Database!$D:$D,"Export",Database!$E:$E,$B164,Database!$C:$C,CJ$1,Database!$F:$F,"Total")</f>
        <v>0</v>
      </c>
      <c r="CK164" s="137">
        <f>SUMIFS(Database!$G:$G,Database!$D:$D,"Export",Database!$E:$E,$B164,Database!$C:$C,CK$1,Database!$F:$F,"Total")</f>
        <v>0</v>
      </c>
      <c r="CL164" s="137">
        <f>SUMIFS(Database!$G:$G,Database!$D:$D,"Export",Database!$E:$E,$B164,Database!$C:$C,CL$1,Database!$F:$F,"Total")</f>
        <v>0</v>
      </c>
      <c r="CM164" s="137">
        <f>SUMIFS(Database!$G:$G,Database!$D:$D,"Export",Database!$E:$E,$B164,Database!$C:$C,CM$1,Database!$F:$F,"Total")</f>
        <v>0</v>
      </c>
      <c r="CN164" s="137">
        <f>SUMIFS(Database!$G:$G,Database!$D:$D,"Export",Database!$E:$E,$B164,Database!$C:$C,CN$1,Database!$F:$F,"Total")</f>
        <v>0</v>
      </c>
      <c r="CO164" s="137">
        <f>SUMIFS(Database!$G:$G,Database!$D:$D,"Export",Database!$E:$E,$B164,Database!$C:$C,CO$1,Database!$F:$F,"Total")</f>
        <v>0</v>
      </c>
      <c r="CP164" s="137">
        <f>SUMIFS(Database!$G:$G,Database!$D:$D,"Export",Database!$E:$E,$B164,Database!$C:$C,CP$1,Database!$F:$F,"Total")</f>
        <v>0</v>
      </c>
      <c r="CQ164" s="137">
        <f>SUMIFS(Database!$G:$G,Database!$D:$D,"Export",Database!$E:$E,$B164,Database!$C:$C,CQ$1,Database!$F:$F,"Total")</f>
        <v>0</v>
      </c>
      <c r="CR164" s="137">
        <f>SUMIFS(Database!$G:$G,Database!$D:$D,"Export",Database!$E:$E,$B164,Database!$C:$C,CR$1,Database!$F:$F,"Total")</f>
        <v>0</v>
      </c>
      <c r="CS164" s="137">
        <f>SUMIFS(Database!$G:$G,Database!$D:$D,"Export",Database!$E:$E,$B164,Database!$C:$C,CS$1,Database!$F:$F,"Total")</f>
        <v>0</v>
      </c>
      <c r="CT164" s="137">
        <f>SUMIFS(Database!$G:$G,Database!$D:$D,"Export",Database!$E:$E,$B164,Database!$C:$C,CT$1,Database!$F:$F,"Total")</f>
        <v>0</v>
      </c>
      <c r="CU164" s="137">
        <f>SUMIFS(Database!$G:$G,Database!$D:$D,"Export",Database!$E:$E,$B164,Database!$C:$C,CU$1,Database!$F:$F,"Total")</f>
        <v>0</v>
      </c>
    </row>
    <row r="165" spans="1:99" ht="15.75" x14ac:dyDescent="0.25">
      <c r="A165" s="132" t="s">
        <v>485</v>
      </c>
      <c r="B165" s="135" t="s">
        <v>549</v>
      </c>
      <c r="C165" s="137">
        <f>SUMIFS(Database!$G:$G,Database!$D:$D,"Export",Database!$E:$E,$B165,Database!$C:$C,C$1,Database!$F:$F,"Total")</f>
        <v>0</v>
      </c>
      <c r="D165" s="137">
        <f>SUMIFS(Database!$G:$G,Database!$D:$D,"Export",Database!$E:$E,$B165,Database!$C:$C,D$1,Database!$F:$F,"Total")</f>
        <v>0</v>
      </c>
      <c r="E165" s="137">
        <f>SUMIFS(Database!$G:$G,Database!$D:$D,"Export",Database!$E:$E,$B165,Database!$C:$C,E$1,Database!$F:$F,"Total")</f>
        <v>0</v>
      </c>
      <c r="F165" s="137">
        <f>SUMIFS(Database!$G:$G,Database!$D:$D,"Export",Database!$E:$E,$B165,Database!$C:$C,F$1,Database!$F:$F,"Total")</f>
        <v>0</v>
      </c>
      <c r="G165" s="137">
        <f>SUMIFS(Database!$G:$G,Database!$D:$D,"Export",Database!$E:$E,$B165,Database!$C:$C,G$1,Database!$F:$F,"Total")</f>
        <v>0</v>
      </c>
      <c r="H165" s="137">
        <f>SUMIFS(Database!$G:$G,Database!$D:$D,"Export",Database!$E:$E,$B165,Database!$C:$C,H$1,Database!$F:$F,"Total")</f>
        <v>0</v>
      </c>
      <c r="I165" s="137">
        <f>SUMIFS(Database!$G:$G,Database!$D:$D,"Export",Database!$E:$E,$B165,Database!$C:$C,I$1,Database!$F:$F,"Total")</f>
        <v>0</v>
      </c>
      <c r="J165" s="137">
        <f>SUMIFS(Database!$G:$G,Database!$D:$D,"Export",Database!$E:$E,$B165,Database!$C:$C,J$1,Database!$F:$F,"Total")</f>
        <v>0</v>
      </c>
      <c r="K165" s="137">
        <f>SUMIFS(Database!$G:$G,Database!$D:$D,"Export",Database!$E:$E,$B165,Database!$C:$C,K$1,Database!$F:$F,"Total")</f>
        <v>0</v>
      </c>
      <c r="L165" s="137">
        <f>SUMIFS(Database!$G:$G,Database!$D:$D,"Export",Database!$E:$E,$B165,Database!$C:$C,L$1,Database!$F:$F,"Total")</f>
        <v>0</v>
      </c>
      <c r="M165" s="137">
        <f>SUMIFS(Database!$G:$G,Database!$D:$D,"Export",Database!$E:$E,$B165,Database!$C:$C,M$1,Database!$F:$F,"Total")</f>
        <v>0</v>
      </c>
      <c r="N165" s="137">
        <f>SUMIFS(Database!$G:$G,Database!$D:$D,"Export",Database!$E:$E,$B165,Database!$C:$C,N$1,Database!$F:$F,"Total")</f>
        <v>0</v>
      </c>
      <c r="O165" s="137">
        <f>SUMIFS(Database!$G:$G,Database!$D:$D,"Export",Database!$E:$E,$B165,Database!$C:$C,O$1,Database!$F:$F,"Total")</f>
        <v>0</v>
      </c>
      <c r="P165" s="137">
        <f>SUMIFS(Database!$G:$G,Database!$D:$D,"Export",Database!$E:$E,$B165,Database!$C:$C,P$1,Database!$F:$F,"Total")</f>
        <v>0</v>
      </c>
      <c r="Q165" s="137">
        <f>SUMIFS(Database!$G:$G,Database!$D:$D,"Export",Database!$E:$E,$B165,Database!$C:$C,Q$1,Database!$F:$F,"Total")</f>
        <v>0</v>
      </c>
      <c r="R165" s="137">
        <f>SUMIFS(Database!$G:$G,Database!$D:$D,"Export",Database!$E:$E,$B165,Database!$C:$C,R$1,Database!$F:$F,"Total")</f>
        <v>0</v>
      </c>
      <c r="S165" s="137">
        <f>SUMIFS(Database!$G:$G,Database!$D:$D,"Export",Database!$E:$E,$B165,Database!$C:$C,S$1,Database!$F:$F,"Total")</f>
        <v>0</v>
      </c>
      <c r="T165" s="137">
        <f>SUMIFS(Database!$G:$G,Database!$D:$D,"Export",Database!$E:$E,$B165,Database!$C:$C,T$1,Database!$F:$F,"Total")</f>
        <v>0</v>
      </c>
      <c r="U165" s="137">
        <f>SUMIFS(Database!$G:$G,Database!$D:$D,"Export",Database!$E:$E,$B165,Database!$C:$C,U$1,Database!$F:$F,"Total")</f>
        <v>0</v>
      </c>
      <c r="V165" s="137">
        <f>SUMIFS(Database!$G:$G,Database!$D:$D,"Export",Database!$E:$E,$B165,Database!$C:$C,V$1,Database!$F:$F,"Total")</f>
        <v>0</v>
      </c>
      <c r="W165" s="137">
        <f>SUMIFS(Database!$G:$G,Database!$D:$D,"Export",Database!$E:$E,$B165,Database!$C:$C,W$1,Database!$F:$F,"Total")</f>
        <v>0</v>
      </c>
      <c r="X165" s="137">
        <f>SUMIFS(Database!$G:$G,Database!$D:$D,"Export",Database!$E:$E,$B165,Database!$C:$C,X$1,Database!$F:$F,"Total")</f>
        <v>0</v>
      </c>
      <c r="Y165" s="137">
        <f>SUMIFS(Database!$G:$G,Database!$D:$D,"Export",Database!$E:$E,$B165,Database!$C:$C,Y$1,Database!$F:$F,"Total")</f>
        <v>0</v>
      </c>
      <c r="Z165" s="137">
        <f>SUMIFS(Database!$G:$G,Database!$D:$D,"Export",Database!$E:$E,$B165,Database!$C:$C,Z$1,Database!$F:$F,"Total")</f>
        <v>0</v>
      </c>
      <c r="AA165" s="137">
        <f>SUMIFS(Database!$G:$G,Database!$D:$D,"Export",Database!$E:$E,$B165,Database!$C:$C,AA$1,Database!$F:$F,"Total")</f>
        <v>0</v>
      </c>
      <c r="AB165" s="137">
        <f>SUMIFS(Database!$G:$G,Database!$D:$D,"Export",Database!$E:$E,$B165,Database!$C:$C,AB$1,Database!$F:$F,"Total")</f>
        <v>0</v>
      </c>
      <c r="AC165" s="137">
        <f>SUMIFS(Database!$G:$G,Database!$D:$D,"Export",Database!$E:$E,$B165,Database!$C:$C,AC$1,Database!$F:$F,"Total")</f>
        <v>0</v>
      </c>
      <c r="AD165" s="137">
        <f>SUMIFS(Database!$G:$G,Database!$D:$D,"Export",Database!$E:$E,$B165,Database!$C:$C,AD$1,Database!$F:$F,"Total")</f>
        <v>0</v>
      </c>
      <c r="AE165" s="137">
        <f>SUMIFS(Database!$G:$G,Database!$D:$D,"Export",Database!$E:$E,$B165,Database!$C:$C,AE$1,Database!$F:$F,"Total")</f>
        <v>0</v>
      </c>
      <c r="AF165" s="137">
        <f>SUMIFS(Database!$G:$G,Database!$D:$D,"Export",Database!$E:$E,$B165,Database!$C:$C,AF$1,Database!$F:$F,"Total")</f>
        <v>21</v>
      </c>
      <c r="AG165" s="137">
        <f>SUMIFS(Database!$G:$G,Database!$D:$D,"Export",Database!$E:$E,$B165,Database!$C:$C,AG$1,Database!$F:$F,"Total")</f>
        <v>0</v>
      </c>
      <c r="AH165" s="137">
        <f>SUMIFS(Database!$G:$G,Database!$D:$D,"Export",Database!$E:$E,$B165,Database!$C:$C,AH$1,Database!$F:$F,"Total")</f>
        <v>0</v>
      </c>
      <c r="AI165" s="137">
        <f>SUMIFS(Database!$G:$G,Database!$D:$D,"Export",Database!$E:$E,$B165,Database!$C:$C,AI$1,Database!$F:$F,"Total")</f>
        <v>0</v>
      </c>
      <c r="AJ165" s="137">
        <f>SUMIFS(Database!$G:$G,Database!$D:$D,"Export",Database!$E:$E,$B165,Database!$C:$C,AJ$1,Database!$F:$F,"Total")</f>
        <v>0</v>
      </c>
      <c r="AK165" s="137">
        <f>SUMIFS(Database!$G:$G,Database!$D:$D,"Export",Database!$E:$E,$B165,Database!$C:$C,AK$1,Database!$F:$F,"Total")</f>
        <v>0</v>
      </c>
      <c r="AL165" s="137">
        <f>SUMIFS(Database!$G:$G,Database!$D:$D,"Export",Database!$E:$E,$B165,Database!$C:$C,AL$1,Database!$F:$F,"Total")</f>
        <v>0</v>
      </c>
      <c r="AM165" s="137">
        <f>SUMIFS(Database!$G:$G,Database!$D:$D,"Export",Database!$E:$E,$B165,Database!$C:$C,AM$1,Database!$F:$F,"Total")</f>
        <v>0</v>
      </c>
      <c r="AN165" s="137">
        <f>SUMIFS(Database!$G:$G,Database!$D:$D,"Export",Database!$E:$E,$B165,Database!$C:$C,AN$1,Database!$F:$F,"Total")</f>
        <v>0</v>
      </c>
      <c r="AO165" s="137">
        <f>SUMIFS(Database!$G:$G,Database!$D:$D,"Export",Database!$E:$E,$B165,Database!$C:$C,AO$1,Database!$F:$F,"Total")</f>
        <v>0</v>
      </c>
      <c r="AP165" s="137">
        <f>SUMIFS(Database!$G:$G,Database!$D:$D,"Export",Database!$E:$E,$B165,Database!$C:$C,AP$1,Database!$F:$F,"Total")</f>
        <v>0</v>
      </c>
      <c r="AQ165" s="137">
        <f>SUMIFS(Database!$G:$G,Database!$D:$D,"Export",Database!$E:$E,$B165,Database!$C:$C,AQ$1,Database!$F:$F,"Total")</f>
        <v>0</v>
      </c>
      <c r="AR165" s="137">
        <f>SUMIFS(Database!$G:$G,Database!$D:$D,"Export",Database!$E:$E,$B165,Database!$C:$C,AR$1,Database!$F:$F,"Total")</f>
        <v>0</v>
      </c>
      <c r="AS165" s="137">
        <f>SUMIFS(Database!$G:$G,Database!$D:$D,"Export",Database!$E:$E,$B165,Database!$C:$C,AS$1,Database!$F:$F,"Total")</f>
        <v>0</v>
      </c>
      <c r="AT165" s="137">
        <f>SUMIFS(Database!$G:$G,Database!$D:$D,"Export",Database!$E:$E,$B165,Database!$C:$C,AT$1,Database!$F:$F,"Total")</f>
        <v>0</v>
      </c>
      <c r="AU165" s="137">
        <f>SUMIFS(Database!$G:$G,Database!$D:$D,"Export",Database!$E:$E,$B165,Database!$C:$C,AU$1,Database!$F:$F,"Total")</f>
        <v>0</v>
      </c>
      <c r="AV165" s="137">
        <f>SUMIFS(Database!$G:$G,Database!$D:$D,"Export",Database!$E:$E,$B165,Database!$C:$C,AV$1,Database!$F:$F,"Total")</f>
        <v>0</v>
      </c>
      <c r="AW165" s="137">
        <f>SUMIFS(Database!$G:$G,Database!$D:$D,"Export",Database!$E:$E,$B165,Database!$C:$C,AW$1,Database!$F:$F,"Total")</f>
        <v>0</v>
      </c>
      <c r="AX165" s="137">
        <f>SUMIFS(Database!$G:$G,Database!$D:$D,"Export",Database!$E:$E,$B165,Database!$C:$C,AX$1,Database!$F:$F,"Total")</f>
        <v>0</v>
      </c>
      <c r="AY165" s="137">
        <f>SUMIFS(Database!$G:$G,Database!$D:$D,"Export",Database!$E:$E,$B165,Database!$C:$C,AY$1,Database!$F:$F,"Total")</f>
        <v>0</v>
      </c>
      <c r="AZ165" s="137">
        <f>SUMIFS(Database!$G:$G,Database!$D:$D,"Export",Database!$E:$E,$B165,Database!$C:$C,AZ$1,Database!$F:$F,"Total")</f>
        <v>0</v>
      </c>
      <c r="BA165" s="137">
        <f>SUMIFS(Database!$G:$G,Database!$D:$D,"Export",Database!$E:$E,$B165,Database!$C:$C,BA$1,Database!$F:$F,"Total")</f>
        <v>0</v>
      </c>
      <c r="BB165" s="137">
        <f>SUMIFS(Database!$G:$G,Database!$D:$D,"Export",Database!$E:$E,$B165,Database!$C:$C,BB$1,Database!$F:$F,"Total")</f>
        <v>0</v>
      </c>
      <c r="BC165" s="137">
        <f>SUMIFS(Database!$G:$G,Database!$D:$D,"Export",Database!$E:$E,$B165,Database!$C:$C,BC$1,Database!$F:$F,"Total")</f>
        <v>0</v>
      </c>
      <c r="BD165" s="137">
        <f>SUMIFS(Database!$G:$G,Database!$D:$D,"Export",Database!$E:$E,$B165,Database!$C:$C,BD$1,Database!$F:$F,"Total")</f>
        <v>0</v>
      </c>
      <c r="BE165" s="137">
        <f>SUMIFS(Database!$G:$G,Database!$D:$D,"Export",Database!$E:$E,$B165,Database!$C:$C,BE$1,Database!$F:$F,"Total")</f>
        <v>0</v>
      </c>
      <c r="BF165" s="137">
        <f>SUMIFS(Database!$G:$G,Database!$D:$D,"Export",Database!$E:$E,$B165,Database!$C:$C,BF$1,Database!$F:$F,"Total")</f>
        <v>0</v>
      </c>
      <c r="BG165" s="137">
        <f>SUMIFS(Database!$G:$G,Database!$D:$D,"Export",Database!$E:$E,$B165,Database!$C:$C,BG$1,Database!$F:$F,"Total")</f>
        <v>0</v>
      </c>
      <c r="BH165" s="137">
        <f>SUMIFS(Database!$G:$G,Database!$D:$D,"Export",Database!$E:$E,$B165,Database!$C:$C,BH$1,Database!$F:$F,"Total")</f>
        <v>0</v>
      </c>
      <c r="BI165" s="137">
        <f>SUMIFS(Database!$G:$G,Database!$D:$D,"Export",Database!$E:$E,$B165,Database!$C:$C,BI$1,Database!$F:$F,"Total")</f>
        <v>0</v>
      </c>
      <c r="BJ165" s="137">
        <f>SUMIFS(Database!$G:$G,Database!$D:$D,"Export",Database!$E:$E,$B165,Database!$C:$C,BJ$1,Database!$F:$F,"Total")</f>
        <v>0</v>
      </c>
      <c r="BK165" s="137">
        <f>SUMIFS(Database!$G:$G,Database!$D:$D,"Export",Database!$E:$E,$B165,Database!$C:$C,BK$1,Database!$F:$F,"Total")</f>
        <v>0</v>
      </c>
      <c r="BL165" s="137">
        <f>SUMIFS(Database!$G:$G,Database!$D:$D,"Export",Database!$E:$E,$B165,Database!$C:$C,BL$1,Database!$F:$F,"Total")</f>
        <v>0</v>
      </c>
      <c r="BM165" s="137">
        <f>SUMIFS(Database!$G:$G,Database!$D:$D,"Export",Database!$E:$E,$B165,Database!$C:$C,BM$1,Database!$F:$F,"Total")</f>
        <v>0</v>
      </c>
      <c r="BN165" s="137">
        <f>SUMIFS(Database!$G:$G,Database!$D:$D,"Export",Database!$E:$E,$B165,Database!$C:$C,BN$1,Database!$F:$F,"Total")</f>
        <v>0</v>
      </c>
      <c r="BO165" s="137">
        <f>SUMIFS(Database!$G:$G,Database!$D:$D,"Export",Database!$E:$E,$B165,Database!$C:$C,BO$1,Database!$F:$F,"Total")</f>
        <v>0</v>
      </c>
      <c r="BP165" s="137">
        <f>SUMIFS(Database!$G:$G,Database!$D:$D,"Export",Database!$E:$E,$B165,Database!$C:$C,BP$1,Database!$F:$F,"Total")</f>
        <v>0</v>
      </c>
      <c r="BQ165" s="137">
        <f>SUMIFS(Database!$G:$G,Database!$D:$D,"Export",Database!$E:$E,$B165,Database!$C:$C,BQ$1,Database!$F:$F,"Total")</f>
        <v>0</v>
      </c>
      <c r="BR165" s="137">
        <f>SUMIFS(Database!$G:$G,Database!$D:$D,"Export",Database!$E:$E,$B165,Database!$C:$C,BR$1,Database!$F:$F,"Total")</f>
        <v>0</v>
      </c>
      <c r="BS165" s="137">
        <f>SUMIFS(Database!$G:$G,Database!$D:$D,"Export",Database!$E:$E,$B165,Database!$C:$C,BS$1,Database!$F:$F,"Total")</f>
        <v>0</v>
      </c>
      <c r="BT165" s="137">
        <f>SUMIFS(Database!$G:$G,Database!$D:$D,"Export",Database!$E:$E,$B165,Database!$C:$C,BT$1,Database!$F:$F,"Total")</f>
        <v>0</v>
      </c>
      <c r="BU165" s="137">
        <f>SUMIFS(Database!$G:$G,Database!$D:$D,"Export",Database!$E:$E,$B165,Database!$C:$C,BU$1,Database!$F:$F,"Total")</f>
        <v>0</v>
      </c>
      <c r="BV165" s="137">
        <f>SUMIFS(Database!$G:$G,Database!$D:$D,"Export",Database!$E:$E,$B165,Database!$C:$C,BV$1,Database!$F:$F,"Total")</f>
        <v>0</v>
      </c>
      <c r="BW165" s="137">
        <f>SUMIFS(Database!$G:$G,Database!$D:$D,"Export",Database!$E:$E,$B165,Database!$C:$C,BW$1,Database!$F:$F,"Total")</f>
        <v>0</v>
      </c>
      <c r="BX165" s="137">
        <f>SUMIFS(Database!$G:$G,Database!$D:$D,"Export",Database!$E:$E,$B165,Database!$C:$C,BX$1,Database!$F:$F,"Total")</f>
        <v>0</v>
      </c>
      <c r="BY165" s="137">
        <f>SUMIFS(Database!$G:$G,Database!$D:$D,"Export",Database!$E:$E,$B165,Database!$C:$C,BY$1,Database!$F:$F,"Total")</f>
        <v>0</v>
      </c>
      <c r="BZ165" s="137">
        <f>SUMIFS(Database!$G:$G,Database!$D:$D,"Export",Database!$E:$E,$B165,Database!$C:$C,BZ$1,Database!$F:$F,"Total")</f>
        <v>0</v>
      </c>
      <c r="CA165" s="137">
        <f>SUMIFS(Database!$G:$G,Database!$D:$D,"Export",Database!$E:$E,$B165,Database!$C:$C,CA$1,Database!$F:$F,"Total")</f>
        <v>0</v>
      </c>
      <c r="CB165" s="137">
        <f>SUMIFS(Database!$G:$G,Database!$D:$D,"Export",Database!$E:$E,$B165,Database!$C:$C,CB$1,Database!$F:$F,"Total")</f>
        <v>0</v>
      </c>
      <c r="CC165" s="137">
        <f>SUMIFS(Database!$G:$G,Database!$D:$D,"Export",Database!$E:$E,$B165,Database!$C:$C,CC$1,Database!$F:$F,"Total")</f>
        <v>0</v>
      </c>
      <c r="CD165" s="137">
        <f>SUMIFS(Database!$G:$G,Database!$D:$D,"Export",Database!$E:$E,$B165,Database!$C:$C,CD$1,Database!$F:$F,"Total")</f>
        <v>0</v>
      </c>
      <c r="CE165" s="137">
        <f>SUMIFS(Database!$G:$G,Database!$D:$D,"Export",Database!$E:$E,$B165,Database!$C:$C,CE$1,Database!$F:$F,"Total")</f>
        <v>0</v>
      </c>
      <c r="CF165" s="137">
        <f>SUMIFS(Database!$G:$G,Database!$D:$D,"Export",Database!$E:$E,$B165,Database!$C:$C,CF$1,Database!$F:$F,"Total")</f>
        <v>0</v>
      </c>
      <c r="CG165" s="137">
        <f>SUMIFS(Database!$G:$G,Database!$D:$D,"Export",Database!$E:$E,$B165,Database!$C:$C,CG$1,Database!$F:$F,"Total")</f>
        <v>0</v>
      </c>
      <c r="CH165" s="137">
        <f>SUMIFS(Database!$G:$G,Database!$D:$D,"Export",Database!$E:$E,$B165,Database!$C:$C,CH$1,Database!$F:$F,"Total")</f>
        <v>0</v>
      </c>
      <c r="CI165" s="137">
        <f>SUMIFS(Database!$G:$G,Database!$D:$D,"Export",Database!$E:$E,$B165,Database!$C:$C,CI$1,Database!$F:$F,"Total")</f>
        <v>0</v>
      </c>
      <c r="CJ165" s="137">
        <f>SUMIFS(Database!$G:$G,Database!$D:$D,"Export",Database!$E:$E,$B165,Database!$C:$C,CJ$1,Database!$F:$F,"Total")</f>
        <v>0</v>
      </c>
      <c r="CK165" s="137">
        <f>SUMIFS(Database!$G:$G,Database!$D:$D,"Export",Database!$E:$E,$B165,Database!$C:$C,CK$1,Database!$F:$F,"Total")</f>
        <v>0</v>
      </c>
      <c r="CL165" s="137">
        <f>SUMIFS(Database!$G:$G,Database!$D:$D,"Export",Database!$E:$E,$B165,Database!$C:$C,CL$1,Database!$F:$F,"Total")</f>
        <v>0</v>
      </c>
      <c r="CM165" s="137">
        <f>SUMIFS(Database!$G:$G,Database!$D:$D,"Export",Database!$E:$E,$B165,Database!$C:$C,CM$1,Database!$F:$F,"Total")</f>
        <v>0</v>
      </c>
      <c r="CN165" s="137">
        <f>SUMIFS(Database!$G:$G,Database!$D:$D,"Export",Database!$E:$E,$B165,Database!$C:$C,CN$1,Database!$F:$F,"Total")</f>
        <v>0</v>
      </c>
      <c r="CO165" s="137">
        <f>SUMIFS(Database!$G:$G,Database!$D:$D,"Export",Database!$E:$E,$B165,Database!$C:$C,CO$1,Database!$F:$F,"Total")</f>
        <v>0</v>
      </c>
      <c r="CP165" s="137">
        <f>SUMIFS(Database!$G:$G,Database!$D:$D,"Export",Database!$E:$E,$B165,Database!$C:$C,CP$1,Database!$F:$F,"Total")</f>
        <v>0</v>
      </c>
      <c r="CQ165" s="137">
        <f>SUMIFS(Database!$G:$G,Database!$D:$D,"Export",Database!$E:$E,$B165,Database!$C:$C,CQ$1,Database!$F:$F,"Total")</f>
        <v>0</v>
      </c>
      <c r="CR165" s="137">
        <f>SUMIFS(Database!$G:$G,Database!$D:$D,"Export",Database!$E:$E,$B165,Database!$C:$C,CR$1,Database!$F:$F,"Total")</f>
        <v>0</v>
      </c>
      <c r="CS165" s="137">
        <f>SUMIFS(Database!$G:$G,Database!$D:$D,"Export",Database!$E:$E,$B165,Database!$C:$C,CS$1,Database!$F:$F,"Total")</f>
        <v>0</v>
      </c>
      <c r="CT165" s="137">
        <f>SUMIFS(Database!$G:$G,Database!$D:$D,"Export",Database!$E:$E,$B165,Database!$C:$C,CT$1,Database!$F:$F,"Total")</f>
        <v>0</v>
      </c>
      <c r="CU165" s="137">
        <f>SUMIFS(Database!$G:$G,Database!$D:$D,"Export",Database!$E:$E,$B165,Database!$C:$C,CU$1,Database!$F:$F,"Total")</f>
        <v>0</v>
      </c>
    </row>
    <row r="166" spans="1:99" ht="15.75" x14ac:dyDescent="0.25">
      <c r="A166" s="132" t="s">
        <v>485</v>
      </c>
      <c r="B166" s="135" t="s">
        <v>550</v>
      </c>
      <c r="C166" s="137">
        <f>SUMIFS(Database!$G:$G,Database!$D:$D,"Export",Database!$E:$E,$B166,Database!$C:$C,C$1,Database!$F:$F,"Total")</f>
        <v>0</v>
      </c>
      <c r="D166" s="137">
        <f>SUMIFS(Database!$G:$G,Database!$D:$D,"Export",Database!$E:$E,$B166,Database!$C:$C,D$1,Database!$F:$F,"Total")</f>
        <v>0</v>
      </c>
      <c r="E166" s="137">
        <f>SUMIFS(Database!$G:$G,Database!$D:$D,"Export",Database!$E:$E,$B166,Database!$C:$C,E$1,Database!$F:$F,"Total")</f>
        <v>0</v>
      </c>
      <c r="F166" s="137">
        <f>SUMIFS(Database!$G:$G,Database!$D:$D,"Export",Database!$E:$E,$B166,Database!$C:$C,F$1,Database!$F:$F,"Total")</f>
        <v>0</v>
      </c>
      <c r="G166" s="137">
        <f>SUMIFS(Database!$G:$G,Database!$D:$D,"Export",Database!$E:$E,$B166,Database!$C:$C,G$1,Database!$F:$F,"Total")</f>
        <v>0</v>
      </c>
      <c r="H166" s="137">
        <f>SUMIFS(Database!$G:$G,Database!$D:$D,"Export",Database!$E:$E,$B166,Database!$C:$C,H$1,Database!$F:$F,"Total")</f>
        <v>0</v>
      </c>
      <c r="I166" s="137">
        <f>SUMIFS(Database!$G:$G,Database!$D:$D,"Export",Database!$E:$E,$B166,Database!$C:$C,I$1,Database!$F:$F,"Total")</f>
        <v>0</v>
      </c>
      <c r="J166" s="137">
        <f>SUMIFS(Database!$G:$G,Database!$D:$D,"Export",Database!$E:$E,$B166,Database!$C:$C,J$1,Database!$F:$F,"Total")</f>
        <v>0</v>
      </c>
      <c r="K166" s="137">
        <f>SUMIFS(Database!$G:$G,Database!$D:$D,"Export",Database!$E:$E,$B166,Database!$C:$C,K$1,Database!$F:$F,"Total")</f>
        <v>0</v>
      </c>
      <c r="L166" s="137">
        <f>SUMIFS(Database!$G:$G,Database!$D:$D,"Export",Database!$E:$E,$B166,Database!$C:$C,L$1,Database!$F:$F,"Total")</f>
        <v>0</v>
      </c>
      <c r="M166" s="137">
        <f>SUMIFS(Database!$G:$G,Database!$D:$D,"Export",Database!$E:$E,$B166,Database!$C:$C,M$1,Database!$F:$F,"Total")</f>
        <v>0</v>
      </c>
      <c r="N166" s="137">
        <f>SUMIFS(Database!$G:$G,Database!$D:$D,"Export",Database!$E:$E,$B166,Database!$C:$C,N$1,Database!$F:$F,"Total")</f>
        <v>0</v>
      </c>
      <c r="O166" s="137">
        <f>SUMIFS(Database!$G:$G,Database!$D:$D,"Export",Database!$E:$E,$B166,Database!$C:$C,O$1,Database!$F:$F,"Total")</f>
        <v>0</v>
      </c>
      <c r="P166" s="137">
        <f>SUMIFS(Database!$G:$G,Database!$D:$D,"Export",Database!$E:$E,$B166,Database!$C:$C,P$1,Database!$F:$F,"Total")</f>
        <v>0</v>
      </c>
      <c r="Q166" s="137">
        <f>SUMIFS(Database!$G:$G,Database!$D:$D,"Export",Database!$E:$E,$B166,Database!$C:$C,Q$1,Database!$F:$F,"Total")</f>
        <v>0</v>
      </c>
      <c r="R166" s="137">
        <f>SUMIFS(Database!$G:$G,Database!$D:$D,"Export",Database!$E:$E,$B166,Database!$C:$C,R$1,Database!$F:$F,"Total")</f>
        <v>0</v>
      </c>
      <c r="S166" s="137">
        <f>SUMIFS(Database!$G:$G,Database!$D:$D,"Export",Database!$E:$E,$B166,Database!$C:$C,S$1,Database!$F:$F,"Total")</f>
        <v>0</v>
      </c>
      <c r="T166" s="137">
        <f>SUMIFS(Database!$G:$G,Database!$D:$D,"Export",Database!$E:$E,$B166,Database!$C:$C,T$1,Database!$F:$F,"Total")</f>
        <v>0</v>
      </c>
      <c r="U166" s="137">
        <f>SUMIFS(Database!$G:$G,Database!$D:$D,"Export",Database!$E:$E,$B166,Database!$C:$C,U$1,Database!$F:$F,"Total")</f>
        <v>0</v>
      </c>
      <c r="V166" s="137">
        <f>SUMIFS(Database!$G:$G,Database!$D:$D,"Export",Database!$E:$E,$B166,Database!$C:$C,V$1,Database!$F:$F,"Total")</f>
        <v>0</v>
      </c>
      <c r="W166" s="137">
        <f>SUMIFS(Database!$G:$G,Database!$D:$D,"Export",Database!$E:$E,$B166,Database!$C:$C,W$1,Database!$F:$F,"Total")</f>
        <v>0</v>
      </c>
      <c r="X166" s="137">
        <f>SUMIFS(Database!$G:$G,Database!$D:$D,"Export",Database!$E:$E,$B166,Database!$C:$C,X$1,Database!$F:$F,"Total")</f>
        <v>0</v>
      </c>
      <c r="Y166" s="137">
        <f>SUMIFS(Database!$G:$G,Database!$D:$D,"Export",Database!$E:$E,$B166,Database!$C:$C,Y$1,Database!$F:$F,"Total")</f>
        <v>0</v>
      </c>
      <c r="Z166" s="137">
        <f>SUMIFS(Database!$G:$G,Database!$D:$D,"Export",Database!$E:$E,$B166,Database!$C:$C,Z$1,Database!$F:$F,"Total")</f>
        <v>0</v>
      </c>
      <c r="AA166" s="137">
        <f>SUMIFS(Database!$G:$G,Database!$D:$D,"Export",Database!$E:$E,$B166,Database!$C:$C,AA$1,Database!$F:$F,"Total")</f>
        <v>0</v>
      </c>
      <c r="AB166" s="137">
        <f>SUMIFS(Database!$G:$G,Database!$D:$D,"Export",Database!$E:$E,$B166,Database!$C:$C,AB$1,Database!$F:$F,"Total")</f>
        <v>0</v>
      </c>
      <c r="AC166" s="137">
        <f>SUMIFS(Database!$G:$G,Database!$D:$D,"Export",Database!$E:$E,$B166,Database!$C:$C,AC$1,Database!$F:$F,"Total")</f>
        <v>0</v>
      </c>
      <c r="AD166" s="137">
        <f>SUMIFS(Database!$G:$G,Database!$D:$D,"Export",Database!$E:$E,$B166,Database!$C:$C,AD$1,Database!$F:$F,"Total")</f>
        <v>0</v>
      </c>
      <c r="AE166" s="137">
        <f>SUMIFS(Database!$G:$G,Database!$D:$D,"Export",Database!$E:$E,$B166,Database!$C:$C,AE$1,Database!$F:$F,"Total")</f>
        <v>0</v>
      </c>
      <c r="AF166" s="137">
        <f>SUMIFS(Database!$G:$G,Database!$D:$D,"Export",Database!$E:$E,$B166,Database!$C:$C,AF$1,Database!$F:$F,"Total")</f>
        <v>389</v>
      </c>
      <c r="AG166" s="137">
        <f>SUMIFS(Database!$G:$G,Database!$D:$D,"Export",Database!$E:$E,$B166,Database!$C:$C,AG$1,Database!$F:$F,"Total")</f>
        <v>0</v>
      </c>
      <c r="AH166" s="137">
        <f>SUMIFS(Database!$G:$G,Database!$D:$D,"Export",Database!$E:$E,$B166,Database!$C:$C,AH$1,Database!$F:$F,"Total")</f>
        <v>0</v>
      </c>
      <c r="AI166" s="137">
        <f>SUMIFS(Database!$G:$G,Database!$D:$D,"Export",Database!$E:$E,$B166,Database!$C:$C,AI$1,Database!$F:$F,"Total")</f>
        <v>0</v>
      </c>
      <c r="AJ166" s="137">
        <f>SUMIFS(Database!$G:$G,Database!$D:$D,"Export",Database!$E:$E,$B166,Database!$C:$C,AJ$1,Database!$F:$F,"Total")</f>
        <v>0</v>
      </c>
      <c r="AK166" s="137">
        <f>SUMIFS(Database!$G:$G,Database!$D:$D,"Export",Database!$E:$E,$B166,Database!$C:$C,AK$1,Database!$F:$F,"Total")</f>
        <v>0</v>
      </c>
      <c r="AL166" s="137">
        <f>SUMIFS(Database!$G:$G,Database!$D:$D,"Export",Database!$E:$E,$B166,Database!$C:$C,AL$1,Database!$F:$F,"Total")</f>
        <v>0</v>
      </c>
      <c r="AM166" s="137">
        <f>SUMIFS(Database!$G:$G,Database!$D:$D,"Export",Database!$E:$E,$B166,Database!$C:$C,AM$1,Database!$F:$F,"Total")</f>
        <v>0</v>
      </c>
      <c r="AN166" s="137">
        <f>SUMIFS(Database!$G:$G,Database!$D:$D,"Export",Database!$E:$E,$B166,Database!$C:$C,AN$1,Database!$F:$F,"Total")</f>
        <v>0</v>
      </c>
      <c r="AO166" s="137">
        <f>SUMIFS(Database!$G:$G,Database!$D:$D,"Export",Database!$E:$E,$B166,Database!$C:$C,AO$1,Database!$F:$F,"Total")</f>
        <v>0</v>
      </c>
      <c r="AP166" s="137">
        <f>SUMIFS(Database!$G:$G,Database!$D:$D,"Export",Database!$E:$E,$B166,Database!$C:$C,AP$1,Database!$F:$F,"Total")</f>
        <v>0</v>
      </c>
      <c r="AQ166" s="137">
        <f>SUMIFS(Database!$G:$G,Database!$D:$D,"Export",Database!$E:$E,$B166,Database!$C:$C,AQ$1,Database!$F:$F,"Total")</f>
        <v>0</v>
      </c>
      <c r="AR166" s="137">
        <f>SUMIFS(Database!$G:$G,Database!$D:$D,"Export",Database!$E:$E,$B166,Database!$C:$C,AR$1,Database!$F:$F,"Total")</f>
        <v>0</v>
      </c>
      <c r="AS166" s="137">
        <f>SUMIFS(Database!$G:$G,Database!$D:$D,"Export",Database!$E:$E,$B166,Database!$C:$C,AS$1,Database!$F:$F,"Total")</f>
        <v>0</v>
      </c>
      <c r="AT166" s="137">
        <f>SUMIFS(Database!$G:$G,Database!$D:$D,"Export",Database!$E:$E,$B166,Database!$C:$C,AT$1,Database!$F:$F,"Total")</f>
        <v>0</v>
      </c>
      <c r="AU166" s="137">
        <f>SUMIFS(Database!$G:$G,Database!$D:$D,"Export",Database!$E:$E,$B166,Database!$C:$C,AU$1,Database!$F:$F,"Total")</f>
        <v>0</v>
      </c>
      <c r="AV166" s="137">
        <f>SUMIFS(Database!$G:$G,Database!$D:$D,"Export",Database!$E:$E,$B166,Database!$C:$C,AV$1,Database!$F:$F,"Total")</f>
        <v>0</v>
      </c>
      <c r="AW166" s="137">
        <f>SUMIFS(Database!$G:$G,Database!$D:$D,"Export",Database!$E:$E,$B166,Database!$C:$C,AW$1,Database!$F:$F,"Total")</f>
        <v>0</v>
      </c>
      <c r="AX166" s="137">
        <f>SUMIFS(Database!$G:$G,Database!$D:$D,"Export",Database!$E:$E,$B166,Database!$C:$C,AX$1,Database!$F:$F,"Total")</f>
        <v>0</v>
      </c>
      <c r="AY166" s="137">
        <f>SUMIFS(Database!$G:$G,Database!$D:$D,"Export",Database!$E:$E,$B166,Database!$C:$C,AY$1,Database!$F:$F,"Total")</f>
        <v>0</v>
      </c>
      <c r="AZ166" s="137">
        <f>SUMIFS(Database!$G:$G,Database!$D:$D,"Export",Database!$E:$E,$B166,Database!$C:$C,AZ$1,Database!$F:$F,"Total")</f>
        <v>0</v>
      </c>
      <c r="BA166" s="137">
        <f>SUMIFS(Database!$G:$G,Database!$D:$D,"Export",Database!$E:$E,$B166,Database!$C:$C,BA$1,Database!$F:$F,"Total")</f>
        <v>0</v>
      </c>
      <c r="BB166" s="137">
        <f>SUMIFS(Database!$G:$G,Database!$D:$D,"Export",Database!$E:$E,$B166,Database!$C:$C,BB$1,Database!$F:$F,"Total")</f>
        <v>0</v>
      </c>
      <c r="BC166" s="137">
        <f>SUMIFS(Database!$G:$G,Database!$D:$D,"Export",Database!$E:$E,$B166,Database!$C:$C,BC$1,Database!$F:$F,"Total")</f>
        <v>0</v>
      </c>
      <c r="BD166" s="137">
        <f>SUMIFS(Database!$G:$G,Database!$D:$D,"Export",Database!$E:$E,$B166,Database!$C:$C,BD$1,Database!$F:$F,"Total")</f>
        <v>0</v>
      </c>
      <c r="BE166" s="137">
        <f>SUMIFS(Database!$G:$G,Database!$D:$D,"Export",Database!$E:$E,$B166,Database!$C:$C,BE$1,Database!$F:$F,"Total")</f>
        <v>0</v>
      </c>
      <c r="BF166" s="137">
        <f>SUMIFS(Database!$G:$G,Database!$D:$D,"Export",Database!$E:$E,$B166,Database!$C:$C,BF$1,Database!$F:$F,"Total")</f>
        <v>0</v>
      </c>
      <c r="BG166" s="137">
        <f>SUMIFS(Database!$G:$G,Database!$D:$D,"Export",Database!$E:$E,$B166,Database!$C:$C,BG$1,Database!$F:$F,"Total")</f>
        <v>0</v>
      </c>
      <c r="BH166" s="137">
        <f>SUMIFS(Database!$G:$G,Database!$D:$D,"Export",Database!$E:$E,$B166,Database!$C:$C,BH$1,Database!$F:$F,"Total")</f>
        <v>0</v>
      </c>
      <c r="BI166" s="137">
        <f>SUMIFS(Database!$G:$G,Database!$D:$D,"Export",Database!$E:$E,$B166,Database!$C:$C,BI$1,Database!$F:$F,"Total")</f>
        <v>0</v>
      </c>
      <c r="BJ166" s="137">
        <f>SUMIFS(Database!$G:$G,Database!$D:$D,"Export",Database!$E:$E,$B166,Database!$C:$C,BJ$1,Database!$F:$F,"Total")</f>
        <v>0</v>
      </c>
      <c r="BK166" s="137">
        <f>SUMIFS(Database!$G:$G,Database!$D:$D,"Export",Database!$E:$E,$B166,Database!$C:$C,BK$1,Database!$F:$F,"Total")</f>
        <v>0</v>
      </c>
      <c r="BL166" s="137">
        <f>SUMIFS(Database!$G:$G,Database!$D:$D,"Export",Database!$E:$E,$B166,Database!$C:$C,BL$1,Database!$F:$F,"Total")</f>
        <v>0</v>
      </c>
      <c r="BM166" s="137">
        <f>SUMIFS(Database!$G:$G,Database!$D:$D,"Export",Database!$E:$E,$B166,Database!$C:$C,BM$1,Database!$F:$F,"Total")</f>
        <v>0</v>
      </c>
      <c r="BN166" s="137">
        <f>SUMIFS(Database!$G:$G,Database!$D:$D,"Export",Database!$E:$E,$B166,Database!$C:$C,BN$1,Database!$F:$F,"Total")</f>
        <v>0</v>
      </c>
      <c r="BO166" s="137">
        <f>SUMIFS(Database!$G:$G,Database!$D:$D,"Export",Database!$E:$E,$B166,Database!$C:$C,BO$1,Database!$F:$F,"Total")</f>
        <v>0</v>
      </c>
      <c r="BP166" s="137">
        <f>SUMIFS(Database!$G:$G,Database!$D:$D,"Export",Database!$E:$E,$B166,Database!$C:$C,BP$1,Database!$F:$F,"Total")</f>
        <v>0</v>
      </c>
      <c r="BQ166" s="137">
        <f>SUMIFS(Database!$G:$G,Database!$D:$D,"Export",Database!$E:$E,$B166,Database!$C:$C,BQ$1,Database!$F:$F,"Total")</f>
        <v>0</v>
      </c>
      <c r="BR166" s="137">
        <f>SUMIFS(Database!$G:$G,Database!$D:$D,"Export",Database!$E:$E,$B166,Database!$C:$C,BR$1,Database!$F:$F,"Total")</f>
        <v>0</v>
      </c>
      <c r="BS166" s="137">
        <f>SUMIFS(Database!$G:$G,Database!$D:$D,"Export",Database!$E:$E,$B166,Database!$C:$C,BS$1,Database!$F:$F,"Total")</f>
        <v>0</v>
      </c>
      <c r="BT166" s="137">
        <f>SUMIFS(Database!$G:$G,Database!$D:$D,"Export",Database!$E:$E,$B166,Database!$C:$C,BT$1,Database!$F:$F,"Total")</f>
        <v>0</v>
      </c>
      <c r="BU166" s="137">
        <f>SUMIFS(Database!$G:$G,Database!$D:$D,"Export",Database!$E:$E,$B166,Database!$C:$C,BU$1,Database!$F:$F,"Total")</f>
        <v>0</v>
      </c>
      <c r="BV166" s="137">
        <f>SUMIFS(Database!$G:$G,Database!$D:$D,"Export",Database!$E:$E,$B166,Database!$C:$C,BV$1,Database!$F:$F,"Total")</f>
        <v>0</v>
      </c>
      <c r="BW166" s="137">
        <f>SUMIFS(Database!$G:$G,Database!$D:$D,"Export",Database!$E:$E,$B166,Database!$C:$C,BW$1,Database!$F:$F,"Total")</f>
        <v>0</v>
      </c>
      <c r="BX166" s="137">
        <f>SUMIFS(Database!$G:$G,Database!$D:$D,"Export",Database!$E:$E,$B166,Database!$C:$C,BX$1,Database!$F:$F,"Total")</f>
        <v>0</v>
      </c>
      <c r="BY166" s="137">
        <f>SUMIFS(Database!$G:$G,Database!$D:$D,"Export",Database!$E:$E,$B166,Database!$C:$C,BY$1,Database!$F:$F,"Total")</f>
        <v>0</v>
      </c>
      <c r="BZ166" s="137">
        <f>SUMIFS(Database!$G:$G,Database!$D:$D,"Export",Database!$E:$E,$B166,Database!$C:$C,BZ$1,Database!$F:$F,"Total")</f>
        <v>0</v>
      </c>
      <c r="CA166" s="137">
        <f>SUMIFS(Database!$G:$G,Database!$D:$D,"Export",Database!$E:$E,$B166,Database!$C:$C,CA$1,Database!$F:$F,"Total")</f>
        <v>0</v>
      </c>
      <c r="CB166" s="137">
        <f>SUMIFS(Database!$G:$G,Database!$D:$D,"Export",Database!$E:$E,$B166,Database!$C:$C,CB$1,Database!$F:$F,"Total")</f>
        <v>0</v>
      </c>
      <c r="CC166" s="137">
        <f>SUMIFS(Database!$G:$G,Database!$D:$D,"Export",Database!$E:$E,$B166,Database!$C:$C,CC$1,Database!$F:$F,"Total")</f>
        <v>0</v>
      </c>
      <c r="CD166" s="137">
        <f>SUMIFS(Database!$G:$G,Database!$D:$D,"Export",Database!$E:$E,$B166,Database!$C:$C,CD$1,Database!$F:$F,"Total")</f>
        <v>0</v>
      </c>
      <c r="CE166" s="137">
        <f>SUMIFS(Database!$G:$G,Database!$D:$D,"Export",Database!$E:$E,$B166,Database!$C:$C,CE$1,Database!$F:$F,"Total")</f>
        <v>0</v>
      </c>
      <c r="CF166" s="137">
        <f>SUMIFS(Database!$G:$G,Database!$D:$D,"Export",Database!$E:$E,$B166,Database!$C:$C,CF$1,Database!$F:$F,"Total")</f>
        <v>0</v>
      </c>
      <c r="CG166" s="137">
        <f>SUMIFS(Database!$G:$G,Database!$D:$D,"Export",Database!$E:$E,$B166,Database!$C:$C,CG$1,Database!$F:$F,"Total")</f>
        <v>0</v>
      </c>
      <c r="CH166" s="137">
        <f>SUMIFS(Database!$G:$G,Database!$D:$D,"Export",Database!$E:$E,$B166,Database!$C:$C,CH$1,Database!$F:$F,"Total")</f>
        <v>0</v>
      </c>
      <c r="CI166" s="137">
        <f>SUMIFS(Database!$G:$G,Database!$D:$D,"Export",Database!$E:$E,$B166,Database!$C:$C,CI$1,Database!$F:$F,"Total")</f>
        <v>0</v>
      </c>
      <c r="CJ166" s="137">
        <f>SUMIFS(Database!$G:$G,Database!$D:$D,"Export",Database!$E:$E,$B166,Database!$C:$C,CJ$1,Database!$F:$F,"Total")</f>
        <v>0</v>
      </c>
      <c r="CK166" s="137">
        <f>SUMIFS(Database!$G:$G,Database!$D:$D,"Export",Database!$E:$E,$B166,Database!$C:$C,CK$1,Database!$F:$F,"Total")</f>
        <v>0</v>
      </c>
      <c r="CL166" s="137">
        <f>SUMIFS(Database!$G:$G,Database!$D:$D,"Export",Database!$E:$E,$B166,Database!$C:$C,CL$1,Database!$F:$F,"Total")</f>
        <v>0</v>
      </c>
      <c r="CM166" s="137">
        <f>SUMIFS(Database!$G:$G,Database!$D:$D,"Export",Database!$E:$E,$B166,Database!$C:$C,CM$1,Database!$F:$F,"Total")</f>
        <v>0</v>
      </c>
      <c r="CN166" s="137">
        <f>SUMIFS(Database!$G:$G,Database!$D:$D,"Export",Database!$E:$E,$B166,Database!$C:$C,CN$1,Database!$F:$F,"Total")</f>
        <v>0</v>
      </c>
      <c r="CO166" s="137">
        <f>SUMIFS(Database!$G:$G,Database!$D:$D,"Export",Database!$E:$E,$B166,Database!$C:$C,CO$1,Database!$F:$F,"Total")</f>
        <v>0</v>
      </c>
      <c r="CP166" s="137">
        <f>SUMIFS(Database!$G:$G,Database!$D:$D,"Export",Database!$E:$E,$B166,Database!$C:$C,CP$1,Database!$F:$F,"Total")</f>
        <v>0</v>
      </c>
      <c r="CQ166" s="137">
        <f>SUMIFS(Database!$G:$G,Database!$D:$D,"Export",Database!$E:$E,$B166,Database!$C:$C,CQ$1,Database!$F:$F,"Total")</f>
        <v>0</v>
      </c>
      <c r="CR166" s="137">
        <f>SUMIFS(Database!$G:$G,Database!$D:$D,"Export",Database!$E:$E,$B166,Database!$C:$C,CR$1,Database!$F:$F,"Total")</f>
        <v>0</v>
      </c>
      <c r="CS166" s="137">
        <f>SUMIFS(Database!$G:$G,Database!$D:$D,"Export",Database!$E:$E,$B166,Database!$C:$C,CS$1,Database!$F:$F,"Total")</f>
        <v>0</v>
      </c>
      <c r="CT166" s="137">
        <f>SUMIFS(Database!$G:$G,Database!$D:$D,"Export",Database!$E:$E,$B166,Database!$C:$C,CT$1,Database!$F:$F,"Total")</f>
        <v>0</v>
      </c>
      <c r="CU166" s="137">
        <f>SUMIFS(Database!$G:$G,Database!$D:$D,"Export",Database!$E:$E,$B166,Database!$C:$C,CU$1,Database!$F:$F,"Total")</f>
        <v>0</v>
      </c>
    </row>
    <row r="167" spans="1:99" x14ac:dyDescent="0.25">
      <c r="A167" s="132" t="s">
        <v>485</v>
      </c>
      <c r="B167" s="133" t="s">
        <v>158</v>
      </c>
      <c r="C167" s="137">
        <f>SUMIFS(Database!$G:$G,Database!$D:$D,"Export",Database!$E:$E,$B167,Database!$C:$C,C$1,Database!$F:$F,"Total")</f>
        <v>0</v>
      </c>
      <c r="D167" s="137">
        <f>SUMIFS(Database!$G:$G,Database!$D:$D,"Export",Database!$E:$E,$B167,Database!$C:$C,D$1,Database!$F:$F,"Total")</f>
        <v>0</v>
      </c>
      <c r="E167" s="137">
        <f>SUMIFS(Database!$G:$G,Database!$D:$D,"Export",Database!$E:$E,$B167,Database!$C:$C,E$1,Database!$F:$F,"Total")</f>
        <v>0</v>
      </c>
      <c r="F167" s="137">
        <f>SUMIFS(Database!$G:$G,Database!$D:$D,"Export",Database!$E:$E,$B167,Database!$C:$C,F$1,Database!$F:$F,"Total")</f>
        <v>0</v>
      </c>
      <c r="G167" s="137">
        <f>SUMIFS(Database!$G:$G,Database!$D:$D,"Export",Database!$E:$E,$B167,Database!$C:$C,G$1,Database!$F:$F,"Total")</f>
        <v>0</v>
      </c>
      <c r="H167" s="137">
        <f>SUMIFS(Database!$G:$G,Database!$D:$D,"Export",Database!$E:$E,$B167,Database!$C:$C,H$1,Database!$F:$F,"Total")</f>
        <v>0</v>
      </c>
      <c r="I167" s="137">
        <f>SUMIFS(Database!$G:$G,Database!$D:$D,"Export",Database!$E:$E,$B167,Database!$C:$C,I$1,Database!$F:$F,"Total")</f>
        <v>0</v>
      </c>
      <c r="J167" s="137">
        <f>SUMIFS(Database!$G:$G,Database!$D:$D,"Export",Database!$E:$E,$B167,Database!$C:$C,J$1,Database!$F:$F,"Total")</f>
        <v>0</v>
      </c>
      <c r="K167" s="137">
        <f>SUMIFS(Database!$G:$G,Database!$D:$D,"Export",Database!$E:$E,$B167,Database!$C:$C,K$1,Database!$F:$F,"Total")</f>
        <v>0</v>
      </c>
      <c r="L167" s="137">
        <f>SUMIFS(Database!$G:$G,Database!$D:$D,"Export",Database!$E:$E,$B167,Database!$C:$C,L$1,Database!$F:$F,"Total")</f>
        <v>0</v>
      </c>
      <c r="M167" s="137">
        <f>SUMIFS(Database!$G:$G,Database!$D:$D,"Export",Database!$E:$E,$B167,Database!$C:$C,M$1,Database!$F:$F,"Total")</f>
        <v>0</v>
      </c>
      <c r="N167" s="137">
        <f>SUMIFS(Database!$G:$G,Database!$D:$D,"Export",Database!$E:$E,$B167,Database!$C:$C,N$1,Database!$F:$F,"Total")</f>
        <v>0</v>
      </c>
      <c r="O167" s="137">
        <f>SUMIFS(Database!$G:$G,Database!$D:$D,"Export",Database!$E:$E,$B167,Database!$C:$C,O$1,Database!$F:$F,"Total")</f>
        <v>0</v>
      </c>
      <c r="P167" s="137">
        <f>SUMIFS(Database!$G:$G,Database!$D:$D,"Export",Database!$E:$E,$B167,Database!$C:$C,P$1,Database!$F:$F,"Total")</f>
        <v>0</v>
      </c>
      <c r="Q167" s="137">
        <f>SUMIFS(Database!$G:$G,Database!$D:$D,"Export",Database!$E:$E,$B167,Database!$C:$C,Q$1,Database!$F:$F,"Total")</f>
        <v>0</v>
      </c>
      <c r="R167" s="137">
        <f>SUMIFS(Database!$G:$G,Database!$D:$D,"Export",Database!$E:$E,$B167,Database!$C:$C,R$1,Database!$F:$F,"Total")</f>
        <v>0</v>
      </c>
      <c r="S167" s="137">
        <f>SUMIFS(Database!$G:$G,Database!$D:$D,"Export",Database!$E:$E,$B167,Database!$C:$C,S$1,Database!$F:$F,"Total")</f>
        <v>0</v>
      </c>
      <c r="T167" s="137">
        <f>SUMIFS(Database!$G:$G,Database!$D:$D,"Export",Database!$E:$E,$B167,Database!$C:$C,T$1,Database!$F:$F,"Total")</f>
        <v>0</v>
      </c>
      <c r="U167" s="137">
        <f>SUMIFS(Database!$G:$G,Database!$D:$D,"Export",Database!$E:$E,$B167,Database!$C:$C,U$1,Database!$F:$F,"Total")</f>
        <v>0</v>
      </c>
      <c r="V167" s="137">
        <f>SUMIFS(Database!$G:$G,Database!$D:$D,"Export",Database!$E:$E,$B167,Database!$C:$C,V$1,Database!$F:$F,"Total")</f>
        <v>0</v>
      </c>
      <c r="W167" s="137">
        <f>SUMIFS(Database!$G:$G,Database!$D:$D,"Export",Database!$E:$E,$B167,Database!$C:$C,W$1,Database!$F:$F,"Total")</f>
        <v>0</v>
      </c>
      <c r="X167" s="137">
        <f>SUMIFS(Database!$G:$G,Database!$D:$D,"Export",Database!$E:$E,$B167,Database!$C:$C,X$1,Database!$F:$F,"Total")</f>
        <v>0</v>
      </c>
      <c r="Y167" s="137">
        <f>SUMIFS(Database!$G:$G,Database!$D:$D,"Export",Database!$E:$E,$B167,Database!$C:$C,Y$1,Database!$F:$F,"Total")</f>
        <v>0</v>
      </c>
      <c r="Z167" s="137">
        <f>SUMIFS(Database!$G:$G,Database!$D:$D,"Export",Database!$E:$E,$B167,Database!$C:$C,Z$1,Database!$F:$F,"Total")</f>
        <v>0</v>
      </c>
      <c r="AA167" s="137">
        <f>SUMIFS(Database!$G:$G,Database!$D:$D,"Export",Database!$E:$E,$B167,Database!$C:$C,AA$1,Database!$F:$F,"Total")</f>
        <v>0</v>
      </c>
      <c r="AB167" s="137">
        <f>SUMIFS(Database!$G:$G,Database!$D:$D,"Export",Database!$E:$E,$B167,Database!$C:$C,AB$1,Database!$F:$F,"Total")</f>
        <v>0</v>
      </c>
      <c r="AC167" s="137">
        <f>SUMIFS(Database!$G:$G,Database!$D:$D,"Export",Database!$E:$E,$B167,Database!$C:$C,AC$1,Database!$F:$F,"Total")</f>
        <v>0</v>
      </c>
      <c r="AD167" s="137">
        <f>SUMIFS(Database!$G:$G,Database!$D:$D,"Export",Database!$E:$E,$B167,Database!$C:$C,AD$1,Database!$F:$F,"Total")</f>
        <v>0</v>
      </c>
      <c r="AE167" s="137">
        <f>SUMIFS(Database!$G:$G,Database!$D:$D,"Export",Database!$E:$E,$B167,Database!$C:$C,AE$1,Database!$F:$F,"Total")</f>
        <v>0</v>
      </c>
      <c r="AF167" s="137">
        <f>SUMIFS(Database!$G:$G,Database!$D:$D,"Export",Database!$E:$E,$B167,Database!$C:$C,AF$1,Database!$F:$F,"Total")</f>
        <v>0</v>
      </c>
      <c r="AG167" s="137">
        <f>SUMIFS(Database!$G:$G,Database!$D:$D,"Export",Database!$E:$E,$B167,Database!$C:$C,AG$1,Database!$F:$F,"Total")</f>
        <v>0</v>
      </c>
      <c r="AH167" s="137">
        <f>SUMIFS(Database!$G:$G,Database!$D:$D,"Export",Database!$E:$E,$B167,Database!$C:$C,AH$1,Database!$F:$F,"Total")</f>
        <v>0</v>
      </c>
      <c r="AI167" s="137">
        <f>SUMIFS(Database!$G:$G,Database!$D:$D,"Export",Database!$E:$E,$B167,Database!$C:$C,AI$1,Database!$F:$F,"Total")</f>
        <v>0</v>
      </c>
      <c r="AJ167" s="137">
        <f>SUMIFS(Database!$G:$G,Database!$D:$D,"Export",Database!$E:$E,$B167,Database!$C:$C,AJ$1,Database!$F:$F,"Total")</f>
        <v>3</v>
      </c>
      <c r="AK167" s="137">
        <f>SUMIFS(Database!$G:$G,Database!$D:$D,"Export",Database!$E:$E,$B167,Database!$C:$C,AK$1,Database!$F:$F,"Total")</f>
        <v>0</v>
      </c>
      <c r="AL167" s="137">
        <f>SUMIFS(Database!$G:$G,Database!$D:$D,"Export",Database!$E:$E,$B167,Database!$C:$C,AL$1,Database!$F:$F,"Total")</f>
        <v>0</v>
      </c>
      <c r="AM167" s="137">
        <f>SUMIFS(Database!$G:$G,Database!$D:$D,"Export",Database!$E:$E,$B167,Database!$C:$C,AM$1,Database!$F:$F,"Total")</f>
        <v>0</v>
      </c>
      <c r="AN167" s="137">
        <f>SUMIFS(Database!$G:$G,Database!$D:$D,"Export",Database!$E:$E,$B167,Database!$C:$C,AN$1,Database!$F:$F,"Total")</f>
        <v>0</v>
      </c>
      <c r="AO167" s="137">
        <f>SUMIFS(Database!$G:$G,Database!$D:$D,"Export",Database!$E:$E,$B167,Database!$C:$C,AO$1,Database!$F:$F,"Total")</f>
        <v>0</v>
      </c>
      <c r="AP167" s="137">
        <f>SUMIFS(Database!$G:$G,Database!$D:$D,"Export",Database!$E:$E,$B167,Database!$C:$C,AP$1,Database!$F:$F,"Total")</f>
        <v>0</v>
      </c>
      <c r="AQ167" s="137">
        <f>SUMIFS(Database!$G:$G,Database!$D:$D,"Export",Database!$E:$E,$B167,Database!$C:$C,AQ$1,Database!$F:$F,"Total")</f>
        <v>0</v>
      </c>
      <c r="AR167" s="137">
        <f>SUMIFS(Database!$G:$G,Database!$D:$D,"Export",Database!$E:$E,$B167,Database!$C:$C,AR$1,Database!$F:$F,"Total")</f>
        <v>0</v>
      </c>
      <c r="AS167" s="137">
        <f>SUMIFS(Database!$G:$G,Database!$D:$D,"Export",Database!$E:$E,$B167,Database!$C:$C,AS$1,Database!$F:$F,"Total")</f>
        <v>0</v>
      </c>
      <c r="AT167" s="137">
        <f>SUMIFS(Database!$G:$G,Database!$D:$D,"Export",Database!$E:$E,$B167,Database!$C:$C,AT$1,Database!$F:$F,"Total")</f>
        <v>0</v>
      </c>
      <c r="AU167" s="137">
        <f>SUMIFS(Database!$G:$G,Database!$D:$D,"Export",Database!$E:$E,$B167,Database!$C:$C,AU$1,Database!$F:$F,"Total")</f>
        <v>0</v>
      </c>
      <c r="AV167" s="137">
        <f>SUMIFS(Database!$G:$G,Database!$D:$D,"Export",Database!$E:$E,$B167,Database!$C:$C,AV$1,Database!$F:$F,"Total")</f>
        <v>0</v>
      </c>
      <c r="AW167" s="137">
        <f>SUMIFS(Database!$G:$G,Database!$D:$D,"Export",Database!$E:$E,$B167,Database!$C:$C,AW$1,Database!$F:$F,"Total")</f>
        <v>0</v>
      </c>
      <c r="AX167" s="137">
        <f>SUMIFS(Database!$G:$G,Database!$D:$D,"Export",Database!$E:$E,$B167,Database!$C:$C,AX$1,Database!$F:$F,"Total")</f>
        <v>0</v>
      </c>
      <c r="AY167" s="137">
        <f>SUMIFS(Database!$G:$G,Database!$D:$D,"Export",Database!$E:$E,$B167,Database!$C:$C,AY$1,Database!$F:$F,"Total")</f>
        <v>0</v>
      </c>
      <c r="AZ167" s="137">
        <f>SUMIFS(Database!$G:$G,Database!$D:$D,"Export",Database!$E:$E,$B167,Database!$C:$C,AZ$1,Database!$F:$F,"Total")</f>
        <v>0</v>
      </c>
      <c r="BA167" s="137">
        <f>SUMIFS(Database!$G:$G,Database!$D:$D,"Export",Database!$E:$E,$B167,Database!$C:$C,BA$1,Database!$F:$F,"Total")</f>
        <v>0</v>
      </c>
      <c r="BB167" s="137">
        <f>SUMIFS(Database!$G:$G,Database!$D:$D,"Export",Database!$E:$E,$B167,Database!$C:$C,BB$1,Database!$F:$F,"Total")</f>
        <v>0</v>
      </c>
      <c r="BC167" s="137">
        <f>SUMIFS(Database!$G:$G,Database!$D:$D,"Export",Database!$E:$E,$B167,Database!$C:$C,BC$1,Database!$F:$F,"Total")</f>
        <v>0</v>
      </c>
      <c r="BD167" s="137">
        <f>SUMIFS(Database!$G:$G,Database!$D:$D,"Export",Database!$E:$E,$B167,Database!$C:$C,BD$1,Database!$F:$F,"Total")</f>
        <v>0</v>
      </c>
      <c r="BE167" s="137">
        <f>SUMIFS(Database!$G:$G,Database!$D:$D,"Export",Database!$E:$E,$B167,Database!$C:$C,BE$1,Database!$F:$F,"Total")</f>
        <v>0</v>
      </c>
      <c r="BF167" s="137">
        <f>SUMIFS(Database!$G:$G,Database!$D:$D,"Export",Database!$E:$E,$B167,Database!$C:$C,BF$1,Database!$F:$F,"Total")</f>
        <v>0</v>
      </c>
      <c r="BG167" s="137">
        <f>SUMIFS(Database!$G:$G,Database!$D:$D,"Export",Database!$E:$E,$B167,Database!$C:$C,BG$1,Database!$F:$F,"Total")</f>
        <v>0</v>
      </c>
      <c r="BH167" s="137">
        <f>SUMIFS(Database!$G:$G,Database!$D:$D,"Export",Database!$E:$E,$B167,Database!$C:$C,BH$1,Database!$F:$F,"Total")</f>
        <v>0</v>
      </c>
      <c r="BI167" s="137">
        <f>SUMIFS(Database!$G:$G,Database!$D:$D,"Export",Database!$E:$E,$B167,Database!$C:$C,BI$1,Database!$F:$F,"Total")</f>
        <v>0</v>
      </c>
      <c r="BJ167" s="137">
        <f>SUMIFS(Database!$G:$G,Database!$D:$D,"Export",Database!$E:$E,$B167,Database!$C:$C,BJ$1,Database!$F:$F,"Total")</f>
        <v>0</v>
      </c>
      <c r="BK167" s="137">
        <f>SUMIFS(Database!$G:$G,Database!$D:$D,"Export",Database!$E:$E,$B167,Database!$C:$C,BK$1,Database!$F:$F,"Total")</f>
        <v>0</v>
      </c>
      <c r="BL167" s="137">
        <f>SUMIFS(Database!$G:$G,Database!$D:$D,"Export",Database!$E:$E,$B167,Database!$C:$C,BL$1,Database!$F:$F,"Total")</f>
        <v>0</v>
      </c>
      <c r="BM167" s="137">
        <f>SUMIFS(Database!$G:$G,Database!$D:$D,"Export",Database!$E:$E,$B167,Database!$C:$C,BM$1,Database!$F:$F,"Total")</f>
        <v>0</v>
      </c>
      <c r="BN167" s="137">
        <f>SUMIFS(Database!$G:$G,Database!$D:$D,"Export",Database!$E:$E,$B167,Database!$C:$C,BN$1,Database!$F:$F,"Total")</f>
        <v>0</v>
      </c>
      <c r="BO167" s="137">
        <f>SUMIFS(Database!$G:$G,Database!$D:$D,"Export",Database!$E:$E,$B167,Database!$C:$C,BO$1,Database!$F:$F,"Total")</f>
        <v>0</v>
      </c>
      <c r="BP167" s="137">
        <f>SUMIFS(Database!$G:$G,Database!$D:$D,"Export",Database!$E:$E,$B167,Database!$C:$C,BP$1,Database!$F:$F,"Total")</f>
        <v>0</v>
      </c>
      <c r="BQ167" s="137">
        <f>SUMIFS(Database!$G:$G,Database!$D:$D,"Export",Database!$E:$E,$B167,Database!$C:$C,BQ$1,Database!$F:$F,"Total")</f>
        <v>0</v>
      </c>
      <c r="BR167" s="137">
        <f>SUMIFS(Database!$G:$G,Database!$D:$D,"Export",Database!$E:$E,$B167,Database!$C:$C,BR$1,Database!$F:$F,"Total")</f>
        <v>0</v>
      </c>
      <c r="BS167" s="137">
        <f>SUMIFS(Database!$G:$G,Database!$D:$D,"Export",Database!$E:$E,$B167,Database!$C:$C,BS$1,Database!$F:$F,"Total")</f>
        <v>0</v>
      </c>
      <c r="BT167" s="137">
        <f>SUMIFS(Database!$G:$G,Database!$D:$D,"Export",Database!$E:$E,$B167,Database!$C:$C,BT$1,Database!$F:$F,"Total")</f>
        <v>0</v>
      </c>
      <c r="BU167" s="137">
        <f>SUMIFS(Database!$G:$G,Database!$D:$D,"Export",Database!$E:$E,$B167,Database!$C:$C,BU$1,Database!$F:$F,"Total")</f>
        <v>0</v>
      </c>
      <c r="BV167" s="137">
        <f>SUMIFS(Database!$G:$G,Database!$D:$D,"Export",Database!$E:$E,$B167,Database!$C:$C,BV$1,Database!$F:$F,"Total")</f>
        <v>0</v>
      </c>
      <c r="BW167" s="137">
        <f>SUMIFS(Database!$G:$G,Database!$D:$D,"Export",Database!$E:$E,$B167,Database!$C:$C,BW$1,Database!$F:$F,"Total")</f>
        <v>0</v>
      </c>
      <c r="BX167" s="137">
        <f>SUMIFS(Database!$G:$G,Database!$D:$D,"Export",Database!$E:$E,$B167,Database!$C:$C,BX$1,Database!$F:$F,"Total")</f>
        <v>0</v>
      </c>
      <c r="BY167" s="137">
        <f>SUMIFS(Database!$G:$G,Database!$D:$D,"Export",Database!$E:$E,$B167,Database!$C:$C,BY$1,Database!$F:$F,"Total")</f>
        <v>0</v>
      </c>
      <c r="BZ167" s="137">
        <f>SUMIFS(Database!$G:$G,Database!$D:$D,"Export",Database!$E:$E,$B167,Database!$C:$C,BZ$1,Database!$F:$F,"Total")</f>
        <v>0</v>
      </c>
      <c r="CA167" s="137">
        <f>SUMIFS(Database!$G:$G,Database!$D:$D,"Export",Database!$E:$E,$B167,Database!$C:$C,CA$1,Database!$F:$F,"Total")</f>
        <v>0</v>
      </c>
      <c r="CB167" s="137">
        <f>SUMIFS(Database!$G:$G,Database!$D:$D,"Export",Database!$E:$E,$B167,Database!$C:$C,CB$1,Database!$F:$F,"Total")</f>
        <v>0</v>
      </c>
      <c r="CC167" s="137">
        <f>SUMIFS(Database!$G:$G,Database!$D:$D,"Export",Database!$E:$E,$B167,Database!$C:$C,CC$1,Database!$F:$F,"Total")</f>
        <v>0</v>
      </c>
      <c r="CD167" s="137">
        <f>SUMIFS(Database!$G:$G,Database!$D:$D,"Export",Database!$E:$E,$B167,Database!$C:$C,CD$1,Database!$F:$F,"Total")</f>
        <v>0</v>
      </c>
      <c r="CE167" s="137">
        <f>SUMIFS(Database!$G:$G,Database!$D:$D,"Export",Database!$E:$E,$B167,Database!$C:$C,CE$1,Database!$F:$F,"Total")</f>
        <v>0</v>
      </c>
      <c r="CF167" s="137">
        <f>SUMIFS(Database!$G:$G,Database!$D:$D,"Export",Database!$E:$E,$B167,Database!$C:$C,CF$1,Database!$F:$F,"Total")</f>
        <v>0</v>
      </c>
      <c r="CG167" s="137">
        <f>SUMIFS(Database!$G:$G,Database!$D:$D,"Export",Database!$E:$E,$B167,Database!$C:$C,CG$1,Database!$F:$F,"Total")</f>
        <v>0</v>
      </c>
      <c r="CH167" s="137">
        <f>SUMIFS(Database!$G:$G,Database!$D:$D,"Export",Database!$E:$E,$B167,Database!$C:$C,CH$1,Database!$F:$F,"Total")</f>
        <v>0</v>
      </c>
      <c r="CI167" s="137">
        <f>SUMIFS(Database!$G:$G,Database!$D:$D,"Export",Database!$E:$E,$B167,Database!$C:$C,CI$1,Database!$F:$F,"Total")</f>
        <v>0</v>
      </c>
      <c r="CJ167" s="137">
        <f>SUMIFS(Database!$G:$G,Database!$D:$D,"Export",Database!$E:$E,$B167,Database!$C:$C,CJ$1,Database!$F:$F,"Total")</f>
        <v>0</v>
      </c>
      <c r="CK167" s="137">
        <f>SUMIFS(Database!$G:$G,Database!$D:$D,"Export",Database!$E:$E,$B167,Database!$C:$C,CK$1,Database!$F:$F,"Total")</f>
        <v>0</v>
      </c>
      <c r="CL167" s="137">
        <f>SUMIFS(Database!$G:$G,Database!$D:$D,"Export",Database!$E:$E,$B167,Database!$C:$C,CL$1,Database!$F:$F,"Total")</f>
        <v>0</v>
      </c>
      <c r="CM167" s="137">
        <f>SUMIFS(Database!$G:$G,Database!$D:$D,"Export",Database!$E:$E,$B167,Database!$C:$C,CM$1,Database!$F:$F,"Total")</f>
        <v>0</v>
      </c>
      <c r="CN167" s="137">
        <f>SUMIFS(Database!$G:$G,Database!$D:$D,"Export",Database!$E:$E,$B167,Database!$C:$C,CN$1,Database!$F:$F,"Total")</f>
        <v>0</v>
      </c>
      <c r="CO167" s="137">
        <f>SUMIFS(Database!$G:$G,Database!$D:$D,"Export",Database!$E:$E,$B167,Database!$C:$C,CO$1,Database!$F:$F,"Total")</f>
        <v>0</v>
      </c>
      <c r="CP167" s="137">
        <f>SUMIFS(Database!$G:$G,Database!$D:$D,"Export",Database!$E:$E,$B167,Database!$C:$C,CP$1,Database!$F:$F,"Total")</f>
        <v>0</v>
      </c>
      <c r="CQ167" s="137">
        <f>SUMIFS(Database!$G:$G,Database!$D:$D,"Export",Database!$E:$E,$B167,Database!$C:$C,CQ$1,Database!$F:$F,"Total")</f>
        <v>0</v>
      </c>
      <c r="CR167" s="137">
        <f>SUMIFS(Database!$G:$G,Database!$D:$D,"Export",Database!$E:$E,$B167,Database!$C:$C,CR$1,Database!$F:$F,"Total")</f>
        <v>0</v>
      </c>
      <c r="CS167" s="137">
        <f>SUMIFS(Database!$G:$G,Database!$D:$D,"Export",Database!$E:$E,$B167,Database!$C:$C,CS$1,Database!$F:$F,"Total")</f>
        <v>0</v>
      </c>
      <c r="CT167" s="137">
        <f>SUMIFS(Database!$G:$G,Database!$D:$D,"Export",Database!$E:$E,$B167,Database!$C:$C,CT$1,Database!$F:$F,"Total")</f>
        <v>0</v>
      </c>
      <c r="CU167" s="137">
        <f>SUMIFS(Database!$G:$G,Database!$D:$D,"Export",Database!$E:$E,$B167,Database!$C:$C,CU$1,Database!$F:$F,"Total")</f>
        <v>0</v>
      </c>
    </row>
    <row r="168" spans="1:99" x14ac:dyDescent="0.25">
      <c r="A168" s="132" t="s">
        <v>485</v>
      </c>
      <c r="B168" s="133" t="s">
        <v>171</v>
      </c>
      <c r="C168" s="137">
        <f>SUMIFS(Database!$G:$G,Database!$D:$D,"Export",Database!$E:$E,$B168,Database!$C:$C,C$1,Database!$F:$F,"Total")</f>
        <v>0</v>
      </c>
      <c r="D168" s="137">
        <f>SUMIFS(Database!$G:$G,Database!$D:$D,"Export",Database!$E:$E,$B168,Database!$C:$C,D$1,Database!$F:$F,"Total")</f>
        <v>0</v>
      </c>
      <c r="E168" s="137">
        <f>SUMIFS(Database!$G:$G,Database!$D:$D,"Export",Database!$E:$E,$B168,Database!$C:$C,E$1,Database!$F:$F,"Total")</f>
        <v>0</v>
      </c>
      <c r="F168" s="137">
        <f>SUMIFS(Database!$G:$G,Database!$D:$D,"Export",Database!$E:$E,$B168,Database!$C:$C,F$1,Database!$F:$F,"Total")</f>
        <v>0</v>
      </c>
      <c r="G168" s="137">
        <f>SUMIFS(Database!$G:$G,Database!$D:$D,"Export",Database!$E:$E,$B168,Database!$C:$C,G$1,Database!$F:$F,"Total")</f>
        <v>0</v>
      </c>
      <c r="H168" s="137">
        <f>SUMIFS(Database!$G:$G,Database!$D:$D,"Export",Database!$E:$E,$B168,Database!$C:$C,H$1,Database!$F:$F,"Total")</f>
        <v>0</v>
      </c>
      <c r="I168" s="137">
        <f>SUMIFS(Database!$G:$G,Database!$D:$D,"Export",Database!$E:$E,$B168,Database!$C:$C,I$1,Database!$F:$F,"Total")</f>
        <v>0</v>
      </c>
      <c r="J168" s="137">
        <f>SUMIFS(Database!$G:$G,Database!$D:$D,"Export",Database!$E:$E,$B168,Database!$C:$C,J$1,Database!$F:$F,"Total")</f>
        <v>0</v>
      </c>
      <c r="K168" s="137">
        <f>SUMIFS(Database!$G:$G,Database!$D:$D,"Export",Database!$E:$E,$B168,Database!$C:$C,K$1,Database!$F:$F,"Total")</f>
        <v>0</v>
      </c>
      <c r="L168" s="137">
        <f>SUMIFS(Database!$G:$G,Database!$D:$D,"Export",Database!$E:$E,$B168,Database!$C:$C,L$1,Database!$F:$F,"Total")</f>
        <v>0</v>
      </c>
      <c r="M168" s="137">
        <f>SUMIFS(Database!$G:$G,Database!$D:$D,"Export",Database!$E:$E,$B168,Database!$C:$C,M$1,Database!$F:$F,"Total")</f>
        <v>0</v>
      </c>
      <c r="N168" s="137">
        <f>SUMIFS(Database!$G:$G,Database!$D:$D,"Export",Database!$E:$E,$B168,Database!$C:$C,N$1,Database!$F:$F,"Total")</f>
        <v>0</v>
      </c>
      <c r="O168" s="137">
        <f>SUMIFS(Database!$G:$G,Database!$D:$D,"Export",Database!$E:$E,$B168,Database!$C:$C,O$1,Database!$F:$F,"Total")</f>
        <v>0</v>
      </c>
      <c r="P168" s="137">
        <f>SUMIFS(Database!$G:$G,Database!$D:$D,"Export",Database!$E:$E,$B168,Database!$C:$C,P$1,Database!$F:$F,"Total")</f>
        <v>0</v>
      </c>
      <c r="Q168" s="137">
        <f>SUMIFS(Database!$G:$G,Database!$D:$D,"Export",Database!$E:$E,$B168,Database!$C:$C,Q$1,Database!$F:$F,"Total")</f>
        <v>0</v>
      </c>
      <c r="R168" s="137">
        <f>SUMIFS(Database!$G:$G,Database!$D:$D,"Export",Database!$E:$E,$B168,Database!$C:$C,R$1,Database!$F:$F,"Total")</f>
        <v>0</v>
      </c>
      <c r="S168" s="137">
        <f>SUMIFS(Database!$G:$G,Database!$D:$D,"Export",Database!$E:$E,$B168,Database!$C:$C,S$1,Database!$F:$F,"Total")</f>
        <v>0</v>
      </c>
      <c r="T168" s="137">
        <f>SUMIFS(Database!$G:$G,Database!$D:$D,"Export",Database!$E:$E,$B168,Database!$C:$C,T$1,Database!$F:$F,"Total")</f>
        <v>0</v>
      </c>
      <c r="U168" s="137">
        <f>SUMIFS(Database!$G:$G,Database!$D:$D,"Export",Database!$E:$E,$B168,Database!$C:$C,U$1,Database!$F:$F,"Total")</f>
        <v>0</v>
      </c>
      <c r="V168" s="137">
        <f>SUMIFS(Database!$G:$G,Database!$D:$D,"Export",Database!$E:$E,$B168,Database!$C:$C,V$1,Database!$F:$F,"Total")</f>
        <v>0</v>
      </c>
      <c r="W168" s="137">
        <f>SUMIFS(Database!$G:$G,Database!$D:$D,"Export",Database!$E:$E,$B168,Database!$C:$C,W$1,Database!$F:$F,"Total")</f>
        <v>0</v>
      </c>
      <c r="X168" s="137">
        <f>SUMIFS(Database!$G:$G,Database!$D:$D,"Export",Database!$E:$E,$B168,Database!$C:$C,X$1,Database!$F:$F,"Total")</f>
        <v>0</v>
      </c>
      <c r="Y168" s="137">
        <f>SUMIFS(Database!$G:$G,Database!$D:$D,"Export",Database!$E:$E,$B168,Database!$C:$C,Y$1,Database!$F:$F,"Total")</f>
        <v>0</v>
      </c>
      <c r="Z168" s="137">
        <f>SUMIFS(Database!$G:$G,Database!$D:$D,"Export",Database!$E:$E,$B168,Database!$C:$C,Z$1,Database!$F:$F,"Total")</f>
        <v>0</v>
      </c>
      <c r="AA168" s="137">
        <f>SUMIFS(Database!$G:$G,Database!$D:$D,"Export",Database!$E:$E,$B168,Database!$C:$C,AA$1,Database!$F:$F,"Total")</f>
        <v>0</v>
      </c>
      <c r="AB168" s="137">
        <f>SUMIFS(Database!$G:$G,Database!$D:$D,"Export",Database!$E:$E,$B168,Database!$C:$C,AB$1,Database!$F:$F,"Total")</f>
        <v>0</v>
      </c>
      <c r="AC168" s="137">
        <f>SUMIFS(Database!$G:$G,Database!$D:$D,"Export",Database!$E:$E,$B168,Database!$C:$C,AC$1,Database!$F:$F,"Total")</f>
        <v>0</v>
      </c>
      <c r="AD168" s="137">
        <f>SUMIFS(Database!$G:$G,Database!$D:$D,"Export",Database!$E:$E,$B168,Database!$C:$C,AD$1,Database!$F:$F,"Total")</f>
        <v>0</v>
      </c>
      <c r="AE168" s="137">
        <f>SUMIFS(Database!$G:$G,Database!$D:$D,"Export",Database!$E:$E,$B168,Database!$C:$C,AE$1,Database!$F:$F,"Total")</f>
        <v>0</v>
      </c>
      <c r="AF168" s="137">
        <f>SUMIFS(Database!$G:$G,Database!$D:$D,"Export",Database!$E:$E,$B168,Database!$C:$C,AF$1,Database!$F:$F,"Total")</f>
        <v>0</v>
      </c>
      <c r="AG168" s="137">
        <f>SUMIFS(Database!$G:$G,Database!$D:$D,"Export",Database!$E:$E,$B168,Database!$C:$C,AG$1,Database!$F:$F,"Total")</f>
        <v>0</v>
      </c>
      <c r="AH168" s="137">
        <f>SUMIFS(Database!$G:$G,Database!$D:$D,"Export",Database!$E:$E,$B168,Database!$C:$C,AH$1,Database!$F:$F,"Total")</f>
        <v>0</v>
      </c>
      <c r="AI168" s="137">
        <f>SUMIFS(Database!$G:$G,Database!$D:$D,"Export",Database!$E:$E,$B168,Database!$C:$C,AI$1,Database!$F:$F,"Total")</f>
        <v>0</v>
      </c>
      <c r="AJ168" s="137">
        <f>SUMIFS(Database!$G:$G,Database!$D:$D,"Export",Database!$E:$E,$B168,Database!$C:$C,AJ$1,Database!$F:$F,"Total")</f>
        <v>6</v>
      </c>
      <c r="AK168" s="137">
        <f>SUMIFS(Database!$G:$G,Database!$D:$D,"Export",Database!$E:$E,$B168,Database!$C:$C,AK$1,Database!$F:$F,"Total")</f>
        <v>0</v>
      </c>
      <c r="AL168" s="137">
        <f>SUMIFS(Database!$G:$G,Database!$D:$D,"Export",Database!$E:$E,$B168,Database!$C:$C,AL$1,Database!$F:$F,"Total")</f>
        <v>0</v>
      </c>
      <c r="AM168" s="137">
        <f>SUMIFS(Database!$G:$G,Database!$D:$D,"Export",Database!$E:$E,$B168,Database!$C:$C,AM$1,Database!$F:$F,"Total")</f>
        <v>0</v>
      </c>
      <c r="AN168" s="137">
        <f>SUMIFS(Database!$G:$G,Database!$D:$D,"Export",Database!$E:$E,$B168,Database!$C:$C,AN$1,Database!$F:$F,"Total")</f>
        <v>0</v>
      </c>
      <c r="AO168" s="137">
        <f>SUMIFS(Database!$G:$G,Database!$D:$D,"Export",Database!$E:$E,$B168,Database!$C:$C,AO$1,Database!$F:$F,"Total")</f>
        <v>0</v>
      </c>
      <c r="AP168" s="137">
        <f>SUMIFS(Database!$G:$G,Database!$D:$D,"Export",Database!$E:$E,$B168,Database!$C:$C,AP$1,Database!$F:$F,"Total")</f>
        <v>0</v>
      </c>
      <c r="AQ168" s="137">
        <f>SUMIFS(Database!$G:$G,Database!$D:$D,"Export",Database!$E:$E,$B168,Database!$C:$C,AQ$1,Database!$F:$F,"Total")</f>
        <v>0</v>
      </c>
      <c r="AR168" s="137">
        <f>SUMIFS(Database!$G:$G,Database!$D:$D,"Export",Database!$E:$E,$B168,Database!$C:$C,AR$1,Database!$F:$F,"Total")</f>
        <v>0</v>
      </c>
      <c r="AS168" s="137">
        <f>SUMIFS(Database!$G:$G,Database!$D:$D,"Export",Database!$E:$E,$B168,Database!$C:$C,AS$1,Database!$F:$F,"Total")</f>
        <v>0</v>
      </c>
      <c r="AT168" s="137">
        <f>SUMIFS(Database!$G:$G,Database!$D:$D,"Export",Database!$E:$E,$B168,Database!$C:$C,AT$1,Database!$F:$F,"Total")</f>
        <v>0</v>
      </c>
      <c r="AU168" s="137">
        <f>SUMIFS(Database!$G:$G,Database!$D:$D,"Export",Database!$E:$E,$B168,Database!$C:$C,AU$1,Database!$F:$F,"Total")</f>
        <v>0</v>
      </c>
      <c r="AV168" s="137">
        <f>SUMIFS(Database!$G:$G,Database!$D:$D,"Export",Database!$E:$E,$B168,Database!$C:$C,AV$1,Database!$F:$F,"Total")</f>
        <v>0</v>
      </c>
      <c r="AW168" s="137">
        <f>SUMIFS(Database!$G:$G,Database!$D:$D,"Export",Database!$E:$E,$B168,Database!$C:$C,AW$1,Database!$F:$F,"Total")</f>
        <v>0</v>
      </c>
      <c r="AX168" s="137">
        <f>SUMIFS(Database!$G:$G,Database!$D:$D,"Export",Database!$E:$E,$B168,Database!$C:$C,AX$1,Database!$F:$F,"Total")</f>
        <v>0</v>
      </c>
      <c r="AY168" s="137">
        <f>SUMIFS(Database!$G:$G,Database!$D:$D,"Export",Database!$E:$E,$B168,Database!$C:$C,AY$1,Database!$F:$F,"Total")</f>
        <v>0</v>
      </c>
      <c r="AZ168" s="137">
        <f>SUMIFS(Database!$G:$G,Database!$D:$D,"Export",Database!$E:$E,$B168,Database!$C:$C,AZ$1,Database!$F:$F,"Total")</f>
        <v>0</v>
      </c>
      <c r="BA168" s="137">
        <f>SUMIFS(Database!$G:$G,Database!$D:$D,"Export",Database!$E:$E,$B168,Database!$C:$C,BA$1,Database!$F:$F,"Total")</f>
        <v>0</v>
      </c>
      <c r="BB168" s="137">
        <f>SUMIFS(Database!$G:$G,Database!$D:$D,"Export",Database!$E:$E,$B168,Database!$C:$C,BB$1,Database!$F:$F,"Total")</f>
        <v>0</v>
      </c>
      <c r="BC168" s="137">
        <f>SUMIFS(Database!$G:$G,Database!$D:$D,"Export",Database!$E:$E,$B168,Database!$C:$C,BC$1,Database!$F:$F,"Total")</f>
        <v>0</v>
      </c>
      <c r="BD168" s="137">
        <f>SUMIFS(Database!$G:$G,Database!$D:$D,"Export",Database!$E:$E,$B168,Database!$C:$C,BD$1,Database!$F:$F,"Total")</f>
        <v>0</v>
      </c>
      <c r="BE168" s="137">
        <f>SUMIFS(Database!$G:$G,Database!$D:$D,"Export",Database!$E:$E,$B168,Database!$C:$C,BE$1,Database!$F:$F,"Total")</f>
        <v>0</v>
      </c>
      <c r="BF168" s="137">
        <f>SUMIFS(Database!$G:$G,Database!$D:$D,"Export",Database!$E:$E,$B168,Database!$C:$C,BF$1,Database!$F:$F,"Total")</f>
        <v>0</v>
      </c>
      <c r="BG168" s="137">
        <f>SUMIFS(Database!$G:$G,Database!$D:$D,"Export",Database!$E:$E,$B168,Database!$C:$C,BG$1,Database!$F:$F,"Total")</f>
        <v>0</v>
      </c>
      <c r="BH168" s="137">
        <f>SUMIFS(Database!$G:$G,Database!$D:$D,"Export",Database!$E:$E,$B168,Database!$C:$C,BH$1,Database!$F:$F,"Total")</f>
        <v>0</v>
      </c>
      <c r="BI168" s="137">
        <f>SUMIFS(Database!$G:$G,Database!$D:$D,"Export",Database!$E:$E,$B168,Database!$C:$C,BI$1,Database!$F:$F,"Total")</f>
        <v>0</v>
      </c>
      <c r="BJ168" s="137">
        <f>SUMIFS(Database!$G:$G,Database!$D:$D,"Export",Database!$E:$E,$B168,Database!$C:$C,BJ$1,Database!$F:$F,"Total")</f>
        <v>0</v>
      </c>
      <c r="BK168" s="137">
        <f>SUMIFS(Database!$G:$G,Database!$D:$D,"Export",Database!$E:$E,$B168,Database!$C:$C,BK$1,Database!$F:$F,"Total")</f>
        <v>0</v>
      </c>
      <c r="BL168" s="137">
        <f>SUMIFS(Database!$G:$G,Database!$D:$D,"Export",Database!$E:$E,$B168,Database!$C:$C,BL$1,Database!$F:$F,"Total")</f>
        <v>0</v>
      </c>
      <c r="BM168" s="137">
        <f>SUMIFS(Database!$G:$G,Database!$D:$D,"Export",Database!$E:$E,$B168,Database!$C:$C,BM$1,Database!$F:$F,"Total")</f>
        <v>0</v>
      </c>
      <c r="BN168" s="137">
        <f>SUMIFS(Database!$G:$G,Database!$D:$D,"Export",Database!$E:$E,$B168,Database!$C:$C,BN$1,Database!$F:$F,"Total")</f>
        <v>0</v>
      </c>
      <c r="BO168" s="137">
        <f>SUMIFS(Database!$G:$G,Database!$D:$D,"Export",Database!$E:$E,$B168,Database!$C:$C,BO$1,Database!$F:$F,"Total")</f>
        <v>0</v>
      </c>
      <c r="BP168" s="137">
        <f>SUMIFS(Database!$G:$G,Database!$D:$D,"Export",Database!$E:$E,$B168,Database!$C:$C,BP$1,Database!$F:$F,"Total")</f>
        <v>0</v>
      </c>
      <c r="BQ168" s="137">
        <f>SUMIFS(Database!$G:$G,Database!$D:$D,"Export",Database!$E:$E,$B168,Database!$C:$C,BQ$1,Database!$F:$F,"Total")</f>
        <v>0</v>
      </c>
      <c r="BR168" s="137">
        <f>SUMIFS(Database!$G:$G,Database!$D:$D,"Export",Database!$E:$E,$B168,Database!$C:$C,BR$1,Database!$F:$F,"Total")</f>
        <v>0</v>
      </c>
      <c r="BS168" s="137">
        <f>SUMIFS(Database!$G:$G,Database!$D:$D,"Export",Database!$E:$E,$B168,Database!$C:$C,BS$1,Database!$F:$F,"Total")</f>
        <v>0</v>
      </c>
      <c r="BT168" s="137">
        <f>SUMIFS(Database!$G:$G,Database!$D:$D,"Export",Database!$E:$E,$B168,Database!$C:$C,BT$1,Database!$F:$F,"Total")</f>
        <v>0</v>
      </c>
      <c r="BU168" s="137">
        <f>SUMIFS(Database!$G:$G,Database!$D:$D,"Export",Database!$E:$E,$B168,Database!$C:$C,BU$1,Database!$F:$F,"Total")</f>
        <v>0</v>
      </c>
      <c r="BV168" s="137">
        <f>SUMIFS(Database!$G:$G,Database!$D:$D,"Export",Database!$E:$E,$B168,Database!$C:$C,BV$1,Database!$F:$F,"Total")</f>
        <v>0</v>
      </c>
      <c r="BW168" s="137">
        <f>SUMIFS(Database!$G:$G,Database!$D:$D,"Export",Database!$E:$E,$B168,Database!$C:$C,BW$1,Database!$F:$F,"Total")</f>
        <v>0</v>
      </c>
      <c r="BX168" s="137">
        <f>SUMIFS(Database!$G:$G,Database!$D:$D,"Export",Database!$E:$E,$B168,Database!$C:$C,BX$1,Database!$F:$F,"Total")</f>
        <v>0</v>
      </c>
      <c r="BY168" s="137">
        <f>SUMIFS(Database!$G:$G,Database!$D:$D,"Export",Database!$E:$E,$B168,Database!$C:$C,BY$1,Database!$F:$F,"Total")</f>
        <v>0</v>
      </c>
      <c r="BZ168" s="137">
        <f>SUMIFS(Database!$G:$G,Database!$D:$D,"Export",Database!$E:$E,$B168,Database!$C:$C,BZ$1,Database!$F:$F,"Total")</f>
        <v>0</v>
      </c>
      <c r="CA168" s="137">
        <f>SUMIFS(Database!$G:$G,Database!$D:$D,"Export",Database!$E:$E,$B168,Database!$C:$C,CA$1,Database!$F:$F,"Total")</f>
        <v>0</v>
      </c>
      <c r="CB168" s="137">
        <f>SUMIFS(Database!$G:$G,Database!$D:$D,"Export",Database!$E:$E,$B168,Database!$C:$C,CB$1,Database!$F:$F,"Total")</f>
        <v>0</v>
      </c>
      <c r="CC168" s="137">
        <f>SUMIFS(Database!$G:$G,Database!$D:$D,"Export",Database!$E:$E,$B168,Database!$C:$C,CC$1,Database!$F:$F,"Total")</f>
        <v>0</v>
      </c>
      <c r="CD168" s="137">
        <f>SUMIFS(Database!$G:$G,Database!$D:$D,"Export",Database!$E:$E,$B168,Database!$C:$C,CD$1,Database!$F:$F,"Total")</f>
        <v>0</v>
      </c>
      <c r="CE168" s="137">
        <f>SUMIFS(Database!$G:$G,Database!$D:$D,"Export",Database!$E:$E,$B168,Database!$C:$C,CE$1,Database!$F:$F,"Total")</f>
        <v>0</v>
      </c>
      <c r="CF168" s="137">
        <f>SUMIFS(Database!$G:$G,Database!$D:$D,"Export",Database!$E:$E,$B168,Database!$C:$C,CF$1,Database!$F:$F,"Total")</f>
        <v>0</v>
      </c>
      <c r="CG168" s="137">
        <f>SUMIFS(Database!$G:$G,Database!$D:$D,"Export",Database!$E:$E,$B168,Database!$C:$C,CG$1,Database!$F:$F,"Total")</f>
        <v>0</v>
      </c>
      <c r="CH168" s="137">
        <f>SUMIFS(Database!$G:$G,Database!$D:$D,"Export",Database!$E:$E,$B168,Database!$C:$C,CH$1,Database!$F:$F,"Total")</f>
        <v>0</v>
      </c>
      <c r="CI168" s="137">
        <f>SUMIFS(Database!$G:$G,Database!$D:$D,"Export",Database!$E:$E,$B168,Database!$C:$C,CI$1,Database!$F:$F,"Total")</f>
        <v>0</v>
      </c>
      <c r="CJ168" s="137">
        <f>SUMIFS(Database!$G:$G,Database!$D:$D,"Export",Database!$E:$E,$B168,Database!$C:$C,CJ$1,Database!$F:$F,"Total")</f>
        <v>0</v>
      </c>
      <c r="CK168" s="137">
        <f>SUMIFS(Database!$G:$G,Database!$D:$D,"Export",Database!$E:$E,$B168,Database!$C:$C,CK$1,Database!$F:$F,"Total")</f>
        <v>0</v>
      </c>
      <c r="CL168" s="137">
        <f>SUMIFS(Database!$G:$G,Database!$D:$D,"Export",Database!$E:$E,$B168,Database!$C:$C,CL$1,Database!$F:$F,"Total")</f>
        <v>0</v>
      </c>
      <c r="CM168" s="137">
        <f>SUMIFS(Database!$G:$G,Database!$D:$D,"Export",Database!$E:$E,$B168,Database!$C:$C,CM$1,Database!$F:$F,"Total")</f>
        <v>0</v>
      </c>
      <c r="CN168" s="137">
        <f>SUMIFS(Database!$G:$G,Database!$D:$D,"Export",Database!$E:$E,$B168,Database!$C:$C,CN$1,Database!$F:$F,"Total")</f>
        <v>0</v>
      </c>
      <c r="CO168" s="137">
        <f>SUMIFS(Database!$G:$G,Database!$D:$D,"Export",Database!$E:$E,$B168,Database!$C:$C,CO$1,Database!$F:$F,"Total")</f>
        <v>0</v>
      </c>
      <c r="CP168" s="137">
        <f>SUMIFS(Database!$G:$G,Database!$D:$D,"Export",Database!$E:$E,$B168,Database!$C:$C,CP$1,Database!$F:$F,"Total")</f>
        <v>0</v>
      </c>
      <c r="CQ168" s="137">
        <f>SUMIFS(Database!$G:$G,Database!$D:$D,"Export",Database!$E:$E,$B168,Database!$C:$C,CQ$1,Database!$F:$F,"Total")</f>
        <v>0</v>
      </c>
      <c r="CR168" s="137">
        <f>SUMIFS(Database!$G:$G,Database!$D:$D,"Export",Database!$E:$E,$B168,Database!$C:$C,CR$1,Database!$F:$F,"Total")</f>
        <v>0</v>
      </c>
      <c r="CS168" s="137">
        <f>SUMIFS(Database!$G:$G,Database!$D:$D,"Export",Database!$E:$E,$B168,Database!$C:$C,CS$1,Database!$F:$F,"Total")</f>
        <v>0</v>
      </c>
      <c r="CT168" s="137">
        <f>SUMIFS(Database!$G:$G,Database!$D:$D,"Export",Database!$E:$E,$B168,Database!$C:$C,CT$1,Database!$F:$F,"Total")</f>
        <v>0</v>
      </c>
      <c r="CU168" s="137">
        <f>SUMIFS(Database!$G:$G,Database!$D:$D,"Export",Database!$E:$E,$B168,Database!$C:$C,CU$1,Database!$F:$F,"Total")</f>
        <v>0</v>
      </c>
    </row>
    <row r="169" spans="1:99" x14ac:dyDescent="0.25">
      <c r="A169" s="132" t="s">
        <v>485</v>
      </c>
      <c r="B169" s="133" t="s">
        <v>159</v>
      </c>
      <c r="C169" s="137">
        <f>SUMIFS(Database!$G:$G,Database!$D:$D,"Export",Database!$E:$E,$B169,Database!$C:$C,C$1,Database!$F:$F,"Total")</f>
        <v>0</v>
      </c>
      <c r="D169" s="137">
        <f>SUMIFS(Database!$G:$G,Database!$D:$D,"Export",Database!$E:$E,$B169,Database!$C:$C,D$1,Database!$F:$F,"Total")</f>
        <v>0</v>
      </c>
      <c r="E169" s="137">
        <f>SUMIFS(Database!$G:$G,Database!$D:$D,"Export",Database!$E:$E,$B169,Database!$C:$C,E$1,Database!$F:$F,"Total")</f>
        <v>0</v>
      </c>
      <c r="F169" s="137">
        <f>SUMIFS(Database!$G:$G,Database!$D:$D,"Export",Database!$E:$E,$B169,Database!$C:$C,F$1,Database!$F:$F,"Total")</f>
        <v>0</v>
      </c>
      <c r="G169" s="137">
        <f>SUMIFS(Database!$G:$G,Database!$D:$D,"Export",Database!$E:$E,$B169,Database!$C:$C,G$1,Database!$F:$F,"Total")</f>
        <v>0</v>
      </c>
      <c r="H169" s="137">
        <f>SUMIFS(Database!$G:$G,Database!$D:$D,"Export",Database!$E:$E,$B169,Database!$C:$C,H$1,Database!$F:$F,"Total")</f>
        <v>0</v>
      </c>
      <c r="I169" s="137">
        <f>SUMIFS(Database!$G:$G,Database!$D:$D,"Export",Database!$E:$E,$B169,Database!$C:$C,I$1,Database!$F:$F,"Total")</f>
        <v>0</v>
      </c>
      <c r="J169" s="137">
        <f>SUMIFS(Database!$G:$G,Database!$D:$D,"Export",Database!$E:$E,$B169,Database!$C:$C,J$1,Database!$F:$F,"Total")</f>
        <v>0</v>
      </c>
      <c r="K169" s="137">
        <f>SUMIFS(Database!$G:$G,Database!$D:$D,"Export",Database!$E:$E,$B169,Database!$C:$C,K$1,Database!$F:$F,"Total")</f>
        <v>0</v>
      </c>
      <c r="L169" s="137">
        <f>SUMIFS(Database!$G:$G,Database!$D:$D,"Export",Database!$E:$E,$B169,Database!$C:$C,L$1,Database!$F:$F,"Total")</f>
        <v>0</v>
      </c>
      <c r="M169" s="137">
        <f>SUMIFS(Database!$G:$G,Database!$D:$D,"Export",Database!$E:$E,$B169,Database!$C:$C,M$1,Database!$F:$F,"Total")</f>
        <v>0</v>
      </c>
      <c r="N169" s="137">
        <f>SUMIFS(Database!$G:$G,Database!$D:$D,"Export",Database!$E:$E,$B169,Database!$C:$C,N$1,Database!$F:$F,"Total")</f>
        <v>0</v>
      </c>
      <c r="O169" s="137">
        <f>SUMIFS(Database!$G:$G,Database!$D:$D,"Export",Database!$E:$E,$B169,Database!$C:$C,O$1,Database!$F:$F,"Total")</f>
        <v>0</v>
      </c>
      <c r="P169" s="137">
        <f>SUMIFS(Database!$G:$G,Database!$D:$D,"Export",Database!$E:$E,$B169,Database!$C:$C,P$1,Database!$F:$F,"Total")</f>
        <v>0</v>
      </c>
      <c r="Q169" s="137">
        <f>SUMIFS(Database!$G:$G,Database!$D:$D,"Export",Database!$E:$E,$B169,Database!$C:$C,Q$1,Database!$F:$F,"Total")</f>
        <v>0</v>
      </c>
      <c r="R169" s="137">
        <f>SUMIFS(Database!$G:$G,Database!$D:$D,"Export",Database!$E:$E,$B169,Database!$C:$C,R$1,Database!$F:$F,"Total")</f>
        <v>0</v>
      </c>
      <c r="S169" s="137">
        <f>SUMIFS(Database!$G:$G,Database!$D:$D,"Export",Database!$E:$E,$B169,Database!$C:$C,S$1,Database!$F:$F,"Total")</f>
        <v>0</v>
      </c>
      <c r="T169" s="137">
        <f>SUMIFS(Database!$G:$G,Database!$D:$D,"Export",Database!$E:$E,$B169,Database!$C:$C,T$1,Database!$F:$F,"Total")</f>
        <v>0</v>
      </c>
      <c r="U169" s="137">
        <f>SUMIFS(Database!$G:$G,Database!$D:$D,"Export",Database!$E:$E,$B169,Database!$C:$C,U$1,Database!$F:$F,"Total")</f>
        <v>0</v>
      </c>
      <c r="V169" s="137">
        <f>SUMIFS(Database!$G:$G,Database!$D:$D,"Export",Database!$E:$E,$B169,Database!$C:$C,V$1,Database!$F:$F,"Total")</f>
        <v>0</v>
      </c>
      <c r="W169" s="137">
        <f>SUMIFS(Database!$G:$G,Database!$D:$D,"Export",Database!$E:$E,$B169,Database!$C:$C,W$1,Database!$F:$F,"Total")</f>
        <v>0</v>
      </c>
      <c r="X169" s="137">
        <f>SUMIFS(Database!$G:$G,Database!$D:$D,"Export",Database!$E:$E,$B169,Database!$C:$C,X$1,Database!$F:$F,"Total")</f>
        <v>0</v>
      </c>
      <c r="Y169" s="137">
        <f>SUMIFS(Database!$G:$G,Database!$D:$D,"Export",Database!$E:$E,$B169,Database!$C:$C,Y$1,Database!$F:$F,"Total")</f>
        <v>0</v>
      </c>
      <c r="Z169" s="137">
        <f>SUMIFS(Database!$G:$G,Database!$D:$D,"Export",Database!$E:$E,$B169,Database!$C:$C,Z$1,Database!$F:$F,"Total")</f>
        <v>0</v>
      </c>
      <c r="AA169" s="137">
        <f>SUMIFS(Database!$G:$G,Database!$D:$D,"Export",Database!$E:$E,$B169,Database!$C:$C,AA$1,Database!$F:$F,"Total")</f>
        <v>0</v>
      </c>
      <c r="AB169" s="137">
        <f>SUMIFS(Database!$G:$G,Database!$D:$D,"Export",Database!$E:$E,$B169,Database!$C:$C,AB$1,Database!$F:$F,"Total")</f>
        <v>0</v>
      </c>
      <c r="AC169" s="137">
        <f>SUMIFS(Database!$G:$G,Database!$D:$D,"Export",Database!$E:$E,$B169,Database!$C:$C,AC$1,Database!$F:$F,"Total")</f>
        <v>0</v>
      </c>
      <c r="AD169" s="137">
        <f>SUMIFS(Database!$G:$G,Database!$D:$D,"Export",Database!$E:$E,$B169,Database!$C:$C,AD$1,Database!$F:$F,"Total")</f>
        <v>0</v>
      </c>
      <c r="AE169" s="137">
        <f>SUMIFS(Database!$G:$G,Database!$D:$D,"Export",Database!$E:$E,$B169,Database!$C:$C,AE$1,Database!$F:$F,"Total")</f>
        <v>0</v>
      </c>
      <c r="AF169" s="137">
        <f>SUMIFS(Database!$G:$G,Database!$D:$D,"Export",Database!$E:$E,$B169,Database!$C:$C,AF$1,Database!$F:$F,"Total")</f>
        <v>0</v>
      </c>
      <c r="AG169" s="137">
        <f>SUMIFS(Database!$G:$G,Database!$D:$D,"Export",Database!$E:$E,$B169,Database!$C:$C,AG$1,Database!$F:$F,"Total")</f>
        <v>0</v>
      </c>
      <c r="AH169" s="137">
        <f>SUMIFS(Database!$G:$G,Database!$D:$D,"Export",Database!$E:$E,$B169,Database!$C:$C,AH$1,Database!$F:$F,"Total")</f>
        <v>0</v>
      </c>
      <c r="AI169" s="137">
        <f>SUMIFS(Database!$G:$G,Database!$D:$D,"Export",Database!$E:$E,$B169,Database!$C:$C,AI$1,Database!$F:$F,"Total")</f>
        <v>0</v>
      </c>
      <c r="AJ169" s="137">
        <f>SUMIFS(Database!$G:$G,Database!$D:$D,"Export",Database!$E:$E,$B169,Database!$C:$C,AJ$1,Database!$F:$F,"Total")</f>
        <v>7</v>
      </c>
      <c r="AK169" s="137">
        <f>SUMIFS(Database!$G:$G,Database!$D:$D,"Export",Database!$E:$E,$B169,Database!$C:$C,AK$1,Database!$F:$F,"Total")</f>
        <v>0</v>
      </c>
      <c r="AL169" s="137">
        <f>SUMIFS(Database!$G:$G,Database!$D:$D,"Export",Database!$E:$E,$B169,Database!$C:$C,AL$1,Database!$F:$F,"Total")</f>
        <v>0</v>
      </c>
      <c r="AM169" s="137">
        <f>SUMIFS(Database!$G:$G,Database!$D:$D,"Export",Database!$E:$E,$B169,Database!$C:$C,AM$1,Database!$F:$F,"Total")</f>
        <v>0</v>
      </c>
      <c r="AN169" s="137">
        <f>SUMIFS(Database!$G:$G,Database!$D:$D,"Export",Database!$E:$E,$B169,Database!$C:$C,AN$1,Database!$F:$F,"Total")</f>
        <v>0</v>
      </c>
      <c r="AO169" s="137">
        <f>SUMIFS(Database!$G:$G,Database!$D:$D,"Export",Database!$E:$E,$B169,Database!$C:$C,AO$1,Database!$F:$F,"Total")</f>
        <v>0</v>
      </c>
      <c r="AP169" s="137">
        <f>SUMIFS(Database!$G:$G,Database!$D:$D,"Export",Database!$E:$E,$B169,Database!$C:$C,AP$1,Database!$F:$F,"Total")</f>
        <v>0</v>
      </c>
      <c r="AQ169" s="137">
        <f>SUMIFS(Database!$G:$G,Database!$D:$D,"Export",Database!$E:$E,$B169,Database!$C:$C,AQ$1,Database!$F:$F,"Total")</f>
        <v>0</v>
      </c>
      <c r="AR169" s="137">
        <f>SUMIFS(Database!$G:$G,Database!$D:$D,"Export",Database!$E:$E,$B169,Database!$C:$C,AR$1,Database!$F:$F,"Total")</f>
        <v>0</v>
      </c>
      <c r="AS169" s="137">
        <f>SUMIFS(Database!$G:$G,Database!$D:$D,"Export",Database!$E:$E,$B169,Database!$C:$C,AS$1,Database!$F:$F,"Total")</f>
        <v>0</v>
      </c>
      <c r="AT169" s="137">
        <f>SUMIFS(Database!$G:$G,Database!$D:$D,"Export",Database!$E:$E,$B169,Database!$C:$C,AT$1,Database!$F:$F,"Total")</f>
        <v>0</v>
      </c>
      <c r="AU169" s="137">
        <f>SUMIFS(Database!$G:$G,Database!$D:$D,"Export",Database!$E:$E,$B169,Database!$C:$C,AU$1,Database!$F:$F,"Total")</f>
        <v>0</v>
      </c>
      <c r="AV169" s="137">
        <f>SUMIFS(Database!$G:$G,Database!$D:$D,"Export",Database!$E:$E,$B169,Database!$C:$C,AV$1,Database!$F:$F,"Total")</f>
        <v>0</v>
      </c>
      <c r="AW169" s="137">
        <f>SUMIFS(Database!$G:$G,Database!$D:$D,"Export",Database!$E:$E,$B169,Database!$C:$C,AW$1,Database!$F:$F,"Total")</f>
        <v>0</v>
      </c>
      <c r="AX169" s="137">
        <f>SUMIFS(Database!$G:$G,Database!$D:$D,"Export",Database!$E:$E,$B169,Database!$C:$C,AX$1,Database!$F:$F,"Total")</f>
        <v>0</v>
      </c>
      <c r="AY169" s="137">
        <f>SUMIFS(Database!$G:$G,Database!$D:$D,"Export",Database!$E:$E,$B169,Database!$C:$C,AY$1,Database!$F:$F,"Total")</f>
        <v>0</v>
      </c>
      <c r="AZ169" s="137">
        <f>SUMIFS(Database!$G:$G,Database!$D:$D,"Export",Database!$E:$E,$B169,Database!$C:$C,AZ$1,Database!$F:$F,"Total")</f>
        <v>0</v>
      </c>
      <c r="BA169" s="137">
        <f>SUMIFS(Database!$G:$G,Database!$D:$D,"Export",Database!$E:$E,$B169,Database!$C:$C,BA$1,Database!$F:$F,"Total")</f>
        <v>0</v>
      </c>
      <c r="BB169" s="137">
        <f>SUMIFS(Database!$G:$G,Database!$D:$D,"Export",Database!$E:$E,$B169,Database!$C:$C,BB$1,Database!$F:$F,"Total")</f>
        <v>0</v>
      </c>
      <c r="BC169" s="137">
        <f>SUMIFS(Database!$G:$G,Database!$D:$D,"Export",Database!$E:$E,$B169,Database!$C:$C,BC$1,Database!$F:$F,"Total")</f>
        <v>0</v>
      </c>
      <c r="BD169" s="137">
        <f>SUMIFS(Database!$G:$G,Database!$D:$D,"Export",Database!$E:$E,$B169,Database!$C:$C,BD$1,Database!$F:$F,"Total")</f>
        <v>0</v>
      </c>
      <c r="BE169" s="137">
        <f>SUMIFS(Database!$G:$G,Database!$D:$D,"Export",Database!$E:$E,$B169,Database!$C:$C,BE$1,Database!$F:$F,"Total")</f>
        <v>0</v>
      </c>
      <c r="BF169" s="137">
        <f>SUMIFS(Database!$G:$G,Database!$D:$D,"Export",Database!$E:$E,$B169,Database!$C:$C,BF$1,Database!$F:$F,"Total")</f>
        <v>0</v>
      </c>
      <c r="BG169" s="137">
        <f>SUMIFS(Database!$G:$G,Database!$D:$D,"Export",Database!$E:$E,$B169,Database!$C:$C,BG$1,Database!$F:$F,"Total")</f>
        <v>0</v>
      </c>
      <c r="BH169" s="137">
        <f>SUMIFS(Database!$G:$G,Database!$D:$D,"Export",Database!$E:$E,$B169,Database!$C:$C,BH$1,Database!$F:$F,"Total")</f>
        <v>0</v>
      </c>
      <c r="BI169" s="137">
        <f>SUMIFS(Database!$G:$G,Database!$D:$D,"Export",Database!$E:$E,$B169,Database!$C:$C,BI$1,Database!$F:$F,"Total")</f>
        <v>0</v>
      </c>
      <c r="BJ169" s="137">
        <f>SUMIFS(Database!$G:$G,Database!$D:$D,"Export",Database!$E:$E,$B169,Database!$C:$C,BJ$1,Database!$F:$F,"Total")</f>
        <v>0</v>
      </c>
      <c r="BK169" s="137">
        <f>SUMIFS(Database!$G:$G,Database!$D:$D,"Export",Database!$E:$E,$B169,Database!$C:$C,BK$1,Database!$F:$F,"Total")</f>
        <v>0</v>
      </c>
      <c r="BL169" s="137">
        <f>SUMIFS(Database!$G:$G,Database!$D:$D,"Export",Database!$E:$E,$B169,Database!$C:$C,BL$1,Database!$F:$F,"Total")</f>
        <v>0</v>
      </c>
      <c r="BM169" s="137">
        <f>SUMIFS(Database!$G:$G,Database!$D:$D,"Export",Database!$E:$E,$B169,Database!$C:$C,BM$1,Database!$F:$F,"Total")</f>
        <v>0</v>
      </c>
      <c r="BN169" s="137">
        <f>SUMIFS(Database!$G:$G,Database!$D:$D,"Export",Database!$E:$E,$B169,Database!$C:$C,BN$1,Database!$F:$F,"Total")</f>
        <v>0</v>
      </c>
      <c r="BO169" s="137">
        <f>SUMIFS(Database!$G:$G,Database!$D:$D,"Export",Database!$E:$E,$B169,Database!$C:$C,BO$1,Database!$F:$F,"Total")</f>
        <v>0</v>
      </c>
      <c r="BP169" s="137">
        <f>SUMIFS(Database!$G:$G,Database!$D:$D,"Export",Database!$E:$E,$B169,Database!$C:$C,BP$1,Database!$F:$F,"Total")</f>
        <v>0</v>
      </c>
      <c r="BQ169" s="137">
        <f>SUMIFS(Database!$G:$G,Database!$D:$D,"Export",Database!$E:$E,$B169,Database!$C:$C,BQ$1,Database!$F:$F,"Total")</f>
        <v>0</v>
      </c>
      <c r="BR169" s="137">
        <f>SUMIFS(Database!$G:$G,Database!$D:$D,"Export",Database!$E:$E,$B169,Database!$C:$C,BR$1,Database!$F:$F,"Total")</f>
        <v>0</v>
      </c>
      <c r="BS169" s="137">
        <f>SUMIFS(Database!$G:$G,Database!$D:$D,"Export",Database!$E:$E,$B169,Database!$C:$C,BS$1,Database!$F:$F,"Total")</f>
        <v>0</v>
      </c>
      <c r="BT169" s="137">
        <f>SUMIFS(Database!$G:$G,Database!$D:$D,"Export",Database!$E:$E,$B169,Database!$C:$C,BT$1,Database!$F:$F,"Total")</f>
        <v>0</v>
      </c>
      <c r="BU169" s="137">
        <f>SUMIFS(Database!$G:$G,Database!$D:$D,"Export",Database!$E:$E,$B169,Database!$C:$C,BU$1,Database!$F:$F,"Total")</f>
        <v>0</v>
      </c>
      <c r="BV169" s="137">
        <f>SUMIFS(Database!$G:$G,Database!$D:$D,"Export",Database!$E:$E,$B169,Database!$C:$C,BV$1,Database!$F:$F,"Total")</f>
        <v>0</v>
      </c>
      <c r="BW169" s="137">
        <f>SUMIFS(Database!$G:$G,Database!$D:$D,"Export",Database!$E:$E,$B169,Database!$C:$C,BW$1,Database!$F:$F,"Total")</f>
        <v>0</v>
      </c>
      <c r="BX169" s="137">
        <f>SUMIFS(Database!$G:$G,Database!$D:$D,"Export",Database!$E:$E,$B169,Database!$C:$C,BX$1,Database!$F:$F,"Total")</f>
        <v>0</v>
      </c>
      <c r="BY169" s="137">
        <f>SUMIFS(Database!$G:$G,Database!$D:$D,"Export",Database!$E:$E,$B169,Database!$C:$C,BY$1,Database!$F:$F,"Total")</f>
        <v>0</v>
      </c>
      <c r="BZ169" s="137">
        <f>SUMIFS(Database!$G:$G,Database!$D:$D,"Export",Database!$E:$E,$B169,Database!$C:$C,BZ$1,Database!$F:$F,"Total")</f>
        <v>0</v>
      </c>
      <c r="CA169" s="137">
        <f>SUMIFS(Database!$G:$G,Database!$D:$D,"Export",Database!$E:$E,$B169,Database!$C:$C,CA$1,Database!$F:$F,"Total")</f>
        <v>0</v>
      </c>
      <c r="CB169" s="137">
        <f>SUMIFS(Database!$G:$G,Database!$D:$D,"Export",Database!$E:$E,$B169,Database!$C:$C,CB$1,Database!$F:$F,"Total")</f>
        <v>0</v>
      </c>
      <c r="CC169" s="137">
        <f>SUMIFS(Database!$G:$G,Database!$D:$D,"Export",Database!$E:$E,$B169,Database!$C:$C,CC$1,Database!$F:$F,"Total")</f>
        <v>0</v>
      </c>
      <c r="CD169" s="137">
        <f>SUMIFS(Database!$G:$G,Database!$D:$D,"Export",Database!$E:$E,$B169,Database!$C:$C,CD$1,Database!$F:$F,"Total")</f>
        <v>0</v>
      </c>
      <c r="CE169" s="137">
        <f>SUMIFS(Database!$G:$G,Database!$D:$D,"Export",Database!$E:$E,$B169,Database!$C:$C,CE$1,Database!$F:$F,"Total")</f>
        <v>0</v>
      </c>
      <c r="CF169" s="137">
        <f>SUMIFS(Database!$G:$G,Database!$D:$D,"Export",Database!$E:$E,$B169,Database!$C:$C,CF$1,Database!$F:$F,"Total")</f>
        <v>0</v>
      </c>
      <c r="CG169" s="137">
        <f>SUMIFS(Database!$G:$G,Database!$D:$D,"Export",Database!$E:$E,$B169,Database!$C:$C,CG$1,Database!$F:$F,"Total")</f>
        <v>0</v>
      </c>
      <c r="CH169" s="137">
        <f>SUMIFS(Database!$G:$G,Database!$D:$D,"Export",Database!$E:$E,$B169,Database!$C:$C,CH$1,Database!$F:$F,"Total")</f>
        <v>0</v>
      </c>
      <c r="CI169" s="137">
        <f>SUMIFS(Database!$G:$G,Database!$D:$D,"Export",Database!$E:$E,$B169,Database!$C:$C,CI$1,Database!$F:$F,"Total")</f>
        <v>0</v>
      </c>
      <c r="CJ169" s="137">
        <f>SUMIFS(Database!$G:$G,Database!$D:$D,"Export",Database!$E:$E,$B169,Database!$C:$C,CJ$1,Database!$F:$F,"Total")</f>
        <v>0</v>
      </c>
      <c r="CK169" s="137">
        <f>SUMIFS(Database!$G:$G,Database!$D:$D,"Export",Database!$E:$E,$B169,Database!$C:$C,CK$1,Database!$F:$F,"Total")</f>
        <v>0</v>
      </c>
      <c r="CL169" s="137">
        <f>SUMIFS(Database!$G:$G,Database!$D:$D,"Export",Database!$E:$E,$B169,Database!$C:$C,CL$1,Database!$F:$F,"Total")</f>
        <v>0</v>
      </c>
      <c r="CM169" s="137">
        <f>SUMIFS(Database!$G:$G,Database!$D:$D,"Export",Database!$E:$E,$B169,Database!$C:$C,CM$1,Database!$F:$F,"Total")</f>
        <v>0</v>
      </c>
      <c r="CN169" s="137">
        <f>SUMIFS(Database!$G:$G,Database!$D:$D,"Export",Database!$E:$E,$B169,Database!$C:$C,CN$1,Database!$F:$F,"Total")</f>
        <v>0</v>
      </c>
      <c r="CO169" s="137">
        <f>SUMIFS(Database!$G:$G,Database!$D:$D,"Export",Database!$E:$E,$B169,Database!$C:$C,CO$1,Database!$F:$F,"Total")</f>
        <v>0</v>
      </c>
      <c r="CP169" s="137">
        <f>SUMIFS(Database!$G:$G,Database!$D:$D,"Export",Database!$E:$E,$B169,Database!$C:$C,CP$1,Database!$F:$F,"Total")</f>
        <v>0</v>
      </c>
      <c r="CQ169" s="137">
        <f>SUMIFS(Database!$G:$G,Database!$D:$D,"Export",Database!$E:$E,$B169,Database!$C:$C,CQ$1,Database!$F:$F,"Total")</f>
        <v>0</v>
      </c>
      <c r="CR169" s="137">
        <f>SUMIFS(Database!$G:$G,Database!$D:$D,"Export",Database!$E:$E,$B169,Database!$C:$C,CR$1,Database!$F:$F,"Total")</f>
        <v>0</v>
      </c>
      <c r="CS169" s="137">
        <f>SUMIFS(Database!$G:$G,Database!$D:$D,"Export",Database!$E:$E,$B169,Database!$C:$C,CS$1,Database!$F:$F,"Total")</f>
        <v>0</v>
      </c>
      <c r="CT169" s="137">
        <f>SUMIFS(Database!$G:$G,Database!$D:$D,"Export",Database!$E:$E,$B169,Database!$C:$C,CT$1,Database!$F:$F,"Total")</f>
        <v>0</v>
      </c>
      <c r="CU169" s="137">
        <f>SUMIFS(Database!$G:$G,Database!$D:$D,"Export",Database!$E:$E,$B169,Database!$C:$C,CU$1,Database!$F:$F,"Total")</f>
        <v>0</v>
      </c>
    </row>
  </sheetData>
  <phoneticPr fontId="9" type="noConversion"/>
  <hyperlinks>
    <hyperlink ref="AT2" location="'1811-12 (I)'!A1" display="Table (I)" xr:uid="{25A4E2F8-57D3-4FE7-B43A-AEB085032195}"/>
    <hyperlink ref="AU2" location="'1812-13 (I)'!A1" display="Table (I)" xr:uid="{611927ED-83E1-4970-8086-974CE1DDA1DD}"/>
    <hyperlink ref="AW2" location="'1814-15 (I)'!A1" display="Table (I)" xr:uid="{46D3335A-2ADA-42BB-BDE9-CC09B5E3417A}"/>
    <hyperlink ref="AE3" location="'1796-97 (E_J)'!A1" display="Table (E)" xr:uid="{B4F1F5D0-184E-4BB9-9D24-AC2BE776C1FA}"/>
    <hyperlink ref="AF3" location="'1797-98 (E_J)'!A1" display="Table (E)" xr:uid="{63DA0CF5-F4B3-4E78-80AD-963787CA08DB}"/>
    <hyperlink ref="AH3" location="'1799-1800 (E)'!A1" display="Table (E)" xr:uid="{DA378BFA-EFA9-4C82-96F9-4E159B62BDDA}"/>
    <hyperlink ref="AI3" location="'1800-01 (E)'!A1" display="Table (E)" xr:uid="{B97D19A8-31D7-488C-AA49-19B7C39B315A}"/>
    <hyperlink ref="AI2" location="'1800-01 (I)'!A1" display="Table (I)" xr:uid="{73F772FA-1832-447A-AC1D-C581A67E4F05}"/>
    <hyperlink ref="AJ2" location="'1801-2 (I)'!A1" display="Table (I)" xr:uid="{F6972160-EAA5-4145-864B-5FD2E2EE7968}"/>
    <hyperlink ref="AJ3" location="'1801-2 (E)'!A1" display="Table (E)" xr:uid="{F46B258C-34C1-43C9-A4C3-399B284CD5F8}"/>
    <hyperlink ref="AK2" location="'1802-3 (I)'!A1" display="Table (I)" xr:uid="{C1C71CAF-368B-46AB-AAF4-CCB32F8B3044}"/>
    <hyperlink ref="AK3" location="'1802-3 (E)'!A1" display="Table (E)" xr:uid="{ED71A1F6-79A7-49CC-96EA-87F29C39586E}"/>
    <hyperlink ref="AL2" location="'1803-4 (I)'!A1" display="Table (I)" xr:uid="{26EB3F5F-0BA1-4830-B671-257B38A63EF5}"/>
    <hyperlink ref="AL3" location="'1803-4 (E)'!A1" display="Table (E)" xr:uid="{A0645F57-7DC2-4100-BC8B-1FFF65AF31E8}"/>
    <hyperlink ref="AM2" location="'1804-5 (I)'!A1" display="Table (I)" xr:uid="{148B3965-4D64-4732-A03F-DE3C7165C7F7}"/>
    <hyperlink ref="AM3" location="'1804-5 (E)'!A1" display="Table (E)" xr:uid="{481F2D51-B694-4053-95F1-186ECEE6E013}"/>
    <hyperlink ref="AN2" location="'1805-6 (I)'!A1" display="Table (I)" xr:uid="{19AEF073-F6EC-42FB-B4F5-B250FD3626B7}"/>
    <hyperlink ref="AN3" location="'1805-6 (E)'!A1" display="Table (E)" xr:uid="{B0285253-5242-4FBC-87E4-1DA1563113A5}"/>
    <hyperlink ref="AO2" location="'1806-7 (I)'!A1" display="Table (I)" xr:uid="{93FD34AA-0F3F-4E37-8FA7-65522AAD6CF0}"/>
    <hyperlink ref="AO3" location="'1806-7 (E)'!A1" display="Table (E)" xr:uid="{8C5C6CAB-70FF-419A-8E89-1B4283968B10}"/>
    <hyperlink ref="AP2" location="'1807-8 (I)'!A1" display="Table (I)" xr:uid="{D2C6E0D1-7E2F-4DAA-B8EF-6F42CD3C090C}"/>
    <hyperlink ref="AP3" location="'1807-8 (E)'!A1" display="Table (E)" xr:uid="{2A8C0A50-D621-4920-A228-C6180D1B930A}"/>
    <hyperlink ref="AQ2" location="'1808-9 (I)'!A1" display="Table (I)" xr:uid="{DA316C90-FFB5-4E1B-AB92-DF97D34E55FA}"/>
    <hyperlink ref="AQ3" location="'1808-9 (E)'!A1" display="Table (E)" xr:uid="{2590DE1B-9208-47FA-9A24-AEF2508B468A}"/>
    <hyperlink ref="AR2" location="'1809-10 (I)'!A1" display="Table (I)" xr:uid="{CBE369EE-B2CD-49F7-86FE-A005CFFED257}"/>
    <hyperlink ref="AR3" location="'1809-10 (E)'!A1" display="Table (E)" xr:uid="{E63D1A39-4B4F-412D-AE4B-209173C6A595}"/>
    <hyperlink ref="AS2" location="'1810-11 (I)'!A1" display="Table (I)" xr:uid="{709F2488-9F50-4E9F-8D32-01BBBA02609E}"/>
    <hyperlink ref="AS3" location="'1810-11 (E)'!A1" display="Table (E)" xr:uid="{61016A01-2D99-4267-AE9E-90DD9E336D97}"/>
    <hyperlink ref="AT3" location="'1811-12 (E)'!A1" display="Table (E)" xr:uid="{41B1159D-94A2-47DF-BB4A-C2418DB6CFED}"/>
    <hyperlink ref="AU3" location="'1812-13 (E)'!A1" display="Table (E)" xr:uid="{AADA63A8-C494-410A-88A2-01E71AA2027D}"/>
    <hyperlink ref="AV3" location="'1813-14 (E)'!A1" display="Table (E)" xr:uid="{23750046-89A2-44B3-9A90-131294459608}"/>
    <hyperlink ref="AW3" location="'1814-15 (E)'!A1" display="Table (E)" xr:uid="{A31B8D92-A4ED-4E5C-B79A-62339686AC8A}"/>
    <hyperlink ref="AX2" location="'1815-16 (I)'!A1" display="Table (I)" xr:uid="{1C94E2AA-C61D-4DA4-B721-6BE96E1E8EA5}"/>
    <hyperlink ref="AX3" location="'1815-16 (E)'!A1" display="Table (E)" xr:uid="{DC1E3F99-A983-47DA-95B5-7451A9A70E50}"/>
    <hyperlink ref="AY2" location="'1816-17 (I)'!A1" display="Table (I)" xr:uid="{A71E6033-C4D9-437F-87E9-1714219B44B0}"/>
    <hyperlink ref="AY3" location="'1816-17 (E)'!A1" display="Table (E)" xr:uid="{C54E73FF-4F79-47DD-B2EA-775CC572A6C2}"/>
    <hyperlink ref="AZ2" location="'1817-18 (I)'!A1" display="Table (I)" xr:uid="{DBCBC75F-FF80-4C14-BE77-97FB818FD0CA}"/>
    <hyperlink ref="AZ3" location="'1817-18 (E)'!A1" display="Table (E)" xr:uid="{587D5D1F-D9B5-459E-82E8-A377C27DC8C0}"/>
    <hyperlink ref="BA2" location="'1818-19 (I)'!A1" display="Table (I)" xr:uid="{C86E4782-F16A-4A67-BFF5-CC457E82FCD9}"/>
    <hyperlink ref="BA3" location="'1818-19 (E)'!A1" display="Table (E)" xr:uid="{2BDC074F-1482-4995-A968-0EBAE76BFBEC}"/>
    <hyperlink ref="BB2" location="'1819-20 (I)'!A1" display="Table (I)" xr:uid="{3D8B9F6F-714A-4053-9DFD-BBD2381EA039}"/>
    <hyperlink ref="BB3" location="'1819-20 (E)'!A1" display="Table (E)" xr:uid="{53CB1B42-8B66-4EA5-AA2C-23CEF7D15C38}"/>
    <hyperlink ref="BC2" location="'1820-21 (I)'!A1" display="Table (I)" xr:uid="{C481D13E-E481-4DED-8FCC-89D59DC0B707}"/>
    <hyperlink ref="BC3" location="'1820-21 (E)'!A1" display="Table (E)" xr:uid="{8C847767-3E2C-41A5-9829-B98ED703BFDD}"/>
    <hyperlink ref="BD2" location="'1821-2 (I)'!A1" display="Table (I)" xr:uid="{1A0A1D04-612E-4CD0-BAE0-5589621EBE17}"/>
    <hyperlink ref="BD3" location="'1821-2 (E)'!A1" display="Table (E)" xr:uid="{CFA4A149-F11E-4E78-A1C4-E1D2C06E6313}"/>
    <hyperlink ref="BE2" location="'1822-3 (I)'!A1" display="Table (I)" xr:uid="{F890BFB2-D3AB-4D23-B830-00B2AE25DFC7}"/>
    <hyperlink ref="BE3" location="'1822-3 (E)'!A1" display="Table (E)" xr:uid="{F4D2147D-D46A-4192-85E5-46923151840F}"/>
    <hyperlink ref="BF2" location="'1823-4 (I)'!A1" display="Table (I)" xr:uid="{CE87AA32-B30E-442E-9EE7-139FD0B1048D}"/>
    <hyperlink ref="BF3" location="'1823-4 (E)'!A1" display="Table (E)" xr:uid="{6B706DBA-CE01-420B-BCCE-9C23A2B84702}"/>
    <hyperlink ref="BG2" location="'1823-4 (I)'!A1" display="Table (I)" xr:uid="{C7A4AB39-FEF9-4483-B5F7-6DE65D7A0448}"/>
    <hyperlink ref="BG3" location="'1824-5 (E)'!A1" display="Table (E)" xr:uid="{1FB7F93D-A7CF-453A-BDC5-855D87C02C5A}"/>
    <hyperlink ref="BH2" location="'1825-6 (I)'!A1" display="Table (I)" xr:uid="{C223272A-21DB-4669-98CF-CDF2286B93B3}"/>
    <hyperlink ref="BH3" location="'1825-6 (E)'!A1" display="Table (E)" xr:uid="{1D364AE3-C6A6-49A3-8FEE-656282289239}"/>
    <hyperlink ref="BJ2" location="'1827-8 (I)'!A1" display="Table (I)" xr:uid="{821524CF-9A2F-40EA-A026-524AD184063D}"/>
    <hyperlink ref="BJ3" location="'1827-8 (E)'!A1" display="Table (E)" xr:uid="{6CA09470-068C-48B3-9C31-7E4785650728}"/>
    <hyperlink ref="BK2" location="'1828-9 (I)'!A1" display="Table (I)" xr:uid="{A9513EFB-30A7-4B40-B2A5-D3BF985F13FF}"/>
    <hyperlink ref="BK3" location="'1828-9 (E)'!A1" display="Table (E)" xr:uid="{96B9C663-FE7F-4622-8D5D-6E6494288A49}"/>
    <hyperlink ref="BN2" location="'1831-2 (I)'!A1" display="Table (I)" xr:uid="{23214DF5-9BFD-4F99-9BCA-A530878BA7DB}"/>
    <hyperlink ref="BN3" location="'1831-2 (E)'!A1" display="Table (E)" xr:uid="{9973426F-BAE8-40AB-A4BE-324724F7AA3D}"/>
    <hyperlink ref="BP2" location="'1833-4 (I)'!A1" display="Table (I)" xr:uid="{F1E2D134-1272-4FD7-8FF6-1A41FE7F0653}"/>
    <hyperlink ref="BP3" location="'1833-4 (E)'!A1" display="Table (E)" xr:uid="{D16CCDA1-8B33-4F15-B205-D9C847A9B8D8}"/>
    <hyperlink ref="BQ2" location="'1834-5 (I)'!A1" display="Table (I)" xr:uid="{32E90155-4D48-4A50-81EA-A649FE32C69D}"/>
    <hyperlink ref="BQ3" location="'1834-5 (E)'!A1" display="Table (E)" xr:uid="{23DF23F7-D27C-46F5-99EA-2638BF08E90B}"/>
    <hyperlink ref="BR2" location="'1835-6 (I)'!A1" display="Table (I)" xr:uid="{483B56C2-AB1F-4D58-85A0-BB3920E2BD9F}"/>
    <hyperlink ref="BR3" location="'1835-6 (E)'!A1" display="Table (E)" xr:uid="{E9D4C9D8-B77A-4990-9685-D7D83F18E127}"/>
    <hyperlink ref="BS2" location="'1836-7 (I)'!A1" display="Table (I)" xr:uid="{81FA93C9-F76A-40C0-9699-EFDBAAA6ED8E}"/>
    <hyperlink ref="BS3" location="'1836-7 (E)'!A1" display="Table (E)" xr:uid="{A2717E36-69D5-4A09-904E-0063CD367300}"/>
    <hyperlink ref="BT2" location="'1837-8 (I)'!A1" display="Table (I)" xr:uid="{3D42C18A-DB4D-466A-8598-9DFCDD095C0F}"/>
    <hyperlink ref="BT3" location="'1837-8 (E)'!A1" display="Table (E)" xr:uid="{DF9C555C-220B-4C7B-B1A1-824A87167B65}"/>
    <hyperlink ref="BU2" location="'1838-9 (I)'!A1" display="Table (I)" xr:uid="{5CC10A3E-7869-473E-AC86-D394A924742E}"/>
    <hyperlink ref="BU3" location="'1838-9 (E)'!A1" display="Table (E)" xr:uid="{DAB91ABB-FD71-4C71-B89A-E5CEB1782190}"/>
    <hyperlink ref="AV2" location="'1813-14 (I)'!A1" display="Table (I)" xr:uid="{014FBA0D-96F9-4F96-A498-C43414529760}"/>
    <hyperlink ref="AH2" location="'1799-1801 (I)'!A1" display="Livestock 1799-1801 not incl." xr:uid="{208FE130-7423-4FE0-91D0-9542200C6BF0}"/>
    <hyperlink ref="BV2" location="'Imports (1816-45)'!A1" display="PP" xr:uid="{C73C4575-1827-43C0-BE26-40DCE149CAB4}"/>
    <hyperlink ref="BI2" location="'Imports (1816-45)'!A1" display="PP" xr:uid="{0DE9EB31-6F40-4EC9-BBE0-65AB3784FAA3}"/>
    <hyperlink ref="BW2:CA2" location="'Imports (1816-45)'!A1" display="PP" xr:uid="{45D5899B-4413-4284-A4E2-E49540168EEF}"/>
  </hyperlinks>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B02CD-F21B-406B-927E-FED0DEC6A195}">
  <dimension ref="A1:I13115"/>
  <sheetViews>
    <sheetView workbookViewId="0">
      <pane ySplit="1" topLeftCell="A13095" activePane="bottomLeft" state="frozen"/>
      <selection pane="bottomLeft" activeCell="C13115" sqref="C13115"/>
    </sheetView>
  </sheetViews>
  <sheetFormatPr defaultColWidth="17" defaultRowHeight="15" x14ac:dyDescent="0.25"/>
  <cols>
    <col min="1" max="1" width="14.140625" bestFit="1" customWidth="1"/>
    <col min="2" max="2" width="13.28515625" bestFit="1" customWidth="1"/>
    <col min="3" max="3" width="15.42578125" bestFit="1" customWidth="1"/>
    <col min="4" max="4" width="8" bestFit="1" customWidth="1"/>
    <col min="5" max="5" width="30.85546875" style="208" bestFit="1" customWidth="1"/>
    <col min="6" max="6" width="35.28515625" bestFit="1" customWidth="1"/>
    <col min="7" max="7" width="14.140625" style="18" bestFit="1" customWidth="1"/>
    <col min="8" max="9" width="18.42578125" bestFit="1" customWidth="1"/>
  </cols>
  <sheetData>
    <row r="1" spans="1:9" s="210" customFormat="1" ht="19.5" customHeight="1" x14ac:dyDescent="0.25">
      <c r="A1" s="232" t="s">
        <v>478</v>
      </c>
      <c r="B1" s="232" t="s">
        <v>504</v>
      </c>
      <c r="C1" s="216" t="s">
        <v>552</v>
      </c>
      <c r="D1" s="216" t="s">
        <v>347</v>
      </c>
      <c r="E1" s="216" t="s">
        <v>161</v>
      </c>
      <c r="F1" s="216" t="s">
        <v>503</v>
      </c>
      <c r="G1" s="231" t="s">
        <v>477</v>
      </c>
      <c r="H1" s="232" t="s">
        <v>19</v>
      </c>
      <c r="I1" s="232" t="s">
        <v>20</v>
      </c>
    </row>
    <row r="2" spans="1:9" x14ac:dyDescent="0.25">
      <c r="A2" s="151">
        <v>1796</v>
      </c>
      <c r="B2" s="151">
        <v>1797</v>
      </c>
      <c r="C2" s="151" t="str">
        <f>IF(LEFT(A2,2)=LEFT(B2,2),_xlfn.TEXTJOIN("-",TRUE,A2,RIGHT(B2,2)),_xlfn.TEXTJOIN("-",TRUE,A2,B2))</f>
        <v>1796-97</v>
      </c>
      <c r="D2" s="151" t="s">
        <v>27</v>
      </c>
      <c r="E2" s="208" t="s">
        <v>155</v>
      </c>
      <c r="F2" t="s">
        <v>287</v>
      </c>
      <c r="G2" s="18">
        <v>54</v>
      </c>
      <c r="H2" t="s">
        <v>561</v>
      </c>
      <c r="I2" t="s">
        <v>24</v>
      </c>
    </row>
    <row r="3" spans="1:9" x14ac:dyDescent="0.25">
      <c r="A3" s="151">
        <v>1796</v>
      </c>
      <c r="B3" s="151">
        <v>1797</v>
      </c>
      <c r="C3" s="151" t="s">
        <v>547</v>
      </c>
      <c r="D3" s="151" t="s">
        <v>27</v>
      </c>
      <c r="E3" s="208" t="s">
        <v>156</v>
      </c>
      <c r="F3" t="s">
        <v>287</v>
      </c>
      <c r="G3" s="18">
        <v>63</v>
      </c>
      <c r="H3" t="s">
        <v>561</v>
      </c>
      <c r="I3" t="s">
        <v>24</v>
      </c>
    </row>
    <row r="4" spans="1:9" x14ac:dyDescent="0.25">
      <c r="A4" s="151">
        <v>1796</v>
      </c>
      <c r="B4" s="151">
        <v>1797</v>
      </c>
      <c r="C4" s="151" t="s">
        <v>547</v>
      </c>
      <c r="D4" s="151" t="s">
        <v>27</v>
      </c>
      <c r="E4" s="208" t="s">
        <v>154</v>
      </c>
      <c r="F4" t="s">
        <v>287</v>
      </c>
      <c r="G4" s="18">
        <v>267</v>
      </c>
      <c r="H4" t="s">
        <v>561</v>
      </c>
      <c r="I4" t="s">
        <v>24</v>
      </c>
    </row>
    <row r="5" spans="1:9" x14ac:dyDescent="0.25">
      <c r="A5" s="151">
        <v>1796</v>
      </c>
      <c r="B5" s="151">
        <v>1797</v>
      </c>
      <c r="C5" s="151" t="s">
        <v>547</v>
      </c>
      <c r="D5" s="151" t="s">
        <v>27</v>
      </c>
      <c r="E5" s="208" t="s">
        <v>150</v>
      </c>
      <c r="F5" t="s">
        <v>287</v>
      </c>
      <c r="G5" s="18">
        <v>5262</v>
      </c>
      <c r="H5" t="s">
        <v>561</v>
      </c>
      <c r="I5" t="s">
        <v>24</v>
      </c>
    </row>
    <row r="6" spans="1:9" x14ac:dyDescent="0.25">
      <c r="A6" s="151">
        <v>1796</v>
      </c>
      <c r="B6" s="151">
        <v>1797</v>
      </c>
      <c r="C6" s="151" t="s">
        <v>547</v>
      </c>
      <c r="D6" s="151" t="s">
        <v>27</v>
      </c>
      <c r="E6" s="208" t="s">
        <v>148</v>
      </c>
      <c r="F6" t="s">
        <v>287</v>
      </c>
      <c r="G6" s="18">
        <v>729</v>
      </c>
      <c r="H6" t="s">
        <v>561</v>
      </c>
      <c r="I6" t="s">
        <v>24</v>
      </c>
    </row>
    <row r="7" spans="1:9" x14ac:dyDescent="0.25">
      <c r="A7" s="151">
        <v>1796</v>
      </c>
      <c r="B7" s="151">
        <v>1797</v>
      </c>
      <c r="C7" s="151" t="s">
        <v>547</v>
      </c>
      <c r="D7" s="151" t="s">
        <v>27</v>
      </c>
      <c r="E7" s="208" t="s">
        <v>130</v>
      </c>
      <c r="F7" t="s">
        <v>287</v>
      </c>
      <c r="G7" s="18">
        <v>111</v>
      </c>
      <c r="H7" t="s">
        <v>561</v>
      </c>
      <c r="I7" t="s">
        <v>24</v>
      </c>
    </row>
    <row r="8" spans="1:9" x14ac:dyDescent="0.25">
      <c r="A8" s="151">
        <v>1796</v>
      </c>
      <c r="B8" s="151">
        <v>1797</v>
      </c>
      <c r="C8" s="151" t="s">
        <v>547</v>
      </c>
      <c r="D8" s="151" t="s">
        <v>27</v>
      </c>
      <c r="E8" s="208" t="s">
        <v>132</v>
      </c>
      <c r="F8" t="s">
        <v>287</v>
      </c>
      <c r="G8" s="18">
        <v>0</v>
      </c>
      <c r="H8" t="s">
        <v>561</v>
      </c>
      <c r="I8" t="s">
        <v>24</v>
      </c>
    </row>
    <row r="9" spans="1:9" x14ac:dyDescent="0.25">
      <c r="A9" s="151">
        <v>1796</v>
      </c>
      <c r="B9" s="151">
        <v>1797</v>
      </c>
      <c r="C9" s="151" t="s">
        <v>547</v>
      </c>
      <c r="D9" s="151" t="s">
        <v>27</v>
      </c>
      <c r="E9" s="208" t="s">
        <v>142</v>
      </c>
      <c r="F9" t="s">
        <v>287</v>
      </c>
      <c r="G9" s="18">
        <v>20</v>
      </c>
      <c r="H9" t="s">
        <v>561</v>
      </c>
      <c r="I9" t="s">
        <v>24</v>
      </c>
    </row>
    <row r="10" spans="1:9" x14ac:dyDescent="0.25">
      <c r="A10" s="151">
        <v>1796</v>
      </c>
      <c r="B10" s="151">
        <v>1797</v>
      </c>
      <c r="C10" s="151" t="s">
        <v>547</v>
      </c>
      <c r="D10" s="151" t="s">
        <v>27</v>
      </c>
      <c r="E10" s="208" t="s">
        <v>144</v>
      </c>
      <c r="F10" t="s">
        <v>287</v>
      </c>
      <c r="G10" s="18">
        <v>0</v>
      </c>
      <c r="H10" t="s">
        <v>561</v>
      </c>
      <c r="I10" t="s">
        <v>24</v>
      </c>
    </row>
    <row r="11" spans="1:9" x14ac:dyDescent="0.25">
      <c r="A11" s="151">
        <v>1796</v>
      </c>
      <c r="B11" s="151">
        <v>1797</v>
      </c>
      <c r="C11" s="151" t="s">
        <v>547</v>
      </c>
      <c r="D11" s="151" t="s">
        <v>27</v>
      </c>
      <c r="E11" s="208" t="s">
        <v>124</v>
      </c>
      <c r="F11" t="s">
        <v>287</v>
      </c>
      <c r="G11" s="18">
        <v>26439</v>
      </c>
      <c r="H11" t="s">
        <v>561</v>
      </c>
      <c r="I11" t="s">
        <v>24</v>
      </c>
    </row>
    <row r="12" spans="1:9" x14ac:dyDescent="0.25">
      <c r="A12" s="151">
        <v>1796</v>
      </c>
      <c r="B12" s="151">
        <v>1797</v>
      </c>
      <c r="C12" s="151" t="s">
        <v>547</v>
      </c>
      <c r="D12" s="151" t="s">
        <v>27</v>
      </c>
      <c r="E12" s="208" t="s">
        <v>155</v>
      </c>
      <c r="F12" t="s">
        <v>284</v>
      </c>
      <c r="G12" s="18">
        <v>75273</v>
      </c>
      <c r="H12" t="s">
        <v>561</v>
      </c>
      <c r="I12" t="s">
        <v>18</v>
      </c>
    </row>
    <row r="13" spans="1:9" x14ac:dyDescent="0.25">
      <c r="A13" s="151">
        <v>1796</v>
      </c>
      <c r="B13" s="151">
        <v>1797</v>
      </c>
      <c r="C13" s="151" t="s">
        <v>547</v>
      </c>
      <c r="D13" s="151" t="s">
        <v>27</v>
      </c>
      <c r="E13" s="208" t="s">
        <v>156</v>
      </c>
      <c r="F13" t="s">
        <v>284</v>
      </c>
      <c r="G13" s="18">
        <v>9036</v>
      </c>
      <c r="H13" t="s">
        <v>561</v>
      </c>
      <c r="I13" t="s">
        <v>18</v>
      </c>
    </row>
    <row r="14" spans="1:9" x14ac:dyDescent="0.25">
      <c r="A14" s="151">
        <v>1796</v>
      </c>
      <c r="B14" s="151">
        <v>1797</v>
      </c>
      <c r="C14" s="151" t="s">
        <v>547</v>
      </c>
      <c r="D14" s="151" t="s">
        <v>27</v>
      </c>
      <c r="E14" s="208" t="s">
        <v>154</v>
      </c>
      <c r="F14" t="s">
        <v>284</v>
      </c>
      <c r="G14" s="18">
        <v>378</v>
      </c>
      <c r="H14" t="s">
        <v>561</v>
      </c>
      <c r="I14" t="s">
        <v>18</v>
      </c>
    </row>
    <row r="15" spans="1:9" x14ac:dyDescent="0.25">
      <c r="A15" s="151">
        <v>1796</v>
      </c>
      <c r="B15" s="151">
        <v>1797</v>
      </c>
      <c r="C15" s="151" t="s">
        <v>547</v>
      </c>
      <c r="D15" s="151" t="s">
        <v>27</v>
      </c>
      <c r="E15" s="208" t="s">
        <v>150</v>
      </c>
      <c r="F15" t="s">
        <v>284</v>
      </c>
      <c r="G15" s="18">
        <v>15173</v>
      </c>
      <c r="H15" t="s">
        <v>561</v>
      </c>
      <c r="I15" t="s">
        <v>18</v>
      </c>
    </row>
    <row r="16" spans="1:9" x14ac:dyDescent="0.25">
      <c r="A16" s="151">
        <v>1796</v>
      </c>
      <c r="B16" s="151">
        <v>1797</v>
      </c>
      <c r="C16" s="151" t="s">
        <v>547</v>
      </c>
      <c r="D16" s="151" t="s">
        <v>27</v>
      </c>
      <c r="E16" s="208" t="s">
        <v>148</v>
      </c>
      <c r="F16" t="s">
        <v>284</v>
      </c>
      <c r="G16" s="18">
        <v>623</v>
      </c>
      <c r="H16" t="s">
        <v>561</v>
      </c>
      <c r="I16" t="s">
        <v>18</v>
      </c>
    </row>
    <row r="17" spans="1:9" x14ac:dyDescent="0.25">
      <c r="A17" s="151">
        <v>1796</v>
      </c>
      <c r="B17" s="151">
        <v>1797</v>
      </c>
      <c r="C17" s="151" t="s">
        <v>547</v>
      </c>
      <c r="D17" s="151" t="s">
        <v>27</v>
      </c>
      <c r="E17" s="208" t="s">
        <v>130</v>
      </c>
      <c r="F17" t="s">
        <v>284</v>
      </c>
      <c r="G17" s="18">
        <v>25455</v>
      </c>
      <c r="H17" t="s">
        <v>561</v>
      </c>
      <c r="I17" t="s">
        <v>18</v>
      </c>
    </row>
    <row r="18" spans="1:9" x14ac:dyDescent="0.25">
      <c r="A18" s="151">
        <v>1796</v>
      </c>
      <c r="B18" s="151">
        <v>1797</v>
      </c>
      <c r="C18" s="151" t="s">
        <v>547</v>
      </c>
      <c r="D18" s="151" t="s">
        <v>27</v>
      </c>
      <c r="E18" s="208" t="s">
        <v>132</v>
      </c>
      <c r="F18" t="s">
        <v>284</v>
      </c>
      <c r="G18" s="18">
        <v>157</v>
      </c>
      <c r="H18" t="s">
        <v>561</v>
      </c>
      <c r="I18" t="s">
        <v>18</v>
      </c>
    </row>
    <row r="19" spans="1:9" x14ac:dyDescent="0.25">
      <c r="A19" s="151">
        <v>1796</v>
      </c>
      <c r="B19" s="151">
        <v>1797</v>
      </c>
      <c r="C19" s="151" t="s">
        <v>547</v>
      </c>
      <c r="D19" s="151" t="s">
        <v>27</v>
      </c>
      <c r="E19" s="208" t="s">
        <v>142</v>
      </c>
      <c r="F19" t="s">
        <v>284</v>
      </c>
      <c r="G19" s="18">
        <v>1686</v>
      </c>
      <c r="H19" t="s">
        <v>561</v>
      </c>
      <c r="I19" t="s">
        <v>18</v>
      </c>
    </row>
    <row r="20" spans="1:9" x14ac:dyDescent="0.25">
      <c r="A20" s="151">
        <v>1796</v>
      </c>
      <c r="B20" s="151">
        <v>1797</v>
      </c>
      <c r="C20" s="151" t="s">
        <v>547</v>
      </c>
      <c r="D20" s="151" t="s">
        <v>27</v>
      </c>
      <c r="E20" s="208" t="s">
        <v>144</v>
      </c>
      <c r="F20" t="s">
        <v>284</v>
      </c>
      <c r="G20" s="18">
        <v>157</v>
      </c>
      <c r="H20" t="s">
        <v>561</v>
      </c>
      <c r="I20" t="s">
        <v>18</v>
      </c>
    </row>
    <row r="21" spans="1:9" x14ac:dyDescent="0.25">
      <c r="A21" s="151">
        <v>1796</v>
      </c>
      <c r="B21" s="151">
        <v>1797</v>
      </c>
      <c r="C21" s="151" t="s">
        <v>547</v>
      </c>
      <c r="D21" s="151" t="s">
        <v>27</v>
      </c>
      <c r="E21" s="208" t="s">
        <v>124</v>
      </c>
      <c r="F21" t="s">
        <v>284</v>
      </c>
      <c r="G21" s="18">
        <v>6690304</v>
      </c>
      <c r="H21" t="s">
        <v>561</v>
      </c>
      <c r="I21" t="s">
        <v>18</v>
      </c>
    </row>
    <row r="22" spans="1:9" x14ac:dyDescent="0.25">
      <c r="A22" s="151">
        <v>1796</v>
      </c>
      <c r="B22" s="151">
        <v>1797</v>
      </c>
      <c r="C22" s="151" t="s">
        <v>547</v>
      </c>
      <c r="D22" s="151" t="s">
        <v>27</v>
      </c>
      <c r="E22" s="208" t="s">
        <v>155</v>
      </c>
      <c r="F22" t="s">
        <v>286</v>
      </c>
      <c r="G22" s="18">
        <v>442</v>
      </c>
      <c r="H22" t="s">
        <v>561</v>
      </c>
      <c r="I22" t="s">
        <v>21</v>
      </c>
    </row>
    <row r="23" spans="1:9" x14ac:dyDescent="0.25">
      <c r="A23" s="151">
        <v>1796</v>
      </c>
      <c r="B23" s="151">
        <v>1797</v>
      </c>
      <c r="C23" s="151" t="s">
        <v>547</v>
      </c>
      <c r="D23" s="151" t="s">
        <v>27</v>
      </c>
      <c r="E23" s="208" t="s">
        <v>156</v>
      </c>
      <c r="F23" t="s">
        <v>286</v>
      </c>
      <c r="G23" s="18">
        <v>172</v>
      </c>
      <c r="H23" t="s">
        <v>561</v>
      </c>
      <c r="I23" t="s">
        <v>21</v>
      </c>
    </row>
    <row r="24" spans="1:9" x14ac:dyDescent="0.25">
      <c r="A24" s="151">
        <v>1796</v>
      </c>
      <c r="B24" s="151">
        <v>1797</v>
      </c>
      <c r="C24" s="151" t="s">
        <v>547</v>
      </c>
      <c r="D24" s="151" t="s">
        <v>27</v>
      </c>
      <c r="E24" s="208" t="s">
        <v>154</v>
      </c>
      <c r="F24" t="s">
        <v>286</v>
      </c>
      <c r="G24" s="18">
        <v>8</v>
      </c>
      <c r="H24" t="s">
        <v>561</v>
      </c>
      <c r="I24" t="s">
        <v>21</v>
      </c>
    </row>
    <row r="25" spans="1:9" x14ac:dyDescent="0.25">
      <c r="A25" s="151">
        <v>1796</v>
      </c>
      <c r="B25" s="151">
        <v>1797</v>
      </c>
      <c r="C25" s="151" t="s">
        <v>547</v>
      </c>
      <c r="D25" s="151" t="s">
        <v>27</v>
      </c>
      <c r="E25" s="208" t="s">
        <v>150</v>
      </c>
      <c r="F25" t="s">
        <v>286</v>
      </c>
      <c r="G25" s="18">
        <v>86</v>
      </c>
      <c r="H25" t="s">
        <v>561</v>
      </c>
      <c r="I25" t="s">
        <v>21</v>
      </c>
    </row>
    <row r="26" spans="1:9" x14ac:dyDescent="0.25">
      <c r="A26" s="151">
        <v>1796</v>
      </c>
      <c r="B26" s="151">
        <v>1797</v>
      </c>
      <c r="C26" s="151" t="s">
        <v>547</v>
      </c>
      <c r="D26" s="151" t="s">
        <v>27</v>
      </c>
      <c r="E26" s="208" t="s">
        <v>148</v>
      </c>
      <c r="F26" t="s">
        <v>286</v>
      </c>
      <c r="G26" s="18">
        <v>9</v>
      </c>
      <c r="H26" t="s">
        <v>561</v>
      </c>
      <c r="I26" t="s">
        <v>21</v>
      </c>
    </row>
    <row r="27" spans="1:9" x14ac:dyDescent="0.25">
      <c r="A27" s="151">
        <v>1796</v>
      </c>
      <c r="B27" s="151">
        <v>1797</v>
      </c>
      <c r="C27" s="151" t="s">
        <v>547</v>
      </c>
      <c r="D27" s="151" t="s">
        <v>27</v>
      </c>
      <c r="E27" s="208" t="s">
        <v>130</v>
      </c>
      <c r="F27" t="s">
        <v>286</v>
      </c>
      <c r="G27" s="18">
        <v>129</v>
      </c>
      <c r="H27" t="s">
        <v>561</v>
      </c>
      <c r="I27" t="s">
        <v>21</v>
      </c>
    </row>
    <row r="28" spans="1:9" x14ac:dyDescent="0.25">
      <c r="A28" s="151">
        <v>1796</v>
      </c>
      <c r="B28" s="151">
        <v>1797</v>
      </c>
      <c r="C28" s="151" t="s">
        <v>547</v>
      </c>
      <c r="D28" s="151" t="s">
        <v>27</v>
      </c>
      <c r="E28" s="208" t="s">
        <v>132</v>
      </c>
      <c r="F28" t="s">
        <v>286</v>
      </c>
      <c r="G28" s="18">
        <v>43</v>
      </c>
      <c r="H28" t="s">
        <v>561</v>
      </c>
      <c r="I28" t="s">
        <v>21</v>
      </c>
    </row>
    <row r="29" spans="1:9" x14ac:dyDescent="0.25">
      <c r="A29" s="151">
        <v>1796</v>
      </c>
      <c r="B29" s="151">
        <v>1797</v>
      </c>
      <c r="C29" s="151" t="s">
        <v>547</v>
      </c>
      <c r="D29" s="151" t="s">
        <v>27</v>
      </c>
      <c r="E29" s="208" t="s">
        <v>142</v>
      </c>
      <c r="F29" t="s">
        <v>286</v>
      </c>
      <c r="G29" s="18">
        <v>0</v>
      </c>
      <c r="H29" t="s">
        <v>561</v>
      </c>
      <c r="I29" t="s">
        <v>21</v>
      </c>
    </row>
    <row r="30" spans="1:9" x14ac:dyDescent="0.25">
      <c r="A30" s="151">
        <v>1796</v>
      </c>
      <c r="B30" s="151">
        <v>1797</v>
      </c>
      <c r="C30" s="151" t="s">
        <v>547</v>
      </c>
      <c r="D30" s="151" t="s">
        <v>27</v>
      </c>
      <c r="E30" s="208" t="s">
        <v>144</v>
      </c>
      <c r="F30" t="s">
        <v>286</v>
      </c>
      <c r="G30" s="18">
        <v>0</v>
      </c>
      <c r="H30" t="s">
        <v>561</v>
      </c>
      <c r="I30" t="s">
        <v>21</v>
      </c>
    </row>
    <row r="31" spans="1:9" x14ac:dyDescent="0.25">
      <c r="A31" s="151">
        <v>1796</v>
      </c>
      <c r="B31" s="151">
        <v>1797</v>
      </c>
      <c r="C31" s="151" t="s">
        <v>547</v>
      </c>
      <c r="D31" s="151" t="s">
        <v>27</v>
      </c>
      <c r="E31" s="208" t="s">
        <v>124</v>
      </c>
      <c r="F31" t="s">
        <v>286</v>
      </c>
      <c r="G31" s="18">
        <v>1341</v>
      </c>
      <c r="H31" t="s">
        <v>561</v>
      </c>
      <c r="I31" t="s">
        <v>21</v>
      </c>
    </row>
    <row r="32" spans="1:9" x14ac:dyDescent="0.25">
      <c r="A32" s="151">
        <v>1796</v>
      </c>
      <c r="B32" s="151">
        <v>1797</v>
      </c>
      <c r="C32" s="151" t="s">
        <v>547</v>
      </c>
      <c r="D32" s="151" t="s">
        <v>27</v>
      </c>
      <c r="E32" s="208" t="s">
        <v>155</v>
      </c>
      <c r="F32" t="s">
        <v>285</v>
      </c>
      <c r="G32" s="18">
        <v>2604</v>
      </c>
      <c r="H32" t="s">
        <v>561</v>
      </c>
      <c r="I32" t="s">
        <v>23</v>
      </c>
    </row>
    <row r="33" spans="1:9" x14ac:dyDescent="0.25">
      <c r="A33" s="151">
        <v>1796</v>
      </c>
      <c r="B33" s="151">
        <v>1797</v>
      </c>
      <c r="C33" s="151" t="s">
        <v>547</v>
      </c>
      <c r="D33" s="151" t="s">
        <v>27</v>
      </c>
      <c r="E33" s="208" t="s">
        <v>156</v>
      </c>
      <c r="F33" t="s">
        <v>285</v>
      </c>
      <c r="G33" s="18">
        <v>695</v>
      </c>
      <c r="H33" t="s">
        <v>561</v>
      </c>
      <c r="I33" t="s">
        <v>23</v>
      </c>
    </row>
    <row r="34" spans="1:9" x14ac:dyDescent="0.25">
      <c r="A34" s="151">
        <v>1796</v>
      </c>
      <c r="B34" s="151">
        <v>1797</v>
      </c>
      <c r="C34" s="151" t="s">
        <v>547</v>
      </c>
      <c r="D34" s="151" t="s">
        <v>27</v>
      </c>
      <c r="E34" s="208" t="s">
        <v>154</v>
      </c>
      <c r="F34" t="s">
        <v>285</v>
      </c>
      <c r="G34" s="18">
        <v>100</v>
      </c>
      <c r="H34" t="s">
        <v>561</v>
      </c>
      <c r="I34" t="s">
        <v>23</v>
      </c>
    </row>
    <row r="35" spans="1:9" x14ac:dyDescent="0.25">
      <c r="A35" s="151">
        <v>1796</v>
      </c>
      <c r="B35" s="151">
        <v>1797</v>
      </c>
      <c r="C35" s="151" t="s">
        <v>547</v>
      </c>
      <c r="D35" s="151" t="s">
        <v>27</v>
      </c>
      <c r="E35" s="208" t="s">
        <v>150</v>
      </c>
      <c r="F35" t="s">
        <v>285</v>
      </c>
      <c r="G35" s="18">
        <v>7493</v>
      </c>
      <c r="H35" t="s">
        <v>561</v>
      </c>
      <c r="I35" t="s">
        <v>23</v>
      </c>
    </row>
    <row r="36" spans="1:9" x14ac:dyDescent="0.25">
      <c r="A36" s="151">
        <v>1796</v>
      </c>
      <c r="B36" s="151">
        <v>1797</v>
      </c>
      <c r="C36" s="151" t="s">
        <v>547</v>
      </c>
      <c r="D36" s="151" t="s">
        <v>27</v>
      </c>
      <c r="E36" s="208" t="s">
        <v>148</v>
      </c>
      <c r="F36" t="s">
        <v>285</v>
      </c>
      <c r="G36" s="18">
        <v>102</v>
      </c>
      <c r="H36" t="s">
        <v>561</v>
      </c>
      <c r="I36" t="s">
        <v>23</v>
      </c>
    </row>
    <row r="37" spans="1:9" x14ac:dyDescent="0.25">
      <c r="A37" s="151">
        <v>1796</v>
      </c>
      <c r="B37" s="151">
        <v>1797</v>
      </c>
      <c r="C37" s="151" t="s">
        <v>547</v>
      </c>
      <c r="D37" s="151" t="s">
        <v>27</v>
      </c>
      <c r="E37" s="208" t="s">
        <v>130</v>
      </c>
      <c r="F37" t="s">
        <v>285</v>
      </c>
      <c r="G37" s="18">
        <v>3403</v>
      </c>
      <c r="H37" t="s">
        <v>561</v>
      </c>
      <c r="I37" t="s">
        <v>23</v>
      </c>
    </row>
    <row r="38" spans="1:9" x14ac:dyDescent="0.25">
      <c r="A38" s="151">
        <v>1796</v>
      </c>
      <c r="B38" s="151">
        <v>1797</v>
      </c>
      <c r="C38" s="151" t="s">
        <v>547</v>
      </c>
      <c r="D38" s="151" t="s">
        <v>27</v>
      </c>
      <c r="E38" s="208" t="s">
        <v>132</v>
      </c>
      <c r="F38" t="s">
        <v>285</v>
      </c>
      <c r="G38" s="18">
        <v>59</v>
      </c>
      <c r="H38" t="s">
        <v>561</v>
      </c>
      <c r="I38" t="s">
        <v>23</v>
      </c>
    </row>
    <row r="39" spans="1:9" x14ac:dyDescent="0.25">
      <c r="A39" s="151">
        <v>1796</v>
      </c>
      <c r="B39" s="151">
        <v>1797</v>
      </c>
      <c r="C39" s="151" t="s">
        <v>547</v>
      </c>
      <c r="D39" s="151" t="s">
        <v>27</v>
      </c>
      <c r="E39" s="208" t="s">
        <v>142</v>
      </c>
      <c r="F39" t="s">
        <v>285</v>
      </c>
      <c r="G39" s="18">
        <v>1219</v>
      </c>
      <c r="H39" t="s">
        <v>561</v>
      </c>
      <c r="I39" t="s">
        <v>23</v>
      </c>
    </row>
    <row r="40" spans="1:9" x14ac:dyDescent="0.25">
      <c r="A40" s="151">
        <v>1796</v>
      </c>
      <c r="B40" s="151">
        <v>1797</v>
      </c>
      <c r="C40" s="151" t="s">
        <v>547</v>
      </c>
      <c r="D40" s="151" t="s">
        <v>27</v>
      </c>
      <c r="E40" s="208" t="s">
        <v>144</v>
      </c>
      <c r="F40" t="s">
        <v>285</v>
      </c>
      <c r="G40" s="18">
        <v>171</v>
      </c>
      <c r="H40" t="s">
        <v>561</v>
      </c>
      <c r="I40" t="s">
        <v>23</v>
      </c>
    </row>
    <row r="41" spans="1:9" x14ac:dyDescent="0.25">
      <c r="A41" s="151">
        <v>1796</v>
      </c>
      <c r="B41" s="151">
        <v>1797</v>
      </c>
      <c r="C41" s="151" t="s">
        <v>547</v>
      </c>
      <c r="D41" s="151" t="s">
        <v>27</v>
      </c>
      <c r="E41" s="208" t="s">
        <v>124</v>
      </c>
      <c r="F41" t="s">
        <v>285</v>
      </c>
      <c r="G41" s="18">
        <v>1151049</v>
      </c>
      <c r="H41" t="s">
        <v>561</v>
      </c>
      <c r="I41" t="s">
        <v>23</v>
      </c>
    </row>
    <row r="42" spans="1:9" x14ac:dyDescent="0.25">
      <c r="A42" s="151">
        <v>1796</v>
      </c>
      <c r="B42" s="151">
        <v>1797</v>
      </c>
      <c r="C42" s="151" t="s">
        <v>547</v>
      </c>
      <c r="D42" s="151" t="s">
        <v>27</v>
      </c>
      <c r="E42" s="208" t="s">
        <v>155</v>
      </c>
      <c r="F42" t="s">
        <v>15</v>
      </c>
      <c r="G42" s="18">
        <v>78373</v>
      </c>
      <c r="H42" t="s">
        <v>561</v>
      </c>
      <c r="I42" s="151" t="s">
        <v>562</v>
      </c>
    </row>
    <row r="43" spans="1:9" x14ac:dyDescent="0.25">
      <c r="A43" s="151">
        <v>1796</v>
      </c>
      <c r="B43" s="151">
        <v>1797</v>
      </c>
      <c r="C43" s="151" t="s">
        <v>547</v>
      </c>
      <c r="D43" s="151" t="s">
        <v>27</v>
      </c>
      <c r="E43" s="208" t="s">
        <v>156</v>
      </c>
      <c r="F43" t="s">
        <v>15</v>
      </c>
      <c r="G43" s="18">
        <v>9966</v>
      </c>
      <c r="H43" t="s">
        <v>561</v>
      </c>
      <c r="I43" s="151" t="s">
        <v>562</v>
      </c>
    </row>
    <row r="44" spans="1:9" x14ac:dyDescent="0.25">
      <c r="A44" s="151">
        <v>1796</v>
      </c>
      <c r="B44" s="151">
        <v>1797</v>
      </c>
      <c r="C44" s="151" t="s">
        <v>547</v>
      </c>
      <c r="D44" s="151" t="s">
        <v>27</v>
      </c>
      <c r="E44" s="208" t="s">
        <v>154</v>
      </c>
      <c r="F44" t="s">
        <v>15</v>
      </c>
      <c r="G44" s="18">
        <v>753</v>
      </c>
      <c r="H44" t="s">
        <v>561</v>
      </c>
      <c r="I44" s="151" t="s">
        <v>562</v>
      </c>
    </row>
    <row r="45" spans="1:9" x14ac:dyDescent="0.25">
      <c r="A45" s="151">
        <v>1796</v>
      </c>
      <c r="B45" s="151">
        <v>1797</v>
      </c>
      <c r="C45" s="151" t="s">
        <v>547</v>
      </c>
      <c r="D45" s="151" t="s">
        <v>27</v>
      </c>
      <c r="E45" s="208" t="s">
        <v>150</v>
      </c>
      <c r="F45" t="s">
        <v>15</v>
      </c>
      <c r="G45" s="18">
        <v>28014</v>
      </c>
      <c r="H45" t="s">
        <v>561</v>
      </c>
      <c r="I45" s="151" t="s">
        <v>562</v>
      </c>
    </row>
    <row r="46" spans="1:9" x14ac:dyDescent="0.25">
      <c r="A46" s="151">
        <v>1796</v>
      </c>
      <c r="B46" s="151">
        <v>1797</v>
      </c>
      <c r="C46" s="151" t="s">
        <v>547</v>
      </c>
      <c r="D46" s="151" t="s">
        <v>27</v>
      </c>
      <c r="E46" s="208" t="s">
        <v>148</v>
      </c>
      <c r="F46" t="s">
        <v>15</v>
      </c>
      <c r="G46" s="18">
        <v>1463</v>
      </c>
      <c r="H46" t="s">
        <v>561</v>
      </c>
      <c r="I46" s="151" t="s">
        <v>562</v>
      </c>
    </row>
    <row r="47" spans="1:9" x14ac:dyDescent="0.25">
      <c r="A47" s="151">
        <v>1796</v>
      </c>
      <c r="B47" s="151">
        <v>1797</v>
      </c>
      <c r="C47" s="151" t="s">
        <v>547</v>
      </c>
      <c r="D47" s="151" t="s">
        <v>27</v>
      </c>
      <c r="E47" s="208" t="s">
        <v>130</v>
      </c>
      <c r="F47" t="s">
        <v>15</v>
      </c>
      <c r="G47" s="18">
        <v>29098</v>
      </c>
      <c r="H47" t="s">
        <v>561</v>
      </c>
      <c r="I47" s="151" t="s">
        <v>562</v>
      </c>
    </row>
    <row r="48" spans="1:9" x14ac:dyDescent="0.25">
      <c r="A48" s="151">
        <v>1796</v>
      </c>
      <c r="B48" s="151">
        <v>1797</v>
      </c>
      <c r="C48" s="151" t="s">
        <v>547</v>
      </c>
      <c r="D48" s="151" t="s">
        <v>27</v>
      </c>
      <c r="E48" s="208" t="s">
        <v>132</v>
      </c>
      <c r="F48" t="s">
        <v>15</v>
      </c>
      <c r="G48" s="18">
        <v>259</v>
      </c>
      <c r="H48" t="s">
        <v>561</v>
      </c>
      <c r="I48" s="151" t="s">
        <v>562</v>
      </c>
    </row>
    <row r="49" spans="1:9" x14ac:dyDescent="0.25">
      <c r="A49" s="151">
        <v>1796</v>
      </c>
      <c r="B49" s="151">
        <v>1797</v>
      </c>
      <c r="C49" s="151" t="s">
        <v>547</v>
      </c>
      <c r="D49" s="151" t="s">
        <v>27</v>
      </c>
      <c r="E49" s="208" t="s">
        <v>142</v>
      </c>
      <c r="F49" t="s">
        <v>15</v>
      </c>
      <c r="G49" s="18">
        <v>2925</v>
      </c>
      <c r="H49" t="s">
        <v>561</v>
      </c>
      <c r="I49" s="151" t="s">
        <v>562</v>
      </c>
    </row>
    <row r="50" spans="1:9" x14ac:dyDescent="0.25">
      <c r="A50" s="151">
        <v>1796</v>
      </c>
      <c r="B50" s="151">
        <v>1797</v>
      </c>
      <c r="C50" s="151" t="s">
        <v>547</v>
      </c>
      <c r="D50" s="151" t="s">
        <v>27</v>
      </c>
      <c r="E50" s="208" t="s">
        <v>144</v>
      </c>
      <c r="F50" t="s">
        <v>15</v>
      </c>
      <c r="G50" s="18">
        <v>328</v>
      </c>
      <c r="H50" t="s">
        <v>561</v>
      </c>
      <c r="I50" s="151" t="s">
        <v>562</v>
      </c>
    </row>
    <row r="51" spans="1:9" x14ac:dyDescent="0.25">
      <c r="A51" s="151">
        <v>1796</v>
      </c>
      <c r="B51" s="151">
        <v>1797</v>
      </c>
      <c r="C51" s="151" t="s">
        <v>547</v>
      </c>
      <c r="D51" s="151" t="s">
        <v>27</v>
      </c>
      <c r="E51" s="208" t="s">
        <v>124</v>
      </c>
      <c r="F51" t="s">
        <v>15</v>
      </c>
      <c r="G51" s="18">
        <v>7869133</v>
      </c>
      <c r="H51" t="s">
        <v>561</v>
      </c>
      <c r="I51" s="151" t="s">
        <v>562</v>
      </c>
    </row>
    <row r="52" spans="1:9" x14ac:dyDescent="0.25">
      <c r="A52" s="151">
        <v>1797</v>
      </c>
      <c r="B52" s="151">
        <v>1798</v>
      </c>
      <c r="C52" s="151" t="s">
        <v>546</v>
      </c>
      <c r="D52" s="151" t="s">
        <v>27</v>
      </c>
      <c r="E52" s="208" t="s">
        <v>155</v>
      </c>
      <c r="F52" t="s">
        <v>287</v>
      </c>
      <c r="G52" s="18">
        <v>157</v>
      </c>
      <c r="H52" t="s">
        <v>561</v>
      </c>
      <c r="I52" t="s">
        <v>24</v>
      </c>
    </row>
    <row r="53" spans="1:9" x14ac:dyDescent="0.25">
      <c r="A53" s="151">
        <v>1797</v>
      </c>
      <c r="B53" s="151">
        <v>1798</v>
      </c>
      <c r="C53" s="151" t="s">
        <v>546</v>
      </c>
      <c r="D53" s="151" t="s">
        <v>27</v>
      </c>
      <c r="E53" s="208" t="s">
        <v>156</v>
      </c>
      <c r="F53" t="s">
        <v>287</v>
      </c>
      <c r="G53" s="18">
        <v>13</v>
      </c>
      <c r="H53" t="s">
        <v>561</v>
      </c>
      <c r="I53" t="s">
        <v>24</v>
      </c>
    </row>
    <row r="54" spans="1:9" x14ac:dyDescent="0.25">
      <c r="A54" s="151">
        <v>1797</v>
      </c>
      <c r="B54" s="151">
        <v>1798</v>
      </c>
      <c r="C54" s="151" t="s">
        <v>546</v>
      </c>
      <c r="D54" s="151" t="s">
        <v>27</v>
      </c>
      <c r="E54" s="208" t="s">
        <v>154</v>
      </c>
      <c r="F54" t="s">
        <v>287</v>
      </c>
      <c r="G54" s="18">
        <v>173</v>
      </c>
      <c r="H54" t="s">
        <v>561</v>
      </c>
      <c r="I54" t="s">
        <v>24</v>
      </c>
    </row>
    <row r="55" spans="1:9" x14ac:dyDescent="0.25">
      <c r="A55" s="151">
        <v>1797</v>
      </c>
      <c r="B55" s="151">
        <v>1798</v>
      </c>
      <c r="C55" s="151" t="s">
        <v>546</v>
      </c>
      <c r="D55" s="151" t="s">
        <v>27</v>
      </c>
      <c r="E55" s="208" t="s">
        <v>150</v>
      </c>
      <c r="F55" t="s">
        <v>287</v>
      </c>
      <c r="G55" s="18">
        <v>2381</v>
      </c>
      <c r="H55" t="s">
        <v>561</v>
      </c>
      <c r="I55" t="s">
        <v>24</v>
      </c>
    </row>
    <row r="56" spans="1:9" x14ac:dyDescent="0.25">
      <c r="A56" s="151">
        <v>1797</v>
      </c>
      <c r="B56" s="151">
        <v>1798</v>
      </c>
      <c r="C56" s="151" t="s">
        <v>546</v>
      </c>
      <c r="D56" s="151" t="s">
        <v>27</v>
      </c>
      <c r="E56" s="208" t="s">
        <v>148</v>
      </c>
      <c r="F56" t="s">
        <v>287</v>
      </c>
      <c r="G56" s="18">
        <v>349</v>
      </c>
      <c r="H56" t="s">
        <v>561</v>
      </c>
      <c r="I56" t="s">
        <v>24</v>
      </c>
    </row>
    <row r="57" spans="1:9" x14ac:dyDescent="0.25">
      <c r="A57" s="151">
        <v>1797</v>
      </c>
      <c r="B57" s="151">
        <v>1798</v>
      </c>
      <c r="C57" s="151" t="s">
        <v>546</v>
      </c>
      <c r="D57" s="151" t="s">
        <v>27</v>
      </c>
      <c r="E57" s="208" t="s">
        <v>132</v>
      </c>
      <c r="F57" t="s">
        <v>287</v>
      </c>
      <c r="G57" s="18">
        <v>0</v>
      </c>
      <c r="H57" t="s">
        <v>561</v>
      </c>
      <c r="I57" t="s">
        <v>24</v>
      </c>
    </row>
    <row r="58" spans="1:9" x14ac:dyDescent="0.25">
      <c r="A58" s="151">
        <v>1797</v>
      </c>
      <c r="B58" s="151">
        <v>1798</v>
      </c>
      <c r="C58" s="151" t="s">
        <v>546</v>
      </c>
      <c r="D58" s="151" t="s">
        <v>27</v>
      </c>
      <c r="E58" s="208" t="s">
        <v>130</v>
      </c>
      <c r="F58" t="s">
        <v>287</v>
      </c>
      <c r="G58" s="18">
        <v>11</v>
      </c>
      <c r="H58" t="s">
        <v>561</v>
      </c>
      <c r="I58" t="s">
        <v>24</v>
      </c>
    </row>
    <row r="59" spans="1:9" x14ac:dyDescent="0.25">
      <c r="A59" s="151">
        <v>1797</v>
      </c>
      <c r="B59" s="151">
        <v>1798</v>
      </c>
      <c r="C59" s="151" t="s">
        <v>546</v>
      </c>
      <c r="D59" s="151" t="s">
        <v>27</v>
      </c>
      <c r="E59" s="208" t="s">
        <v>144</v>
      </c>
      <c r="F59" t="s">
        <v>287</v>
      </c>
      <c r="G59" s="18">
        <v>7</v>
      </c>
      <c r="H59" t="s">
        <v>561</v>
      </c>
      <c r="I59" t="s">
        <v>24</v>
      </c>
    </row>
    <row r="60" spans="1:9" x14ac:dyDescent="0.25">
      <c r="A60" s="151">
        <v>1797</v>
      </c>
      <c r="B60" s="151">
        <v>1798</v>
      </c>
      <c r="C60" s="151" t="s">
        <v>546</v>
      </c>
      <c r="D60" s="151" t="s">
        <v>27</v>
      </c>
      <c r="E60" s="208" t="s">
        <v>142</v>
      </c>
      <c r="F60" t="s">
        <v>287</v>
      </c>
      <c r="G60" s="18">
        <v>140</v>
      </c>
      <c r="H60" t="s">
        <v>561</v>
      </c>
      <c r="I60" t="s">
        <v>24</v>
      </c>
    </row>
    <row r="61" spans="1:9" x14ac:dyDescent="0.25">
      <c r="A61" s="151">
        <v>1797</v>
      </c>
      <c r="B61" s="151">
        <v>1798</v>
      </c>
      <c r="C61" s="151" t="s">
        <v>546</v>
      </c>
      <c r="D61" s="151" t="s">
        <v>27</v>
      </c>
      <c r="E61" s="208" t="s">
        <v>305</v>
      </c>
      <c r="F61" t="s">
        <v>287</v>
      </c>
      <c r="G61" s="18">
        <v>3</v>
      </c>
      <c r="H61" t="s">
        <v>561</v>
      </c>
      <c r="I61" t="s">
        <v>24</v>
      </c>
    </row>
    <row r="62" spans="1:9" x14ac:dyDescent="0.25">
      <c r="A62" s="151">
        <v>1797</v>
      </c>
      <c r="B62" s="151">
        <v>1798</v>
      </c>
      <c r="C62" s="151" t="s">
        <v>546</v>
      </c>
      <c r="D62" s="151" t="s">
        <v>27</v>
      </c>
      <c r="E62" s="208" t="s">
        <v>549</v>
      </c>
      <c r="F62" t="s">
        <v>287</v>
      </c>
      <c r="G62" s="18">
        <v>0</v>
      </c>
      <c r="H62" t="s">
        <v>561</v>
      </c>
      <c r="I62" t="s">
        <v>24</v>
      </c>
    </row>
    <row r="63" spans="1:9" x14ac:dyDescent="0.25">
      <c r="A63" s="151">
        <v>1797</v>
      </c>
      <c r="B63" s="151">
        <v>1798</v>
      </c>
      <c r="C63" s="151" t="s">
        <v>546</v>
      </c>
      <c r="D63" s="151" t="s">
        <v>27</v>
      </c>
      <c r="E63" s="208" t="s">
        <v>550</v>
      </c>
      <c r="F63" t="s">
        <v>287</v>
      </c>
      <c r="G63" s="18">
        <v>0</v>
      </c>
      <c r="H63" t="s">
        <v>561</v>
      </c>
      <c r="I63" t="s">
        <v>24</v>
      </c>
    </row>
    <row r="64" spans="1:9" x14ac:dyDescent="0.25">
      <c r="A64" s="151">
        <v>1797</v>
      </c>
      <c r="B64" s="151">
        <v>1798</v>
      </c>
      <c r="C64" s="151" t="s">
        <v>546</v>
      </c>
      <c r="D64" s="151" t="s">
        <v>27</v>
      </c>
      <c r="E64" s="208" t="s">
        <v>292</v>
      </c>
      <c r="F64" t="s">
        <v>287</v>
      </c>
      <c r="G64" s="18">
        <v>0</v>
      </c>
      <c r="H64" t="s">
        <v>561</v>
      </c>
      <c r="I64" t="s">
        <v>24</v>
      </c>
    </row>
    <row r="65" spans="1:9" x14ac:dyDescent="0.25">
      <c r="A65" s="151">
        <v>1797</v>
      </c>
      <c r="B65" s="151">
        <v>1798</v>
      </c>
      <c r="C65" s="151" t="s">
        <v>546</v>
      </c>
      <c r="D65" s="151" t="s">
        <v>27</v>
      </c>
      <c r="E65" s="208" t="s">
        <v>124</v>
      </c>
      <c r="F65" t="s">
        <v>287</v>
      </c>
      <c r="G65" s="18">
        <v>42736</v>
      </c>
      <c r="H65" t="s">
        <v>561</v>
      </c>
      <c r="I65" t="s">
        <v>24</v>
      </c>
    </row>
    <row r="66" spans="1:9" x14ac:dyDescent="0.25">
      <c r="A66" s="151">
        <v>1797</v>
      </c>
      <c r="B66" s="151">
        <v>1798</v>
      </c>
      <c r="C66" s="151" t="s">
        <v>546</v>
      </c>
      <c r="D66" s="151" t="s">
        <v>27</v>
      </c>
      <c r="E66" s="208" t="s">
        <v>155</v>
      </c>
      <c r="F66" t="s">
        <v>304</v>
      </c>
      <c r="G66" s="18">
        <v>8</v>
      </c>
      <c r="H66" t="s">
        <v>561</v>
      </c>
      <c r="I66" t="s">
        <v>25</v>
      </c>
    </row>
    <row r="67" spans="1:9" x14ac:dyDescent="0.25">
      <c r="A67" s="151">
        <v>1797</v>
      </c>
      <c r="B67" s="151">
        <v>1798</v>
      </c>
      <c r="C67" s="151" t="s">
        <v>546</v>
      </c>
      <c r="D67" s="151" t="s">
        <v>27</v>
      </c>
      <c r="E67" s="208" t="s">
        <v>156</v>
      </c>
      <c r="F67" t="s">
        <v>304</v>
      </c>
      <c r="G67" s="18">
        <v>4</v>
      </c>
      <c r="H67" t="s">
        <v>561</v>
      </c>
      <c r="I67" t="s">
        <v>25</v>
      </c>
    </row>
    <row r="68" spans="1:9" x14ac:dyDescent="0.25">
      <c r="A68" s="151">
        <v>1797</v>
      </c>
      <c r="B68" s="151">
        <v>1798</v>
      </c>
      <c r="C68" s="151" t="s">
        <v>546</v>
      </c>
      <c r="D68" s="151" t="s">
        <v>27</v>
      </c>
      <c r="E68" s="208" t="s">
        <v>154</v>
      </c>
      <c r="F68" t="s">
        <v>304</v>
      </c>
      <c r="G68" s="18">
        <v>13</v>
      </c>
      <c r="H68" t="s">
        <v>561</v>
      </c>
      <c r="I68" t="s">
        <v>25</v>
      </c>
    </row>
    <row r="69" spans="1:9" x14ac:dyDescent="0.25">
      <c r="A69" s="151">
        <v>1797</v>
      </c>
      <c r="B69" s="151">
        <v>1798</v>
      </c>
      <c r="C69" s="151" t="s">
        <v>546</v>
      </c>
      <c r="D69" s="151" t="s">
        <v>27</v>
      </c>
      <c r="E69" s="208" t="s">
        <v>150</v>
      </c>
      <c r="F69" t="s">
        <v>304</v>
      </c>
      <c r="G69" s="18">
        <v>2136</v>
      </c>
      <c r="H69" t="s">
        <v>561</v>
      </c>
      <c r="I69" t="s">
        <v>25</v>
      </c>
    </row>
    <row r="70" spans="1:9" x14ac:dyDescent="0.25">
      <c r="A70" s="151">
        <v>1797</v>
      </c>
      <c r="B70" s="151">
        <v>1798</v>
      </c>
      <c r="C70" s="151" t="s">
        <v>546</v>
      </c>
      <c r="D70" s="151" t="s">
        <v>27</v>
      </c>
      <c r="E70" s="208" t="s">
        <v>148</v>
      </c>
      <c r="F70" t="s">
        <v>304</v>
      </c>
      <c r="G70" s="18">
        <v>188</v>
      </c>
      <c r="H70" t="s">
        <v>561</v>
      </c>
      <c r="I70" t="s">
        <v>25</v>
      </c>
    </row>
    <row r="71" spans="1:9" x14ac:dyDescent="0.25">
      <c r="A71" s="151">
        <v>1797</v>
      </c>
      <c r="B71" s="151">
        <v>1798</v>
      </c>
      <c r="C71" s="151" t="s">
        <v>546</v>
      </c>
      <c r="D71" s="151" t="s">
        <v>27</v>
      </c>
      <c r="E71" s="208" t="s">
        <v>132</v>
      </c>
      <c r="F71" t="s">
        <v>304</v>
      </c>
      <c r="G71" s="18">
        <v>0</v>
      </c>
      <c r="H71" t="s">
        <v>561</v>
      </c>
      <c r="I71" t="s">
        <v>25</v>
      </c>
    </row>
    <row r="72" spans="1:9" x14ac:dyDescent="0.25">
      <c r="A72" s="151">
        <v>1797</v>
      </c>
      <c r="B72" s="151">
        <v>1798</v>
      </c>
      <c r="C72" s="151" t="s">
        <v>546</v>
      </c>
      <c r="D72" s="151" t="s">
        <v>27</v>
      </c>
      <c r="E72" s="208" t="s">
        <v>144</v>
      </c>
      <c r="F72" t="s">
        <v>304</v>
      </c>
      <c r="G72" s="18">
        <v>0</v>
      </c>
      <c r="H72" t="s">
        <v>561</v>
      </c>
      <c r="I72" t="s">
        <v>25</v>
      </c>
    </row>
    <row r="73" spans="1:9" x14ac:dyDescent="0.25">
      <c r="A73" s="151">
        <v>1797</v>
      </c>
      <c r="B73" s="151">
        <v>1798</v>
      </c>
      <c r="C73" s="151" t="s">
        <v>546</v>
      </c>
      <c r="D73" s="151" t="s">
        <v>27</v>
      </c>
      <c r="E73" s="208" t="s">
        <v>142</v>
      </c>
      <c r="F73" t="s">
        <v>304</v>
      </c>
      <c r="G73" s="18">
        <v>0</v>
      </c>
      <c r="H73" t="s">
        <v>561</v>
      </c>
      <c r="I73" t="s">
        <v>25</v>
      </c>
    </row>
    <row r="74" spans="1:9" x14ac:dyDescent="0.25">
      <c r="A74" s="151">
        <v>1797</v>
      </c>
      <c r="B74" s="151">
        <v>1798</v>
      </c>
      <c r="C74" s="151" t="s">
        <v>546</v>
      </c>
      <c r="D74" s="151" t="s">
        <v>27</v>
      </c>
      <c r="E74" s="208" t="s">
        <v>305</v>
      </c>
      <c r="F74" t="s">
        <v>304</v>
      </c>
      <c r="G74" s="18">
        <v>0</v>
      </c>
      <c r="H74" t="s">
        <v>561</v>
      </c>
      <c r="I74" t="s">
        <v>25</v>
      </c>
    </row>
    <row r="75" spans="1:9" x14ac:dyDescent="0.25">
      <c r="A75" s="151">
        <v>1797</v>
      </c>
      <c r="B75" s="151">
        <v>1798</v>
      </c>
      <c r="C75" s="151" t="s">
        <v>546</v>
      </c>
      <c r="D75" s="151" t="s">
        <v>27</v>
      </c>
      <c r="E75" s="208" t="s">
        <v>549</v>
      </c>
      <c r="F75" t="s">
        <v>304</v>
      </c>
      <c r="G75" s="18">
        <v>0</v>
      </c>
      <c r="H75" t="s">
        <v>561</v>
      </c>
      <c r="I75" t="s">
        <v>25</v>
      </c>
    </row>
    <row r="76" spans="1:9" x14ac:dyDescent="0.25">
      <c r="A76" s="151">
        <v>1797</v>
      </c>
      <c r="B76" s="151">
        <v>1798</v>
      </c>
      <c r="C76" s="151" t="s">
        <v>546</v>
      </c>
      <c r="D76" s="151" t="s">
        <v>27</v>
      </c>
      <c r="E76" s="208" t="s">
        <v>550</v>
      </c>
      <c r="F76" t="s">
        <v>304</v>
      </c>
      <c r="G76" s="18">
        <v>0</v>
      </c>
      <c r="H76" t="s">
        <v>561</v>
      </c>
      <c r="I76" t="s">
        <v>25</v>
      </c>
    </row>
    <row r="77" spans="1:9" x14ac:dyDescent="0.25">
      <c r="A77" s="151">
        <v>1797</v>
      </c>
      <c r="B77" s="151">
        <v>1798</v>
      </c>
      <c r="C77" s="151" t="s">
        <v>546</v>
      </c>
      <c r="D77" s="151" t="s">
        <v>27</v>
      </c>
      <c r="E77" s="208" t="s">
        <v>292</v>
      </c>
      <c r="F77" t="s">
        <v>304</v>
      </c>
      <c r="G77" s="18">
        <v>0</v>
      </c>
      <c r="H77" t="s">
        <v>561</v>
      </c>
      <c r="I77" t="s">
        <v>25</v>
      </c>
    </row>
    <row r="78" spans="1:9" x14ac:dyDescent="0.25">
      <c r="A78" s="151">
        <v>1797</v>
      </c>
      <c r="B78" s="151">
        <v>1798</v>
      </c>
      <c r="C78" s="151" t="s">
        <v>546</v>
      </c>
      <c r="D78" s="151" t="s">
        <v>27</v>
      </c>
      <c r="E78" s="208" t="s">
        <v>155</v>
      </c>
      <c r="F78" t="s">
        <v>284</v>
      </c>
      <c r="G78" s="18">
        <v>84740</v>
      </c>
      <c r="H78" t="s">
        <v>561</v>
      </c>
      <c r="I78" t="s">
        <v>18</v>
      </c>
    </row>
    <row r="79" spans="1:9" x14ac:dyDescent="0.25">
      <c r="A79" s="151">
        <v>1797</v>
      </c>
      <c r="B79" s="151">
        <v>1798</v>
      </c>
      <c r="C79" s="151" t="s">
        <v>546</v>
      </c>
      <c r="D79" s="151" t="s">
        <v>27</v>
      </c>
      <c r="E79" s="208" t="s">
        <v>156</v>
      </c>
      <c r="F79" t="s">
        <v>284</v>
      </c>
      <c r="G79" s="18">
        <v>11070</v>
      </c>
      <c r="H79" t="s">
        <v>561</v>
      </c>
      <c r="I79" t="s">
        <v>18</v>
      </c>
    </row>
    <row r="80" spans="1:9" x14ac:dyDescent="0.25">
      <c r="A80" s="151">
        <v>1797</v>
      </c>
      <c r="B80" s="151">
        <v>1798</v>
      </c>
      <c r="C80" s="151" t="s">
        <v>546</v>
      </c>
      <c r="D80" s="151" t="s">
        <v>27</v>
      </c>
      <c r="E80" s="208" t="s">
        <v>154</v>
      </c>
      <c r="F80" t="s">
        <v>284</v>
      </c>
      <c r="G80" s="18">
        <v>704</v>
      </c>
      <c r="H80" t="s">
        <v>561</v>
      </c>
      <c r="I80" t="s">
        <v>18</v>
      </c>
    </row>
    <row r="81" spans="1:9" x14ac:dyDescent="0.25">
      <c r="A81" s="151">
        <v>1797</v>
      </c>
      <c r="B81" s="151">
        <v>1798</v>
      </c>
      <c r="C81" s="151" t="s">
        <v>546</v>
      </c>
      <c r="D81" s="151" t="s">
        <v>27</v>
      </c>
      <c r="E81" s="208" t="s">
        <v>150</v>
      </c>
      <c r="F81" t="s">
        <v>284</v>
      </c>
      <c r="G81" s="18">
        <v>28720</v>
      </c>
      <c r="H81" t="s">
        <v>561</v>
      </c>
      <c r="I81" t="s">
        <v>18</v>
      </c>
    </row>
    <row r="82" spans="1:9" x14ac:dyDescent="0.25">
      <c r="A82" s="151">
        <v>1797</v>
      </c>
      <c r="B82" s="151">
        <v>1798</v>
      </c>
      <c r="C82" s="151" t="s">
        <v>546</v>
      </c>
      <c r="D82" s="151" t="s">
        <v>27</v>
      </c>
      <c r="E82" s="208" t="s">
        <v>148</v>
      </c>
      <c r="F82" t="s">
        <v>284</v>
      </c>
      <c r="G82" s="18">
        <v>1592</v>
      </c>
      <c r="H82" t="s">
        <v>561</v>
      </c>
      <c r="I82" t="s">
        <v>18</v>
      </c>
    </row>
    <row r="83" spans="1:9" x14ac:dyDescent="0.25">
      <c r="A83" s="151">
        <v>1797</v>
      </c>
      <c r="B83" s="151">
        <v>1798</v>
      </c>
      <c r="C83" s="151" t="s">
        <v>546</v>
      </c>
      <c r="D83" s="151" t="s">
        <v>27</v>
      </c>
      <c r="E83" s="208" t="s">
        <v>132</v>
      </c>
      <c r="F83" t="s">
        <v>284</v>
      </c>
      <c r="G83" s="18">
        <v>109</v>
      </c>
      <c r="H83" t="s">
        <v>561</v>
      </c>
      <c r="I83" t="s">
        <v>18</v>
      </c>
    </row>
    <row r="84" spans="1:9" x14ac:dyDescent="0.25">
      <c r="A84" s="151">
        <v>1797</v>
      </c>
      <c r="B84" s="151">
        <v>1798</v>
      </c>
      <c r="C84" s="151" t="s">
        <v>546</v>
      </c>
      <c r="D84" s="151" t="s">
        <v>27</v>
      </c>
      <c r="E84" s="208" t="s">
        <v>130</v>
      </c>
      <c r="F84" t="s">
        <v>284</v>
      </c>
      <c r="G84" s="18">
        <v>16776</v>
      </c>
      <c r="H84" t="s">
        <v>561</v>
      </c>
      <c r="I84" t="s">
        <v>18</v>
      </c>
    </row>
    <row r="85" spans="1:9" x14ac:dyDescent="0.25">
      <c r="A85" s="151">
        <v>1797</v>
      </c>
      <c r="B85" s="151">
        <v>1798</v>
      </c>
      <c r="C85" s="151" t="s">
        <v>546</v>
      </c>
      <c r="D85" s="151" t="s">
        <v>27</v>
      </c>
      <c r="E85" s="208" t="s">
        <v>144</v>
      </c>
      <c r="F85" t="s">
        <v>284</v>
      </c>
      <c r="G85" s="18">
        <v>1041</v>
      </c>
      <c r="H85" t="s">
        <v>561</v>
      </c>
      <c r="I85" t="s">
        <v>18</v>
      </c>
    </row>
    <row r="86" spans="1:9" x14ac:dyDescent="0.25">
      <c r="A86" s="151">
        <v>1797</v>
      </c>
      <c r="B86" s="151">
        <v>1798</v>
      </c>
      <c r="C86" s="151" t="s">
        <v>546</v>
      </c>
      <c r="D86" s="151" t="s">
        <v>27</v>
      </c>
      <c r="E86" s="208" t="s">
        <v>142</v>
      </c>
      <c r="F86" t="s">
        <v>284</v>
      </c>
      <c r="G86" s="18">
        <v>8260</v>
      </c>
      <c r="H86" t="s">
        <v>561</v>
      </c>
      <c r="I86" t="s">
        <v>18</v>
      </c>
    </row>
    <row r="87" spans="1:9" x14ac:dyDescent="0.25">
      <c r="A87" s="151">
        <v>1797</v>
      </c>
      <c r="B87" s="151">
        <v>1798</v>
      </c>
      <c r="C87" s="151" t="s">
        <v>546</v>
      </c>
      <c r="D87" s="151" t="s">
        <v>27</v>
      </c>
      <c r="E87" s="208" t="s">
        <v>305</v>
      </c>
      <c r="F87" t="s">
        <v>284</v>
      </c>
      <c r="G87" s="18">
        <v>258</v>
      </c>
      <c r="H87" t="s">
        <v>561</v>
      </c>
      <c r="I87" t="s">
        <v>18</v>
      </c>
    </row>
    <row r="88" spans="1:9" x14ac:dyDescent="0.25">
      <c r="A88" s="151">
        <v>1797</v>
      </c>
      <c r="B88" s="151">
        <v>1798</v>
      </c>
      <c r="C88" s="151" t="s">
        <v>546</v>
      </c>
      <c r="D88" s="151" t="s">
        <v>27</v>
      </c>
      <c r="E88" s="208" t="s">
        <v>549</v>
      </c>
      <c r="F88" t="s">
        <v>284</v>
      </c>
      <c r="G88" s="18">
        <v>21</v>
      </c>
      <c r="H88" t="s">
        <v>561</v>
      </c>
      <c r="I88" t="s">
        <v>18</v>
      </c>
    </row>
    <row r="89" spans="1:9" x14ac:dyDescent="0.25">
      <c r="A89" s="151">
        <v>1797</v>
      </c>
      <c r="B89" s="151">
        <v>1798</v>
      </c>
      <c r="C89" s="151" t="s">
        <v>546</v>
      </c>
      <c r="D89" s="151" t="s">
        <v>27</v>
      </c>
      <c r="E89" s="208" t="s">
        <v>550</v>
      </c>
      <c r="F89" t="s">
        <v>284</v>
      </c>
      <c r="G89" s="18">
        <v>389</v>
      </c>
      <c r="H89" t="s">
        <v>561</v>
      </c>
      <c r="I89" t="s">
        <v>18</v>
      </c>
    </row>
    <row r="90" spans="1:9" x14ac:dyDescent="0.25">
      <c r="A90" s="151">
        <v>1797</v>
      </c>
      <c r="B90" s="151">
        <v>1798</v>
      </c>
      <c r="C90" s="151" t="s">
        <v>546</v>
      </c>
      <c r="D90" s="151" t="s">
        <v>27</v>
      </c>
      <c r="E90" s="208" t="s">
        <v>292</v>
      </c>
      <c r="F90" t="s">
        <v>284</v>
      </c>
      <c r="G90" s="18">
        <v>2833</v>
      </c>
      <c r="H90" t="s">
        <v>561</v>
      </c>
      <c r="I90" t="s">
        <v>18</v>
      </c>
    </row>
    <row r="91" spans="1:9" x14ac:dyDescent="0.25">
      <c r="A91" s="151">
        <v>1797</v>
      </c>
      <c r="B91" s="151">
        <v>1798</v>
      </c>
      <c r="C91" s="151" t="s">
        <v>546</v>
      </c>
      <c r="D91" s="151" t="s">
        <v>27</v>
      </c>
      <c r="E91" s="208" t="s">
        <v>124</v>
      </c>
      <c r="F91" t="s">
        <v>284</v>
      </c>
      <c r="G91" s="18">
        <v>7017652</v>
      </c>
      <c r="H91" t="s">
        <v>561</v>
      </c>
      <c r="I91" t="s">
        <v>18</v>
      </c>
    </row>
    <row r="92" spans="1:9" x14ac:dyDescent="0.25">
      <c r="A92" s="151">
        <v>1797</v>
      </c>
      <c r="B92" s="151">
        <v>1798</v>
      </c>
      <c r="C92" s="151" t="s">
        <v>546</v>
      </c>
      <c r="D92" s="151" t="s">
        <v>27</v>
      </c>
      <c r="E92" s="208" t="s">
        <v>155</v>
      </c>
      <c r="F92" t="s">
        <v>286</v>
      </c>
      <c r="G92" s="18">
        <v>1002</v>
      </c>
      <c r="H92" t="s">
        <v>561</v>
      </c>
      <c r="I92" t="s">
        <v>21</v>
      </c>
    </row>
    <row r="93" spans="1:9" x14ac:dyDescent="0.25">
      <c r="A93" s="151">
        <v>1797</v>
      </c>
      <c r="B93" s="151">
        <v>1798</v>
      </c>
      <c r="C93" s="151" t="s">
        <v>546</v>
      </c>
      <c r="D93" s="151" t="s">
        <v>27</v>
      </c>
      <c r="E93" s="208" t="s">
        <v>156</v>
      </c>
      <c r="F93" t="s">
        <v>286</v>
      </c>
      <c r="G93" s="18">
        <v>102</v>
      </c>
      <c r="H93" t="s">
        <v>561</v>
      </c>
      <c r="I93" t="s">
        <v>21</v>
      </c>
    </row>
    <row r="94" spans="1:9" x14ac:dyDescent="0.25">
      <c r="A94" s="151">
        <v>1797</v>
      </c>
      <c r="B94" s="151">
        <v>1798</v>
      </c>
      <c r="C94" s="151" t="s">
        <v>546</v>
      </c>
      <c r="D94" s="151" t="s">
        <v>27</v>
      </c>
      <c r="E94" s="208" t="s">
        <v>154</v>
      </c>
      <c r="F94" t="s">
        <v>286</v>
      </c>
      <c r="G94" s="18">
        <v>204</v>
      </c>
      <c r="H94" t="s">
        <v>561</v>
      </c>
      <c r="I94" t="s">
        <v>21</v>
      </c>
    </row>
    <row r="95" spans="1:9" x14ac:dyDescent="0.25">
      <c r="A95" s="151">
        <v>1797</v>
      </c>
      <c r="B95" s="151">
        <v>1798</v>
      </c>
      <c r="C95" s="151" t="s">
        <v>546</v>
      </c>
      <c r="D95" s="151" t="s">
        <v>27</v>
      </c>
      <c r="E95" s="208" t="s">
        <v>150</v>
      </c>
      <c r="F95" t="s">
        <v>286</v>
      </c>
      <c r="G95" s="18">
        <v>148</v>
      </c>
      <c r="H95" t="s">
        <v>561</v>
      </c>
      <c r="I95" t="s">
        <v>21</v>
      </c>
    </row>
    <row r="96" spans="1:9" x14ac:dyDescent="0.25">
      <c r="A96" s="151">
        <v>1797</v>
      </c>
      <c r="B96" s="151">
        <v>1798</v>
      </c>
      <c r="C96" s="151" t="s">
        <v>546</v>
      </c>
      <c r="D96" s="151" t="s">
        <v>27</v>
      </c>
      <c r="E96" s="208" t="s">
        <v>148</v>
      </c>
      <c r="F96" t="s">
        <v>286</v>
      </c>
      <c r="G96" s="18">
        <v>61</v>
      </c>
      <c r="H96" t="s">
        <v>561</v>
      </c>
      <c r="I96" t="s">
        <v>21</v>
      </c>
    </row>
    <row r="97" spans="1:9" x14ac:dyDescent="0.25">
      <c r="A97" s="151">
        <v>1797</v>
      </c>
      <c r="B97" s="151">
        <v>1798</v>
      </c>
      <c r="C97" s="151" t="s">
        <v>546</v>
      </c>
      <c r="D97" s="151" t="s">
        <v>27</v>
      </c>
      <c r="E97" s="208" t="s">
        <v>132</v>
      </c>
      <c r="F97" t="s">
        <v>286</v>
      </c>
      <c r="G97" s="18">
        <v>0</v>
      </c>
      <c r="H97" t="s">
        <v>561</v>
      </c>
      <c r="I97" t="s">
        <v>21</v>
      </c>
    </row>
    <row r="98" spans="1:9" x14ac:dyDescent="0.25">
      <c r="A98" s="151">
        <v>1797</v>
      </c>
      <c r="B98" s="151">
        <v>1798</v>
      </c>
      <c r="C98" s="151" t="s">
        <v>546</v>
      </c>
      <c r="D98" s="151" t="s">
        <v>27</v>
      </c>
      <c r="E98" s="208" t="s">
        <v>130</v>
      </c>
      <c r="F98" t="s">
        <v>286</v>
      </c>
      <c r="G98" s="18">
        <v>4</v>
      </c>
      <c r="H98" t="s">
        <v>561</v>
      </c>
      <c r="I98" t="s">
        <v>21</v>
      </c>
    </row>
    <row r="99" spans="1:9" x14ac:dyDescent="0.25">
      <c r="A99" s="151">
        <v>1797</v>
      </c>
      <c r="B99" s="151">
        <v>1798</v>
      </c>
      <c r="C99" s="151" t="s">
        <v>546</v>
      </c>
      <c r="D99" s="151" t="s">
        <v>27</v>
      </c>
      <c r="E99" s="208" t="s">
        <v>144</v>
      </c>
      <c r="F99" t="s">
        <v>286</v>
      </c>
      <c r="G99" s="18">
        <v>1</v>
      </c>
      <c r="H99" t="s">
        <v>561</v>
      </c>
      <c r="I99" t="s">
        <v>21</v>
      </c>
    </row>
    <row r="100" spans="1:9" x14ac:dyDescent="0.25">
      <c r="A100" s="151">
        <v>1797</v>
      </c>
      <c r="B100" s="151">
        <v>1798</v>
      </c>
      <c r="C100" s="151" t="s">
        <v>546</v>
      </c>
      <c r="D100" s="151" t="s">
        <v>27</v>
      </c>
      <c r="E100" s="208" t="s">
        <v>142</v>
      </c>
      <c r="F100" t="s">
        <v>286</v>
      </c>
      <c r="G100" s="18">
        <v>0</v>
      </c>
      <c r="H100" t="s">
        <v>561</v>
      </c>
      <c r="I100" t="s">
        <v>21</v>
      </c>
    </row>
    <row r="101" spans="1:9" x14ac:dyDescent="0.25">
      <c r="A101" s="151">
        <v>1797</v>
      </c>
      <c r="B101" s="151">
        <v>1798</v>
      </c>
      <c r="C101" s="151" t="s">
        <v>546</v>
      </c>
      <c r="D101" s="151" t="s">
        <v>27</v>
      </c>
      <c r="E101" s="208" t="s">
        <v>305</v>
      </c>
      <c r="F101" t="s">
        <v>286</v>
      </c>
      <c r="G101" s="18">
        <v>60</v>
      </c>
      <c r="H101" t="s">
        <v>561</v>
      </c>
      <c r="I101" t="s">
        <v>21</v>
      </c>
    </row>
    <row r="102" spans="1:9" x14ac:dyDescent="0.25">
      <c r="A102" s="151">
        <v>1797</v>
      </c>
      <c r="B102" s="151">
        <v>1798</v>
      </c>
      <c r="C102" s="151" t="s">
        <v>546</v>
      </c>
      <c r="D102" s="151" t="s">
        <v>27</v>
      </c>
      <c r="E102" s="208" t="s">
        <v>549</v>
      </c>
      <c r="F102" t="s">
        <v>286</v>
      </c>
      <c r="G102" s="18">
        <v>0</v>
      </c>
      <c r="H102" t="s">
        <v>561</v>
      </c>
      <c r="I102" t="s">
        <v>21</v>
      </c>
    </row>
    <row r="103" spans="1:9" x14ac:dyDescent="0.25">
      <c r="A103" s="151">
        <v>1797</v>
      </c>
      <c r="B103" s="151">
        <v>1798</v>
      </c>
      <c r="C103" s="151" t="s">
        <v>546</v>
      </c>
      <c r="D103" s="151" t="s">
        <v>27</v>
      </c>
      <c r="E103" s="208" t="s">
        <v>550</v>
      </c>
      <c r="F103" t="s">
        <v>286</v>
      </c>
      <c r="G103" s="18">
        <v>0</v>
      </c>
      <c r="H103" t="s">
        <v>561</v>
      </c>
      <c r="I103" t="s">
        <v>21</v>
      </c>
    </row>
    <row r="104" spans="1:9" x14ac:dyDescent="0.25">
      <c r="A104" s="151">
        <v>1797</v>
      </c>
      <c r="B104" s="151">
        <v>1798</v>
      </c>
      <c r="C104" s="151" t="s">
        <v>546</v>
      </c>
      <c r="D104" s="151" t="s">
        <v>27</v>
      </c>
      <c r="E104" s="208" t="s">
        <v>292</v>
      </c>
      <c r="F104" t="s">
        <v>286</v>
      </c>
      <c r="G104" s="18">
        <v>26</v>
      </c>
      <c r="H104" t="s">
        <v>561</v>
      </c>
      <c r="I104" t="s">
        <v>21</v>
      </c>
    </row>
    <row r="105" spans="1:9" x14ac:dyDescent="0.25">
      <c r="A105" s="151">
        <v>1797</v>
      </c>
      <c r="B105" s="151">
        <v>1798</v>
      </c>
      <c r="C105" s="151" t="s">
        <v>546</v>
      </c>
      <c r="D105" s="151" t="s">
        <v>27</v>
      </c>
      <c r="E105" s="208" t="s">
        <v>124</v>
      </c>
      <c r="F105" t="s">
        <v>286</v>
      </c>
      <c r="G105" s="18">
        <v>19886</v>
      </c>
      <c r="H105" t="s">
        <v>561</v>
      </c>
      <c r="I105" t="s">
        <v>21</v>
      </c>
    </row>
    <row r="106" spans="1:9" x14ac:dyDescent="0.25">
      <c r="A106" s="151">
        <v>1797</v>
      </c>
      <c r="B106" s="151">
        <v>1798</v>
      </c>
      <c r="C106" s="151" t="s">
        <v>546</v>
      </c>
      <c r="D106" s="151" t="s">
        <v>27</v>
      </c>
      <c r="E106" s="208" t="s">
        <v>155</v>
      </c>
      <c r="F106" t="s">
        <v>285</v>
      </c>
      <c r="G106" s="18">
        <v>1989</v>
      </c>
      <c r="H106" t="s">
        <v>561</v>
      </c>
      <c r="I106" t="s">
        <v>23</v>
      </c>
    </row>
    <row r="107" spans="1:9" x14ac:dyDescent="0.25">
      <c r="A107" s="151">
        <v>1797</v>
      </c>
      <c r="B107" s="151">
        <v>1798</v>
      </c>
      <c r="C107" s="151" t="s">
        <v>546</v>
      </c>
      <c r="D107" s="151" t="s">
        <v>27</v>
      </c>
      <c r="E107" s="208" t="s">
        <v>156</v>
      </c>
      <c r="F107" t="s">
        <v>285</v>
      </c>
      <c r="G107" s="18">
        <v>536</v>
      </c>
      <c r="H107" t="s">
        <v>561</v>
      </c>
      <c r="I107" t="s">
        <v>23</v>
      </c>
    </row>
    <row r="108" spans="1:9" x14ac:dyDescent="0.25">
      <c r="A108" s="151">
        <v>1797</v>
      </c>
      <c r="B108" s="151">
        <v>1798</v>
      </c>
      <c r="C108" s="151" t="s">
        <v>546</v>
      </c>
      <c r="D108" s="151" t="s">
        <v>27</v>
      </c>
      <c r="E108" s="208" t="s">
        <v>154</v>
      </c>
      <c r="F108" t="s">
        <v>285</v>
      </c>
      <c r="G108" s="18">
        <v>69</v>
      </c>
      <c r="H108" t="s">
        <v>561</v>
      </c>
      <c r="I108" t="s">
        <v>23</v>
      </c>
    </row>
    <row r="109" spans="1:9" x14ac:dyDescent="0.25">
      <c r="A109" s="151">
        <v>1797</v>
      </c>
      <c r="B109" s="151">
        <v>1798</v>
      </c>
      <c r="C109" s="151" t="s">
        <v>546</v>
      </c>
      <c r="D109" s="151" t="s">
        <v>27</v>
      </c>
      <c r="E109" s="208" t="s">
        <v>150</v>
      </c>
      <c r="F109" t="s">
        <v>285</v>
      </c>
      <c r="G109" s="18">
        <v>7438</v>
      </c>
      <c r="H109" t="s">
        <v>561</v>
      </c>
      <c r="I109" t="s">
        <v>23</v>
      </c>
    </row>
    <row r="110" spans="1:9" x14ac:dyDescent="0.25">
      <c r="A110" s="151">
        <v>1797</v>
      </c>
      <c r="B110" s="151">
        <v>1798</v>
      </c>
      <c r="C110" s="151" t="s">
        <v>546</v>
      </c>
      <c r="D110" s="151" t="s">
        <v>27</v>
      </c>
      <c r="E110" s="208" t="s">
        <v>148</v>
      </c>
      <c r="F110" t="s">
        <v>285</v>
      </c>
      <c r="G110" s="18">
        <v>44</v>
      </c>
      <c r="H110" t="s">
        <v>561</v>
      </c>
      <c r="I110" t="s">
        <v>23</v>
      </c>
    </row>
    <row r="111" spans="1:9" x14ac:dyDescent="0.25">
      <c r="A111" s="151">
        <v>1797</v>
      </c>
      <c r="B111" s="151">
        <v>1798</v>
      </c>
      <c r="C111" s="151" t="s">
        <v>546</v>
      </c>
      <c r="D111" s="151" t="s">
        <v>27</v>
      </c>
      <c r="E111" s="208" t="s">
        <v>132</v>
      </c>
      <c r="F111" t="s">
        <v>285</v>
      </c>
      <c r="G111" s="18">
        <v>10</v>
      </c>
      <c r="H111" t="s">
        <v>561</v>
      </c>
      <c r="I111" t="s">
        <v>23</v>
      </c>
    </row>
    <row r="112" spans="1:9" x14ac:dyDescent="0.25">
      <c r="A112" s="151">
        <v>1797</v>
      </c>
      <c r="B112" s="151">
        <v>1798</v>
      </c>
      <c r="C112" s="151" t="s">
        <v>546</v>
      </c>
      <c r="D112" s="151" t="s">
        <v>27</v>
      </c>
      <c r="E112" s="208" t="s">
        <v>130</v>
      </c>
      <c r="F112" t="s">
        <v>285</v>
      </c>
      <c r="G112" s="18">
        <v>1663</v>
      </c>
      <c r="H112" t="s">
        <v>561</v>
      </c>
      <c r="I112" t="s">
        <v>23</v>
      </c>
    </row>
    <row r="113" spans="1:9" x14ac:dyDescent="0.25">
      <c r="A113" s="151">
        <v>1797</v>
      </c>
      <c r="B113" s="151">
        <v>1798</v>
      </c>
      <c r="C113" s="151" t="s">
        <v>546</v>
      </c>
      <c r="D113" s="151" t="s">
        <v>27</v>
      </c>
      <c r="E113" s="208" t="s">
        <v>144</v>
      </c>
      <c r="F113" t="s">
        <v>285</v>
      </c>
      <c r="G113" s="18">
        <v>132</v>
      </c>
      <c r="H113" t="s">
        <v>561</v>
      </c>
      <c r="I113" t="s">
        <v>23</v>
      </c>
    </row>
    <row r="114" spans="1:9" x14ac:dyDescent="0.25">
      <c r="A114" s="151">
        <v>1797</v>
      </c>
      <c r="B114" s="151">
        <v>1798</v>
      </c>
      <c r="C114" s="151" t="s">
        <v>546</v>
      </c>
      <c r="D114" s="151" t="s">
        <v>27</v>
      </c>
      <c r="E114" s="208" t="s">
        <v>142</v>
      </c>
      <c r="F114" t="s">
        <v>285</v>
      </c>
      <c r="G114" s="18">
        <v>561</v>
      </c>
      <c r="H114" t="s">
        <v>561</v>
      </c>
      <c r="I114" t="s">
        <v>23</v>
      </c>
    </row>
    <row r="115" spans="1:9" x14ac:dyDescent="0.25">
      <c r="A115" s="151">
        <v>1797</v>
      </c>
      <c r="B115" s="151">
        <v>1798</v>
      </c>
      <c r="C115" s="151" t="s">
        <v>546</v>
      </c>
      <c r="D115" s="151" t="s">
        <v>27</v>
      </c>
      <c r="E115" s="208" t="s">
        <v>305</v>
      </c>
      <c r="F115" t="s">
        <v>285</v>
      </c>
      <c r="G115" s="18">
        <v>24</v>
      </c>
      <c r="H115" t="s">
        <v>561</v>
      </c>
      <c r="I115" t="s">
        <v>23</v>
      </c>
    </row>
    <row r="116" spans="1:9" x14ac:dyDescent="0.25">
      <c r="A116" s="151">
        <v>1797</v>
      </c>
      <c r="B116" s="151">
        <v>1798</v>
      </c>
      <c r="C116" s="151" t="s">
        <v>546</v>
      </c>
      <c r="D116" s="151" t="s">
        <v>27</v>
      </c>
      <c r="E116" s="208" t="s">
        <v>549</v>
      </c>
      <c r="F116" t="s">
        <v>285</v>
      </c>
      <c r="G116" s="18">
        <v>0</v>
      </c>
      <c r="H116" t="s">
        <v>561</v>
      </c>
      <c r="I116" t="s">
        <v>23</v>
      </c>
    </row>
    <row r="117" spans="1:9" x14ac:dyDescent="0.25">
      <c r="A117" s="151">
        <v>1797</v>
      </c>
      <c r="B117" s="151">
        <v>1798</v>
      </c>
      <c r="C117" s="151" t="s">
        <v>546</v>
      </c>
      <c r="D117" s="151" t="s">
        <v>27</v>
      </c>
      <c r="E117" s="208" t="s">
        <v>550</v>
      </c>
      <c r="F117" t="s">
        <v>285</v>
      </c>
      <c r="G117" s="18">
        <v>0</v>
      </c>
      <c r="H117" t="s">
        <v>561</v>
      </c>
      <c r="I117" t="s">
        <v>23</v>
      </c>
    </row>
    <row r="118" spans="1:9" x14ac:dyDescent="0.25">
      <c r="A118" s="151">
        <v>1797</v>
      </c>
      <c r="B118" s="151">
        <v>1798</v>
      </c>
      <c r="C118" s="151" t="s">
        <v>546</v>
      </c>
      <c r="D118" s="151" t="s">
        <v>27</v>
      </c>
      <c r="E118" s="208" t="s">
        <v>292</v>
      </c>
      <c r="F118" t="s">
        <v>285</v>
      </c>
      <c r="G118" s="18">
        <v>0</v>
      </c>
      <c r="H118" t="s">
        <v>561</v>
      </c>
      <c r="I118" t="s">
        <v>23</v>
      </c>
    </row>
    <row r="119" spans="1:9" x14ac:dyDescent="0.25">
      <c r="A119" s="151">
        <v>1797</v>
      </c>
      <c r="B119" s="151">
        <v>1798</v>
      </c>
      <c r="C119" s="151" t="s">
        <v>546</v>
      </c>
      <c r="D119" s="151" t="s">
        <v>27</v>
      </c>
      <c r="E119" s="208" t="s">
        <v>124</v>
      </c>
      <c r="F119" t="s">
        <v>285</v>
      </c>
      <c r="G119" s="18">
        <v>814032</v>
      </c>
      <c r="H119" t="s">
        <v>561</v>
      </c>
      <c r="I119" t="s">
        <v>23</v>
      </c>
    </row>
    <row r="120" spans="1:9" x14ac:dyDescent="0.25">
      <c r="A120" s="151">
        <v>1797</v>
      </c>
      <c r="B120" s="151">
        <v>1798</v>
      </c>
      <c r="C120" s="151" t="s">
        <v>546</v>
      </c>
      <c r="D120" s="151" t="s">
        <v>27</v>
      </c>
      <c r="E120" s="208" t="s">
        <v>155</v>
      </c>
      <c r="F120" t="s">
        <v>15</v>
      </c>
      <c r="G120" s="18">
        <v>87896</v>
      </c>
      <c r="H120" t="s">
        <v>561</v>
      </c>
      <c r="I120" s="151" t="s">
        <v>562</v>
      </c>
    </row>
    <row r="121" spans="1:9" x14ac:dyDescent="0.25">
      <c r="A121" s="151">
        <v>1797</v>
      </c>
      <c r="B121" s="151">
        <v>1798</v>
      </c>
      <c r="C121" s="151" t="s">
        <v>546</v>
      </c>
      <c r="D121" s="151" t="s">
        <v>27</v>
      </c>
      <c r="E121" s="208" t="s">
        <v>156</v>
      </c>
      <c r="F121" t="s">
        <v>15</v>
      </c>
      <c r="G121" s="18">
        <v>11725</v>
      </c>
      <c r="H121" t="s">
        <v>561</v>
      </c>
      <c r="I121" s="151" t="s">
        <v>562</v>
      </c>
    </row>
    <row r="122" spans="1:9" x14ac:dyDescent="0.25">
      <c r="A122" s="151">
        <v>1797</v>
      </c>
      <c r="B122" s="151">
        <v>1798</v>
      </c>
      <c r="C122" s="151" t="s">
        <v>546</v>
      </c>
      <c r="D122" s="151" t="s">
        <v>27</v>
      </c>
      <c r="E122" s="208" t="s">
        <v>154</v>
      </c>
      <c r="F122" t="s">
        <v>15</v>
      </c>
      <c r="G122" s="18">
        <v>1163</v>
      </c>
      <c r="H122" t="s">
        <v>561</v>
      </c>
      <c r="I122" s="151" t="s">
        <v>562</v>
      </c>
    </row>
    <row r="123" spans="1:9" x14ac:dyDescent="0.25">
      <c r="A123" s="151">
        <v>1797</v>
      </c>
      <c r="B123" s="151">
        <v>1798</v>
      </c>
      <c r="C123" s="151" t="s">
        <v>546</v>
      </c>
      <c r="D123" s="151" t="s">
        <v>27</v>
      </c>
      <c r="E123" s="208" t="s">
        <v>150</v>
      </c>
      <c r="F123" t="s">
        <v>15</v>
      </c>
      <c r="G123" s="18">
        <v>40823</v>
      </c>
      <c r="H123" t="s">
        <v>561</v>
      </c>
      <c r="I123" s="151" t="s">
        <v>562</v>
      </c>
    </row>
    <row r="124" spans="1:9" x14ac:dyDescent="0.25">
      <c r="A124" s="151">
        <v>1797</v>
      </c>
      <c r="B124" s="151">
        <v>1798</v>
      </c>
      <c r="C124" s="151" t="s">
        <v>546</v>
      </c>
      <c r="D124" s="151" t="s">
        <v>27</v>
      </c>
      <c r="E124" s="208" t="s">
        <v>148</v>
      </c>
      <c r="F124" t="s">
        <v>15</v>
      </c>
      <c r="G124" s="18">
        <v>2234</v>
      </c>
      <c r="H124" t="s">
        <v>561</v>
      </c>
      <c r="I124" s="151" t="s">
        <v>562</v>
      </c>
    </row>
    <row r="125" spans="1:9" x14ac:dyDescent="0.25">
      <c r="A125" s="151">
        <v>1797</v>
      </c>
      <c r="B125" s="151">
        <v>1798</v>
      </c>
      <c r="C125" s="151" t="s">
        <v>546</v>
      </c>
      <c r="D125" s="151" t="s">
        <v>27</v>
      </c>
      <c r="E125" s="208" t="s">
        <v>132</v>
      </c>
      <c r="F125" t="s">
        <v>15</v>
      </c>
      <c r="G125" s="18">
        <v>119</v>
      </c>
      <c r="H125" t="s">
        <v>561</v>
      </c>
      <c r="I125" s="151" t="s">
        <v>562</v>
      </c>
    </row>
    <row r="126" spans="1:9" x14ac:dyDescent="0.25">
      <c r="A126" s="151">
        <v>1797</v>
      </c>
      <c r="B126" s="151">
        <v>1798</v>
      </c>
      <c r="C126" s="151" t="s">
        <v>546</v>
      </c>
      <c r="D126" s="151" t="s">
        <v>27</v>
      </c>
      <c r="E126" s="208" t="s">
        <v>130</v>
      </c>
      <c r="F126" t="s">
        <v>15</v>
      </c>
      <c r="G126" s="18">
        <v>18454</v>
      </c>
      <c r="H126" t="s">
        <v>561</v>
      </c>
      <c r="I126" s="151" t="s">
        <v>562</v>
      </c>
    </row>
    <row r="127" spans="1:9" x14ac:dyDescent="0.25">
      <c r="A127" s="151">
        <v>1797</v>
      </c>
      <c r="B127" s="151">
        <v>1798</v>
      </c>
      <c r="C127" s="151" t="s">
        <v>546</v>
      </c>
      <c r="D127" s="151" t="s">
        <v>27</v>
      </c>
      <c r="E127" s="208" t="s">
        <v>144</v>
      </c>
      <c r="F127" t="s">
        <v>15</v>
      </c>
      <c r="G127" s="18">
        <v>1181</v>
      </c>
      <c r="H127" t="s">
        <v>561</v>
      </c>
      <c r="I127" s="151" t="s">
        <v>562</v>
      </c>
    </row>
    <row r="128" spans="1:9" x14ac:dyDescent="0.25">
      <c r="A128" s="151">
        <v>1797</v>
      </c>
      <c r="B128" s="151">
        <v>1798</v>
      </c>
      <c r="C128" s="151" t="s">
        <v>546</v>
      </c>
      <c r="D128" s="151" t="s">
        <v>27</v>
      </c>
      <c r="E128" s="208" t="s">
        <v>142</v>
      </c>
      <c r="F128" t="s">
        <v>15</v>
      </c>
      <c r="G128" s="18">
        <v>8961</v>
      </c>
      <c r="H128" t="s">
        <v>561</v>
      </c>
      <c r="I128" s="151" t="s">
        <v>562</v>
      </c>
    </row>
    <row r="129" spans="1:9" x14ac:dyDescent="0.25">
      <c r="A129" s="151">
        <v>1797</v>
      </c>
      <c r="B129" s="151">
        <v>1798</v>
      </c>
      <c r="C129" s="151" t="s">
        <v>546</v>
      </c>
      <c r="D129" s="151" t="s">
        <v>27</v>
      </c>
      <c r="E129" s="208" t="s">
        <v>305</v>
      </c>
      <c r="F129" t="s">
        <v>15</v>
      </c>
      <c r="G129" s="18">
        <v>345</v>
      </c>
      <c r="H129" t="s">
        <v>561</v>
      </c>
      <c r="I129" s="151" t="s">
        <v>562</v>
      </c>
    </row>
    <row r="130" spans="1:9" x14ac:dyDescent="0.25">
      <c r="A130" s="151">
        <v>1797</v>
      </c>
      <c r="B130" s="151">
        <v>1798</v>
      </c>
      <c r="C130" s="151" t="s">
        <v>546</v>
      </c>
      <c r="D130" s="151" t="s">
        <v>27</v>
      </c>
      <c r="E130" s="208" t="s">
        <v>549</v>
      </c>
      <c r="F130" t="s">
        <v>15</v>
      </c>
      <c r="G130" s="18">
        <v>21</v>
      </c>
      <c r="H130" t="s">
        <v>561</v>
      </c>
      <c r="I130" s="151" t="s">
        <v>562</v>
      </c>
    </row>
    <row r="131" spans="1:9" x14ac:dyDescent="0.25">
      <c r="A131" s="151">
        <v>1797</v>
      </c>
      <c r="B131" s="151">
        <v>1798</v>
      </c>
      <c r="C131" s="151" t="s">
        <v>546</v>
      </c>
      <c r="D131" s="151" t="s">
        <v>27</v>
      </c>
      <c r="E131" s="208" t="s">
        <v>550</v>
      </c>
      <c r="F131" t="s">
        <v>15</v>
      </c>
      <c r="G131" s="18">
        <v>389</v>
      </c>
      <c r="H131" t="s">
        <v>561</v>
      </c>
      <c r="I131" s="151" t="s">
        <v>562</v>
      </c>
    </row>
    <row r="132" spans="1:9" x14ac:dyDescent="0.25">
      <c r="A132" s="151">
        <v>1797</v>
      </c>
      <c r="B132" s="151">
        <v>1798</v>
      </c>
      <c r="C132" s="151" t="s">
        <v>546</v>
      </c>
      <c r="D132" s="151" t="s">
        <v>27</v>
      </c>
      <c r="E132" s="208" t="s">
        <v>292</v>
      </c>
      <c r="F132" t="s">
        <v>15</v>
      </c>
      <c r="G132" s="18">
        <v>2859</v>
      </c>
      <c r="H132" t="s">
        <v>561</v>
      </c>
      <c r="I132" s="151" t="s">
        <v>562</v>
      </c>
    </row>
    <row r="133" spans="1:9" x14ac:dyDescent="0.25">
      <c r="A133" s="151">
        <v>1797</v>
      </c>
      <c r="B133" s="151">
        <v>1798</v>
      </c>
      <c r="C133" s="151" t="s">
        <v>546</v>
      </c>
      <c r="D133" s="151" t="s">
        <v>27</v>
      </c>
      <c r="E133" s="208" t="s">
        <v>124</v>
      </c>
      <c r="F133" t="s">
        <v>15</v>
      </c>
      <c r="G133" s="18">
        <v>7894306</v>
      </c>
      <c r="H133" t="s">
        <v>561</v>
      </c>
      <c r="I133" s="151" t="s">
        <v>562</v>
      </c>
    </row>
    <row r="134" spans="1:9" x14ac:dyDescent="0.25">
      <c r="A134">
        <v>1799</v>
      </c>
      <c r="B134">
        <f>A134+1</f>
        <v>1800</v>
      </c>
      <c r="C134" t="s">
        <v>545</v>
      </c>
      <c r="D134" t="s">
        <v>27</v>
      </c>
      <c r="E134" s="209" t="s">
        <v>155</v>
      </c>
      <c r="F134" t="s">
        <v>3</v>
      </c>
      <c r="G134" s="18">
        <v>132</v>
      </c>
      <c r="H134" t="s">
        <v>16</v>
      </c>
      <c r="I134" t="s">
        <v>24</v>
      </c>
    </row>
    <row r="135" spans="1:9" x14ac:dyDescent="0.25">
      <c r="A135">
        <v>1799</v>
      </c>
      <c r="B135">
        <f>A135+1</f>
        <v>1800</v>
      </c>
      <c r="C135" t="s">
        <v>545</v>
      </c>
      <c r="D135" t="s">
        <v>27</v>
      </c>
      <c r="E135" s="208" t="s">
        <v>156</v>
      </c>
      <c r="F135" t="s">
        <v>3</v>
      </c>
      <c r="G135" s="18">
        <v>17</v>
      </c>
      <c r="H135" t="s">
        <v>16</v>
      </c>
      <c r="I135" t="s">
        <v>24</v>
      </c>
    </row>
    <row r="136" spans="1:9" x14ac:dyDescent="0.25">
      <c r="A136">
        <v>1799</v>
      </c>
      <c r="B136">
        <f>A136+1</f>
        <v>1800</v>
      </c>
      <c r="C136" t="s">
        <v>545</v>
      </c>
      <c r="D136" t="s">
        <v>27</v>
      </c>
      <c r="E136" s="208" t="s">
        <v>154</v>
      </c>
      <c r="F136" t="s">
        <v>3</v>
      </c>
      <c r="G136" s="18">
        <v>10</v>
      </c>
      <c r="H136" t="s">
        <v>16</v>
      </c>
      <c r="I136" t="s">
        <v>24</v>
      </c>
    </row>
    <row r="137" spans="1:9" x14ac:dyDescent="0.25">
      <c r="A137">
        <v>1799</v>
      </c>
      <c r="B137">
        <f>A137+1</f>
        <v>1800</v>
      </c>
      <c r="C137" t="s">
        <v>545</v>
      </c>
      <c r="D137" t="s">
        <v>27</v>
      </c>
      <c r="E137" s="208" t="s">
        <v>150</v>
      </c>
      <c r="F137" t="s">
        <v>3</v>
      </c>
      <c r="G137" s="18">
        <v>776</v>
      </c>
      <c r="H137" t="s">
        <v>16</v>
      </c>
      <c r="I137" t="s">
        <v>24</v>
      </c>
    </row>
    <row r="138" spans="1:9" x14ac:dyDescent="0.25">
      <c r="A138">
        <v>1799</v>
      </c>
      <c r="B138">
        <f>A138+1</f>
        <v>1800</v>
      </c>
      <c r="C138" t="s">
        <v>545</v>
      </c>
      <c r="D138" t="s">
        <v>27</v>
      </c>
      <c r="E138" s="208" t="s">
        <v>148</v>
      </c>
      <c r="F138" t="s">
        <v>3</v>
      </c>
      <c r="G138" s="18">
        <v>80</v>
      </c>
      <c r="H138" t="s">
        <v>16</v>
      </c>
      <c r="I138" t="s">
        <v>24</v>
      </c>
    </row>
    <row r="139" spans="1:9" x14ac:dyDescent="0.25">
      <c r="A139">
        <v>1799</v>
      </c>
      <c r="B139">
        <f>A139+1</f>
        <v>1800</v>
      </c>
      <c r="C139" t="s">
        <v>545</v>
      </c>
      <c r="D139" t="s">
        <v>27</v>
      </c>
      <c r="E139" s="208" t="s">
        <v>130</v>
      </c>
      <c r="F139" t="s">
        <v>3</v>
      </c>
      <c r="G139" s="18">
        <v>0</v>
      </c>
      <c r="H139" t="s">
        <v>16</v>
      </c>
      <c r="I139" t="s">
        <v>24</v>
      </c>
    </row>
    <row r="140" spans="1:9" x14ac:dyDescent="0.25">
      <c r="A140">
        <v>1799</v>
      </c>
      <c r="B140">
        <f>A140+1</f>
        <v>1800</v>
      </c>
      <c r="C140" t="s">
        <v>545</v>
      </c>
      <c r="D140" t="s">
        <v>27</v>
      </c>
      <c r="E140" s="208" t="s">
        <v>132</v>
      </c>
      <c r="F140" t="s">
        <v>3</v>
      </c>
      <c r="G140" s="18">
        <v>0</v>
      </c>
      <c r="H140" t="s">
        <v>16</v>
      </c>
      <c r="I140" t="s">
        <v>24</v>
      </c>
    </row>
    <row r="141" spans="1:9" x14ac:dyDescent="0.25">
      <c r="A141">
        <v>1799</v>
      </c>
      <c r="B141">
        <f>A141+1</f>
        <v>1800</v>
      </c>
      <c r="C141" t="s">
        <v>545</v>
      </c>
      <c r="D141" t="s">
        <v>27</v>
      </c>
      <c r="E141" s="208" t="s">
        <v>142</v>
      </c>
      <c r="F141" t="s">
        <v>3</v>
      </c>
      <c r="G141" s="18">
        <v>0</v>
      </c>
      <c r="H141" t="s">
        <v>16</v>
      </c>
      <c r="I141" t="s">
        <v>24</v>
      </c>
    </row>
    <row r="142" spans="1:9" x14ac:dyDescent="0.25">
      <c r="A142">
        <v>1799</v>
      </c>
      <c r="B142">
        <f>A142+1</f>
        <v>1800</v>
      </c>
      <c r="C142" t="s">
        <v>545</v>
      </c>
      <c r="D142" t="s">
        <v>27</v>
      </c>
      <c r="E142" s="208" t="s">
        <v>144</v>
      </c>
      <c r="F142" t="s">
        <v>3</v>
      </c>
      <c r="G142" s="18">
        <v>0</v>
      </c>
      <c r="H142" t="s">
        <v>16</v>
      </c>
      <c r="I142" t="s">
        <v>24</v>
      </c>
    </row>
    <row r="143" spans="1:9" x14ac:dyDescent="0.25">
      <c r="A143">
        <v>1799</v>
      </c>
      <c r="B143">
        <f>A143+1</f>
        <v>1800</v>
      </c>
      <c r="C143" t="s">
        <v>545</v>
      </c>
      <c r="D143" t="s">
        <v>27</v>
      </c>
      <c r="E143" s="208" t="s">
        <v>124</v>
      </c>
      <c r="F143" t="s">
        <v>3</v>
      </c>
      <c r="G143" s="18">
        <v>29948</v>
      </c>
      <c r="H143" t="s">
        <v>16</v>
      </c>
      <c r="I143" t="s">
        <v>24</v>
      </c>
    </row>
    <row r="144" spans="1:9" x14ac:dyDescent="0.25">
      <c r="A144">
        <v>1799</v>
      </c>
      <c r="B144">
        <f>A144+1</f>
        <v>1800</v>
      </c>
      <c r="C144" t="s">
        <v>545</v>
      </c>
      <c r="D144" t="s">
        <v>27</v>
      </c>
      <c r="E144" s="209" t="s">
        <v>155</v>
      </c>
      <c r="F144" t="s">
        <v>0</v>
      </c>
      <c r="G144" s="18">
        <v>38869</v>
      </c>
      <c r="H144" t="s">
        <v>16</v>
      </c>
      <c r="I144" t="s">
        <v>18</v>
      </c>
    </row>
    <row r="145" spans="1:9" x14ac:dyDescent="0.25">
      <c r="A145">
        <v>1799</v>
      </c>
      <c r="B145">
        <f>A145+1</f>
        <v>1800</v>
      </c>
      <c r="C145" t="s">
        <v>545</v>
      </c>
      <c r="D145" t="s">
        <v>27</v>
      </c>
      <c r="E145" s="208" t="s">
        <v>156</v>
      </c>
      <c r="F145" t="s">
        <v>0</v>
      </c>
      <c r="G145" s="18">
        <v>3344</v>
      </c>
      <c r="H145" t="s">
        <v>16</v>
      </c>
      <c r="I145" t="s">
        <v>18</v>
      </c>
    </row>
    <row r="146" spans="1:9" x14ac:dyDescent="0.25">
      <c r="A146">
        <v>1799</v>
      </c>
      <c r="B146">
        <f>A146+1</f>
        <v>1800</v>
      </c>
      <c r="C146" t="s">
        <v>545</v>
      </c>
      <c r="D146" t="s">
        <v>27</v>
      </c>
      <c r="E146" s="208" t="s">
        <v>154</v>
      </c>
      <c r="F146" t="s">
        <v>0</v>
      </c>
      <c r="G146" s="18">
        <v>570</v>
      </c>
      <c r="H146" t="s">
        <v>16</v>
      </c>
      <c r="I146" t="s">
        <v>18</v>
      </c>
    </row>
    <row r="147" spans="1:9" x14ac:dyDescent="0.25">
      <c r="A147">
        <v>1799</v>
      </c>
      <c r="B147">
        <f>A147+1</f>
        <v>1800</v>
      </c>
      <c r="C147" t="s">
        <v>545</v>
      </c>
      <c r="D147" t="s">
        <v>27</v>
      </c>
      <c r="E147" s="208" t="s">
        <v>150</v>
      </c>
      <c r="F147" t="s">
        <v>0</v>
      </c>
      <c r="G147" s="18">
        <v>8394</v>
      </c>
      <c r="H147" t="s">
        <v>16</v>
      </c>
      <c r="I147" t="s">
        <v>18</v>
      </c>
    </row>
    <row r="148" spans="1:9" x14ac:dyDescent="0.25">
      <c r="A148">
        <v>1799</v>
      </c>
      <c r="B148">
        <f>A148+1</f>
        <v>1800</v>
      </c>
      <c r="C148" t="s">
        <v>545</v>
      </c>
      <c r="D148" t="s">
        <v>27</v>
      </c>
      <c r="E148" s="208" t="s">
        <v>148</v>
      </c>
      <c r="F148" t="s">
        <v>0</v>
      </c>
      <c r="G148" s="18">
        <v>342</v>
      </c>
      <c r="H148" t="s">
        <v>16</v>
      </c>
      <c r="I148" t="s">
        <v>18</v>
      </c>
    </row>
    <row r="149" spans="1:9" x14ac:dyDescent="0.25">
      <c r="A149">
        <v>1799</v>
      </c>
      <c r="B149">
        <f>A149+1</f>
        <v>1800</v>
      </c>
      <c r="C149" t="s">
        <v>545</v>
      </c>
      <c r="D149" t="s">
        <v>27</v>
      </c>
      <c r="E149" s="208" t="s">
        <v>130</v>
      </c>
      <c r="F149" t="s">
        <v>0</v>
      </c>
      <c r="G149" s="18">
        <v>901</v>
      </c>
      <c r="H149" t="s">
        <v>16</v>
      </c>
      <c r="I149" t="s">
        <v>18</v>
      </c>
    </row>
    <row r="150" spans="1:9" x14ac:dyDescent="0.25">
      <c r="A150">
        <v>1799</v>
      </c>
      <c r="B150">
        <f>A150+1</f>
        <v>1800</v>
      </c>
      <c r="C150" t="s">
        <v>545</v>
      </c>
      <c r="D150" t="s">
        <v>27</v>
      </c>
      <c r="E150" s="208" t="s">
        <v>132</v>
      </c>
      <c r="F150" t="s">
        <v>0</v>
      </c>
      <c r="G150" s="18">
        <v>16</v>
      </c>
      <c r="H150" t="s">
        <v>16</v>
      </c>
      <c r="I150" t="s">
        <v>18</v>
      </c>
    </row>
    <row r="151" spans="1:9" x14ac:dyDescent="0.25">
      <c r="A151">
        <v>1799</v>
      </c>
      <c r="B151">
        <f>A151+1</f>
        <v>1800</v>
      </c>
      <c r="C151" t="s">
        <v>545</v>
      </c>
      <c r="D151" t="s">
        <v>27</v>
      </c>
      <c r="E151" s="208" t="s">
        <v>142</v>
      </c>
      <c r="F151" t="s">
        <v>0</v>
      </c>
      <c r="G151" s="18">
        <v>3816</v>
      </c>
      <c r="H151" t="s">
        <v>16</v>
      </c>
      <c r="I151" t="s">
        <v>18</v>
      </c>
    </row>
    <row r="152" spans="1:9" x14ac:dyDescent="0.25">
      <c r="A152">
        <v>1799</v>
      </c>
      <c r="B152">
        <f>A152+1</f>
        <v>1800</v>
      </c>
      <c r="C152" t="s">
        <v>545</v>
      </c>
      <c r="D152" t="s">
        <v>27</v>
      </c>
      <c r="E152" s="208" t="s">
        <v>144</v>
      </c>
      <c r="F152" t="s">
        <v>0</v>
      </c>
      <c r="G152" s="18">
        <v>55</v>
      </c>
      <c r="H152" t="s">
        <v>16</v>
      </c>
      <c r="I152" t="s">
        <v>18</v>
      </c>
    </row>
    <row r="153" spans="1:9" x14ac:dyDescent="0.25">
      <c r="A153">
        <v>1799</v>
      </c>
      <c r="B153">
        <f>A153+1</f>
        <v>1800</v>
      </c>
      <c r="C153" t="s">
        <v>545</v>
      </c>
      <c r="D153" t="s">
        <v>27</v>
      </c>
      <c r="E153" s="208" t="s">
        <v>124</v>
      </c>
      <c r="F153" t="s">
        <v>0</v>
      </c>
      <c r="G153" s="18">
        <v>8163855</v>
      </c>
      <c r="H153" t="s">
        <v>16</v>
      </c>
      <c r="I153" t="s">
        <v>18</v>
      </c>
    </row>
    <row r="154" spans="1:9" x14ac:dyDescent="0.25">
      <c r="A154">
        <v>1799</v>
      </c>
      <c r="B154">
        <f>A154+1</f>
        <v>1800</v>
      </c>
      <c r="C154" t="s">
        <v>545</v>
      </c>
      <c r="D154" t="s">
        <v>27</v>
      </c>
      <c r="E154" s="209" t="s">
        <v>155</v>
      </c>
      <c r="F154" t="s">
        <v>1</v>
      </c>
      <c r="G154" s="18">
        <v>1267</v>
      </c>
      <c r="H154" t="s">
        <v>16</v>
      </c>
      <c r="I154" t="s">
        <v>21</v>
      </c>
    </row>
    <row r="155" spans="1:9" x14ac:dyDescent="0.25">
      <c r="A155">
        <v>1799</v>
      </c>
      <c r="B155">
        <f>A155+1</f>
        <v>1800</v>
      </c>
      <c r="C155" t="s">
        <v>545</v>
      </c>
      <c r="D155" t="s">
        <v>27</v>
      </c>
      <c r="E155" s="208" t="s">
        <v>156</v>
      </c>
      <c r="F155" t="s">
        <v>1</v>
      </c>
      <c r="G155" s="18">
        <v>316</v>
      </c>
      <c r="H155" t="s">
        <v>16</v>
      </c>
      <c r="I155" t="s">
        <v>21</v>
      </c>
    </row>
    <row r="156" spans="1:9" x14ac:dyDescent="0.25">
      <c r="A156">
        <v>1799</v>
      </c>
      <c r="B156">
        <f>A156+1</f>
        <v>1800</v>
      </c>
      <c r="C156" t="s">
        <v>545</v>
      </c>
      <c r="D156" t="s">
        <v>27</v>
      </c>
      <c r="E156" s="208" t="s">
        <v>154</v>
      </c>
      <c r="F156" t="s">
        <v>1</v>
      </c>
      <c r="G156" s="18">
        <v>321</v>
      </c>
      <c r="H156" t="s">
        <v>16</v>
      </c>
      <c r="I156" t="s">
        <v>21</v>
      </c>
    </row>
    <row r="157" spans="1:9" x14ac:dyDescent="0.25">
      <c r="A157">
        <v>1799</v>
      </c>
      <c r="B157">
        <f>A157+1</f>
        <v>1800</v>
      </c>
      <c r="C157" t="s">
        <v>545</v>
      </c>
      <c r="D157" t="s">
        <v>27</v>
      </c>
      <c r="E157" s="208" t="s">
        <v>150</v>
      </c>
      <c r="F157" t="s">
        <v>1</v>
      </c>
      <c r="G157" s="18">
        <v>988</v>
      </c>
      <c r="H157" t="s">
        <v>16</v>
      </c>
      <c r="I157" t="s">
        <v>21</v>
      </c>
    </row>
    <row r="158" spans="1:9" x14ac:dyDescent="0.25">
      <c r="A158">
        <v>1799</v>
      </c>
      <c r="B158">
        <f>A158+1</f>
        <v>1800</v>
      </c>
      <c r="C158" t="s">
        <v>545</v>
      </c>
      <c r="D158" t="s">
        <v>27</v>
      </c>
      <c r="E158" s="208" t="s">
        <v>148</v>
      </c>
      <c r="F158" t="s">
        <v>1</v>
      </c>
      <c r="G158" s="18">
        <v>143</v>
      </c>
      <c r="H158" t="s">
        <v>16</v>
      </c>
      <c r="I158" t="s">
        <v>21</v>
      </c>
    </row>
    <row r="159" spans="1:9" x14ac:dyDescent="0.25">
      <c r="A159">
        <v>1799</v>
      </c>
      <c r="B159">
        <f>A159+1</f>
        <v>1800</v>
      </c>
      <c r="C159" t="s">
        <v>545</v>
      </c>
      <c r="D159" t="s">
        <v>27</v>
      </c>
      <c r="E159" s="208" t="s">
        <v>130</v>
      </c>
      <c r="F159" t="s">
        <v>1</v>
      </c>
      <c r="G159" s="18">
        <v>78</v>
      </c>
      <c r="H159" t="s">
        <v>16</v>
      </c>
      <c r="I159" t="s">
        <v>21</v>
      </c>
    </row>
    <row r="160" spans="1:9" x14ac:dyDescent="0.25">
      <c r="A160">
        <v>1799</v>
      </c>
      <c r="B160">
        <f>A160+1</f>
        <v>1800</v>
      </c>
      <c r="C160" t="s">
        <v>545</v>
      </c>
      <c r="D160" t="s">
        <v>27</v>
      </c>
      <c r="E160" s="208" t="s">
        <v>132</v>
      </c>
      <c r="F160" t="s">
        <v>1</v>
      </c>
      <c r="G160" s="18">
        <v>0</v>
      </c>
      <c r="H160" t="s">
        <v>16</v>
      </c>
      <c r="I160" t="s">
        <v>21</v>
      </c>
    </row>
    <row r="161" spans="1:9" x14ac:dyDescent="0.25">
      <c r="A161">
        <v>1799</v>
      </c>
      <c r="B161">
        <f>A161+1</f>
        <v>1800</v>
      </c>
      <c r="C161" t="s">
        <v>545</v>
      </c>
      <c r="D161" t="s">
        <v>27</v>
      </c>
      <c r="E161" s="208" t="s">
        <v>142</v>
      </c>
      <c r="F161" t="s">
        <v>1</v>
      </c>
      <c r="G161" s="18">
        <v>0</v>
      </c>
      <c r="H161" t="s">
        <v>16</v>
      </c>
      <c r="I161" t="s">
        <v>21</v>
      </c>
    </row>
    <row r="162" spans="1:9" x14ac:dyDescent="0.25">
      <c r="A162">
        <v>1799</v>
      </c>
      <c r="B162">
        <f>A162+1</f>
        <v>1800</v>
      </c>
      <c r="C162" t="s">
        <v>545</v>
      </c>
      <c r="D162" t="s">
        <v>27</v>
      </c>
      <c r="E162" s="208" t="s">
        <v>144</v>
      </c>
      <c r="F162" t="s">
        <v>1</v>
      </c>
      <c r="G162" s="18">
        <v>5</v>
      </c>
      <c r="H162" t="s">
        <v>16</v>
      </c>
      <c r="I162" t="s">
        <v>21</v>
      </c>
    </row>
    <row r="163" spans="1:9" x14ac:dyDescent="0.25">
      <c r="A163">
        <v>1799</v>
      </c>
      <c r="B163">
        <f>A163+1</f>
        <v>1800</v>
      </c>
      <c r="C163" t="s">
        <v>545</v>
      </c>
      <c r="D163" t="s">
        <v>27</v>
      </c>
      <c r="E163" s="208" t="s">
        <v>124</v>
      </c>
      <c r="F163" t="s">
        <v>1</v>
      </c>
      <c r="G163" s="18">
        <v>7518</v>
      </c>
      <c r="H163" t="s">
        <v>16</v>
      </c>
      <c r="I163" t="s">
        <v>21</v>
      </c>
    </row>
    <row r="164" spans="1:9" x14ac:dyDescent="0.25">
      <c r="A164">
        <v>1799</v>
      </c>
      <c r="B164">
        <f>A164+1</f>
        <v>1800</v>
      </c>
      <c r="C164" t="s">
        <v>545</v>
      </c>
      <c r="D164" t="s">
        <v>27</v>
      </c>
      <c r="E164" s="209" t="s">
        <v>155</v>
      </c>
      <c r="F164" t="s">
        <v>4</v>
      </c>
      <c r="G164" s="18">
        <v>2472</v>
      </c>
      <c r="H164" t="s">
        <v>16</v>
      </c>
      <c r="I164" t="s">
        <v>23</v>
      </c>
    </row>
    <row r="165" spans="1:9" x14ac:dyDescent="0.25">
      <c r="A165">
        <v>1799</v>
      </c>
      <c r="B165">
        <f>A165+1</f>
        <v>1800</v>
      </c>
      <c r="C165" t="s">
        <v>545</v>
      </c>
      <c r="D165" t="s">
        <v>27</v>
      </c>
      <c r="E165" s="208" t="s">
        <v>156</v>
      </c>
      <c r="F165" t="s">
        <v>4</v>
      </c>
      <c r="G165" s="18">
        <v>471</v>
      </c>
      <c r="H165" t="s">
        <v>16</v>
      </c>
      <c r="I165" t="s">
        <v>23</v>
      </c>
    </row>
    <row r="166" spans="1:9" x14ac:dyDescent="0.25">
      <c r="A166">
        <v>1799</v>
      </c>
      <c r="B166">
        <f>A166+1</f>
        <v>1800</v>
      </c>
      <c r="C166" t="s">
        <v>545</v>
      </c>
      <c r="D166" t="s">
        <v>27</v>
      </c>
      <c r="E166" s="208" t="s">
        <v>154</v>
      </c>
      <c r="F166" t="s">
        <v>4</v>
      </c>
      <c r="G166" s="18">
        <v>654</v>
      </c>
      <c r="H166" t="s">
        <v>16</v>
      </c>
      <c r="I166" t="s">
        <v>23</v>
      </c>
    </row>
    <row r="167" spans="1:9" x14ac:dyDescent="0.25">
      <c r="A167">
        <v>1799</v>
      </c>
      <c r="B167">
        <f>A167+1</f>
        <v>1800</v>
      </c>
      <c r="C167" t="s">
        <v>545</v>
      </c>
      <c r="D167" t="s">
        <v>27</v>
      </c>
      <c r="E167" s="208" t="s">
        <v>150</v>
      </c>
      <c r="F167" t="s">
        <v>4</v>
      </c>
      <c r="G167" s="18">
        <v>3050</v>
      </c>
      <c r="H167" t="s">
        <v>16</v>
      </c>
      <c r="I167" t="s">
        <v>23</v>
      </c>
    </row>
    <row r="168" spans="1:9" x14ac:dyDescent="0.25">
      <c r="A168">
        <v>1799</v>
      </c>
      <c r="B168">
        <f>A168+1</f>
        <v>1800</v>
      </c>
      <c r="C168" t="s">
        <v>545</v>
      </c>
      <c r="D168" t="s">
        <v>27</v>
      </c>
      <c r="E168" s="208" t="s">
        <v>148</v>
      </c>
      <c r="F168" t="s">
        <v>4</v>
      </c>
      <c r="G168" s="18">
        <v>140</v>
      </c>
      <c r="H168" t="s">
        <v>16</v>
      </c>
      <c r="I168" t="s">
        <v>23</v>
      </c>
    </row>
    <row r="169" spans="1:9" x14ac:dyDescent="0.25">
      <c r="A169">
        <v>1799</v>
      </c>
      <c r="B169">
        <f>A169+1</f>
        <v>1800</v>
      </c>
      <c r="C169" t="s">
        <v>545</v>
      </c>
      <c r="D169" t="s">
        <v>27</v>
      </c>
      <c r="E169" s="208" t="s">
        <v>130</v>
      </c>
      <c r="F169" t="s">
        <v>4</v>
      </c>
      <c r="G169" s="18">
        <v>694</v>
      </c>
      <c r="H169" t="s">
        <v>16</v>
      </c>
      <c r="I169" t="s">
        <v>23</v>
      </c>
    </row>
    <row r="170" spans="1:9" x14ac:dyDescent="0.25">
      <c r="A170">
        <v>1799</v>
      </c>
      <c r="B170">
        <f>A170+1</f>
        <v>1800</v>
      </c>
      <c r="C170" t="s">
        <v>545</v>
      </c>
      <c r="D170" t="s">
        <v>27</v>
      </c>
      <c r="E170" s="208" t="s">
        <v>132</v>
      </c>
      <c r="F170" t="s">
        <v>4</v>
      </c>
      <c r="G170" s="18">
        <v>5</v>
      </c>
      <c r="H170" t="s">
        <v>16</v>
      </c>
      <c r="I170" t="s">
        <v>23</v>
      </c>
    </row>
    <row r="171" spans="1:9" x14ac:dyDescent="0.25">
      <c r="A171">
        <v>1799</v>
      </c>
      <c r="B171">
        <f>A171+1</f>
        <v>1800</v>
      </c>
      <c r="C171" t="s">
        <v>545</v>
      </c>
      <c r="D171" t="s">
        <v>27</v>
      </c>
      <c r="E171" s="208" t="s">
        <v>142</v>
      </c>
      <c r="F171" t="s">
        <v>4</v>
      </c>
      <c r="G171" s="18">
        <v>251</v>
      </c>
      <c r="H171" t="s">
        <v>16</v>
      </c>
      <c r="I171" t="s">
        <v>23</v>
      </c>
    </row>
    <row r="172" spans="1:9" x14ac:dyDescent="0.25">
      <c r="A172">
        <v>1799</v>
      </c>
      <c r="B172">
        <f>A172+1</f>
        <v>1800</v>
      </c>
      <c r="C172" t="s">
        <v>545</v>
      </c>
      <c r="D172" t="s">
        <v>27</v>
      </c>
      <c r="E172" s="208" t="s">
        <v>144</v>
      </c>
      <c r="F172" t="s">
        <v>4</v>
      </c>
      <c r="G172" s="18">
        <v>35</v>
      </c>
      <c r="H172" t="s">
        <v>16</v>
      </c>
      <c r="I172" t="s">
        <v>23</v>
      </c>
    </row>
    <row r="173" spans="1:9" x14ac:dyDescent="0.25">
      <c r="A173">
        <v>1799</v>
      </c>
      <c r="B173">
        <f>A173+1</f>
        <v>1800</v>
      </c>
      <c r="C173" t="s">
        <v>545</v>
      </c>
      <c r="D173" t="s">
        <v>27</v>
      </c>
      <c r="E173" s="208" t="s">
        <v>124</v>
      </c>
      <c r="F173" t="s">
        <v>4</v>
      </c>
      <c r="G173" s="18">
        <v>434232</v>
      </c>
      <c r="H173" t="s">
        <v>16</v>
      </c>
      <c r="I173" t="s">
        <v>23</v>
      </c>
    </row>
    <row r="174" spans="1:9" x14ac:dyDescent="0.25">
      <c r="A174">
        <v>1799</v>
      </c>
      <c r="B174">
        <f>A174+1</f>
        <v>1800</v>
      </c>
      <c r="C174" t="s">
        <v>545</v>
      </c>
      <c r="D174" t="s">
        <v>27</v>
      </c>
      <c r="E174" s="209" t="s">
        <v>155</v>
      </c>
      <c r="F174" t="s">
        <v>7</v>
      </c>
      <c r="G174" s="18">
        <v>42740</v>
      </c>
      <c r="H174" t="s">
        <v>16</v>
      </c>
      <c r="I174" s="151" t="s">
        <v>562</v>
      </c>
    </row>
    <row r="175" spans="1:9" x14ac:dyDescent="0.25">
      <c r="A175">
        <v>1799</v>
      </c>
      <c r="B175">
        <f>A175+1</f>
        <v>1800</v>
      </c>
      <c r="C175" t="s">
        <v>545</v>
      </c>
      <c r="D175" t="s">
        <v>27</v>
      </c>
      <c r="E175" s="208" t="s">
        <v>156</v>
      </c>
      <c r="F175" t="s">
        <v>7</v>
      </c>
      <c r="G175" s="18">
        <v>4148</v>
      </c>
      <c r="H175" t="s">
        <v>16</v>
      </c>
      <c r="I175" s="151" t="s">
        <v>562</v>
      </c>
    </row>
    <row r="176" spans="1:9" x14ac:dyDescent="0.25">
      <c r="A176">
        <v>1799</v>
      </c>
      <c r="B176">
        <f>A176+1</f>
        <v>1800</v>
      </c>
      <c r="C176" t="s">
        <v>545</v>
      </c>
      <c r="D176" t="s">
        <v>27</v>
      </c>
      <c r="E176" s="208" t="s">
        <v>154</v>
      </c>
      <c r="F176" t="s">
        <v>7</v>
      </c>
      <c r="G176" s="18">
        <v>1555</v>
      </c>
      <c r="H176" t="s">
        <v>16</v>
      </c>
      <c r="I176" s="151" t="s">
        <v>562</v>
      </c>
    </row>
    <row r="177" spans="1:9" x14ac:dyDescent="0.25">
      <c r="A177">
        <v>1799</v>
      </c>
      <c r="B177">
        <f>A177+1</f>
        <v>1800</v>
      </c>
      <c r="C177" t="s">
        <v>545</v>
      </c>
      <c r="D177" t="s">
        <v>27</v>
      </c>
      <c r="E177" s="208" t="s">
        <v>150</v>
      </c>
      <c r="F177" t="s">
        <v>7</v>
      </c>
      <c r="G177" s="18">
        <v>13208</v>
      </c>
      <c r="H177" t="s">
        <v>16</v>
      </c>
      <c r="I177" s="151" t="s">
        <v>562</v>
      </c>
    </row>
    <row r="178" spans="1:9" x14ac:dyDescent="0.25">
      <c r="A178">
        <v>1799</v>
      </c>
      <c r="B178">
        <f>A178+1</f>
        <v>1800</v>
      </c>
      <c r="C178" t="s">
        <v>545</v>
      </c>
      <c r="D178" t="s">
        <v>27</v>
      </c>
      <c r="E178" s="208" t="s">
        <v>148</v>
      </c>
      <c r="F178" t="s">
        <v>7</v>
      </c>
      <c r="G178" s="18">
        <v>705</v>
      </c>
      <c r="H178" t="s">
        <v>16</v>
      </c>
      <c r="I178" s="151" t="s">
        <v>562</v>
      </c>
    </row>
    <row r="179" spans="1:9" x14ac:dyDescent="0.25">
      <c r="A179">
        <v>1799</v>
      </c>
      <c r="B179">
        <f>A179+1</f>
        <v>1800</v>
      </c>
      <c r="C179" t="s">
        <v>545</v>
      </c>
      <c r="D179" t="s">
        <v>27</v>
      </c>
      <c r="E179" s="208" t="s">
        <v>130</v>
      </c>
      <c r="F179" t="s">
        <v>7</v>
      </c>
      <c r="G179" s="18">
        <v>1673</v>
      </c>
      <c r="H179" t="s">
        <v>16</v>
      </c>
      <c r="I179" s="151" t="s">
        <v>562</v>
      </c>
    </row>
    <row r="180" spans="1:9" x14ac:dyDescent="0.25">
      <c r="A180">
        <v>1799</v>
      </c>
      <c r="B180">
        <f>A180+1</f>
        <v>1800</v>
      </c>
      <c r="C180" t="s">
        <v>545</v>
      </c>
      <c r="D180" t="s">
        <v>27</v>
      </c>
      <c r="E180" s="208" t="s">
        <v>132</v>
      </c>
      <c r="F180" t="s">
        <v>7</v>
      </c>
      <c r="G180" s="18">
        <v>21</v>
      </c>
      <c r="H180" t="s">
        <v>16</v>
      </c>
      <c r="I180" s="151" t="s">
        <v>562</v>
      </c>
    </row>
    <row r="181" spans="1:9" x14ac:dyDescent="0.25">
      <c r="A181">
        <v>1799</v>
      </c>
      <c r="B181">
        <f>A181+1</f>
        <v>1800</v>
      </c>
      <c r="C181" t="s">
        <v>545</v>
      </c>
      <c r="D181" t="s">
        <v>27</v>
      </c>
      <c r="E181" s="208" t="s">
        <v>142</v>
      </c>
      <c r="F181" t="s">
        <v>7</v>
      </c>
      <c r="G181" s="18">
        <v>4067</v>
      </c>
      <c r="H181" t="s">
        <v>16</v>
      </c>
      <c r="I181" s="151" t="s">
        <v>562</v>
      </c>
    </row>
    <row r="182" spans="1:9" x14ac:dyDescent="0.25">
      <c r="A182">
        <v>1799</v>
      </c>
      <c r="B182">
        <f>A182+1</f>
        <v>1800</v>
      </c>
      <c r="C182" t="s">
        <v>545</v>
      </c>
      <c r="D182" t="s">
        <v>27</v>
      </c>
      <c r="E182" s="208" t="s">
        <v>144</v>
      </c>
      <c r="F182" t="s">
        <v>7</v>
      </c>
      <c r="G182" s="18">
        <v>95</v>
      </c>
      <c r="H182" t="s">
        <v>16</v>
      </c>
      <c r="I182" s="151" t="s">
        <v>562</v>
      </c>
    </row>
    <row r="183" spans="1:9" x14ac:dyDescent="0.25">
      <c r="A183">
        <v>1799</v>
      </c>
      <c r="B183">
        <f>A183+1</f>
        <v>1800</v>
      </c>
      <c r="C183" t="s">
        <v>545</v>
      </c>
      <c r="D183" t="s">
        <v>27</v>
      </c>
      <c r="E183" s="208" t="s">
        <v>124</v>
      </c>
      <c r="F183" t="s">
        <v>7</v>
      </c>
      <c r="G183" s="18">
        <v>8635553</v>
      </c>
      <c r="H183" t="s">
        <v>16</v>
      </c>
      <c r="I183" s="151" t="s">
        <v>562</v>
      </c>
    </row>
    <row r="184" spans="1:9" x14ac:dyDescent="0.25">
      <c r="A184">
        <v>1799</v>
      </c>
      <c r="B184">
        <f>A184+1</f>
        <v>1800</v>
      </c>
      <c r="C184" t="s">
        <v>545</v>
      </c>
      <c r="D184" t="s">
        <v>27</v>
      </c>
      <c r="E184" s="209" t="s">
        <v>155</v>
      </c>
      <c r="F184" t="s">
        <v>10</v>
      </c>
      <c r="G184" s="18">
        <v>74</v>
      </c>
      <c r="H184" t="s">
        <v>17</v>
      </c>
      <c r="I184" t="s">
        <v>24</v>
      </c>
    </row>
    <row r="185" spans="1:9" x14ac:dyDescent="0.25">
      <c r="A185">
        <v>1799</v>
      </c>
      <c r="B185">
        <f>A185+1</f>
        <v>1800</v>
      </c>
      <c r="C185" t="s">
        <v>545</v>
      </c>
      <c r="D185" t="s">
        <v>27</v>
      </c>
      <c r="E185" s="208" t="s">
        <v>156</v>
      </c>
      <c r="F185" t="s">
        <v>10</v>
      </c>
      <c r="G185" s="18">
        <v>35</v>
      </c>
      <c r="H185" t="s">
        <v>17</v>
      </c>
      <c r="I185" t="s">
        <v>24</v>
      </c>
    </row>
    <row r="186" spans="1:9" x14ac:dyDescent="0.25">
      <c r="A186">
        <v>1799</v>
      </c>
      <c r="B186">
        <f>A186+1</f>
        <v>1800</v>
      </c>
      <c r="C186" t="s">
        <v>545</v>
      </c>
      <c r="D186" t="s">
        <v>27</v>
      </c>
      <c r="E186" s="208" t="s">
        <v>154</v>
      </c>
      <c r="F186" t="s">
        <v>10</v>
      </c>
      <c r="G186" s="18">
        <v>0</v>
      </c>
      <c r="H186" t="s">
        <v>17</v>
      </c>
      <c r="I186" t="s">
        <v>24</v>
      </c>
    </row>
    <row r="187" spans="1:9" x14ac:dyDescent="0.25">
      <c r="A187">
        <v>1799</v>
      </c>
      <c r="B187">
        <f>A187+1</f>
        <v>1800</v>
      </c>
      <c r="C187" t="s">
        <v>545</v>
      </c>
      <c r="D187" t="s">
        <v>27</v>
      </c>
      <c r="E187" s="208" t="s">
        <v>150</v>
      </c>
      <c r="F187" t="s">
        <v>10</v>
      </c>
      <c r="G187" s="18">
        <v>278</v>
      </c>
      <c r="H187" t="s">
        <v>17</v>
      </c>
      <c r="I187" t="s">
        <v>24</v>
      </c>
    </row>
    <row r="188" spans="1:9" x14ac:dyDescent="0.25">
      <c r="A188">
        <v>1799</v>
      </c>
      <c r="B188">
        <f>A188+1</f>
        <v>1800</v>
      </c>
      <c r="C188" t="s">
        <v>545</v>
      </c>
      <c r="D188" t="s">
        <v>27</v>
      </c>
      <c r="E188" s="208" t="s">
        <v>148</v>
      </c>
      <c r="F188" t="s">
        <v>10</v>
      </c>
      <c r="G188" s="18">
        <v>6</v>
      </c>
      <c r="H188" t="s">
        <v>17</v>
      </c>
      <c r="I188" t="s">
        <v>24</v>
      </c>
    </row>
    <row r="189" spans="1:9" x14ac:dyDescent="0.25">
      <c r="A189">
        <v>1799</v>
      </c>
      <c r="B189">
        <f>A189+1</f>
        <v>1800</v>
      </c>
      <c r="C189" t="s">
        <v>545</v>
      </c>
      <c r="D189" t="s">
        <v>27</v>
      </c>
      <c r="E189" s="208" t="s">
        <v>130</v>
      </c>
      <c r="F189" t="s">
        <v>10</v>
      </c>
      <c r="G189" s="18">
        <v>19</v>
      </c>
      <c r="H189" t="s">
        <v>17</v>
      </c>
      <c r="I189" t="s">
        <v>24</v>
      </c>
    </row>
    <row r="190" spans="1:9" x14ac:dyDescent="0.25">
      <c r="A190">
        <v>1799</v>
      </c>
      <c r="B190">
        <f>A190+1</f>
        <v>1800</v>
      </c>
      <c r="C190" t="s">
        <v>545</v>
      </c>
      <c r="D190" t="s">
        <v>27</v>
      </c>
      <c r="E190" s="208" t="s">
        <v>132</v>
      </c>
      <c r="F190" t="s">
        <v>10</v>
      </c>
      <c r="G190" s="18">
        <v>0</v>
      </c>
      <c r="H190" t="s">
        <v>17</v>
      </c>
      <c r="I190" t="s">
        <v>24</v>
      </c>
    </row>
    <row r="191" spans="1:9" x14ac:dyDescent="0.25">
      <c r="A191">
        <v>1799</v>
      </c>
      <c r="B191">
        <f>A191+1</f>
        <v>1800</v>
      </c>
      <c r="C191" t="s">
        <v>545</v>
      </c>
      <c r="D191" t="s">
        <v>27</v>
      </c>
      <c r="E191" s="208" t="s">
        <v>142</v>
      </c>
      <c r="F191" t="s">
        <v>10</v>
      </c>
      <c r="G191" s="18">
        <v>166</v>
      </c>
      <c r="H191" t="s">
        <v>17</v>
      </c>
      <c r="I191" t="s">
        <v>24</v>
      </c>
    </row>
    <row r="192" spans="1:9" x14ac:dyDescent="0.25">
      <c r="A192">
        <v>1799</v>
      </c>
      <c r="B192">
        <f>A192+1</f>
        <v>1800</v>
      </c>
      <c r="C192" t="s">
        <v>545</v>
      </c>
      <c r="D192" t="s">
        <v>27</v>
      </c>
      <c r="E192" s="208" t="s">
        <v>144</v>
      </c>
      <c r="F192" t="s">
        <v>10</v>
      </c>
      <c r="G192" s="18">
        <v>0</v>
      </c>
      <c r="H192" t="s">
        <v>17</v>
      </c>
      <c r="I192" t="s">
        <v>24</v>
      </c>
    </row>
    <row r="193" spans="1:9" x14ac:dyDescent="0.25">
      <c r="A193">
        <v>1799</v>
      </c>
      <c r="B193">
        <f>A193+1</f>
        <v>1800</v>
      </c>
      <c r="C193" t="s">
        <v>545</v>
      </c>
      <c r="D193" t="s">
        <v>27</v>
      </c>
      <c r="E193" s="208" t="s">
        <v>124</v>
      </c>
      <c r="F193" t="s">
        <v>10</v>
      </c>
      <c r="G193" s="18">
        <v>6153</v>
      </c>
      <c r="H193" t="s">
        <v>17</v>
      </c>
      <c r="I193" t="s">
        <v>24</v>
      </c>
    </row>
    <row r="194" spans="1:9" x14ac:dyDescent="0.25">
      <c r="A194">
        <v>1799</v>
      </c>
      <c r="B194">
        <f>A194+1</f>
        <v>1800</v>
      </c>
      <c r="C194" t="s">
        <v>545</v>
      </c>
      <c r="D194" t="s">
        <v>27</v>
      </c>
      <c r="E194" s="209" t="s">
        <v>155</v>
      </c>
      <c r="F194" t="s">
        <v>8</v>
      </c>
      <c r="G194" s="18">
        <v>51450</v>
      </c>
      <c r="H194" t="s">
        <v>17</v>
      </c>
      <c r="I194" t="s">
        <v>18</v>
      </c>
    </row>
    <row r="195" spans="1:9" x14ac:dyDescent="0.25">
      <c r="A195">
        <v>1799</v>
      </c>
      <c r="B195">
        <f>A195+1</f>
        <v>1800</v>
      </c>
      <c r="C195" t="s">
        <v>545</v>
      </c>
      <c r="D195" t="s">
        <v>27</v>
      </c>
      <c r="E195" s="208" t="s">
        <v>156</v>
      </c>
      <c r="F195" t="s">
        <v>8</v>
      </c>
      <c r="G195" s="18">
        <v>8565</v>
      </c>
      <c r="H195" t="s">
        <v>17</v>
      </c>
      <c r="I195" t="s">
        <v>18</v>
      </c>
    </row>
    <row r="196" spans="1:9" x14ac:dyDescent="0.25">
      <c r="A196">
        <v>1799</v>
      </c>
      <c r="B196">
        <f>A196+1</f>
        <v>1800</v>
      </c>
      <c r="C196" t="s">
        <v>545</v>
      </c>
      <c r="D196" t="s">
        <v>27</v>
      </c>
      <c r="E196" s="208" t="s">
        <v>154</v>
      </c>
      <c r="F196" t="s">
        <v>8</v>
      </c>
      <c r="G196" s="18">
        <v>62</v>
      </c>
      <c r="H196" t="s">
        <v>17</v>
      </c>
      <c r="I196" t="s">
        <v>18</v>
      </c>
    </row>
    <row r="197" spans="1:9" x14ac:dyDescent="0.25">
      <c r="A197">
        <v>1799</v>
      </c>
      <c r="B197">
        <f>A197+1</f>
        <v>1800</v>
      </c>
      <c r="C197" t="s">
        <v>545</v>
      </c>
      <c r="D197" t="s">
        <v>27</v>
      </c>
      <c r="E197" s="208" t="s">
        <v>150</v>
      </c>
      <c r="F197" t="s">
        <v>8</v>
      </c>
      <c r="G197" s="18">
        <v>16600</v>
      </c>
      <c r="H197" t="s">
        <v>17</v>
      </c>
      <c r="I197" t="s">
        <v>18</v>
      </c>
    </row>
    <row r="198" spans="1:9" x14ac:dyDescent="0.25">
      <c r="A198">
        <v>1799</v>
      </c>
      <c r="B198">
        <f>A198+1</f>
        <v>1800</v>
      </c>
      <c r="C198" t="s">
        <v>545</v>
      </c>
      <c r="D198" t="s">
        <v>27</v>
      </c>
      <c r="E198" s="208" t="s">
        <v>148</v>
      </c>
      <c r="F198" t="s">
        <v>8</v>
      </c>
      <c r="G198" s="18">
        <v>637</v>
      </c>
      <c r="H198" t="s">
        <v>17</v>
      </c>
      <c r="I198" t="s">
        <v>18</v>
      </c>
    </row>
    <row r="199" spans="1:9" x14ac:dyDescent="0.25">
      <c r="A199">
        <v>1799</v>
      </c>
      <c r="B199">
        <f>A199+1</f>
        <v>1800</v>
      </c>
      <c r="C199" t="s">
        <v>545</v>
      </c>
      <c r="D199" t="s">
        <v>27</v>
      </c>
      <c r="E199" s="208" t="s">
        <v>130</v>
      </c>
      <c r="F199" t="s">
        <v>8</v>
      </c>
      <c r="G199" s="18">
        <v>1301</v>
      </c>
      <c r="H199" t="s">
        <v>17</v>
      </c>
      <c r="I199" t="s">
        <v>18</v>
      </c>
    </row>
    <row r="200" spans="1:9" x14ac:dyDescent="0.25">
      <c r="A200">
        <v>1799</v>
      </c>
      <c r="B200">
        <f>A200+1</f>
        <v>1800</v>
      </c>
      <c r="C200" t="s">
        <v>545</v>
      </c>
      <c r="D200" t="s">
        <v>27</v>
      </c>
      <c r="E200" s="208" t="s">
        <v>132</v>
      </c>
      <c r="F200" t="s">
        <v>8</v>
      </c>
      <c r="G200" s="18">
        <v>390</v>
      </c>
      <c r="H200" t="s">
        <v>17</v>
      </c>
      <c r="I200" t="s">
        <v>18</v>
      </c>
    </row>
    <row r="201" spans="1:9" x14ac:dyDescent="0.25">
      <c r="A201">
        <v>1799</v>
      </c>
      <c r="B201">
        <f>A201+1</f>
        <v>1800</v>
      </c>
      <c r="C201" t="s">
        <v>545</v>
      </c>
      <c r="D201" t="s">
        <v>27</v>
      </c>
      <c r="E201" s="208" t="s">
        <v>142</v>
      </c>
      <c r="F201" t="s">
        <v>8</v>
      </c>
      <c r="G201" s="18">
        <v>2799</v>
      </c>
      <c r="H201" t="s">
        <v>17</v>
      </c>
      <c r="I201" t="s">
        <v>18</v>
      </c>
    </row>
    <row r="202" spans="1:9" x14ac:dyDescent="0.25">
      <c r="A202">
        <v>1799</v>
      </c>
      <c r="B202">
        <f>A202+1</f>
        <v>1800</v>
      </c>
      <c r="C202" t="s">
        <v>545</v>
      </c>
      <c r="D202" t="s">
        <v>27</v>
      </c>
      <c r="E202" s="208" t="s">
        <v>144</v>
      </c>
      <c r="F202" t="s">
        <v>8</v>
      </c>
      <c r="G202" s="18">
        <v>428</v>
      </c>
      <c r="H202" t="s">
        <v>17</v>
      </c>
      <c r="I202" t="s">
        <v>18</v>
      </c>
    </row>
    <row r="203" spans="1:9" x14ac:dyDescent="0.25">
      <c r="A203">
        <v>1799</v>
      </c>
      <c r="B203">
        <f>A203+1</f>
        <v>1800</v>
      </c>
      <c r="C203" t="s">
        <v>545</v>
      </c>
      <c r="D203" t="s">
        <v>27</v>
      </c>
      <c r="E203" s="208" t="s">
        <v>124</v>
      </c>
      <c r="F203" t="s">
        <v>8</v>
      </c>
      <c r="G203" s="18">
        <v>2285975</v>
      </c>
      <c r="H203" t="s">
        <v>17</v>
      </c>
      <c r="I203" t="s">
        <v>18</v>
      </c>
    </row>
    <row r="204" spans="1:9" x14ac:dyDescent="0.25">
      <c r="A204">
        <v>1799</v>
      </c>
      <c r="B204">
        <f>A204+1</f>
        <v>1800</v>
      </c>
      <c r="C204" t="s">
        <v>545</v>
      </c>
      <c r="D204" t="s">
        <v>27</v>
      </c>
      <c r="E204" s="209" t="s">
        <v>155</v>
      </c>
      <c r="F204" t="s">
        <v>9</v>
      </c>
      <c r="G204" s="18">
        <v>65</v>
      </c>
      <c r="H204" t="s">
        <v>17</v>
      </c>
      <c r="I204" t="s">
        <v>21</v>
      </c>
    </row>
    <row r="205" spans="1:9" x14ac:dyDescent="0.25">
      <c r="A205">
        <v>1799</v>
      </c>
      <c r="B205">
        <f>A205+1</f>
        <v>1800</v>
      </c>
      <c r="C205" t="s">
        <v>545</v>
      </c>
      <c r="D205" t="s">
        <v>27</v>
      </c>
      <c r="E205" s="208" t="s">
        <v>156</v>
      </c>
      <c r="F205" t="s">
        <v>9</v>
      </c>
      <c r="G205" s="18">
        <v>0</v>
      </c>
      <c r="H205" t="s">
        <v>17</v>
      </c>
      <c r="I205" t="s">
        <v>21</v>
      </c>
    </row>
    <row r="206" spans="1:9" x14ac:dyDescent="0.25">
      <c r="A206">
        <v>1799</v>
      </c>
      <c r="B206">
        <f>A206+1</f>
        <v>1800</v>
      </c>
      <c r="C206" t="s">
        <v>545</v>
      </c>
      <c r="D206" t="s">
        <v>27</v>
      </c>
      <c r="E206" s="208" t="s">
        <v>154</v>
      </c>
      <c r="F206" t="s">
        <v>9</v>
      </c>
      <c r="G206" s="18">
        <v>0</v>
      </c>
      <c r="H206" t="s">
        <v>17</v>
      </c>
      <c r="I206" t="s">
        <v>21</v>
      </c>
    </row>
    <row r="207" spans="1:9" x14ac:dyDescent="0.25">
      <c r="A207">
        <v>1799</v>
      </c>
      <c r="B207">
        <f>A207+1</f>
        <v>1800</v>
      </c>
      <c r="C207" t="s">
        <v>545</v>
      </c>
      <c r="D207" t="s">
        <v>27</v>
      </c>
      <c r="E207" s="208" t="s">
        <v>150</v>
      </c>
      <c r="F207" t="s">
        <v>9</v>
      </c>
      <c r="G207" s="18">
        <v>281</v>
      </c>
      <c r="H207" t="s">
        <v>17</v>
      </c>
      <c r="I207" t="s">
        <v>21</v>
      </c>
    </row>
    <row r="208" spans="1:9" x14ac:dyDescent="0.25">
      <c r="A208">
        <v>1799</v>
      </c>
      <c r="B208">
        <f>A208+1</f>
        <v>1800</v>
      </c>
      <c r="C208" t="s">
        <v>545</v>
      </c>
      <c r="D208" t="s">
        <v>27</v>
      </c>
      <c r="E208" s="208" t="s">
        <v>148</v>
      </c>
      <c r="F208" t="s">
        <v>9</v>
      </c>
      <c r="G208" s="18">
        <v>0</v>
      </c>
      <c r="H208" t="s">
        <v>17</v>
      </c>
      <c r="I208" t="s">
        <v>21</v>
      </c>
    </row>
    <row r="209" spans="1:9" x14ac:dyDescent="0.25">
      <c r="A209">
        <v>1799</v>
      </c>
      <c r="B209">
        <f>A209+1</f>
        <v>1800</v>
      </c>
      <c r="C209" t="s">
        <v>545</v>
      </c>
      <c r="D209" t="s">
        <v>27</v>
      </c>
      <c r="E209" s="208" t="s">
        <v>130</v>
      </c>
      <c r="F209" t="s">
        <v>9</v>
      </c>
      <c r="G209" s="18">
        <v>119</v>
      </c>
      <c r="H209" t="s">
        <v>17</v>
      </c>
      <c r="I209" t="s">
        <v>21</v>
      </c>
    </row>
    <row r="210" spans="1:9" x14ac:dyDescent="0.25">
      <c r="A210">
        <v>1799</v>
      </c>
      <c r="B210">
        <f>A210+1</f>
        <v>1800</v>
      </c>
      <c r="C210" t="s">
        <v>545</v>
      </c>
      <c r="D210" t="s">
        <v>27</v>
      </c>
      <c r="E210" s="208" t="s">
        <v>132</v>
      </c>
      <c r="F210" t="s">
        <v>9</v>
      </c>
      <c r="G210" s="18">
        <v>0</v>
      </c>
      <c r="H210" t="s">
        <v>17</v>
      </c>
      <c r="I210" t="s">
        <v>21</v>
      </c>
    </row>
    <row r="211" spans="1:9" x14ac:dyDescent="0.25">
      <c r="A211">
        <v>1799</v>
      </c>
      <c r="B211">
        <f>A211+1</f>
        <v>1800</v>
      </c>
      <c r="C211" t="s">
        <v>545</v>
      </c>
      <c r="D211" t="s">
        <v>27</v>
      </c>
      <c r="E211" s="208" t="s">
        <v>142</v>
      </c>
      <c r="F211" t="s">
        <v>9</v>
      </c>
      <c r="G211" s="18">
        <v>0</v>
      </c>
      <c r="H211" t="s">
        <v>17</v>
      </c>
      <c r="I211" t="s">
        <v>21</v>
      </c>
    </row>
    <row r="212" spans="1:9" x14ac:dyDescent="0.25">
      <c r="A212">
        <v>1799</v>
      </c>
      <c r="B212">
        <f>A212+1</f>
        <v>1800</v>
      </c>
      <c r="C212" t="s">
        <v>545</v>
      </c>
      <c r="D212" t="s">
        <v>27</v>
      </c>
      <c r="E212" s="208" t="s">
        <v>144</v>
      </c>
      <c r="F212" t="s">
        <v>9</v>
      </c>
      <c r="G212" s="18">
        <v>0</v>
      </c>
      <c r="H212" t="s">
        <v>17</v>
      </c>
      <c r="I212" t="s">
        <v>21</v>
      </c>
    </row>
    <row r="213" spans="1:9" x14ac:dyDescent="0.25">
      <c r="A213">
        <v>1799</v>
      </c>
      <c r="B213">
        <f>A213+1</f>
        <v>1800</v>
      </c>
      <c r="C213" t="s">
        <v>545</v>
      </c>
      <c r="D213" t="s">
        <v>27</v>
      </c>
      <c r="E213" s="208" t="s">
        <v>124</v>
      </c>
      <c r="F213" t="s">
        <v>9</v>
      </c>
      <c r="G213" s="18">
        <v>0</v>
      </c>
      <c r="H213" t="s">
        <v>17</v>
      </c>
      <c r="I213" t="s">
        <v>21</v>
      </c>
    </row>
    <row r="214" spans="1:9" x14ac:dyDescent="0.25">
      <c r="A214">
        <v>1799</v>
      </c>
      <c r="B214">
        <f>A214+1</f>
        <v>1800</v>
      </c>
      <c r="C214" t="s">
        <v>545</v>
      </c>
      <c r="D214" t="s">
        <v>27</v>
      </c>
      <c r="E214" s="209" t="s">
        <v>155</v>
      </c>
      <c r="F214" t="s">
        <v>11</v>
      </c>
      <c r="G214" s="18">
        <v>2018</v>
      </c>
      <c r="H214" t="s">
        <v>17</v>
      </c>
      <c r="I214" t="s">
        <v>23</v>
      </c>
    </row>
    <row r="215" spans="1:9" x14ac:dyDescent="0.25">
      <c r="A215">
        <v>1799</v>
      </c>
      <c r="B215">
        <f>A215+1</f>
        <v>1800</v>
      </c>
      <c r="C215" t="s">
        <v>545</v>
      </c>
      <c r="D215" t="s">
        <v>27</v>
      </c>
      <c r="E215" s="208" t="s">
        <v>156</v>
      </c>
      <c r="F215" t="s">
        <v>11</v>
      </c>
      <c r="G215" s="18">
        <v>801</v>
      </c>
      <c r="H215" t="s">
        <v>17</v>
      </c>
      <c r="I215" t="s">
        <v>23</v>
      </c>
    </row>
    <row r="216" spans="1:9" x14ac:dyDescent="0.25">
      <c r="A216">
        <v>1799</v>
      </c>
      <c r="B216">
        <f>A216+1</f>
        <v>1800</v>
      </c>
      <c r="C216" t="s">
        <v>545</v>
      </c>
      <c r="D216" t="s">
        <v>27</v>
      </c>
      <c r="E216" s="208" t="s">
        <v>154</v>
      </c>
      <c r="F216" t="s">
        <v>11</v>
      </c>
      <c r="G216" s="18">
        <v>14</v>
      </c>
      <c r="H216" t="s">
        <v>17</v>
      </c>
      <c r="I216" t="s">
        <v>23</v>
      </c>
    </row>
    <row r="217" spans="1:9" x14ac:dyDescent="0.25">
      <c r="A217">
        <v>1799</v>
      </c>
      <c r="B217">
        <f>A217+1</f>
        <v>1800</v>
      </c>
      <c r="C217" t="s">
        <v>545</v>
      </c>
      <c r="D217" t="s">
        <v>27</v>
      </c>
      <c r="E217" s="208" t="s">
        <v>150</v>
      </c>
      <c r="F217" t="s">
        <v>11</v>
      </c>
      <c r="G217" s="18">
        <v>6799</v>
      </c>
      <c r="H217" t="s">
        <v>17</v>
      </c>
      <c r="I217" t="s">
        <v>23</v>
      </c>
    </row>
    <row r="218" spans="1:9" x14ac:dyDescent="0.25">
      <c r="A218">
        <v>1799</v>
      </c>
      <c r="B218">
        <f>A218+1</f>
        <v>1800</v>
      </c>
      <c r="C218" t="s">
        <v>545</v>
      </c>
      <c r="D218" t="s">
        <v>27</v>
      </c>
      <c r="E218" s="208" t="s">
        <v>148</v>
      </c>
      <c r="F218" t="s">
        <v>11</v>
      </c>
      <c r="G218" s="18">
        <v>2</v>
      </c>
      <c r="H218" t="s">
        <v>17</v>
      </c>
      <c r="I218" t="s">
        <v>23</v>
      </c>
    </row>
    <row r="219" spans="1:9" x14ac:dyDescent="0.25">
      <c r="A219">
        <v>1799</v>
      </c>
      <c r="B219">
        <f>A219+1</f>
        <v>1800</v>
      </c>
      <c r="C219" t="s">
        <v>545</v>
      </c>
      <c r="D219" t="s">
        <v>27</v>
      </c>
      <c r="E219" s="208" t="s">
        <v>130</v>
      </c>
      <c r="F219" t="s">
        <v>11</v>
      </c>
      <c r="G219" s="18">
        <v>474</v>
      </c>
      <c r="H219" t="s">
        <v>17</v>
      </c>
      <c r="I219" t="s">
        <v>23</v>
      </c>
    </row>
    <row r="220" spans="1:9" x14ac:dyDescent="0.25">
      <c r="A220">
        <v>1799</v>
      </c>
      <c r="B220">
        <f>A220+1</f>
        <v>1800</v>
      </c>
      <c r="C220" t="s">
        <v>545</v>
      </c>
      <c r="D220" t="s">
        <v>27</v>
      </c>
      <c r="E220" s="208" t="s">
        <v>132</v>
      </c>
      <c r="F220" t="s">
        <v>11</v>
      </c>
      <c r="G220" s="18">
        <v>33</v>
      </c>
      <c r="H220" t="s">
        <v>17</v>
      </c>
      <c r="I220" t="s">
        <v>23</v>
      </c>
    </row>
    <row r="221" spans="1:9" x14ac:dyDescent="0.25">
      <c r="A221">
        <v>1799</v>
      </c>
      <c r="B221">
        <f>A221+1</f>
        <v>1800</v>
      </c>
      <c r="C221" t="s">
        <v>545</v>
      </c>
      <c r="D221" t="s">
        <v>27</v>
      </c>
      <c r="E221" s="208" t="s">
        <v>142</v>
      </c>
      <c r="F221" t="s">
        <v>11</v>
      </c>
      <c r="G221" s="18">
        <v>5727</v>
      </c>
      <c r="H221" t="s">
        <v>17</v>
      </c>
      <c r="I221" t="s">
        <v>23</v>
      </c>
    </row>
    <row r="222" spans="1:9" x14ac:dyDescent="0.25">
      <c r="A222">
        <v>1799</v>
      </c>
      <c r="B222">
        <f>A222+1</f>
        <v>1800</v>
      </c>
      <c r="C222" t="s">
        <v>545</v>
      </c>
      <c r="D222" t="s">
        <v>27</v>
      </c>
      <c r="E222" s="208" t="s">
        <v>144</v>
      </c>
      <c r="F222" t="s">
        <v>11</v>
      </c>
      <c r="G222" s="18">
        <v>87</v>
      </c>
      <c r="H222" t="s">
        <v>17</v>
      </c>
      <c r="I222" t="s">
        <v>23</v>
      </c>
    </row>
    <row r="223" spans="1:9" x14ac:dyDescent="0.25">
      <c r="A223">
        <v>1799</v>
      </c>
      <c r="B223">
        <f>A223+1</f>
        <v>1800</v>
      </c>
      <c r="C223" t="s">
        <v>545</v>
      </c>
      <c r="D223" t="s">
        <v>27</v>
      </c>
      <c r="E223" s="208" t="s">
        <v>124</v>
      </c>
      <c r="F223" t="s">
        <v>11</v>
      </c>
      <c r="G223" s="18">
        <v>188793</v>
      </c>
      <c r="H223" t="s">
        <v>17</v>
      </c>
      <c r="I223" t="s">
        <v>23</v>
      </c>
    </row>
    <row r="224" spans="1:9" x14ac:dyDescent="0.25">
      <c r="A224">
        <v>1799</v>
      </c>
      <c r="B224">
        <f>A224+1</f>
        <v>1800</v>
      </c>
      <c r="C224" t="s">
        <v>545</v>
      </c>
      <c r="D224" t="s">
        <v>27</v>
      </c>
      <c r="E224" s="209" t="s">
        <v>155</v>
      </c>
      <c r="F224" t="s">
        <v>14</v>
      </c>
      <c r="G224" s="18">
        <v>53607</v>
      </c>
      <c r="H224" t="s">
        <v>17</v>
      </c>
      <c r="I224" s="151" t="s">
        <v>562</v>
      </c>
    </row>
    <row r="225" spans="1:9" x14ac:dyDescent="0.25">
      <c r="A225">
        <v>1799</v>
      </c>
      <c r="B225">
        <f>A225+1</f>
        <v>1800</v>
      </c>
      <c r="C225" t="s">
        <v>545</v>
      </c>
      <c r="D225" t="s">
        <v>27</v>
      </c>
      <c r="E225" s="208" t="s">
        <v>156</v>
      </c>
      <c r="F225" t="s">
        <v>14</v>
      </c>
      <c r="G225" s="18">
        <v>9401</v>
      </c>
      <c r="H225" t="s">
        <v>17</v>
      </c>
      <c r="I225" s="151" t="s">
        <v>562</v>
      </c>
    </row>
    <row r="226" spans="1:9" x14ac:dyDescent="0.25">
      <c r="A226">
        <v>1799</v>
      </c>
      <c r="B226">
        <f>A226+1</f>
        <v>1800</v>
      </c>
      <c r="C226" t="s">
        <v>545</v>
      </c>
      <c r="D226" t="s">
        <v>27</v>
      </c>
      <c r="E226" s="208" t="s">
        <v>154</v>
      </c>
      <c r="F226" t="s">
        <v>14</v>
      </c>
      <c r="G226" s="18">
        <v>76</v>
      </c>
      <c r="H226" t="s">
        <v>17</v>
      </c>
      <c r="I226" s="151" t="s">
        <v>562</v>
      </c>
    </row>
    <row r="227" spans="1:9" x14ac:dyDescent="0.25">
      <c r="A227">
        <v>1799</v>
      </c>
      <c r="B227">
        <f>A227+1</f>
        <v>1800</v>
      </c>
      <c r="C227" t="s">
        <v>545</v>
      </c>
      <c r="D227" t="s">
        <v>27</v>
      </c>
      <c r="E227" s="208" t="s">
        <v>150</v>
      </c>
      <c r="F227" t="s">
        <v>14</v>
      </c>
      <c r="G227" s="18">
        <v>23958</v>
      </c>
      <c r="H227" t="s">
        <v>17</v>
      </c>
      <c r="I227" s="151" t="s">
        <v>562</v>
      </c>
    </row>
    <row r="228" spans="1:9" x14ac:dyDescent="0.25">
      <c r="A228">
        <v>1799</v>
      </c>
      <c r="B228">
        <f>A228+1</f>
        <v>1800</v>
      </c>
      <c r="C228" t="s">
        <v>545</v>
      </c>
      <c r="D228" t="s">
        <v>27</v>
      </c>
      <c r="E228" s="208" t="s">
        <v>148</v>
      </c>
      <c r="F228" t="s">
        <v>14</v>
      </c>
      <c r="G228" s="18">
        <v>645</v>
      </c>
      <c r="H228" t="s">
        <v>17</v>
      </c>
      <c r="I228" s="151" t="s">
        <v>562</v>
      </c>
    </row>
    <row r="229" spans="1:9" x14ac:dyDescent="0.25">
      <c r="A229">
        <v>1799</v>
      </c>
      <c r="B229">
        <f>A229+1</f>
        <v>1800</v>
      </c>
      <c r="C229" t="s">
        <v>545</v>
      </c>
      <c r="D229" t="s">
        <v>27</v>
      </c>
      <c r="E229" s="208" t="s">
        <v>130</v>
      </c>
      <c r="F229" t="s">
        <v>14</v>
      </c>
      <c r="G229" s="18">
        <v>1913</v>
      </c>
      <c r="H229" t="s">
        <v>17</v>
      </c>
      <c r="I229" s="151" t="s">
        <v>562</v>
      </c>
    </row>
    <row r="230" spans="1:9" x14ac:dyDescent="0.25">
      <c r="A230">
        <v>1799</v>
      </c>
      <c r="B230">
        <f>A230+1</f>
        <v>1800</v>
      </c>
      <c r="C230" t="s">
        <v>545</v>
      </c>
      <c r="D230" t="s">
        <v>27</v>
      </c>
      <c r="E230" s="208" t="s">
        <v>132</v>
      </c>
      <c r="F230" t="s">
        <v>14</v>
      </c>
      <c r="G230" s="18">
        <v>423</v>
      </c>
      <c r="H230" t="s">
        <v>17</v>
      </c>
      <c r="I230" s="151" t="s">
        <v>562</v>
      </c>
    </row>
    <row r="231" spans="1:9" x14ac:dyDescent="0.25">
      <c r="A231">
        <v>1799</v>
      </c>
      <c r="B231">
        <f>A231+1</f>
        <v>1800</v>
      </c>
      <c r="C231" t="s">
        <v>545</v>
      </c>
      <c r="D231" t="s">
        <v>27</v>
      </c>
      <c r="E231" s="208" t="s">
        <v>142</v>
      </c>
      <c r="F231" t="s">
        <v>14</v>
      </c>
      <c r="G231" s="18">
        <v>8692</v>
      </c>
      <c r="H231" t="s">
        <v>17</v>
      </c>
      <c r="I231" s="151" t="s">
        <v>562</v>
      </c>
    </row>
    <row r="232" spans="1:9" x14ac:dyDescent="0.25">
      <c r="A232">
        <v>1799</v>
      </c>
      <c r="B232">
        <f>A232+1</f>
        <v>1800</v>
      </c>
      <c r="C232" t="s">
        <v>545</v>
      </c>
      <c r="D232" t="s">
        <v>27</v>
      </c>
      <c r="E232" s="208" t="s">
        <v>144</v>
      </c>
      <c r="F232" t="s">
        <v>14</v>
      </c>
      <c r="G232" s="18">
        <v>515</v>
      </c>
      <c r="H232" t="s">
        <v>17</v>
      </c>
      <c r="I232" s="151" t="s">
        <v>562</v>
      </c>
    </row>
    <row r="233" spans="1:9" x14ac:dyDescent="0.25">
      <c r="A233">
        <v>1799</v>
      </c>
      <c r="B233">
        <f>A233+1</f>
        <v>1800</v>
      </c>
      <c r="C233" t="s">
        <v>545</v>
      </c>
      <c r="D233" t="s">
        <v>27</v>
      </c>
      <c r="E233" s="208" t="s">
        <v>124</v>
      </c>
      <c r="F233" t="s">
        <v>14</v>
      </c>
      <c r="G233" s="18">
        <v>2480921</v>
      </c>
      <c r="H233" t="s">
        <v>17</v>
      </c>
      <c r="I233" s="151" t="s">
        <v>562</v>
      </c>
    </row>
    <row r="234" spans="1:9" x14ac:dyDescent="0.25">
      <c r="A234">
        <v>1799</v>
      </c>
      <c r="B234">
        <f>A234+1</f>
        <v>1800</v>
      </c>
      <c r="C234" t="s">
        <v>545</v>
      </c>
      <c r="D234" t="s">
        <v>27</v>
      </c>
      <c r="E234" s="208" t="s">
        <v>155</v>
      </c>
      <c r="F234" t="s">
        <v>15</v>
      </c>
      <c r="G234" s="18">
        <v>96347</v>
      </c>
      <c r="H234" t="s">
        <v>561</v>
      </c>
      <c r="I234" s="151" t="s">
        <v>562</v>
      </c>
    </row>
    <row r="235" spans="1:9" x14ac:dyDescent="0.25">
      <c r="A235">
        <v>1799</v>
      </c>
      <c r="B235">
        <f>A235+1</f>
        <v>1800</v>
      </c>
      <c r="C235" t="s">
        <v>545</v>
      </c>
      <c r="D235" t="s">
        <v>27</v>
      </c>
      <c r="E235" s="208" t="s">
        <v>156</v>
      </c>
      <c r="F235" t="s">
        <v>15</v>
      </c>
      <c r="G235" s="18">
        <v>13549</v>
      </c>
      <c r="H235" t="s">
        <v>561</v>
      </c>
      <c r="I235" s="151" t="s">
        <v>562</v>
      </c>
    </row>
    <row r="236" spans="1:9" x14ac:dyDescent="0.25">
      <c r="A236">
        <v>1799</v>
      </c>
      <c r="B236">
        <f>A236+1</f>
        <v>1800</v>
      </c>
      <c r="C236" t="s">
        <v>545</v>
      </c>
      <c r="D236" t="s">
        <v>27</v>
      </c>
      <c r="E236" s="208" t="s">
        <v>154</v>
      </c>
      <c r="F236" t="s">
        <v>15</v>
      </c>
      <c r="G236" s="18">
        <v>1631</v>
      </c>
      <c r="H236" t="s">
        <v>561</v>
      </c>
      <c r="I236" s="151" t="s">
        <v>562</v>
      </c>
    </row>
    <row r="237" spans="1:9" x14ac:dyDescent="0.25">
      <c r="A237">
        <v>1799</v>
      </c>
      <c r="B237">
        <f>A237+1</f>
        <v>1800</v>
      </c>
      <c r="C237" t="s">
        <v>545</v>
      </c>
      <c r="D237" t="s">
        <v>27</v>
      </c>
      <c r="E237" s="208" t="s">
        <v>150</v>
      </c>
      <c r="F237" t="s">
        <v>15</v>
      </c>
      <c r="G237" s="18">
        <v>37166</v>
      </c>
      <c r="H237" t="s">
        <v>561</v>
      </c>
      <c r="I237" s="151" t="s">
        <v>562</v>
      </c>
    </row>
    <row r="238" spans="1:9" x14ac:dyDescent="0.25">
      <c r="A238">
        <v>1799</v>
      </c>
      <c r="B238">
        <f>A238+1</f>
        <v>1800</v>
      </c>
      <c r="C238" t="s">
        <v>545</v>
      </c>
      <c r="D238" t="s">
        <v>27</v>
      </c>
      <c r="E238" s="208" t="s">
        <v>148</v>
      </c>
      <c r="F238" t="s">
        <v>15</v>
      </c>
      <c r="G238" s="18">
        <v>1350</v>
      </c>
      <c r="H238" t="s">
        <v>561</v>
      </c>
      <c r="I238" s="151" t="s">
        <v>562</v>
      </c>
    </row>
    <row r="239" spans="1:9" x14ac:dyDescent="0.25">
      <c r="A239">
        <v>1799</v>
      </c>
      <c r="B239">
        <f>A239+1</f>
        <v>1800</v>
      </c>
      <c r="C239" t="s">
        <v>545</v>
      </c>
      <c r="D239" t="s">
        <v>27</v>
      </c>
      <c r="E239" s="208" t="s">
        <v>130</v>
      </c>
      <c r="F239" t="s">
        <v>15</v>
      </c>
      <c r="G239" s="18">
        <v>3586</v>
      </c>
      <c r="H239" t="s">
        <v>561</v>
      </c>
      <c r="I239" s="151" t="s">
        <v>562</v>
      </c>
    </row>
    <row r="240" spans="1:9" x14ac:dyDescent="0.25">
      <c r="A240">
        <v>1799</v>
      </c>
      <c r="B240">
        <f>A240+1</f>
        <v>1800</v>
      </c>
      <c r="C240" t="s">
        <v>545</v>
      </c>
      <c r="D240" t="s">
        <v>27</v>
      </c>
      <c r="E240" s="208" t="s">
        <v>132</v>
      </c>
      <c r="F240" t="s">
        <v>15</v>
      </c>
      <c r="G240" s="18">
        <v>444</v>
      </c>
      <c r="H240" t="s">
        <v>561</v>
      </c>
      <c r="I240" s="151" t="s">
        <v>562</v>
      </c>
    </row>
    <row r="241" spans="1:9" x14ac:dyDescent="0.25">
      <c r="A241">
        <v>1799</v>
      </c>
      <c r="B241">
        <f>A241+1</f>
        <v>1800</v>
      </c>
      <c r="C241" t="s">
        <v>545</v>
      </c>
      <c r="D241" t="s">
        <v>27</v>
      </c>
      <c r="E241" s="208" t="s">
        <v>142</v>
      </c>
      <c r="F241" t="s">
        <v>15</v>
      </c>
      <c r="G241" s="18">
        <v>12759</v>
      </c>
      <c r="H241" t="s">
        <v>561</v>
      </c>
      <c r="I241" s="151" t="s">
        <v>562</v>
      </c>
    </row>
    <row r="242" spans="1:9" x14ac:dyDescent="0.25">
      <c r="A242">
        <v>1799</v>
      </c>
      <c r="B242">
        <f>A242+1</f>
        <v>1800</v>
      </c>
      <c r="C242" t="s">
        <v>545</v>
      </c>
      <c r="D242" t="s">
        <v>27</v>
      </c>
      <c r="E242" s="208" t="s">
        <v>144</v>
      </c>
      <c r="F242" t="s">
        <v>15</v>
      </c>
      <c r="G242" s="18">
        <v>610</v>
      </c>
      <c r="H242" t="s">
        <v>561</v>
      </c>
      <c r="I242" s="151" t="s">
        <v>562</v>
      </c>
    </row>
    <row r="243" spans="1:9" x14ac:dyDescent="0.25">
      <c r="A243">
        <v>1799</v>
      </c>
      <c r="B243">
        <f>A243+1</f>
        <v>1800</v>
      </c>
      <c r="C243" t="s">
        <v>545</v>
      </c>
      <c r="D243" t="s">
        <v>27</v>
      </c>
      <c r="E243" s="208" t="s">
        <v>124</v>
      </c>
      <c r="F243" t="s">
        <v>15</v>
      </c>
      <c r="G243" s="18">
        <v>11116474</v>
      </c>
      <c r="H243" t="s">
        <v>561</v>
      </c>
      <c r="I243" s="151" t="s">
        <v>562</v>
      </c>
    </row>
    <row r="244" spans="1:9" x14ac:dyDescent="0.25">
      <c r="A244" s="151">
        <v>1799</v>
      </c>
      <c r="B244" s="151">
        <v>1801</v>
      </c>
      <c r="C244" s="151" t="s">
        <v>660</v>
      </c>
      <c r="D244" s="151" t="s">
        <v>26</v>
      </c>
      <c r="E244" s="208" t="s">
        <v>71</v>
      </c>
      <c r="F244" t="s">
        <v>6</v>
      </c>
      <c r="G244" s="18">
        <v>1094</v>
      </c>
      <c r="H244" t="s">
        <v>25</v>
      </c>
      <c r="I244" t="s">
        <v>16</v>
      </c>
    </row>
    <row r="245" spans="1:9" x14ac:dyDescent="0.25">
      <c r="A245" s="151">
        <v>1799</v>
      </c>
      <c r="B245" s="151">
        <v>1801</v>
      </c>
      <c r="C245" s="151" t="s">
        <v>660</v>
      </c>
      <c r="D245" s="151" t="s">
        <v>26</v>
      </c>
      <c r="E245" s="208" t="s">
        <v>72</v>
      </c>
      <c r="F245" t="s">
        <v>6</v>
      </c>
      <c r="G245" s="18">
        <v>2975</v>
      </c>
      <c r="H245" t="s">
        <v>25</v>
      </c>
      <c r="I245" t="s">
        <v>16</v>
      </c>
    </row>
    <row r="246" spans="1:9" x14ac:dyDescent="0.25">
      <c r="A246" s="151">
        <v>1799</v>
      </c>
      <c r="B246" s="151">
        <v>1801</v>
      </c>
      <c r="C246" s="151" t="s">
        <v>660</v>
      </c>
      <c r="D246" s="151" t="s">
        <v>26</v>
      </c>
      <c r="E246" s="208" t="s">
        <v>69</v>
      </c>
      <c r="F246" t="s">
        <v>6</v>
      </c>
      <c r="G246" s="18">
        <v>329</v>
      </c>
      <c r="H246" t="s">
        <v>25</v>
      </c>
      <c r="I246" t="s">
        <v>16</v>
      </c>
    </row>
    <row r="247" spans="1:9" x14ac:dyDescent="0.25">
      <c r="A247" s="151">
        <v>1799</v>
      </c>
      <c r="B247" s="151">
        <v>1801</v>
      </c>
      <c r="C247" s="151" t="s">
        <v>660</v>
      </c>
      <c r="D247" s="151" t="s">
        <v>26</v>
      </c>
      <c r="E247" s="208" t="s">
        <v>70</v>
      </c>
      <c r="F247" t="s">
        <v>6</v>
      </c>
      <c r="G247" s="18">
        <v>3074</v>
      </c>
      <c r="H247" t="s">
        <v>25</v>
      </c>
      <c r="I247" t="s">
        <v>16</v>
      </c>
    </row>
    <row r="248" spans="1:9" x14ac:dyDescent="0.25">
      <c r="A248" s="151">
        <v>1799</v>
      </c>
      <c r="B248" s="151">
        <v>1801</v>
      </c>
      <c r="C248" s="151" t="s">
        <v>660</v>
      </c>
      <c r="D248" s="151" t="s">
        <v>26</v>
      </c>
      <c r="E248" s="208" t="s">
        <v>71</v>
      </c>
      <c r="F248" t="s">
        <v>7</v>
      </c>
      <c r="G248" s="18">
        <v>1094</v>
      </c>
      <c r="H248" s="151" t="s">
        <v>563</v>
      </c>
      <c r="I248" t="s">
        <v>16</v>
      </c>
    </row>
    <row r="249" spans="1:9" x14ac:dyDescent="0.25">
      <c r="A249" s="151">
        <v>1799</v>
      </c>
      <c r="B249" s="151">
        <v>1801</v>
      </c>
      <c r="C249" s="151" t="s">
        <v>660</v>
      </c>
      <c r="D249" s="151" t="s">
        <v>26</v>
      </c>
      <c r="E249" s="208" t="s">
        <v>72</v>
      </c>
      <c r="F249" t="s">
        <v>7</v>
      </c>
      <c r="G249" s="18">
        <v>2975</v>
      </c>
      <c r="H249" s="151" t="s">
        <v>563</v>
      </c>
      <c r="I249" t="s">
        <v>16</v>
      </c>
    </row>
    <row r="250" spans="1:9" x14ac:dyDescent="0.25">
      <c r="A250" s="151">
        <v>1799</v>
      </c>
      <c r="B250" s="151">
        <v>1801</v>
      </c>
      <c r="C250" s="151" t="s">
        <v>660</v>
      </c>
      <c r="D250" s="151" t="s">
        <v>26</v>
      </c>
      <c r="E250" s="208" t="s">
        <v>69</v>
      </c>
      <c r="F250" t="s">
        <v>7</v>
      </c>
      <c r="G250" s="18">
        <v>329</v>
      </c>
      <c r="H250" s="151" t="s">
        <v>563</v>
      </c>
      <c r="I250" t="s">
        <v>16</v>
      </c>
    </row>
    <row r="251" spans="1:9" x14ac:dyDescent="0.25">
      <c r="A251" s="151">
        <v>1799</v>
      </c>
      <c r="B251" s="151">
        <v>1801</v>
      </c>
      <c r="C251" s="151" t="s">
        <v>660</v>
      </c>
      <c r="D251" s="151" t="s">
        <v>26</v>
      </c>
      <c r="E251" s="208" t="s">
        <v>70</v>
      </c>
      <c r="F251" t="s">
        <v>7</v>
      </c>
      <c r="G251" s="18">
        <v>3074</v>
      </c>
      <c r="H251" s="151" t="s">
        <v>563</v>
      </c>
      <c r="I251" t="s">
        <v>16</v>
      </c>
    </row>
    <row r="252" spans="1:9" x14ac:dyDescent="0.25">
      <c r="A252" s="151">
        <v>1799</v>
      </c>
      <c r="B252" s="151">
        <v>1801</v>
      </c>
      <c r="C252" s="151" t="s">
        <v>660</v>
      </c>
      <c r="D252" s="151" t="s">
        <v>26</v>
      </c>
      <c r="E252" s="208" t="s">
        <v>71</v>
      </c>
      <c r="F252" t="s">
        <v>13</v>
      </c>
      <c r="G252" s="18">
        <v>16</v>
      </c>
      <c r="H252" t="s">
        <v>25</v>
      </c>
      <c r="I252" t="s">
        <v>17</v>
      </c>
    </row>
    <row r="253" spans="1:9" x14ac:dyDescent="0.25">
      <c r="A253" s="151">
        <v>1799</v>
      </c>
      <c r="B253" s="151">
        <v>1801</v>
      </c>
      <c r="C253" s="151" t="s">
        <v>660</v>
      </c>
      <c r="D253" s="151" t="s">
        <v>26</v>
      </c>
      <c r="E253" s="208" t="s">
        <v>72</v>
      </c>
      <c r="F253" t="s">
        <v>13</v>
      </c>
      <c r="G253" s="18">
        <v>94</v>
      </c>
      <c r="H253" t="s">
        <v>25</v>
      </c>
      <c r="I253" t="s">
        <v>17</v>
      </c>
    </row>
    <row r="254" spans="1:9" x14ac:dyDescent="0.25">
      <c r="A254" s="151">
        <v>1799</v>
      </c>
      <c r="B254" s="151">
        <v>1801</v>
      </c>
      <c r="C254" s="151" t="s">
        <v>660</v>
      </c>
      <c r="D254" s="151" t="s">
        <v>26</v>
      </c>
      <c r="E254" s="208" t="s">
        <v>69</v>
      </c>
      <c r="F254" t="s">
        <v>13</v>
      </c>
      <c r="G254" s="18">
        <v>0</v>
      </c>
      <c r="H254" t="s">
        <v>25</v>
      </c>
      <c r="I254" t="s">
        <v>17</v>
      </c>
    </row>
    <row r="255" spans="1:9" x14ac:dyDescent="0.25">
      <c r="A255" s="151">
        <v>1799</v>
      </c>
      <c r="B255" s="151">
        <v>1801</v>
      </c>
      <c r="C255" s="151" t="s">
        <v>660</v>
      </c>
      <c r="D255" s="151" t="s">
        <v>26</v>
      </c>
      <c r="E255" s="208" t="s">
        <v>70</v>
      </c>
      <c r="F255" t="s">
        <v>13</v>
      </c>
      <c r="G255" s="18">
        <v>31</v>
      </c>
      <c r="H255" t="s">
        <v>25</v>
      </c>
      <c r="I255" t="s">
        <v>17</v>
      </c>
    </row>
    <row r="256" spans="1:9" x14ac:dyDescent="0.25">
      <c r="A256" s="151">
        <v>1799</v>
      </c>
      <c r="B256" s="151">
        <v>1801</v>
      </c>
      <c r="C256" s="151" t="s">
        <v>660</v>
      </c>
      <c r="D256" s="151" t="s">
        <v>26</v>
      </c>
      <c r="E256" s="208" t="s">
        <v>71</v>
      </c>
      <c r="F256" t="s">
        <v>14</v>
      </c>
      <c r="G256" s="18">
        <v>16</v>
      </c>
      <c r="H256" s="151" t="s">
        <v>563</v>
      </c>
      <c r="I256" t="s">
        <v>17</v>
      </c>
    </row>
    <row r="257" spans="1:9" x14ac:dyDescent="0.25">
      <c r="A257" s="151">
        <v>1799</v>
      </c>
      <c r="B257" s="151">
        <v>1801</v>
      </c>
      <c r="C257" s="151" t="s">
        <v>660</v>
      </c>
      <c r="D257" s="151" t="s">
        <v>26</v>
      </c>
      <c r="E257" s="208" t="s">
        <v>72</v>
      </c>
      <c r="F257" t="s">
        <v>14</v>
      </c>
      <c r="G257" s="18">
        <v>94</v>
      </c>
      <c r="H257" s="151" t="s">
        <v>563</v>
      </c>
      <c r="I257" t="s">
        <v>17</v>
      </c>
    </row>
    <row r="258" spans="1:9" x14ac:dyDescent="0.25">
      <c r="A258" s="151">
        <v>1799</v>
      </c>
      <c r="B258" s="151">
        <v>1801</v>
      </c>
      <c r="C258" s="151" t="s">
        <v>660</v>
      </c>
      <c r="D258" s="151" t="s">
        <v>26</v>
      </c>
      <c r="E258" s="208" t="s">
        <v>69</v>
      </c>
      <c r="F258" t="s">
        <v>14</v>
      </c>
      <c r="G258" s="18">
        <v>0</v>
      </c>
      <c r="H258" s="151" t="s">
        <v>563</v>
      </c>
      <c r="I258" t="s">
        <v>17</v>
      </c>
    </row>
    <row r="259" spans="1:9" x14ac:dyDescent="0.25">
      <c r="A259" s="151">
        <v>1799</v>
      </c>
      <c r="B259" s="151">
        <v>1801</v>
      </c>
      <c r="C259" s="151" t="s">
        <v>660</v>
      </c>
      <c r="D259" s="151" t="s">
        <v>26</v>
      </c>
      <c r="E259" s="208" t="s">
        <v>70</v>
      </c>
      <c r="F259" t="s">
        <v>14</v>
      </c>
      <c r="G259" s="18">
        <v>31</v>
      </c>
      <c r="H259" s="151" t="s">
        <v>563</v>
      </c>
      <c r="I259" t="s">
        <v>17</v>
      </c>
    </row>
    <row r="260" spans="1:9" x14ac:dyDescent="0.25">
      <c r="A260" s="151">
        <v>1799</v>
      </c>
      <c r="B260" s="151">
        <v>1801</v>
      </c>
      <c r="C260" s="151" t="s">
        <v>660</v>
      </c>
      <c r="D260" s="151" t="s">
        <v>26</v>
      </c>
      <c r="E260" s="208" t="s">
        <v>71</v>
      </c>
      <c r="F260" t="s">
        <v>15</v>
      </c>
      <c r="G260" s="18">
        <v>1110</v>
      </c>
      <c r="H260" s="151" t="s">
        <v>563</v>
      </c>
      <c r="I260" t="s">
        <v>561</v>
      </c>
    </row>
    <row r="261" spans="1:9" x14ac:dyDescent="0.25">
      <c r="A261" s="151">
        <v>1799</v>
      </c>
      <c r="B261" s="151">
        <v>1801</v>
      </c>
      <c r="C261" s="151" t="s">
        <v>660</v>
      </c>
      <c r="D261" s="151" t="s">
        <v>26</v>
      </c>
      <c r="E261" s="208" t="s">
        <v>72</v>
      </c>
      <c r="F261" t="s">
        <v>15</v>
      </c>
      <c r="G261" s="18">
        <v>3069</v>
      </c>
      <c r="H261" s="151" t="s">
        <v>563</v>
      </c>
      <c r="I261" t="s">
        <v>561</v>
      </c>
    </row>
    <row r="262" spans="1:9" x14ac:dyDescent="0.25">
      <c r="A262" s="151">
        <v>1799</v>
      </c>
      <c r="B262" s="151">
        <v>1801</v>
      </c>
      <c r="C262" s="151" t="s">
        <v>660</v>
      </c>
      <c r="D262" s="151" t="s">
        <v>26</v>
      </c>
      <c r="E262" s="208" t="s">
        <v>69</v>
      </c>
      <c r="F262" t="s">
        <v>15</v>
      </c>
      <c r="G262" s="18">
        <v>329</v>
      </c>
      <c r="H262" s="151" t="s">
        <v>563</v>
      </c>
      <c r="I262" t="s">
        <v>561</v>
      </c>
    </row>
    <row r="263" spans="1:9" x14ac:dyDescent="0.25">
      <c r="A263" s="151">
        <v>1799</v>
      </c>
      <c r="B263" s="151">
        <v>1801</v>
      </c>
      <c r="C263" s="151" t="s">
        <v>660</v>
      </c>
      <c r="D263" s="151" t="s">
        <v>26</v>
      </c>
      <c r="E263" s="208" t="s">
        <v>70</v>
      </c>
      <c r="F263" t="s">
        <v>15</v>
      </c>
      <c r="G263" s="18">
        <v>3105</v>
      </c>
      <c r="H263" s="151" t="s">
        <v>563</v>
      </c>
      <c r="I263" t="s">
        <v>561</v>
      </c>
    </row>
    <row r="264" spans="1:9" x14ac:dyDescent="0.25">
      <c r="A264">
        <v>1800</v>
      </c>
      <c r="B264">
        <f>A264+1</f>
        <v>1801</v>
      </c>
      <c r="C264" t="s">
        <v>507</v>
      </c>
      <c r="D264" t="s">
        <v>27</v>
      </c>
      <c r="E264" s="208" t="s">
        <v>155</v>
      </c>
      <c r="F264" t="s">
        <v>3</v>
      </c>
      <c r="G264" s="18">
        <v>105</v>
      </c>
      <c r="H264" t="s">
        <v>16</v>
      </c>
      <c r="I264" t="s">
        <v>24</v>
      </c>
    </row>
    <row r="265" spans="1:9" x14ac:dyDescent="0.25">
      <c r="A265">
        <v>1800</v>
      </c>
      <c r="B265">
        <f>A265+1</f>
        <v>1801</v>
      </c>
      <c r="C265" t="s">
        <v>507</v>
      </c>
      <c r="D265" t="s">
        <v>27</v>
      </c>
      <c r="E265" s="208" t="s">
        <v>156</v>
      </c>
      <c r="F265" t="s">
        <v>3</v>
      </c>
      <c r="G265" s="18">
        <v>23</v>
      </c>
      <c r="H265" t="s">
        <v>16</v>
      </c>
      <c r="I265" t="s">
        <v>24</v>
      </c>
    </row>
    <row r="266" spans="1:9" x14ac:dyDescent="0.25">
      <c r="A266">
        <v>1800</v>
      </c>
      <c r="B266">
        <f>A266+1</f>
        <v>1801</v>
      </c>
      <c r="C266" t="s">
        <v>507</v>
      </c>
      <c r="D266" t="s">
        <v>27</v>
      </c>
      <c r="E266" s="208" t="s">
        <v>154</v>
      </c>
      <c r="F266" t="s">
        <v>3</v>
      </c>
      <c r="G266" s="18">
        <v>218</v>
      </c>
      <c r="H266" t="s">
        <v>16</v>
      </c>
      <c r="I266" t="s">
        <v>24</v>
      </c>
    </row>
    <row r="267" spans="1:9" x14ac:dyDescent="0.25">
      <c r="A267">
        <v>1800</v>
      </c>
      <c r="B267">
        <f>A267+1</f>
        <v>1801</v>
      </c>
      <c r="C267" t="s">
        <v>507</v>
      </c>
      <c r="D267" t="s">
        <v>27</v>
      </c>
      <c r="E267" s="208" t="s">
        <v>150</v>
      </c>
      <c r="F267" t="s">
        <v>3</v>
      </c>
      <c r="G267" s="18">
        <v>2200</v>
      </c>
      <c r="H267" t="s">
        <v>16</v>
      </c>
      <c r="I267" t="s">
        <v>24</v>
      </c>
    </row>
    <row r="268" spans="1:9" x14ac:dyDescent="0.25">
      <c r="A268">
        <v>1800</v>
      </c>
      <c r="B268">
        <f>A268+1</f>
        <v>1801</v>
      </c>
      <c r="C268" t="s">
        <v>507</v>
      </c>
      <c r="D268" t="s">
        <v>27</v>
      </c>
      <c r="E268" s="208" t="s">
        <v>148</v>
      </c>
      <c r="F268" t="s">
        <v>3</v>
      </c>
      <c r="G268" s="18">
        <v>206</v>
      </c>
      <c r="H268" t="s">
        <v>16</v>
      </c>
      <c r="I268" t="s">
        <v>24</v>
      </c>
    </row>
    <row r="269" spans="1:9" x14ac:dyDescent="0.25">
      <c r="A269">
        <v>1800</v>
      </c>
      <c r="B269">
        <f>A269+1</f>
        <v>1801</v>
      </c>
      <c r="C269" t="s">
        <v>507</v>
      </c>
      <c r="D269" t="s">
        <v>27</v>
      </c>
      <c r="E269" s="208" t="s">
        <v>130</v>
      </c>
      <c r="F269" t="s">
        <v>3</v>
      </c>
      <c r="G269" s="18">
        <v>0</v>
      </c>
      <c r="H269" t="s">
        <v>16</v>
      </c>
      <c r="I269" t="s">
        <v>24</v>
      </c>
    </row>
    <row r="270" spans="1:9" x14ac:dyDescent="0.25">
      <c r="A270">
        <v>1800</v>
      </c>
      <c r="B270">
        <f>A270+1</f>
        <v>1801</v>
      </c>
      <c r="C270" t="s">
        <v>507</v>
      </c>
      <c r="D270" t="s">
        <v>27</v>
      </c>
      <c r="E270" s="208" t="s">
        <v>132</v>
      </c>
      <c r="F270" t="s">
        <v>3</v>
      </c>
      <c r="G270" s="18">
        <v>0</v>
      </c>
      <c r="H270" t="s">
        <v>16</v>
      </c>
      <c r="I270" t="s">
        <v>24</v>
      </c>
    </row>
    <row r="271" spans="1:9" x14ac:dyDescent="0.25">
      <c r="A271">
        <v>1800</v>
      </c>
      <c r="B271">
        <f>A271+1</f>
        <v>1801</v>
      </c>
      <c r="C271" t="s">
        <v>507</v>
      </c>
      <c r="D271" t="s">
        <v>27</v>
      </c>
      <c r="E271" s="208" t="s">
        <v>142</v>
      </c>
      <c r="F271" t="s">
        <v>3</v>
      </c>
      <c r="G271" s="18">
        <v>0</v>
      </c>
      <c r="H271" t="s">
        <v>16</v>
      </c>
      <c r="I271" t="s">
        <v>24</v>
      </c>
    </row>
    <row r="272" spans="1:9" x14ac:dyDescent="0.25">
      <c r="A272">
        <v>1800</v>
      </c>
      <c r="B272">
        <f>A272+1</f>
        <v>1801</v>
      </c>
      <c r="C272" t="s">
        <v>507</v>
      </c>
      <c r="D272" t="s">
        <v>27</v>
      </c>
      <c r="E272" s="208" t="s">
        <v>144</v>
      </c>
      <c r="F272" t="s">
        <v>3</v>
      </c>
      <c r="G272" s="18">
        <v>0</v>
      </c>
      <c r="H272" t="s">
        <v>16</v>
      </c>
      <c r="I272" t="s">
        <v>24</v>
      </c>
    </row>
    <row r="273" spans="1:9" x14ac:dyDescent="0.25">
      <c r="A273">
        <v>1800</v>
      </c>
      <c r="B273">
        <f>A273+1</f>
        <v>1801</v>
      </c>
      <c r="C273" t="s">
        <v>507</v>
      </c>
      <c r="D273" t="s">
        <v>27</v>
      </c>
      <c r="E273" s="208" t="s">
        <v>124</v>
      </c>
      <c r="F273" t="s">
        <v>3</v>
      </c>
      <c r="G273" s="18">
        <v>20152</v>
      </c>
      <c r="H273" t="s">
        <v>16</v>
      </c>
      <c r="I273" t="s">
        <v>24</v>
      </c>
    </row>
    <row r="274" spans="1:9" x14ac:dyDescent="0.25">
      <c r="A274">
        <v>1800</v>
      </c>
      <c r="B274">
        <f>A274+1</f>
        <v>1801</v>
      </c>
      <c r="C274" t="s">
        <v>507</v>
      </c>
      <c r="D274" t="s">
        <v>26</v>
      </c>
      <c r="E274" s="208" t="s">
        <v>71</v>
      </c>
      <c r="F274" t="s">
        <v>6</v>
      </c>
      <c r="G274" s="18">
        <v>2205</v>
      </c>
      <c r="H274" t="s">
        <v>25</v>
      </c>
      <c r="I274" t="s">
        <v>16</v>
      </c>
    </row>
    <row r="275" spans="1:9" x14ac:dyDescent="0.25">
      <c r="A275">
        <v>1800</v>
      </c>
      <c r="B275">
        <f>A275+1</f>
        <v>1801</v>
      </c>
      <c r="C275" t="s">
        <v>507</v>
      </c>
      <c r="D275" t="s">
        <v>26</v>
      </c>
      <c r="E275" s="208" t="s">
        <v>72</v>
      </c>
      <c r="F275" t="s">
        <v>6</v>
      </c>
      <c r="G275" s="18">
        <v>4231</v>
      </c>
      <c r="H275" t="s">
        <v>25</v>
      </c>
      <c r="I275" t="s">
        <v>16</v>
      </c>
    </row>
    <row r="276" spans="1:9" x14ac:dyDescent="0.25">
      <c r="A276">
        <v>1800</v>
      </c>
      <c r="B276">
        <f>A276+1</f>
        <v>1801</v>
      </c>
      <c r="C276" t="s">
        <v>507</v>
      </c>
      <c r="D276" t="s">
        <v>26</v>
      </c>
      <c r="E276" s="208" t="s">
        <v>69</v>
      </c>
      <c r="F276" t="s">
        <v>6</v>
      </c>
      <c r="G276" s="18">
        <v>199</v>
      </c>
      <c r="H276" t="s">
        <v>25</v>
      </c>
      <c r="I276" t="s">
        <v>16</v>
      </c>
    </row>
    <row r="277" spans="1:9" x14ac:dyDescent="0.25">
      <c r="A277">
        <v>1800</v>
      </c>
      <c r="B277">
        <f>A277+1</f>
        <v>1801</v>
      </c>
      <c r="C277" t="s">
        <v>507</v>
      </c>
      <c r="D277" t="s">
        <v>26</v>
      </c>
      <c r="E277" s="208" t="s">
        <v>70</v>
      </c>
      <c r="F277" t="s">
        <v>6</v>
      </c>
      <c r="G277" s="18">
        <v>3601</v>
      </c>
      <c r="H277" t="s">
        <v>25</v>
      </c>
      <c r="I277" t="s">
        <v>16</v>
      </c>
    </row>
    <row r="278" spans="1:9" x14ac:dyDescent="0.25">
      <c r="A278">
        <v>1800</v>
      </c>
      <c r="B278">
        <f>A278+1</f>
        <v>1801</v>
      </c>
      <c r="C278" t="s">
        <v>507</v>
      </c>
      <c r="D278" t="s">
        <v>27</v>
      </c>
      <c r="E278" s="208" t="s">
        <v>155</v>
      </c>
      <c r="F278" t="s">
        <v>0</v>
      </c>
      <c r="G278" s="18">
        <v>53915</v>
      </c>
      <c r="H278" t="s">
        <v>16</v>
      </c>
      <c r="I278" t="s">
        <v>18</v>
      </c>
    </row>
    <row r="279" spans="1:9" x14ac:dyDescent="0.25">
      <c r="A279">
        <v>1800</v>
      </c>
      <c r="B279">
        <f>A279+1</f>
        <v>1801</v>
      </c>
      <c r="C279" t="s">
        <v>507</v>
      </c>
      <c r="D279" t="s">
        <v>27</v>
      </c>
      <c r="E279" s="208" t="s">
        <v>156</v>
      </c>
      <c r="F279" t="s">
        <v>0</v>
      </c>
      <c r="G279" s="18">
        <v>7646</v>
      </c>
      <c r="H279" t="s">
        <v>16</v>
      </c>
      <c r="I279" t="s">
        <v>18</v>
      </c>
    </row>
    <row r="280" spans="1:9" x14ac:dyDescent="0.25">
      <c r="A280">
        <v>1800</v>
      </c>
      <c r="B280">
        <f>A280+1</f>
        <v>1801</v>
      </c>
      <c r="C280" t="s">
        <v>507</v>
      </c>
      <c r="D280" t="s">
        <v>27</v>
      </c>
      <c r="E280" s="208" t="s">
        <v>154</v>
      </c>
      <c r="F280" t="s">
        <v>0</v>
      </c>
      <c r="G280" s="18">
        <v>814</v>
      </c>
      <c r="H280" t="s">
        <v>16</v>
      </c>
      <c r="I280" t="s">
        <v>18</v>
      </c>
    </row>
    <row r="281" spans="1:9" x14ac:dyDescent="0.25">
      <c r="A281">
        <v>1800</v>
      </c>
      <c r="B281">
        <f>A281+1</f>
        <v>1801</v>
      </c>
      <c r="C281" t="s">
        <v>507</v>
      </c>
      <c r="D281" t="s">
        <v>27</v>
      </c>
      <c r="E281" s="208" t="s">
        <v>150</v>
      </c>
      <c r="F281" t="s">
        <v>0</v>
      </c>
      <c r="G281" s="18">
        <v>8822</v>
      </c>
      <c r="H281" t="s">
        <v>16</v>
      </c>
      <c r="I281" t="s">
        <v>18</v>
      </c>
    </row>
    <row r="282" spans="1:9" x14ac:dyDescent="0.25">
      <c r="A282">
        <v>1800</v>
      </c>
      <c r="B282">
        <f>A282+1</f>
        <v>1801</v>
      </c>
      <c r="C282" t="s">
        <v>507</v>
      </c>
      <c r="D282" t="s">
        <v>27</v>
      </c>
      <c r="E282" s="208" t="s">
        <v>148</v>
      </c>
      <c r="F282" t="s">
        <v>0</v>
      </c>
      <c r="G282" s="18">
        <v>466</v>
      </c>
      <c r="H282" t="s">
        <v>16</v>
      </c>
      <c r="I282" t="s">
        <v>18</v>
      </c>
    </row>
    <row r="283" spans="1:9" x14ac:dyDescent="0.25">
      <c r="A283">
        <v>1800</v>
      </c>
      <c r="B283">
        <f>A283+1</f>
        <v>1801</v>
      </c>
      <c r="C283" t="s">
        <v>507</v>
      </c>
      <c r="D283" t="s">
        <v>27</v>
      </c>
      <c r="E283" s="208" t="s">
        <v>130</v>
      </c>
      <c r="F283" t="s">
        <v>0</v>
      </c>
      <c r="G283" s="18">
        <v>0</v>
      </c>
      <c r="H283" t="s">
        <v>16</v>
      </c>
      <c r="I283" t="s">
        <v>18</v>
      </c>
    </row>
    <row r="284" spans="1:9" x14ac:dyDescent="0.25">
      <c r="A284">
        <v>1800</v>
      </c>
      <c r="B284">
        <f>A284+1</f>
        <v>1801</v>
      </c>
      <c r="C284" t="s">
        <v>507</v>
      </c>
      <c r="D284" t="s">
        <v>27</v>
      </c>
      <c r="E284" s="208" t="s">
        <v>132</v>
      </c>
      <c r="F284" t="s">
        <v>0</v>
      </c>
      <c r="G284" s="18">
        <v>12</v>
      </c>
      <c r="H284" t="s">
        <v>16</v>
      </c>
      <c r="I284" t="s">
        <v>18</v>
      </c>
    </row>
    <row r="285" spans="1:9" x14ac:dyDescent="0.25">
      <c r="A285">
        <v>1800</v>
      </c>
      <c r="B285">
        <f>A285+1</f>
        <v>1801</v>
      </c>
      <c r="C285" t="s">
        <v>507</v>
      </c>
      <c r="D285" t="s">
        <v>27</v>
      </c>
      <c r="E285" s="208" t="s">
        <v>142</v>
      </c>
      <c r="F285" t="s">
        <v>0</v>
      </c>
      <c r="G285" s="18">
        <v>3430</v>
      </c>
      <c r="H285" t="s">
        <v>16</v>
      </c>
      <c r="I285" t="s">
        <v>18</v>
      </c>
    </row>
    <row r="286" spans="1:9" x14ac:dyDescent="0.25">
      <c r="A286">
        <v>1800</v>
      </c>
      <c r="B286">
        <f>A286+1</f>
        <v>1801</v>
      </c>
      <c r="C286" t="s">
        <v>507</v>
      </c>
      <c r="D286" t="s">
        <v>27</v>
      </c>
      <c r="E286" s="208" t="s">
        <v>144</v>
      </c>
      <c r="F286" t="s">
        <v>0</v>
      </c>
      <c r="G286" s="18">
        <v>137</v>
      </c>
      <c r="H286" t="s">
        <v>16</v>
      </c>
      <c r="I286" t="s">
        <v>18</v>
      </c>
    </row>
    <row r="287" spans="1:9" x14ac:dyDescent="0.25">
      <c r="A287">
        <v>1800</v>
      </c>
      <c r="B287">
        <f>A287+1</f>
        <v>1801</v>
      </c>
      <c r="C287" t="s">
        <v>507</v>
      </c>
      <c r="D287" t="s">
        <v>27</v>
      </c>
      <c r="E287" s="208" t="s">
        <v>124</v>
      </c>
      <c r="F287" t="s">
        <v>0</v>
      </c>
      <c r="G287" s="18">
        <v>9354731</v>
      </c>
      <c r="H287" t="s">
        <v>16</v>
      </c>
      <c r="I287" t="s">
        <v>18</v>
      </c>
    </row>
    <row r="288" spans="1:9" x14ac:dyDescent="0.25">
      <c r="A288">
        <v>1800</v>
      </c>
      <c r="B288">
        <f>A288+1</f>
        <v>1801</v>
      </c>
      <c r="C288" t="s">
        <v>507</v>
      </c>
      <c r="D288" t="s">
        <v>27</v>
      </c>
      <c r="E288" s="208" t="s">
        <v>155</v>
      </c>
      <c r="F288" t="s">
        <v>1</v>
      </c>
      <c r="G288" s="18">
        <v>2467</v>
      </c>
      <c r="H288" t="s">
        <v>16</v>
      </c>
      <c r="I288" t="s">
        <v>21</v>
      </c>
    </row>
    <row r="289" spans="1:9" x14ac:dyDescent="0.25">
      <c r="A289">
        <v>1800</v>
      </c>
      <c r="B289">
        <f>A289+1</f>
        <v>1801</v>
      </c>
      <c r="C289" t="s">
        <v>507</v>
      </c>
      <c r="D289" t="s">
        <v>27</v>
      </c>
      <c r="E289" s="208" t="s">
        <v>156</v>
      </c>
      <c r="F289" t="s">
        <v>1</v>
      </c>
      <c r="G289" s="18">
        <v>398</v>
      </c>
      <c r="H289" t="s">
        <v>16</v>
      </c>
      <c r="I289" t="s">
        <v>21</v>
      </c>
    </row>
    <row r="290" spans="1:9" x14ac:dyDescent="0.25">
      <c r="A290">
        <v>1800</v>
      </c>
      <c r="B290">
        <f>A290+1</f>
        <v>1801</v>
      </c>
      <c r="C290" t="s">
        <v>507</v>
      </c>
      <c r="D290" t="s">
        <v>27</v>
      </c>
      <c r="E290" s="208" t="s">
        <v>154</v>
      </c>
      <c r="F290" t="s">
        <v>1</v>
      </c>
      <c r="G290" s="18">
        <v>928</v>
      </c>
      <c r="H290" t="s">
        <v>16</v>
      </c>
      <c r="I290" t="s">
        <v>21</v>
      </c>
    </row>
    <row r="291" spans="1:9" x14ac:dyDescent="0.25">
      <c r="A291">
        <v>1800</v>
      </c>
      <c r="B291">
        <f>A291+1</f>
        <v>1801</v>
      </c>
      <c r="C291" t="s">
        <v>507</v>
      </c>
      <c r="D291" t="s">
        <v>27</v>
      </c>
      <c r="E291" s="208" t="s">
        <v>150</v>
      </c>
      <c r="F291" t="s">
        <v>1</v>
      </c>
      <c r="G291" s="18">
        <v>2109</v>
      </c>
      <c r="H291" t="s">
        <v>16</v>
      </c>
      <c r="I291" t="s">
        <v>21</v>
      </c>
    </row>
    <row r="292" spans="1:9" x14ac:dyDescent="0.25">
      <c r="A292">
        <v>1800</v>
      </c>
      <c r="B292">
        <f>A292+1</f>
        <v>1801</v>
      </c>
      <c r="C292" t="s">
        <v>507</v>
      </c>
      <c r="D292" t="s">
        <v>27</v>
      </c>
      <c r="E292" s="208" t="s">
        <v>148</v>
      </c>
      <c r="F292" t="s">
        <v>1</v>
      </c>
      <c r="G292" s="18">
        <v>190</v>
      </c>
      <c r="H292" t="s">
        <v>16</v>
      </c>
      <c r="I292" t="s">
        <v>21</v>
      </c>
    </row>
    <row r="293" spans="1:9" x14ac:dyDescent="0.25">
      <c r="A293">
        <v>1800</v>
      </c>
      <c r="B293">
        <f>A293+1</f>
        <v>1801</v>
      </c>
      <c r="C293" t="s">
        <v>507</v>
      </c>
      <c r="D293" t="s">
        <v>27</v>
      </c>
      <c r="E293" s="208" t="s">
        <v>130</v>
      </c>
      <c r="F293" t="s">
        <v>1</v>
      </c>
      <c r="G293" s="18">
        <v>23</v>
      </c>
      <c r="H293" t="s">
        <v>16</v>
      </c>
      <c r="I293" t="s">
        <v>21</v>
      </c>
    </row>
    <row r="294" spans="1:9" x14ac:dyDescent="0.25">
      <c r="A294">
        <v>1800</v>
      </c>
      <c r="B294">
        <f>A294+1</f>
        <v>1801</v>
      </c>
      <c r="C294" t="s">
        <v>507</v>
      </c>
      <c r="D294" t="s">
        <v>27</v>
      </c>
      <c r="E294" s="208" t="s">
        <v>132</v>
      </c>
      <c r="F294" t="s">
        <v>1</v>
      </c>
      <c r="G294" s="18">
        <v>0</v>
      </c>
      <c r="H294" t="s">
        <v>16</v>
      </c>
      <c r="I294" t="s">
        <v>21</v>
      </c>
    </row>
    <row r="295" spans="1:9" x14ac:dyDescent="0.25">
      <c r="A295">
        <v>1800</v>
      </c>
      <c r="B295">
        <f>A295+1</f>
        <v>1801</v>
      </c>
      <c r="C295" t="s">
        <v>507</v>
      </c>
      <c r="D295" t="s">
        <v>27</v>
      </c>
      <c r="E295" s="208" t="s">
        <v>142</v>
      </c>
      <c r="F295" t="s">
        <v>1</v>
      </c>
      <c r="G295" s="18">
        <v>0</v>
      </c>
      <c r="H295" t="s">
        <v>16</v>
      </c>
      <c r="I295" t="s">
        <v>21</v>
      </c>
    </row>
    <row r="296" spans="1:9" x14ac:dyDescent="0.25">
      <c r="A296">
        <v>1800</v>
      </c>
      <c r="B296">
        <f>A296+1</f>
        <v>1801</v>
      </c>
      <c r="C296" t="s">
        <v>507</v>
      </c>
      <c r="D296" t="s">
        <v>27</v>
      </c>
      <c r="E296" s="208" t="s">
        <v>144</v>
      </c>
      <c r="F296" t="s">
        <v>1</v>
      </c>
      <c r="G296" s="18">
        <v>4</v>
      </c>
      <c r="H296" t="s">
        <v>16</v>
      </c>
      <c r="I296" t="s">
        <v>21</v>
      </c>
    </row>
    <row r="297" spans="1:9" x14ac:dyDescent="0.25">
      <c r="A297">
        <v>1800</v>
      </c>
      <c r="B297">
        <f>A297+1</f>
        <v>1801</v>
      </c>
      <c r="C297" t="s">
        <v>507</v>
      </c>
      <c r="D297" t="s">
        <v>27</v>
      </c>
      <c r="E297" s="208" t="s">
        <v>124</v>
      </c>
      <c r="F297" t="s">
        <v>1</v>
      </c>
      <c r="G297" s="18">
        <v>40025</v>
      </c>
      <c r="H297" t="s">
        <v>16</v>
      </c>
      <c r="I297" t="s">
        <v>21</v>
      </c>
    </row>
    <row r="298" spans="1:9" x14ac:dyDescent="0.25">
      <c r="A298">
        <v>1800</v>
      </c>
      <c r="B298">
        <f>A298+1</f>
        <v>1801</v>
      </c>
      <c r="C298" t="s">
        <v>507</v>
      </c>
      <c r="D298" t="s">
        <v>27</v>
      </c>
      <c r="E298" s="208" t="s">
        <v>155</v>
      </c>
      <c r="F298" t="s">
        <v>4</v>
      </c>
      <c r="G298" s="18">
        <v>1411</v>
      </c>
      <c r="H298" t="s">
        <v>16</v>
      </c>
      <c r="I298" t="s">
        <v>23</v>
      </c>
    </row>
    <row r="299" spans="1:9" x14ac:dyDescent="0.25">
      <c r="A299">
        <v>1800</v>
      </c>
      <c r="B299">
        <f>A299+1</f>
        <v>1801</v>
      </c>
      <c r="C299" t="s">
        <v>507</v>
      </c>
      <c r="D299" t="s">
        <v>27</v>
      </c>
      <c r="E299" s="208" t="s">
        <v>156</v>
      </c>
      <c r="F299" t="s">
        <v>4</v>
      </c>
      <c r="G299" s="18">
        <v>328</v>
      </c>
      <c r="H299" t="s">
        <v>16</v>
      </c>
      <c r="I299" t="s">
        <v>23</v>
      </c>
    </row>
    <row r="300" spans="1:9" x14ac:dyDescent="0.25">
      <c r="A300">
        <v>1800</v>
      </c>
      <c r="B300">
        <f>A300+1</f>
        <v>1801</v>
      </c>
      <c r="C300" t="s">
        <v>507</v>
      </c>
      <c r="D300" t="s">
        <v>27</v>
      </c>
      <c r="E300" s="208" t="s">
        <v>154</v>
      </c>
      <c r="F300" t="s">
        <v>4</v>
      </c>
      <c r="G300" s="18">
        <v>312</v>
      </c>
      <c r="H300" t="s">
        <v>16</v>
      </c>
      <c r="I300" t="s">
        <v>23</v>
      </c>
    </row>
    <row r="301" spans="1:9" x14ac:dyDescent="0.25">
      <c r="A301">
        <v>1800</v>
      </c>
      <c r="B301">
        <f>A301+1</f>
        <v>1801</v>
      </c>
      <c r="C301" t="s">
        <v>507</v>
      </c>
      <c r="D301" t="s">
        <v>27</v>
      </c>
      <c r="E301" s="208" t="s">
        <v>150</v>
      </c>
      <c r="F301" t="s">
        <v>4</v>
      </c>
      <c r="G301" s="18">
        <v>5065</v>
      </c>
      <c r="H301" t="s">
        <v>16</v>
      </c>
      <c r="I301" t="s">
        <v>23</v>
      </c>
    </row>
    <row r="302" spans="1:9" x14ac:dyDescent="0.25">
      <c r="A302">
        <v>1800</v>
      </c>
      <c r="B302">
        <f>A302+1</f>
        <v>1801</v>
      </c>
      <c r="C302" t="s">
        <v>507</v>
      </c>
      <c r="D302" t="s">
        <v>27</v>
      </c>
      <c r="E302" s="208" t="s">
        <v>148</v>
      </c>
      <c r="F302" t="s">
        <v>4</v>
      </c>
      <c r="G302" s="18">
        <v>31</v>
      </c>
      <c r="H302" t="s">
        <v>16</v>
      </c>
      <c r="I302" t="s">
        <v>23</v>
      </c>
    </row>
    <row r="303" spans="1:9" x14ac:dyDescent="0.25">
      <c r="A303">
        <v>1800</v>
      </c>
      <c r="B303">
        <f>A303+1</f>
        <v>1801</v>
      </c>
      <c r="C303" t="s">
        <v>507</v>
      </c>
      <c r="D303" t="s">
        <v>27</v>
      </c>
      <c r="E303" s="208" t="s">
        <v>130</v>
      </c>
      <c r="F303" t="s">
        <v>4</v>
      </c>
      <c r="G303" s="18">
        <v>65</v>
      </c>
      <c r="H303" t="s">
        <v>16</v>
      </c>
      <c r="I303" t="s">
        <v>23</v>
      </c>
    </row>
    <row r="304" spans="1:9" x14ac:dyDescent="0.25">
      <c r="A304">
        <v>1800</v>
      </c>
      <c r="B304">
        <f>A304+1</f>
        <v>1801</v>
      </c>
      <c r="C304" t="s">
        <v>507</v>
      </c>
      <c r="D304" t="s">
        <v>27</v>
      </c>
      <c r="E304" s="208" t="s">
        <v>132</v>
      </c>
      <c r="F304" t="s">
        <v>4</v>
      </c>
      <c r="G304" s="18">
        <v>0</v>
      </c>
      <c r="H304" t="s">
        <v>16</v>
      </c>
      <c r="I304" t="s">
        <v>23</v>
      </c>
    </row>
    <row r="305" spans="1:9" x14ac:dyDescent="0.25">
      <c r="A305">
        <v>1800</v>
      </c>
      <c r="B305">
        <f>A305+1</f>
        <v>1801</v>
      </c>
      <c r="C305" t="s">
        <v>507</v>
      </c>
      <c r="D305" t="s">
        <v>27</v>
      </c>
      <c r="E305" s="208" t="s">
        <v>142</v>
      </c>
      <c r="F305" t="s">
        <v>4</v>
      </c>
      <c r="G305" s="18">
        <v>104</v>
      </c>
      <c r="H305" t="s">
        <v>16</v>
      </c>
      <c r="I305" t="s">
        <v>23</v>
      </c>
    </row>
    <row r="306" spans="1:9" x14ac:dyDescent="0.25">
      <c r="A306">
        <v>1800</v>
      </c>
      <c r="B306">
        <f>A306+1</f>
        <v>1801</v>
      </c>
      <c r="C306" t="s">
        <v>507</v>
      </c>
      <c r="D306" t="s">
        <v>27</v>
      </c>
      <c r="E306" s="208" t="s">
        <v>144</v>
      </c>
      <c r="F306" t="s">
        <v>4</v>
      </c>
      <c r="G306" s="18">
        <v>132</v>
      </c>
      <c r="H306" t="s">
        <v>16</v>
      </c>
      <c r="I306" t="s">
        <v>23</v>
      </c>
    </row>
    <row r="307" spans="1:9" x14ac:dyDescent="0.25">
      <c r="A307">
        <v>1800</v>
      </c>
      <c r="B307">
        <f>A307+1</f>
        <v>1801</v>
      </c>
      <c r="C307" t="s">
        <v>507</v>
      </c>
      <c r="D307" t="s">
        <v>27</v>
      </c>
      <c r="E307" s="208" t="s">
        <v>124</v>
      </c>
      <c r="F307" t="s">
        <v>4</v>
      </c>
      <c r="G307" s="18">
        <v>577951</v>
      </c>
      <c r="H307" t="s">
        <v>16</v>
      </c>
      <c r="I307" t="s">
        <v>23</v>
      </c>
    </row>
    <row r="308" spans="1:9" x14ac:dyDescent="0.25">
      <c r="A308">
        <v>1800</v>
      </c>
      <c r="B308">
        <f>A308+1</f>
        <v>1801</v>
      </c>
      <c r="C308" t="s">
        <v>507</v>
      </c>
      <c r="D308" t="s">
        <v>27</v>
      </c>
      <c r="E308" s="208" t="s">
        <v>155</v>
      </c>
      <c r="F308" t="s">
        <v>7</v>
      </c>
      <c r="G308" s="18">
        <v>57898</v>
      </c>
      <c r="H308" t="s">
        <v>16</v>
      </c>
      <c r="I308" s="151" t="s">
        <v>562</v>
      </c>
    </row>
    <row r="309" spans="1:9" x14ac:dyDescent="0.25">
      <c r="A309">
        <v>1800</v>
      </c>
      <c r="B309">
        <f>A309+1</f>
        <v>1801</v>
      </c>
      <c r="C309" t="s">
        <v>507</v>
      </c>
      <c r="D309" t="s">
        <v>27</v>
      </c>
      <c r="E309" s="208" t="s">
        <v>156</v>
      </c>
      <c r="F309" t="s">
        <v>7</v>
      </c>
      <c r="G309" s="18">
        <v>8395</v>
      </c>
      <c r="H309" t="s">
        <v>16</v>
      </c>
      <c r="I309" s="151" t="s">
        <v>562</v>
      </c>
    </row>
    <row r="310" spans="1:9" x14ac:dyDescent="0.25">
      <c r="A310">
        <v>1800</v>
      </c>
      <c r="B310">
        <f>A310+1</f>
        <v>1801</v>
      </c>
      <c r="C310" t="s">
        <v>507</v>
      </c>
      <c r="D310" t="s">
        <v>27</v>
      </c>
      <c r="E310" s="208" t="s">
        <v>154</v>
      </c>
      <c r="F310" t="s">
        <v>7</v>
      </c>
      <c r="G310" s="18">
        <v>2272</v>
      </c>
      <c r="H310" t="s">
        <v>16</v>
      </c>
      <c r="I310" s="151" t="s">
        <v>562</v>
      </c>
    </row>
    <row r="311" spans="1:9" x14ac:dyDescent="0.25">
      <c r="A311">
        <v>1800</v>
      </c>
      <c r="B311">
        <f>A311+1</f>
        <v>1801</v>
      </c>
      <c r="C311" t="s">
        <v>507</v>
      </c>
      <c r="D311" t="s">
        <v>27</v>
      </c>
      <c r="E311" s="208" t="s">
        <v>150</v>
      </c>
      <c r="F311" t="s">
        <v>7</v>
      </c>
      <c r="G311" s="18">
        <v>18196</v>
      </c>
      <c r="H311" t="s">
        <v>16</v>
      </c>
      <c r="I311" s="151" t="s">
        <v>562</v>
      </c>
    </row>
    <row r="312" spans="1:9" x14ac:dyDescent="0.25">
      <c r="A312">
        <v>1800</v>
      </c>
      <c r="B312">
        <f>A312+1</f>
        <v>1801</v>
      </c>
      <c r="C312" t="s">
        <v>507</v>
      </c>
      <c r="D312" t="s">
        <v>27</v>
      </c>
      <c r="E312" s="208" t="s">
        <v>148</v>
      </c>
      <c r="F312" t="s">
        <v>7</v>
      </c>
      <c r="G312" s="18">
        <v>893</v>
      </c>
      <c r="H312" t="s">
        <v>16</v>
      </c>
      <c r="I312" s="151" t="s">
        <v>562</v>
      </c>
    </row>
    <row r="313" spans="1:9" x14ac:dyDescent="0.25">
      <c r="A313">
        <v>1800</v>
      </c>
      <c r="B313">
        <f>A313+1</f>
        <v>1801</v>
      </c>
      <c r="C313" t="s">
        <v>507</v>
      </c>
      <c r="D313" t="s">
        <v>27</v>
      </c>
      <c r="E313" s="208" t="s">
        <v>130</v>
      </c>
      <c r="F313" t="s">
        <v>7</v>
      </c>
      <c r="G313" s="18">
        <v>88</v>
      </c>
      <c r="H313" t="s">
        <v>16</v>
      </c>
      <c r="I313" s="151" t="s">
        <v>562</v>
      </c>
    </row>
    <row r="314" spans="1:9" x14ac:dyDescent="0.25">
      <c r="A314">
        <v>1800</v>
      </c>
      <c r="B314">
        <f>A314+1</f>
        <v>1801</v>
      </c>
      <c r="C314" t="s">
        <v>507</v>
      </c>
      <c r="D314" t="s">
        <v>27</v>
      </c>
      <c r="E314" s="208" t="s">
        <v>132</v>
      </c>
      <c r="F314" t="s">
        <v>7</v>
      </c>
      <c r="G314" s="18">
        <v>12</v>
      </c>
      <c r="H314" t="s">
        <v>16</v>
      </c>
      <c r="I314" s="151" t="s">
        <v>562</v>
      </c>
    </row>
    <row r="315" spans="1:9" x14ac:dyDescent="0.25">
      <c r="A315">
        <v>1800</v>
      </c>
      <c r="B315">
        <f>A315+1</f>
        <v>1801</v>
      </c>
      <c r="C315" t="s">
        <v>507</v>
      </c>
      <c r="D315" t="s">
        <v>27</v>
      </c>
      <c r="E315" s="208" t="s">
        <v>142</v>
      </c>
      <c r="F315" t="s">
        <v>7</v>
      </c>
      <c r="G315" s="18">
        <v>3534</v>
      </c>
      <c r="H315" t="s">
        <v>16</v>
      </c>
      <c r="I315" s="151" t="s">
        <v>562</v>
      </c>
    </row>
    <row r="316" spans="1:9" x14ac:dyDescent="0.25">
      <c r="A316">
        <v>1800</v>
      </c>
      <c r="B316">
        <f>A316+1</f>
        <v>1801</v>
      </c>
      <c r="C316" t="s">
        <v>507</v>
      </c>
      <c r="D316" t="s">
        <v>27</v>
      </c>
      <c r="E316" s="208" t="s">
        <v>144</v>
      </c>
      <c r="F316" t="s">
        <v>7</v>
      </c>
      <c r="G316" s="18">
        <v>273</v>
      </c>
      <c r="H316" t="s">
        <v>16</v>
      </c>
      <c r="I316" s="151" t="s">
        <v>562</v>
      </c>
    </row>
    <row r="317" spans="1:9" x14ac:dyDescent="0.25">
      <c r="A317">
        <v>1800</v>
      </c>
      <c r="B317">
        <f>A317+1</f>
        <v>1801</v>
      </c>
      <c r="C317" t="s">
        <v>507</v>
      </c>
      <c r="D317" t="s">
        <v>27</v>
      </c>
      <c r="E317" s="208" t="s">
        <v>124</v>
      </c>
      <c r="F317" t="s">
        <v>7</v>
      </c>
      <c r="G317" s="18">
        <v>9992859</v>
      </c>
      <c r="H317" t="s">
        <v>16</v>
      </c>
      <c r="I317" s="151" t="s">
        <v>562</v>
      </c>
    </row>
    <row r="318" spans="1:9" x14ac:dyDescent="0.25">
      <c r="A318">
        <v>1800</v>
      </c>
      <c r="B318">
        <f>A318+1</f>
        <v>1801</v>
      </c>
      <c r="C318" t="s">
        <v>507</v>
      </c>
      <c r="D318" t="s">
        <v>26</v>
      </c>
      <c r="E318" s="208" t="s">
        <v>71</v>
      </c>
      <c r="F318" t="s">
        <v>7</v>
      </c>
      <c r="G318" s="18">
        <v>2205</v>
      </c>
      <c r="H318" s="151" t="s">
        <v>563</v>
      </c>
      <c r="I318" t="s">
        <v>16</v>
      </c>
    </row>
    <row r="319" spans="1:9" x14ac:dyDescent="0.25">
      <c r="A319">
        <v>1800</v>
      </c>
      <c r="B319">
        <f>A319+1</f>
        <v>1801</v>
      </c>
      <c r="C319" t="s">
        <v>507</v>
      </c>
      <c r="D319" t="s">
        <v>26</v>
      </c>
      <c r="E319" s="208" t="s">
        <v>72</v>
      </c>
      <c r="F319" t="s">
        <v>7</v>
      </c>
      <c r="G319" s="18">
        <v>4231</v>
      </c>
      <c r="H319" s="151" t="s">
        <v>563</v>
      </c>
      <c r="I319" t="s">
        <v>16</v>
      </c>
    </row>
    <row r="320" spans="1:9" x14ac:dyDescent="0.25">
      <c r="A320">
        <v>1800</v>
      </c>
      <c r="B320">
        <f>A320+1</f>
        <v>1801</v>
      </c>
      <c r="C320" t="s">
        <v>507</v>
      </c>
      <c r="D320" t="s">
        <v>26</v>
      </c>
      <c r="E320" s="208" t="s">
        <v>69</v>
      </c>
      <c r="F320" t="s">
        <v>7</v>
      </c>
      <c r="G320" s="18">
        <v>199</v>
      </c>
      <c r="H320" s="151" t="s">
        <v>563</v>
      </c>
      <c r="I320" t="s">
        <v>16</v>
      </c>
    </row>
    <row r="321" spans="1:9" x14ac:dyDescent="0.25">
      <c r="A321">
        <v>1800</v>
      </c>
      <c r="B321">
        <f>A321+1</f>
        <v>1801</v>
      </c>
      <c r="C321" t="s">
        <v>507</v>
      </c>
      <c r="D321" t="s">
        <v>26</v>
      </c>
      <c r="E321" s="208" t="s">
        <v>70</v>
      </c>
      <c r="F321" t="s">
        <v>7</v>
      </c>
      <c r="G321" s="18">
        <v>3601</v>
      </c>
      <c r="H321" s="151" t="s">
        <v>563</v>
      </c>
      <c r="I321" t="s">
        <v>16</v>
      </c>
    </row>
    <row r="322" spans="1:9" x14ac:dyDescent="0.25">
      <c r="A322">
        <v>1800</v>
      </c>
      <c r="B322">
        <f>A322+1</f>
        <v>1801</v>
      </c>
      <c r="C322" t="s">
        <v>507</v>
      </c>
      <c r="D322" t="s">
        <v>27</v>
      </c>
      <c r="E322" s="208" t="s">
        <v>155</v>
      </c>
      <c r="F322" t="s">
        <v>10</v>
      </c>
      <c r="G322" s="18">
        <v>95</v>
      </c>
      <c r="H322" t="s">
        <v>17</v>
      </c>
      <c r="I322" t="s">
        <v>24</v>
      </c>
    </row>
    <row r="323" spans="1:9" x14ac:dyDescent="0.25">
      <c r="A323">
        <v>1800</v>
      </c>
      <c r="B323">
        <f>A323+1</f>
        <v>1801</v>
      </c>
      <c r="C323" t="s">
        <v>507</v>
      </c>
      <c r="D323" t="s">
        <v>27</v>
      </c>
      <c r="E323" s="208" t="s">
        <v>156</v>
      </c>
      <c r="F323" t="s">
        <v>10</v>
      </c>
      <c r="G323" s="18">
        <v>150</v>
      </c>
      <c r="H323" t="s">
        <v>17</v>
      </c>
      <c r="I323" t="s">
        <v>24</v>
      </c>
    </row>
    <row r="324" spans="1:9" x14ac:dyDescent="0.25">
      <c r="A324">
        <v>1800</v>
      </c>
      <c r="B324">
        <f>A324+1</f>
        <v>1801</v>
      </c>
      <c r="C324" t="s">
        <v>507</v>
      </c>
      <c r="D324" t="s">
        <v>27</v>
      </c>
      <c r="E324" s="208" t="s">
        <v>154</v>
      </c>
      <c r="F324" t="s">
        <v>10</v>
      </c>
      <c r="G324" s="18">
        <v>4</v>
      </c>
      <c r="H324" t="s">
        <v>17</v>
      </c>
      <c r="I324" t="s">
        <v>24</v>
      </c>
    </row>
    <row r="325" spans="1:9" x14ac:dyDescent="0.25">
      <c r="A325">
        <v>1800</v>
      </c>
      <c r="B325">
        <f>A325+1</f>
        <v>1801</v>
      </c>
      <c r="C325" t="s">
        <v>507</v>
      </c>
      <c r="D325" t="s">
        <v>27</v>
      </c>
      <c r="E325" s="208" t="s">
        <v>150</v>
      </c>
      <c r="F325" t="s">
        <v>10</v>
      </c>
      <c r="G325" s="18">
        <v>973</v>
      </c>
      <c r="H325" t="s">
        <v>17</v>
      </c>
      <c r="I325" t="s">
        <v>24</v>
      </c>
    </row>
    <row r="326" spans="1:9" x14ac:dyDescent="0.25">
      <c r="A326">
        <v>1800</v>
      </c>
      <c r="B326">
        <f>A326+1</f>
        <v>1801</v>
      </c>
      <c r="C326" t="s">
        <v>507</v>
      </c>
      <c r="D326" t="s">
        <v>27</v>
      </c>
      <c r="E326" s="208" t="s">
        <v>148</v>
      </c>
      <c r="F326" t="s">
        <v>10</v>
      </c>
      <c r="G326" s="18">
        <v>7</v>
      </c>
      <c r="H326" t="s">
        <v>17</v>
      </c>
      <c r="I326" t="s">
        <v>24</v>
      </c>
    </row>
    <row r="327" spans="1:9" x14ac:dyDescent="0.25">
      <c r="A327">
        <v>1800</v>
      </c>
      <c r="B327">
        <f>A327+1</f>
        <v>1801</v>
      </c>
      <c r="C327" t="s">
        <v>507</v>
      </c>
      <c r="D327" t="s">
        <v>27</v>
      </c>
      <c r="E327" s="208" t="s">
        <v>130</v>
      </c>
      <c r="F327" t="s">
        <v>10</v>
      </c>
      <c r="G327" s="18">
        <v>0</v>
      </c>
      <c r="H327" t="s">
        <v>17</v>
      </c>
      <c r="I327" t="s">
        <v>24</v>
      </c>
    </row>
    <row r="328" spans="1:9" x14ac:dyDescent="0.25">
      <c r="A328">
        <v>1800</v>
      </c>
      <c r="B328">
        <f>A328+1</f>
        <v>1801</v>
      </c>
      <c r="C328" t="s">
        <v>507</v>
      </c>
      <c r="D328" t="s">
        <v>27</v>
      </c>
      <c r="E328" s="208" t="s">
        <v>132</v>
      </c>
      <c r="F328" t="s">
        <v>10</v>
      </c>
      <c r="G328" s="18">
        <v>0</v>
      </c>
      <c r="H328" t="s">
        <v>17</v>
      </c>
      <c r="I328" t="s">
        <v>24</v>
      </c>
    </row>
    <row r="329" spans="1:9" x14ac:dyDescent="0.25">
      <c r="A329">
        <v>1800</v>
      </c>
      <c r="B329">
        <f>A329+1</f>
        <v>1801</v>
      </c>
      <c r="C329" t="s">
        <v>507</v>
      </c>
      <c r="D329" t="s">
        <v>27</v>
      </c>
      <c r="E329" s="208" t="s">
        <v>142</v>
      </c>
      <c r="F329" t="s">
        <v>10</v>
      </c>
      <c r="G329" s="18">
        <v>32</v>
      </c>
      <c r="H329" t="s">
        <v>17</v>
      </c>
      <c r="I329" t="s">
        <v>24</v>
      </c>
    </row>
    <row r="330" spans="1:9" x14ac:dyDescent="0.25">
      <c r="A330">
        <v>1800</v>
      </c>
      <c r="B330">
        <f>A330+1</f>
        <v>1801</v>
      </c>
      <c r="C330" t="s">
        <v>507</v>
      </c>
      <c r="D330" t="s">
        <v>27</v>
      </c>
      <c r="E330" s="208" t="s">
        <v>144</v>
      </c>
      <c r="F330" t="s">
        <v>10</v>
      </c>
      <c r="G330" s="18">
        <v>67</v>
      </c>
      <c r="H330" t="s">
        <v>17</v>
      </c>
      <c r="I330" t="s">
        <v>24</v>
      </c>
    </row>
    <row r="331" spans="1:9" x14ac:dyDescent="0.25">
      <c r="A331">
        <v>1800</v>
      </c>
      <c r="B331">
        <f>A331+1</f>
        <v>1801</v>
      </c>
      <c r="C331" t="s">
        <v>507</v>
      </c>
      <c r="D331" t="s">
        <v>27</v>
      </c>
      <c r="E331" s="208" t="s">
        <v>124</v>
      </c>
      <c r="F331" t="s">
        <v>10</v>
      </c>
      <c r="G331" s="18">
        <v>3411</v>
      </c>
      <c r="H331" t="s">
        <v>17</v>
      </c>
      <c r="I331" t="s">
        <v>24</v>
      </c>
    </row>
    <row r="332" spans="1:9" x14ac:dyDescent="0.25">
      <c r="A332">
        <v>1800</v>
      </c>
      <c r="B332">
        <f>A332+1</f>
        <v>1801</v>
      </c>
      <c r="C332" t="s">
        <v>507</v>
      </c>
      <c r="D332" t="s">
        <v>26</v>
      </c>
      <c r="E332" s="208" t="s">
        <v>71</v>
      </c>
      <c r="F332" t="s">
        <v>13</v>
      </c>
      <c r="G332" s="18">
        <v>241</v>
      </c>
      <c r="H332" t="s">
        <v>25</v>
      </c>
      <c r="I332" t="s">
        <v>17</v>
      </c>
    </row>
    <row r="333" spans="1:9" x14ac:dyDescent="0.25">
      <c r="A333">
        <v>1800</v>
      </c>
      <c r="B333">
        <f>A333+1</f>
        <v>1801</v>
      </c>
      <c r="C333" t="s">
        <v>507</v>
      </c>
      <c r="D333" t="s">
        <v>26</v>
      </c>
      <c r="E333" s="208" t="s">
        <v>72</v>
      </c>
      <c r="F333" t="s">
        <v>13</v>
      </c>
      <c r="G333" s="18">
        <v>228</v>
      </c>
      <c r="H333" t="s">
        <v>25</v>
      </c>
      <c r="I333" t="s">
        <v>17</v>
      </c>
    </row>
    <row r="334" spans="1:9" x14ac:dyDescent="0.25">
      <c r="A334">
        <v>1800</v>
      </c>
      <c r="B334">
        <f>A334+1</f>
        <v>1801</v>
      </c>
      <c r="C334" t="s">
        <v>507</v>
      </c>
      <c r="D334" t="s">
        <v>26</v>
      </c>
      <c r="E334" s="208" t="s">
        <v>69</v>
      </c>
      <c r="F334" t="s">
        <v>13</v>
      </c>
      <c r="G334" s="18">
        <v>0</v>
      </c>
      <c r="H334" t="s">
        <v>25</v>
      </c>
      <c r="I334" t="s">
        <v>17</v>
      </c>
    </row>
    <row r="335" spans="1:9" x14ac:dyDescent="0.25">
      <c r="A335">
        <v>1800</v>
      </c>
      <c r="B335">
        <f>A335+1</f>
        <v>1801</v>
      </c>
      <c r="C335" t="s">
        <v>507</v>
      </c>
      <c r="D335" t="s">
        <v>26</v>
      </c>
      <c r="E335" s="208" t="s">
        <v>70</v>
      </c>
      <c r="F335" t="s">
        <v>13</v>
      </c>
      <c r="G335" s="18">
        <v>879</v>
      </c>
      <c r="H335" t="s">
        <v>25</v>
      </c>
      <c r="I335" t="s">
        <v>17</v>
      </c>
    </row>
    <row r="336" spans="1:9" x14ac:dyDescent="0.25">
      <c r="A336">
        <v>1800</v>
      </c>
      <c r="B336">
        <f>A336+1</f>
        <v>1801</v>
      </c>
      <c r="C336" t="s">
        <v>507</v>
      </c>
      <c r="D336" t="s">
        <v>27</v>
      </c>
      <c r="E336" s="208" t="s">
        <v>155</v>
      </c>
      <c r="F336" t="s">
        <v>8</v>
      </c>
      <c r="G336" s="18">
        <v>65039</v>
      </c>
      <c r="H336" t="s">
        <v>17</v>
      </c>
      <c r="I336" t="s">
        <v>18</v>
      </c>
    </row>
    <row r="337" spans="1:9" x14ac:dyDescent="0.25">
      <c r="A337">
        <v>1800</v>
      </c>
      <c r="B337">
        <f>A337+1</f>
        <v>1801</v>
      </c>
      <c r="C337" t="s">
        <v>507</v>
      </c>
      <c r="D337" t="s">
        <v>27</v>
      </c>
      <c r="E337" s="208" t="s">
        <v>156</v>
      </c>
      <c r="F337" t="s">
        <v>8</v>
      </c>
      <c r="G337" s="18">
        <v>9998</v>
      </c>
      <c r="H337" t="s">
        <v>17</v>
      </c>
      <c r="I337" t="s">
        <v>18</v>
      </c>
    </row>
    <row r="338" spans="1:9" x14ac:dyDescent="0.25">
      <c r="A338">
        <v>1800</v>
      </c>
      <c r="B338">
        <f>A338+1</f>
        <v>1801</v>
      </c>
      <c r="C338" t="s">
        <v>507</v>
      </c>
      <c r="D338" t="s">
        <v>27</v>
      </c>
      <c r="E338" s="208" t="s">
        <v>154</v>
      </c>
      <c r="F338" t="s">
        <v>8</v>
      </c>
      <c r="G338" s="18">
        <v>331</v>
      </c>
      <c r="H338" t="s">
        <v>17</v>
      </c>
      <c r="I338" t="s">
        <v>18</v>
      </c>
    </row>
    <row r="339" spans="1:9" x14ac:dyDescent="0.25">
      <c r="A339">
        <v>1800</v>
      </c>
      <c r="B339">
        <f>A339+1</f>
        <v>1801</v>
      </c>
      <c r="C339" t="s">
        <v>507</v>
      </c>
      <c r="D339" t="s">
        <v>27</v>
      </c>
      <c r="E339" s="208" t="s">
        <v>150</v>
      </c>
      <c r="F339" t="s">
        <v>8</v>
      </c>
      <c r="G339" s="18">
        <v>18881</v>
      </c>
      <c r="H339" t="s">
        <v>17</v>
      </c>
      <c r="I339" t="s">
        <v>18</v>
      </c>
    </row>
    <row r="340" spans="1:9" x14ac:dyDescent="0.25">
      <c r="A340">
        <v>1800</v>
      </c>
      <c r="B340">
        <f>A340+1</f>
        <v>1801</v>
      </c>
      <c r="C340" t="s">
        <v>507</v>
      </c>
      <c r="D340" t="s">
        <v>27</v>
      </c>
      <c r="E340" s="208" t="s">
        <v>148</v>
      </c>
      <c r="F340" t="s">
        <v>8</v>
      </c>
      <c r="G340" s="18">
        <v>612</v>
      </c>
      <c r="H340" t="s">
        <v>17</v>
      </c>
      <c r="I340" t="s">
        <v>18</v>
      </c>
    </row>
    <row r="341" spans="1:9" x14ac:dyDescent="0.25">
      <c r="A341">
        <v>1800</v>
      </c>
      <c r="B341">
        <f>A341+1</f>
        <v>1801</v>
      </c>
      <c r="C341" t="s">
        <v>507</v>
      </c>
      <c r="D341" t="s">
        <v>27</v>
      </c>
      <c r="E341" s="208" t="s">
        <v>130</v>
      </c>
      <c r="F341" t="s">
        <v>8</v>
      </c>
      <c r="G341" s="18">
        <v>124</v>
      </c>
      <c r="H341" t="s">
        <v>17</v>
      </c>
      <c r="I341" t="s">
        <v>18</v>
      </c>
    </row>
    <row r="342" spans="1:9" x14ac:dyDescent="0.25">
      <c r="A342">
        <v>1800</v>
      </c>
      <c r="B342">
        <f>A342+1</f>
        <v>1801</v>
      </c>
      <c r="C342" t="s">
        <v>507</v>
      </c>
      <c r="D342" t="s">
        <v>27</v>
      </c>
      <c r="E342" s="208" t="s">
        <v>132</v>
      </c>
      <c r="F342" t="s">
        <v>8</v>
      </c>
      <c r="G342" s="18">
        <v>0</v>
      </c>
      <c r="H342" t="s">
        <v>17</v>
      </c>
      <c r="I342" t="s">
        <v>18</v>
      </c>
    </row>
    <row r="343" spans="1:9" x14ac:dyDescent="0.25">
      <c r="A343">
        <v>1800</v>
      </c>
      <c r="B343">
        <f>A343+1</f>
        <v>1801</v>
      </c>
      <c r="C343" t="s">
        <v>507</v>
      </c>
      <c r="D343" t="s">
        <v>27</v>
      </c>
      <c r="E343" s="208" t="s">
        <v>142</v>
      </c>
      <c r="F343" t="s">
        <v>8</v>
      </c>
      <c r="G343" s="18">
        <v>9775</v>
      </c>
      <c r="H343" t="s">
        <v>17</v>
      </c>
      <c r="I343" t="s">
        <v>18</v>
      </c>
    </row>
    <row r="344" spans="1:9" x14ac:dyDescent="0.25">
      <c r="A344">
        <v>1800</v>
      </c>
      <c r="B344">
        <f>A344+1</f>
        <v>1801</v>
      </c>
      <c r="C344" t="s">
        <v>507</v>
      </c>
      <c r="D344" t="s">
        <v>27</v>
      </c>
      <c r="E344" s="208" t="s">
        <v>144</v>
      </c>
      <c r="F344" t="s">
        <v>8</v>
      </c>
      <c r="G344" s="18">
        <v>285</v>
      </c>
      <c r="H344" t="s">
        <v>17</v>
      </c>
      <c r="I344" t="s">
        <v>18</v>
      </c>
    </row>
    <row r="345" spans="1:9" x14ac:dyDescent="0.25">
      <c r="A345">
        <v>1800</v>
      </c>
      <c r="B345">
        <f>A345+1</f>
        <v>1801</v>
      </c>
      <c r="C345" t="s">
        <v>507</v>
      </c>
      <c r="D345" t="s">
        <v>27</v>
      </c>
      <c r="E345" s="208" t="s">
        <v>124</v>
      </c>
      <c r="F345" t="s">
        <v>8</v>
      </c>
      <c r="G345" s="18">
        <v>3396295</v>
      </c>
      <c r="H345" t="s">
        <v>17</v>
      </c>
      <c r="I345" t="s">
        <v>18</v>
      </c>
    </row>
    <row r="346" spans="1:9" x14ac:dyDescent="0.25">
      <c r="A346">
        <v>1800</v>
      </c>
      <c r="B346">
        <f>A346+1</f>
        <v>1801</v>
      </c>
      <c r="C346" t="s">
        <v>507</v>
      </c>
      <c r="D346" t="s">
        <v>27</v>
      </c>
      <c r="E346" s="208" t="s">
        <v>155</v>
      </c>
      <c r="F346" t="s">
        <v>9</v>
      </c>
      <c r="G346" s="18">
        <v>0</v>
      </c>
      <c r="H346" t="s">
        <v>17</v>
      </c>
      <c r="I346" t="s">
        <v>21</v>
      </c>
    </row>
    <row r="347" spans="1:9" x14ac:dyDescent="0.25">
      <c r="A347">
        <v>1800</v>
      </c>
      <c r="B347">
        <f>A347+1</f>
        <v>1801</v>
      </c>
      <c r="C347" t="s">
        <v>507</v>
      </c>
      <c r="D347" t="s">
        <v>27</v>
      </c>
      <c r="E347" s="208" t="s">
        <v>156</v>
      </c>
      <c r="F347" t="s">
        <v>9</v>
      </c>
      <c r="G347" s="18">
        <v>0</v>
      </c>
      <c r="H347" t="s">
        <v>17</v>
      </c>
      <c r="I347" t="s">
        <v>21</v>
      </c>
    </row>
    <row r="348" spans="1:9" x14ac:dyDescent="0.25">
      <c r="A348">
        <v>1800</v>
      </c>
      <c r="B348">
        <f>A348+1</f>
        <v>1801</v>
      </c>
      <c r="C348" t="s">
        <v>507</v>
      </c>
      <c r="D348" t="s">
        <v>27</v>
      </c>
      <c r="E348" s="208" t="s">
        <v>154</v>
      </c>
      <c r="F348" t="s">
        <v>9</v>
      </c>
      <c r="G348" s="18">
        <v>0</v>
      </c>
      <c r="H348" t="s">
        <v>17</v>
      </c>
      <c r="I348" t="s">
        <v>21</v>
      </c>
    </row>
    <row r="349" spans="1:9" x14ac:dyDescent="0.25">
      <c r="A349">
        <v>1800</v>
      </c>
      <c r="B349">
        <f>A349+1</f>
        <v>1801</v>
      </c>
      <c r="C349" t="s">
        <v>507</v>
      </c>
      <c r="D349" t="s">
        <v>27</v>
      </c>
      <c r="E349" s="208" t="s">
        <v>150</v>
      </c>
      <c r="F349" t="s">
        <v>9</v>
      </c>
      <c r="G349" s="18">
        <v>0</v>
      </c>
      <c r="H349" t="s">
        <v>17</v>
      </c>
      <c r="I349" t="s">
        <v>21</v>
      </c>
    </row>
    <row r="350" spans="1:9" x14ac:dyDescent="0.25">
      <c r="A350">
        <v>1800</v>
      </c>
      <c r="B350">
        <f>A350+1</f>
        <v>1801</v>
      </c>
      <c r="C350" t="s">
        <v>507</v>
      </c>
      <c r="D350" t="s">
        <v>27</v>
      </c>
      <c r="E350" s="208" t="s">
        <v>148</v>
      </c>
      <c r="F350" t="s">
        <v>9</v>
      </c>
      <c r="G350" s="18">
        <v>0</v>
      </c>
      <c r="H350" t="s">
        <v>17</v>
      </c>
      <c r="I350" t="s">
        <v>21</v>
      </c>
    </row>
    <row r="351" spans="1:9" x14ac:dyDescent="0.25">
      <c r="A351">
        <v>1800</v>
      </c>
      <c r="B351">
        <f>A351+1</f>
        <v>1801</v>
      </c>
      <c r="C351" t="s">
        <v>507</v>
      </c>
      <c r="D351" t="s">
        <v>27</v>
      </c>
      <c r="E351" s="208" t="s">
        <v>130</v>
      </c>
      <c r="F351" t="s">
        <v>9</v>
      </c>
      <c r="G351" s="18">
        <v>0</v>
      </c>
      <c r="H351" t="s">
        <v>17</v>
      </c>
      <c r="I351" t="s">
        <v>21</v>
      </c>
    </row>
    <row r="352" spans="1:9" x14ac:dyDescent="0.25">
      <c r="A352">
        <v>1800</v>
      </c>
      <c r="B352">
        <f>A352+1</f>
        <v>1801</v>
      </c>
      <c r="C352" t="s">
        <v>507</v>
      </c>
      <c r="D352" t="s">
        <v>27</v>
      </c>
      <c r="E352" s="208" t="s">
        <v>132</v>
      </c>
      <c r="F352" t="s">
        <v>9</v>
      </c>
      <c r="G352" s="18">
        <v>0</v>
      </c>
      <c r="H352" t="s">
        <v>17</v>
      </c>
      <c r="I352" t="s">
        <v>21</v>
      </c>
    </row>
    <row r="353" spans="1:9" x14ac:dyDescent="0.25">
      <c r="A353">
        <v>1800</v>
      </c>
      <c r="B353">
        <f>A353+1</f>
        <v>1801</v>
      </c>
      <c r="C353" t="s">
        <v>507</v>
      </c>
      <c r="D353" t="s">
        <v>27</v>
      </c>
      <c r="E353" s="208" t="s">
        <v>142</v>
      </c>
      <c r="F353" t="s">
        <v>9</v>
      </c>
      <c r="G353" s="18">
        <v>0</v>
      </c>
      <c r="H353" t="s">
        <v>17</v>
      </c>
      <c r="I353" t="s">
        <v>21</v>
      </c>
    </row>
    <row r="354" spans="1:9" x14ac:dyDescent="0.25">
      <c r="A354">
        <v>1800</v>
      </c>
      <c r="B354">
        <f>A354+1</f>
        <v>1801</v>
      </c>
      <c r="C354" t="s">
        <v>507</v>
      </c>
      <c r="D354" t="s">
        <v>27</v>
      </c>
      <c r="E354" s="208" t="s">
        <v>144</v>
      </c>
      <c r="F354" t="s">
        <v>9</v>
      </c>
      <c r="G354" s="18">
        <v>0</v>
      </c>
      <c r="H354" t="s">
        <v>17</v>
      </c>
      <c r="I354" t="s">
        <v>21</v>
      </c>
    </row>
    <row r="355" spans="1:9" x14ac:dyDescent="0.25">
      <c r="A355">
        <v>1800</v>
      </c>
      <c r="B355">
        <f>A355+1</f>
        <v>1801</v>
      </c>
      <c r="C355" t="s">
        <v>507</v>
      </c>
      <c r="D355" t="s">
        <v>27</v>
      </c>
      <c r="E355" s="208" t="s">
        <v>124</v>
      </c>
      <c r="F355" t="s">
        <v>9</v>
      </c>
      <c r="G355" s="18">
        <v>0</v>
      </c>
      <c r="H355" t="s">
        <v>17</v>
      </c>
      <c r="I355" t="s">
        <v>21</v>
      </c>
    </row>
    <row r="356" spans="1:9" x14ac:dyDescent="0.25">
      <c r="A356">
        <v>1800</v>
      </c>
      <c r="B356">
        <f>A356+1</f>
        <v>1801</v>
      </c>
      <c r="C356" t="s">
        <v>507</v>
      </c>
      <c r="D356" t="s">
        <v>27</v>
      </c>
      <c r="E356" s="208" t="s">
        <v>155</v>
      </c>
      <c r="F356" t="s">
        <v>11</v>
      </c>
      <c r="G356" s="18">
        <v>219</v>
      </c>
      <c r="H356" t="s">
        <v>17</v>
      </c>
      <c r="I356" t="s">
        <v>23</v>
      </c>
    </row>
    <row r="357" spans="1:9" x14ac:dyDescent="0.25">
      <c r="A357">
        <v>1800</v>
      </c>
      <c r="B357">
        <f>A357+1</f>
        <v>1801</v>
      </c>
      <c r="C357" t="s">
        <v>507</v>
      </c>
      <c r="D357" t="s">
        <v>27</v>
      </c>
      <c r="E357" s="208" t="s">
        <v>156</v>
      </c>
      <c r="F357" t="s">
        <v>11</v>
      </c>
      <c r="G357" s="18">
        <v>161</v>
      </c>
      <c r="H357" t="s">
        <v>17</v>
      </c>
      <c r="I357" t="s">
        <v>23</v>
      </c>
    </row>
    <row r="358" spans="1:9" x14ac:dyDescent="0.25">
      <c r="A358">
        <v>1800</v>
      </c>
      <c r="B358">
        <f>A358+1</f>
        <v>1801</v>
      </c>
      <c r="C358" t="s">
        <v>507</v>
      </c>
      <c r="D358" t="s">
        <v>27</v>
      </c>
      <c r="E358" s="208" t="s">
        <v>154</v>
      </c>
      <c r="F358" t="s">
        <v>11</v>
      </c>
      <c r="G358" s="18">
        <v>35</v>
      </c>
      <c r="H358" t="s">
        <v>17</v>
      </c>
      <c r="I358" t="s">
        <v>23</v>
      </c>
    </row>
    <row r="359" spans="1:9" x14ac:dyDescent="0.25">
      <c r="A359">
        <v>1800</v>
      </c>
      <c r="B359">
        <f>A359+1</f>
        <v>1801</v>
      </c>
      <c r="C359" t="s">
        <v>507</v>
      </c>
      <c r="D359" t="s">
        <v>27</v>
      </c>
      <c r="E359" s="208" t="s">
        <v>150</v>
      </c>
      <c r="F359" t="s">
        <v>11</v>
      </c>
      <c r="G359" s="18">
        <v>10829</v>
      </c>
      <c r="H359" t="s">
        <v>17</v>
      </c>
      <c r="I359" t="s">
        <v>23</v>
      </c>
    </row>
    <row r="360" spans="1:9" x14ac:dyDescent="0.25">
      <c r="A360">
        <v>1800</v>
      </c>
      <c r="B360">
        <f>A360+1</f>
        <v>1801</v>
      </c>
      <c r="C360" t="s">
        <v>507</v>
      </c>
      <c r="D360" t="s">
        <v>27</v>
      </c>
      <c r="E360" s="208" t="s">
        <v>148</v>
      </c>
      <c r="F360" t="s">
        <v>11</v>
      </c>
      <c r="G360" s="18">
        <v>2</v>
      </c>
      <c r="H360" t="s">
        <v>17</v>
      </c>
      <c r="I360" t="s">
        <v>23</v>
      </c>
    </row>
    <row r="361" spans="1:9" x14ac:dyDescent="0.25">
      <c r="A361">
        <v>1800</v>
      </c>
      <c r="B361">
        <f>A361+1</f>
        <v>1801</v>
      </c>
      <c r="C361" t="s">
        <v>507</v>
      </c>
      <c r="D361" t="s">
        <v>27</v>
      </c>
      <c r="E361" s="208" t="s">
        <v>130</v>
      </c>
      <c r="F361" t="s">
        <v>11</v>
      </c>
      <c r="G361" s="18">
        <v>27</v>
      </c>
      <c r="H361" t="s">
        <v>17</v>
      </c>
      <c r="I361" t="s">
        <v>23</v>
      </c>
    </row>
    <row r="362" spans="1:9" x14ac:dyDescent="0.25">
      <c r="A362">
        <v>1800</v>
      </c>
      <c r="B362">
        <f>A362+1</f>
        <v>1801</v>
      </c>
      <c r="C362" t="s">
        <v>507</v>
      </c>
      <c r="D362" t="s">
        <v>27</v>
      </c>
      <c r="E362" s="208" t="s">
        <v>132</v>
      </c>
      <c r="F362" t="s">
        <v>11</v>
      </c>
      <c r="G362" s="18">
        <v>0</v>
      </c>
      <c r="H362" t="s">
        <v>17</v>
      </c>
      <c r="I362" t="s">
        <v>23</v>
      </c>
    </row>
    <row r="363" spans="1:9" x14ac:dyDescent="0.25">
      <c r="A363">
        <v>1800</v>
      </c>
      <c r="B363">
        <f>A363+1</f>
        <v>1801</v>
      </c>
      <c r="C363" t="s">
        <v>507</v>
      </c>
      <c r="D363" t="s">
        <v>27</v>
      </c>
      <c r="E363" s="208" t="s">
        <v>142</v>
      </c>
      <c r="F363" t="s">
        <v>11</v>
      </c>
      <c r="G363" s="18">
        <v>743</v>
      </c>
      <c r="H363" t="s">
        <v>17</v>
      </c>
      <c r="I363" t="s">
        <v>23</v>
      </c>
    </row>
    <row r="364" spans="1:9" x14ac:dyDescent="0.25">
      <c r="A364">
        <v>1800</v>
      </c>
      <c r="B364">
        <f>A364+1</f>
        <v>1801</v>
      </c>
      <c r="C364" t="s">
        <v>507</v>
      </c>
      <c r="D364" t="s">
        <v>27</v>
      </c>
      <c r="E364" s="208" t="s">
        <v>144</v>
      </c>
      <c r="F364" t="s">
        <v>11</v>
      </c>
      <c r="G364" s="18">
        <v>23</v>
      </c>
      <c r="H364" t="s">
        <v>17</v>
      </c>
      <c r="I364" t="s">
        <v>23</v>
      </c>
    </row>
    <row r="365" spans="1:9" x14ac:dyDescent="0.25">
      <c r="A365">
        <v>1800</v>
      </c>
      <c r="B365">
        <f>A365+1</f>
        <v>1801</v>
      </c>
      <c r="C365" t="s">
        <v>507</v>
      </c>
      <c r="D365" t="s">
        <v>27</v>
      </c>
      <c r="E365" s="208" t="s">
        <v>124</v>
      </c>
      <c r="F365" t="s">
        <v>11</v>
      </c>
      <c r="G365" s="18">
        <v>8903</v>
      </c>
      <c r="H365" t="s">
        <v>17</v>
      </c>
      <c r="I365" t="s">
        <v>23</v>
      </c>
    </row>
    <row r="366" spans="1:9" x14ac:dyDescent="0.25">
      <c r="A366">
        <v>1800</v>
      </c>
      <c r="B366">
        <f>A366+1</f>
        <v>1801</v>
      </c>
      <c r="C366" t="s">
        <v>507</v>
      </c>
      <c r="D366" t="s">
        <v>27</v>
      </c>
      <c r="E366" s="208" t="s">
        <v>155</v>
      </c>
      <c r="F366" t="s">
        <v>14</v>
      </c>
      <c r="G366" s="18">
        <v>65353</v>
      </c>
      <c r="H366" t="s">
        <v>17</v>
      </c>
      <c r="I366" s="151" t="s">
        <v>562</v>
      </c>
    </row>
    <row r="367" spans="1:9" x14ac:dyDescent="0.25">
      <c r="A367">
        <v>1800</v>
      </c>
      <c r="B367">
        <f>A367+1</f>
        <v>1801</v>
      </c>
      <c r="C367" t="s">
        <v>507</v>
      </c>
      <c r="D367" t="s">
        <v>27</v>
      </c>
      <c r="E367" s="208" t="s">
        <v>156</v>
      </c>
      <c r="F367" t="s">
        <v>14</v>
      </c>
      <c r="G367" s="18">
        <v>10309</v>
      </c>
      <c r="H367" t="s">
        <v>17</v>
      </c>
      <c r="I367" s="151" t="s">
        <v>562</v>
      </c>
    </row>
    <row r="368" spans="1:9" x14ac:dyDescent="0.25">
      <c r="A368">
        <v>1800</v>
      </c>
      <c r="B368">
        <f>A368+1</f>
        <v>1801</v>
      </c>
      <c r="C368" t="s">
        <v>507</v>
      </c>
      <c r="D368" t="s">
        <v>27</v>
      </c>
      <c r="E368" s="208" t="s">
        <v>154</v>
      </c>
      <c r="F368" t="s">
        <v>14</v>
      </c>
      <c r="G368" s="18">
        <v>370</v>
      </c>
      <c r="H368" t="s">
        <v>17</v>
      </c>
      <c r="I368" s="151" t="s">
        <v>562</v>
      </c>
    </row>
    <row r="369" spans="1:9" x14ac:dyDescent="0.25">
      <c r="A369">
        <v>1800</v>
      </c>
      <c r="B369">
        <f>A369+1</f>
        <v>1801</v>
      </c>
      <c r="C369" t="s">
        <v>507</v>
      </c>
      <c r="D369" t="s">
        <v>27</v>
      </c>
      <c r="E369" s="208" t="s">
        <v>150</v>
      </c>
      <c r="F369" t="s">
        <v>14</v>
      </c>
      <c r="G369" s="18">
        <v>30683</v>
      </c>
      <c r="H369" t="s">
        <v>17</v>
      </c>
      <c r="I369" s="151" t="s">
        <v>562</v>
      </c>
    </row>
    <row r="370" spans="1:9" x14ac:dyDescent="0.25">
      <c r="A370">
        <v>1800</v>
      </c>
      <c r="B370">
        <f>A370+1</f>
        <v>1801</v>
      </c>
      <c r="C370" t="s">
        <v>507</v>
      </c>
      <c r="D370" t="s">
        <v>27</v>
      </c>
      <c r="E370" s="208" t="s">
        <v>148</v>
      </c>
      <c r="F370" t="s">
        <v>14</v>
      </c>
      <c r="G370" s="18">
        <v>621</v>
      </c>
      <c r="H370" t="s">
        <v>17</v>
      </c>
      <c r="I370" s="151" t="s">
        <v>562</v>
      </c>
    </row>
    <row r="371" spans="1:9" x14ac:dyDescent="0.25">
      <c r="A371">
        <v>1800</v>
      </c>
      <c r="B371">
        <f>A371+1</f>
        <v>1801</v>
      </c>
      <c r="C371" t="s">
        <v>507</v>
      </c>
      <c r="D371" t="s">
        <v>27</v>
      </c>
      <c r="E371" s="208" t="s">
        <v>130</v>
      </c>
      <c r="F371" t="s">
        <v>14</v>
      </c>
      <c r="G371" s="18">
        <v>151</v>
      </c>
      <c r="H371" t="s">
        <v>17</v>
      </c>
      <c r="I371" s="151" t="s">
        <v>562</v>
      </c>
    </row>
    <row r="372" spans="1:9" x14ac:dyDescent="0.25">
      <c r="A372">
        <v>1800</v>
      </c>
      <c r="B372">
        <f>A372+1</f>
        <v>1801</v>
      </c>
      <c r="C372" t="s">
        <v>507</v>
      </c>
      <c r="D372" t="s">
        <v>27</v>
      </c>
      <c r="E372" s="208" t="s">
        <v>132</v>
      </c>
      <c r="F372" t="s">
        <v>14</v>
      </c>
      <c r="G372" s="18">
        <v>0</v>
      </c>
      <c r="H372" t="s">
        <v>17</v>
      </c>
      <c r="I372" s="151" t="s">
        <v>562</v>
      </c>
    </row>
    <row r="373" spans="1:9" x14ac:dyDescent="0.25">
      <c r="A373">
        <v>1800</v>
      </c>
      <c r="B373">
        <f>A373+1</f>
        <v>1801</v>
      </c>
      <c r="C373" t="s">
        <v>507</v>
      </c>
      <c r="D373" t="s">
        <v>27</v>
      </c>
      <c r="E373" s="208" t="s">
        <v>142</v>
      </c>
      <c r="F373" t="s">
        <v>14</v>
      </c>
      <c r="G373" s="18">
        <v>10550</v>
      </c>
      <c r="H373" t="s">
        <v>17</v>
      </c>
      <c r="I373" s="151" t="s">
        <v>562</v>
      </c>
    </row>
    <row r="374" spans="1:9" x14ac:dyDescent="0.25">
      <c r="A374">
        <v>1800</v>
      </c>
      <c r="B374">
        <f>A374+1</f>
        <v>1801</v>
      </c>
      <c r="C374" t="s">
        <v>507</v>
      </c>
      <c r="D374" t="s">
        <v>27</v>
      </c>
      <c r="E374" s="208" t="s">
        <v>144</v>
      </c>
      <c r="F374" t="s">
        <v>14</v>
      </c>
      <c r="G374" s="18">
        <v>375</v>
      </c>
      <c r="H374" t="s">
        <v>17</v>
      </c>
      <c r="I374" s="151" t="s">
        <v>562</v>
      </c>
    </row>
    <row r="375" spans="1:9" x14ac:dyDescent="0.25">
      <c r="A375">
        <v>1800</v>
      </c>
      <c r="B375">
        <f>A375+1</f>
        <v>1801</v>
      </c>
      <c r="C375" t="s">
        <v>507</v>
      </c>
      <c r="D375" t="s">
        <v>27</v>
      </c>
      <c r="E375" s="208" t="s">
        <v>124</v>
      </c>
      <c r="F375" t="s">
        <v>14</v>
      </c>
      <c r="G375" s="18">
        <v>3408609</v>
      </c>
      <c r="H375" t="s">
        <v>17</v>
      </c>
      <c r="I375" s="151" t="s">
        <v>562</v>
      </c>
    </row>
    <row r="376" spans="1:9" x14ac:dyDescent="0.25">
      <c r="A376">
        <v>1800</v>
      </c>
      <c r="B376">
        <f>A376+1</f>
        <v>1801</v>
      </c>
      <c r="C376" t="s">
        <v>507</v>
      </c>
      <c r="D376" t="s">
        <v>26</v>
      </c>
      <c r="E376" s="208" t="s">
        <v>71</v>
      </c>
      <c r="F376" t="s">
        <v>14</v>
      </c>
      <c r="G376" s="18">
        <v>241</v>
      </c>
      <c r="H376" s="151" t="s">
        <v>563</v>
      </c>
      <c r="I376" t="s">
        <v>17</v>
      </c>
    </row>
    <row r="377" spans="1:9" x14ac:dyDescent="0.25">
      <c r="A377">
        <v>1800</v>
      </c>
      <c r="B377">
        <f>A377+1</f>
        <v>1801</v>
      </c>
      <c r="C377" t="s">
        <v>507</v>
      </c>
      <c r="D377" t="s">
        <v>26</v>
      </c>
      <c r="E377" s="208" t="s">
        <v>72</v>
      </c>
      <c r="F377" t="s">
        <v>14</v>
      </c>
      <c r="G377" s="18">
        <v>228</v>
      </c>
      <c r="H377" s="151" t="s">
        <v>563</v>
      </c>
      <c r="I377" t="s">
        <v>17</v>
      </c>
    </row>
    <row r="378" spans="1:9" x14ac:dyDescent="0.25">
      <c r="A378">
        <v>1800</v>
      </c>
      <c r="B378">
        <f>A378+1</f>
        <v>1801</v>
      </c>
      <c r="C378" t="s">
        <v>507</v>
      </c>
      <c r="D378" t="s">
        <v>26</v>
      </c>
      <c r="E378" s="208" t="s">
        <v>69</v>
      </c>
      <c r="F378" t="s">
        <v>14</v>
      </c>
      <c r="G378" s="18">
        <v>0</v>
      </c>
      <c r="H378" s="151" t="s">
        <v>563</v>
      </c>
      <c r="I378" t="s">
        <v>17</v>
      </c>
    </row>
    <row r="379" spans="1:9" x14ac:dyDescent="0.25">
      <c r="A379">
        <v>1800</v>
      </c>
      <c r="B379">
        <f>A379+1</f>
        <v>1801</v>
      </c>
      <c r="C379" t="s">
        <v>507</v>
      </c>
      <c r="D379" t="s">
        <v>26</v>
      </c>
      <c r="E379" s="208" t="s">
        <v>70</v>
      </c>
      <c r="F379" t="s">
        <v>14</v>
      </c>
      <c r="G379" s="18">
        <v>879</v>
      </c>
      <c r="H379" s="151" t="s">
        <v>563</v>
      </c>
      <c r="I379" t="s">
        <v>17</v>
      </c>
    </row>
    <row r="380" spans="1:9" x14ac:dyDescent="0.25">
      <c r="A380">
        <v>1800</v>
      </c>
      <c r="B380">
        <f>A380+1</f>
        <v>1801</v>
      </c>
      <c r="C380" t="s">
        <v>507</v>
      </c>
      <c r="D380" t="s">
        <v>27</v>
      </c>
      <c r="E380" s="208" t="s">
        <v>155</v>
      </c>
      <c r="F380" t="s">
        <v>15</v>
      </c>
      <c r="G380" s="18">
        <v>123251</v>
      </c>
      <c r="H380" t="s">
        <v>561</v>
      </c>
      <c r="I380" s="151" t="s">
        <v>562</v>
      </c>
    </row>
    <row r="381" spans="1:9" x14ac:dyDescent="0.25">
      <c r="A381">
        <v>1800</v>
      </c>
      <c r="B381">
        <f>A381+1</f>
        <v>1801</v>
      </c>
      <c r="C381" t="s">
        <v>507</v>
      </c>
      <c r="D381" t="s">
        <v>27</v>
      </c>
      <c r="E381" s="208" t="s">
        <v>156</v>
      </c>
      <c r="F381" t="s">
        <v>15</v>
      </c>
      <c r="G381" s="18">
        <v>18704</v>
      </c>
      <c r="H381" t="s">
        <v>561</v>
      </c>
      <c r="I381" s="151" t="s">
        <v>562</v>
      </c>
    </row>
    <row r="382" spans="1:9" x14ac:dyDescent="0.25">
      <c r="A382">
        <v>1800</v>
      </c>
      <c r="B382">
        <f>A382+1</f>
        <v>1801</v>
      </c>
      <c r="C382" t="s">
        <v>507</v>
      </c>
      <c r="D382" t="s">
        <v>27</v>
      </c>
      <c r="E382" s="208" t="s">
        <v>154</v>
      </c>
      <c r="F382" t="s">
        <v>15</v>
      </c>
      <c r="G382" s="18">
        <v>2642</v>
      </c>
      <c r="H382" t="s">
        <v>561</v>
      </c>
      <c r="I382" s="151" t="s">
        <v>562</v>
      </c>
    </row>
    <row r="383" spans="1:9" x14ac:dyDescent="0.25">
      <c r="A383">
        <v>1800</v>
      </c>
      <c r="B383">
        <f>A383+1</f>
        <v>1801</v>
      </c>
      <c r="C383" t="s">
        <v>507</v>
      </c>
      <c r="D383" t="s">
        <v>27</v>
      </c>
      <c r="E383" s="208" t="s">
        <v>150</v>
      </c>
      <c r="F383" t="s">
        <v>15</v>
      </c>
      <c r="G383" s="18">
        <v>48879</v>
      </c>
      <c r="H383" t="s">
        <v>561</v>
      </c>
      <c r="I383" s="151" t="s">
        <v>562</v>
      </c>
    </row>
    <row r="384" spans="1:9" x14ac:dyDescent="0.25">
      <c r="A384">
        <v>1800</v>
      </c>
      <c r="B384">
        <f>A384+1</f>
        <v>1801</v>
      </c>
      <c r="C384" t="s">
        <v>507</v>
      </c>
      <c r="D384" t="s">
        <v>27</v>
      </c>
      <c r="E384" s="208" t="s">
        <v>148</v>
      </c>
      <c r="F384" t="s">
        <v>15</v>
      </c>
      <c r="G384" s="18">
        <v>1514</v>
      </c>
      <c r="H384" t="s">
        <v>561</v>
      </c>
      <c r="I384" s="151" t="s">
        <v>562</v>
      </c>
    </row>
    <row r="385" spans="1:9" x14ac:dyDescent="0.25">
      <c r="A385">
        <v>1800</v>
      </c>
      <c r="B385">
        <f>A385+1</f>
        <v>1801</v>
      </c>
      <c r="C385" t="s">
        <v>507</v>
      </c>
      <c r="D385" t="s">
        <v>27</v>
      </c>
      <c r="E385" s="208" t="s">
        <v>130</v>
      </c>
      <c r="F385" t="s">
        <v>15</v>
      </c>
      <c r="G385" s="18">
        <v>239</v>
      </c>
      <c r="H385" t="s">
        <v>561</v>
      </c>
      <c r="I385" s="151" t="s">
        <v>562</v>
      </c>
    </row>
    <row r="386" spans="1:9" x14ac:dyDescent="0.25">
      <c r="A386">
        <v>1800</v>
      </c>
      <c r="B386">
        <f>A386+1</f>
        <v>1801</v>
      </c>
      <c r="C386" t="s">
        <v>507</v>
      </c>
      <c r="D386" t="s">
        <v>27</v>
      </c>
      <c r="E386" s="208" t="s">
        <v>132</v>
      </c>
      <c r="F386" t="s">
        <v>15</v>
      </c>
      <c r="G386" s="18">
        <v>12</v>
      </c>
      <c r="H386" t="s">
        <v>561</v>
      </c>
      <c r="I386" s="151" t="s">
        <v>562</v>
      </c>
    </row>
    <row r="387" spans="1:9" x14ac:dyDescent="0.25">
      <c r="A387">
        <v>1800</v>
      </c>
      <c r="B387">
        <f>A387+1</f>
        <v>1801</v>
      </c>
      <c r="C387" t="s">
        <v>507</v>
      </c>
      <c r="D387" t="s">
        <v>27</v>
      </c>
      <c r="E387" s="208" t="s">
        <v>142</v>
      </c>
      <c r="F387" t="s">
        <v>15</v>
      </c>
      <c r="G387" s="18">
        <v>14084</v>
      </c>
      <c r="H387" t="s">
        <v>561</v>
      </c>
      <c r="I387" s="151" t="s">
        <v>562</v>
      </c>
    </row>
    <row r="388" spans="1:9" x14ac:dyDescent="0.25">
      <c r="A388">
        <v>1800</v>
      </c>
      <c r="B388">
        <f>A388+1</f>
        <v>1801</v>
      </c>
      <c r="C388" t="s">
        <v>507</v>
      </c>
      <c r="D388" t="s">
        <v>27</v>
      </c>
      <c r="E388" s="208" t="s">
        <v>144</v>
      </c>
      <c r="F388" t="s">
        <v>15</v>
      </c>
      <c r="G388" s="18">
        <v>648</v>
      </c>
      <c r="H388" t="s">
        <v>561</v>
      </c>
      <c r="I388" s="151" t="s">
        <v>562</v>
      </c>
    </row>
    <row r="389" spans="1:9" x14ac:dyDescent="0.25">
      <c r="A389">
        <v>1800</v>
      </c>
      <c r="B389">
        <f>A389+1</f>
        <v>1801</v>
      </c>
      <c r="C389" t="s">
        <v>507</v>
      </c>
      <c r="D389" t="s">
        <v>27</v>
      </c>
      <c r="E389" s="208" t="s">
        <v>124</v>
      </c>
      <c r="F389" t="s">
        <v>15</v>
      </c>
      <c r="G389" s="18">
        <v>13401468</v>
      </c>
      <c r="H389" t="s">
        <v>561</v>
      </c>
      <c r="I389" s="151" t="s">
        <v>562</v>
      </c>
    </row>
    <row r="390" spans="1:9" x14ac:dyDescent="0.25">
      <c r="A390">
        <v>1800</v>
      </c>
      <c r="B390">
        <f>A390+1</f>
        <v>1801</v>
      </c>
      <c r="C390" t="s">
        <v>507</v>
      </c>
      <c r="D390" t="s">
        <v>26</v>
      </c>
      <c r="E390" s="208" t="s">
        <v>71</v>
      </c>
      <c r="F390" t="s">
        <v>15</v>
      </c>
      <c r="G390" s="18">
        <v>2446</v>
      </c>
      <c r="H390" s="151" t="s">
        <v>563</v>
      </c>
      <c r="I390" t="s">
        <v>561</v>
      </c>
    </row>
    <row r="391" spans="1:9" x14ac:dyDescent="0.25">
      <c r="A391">
        <v>1800</v>
      </c>
      <c r="B391">
        <f>A391+1</f>
        <v>1801</v>
      </c>
      <c r="C391" t="s">
        <v>507</v>
      </c>
      <c r="D391" t="s">
        <v>26</v>
      </c>
      <c r="E391" s="208" t="s">
        <v>72</v>
      </c>
      <c r="F391" t="s">
        <v>15</v>
      </c>
      <c r="G391" s="18">
        <v>4459</v>
      </c>
      <c r="H391" s="151" t="s">
        <v>563</v>
      </c>
      <c r="I391" t="s">
        <v>561</v>
      </c>
    </row>
    <row r="392" spans="1:9" x14ac:dyDescent="0.25">
      <c r="A392">
        <v>1800</v>
      </c>
      <c r="B392">
        <f>A392+1</f>
        <v>1801</v>
      </c>
      <c r="C392" t="s">
        <v>507</v>
      </c>
      <c r="D392" t="s">
        <v>26</v>
      </c>
      <c r="E392" s="208" t="s">
        <v>69</v>
      </c>
      <c r="F392" t="s">
        <v>15</v>
      </c>
      <c r="G392" s="18">
        <v>199</v>
      </c>
      <c r="H392" s="151" t="s">
        <v>563</v>
      </c>
      <c r="I392" t="s">
        <v>561</v>
      </c>
    </row>
    <row r="393" spans="1:9" x14ac:dyDescent="0.25">
      <c r="A393">
        <v>1800</v>
      </c>
      <c r="B393">
        <f>A393+1</f>
        <v>1801</v>
      </c>
      <c r="C393" t="s">
        <v>507</v>
      </c>
      <c r="D393" t="s">
        <v>26</v>
      </c>
      <c r="E393" s="208" t="s">
        <v>70</v>
      </c>
      <c r="F393" t="s">
        <v>15</v>
      </c>
      <c r="G393" s="18">
        <v>4480</v>
      </c>
      <c r="H393" s="151" t="s">
        <v>563</v>
      </c>
      <c r="I393" t="s">
        <v>561</v>
      </c>
    </row>
    <row r="394" spans="1:9" x14ac:dyDescent="0.25">
      <c r="A394">
        <v>1801</v>
      </c>
      <c r="B394">
        <f>A394+1</f>
        <v>1802</v>
      </c>
      <c r="C394" t="s">
        <v>508</v>
      </c>
      <c r="D394" t="s">
        <v>27</v>
      </c>
      <c r="E394" s="208" t="s">
        <v>155</v>
      </c>
      <c r="F394" t="s">
        <v>3</v>
      </c>
      <c r="G394" s="18">
        <v>112</v>
      </c>
      <c r="H394" t="s">
        <v>16</v>
      </c>
      <c r="I394" t="s">
        <v>24</v>
      </c>
    </row>
    <row r="395" spans="1:9" x14ac:dyDescent="0.25">
      <c r="A395">
        <v>1801</v>
      </c>
      <c r="B395">
        <f>A395+1</f>
        <v>1802</v>
      </c>
      <c r="C395" t="s">
        <v>508</v>
      </c>
      <c r="D395" t="s">
        <v>27</v>
      </c>
      <c r="E395" s="208" t="s">
        <v>156</v>
      </c>
      <c r="F395" t="s">
        <v>3</v>
      </c>
      <c r="G395" s="18">
        <v>3</v>
      </c>
      <c r="H395" t="s">
        <v>16</v>
      </c>
      <c r="I395" t="s">
        <v>24</v>
      </c>
    </row>
    <row r="396" spans="1:9" x14ac:dyDescent="0.25">
      <c r="A396">
        <v>1801</v>
      </c>
      <c r="B396">
        <f>A396+1</f>
        <v>1802</v>
      </c>
      <c r="C396" t="s">
        <v>508</v>
      </c>
      <c r="D396" t="s">
        <v>27</v>
      </c>
      <c r="E396" s="208" t="s">
        <v>154</v>
      </c>
      <c r="F396" t="s">
        <v>3</v>
      </c>
      <c r="G396" s="18">
        <v>273</v>
      </c>
      <c r="H396" t="s">
        <v>16</v>
      </c>
      <c r="I396" t="s">
        <v>24</v>
      </c>
    </row>
    <row r="397" spans="1:9" x14ac:dyDescent="0.25">
      <c r="A397">
        <v>1801</v>
      </c>
      <c r="B397">
        <f>A397+1</f>
        <v>1802</v>
      </c>
      <c r="C397" t="s">
        <v>508</v>
      </c>
      <c r="D397" t="s">
        <v>27</v>
      </c>
      <c r="E397" s="208" t="s">
        <v>150</v>
      </c>
      <c r="F397" t="s">
        <v>3</v>
      </c>
      <c r="G397" s="18">
        <v>1511</v>
      </c>
      <c r="H397" t="s">
        <v>16</v>
      </c>
      <c r="I397" t="s">
        <v>24</v>
      </c>
    </row>
    <row r="398" spans="1:9" x14ac:dyDescent="0.25">
      <c r="A398">
        <v>1801</v>
      </c>
      <c r="B398">
        <f>A398+1</f>
        <v>1802</v>
      </c>
      <c r="C398" t="s">
        <v>508</v>
      </c>
      <c r="D398" t="s">
        <v>27</v>
      </c>
      <c r="E398" s="208" t="s">
        <v>148</v>
      </c>
      <c r="F398" t="s">
        <v>3</v>
      </c>
      <c r="G398" s="18">
        <v>158</v>
      </c>
      <c r="H398" t="s">
        <v>16</v>
      </c>
      <c r="I398" t="s">
        <v>24</v>
      </c>
    </row>
    <row r="399" spans="1:9" x14ac:dyDescent="0.25">
      <c r="A399">
        <v>1801</v>
      </c>
      <c r="B399">
        <f>A399+1</f>
        <v>1802</v>
      </c>
      <c r="C399" t="s">
        <v>508</v>
      </c>
      <c r="D399" t="s">
        <v>27</v>
      </c>
      <c r="E399" s="208" t="s">
        <v>314</v>
      </c>
      <c r="F399" t="s">
        <v>3</v>
      </c>
      <c r="G399" s="18">
        <v>0</v>
      </c>
      <c r="H399" t="s">
        <v>16</v>
      </c>
      <c r="I399" t="s">
        <v>24</v>
      </c>
    </row>
    <row r="400" spans="1:9" x14ac:dyDescent="0.25">
      <c r="A400">
        <v>1801</v>
      </c>
      <c r="B400">
        <f>A400+1</f>
        <v>1802</v>
      </c>
      <c r="C400" t="s">
        <v>508</v>
      </c>
      <c r="D400" t="s">
        <v>27</v>
      </c>
      <c r="E400" s="208" t="s">
        <v>149</v>
      </c>
      <c r="F400" t="s">
        <v>3</v>
      </c>
      <c r="G400" s="18">
        <v>0</v>
      </c>
      <c r="H400" t="s">
        <v>16</v>
      </c>
      <c r="I400" t="s">
        <v>24</v>
      </c>
    </row>
    <row r="401" spans="1:9" x14ac:dyDescent="0.25">
      <c r="A401">
        <v>1801</v>
      </c>
      <c r="B401">
        <f>A401+1</f>
        <v>1802</v>
      </c>
      <c r="C401" t="s">
        <v>508</v>
      </c>
      <c r="D401" t="s">
        <v>27</v>
      </c>
      <c r="E401" s="208" t="s">
        <v>139</v>
      </c>
      <c r="F401" t="s">
        <v>3</v>
      </c>
      <c r="G401" s="18">
        <v>0</v>
      </c>
      <c r="H401" t="s">
        <v>16</v>
      </c>
      <c r="I401" t="s">
        <v>24</v>
      </c>
    </row>
    <row r="402" spans="1:9" x14ac:dyDescent="0.25">
      <c r="A402">
        <v>1801</v>
      </c>
      <c r="B402">
        <f>A402+1</f>
        <v>1802</v>
      </c>
      <c r="C402" t="s">
        <v>508</v>
      </c>
      <c r="D402" t="s">
        <v>27</v>
      </c>
      <c r="E402" s="208" t="s">
        <v>130</v>
      </c>
      <c r="F402" t="s">
        <v>3</v>
      </c>
      <c r="G402" s="18">
        <v>0</v>
      </c>
      <c r="H402" t="s">
        <v>16</v>
      </c>
      <c r="I402" t="s">
        <v>24</v>
      </c>
    </row>
    <row r="403" spans="1:9" x14ac:dyDescent="0.25">
      <c r="A403">
        <v>1801</v>
      </c>
      <c r="B403">
        <f>A403+1</f>
        <v>1802</v>
      </c>
      <c r="C403" t="s">
        <v>508</v>
      </c>
      <c r="D403" t="s">
        <v>27</v>
      </c>
      <c r="E403" s="208" t="s">
        <v>132</v>
      </c>
      <c r="F403" t="s">
        <v>3</v>
      </c>
      <c r="G403" s="18">
        <v>0</v>
      </c>
      <c r="H403" t="s">
        <v>16</v>
      </c>
      <c r="I403" t="s">
        <v>24</v>
      </c>
    </row>
    <row r="404" spans="1:9" x14ac:dyDescent="0.25">
      <c r="A404">
        <v>1801</v>
      </c>
      <c r="B404">
        <f>A404+1</f>
        <v>1802</v>
      </c>
      <c r="C404" t="s">
        <v>508</v>
      </c>
      <c r="D404" t="s">
        <v>27</v>
      </c>
      <c r="E404" s="208" t="s">
        <v>142</v>
      </c>
      <c r="F404" t="s">
        <v>3</v>
      </c>
      <c r="G404" s="18">
        <v>0</v>
      </c>
      <c r="H404" t="s">
        <v>16</v>
      </c>
      <c r="I404" t="s">
        <v>24</v>
      </c>
    </row>
    <row r="405" spans="1:9" x14ac:dyDescent="0.25">
      <c r="A405">
        <v>1801</v>
      </c>
      <c r="B405">
        <f>A405+1</f>
        <v>1802</v>
      </c>
      <c r="C405" t="s">
        <v>508</v>
      </c>
      <c r="D405" t="s">
        <v>27</v>
      </c>
      <c r="E405" s="208" t="s">
        <v>144</v>
      </c>
      <c r="F405" t="s">
        <v>3</v>
      </c>
      <c r="G405" s="18">
        <v>11</v>
      </c>
      <c r="H405" t="s">
        <v>16</v>
      </c>
      <c r="I405" t="s">
        <v>24</v>
      </c>
    </row>
    <row r="406" spans="1:9" x14ac:dyDescent="0.25">
      <c r="A406">
        <v>1801</v>
      </c>
      <c r="B406">
        <f>A406+1</f>
        <v>1802</v>
      </c>
      <c r="C406" t="s">
        <v>508</v>
      </c>
      <c r="D406" t="s">
        <v>27</v>
      </c>
      <c r="E406" s="208" t="s">
        <v>124</v>
      </c>
      <c r="F406" t="s">
        <v>3</v>
      </c>
      <c r="G406" s="18">
        <v>41381</v>
      </c>
      <c r="H406" t="s">
        <v>16</v>
      </c>
      <c r="I406" t="s">
        <v>24</v>
      </c>
    </row>
    <row r="407" spans="1:9" x14ac:dyDescent="0.25">
      <c r="A407">
        <v>1801</v>
      </c>
      <c r="B407">
        <f>A407+1</f>
        <v>1802</v>
      </c>
      <c r="C407" t="s">
        <v>508</v>
      </c>
      <c r="D407" t="s">
        <v>27</v>
      </c>
      <c r="E407" s="208" t="s">
        <v>62</v>
      </c>
      <c r="F407" t="s">
        <v>3</v>
      </c>
      <c r="G407" s="18">
        <v>823</v>
      </c>
      <c r="H407" t="s">
        <v>16</v>
      </c>
      <c r="I407" t="s">
        <v>24</v>
      </c>
    </row>
    <row r="408" spans="1:9" x14ac:dyDescent="0.25">
      <c r="A408">
        <v>1801</v>
      </c>
      <c r="B408">
        <f>A408+1</f>
        <v>1802</v>
      </c>
      <c r="C408" t="s">
        <v>508</v>
      </c>
      <c r="D408" t="s">
        <v>27</v>
      </c>
      <c r="E408" s="208" t="s">
        <v>146</v>
      </c>
      <c r="F408" t="s">
        <v>3</v>
      </c>
      <c r="G408" s="18">
        <v>1264</v>
      </c>
      <c r="H408" t="s">
        <v>16</v>
      </c>
      <c r="I408" t="s">
        <v>24</v>
      </c>
    </row>
    <row r="409" spans="1:9" x14ac:dyDescent="0.25">
      <c r="A409">
        <v>1801</v>
      </c>
      <c r="B409">
        <f>A409+1</f>
        <v>1802</v>
      </c>
      <c r="C409" t="s">
        <v>508</v>
      </c>
      <c r="D409" t="s">
        <v>27</v>
      </c>
      <c r="E409" s="208" t="s">
        <v>36</v>
      </c>
      <c r="F409" t="s">
        <v>3</v>
      </c>
      <c r="G409" s="18">
        <v>281</v>
      </c>
      <c r="H409" t="s">
        <v>16</v>
      </c>
      <c r="I409" t="s">
        <v>24</v>
      </c>
    </row>
    <row r="410" spans="1:9" x14ac:dyDescent="0.25">
      <c r="A410">
        <v>1801</v>
      </c>
      <c r="B410">
        <f>A410+1</f>
        <v>1802</v>
      </c>
      <c r="C410" t="s">
        <v>508</v>
      </c>
      <c r="D410" t="s">
        <v>27</v>
      </c>
      <c r="E410" s="208" t="s">
        <v>171</v>
      </c>
      <c r="F410" t="s">
        <v>3</v>
      </c>
      <c r="G410" s="18">
        <v>6</v>
      </c>
      <c r="H410" t="s">
        <v>16</v>
      </c>
      <c r="I410" t="s">
        <v>24</v>
      </c>
    </row>
    <row r="411" spans="1:9" x14ac:dyDescent="0.25">
      <c r="A411">
        <v>1801</v>
      </c>
      <c r="B411">
        <f>A411+1</f>
        <v>1802</v>
      </c>
      <c r="C411" t="s">
        <v>508</v>
      </c>
      <c r="D411" t="s">
        <v>27</v>
      </c>
      <c r="E411" s="208" t="s">
        <v>158</v>
      </c>
      <c r="F411" t="s">
        <v>3</v>
      </c>
      <c r="G411" s="18">
        <v>3</v>
      </c>
      <c r="H411" t="s">
        <v>16</v>
      </c>
      <c r="I411" t="s">
        <v>24</v>
      </c>
    </row>
    <row r="412" spans="1:9" x14ac:dyDescent="0.25">
      <c r="A412">
        <v>1801</v>
      </c>
      <c r="B412">
        <f>A412+1</f>
        <v>1802</v>
      </c>
      <c r="C412" t="s">
        <v>508</v>
      </c>
      <c r="D412" t="s">
        <v>27</v>
      </c>
      <c r="E412" s="208" t="s">
        <v>159</v>
      </c>
      <c r="F412" t="s">
        <v>3</v>
      </c>
      <c r="G412" s="18">
        <v>7</v>
      </c>
      <c r="H412" t="s">
        <v>16</v>
      </c>
      <c r="I412" t="s">
        <v>24</v>
      </c>
    </row>
    <row r="413" spans="1:9" x14ac:dyDescent="0.25">
      <c r="A413">
        <v>1801</v>
      </c>
      <c r="B413">
        <f>A413+1</f>
        <v>1802</v>
      </c>
      <c r="C413" t="s">
        <v>508</v>
      </c>
      <c r="D413" t="s">
        <v>27</v>
      </c>
      <c r="E413" s="208" t="s">
        <v>99</v>
      </c>
      <c r="F413" t="s">
        <v>3</v>
      </c>
      <c r="G413" s="18">
        <v>80</v>
      </c>
      <c r="H413" t="s">
        <v>16</v>
      </c>
      <c r="I413" t="s">
        <v>24</v>
      </c>
    </row>
    <row r="414" spans="1:9" x14ac:dyDescent="0.25">
      <c r="A414">
        <v>1801</v>
      </c>
      <c r="B414">
        <f>A414+1</f>
        <v>1802</v>
      </c>
      <c r="C414" t="s">
        <v>508</v>
      </c>
      <c r="D414" t="s">
        <v>27</v>
      </c>
      <c r="E414" s="208" t="s">
        <v>117</v>
      </c>
      <c r="F414" t="s">
        <v>3</v>
      </c>
      <c r="G414" s="18">
        <v>2</v>
      </c>
      <c r="H414" t="s">
        <v>16</v>
      </c>
      <c r="I414" t="s">
        <v>24</v>
      </c>
    </row>
    <row r="415" spans="1:9" x14ac:dyDescent="0.25">
      <c r="A415">
        <v>1801</v>
      </c>
      <c r="B415">
        <f>A415+1</f>
        <v>1802</v>
      </c>
      <c r="C415" t="s">
        <v>508</v>
      </c>
      <c r="D415" t="s">
        <v>27</v>
      </c>
      <c r="E415" s="208" t="s">
        <v>151</v>
      </c>
      <c r="F415" t="s">
        <v>3</v>
      </c>
      <c r="G415" s="18">
        <v>53</v>
      </c>
      <c r="H415" t="s">
        <v>16</v>
      </c>
      <c r="I415" t="s">
        <v>24</v>
      </c>
    </row>
    <row r="416" spans="1:9" x14ac:dyDescent="0.25">
      <c r="A416">
        <v>1801</v>
      </c>
      <c r="B416">
        <f>A416+1</f>
        <v>1802</v>
      </c>
      <c r="C416" t="s">
        <v>508</v>
      </c>
      <c r="D416" t="s">
        <v>27</v>
      </c>
      <c r="E416" s="208" t="s">
        <v>126</v>
      </c>
      <c r="F416" t="s">
        <v>3</v>
      </c>
      <c r="G416" s="18">
        <v>70</v>
      </c>
      <c r="H416" t="s">
        <v>16</v>
      </c>
      <c r="I416" t="s">
        <v>24</v>
      </c>
    </row>
    <row r="417" spans="1:9" x14ac:dyDescent="0.25">
      <c r="A417">
        <v>1801</v>
      </c>
      <c r="B417">
        <f>A417+1</f>
        <v>1802</v>
      </c>
      <c r="C417" t="s">
        <v>508</v>
      </c>
      <c r="D417" t="s">
        <v>27</v>
      </c>
      <c r="E417" s="208" t="s">
        <v>153</v>
      </c>
      <c r="F417" t="s">
        <v>3</v>
      </c>
      <c r="G417" s="18">
        <v>225</v>
      </c>
      <c r="H417" t="s">
        <v>16</v>
      </c>
      <c r="I417" t="s">
        <v>24</v>
      </c>
    </row>
    <row r="418" spans="1:9" x14ac:dyDescent="0.25">
      <c r="A418">
        <v>1801</v>
      </c>
      <c r="B418">
        <f>A418+1</f>
        <v>1802</v>
      </c>
      <c r="C418" t="s">
        <v>508</v>
      </c>
      <c r="D418" t="s">
        <v>27</v>
      </c>
      <c r="E418" s="208" t="s">
        <v>120</v>
      </c>
      <c r="F418" t="s">
        <v>3</v>
      </c>
      <c r="G418" s="18">
        <v>27</v>
      </c>
      <c r="H418" t="s">
        <v>16</v>
      </c>
      <c r="I418" t="s">
        <v>24</v>
      </c>
    </row>
    <row r="419" spans="1:9" x14ac:dyDescent="0.25">
      <c r="A419">
        <v>1801</v>
      </c>
      <c r="B419">
        <f>A419+1</f>
        <v>1802</v>
      </c>
      <c r="C419" t="s">
        <v>508</v>
      </c>
      <c r="D419" t="s">
        <v>27</v>
      </c>
      <c r="E419" s="208" t="s">
        <v>45</v>
      </c>
      <c r="F419" t="s">
        <v>3</v>
      </c>
      <c r="G419" s="18">
        <v>36</v>
      </c>
      <c r="H419" t="s">
        <v>16</v>
      </c>
      <c r="I419" t="s">
        <v>24</v>
      </c>
    </row>
    <row r="420" spans="1:9" x14ac:dyDescent="0.25">
      <c r="A420">
        <v>1801</v>
      </c>
      <c r="B420">
        <f>A420+1</f>
        <v>1802</v>
      </c>
      <c r="C420" t="s">
        <v>508</v>
      </c>
      <c r="D420" t="s">
        <v>27</v>
      </c>
      <c r="E420" s="208" t="s">
        <v>152</v>
      </c>
      <c r="F420" t="s">
        <v>3</v>
      </c>
      <c r="G420" s="18">
        <v>30</v>
      </c>
      <c r="H420" t="s">
        <v>16</v>
      </c>
      <c r="I420" t="s">
        <v>24</v>
      </c>
    </row>
    <row r="421" spans="1:9" x14ac:dyDescent="0.25">
      <c r="A421">
        <v>1801</v>
      </c>
      <c r="B421">
        <f>A421+1</f>
        <v>1802</v>
      </c>
      <c r="C421" t="s">
        <v>508</v>
      </c>
      <c r="D421" t="s">
        <v>27</v>
      </c>
      <c r="E421" s="208" t="s">
        <v>70</v>
      </c>
      <c r="F421" t="s">
        <v>3</v>
      </c>
      <c r="G421" s="18">
        <v>30</v>
      </c>
      <c r="H421" t="s">
        <v>16</v>
      </c>
      <c r="I421" t="s">
        <v>24</v>
      </c>
    </row>
    <row r="422" spans="1:9" x14ac:dyDescent="0.25">
      <c r="A422">
        <v>1801</v>
      </c>
      <c r="B422">
        <f>A422+1</f>
        <v>1802</v>
      </c>
      <c r="C422" t="s">
        <v>508</v>
      </c>
      <c r="D422" t="s">
        <v>27</v>
      </c>
      <c r="E422" s="208" t="s">
        <v>75</v>
      </c>
      <c r="F422" t="s">
        <v>3</v>
      </c>
      <c r="G422" s="18">
        <v>14000</v>
      </c>
      <c r="H422" t="s">
        <v>16</v>
      </c>
      <c r="I422" t="s">
        <v>24</v>
      </c>
    </row>
    <row r="423" spans="1:9" x14ac:dyDescent="0.25">
      <c r="A423">
        <v>1801</v>
      </c>
      <c r="B423">
        <f>A423+1</f>
        <v>1802</v>
      </c>
      <c r="C423" t="s">
        <v>508</v>
      </c>
      <c r="D423" t="s">
        <v>27</v>
      </c>
      <c r="E423" s="208" t="s">
        <v>101</v>
      </c>
      <c r="F423" t="s">
        <v>3</v>
      </c>
      <c r="G423" s="18">
        <v>15000</v>
      </c>
      <c r="H423" t="s">
        <v>16</v>
      </c>
      <c r="I423" t="s">
        <v>24</v>
      </c>
    </row>
    <row r="424" spans="1:9" x14ac:dyDescent="0.25">
      <c r="A424">
        <v>1801</v>
      </c>
      <c r="B424">
        <f>A424+1</f>
        <v>1802</v>
      </c>
      <c r="C424" t="s">
        <v>508</v>
      </c>
      <c r="D424" t="s">
        <v>26</v>
      </c>
      <c r="E424" s="208" t="s">
        <v>28</v>
      </c>
      <c r="F424" t="s">
        <v>4</v>
      </c>
      <c r="G424" s="18">
        <v>1207</v>
      </c>
      <c r="H424" t="s">
        <v>23</v>
      </c>
      <c r="I424" t="s">
        <v>16</v>
      </c>
    </row>
    <row r="425" spans="1:9" x14ac:dyDescent="0.25">
      <c r="A425">
        <v>1801</v>
      </c>
      <c r="B425">
        <f>A425+1</f>
        <v>1802</v>
      </c>
      <c r="C425" t="s">
        <v>508</v>
      </c>
      <c r="D425" t="s">
        <v>26</v>
      </c>
      <c r="E425" s="208" t="s">
        <v>28</v>
      </c>
      <c r="F425" t="s">
        <v>7</v>
      </c>
      <c r="G425" s="18">
        <v>1207</v>
      </c>
      <c r="H425" s="151" t="s">
        <v>563</v>
      </c>
      <c r="I425" t="s">
        <v>16</v>
      </c>
    </row>
    <row r="426" spans="1:9" x14ac:dyDescent="0.25">
      <c r="A426">
        <v>1801</v>
      </c>
      <c r="B426">
        <f>A426+1</f>
        <v>1802</v>
      </c>
      <c r="C426" t="s">
        <v>508</v>
      </c>
      <c r="D426" t="s">
        <v>26</v>
      </c>
      <c r="E426" s="208" t="s">
        <v>28</v>
      </c>
      <c r="F426" t="s">
        <v>11</v>
      </c>
      <c r="G426" s="18">
        <v>1195</v>
      </c>
      <c r="H426" t="s">
        <v>23</v>
      </c>
      <c r="I426" t="s">
        <v>17</v>
      </c>
    </row>
    <row r="427" spans="1:9" x14ac:dyDescent="0.25">
      <c r="A427">
        <v>1801</v>
      </c>
      <c r="B427">
        <f>A427+1</f>
        <v>1802</v>
      </c>
      <c r="C427" t="s">
        <v>508</v>
      </c>
      <c r="D427" t="s">
        <v>26</v>
      </c>
      <c r="E427" s="208" t="s">
        <v>28</v>
      </c>
      <c r="F427" t="s">
        <v>14</v>
      </c>
      <c r="G427" s="18">
        <v>1195</v>
      </c>
      <c r="H427" s="151" t="s">
        <v>563</v>
      </c>
      <c r="I427" t="s">
        <v>17</v>
      </c>
    </row>
    <row r="428" spans="1:9" x14ac:dyDescent="0.25">
      <c r="A428">
        <v>1801</v>
      </c>
      <c r="B428">
        <f>A428+1</f>
        <v>1802</v>
      </c>
      <c r="C428" t="s">
        <v>508</v>
      </c>
      <c r="D428" t="s">
        <v>26</v>
      </c>
      <c r="E428" s="208" t="s">
        <v>28</v>
      </c>
      <c r="F428" t="s">
        <v>15</v>
      </c>
      <c r="G428" s="18">
        <v>2402</v>
      </c>
      <c r="H428" s="151" t="s">
        <v>563</v>
      </c>
      <c r="I428" t="s">
        <v>561</v>
      </c>
    </row>
    <row r="429" spans="1:9" x14ac:dyDescent="0.25">
      <c r="A429">
        <v>1801</v>
      </c>
      <c r="B429">
        <f>A429+1</f>
        <v>1802</v>
      </c>
      <c r="C429" t="s">
        <v>508</v>
      </c>
      <c r="D429" t="s">
        <v>26</v>
      </c>
      <c r="E429" s="208" t="s">
        <v>35</v>
      </c>
      <c r="F429" t="s">
        <v>4</v>
      </c>
      <c r="G429" s="18">
        <v>18795</v>
      </c>
      <c r="H429" t="s">
        <v>23</v>
      </c>
      <c r="I429" t="s">
        <v>16</v>
      </c>
    </row>
    <row r="430" spans="1:9" x14ac:dyDescent="0.25">
      <c r="A430">
        <v>1801</v>
      </c>
      <c r="B430">
        <f>A430+1</f>
        <v>1802</v>
      </c>
      <c r="C430" t="s">
        <v>508</v>
      </c>
      <c r="D430" t="s">
        <v>26</v>
      </c>
      <c r="E430" s="208" t="s">
        <v>35</v>
      </c>
      <c r="F430" t="s">
        <v>7</v>
      </c>
      <c r="G430" s="18">
        <v>18795</v>
      </c>
      <c r="H430" s="151" t="s">
        <v>563</v>
      </c>
      <c r="I430" t="s">
        <v>16</v>
      </c>
    </row>
    <row r="431" spans="1:9" x14ac:dyDescent="0.25">
      <c r="A431">
        <v>1801</v>
      </c>
      <c r="B431">
        <f>A431+1</f>
        <v>1802</v>
      </c>
      <c r="C431" t="s">
        <v>508</v>
      </c>
      <c r="D431" t="s">
        <v>26</v>
      </c>
      <c r="E431" s="208" t="s">
        <v>35</v>
      </c>
      <c r="F431" t="s">
        <v>11</v>
      </c>
      <c r="G431" s="18">
        <v>0</v>
      </c>
      <c r="H431" t="s">
        <v>23</v>
      </c>
      <c r="I431" t="s">
        <v>17</v>
      </c>
    </row>
    <row r="432" spans="1:9" x14ac:dyDescent="0.25">
      <c r="A432">
        <v>1801</v>
      </c>
      <c r="B432">
        <f>A432+1</f>
        <v>1802</v>
      </c>
      <c r="C432" t="s">
        <v>508</v>
      </c>
      <c r="D432" t="s">
        <v>26</v>
      </c>
      <c r="E432" s="208" t="s">
        <v>35</v>
      </c>
      <c r="F432" t="s">
        <v>14</v>
      </c>
      <c r="G432" s="18">
        <v>0</v>
      </c>
      <c r="H432" s="151" t="s">
        <v>563</v>
      </c>
      <c r="I432" t="s">
        <v>17</v>
      </c>
    </row>
    <row r="433" spans="1:9" x14ac:dyDescent="0.25">
      <c r="A433">
        <v>1801</v>
      </c>
      <c r="B433">
        <f>A433+1</f>
        <v>1802</v>
      </c>
      <c r="C433" t="s">
        <v>508</v>
      </c>
      <c r="D433" t="s">
        <v>26</v>
      </c>
      <c r="E433" s="208" t="s">
        <v>35</v>
      </c>
      <c r="F433" t="s">
        <v>15</v>
      </c>
      <c r="G433" s="18">
        <v>18795</v>
      </c>
      <c r="H433" s="151" t="s">
        <v>563</v>
      </c>
      <c r="I433" t="s">
        <v>561</v>
      </c>
    </row>
    <row r="434" spans="1:9" x14ac:dyDescent="0.25">
      <c r="A434">
        <v>1801</v>
      </c>
      <c r="B434">
        <f>A434+1</f>
        <v>1802</v>
      </c>
      <c r="C434" t="s">
        <v>508</v>
      </c>
      <c r="D434" t="s">
        <v>26</v>
      </c>
      <c r="E434" s="208" t="s">
        <v>36</v>
      </c>
      <c r="F434" t="s">
        <v>4</v>
      </c>
      <c r="G434" s="18">
        <v>7795</v>
      </c>
      <c r="H434" t="s">
        <v>23</v>
      </c>
      <c r="I434" t="s">
        <v>16</v>
      </c>
    </row>
    <row r="435" spans="1:9" x14ac:dyDescent="0.25">
      <c r="A435">
        <v>1801</v>
      </c>
      <c r="B435">
        <f>A435+1</f>
        <v>1802</v>
      </c>
      <c r="C435" t="s">
        <v>508</v>
      </c>
      <c r="D435" t="s">
        <v>26</v>
      </c>
      <c r="E435" s="208" t="s">
        <v>36</v>
      </c>
      <c r="F435" t="s">
        <v>7</v>
      </c>
      <c r="G435" s="18">
        <v>7795</v>
      </c>
      <c r="H435" s="151" t="s">
        <v>563</v>
      </c>
      <c r="I435" t="s">
        <v>16</v>
      </c>
    </row>
    <row r="436" spans="1:9" x14ac:dyDescent="0.25">
      <c r="A436">
        <v>1801</v>
      </c>
      <c r="B436">
        <f>A436+1</f>
        <v>1802</v>
      </c>
      <c r="C436" t="s">
        <v>508</v>
      </c>
      <c r="D436" t="s">
        <v>26</v>
      </c>
      <c r="E436" s="208" t="s">
        <v>36</v>
      </c>
      <c r="F436" t="s">
        <v>11</v>
      </c>
      <c r="G436" s="18">
        <v>2901</v>
      </c>
      <c r="H436" t="s">
        <v>23</v>
      </c>
      <c r="I436" t="s">
        <v>17</v>
      </c>
    </row>
    <row r="437" spans="1:9" x14ac:dyDescent="0.25">
      <c r="A437">
        <v>1801</v>
      </c>
      <c r="B437">
        <f>A437+1</f>
        <v>1802</v>
      </c>
      <c r="C437" t="s">
        <v>508</v>
      </c>
      <c r="D437" t="s">
        <v>26</v>
      </c>
      <c r="E437" s="208" t="s">
        <v>36</v>
      </c>
      <c r="F437" t="s">
        <v>14</v>
      </c>
      <c r="G437" s="18">
        <v>2901</v>
      </c>
      <c r="H437" s="151" t="s">
        <v>563</v>
      </c>
      <c r="I437" t="s">
        <v>17</v>
      </c>
    </row>
    <row r="438" spans="1:9" x14ac:dyDescent="0.25">
      <c r="A438">
        <v>1801</v>
      </c>
      <c r="B438">
        <f>A438+1</f>
        <v>1802</v>
      </c>
      <c r="C438" t="s">
        <v>508</v>
      </c>
      <c r="D438" t="s">
        <v>26</v>
      </c>
      <c r="E438" s="208" t="s">
        <v>36</v>
      </c>
      <c r="F438" t="s">
        <v>15</v>
      </c>
      <c r="G438" s="18">
        <v>10696</v>
      </c>
      <c r="H438" s="151" t="s">
        <v>563</v>
      </c>
      <c r="I438" t="s">
        <v>561</v>
      </c>
    </row>
    <row r="439" spans="1:9" x14ac:dyDescent="0.25">
      <c r="A439">
        <v>1801</v>
      </c>
      <c r="B439">
        <f>A439+1</f>
        <v>1802</v>
      </c>
      <c r="C439" t="s">
        <v>508</v>
      </c>
      <c r="D439" t="s">
        <v>26</v>
      </c>
      <c r="E439" s="208" t="s">
        <v>39</v>
      </c>
      <c r="F439" t="s">
        <v>4</v>
      </c>
      <c r="G439" s="18">
        <v>4234</v>
      </c>
      <c r="H439" t="s">
        <v>23</v>
      </c>
      <c r="I439" t="s">
        <v>16</v>
      </c>
    </row>
    <row r="440" spans="1:9" x14ac:dyDescent="0.25">
      <c r="A440">
        <v>1801</v>
      </c>
      <c r="B440">
        <f>A440+1</f>
        <v>1802</v>
      </c>
      <c r="C440" t="s">
        <v>508</v>
      </c>
      <c r="D440" t="s">
        <v>26</v>
      </c>
      <c r="E440" s="208" t="s">
        <v>39</v>
      </c>
      <c r="F440" t="s">
        <v>7</v>
      </c>
      <c r="G440" s="18">
        <v>4234</v>
      </c>
      <c r="H440" s="151" t="s">
        <v>563</v>
      </c>
      <c r="I440" t="s">
        <v>16</v>
      </c>
    </row>
    <row r="441" spans="1:9" x14ac:dyDescent="0.25">
      <c r="A441">
        <v>1801</v>
      </c>
      <c r="B441">
        <f>A441+1</f>
        <v>1802</v>
      </c>
      <c r="C441" t="s">
        <v>508</v>
      </c>
      <c r="D441" t="s">
        <v>26</v>
      </c>
      <c r="E441" s="208" t="s">
        <v>39</v>
      </c>
      <c r="F441" t="s">
        <v>11</v>
      </c>
      <c r="G441" s="18">
        <v>0</v>
      </c>
      <c r="H441" t="s">
        <v>23</v>
      </c>
      <c r="I441" t="s">
        <v>17</v>
      </c>
    </row>
    <row r="442" spans="1:9" x14ac:dyDescent="0.25">
      <c r="A442">
        <v>1801</v>
      </c>
      <c r="B442">
        <f>A442+1</f>
        <v>1802</v>
      </c>
      <c r="C442" t="s">
        <v>508</v>
      </c>
      <c r="D442" t="s">
        <v>26</v>
      </c>
      <c r="E442" s="208" t="s">
        <v>39</v>
      </c>
      <c r="F442" t="s">
        <v>14</v>
      </c>
      <c r="G442" s="18">
        <v>0</v>
      </c>
      <c r="H442" s="151" t="s">
        <v>563</v>
      </c>
      <c r="I442" t="s">
        <v>17</v>
      </c>
    </row>
    <row r="443" spans="1:9" x14ac:dyDescent="0.25">
      <c r="A443">
        <v>1801</v>
      </c>
      <c r="B443">
        <f>A443+1</f>
        <v>1802</v>
      </c>
      <c r="C443" t="s">
        <v>508</v>
      </c>
      <c r="D443" t="s">
        <v>26</v>
      </c>
      <c r="E443" s="208" t="s">
        <v>39</v>
      </c>
      <c r="F443" t="s">
        <v>15</v>
      </c>
      <c r="G443" s="18">
        <v>4234</v>
      </c>
      <c r="H443" s="151" t="s">
        <v>563</v>
      </c>
      <c r="I443" t="s">
        <v>561</v>
      </c>
    </row>
    <row r="444" spans="1:9" x14ac:dyDescent="0.25">
      <c r="A444">
        <v>1801</v>
      </c>
      <c r="B444">
        <f>A444+1</f>
        <v>1802</v>
      </c>
      <c r="C444" t="s">
        <v>508</v>
      </c>
      <c r="D444" t="s">
        <v>26</v>
      </c>
      <c r="E444" s="208" t="s">
        <v>45</v>
      </c>
      <c r="F444" t="s">
        <v>3</v>
      </c>
      <c r="G444" s="18">
        <v>160</v>
      </c>
      <c r="H444" t="s">
        <v>24</v>
      </c>
      <c r="I444" t="s">
        <v>16</v>
      </c>
    </row>
    <row r="445" spans="1:9" x14ac:dyDescent="0.25">
      <c r="A445">
        <v>1801</v>
      </c>
      <c r="B445">
        <f>A445+1</f>
        <v>1802</v>
      </c>
      <c r="C445" t="s">
        <v>508</v>
      </c>
      <c r="D445" t="s">
        <v>26</v>
      </c>
      <c r="E445" s="208" t="s">
        <v>45</v>
      </c>
      <c r="F445" t="s">
        <v>4</v>
      </c>
      <c r="G445" s="18">
        <v>1527</v>
      </c>
      <c r="H445" t="s">
        <v>23</v>
      </c>
      <c r="I445" t="s">
        <v>16</v>
      </c>
    </row>
    <row r="446" spans="1:9" x14ac:dyDescent="0.25">
      <c r="A446">
        <v>1801</v>
      </c>
      <c r="B446">
        <f>A446+1</f>
        <v>1802</v>
      </c>
      <c r="C446" t="s">
        <v>508</v>
      </c>
      <c r="D446" t="s">
        <v>26</v>
      </c>
      <c r="E446" s="208" t="s">
        <v>45</v>
      </c>
      <c r="F446" t="s">
        <v>7</v>
      </c>
      <c r="G446" s="18">
        <v>1687</v>
      </c>
      <c r="H446" s="151" t="s">
        <v>563</v>
      </c>
      <c r="I446" t="s">
        <v>16</v>
      </c>
    </row>
    <row r="447" spans="1:9" x14ac:dyDescent="0.25">
      <c r="A447">
        <v>1801</v>
      </c>
      <c r="B447">
        <f>A447+1</f>
        <v>1802</v>
      </c>
      <c r="C447" t="s">
        <v>508</v>
      </c>
      <c r="D447" t="s">
        <v>26</v>
      </c>
      <c r="E447" s="208" t="s">
        <v>45</v>
      </c>
      <c r="F447" t="s">
        <v>10</v>
      </c>
      <c r="G447" s="18">
        <v>0</v>
      </c>
      <c r="H447" t="s">
        <v>24</v>
      </c>
      <c r="I447" t="s">
        <v>17</v>
      </c>
    </row>
    <row r="448" spans="1:9" x14ac:dyDescent="0.25">
      <c r="A448">
        <v>1801</v>
      </c>
      <c r="B448">
        <f>A448+1</f>
        <v>1802</v>
      </c>
      <c r="C448" t="s">
        <v>508</v>
      </c>
      <c r="D448" t="s">
        <v>26</v>
      </c>
      <c r="E448" s="208" t="s">
        <v>45</v>
      </c>
      <c r="F448" t="s">
        <v>11</v>
      </c>
      <c r="G448" s="18">
        <v>865</v>
      </c>
      <c r="H448" t="s">
        <v>23</v>
      </c>
      <c r="I448" t="s">
        <v>17</v>
      </c>
    </row>
    <row r="449" spans="1:9" x14ac:dyDescent="0.25">
      <c r="A449">
        <v>1801</v>
      </c>
      <c r="B449">
        <f>A449+1</f>
        <v>1802</v>
      </c>
      <c r="C449" t="s">
        <v>508</v>
      </c>
      <c r="D449" t="s">
        <v>26</v>
      </c>
      <c r="E449" s="208" t="s">
        <v>45</v>
      </c>
      <c r="F449" t="s">
        <v>14</v>
      </c>
      <c r="G449" s="18">
        <v>865</v>
      </c>
      <c r="H449" s="151" t="s">
        <v>563</v>
      </c>
      <c r="I449" t="s">
        <v>17</v>
      </c>
    </row>
    <row r="450" spans="1:9" x14ac:dyDescent="0.25">
      <c r="A450">
        <v>1801</v>
      </c>
      <c r="B450">
        <f>A450+1</f>
        <v>1802</v>
      </c>
      <c r="C450" t="s">
        <v>508</v>
      </c>
      <c r="D450" t="s">
        <v>26</v>
      </c>
      <c r="E450" s="208" t="s">
        <v>45</v>
      </c>
      <c r="F450" t="s">
        <v>15</v>
      </c>
      <c r="G450" s="18">
        <v>2552</v>
      </c>
      <c r="H450" s="151" t="s">
        <v>563</v>
      </c>
      <c r="I450" t="s">
        <v>561</v>
      </c>
    </row>
    <row r="451" spans="1:9" x14ac:dyDescent="0.25">
      <c r="A451">
        <v>1801</v>
      </c>
      <c r="B451">
        <f>A451+1</f>
        <v>1802</v>
      </c>
      <c r="C451" t="s">
        <v>508</v>
      </c>
      <c r="D451" t="s">
        <v>26</v>
      </c>
      <c r="E451" s="208" t="s">
        <v>51</v>
      </c>
      <c r="F451" t="s">
        <v>3</v>
      </c>
      <c r="G451" s="18">
        <v>1000</v>
      </c>
      <c r="H451" t="s">
        <v>24</v>
      </c>
      <c r="I451" t="s">
        <v>16</v>
      </c>
    </row>
    <row r="452" spans="1:9" x14ac:dyDescent="0.25">
      <c r="A452">
        <v>1801</v>
      </c>
      <c r="B452">
        <f>A452+1</f>
        <v>1802</v>
      </c>
      <c r="C452" t="s">
        <v>508</v>
      </c>
      <c r="D452" t="s">
        <v>26</v>
      </c>
      <c r="E452" s="208" t="s">
        <v>51</v>
      </c>
      <c r="F452" t="s">
        <v>7</v>
      </c>
      <c r="G452" s="18">
        <v>1000</v>
      </c>
      <c r="H452" s="151" t="s">
        <v>563</v>
      </c>
      <c r="I452" t="s">
        <v>16</v>
      </c>
    </row>
    <row r="453" spans="1:9" x14ac:dyDescent="0.25">
      <c r="A453">
        <v>1801</v>
      </c>
      <c r="B453">
        <f>A453+1</f>
        <v>1802</v>
      </c>
      <c r="C453" t="s">
        <v>508</v>
      </c>
      <c r="D453" t="s">
        <v>27</v>
      </c>
      <c r="E453" s="208" t="s">
        <v>155</v>
      </c>
      <c r="F453" t="s">
        <v>0</v>
      </c>
      <c r="G453" s="18">
        <v>58155</v>
      </c>
      <c r="H453" t="s">
        <v>16</v>
      </c>
      <c r="I453" t="s">
        <v>18</v>
      </c>
    </row>
    <row r="454" spans="1:9" x14ac:dyDescent="0.25">
      <c r="A454">
        <v>1801</v>
      </c>
      <c r="B454">
        <f>A454+1</f>
        <v>1802</v>
      </c>
      <c r="C454" t="s">
        <v>508</v>
      </c>
      <c r="D454" t="s">
        <v>27</v>
      </c>
      <c r="E454" s="208" t="s">
        <v>156</v>
      </c>
      <c r="F454" t="s">
        <v>0</v>
      </c>
      <c r="G454" s="18">
        <v>5722</v>
      </c>
      <c r="H454" t="s">
        <v>16</v>
      </c>
      <c r="I454" t="s">
        <v>18</v>
      </c>
    </row>
    <row r="455" spans="1:9" x14ac:dyDescent="0.25">
      <c r="A455">
        <v>1801</v>
      </c>
      <c r="B455">
        <f>A455+1</f>
        <v>1802</v>
      </c>
      <c r="C455" t="s">
        <v>508</v>
      </c>
      <c r="D455" t="s">
        <v>27</v>
      </c>
      <c r="E455" s="208" t="s">
        <v>154</v>
      </c>
      <c r="F455" t="s">
        <v>0</v>
      </c>
      <c r="G455" s="18">
        <v>726</v>
      </c>
      <c r="H455" t="s">
        <v>16</v>
      </c>
      <c r="I455" t="s">
        <v>18</v>
      </c>
    </row>
    <row r="456" spans="1:9" x14ac:dyDescent="0.25">
      <c r="A456">
        <v>1801</v>
      </c>
      <c r="B456">
        <f>A456+1</f>
        <v>1802</v>
      </c>
      <c r="C456" t="s">
        <v>508</v>
      </c>
      <c r="D456" t="s">
        <v>27</v>
      </c>
      <c r="E456" s="208" t="s">
        <v>150</v>
      </c>
      <c r="F456" t="s">
        <v>0</v>
      </c>
      <c r="G456" s="18">
        <v>10943</v>
      </c>
      <c r="H456" t="s">
        <v>16</v>
      </c>
      <c r="I456" t="s">
        <v>18</v>
      </c>
    </row>
    <row r="457" spans="1:9" x14ac:dyDescent="0.25">
      <c r="A457">
        <v>1801</v>
      </c>
      <c r="B457">
        <f>A457+1</f>
        <v>1802</v>
      </c>
      <c r="C457" t="s">
        <v>508</v>
      </c>
      <c r="D457" t="s">
        <v>27</v>
      </c>
      <c r="E457" s="208" t="s">
        <v>148</v>
      </c>
      <c r="F457" t="s">
        <v>0</v>
      </c>
      <c r="G457" s="18">
        <v>539</v>
      </c>
      <c r="H457" t="s">
        <v>16</v>
      </c>
      <c r="I457" t="s">
        <v>18</v>
      </c>
    </row>
    <row r="458" spans="1:9" x14ac:dyDescent="0.25">
      <c r="A458">
        <v>1801</v>
      </c>
      <c r="B458">
        <f>A458+1</f>
        <v>1802</v>
      </c>
      <c r="C458" t="s">
        <v>508</v>
      </c>
      <c r="D458" t="s">
        <v>27</v>
      </c>
      <c r="E458" s="208" t="s">
        <v>314</v>
      </c>
      <c r="F458" t="s">
        <v>0</v>
      </c>
      <c r="G458" s="18">
        <v>0</v>
      </c>
      <c r="H458" t="s">
        <v>16</v>
      </c>
      <c r="I458" t="s">
        <v>18</v>
      </c>
    </row>
    <row r="459" spans="1:9" x14ac:dyDescent="0.25">
      <c r="A459">
        <v>1801</v>
      </c>
      <c r="B459">
        <f>A459+1</f>
        <v>1802</v>
      </c>
      <c r="C459" t="s">
        <v>508</v>
      </c>
      <c r="D459" t="s">
        <v>27</v>
      </c>
      <c r="E459" s="208" t="s">
        <v>149</v>
      </c>
      <c r="F459" t="s">
        <v>0</v>
      </c>
      <c r="G459" s="18">
        <v>0</v>
      </c>
      <c r="H459" t="s">
        <v>16</v>
      </c>
      <c r="I459" t="s">
        <v>18</v>
      </c>
    </row>
    <row r="460" spans="1:9" x14ac:dyDescent="0.25">
      <c r="A460">
        <v>1801</v>
      </c>
      <c r="B460">
        <f>A460+1</f>
        <v>1802</v>
      </c>
      <c r="C460" t="s">
        <v>508</v>
      </c>
      <c r="D460" t="s">
        <v>27</v>
      </c>
      <c r="E460" s="208" t="s">
        <v>139</v>
      </c>
      <c r="F460" t="s">
        <v>0</v>
      </c>
      <c r="G460" s="18">
        <v>0</v>
      </c>
      <c r="H460" t="s">
        <v>16</v>
      </c>
      <c r="I460" t="s">
        <v>18</v>
      </c>
    </row>
    <row r="461" spans="1:9" x14ac:dyDescent="0.25">
      <c r="A461">
        <v>1801</v>
      </c>
      <c r="B461">
        <f>A461+1</f>
        <v>1802</v>
      </c>
      <c r="C461" t="s">
        <v>508</v>
      </c>
      <c r="D461" t="s">
        <v>27</v>
      </c>
      <c r="E461" s="208" t="s">
        <v>130</v>
      </c>
      <c r="F461" t="s">
        <v>0</v>
      </c>
      <c r="G461" s="18">
        <v>28</v>
      </c>
      <c r="H461" t="s">
        <v>16</v>
      </c>
      <c r="I461" t="s">
        <v>18</v>
      </c>
    </row>
    <row r="462" spans="1:9" x14ac:dyDescent="0.25">
      <c r="A462">
        <v>1801</v>
      </c>
      <c r="B462">
        <f>A462+1</f>
        <v>1802</v>
      </c>
      <c r="C462" t="s">
        <v>508</v>
      </c>
      <c r="D462" t="s">
        <v>27</v>
      </c>
      <c r="E462" s="208" t="s">
        <v>132</v>
      </c>
      <c r="F462" t="s">
        <v>0</v>
      </c>
      <c r="G462" s="18">
        <v>16</v>
      </c>
      <c r="H462" t="s">
        <v>16</v>
      </c>
      <c r="I462" t="s">
        <v>18</v>
      </c>
    </row>
    <row r="463" spans="1:9" x14ac:dyDescent="0.25">
      <c r="A463">
        <v>1801</v>
      </c>
      <c r="B463">
        <f>A463+1</f>
        <v>1802</v>
      </c>
      <c r="C463" t="s">
        <v>508</v>
      </c>
      <c r="D463" t="s">
        <v>27</v>
      </c>
      <c r="E463" s="208" t="s">
        <v>142</v>
      </c>
      <c r="F463" t="s">
        <v>0</v>
      </c>
      <c r="G463" s="18">
        <v>2221</v>
      </c>
      <c r="H463" t="s">
        <v>16</v>
      </c>
      <c r="I463" t="s">
        <v>18</v>
      </c>
    </row>
    <row r="464" spans="1:9" x14ac:dyDescent="0.25">
      <c r="A464">
        <v>1801</v>
      </c>
      <c r="B464">
        <f>A464+1</f>
        <v>1802</v>
      </c>
      <c r="C464" t="s">
        <v>508</v>
      </c>
      <c r="D464" t="s">
        <v>27</v>
      </c>
      <c r="E464" s="208" t="s">
        <v>144</v>
      </c>
      <c r="F464" t="s">
        <v>0</v>
      </c>
      <c r="G464" s="18">
        <v>426</v>
      </c>
      <c r="H464" t="s">
        <v>16</v>
      </c>
      <c r="I464" t="s">
        <v>18</v>
      </c>
    </row>
    <row r="465" spans="1:9" x14ac:dyDescent="0.25">
      <c r="A465">
        <v>1801</v>
      </c>
      <c r="B465">
        <f>A465+1</f>
        <v>1802</v>
      </c>
      <c r="C465" t="s">
        <v>508</v>
      </c>
      <c r="D465" t="s">
        <v>27</v>
      </c>
      <c r="E465" s="208" t="s">
        <v>124</v>
      </c>
      <c r="F465" t="s">
        <v>0</v>
      </c>
      <c r="G465" s="18">
        <v>11608472</v>
      </c>
      <c r="H465" t="s">
        <v>16</v>
      </c>
      <c r="I465" t="s">
        <v>18</v>
      </c>
    </row>
    <row r="466" spans="1:9" x14ac:dyDescent="0.25">
      <c r="A466">
        <v>1801</v>
      </c>
      <c r="B466">
        <f>A466+1</f>
        <v>1802</v>
      </c>
      <c r="C466" t="s">
        <v>508</v>
      </c>
      <c r="D466" t="s">
        <v>27</v>
      </c>
      <c r="E466" s="208" t="s">
        <v>155</v>
      </c>
      <c r="F466" t="s">
        <v>1</v>
      </c>
      <c r="G466" s="18">
        <v>2186</v>
      </c>
      <c r="H466" t="s">
        <v>16</v>
      </c>
      <c r="I466" t="s">
        <v>21</v>
      </c>
    </row>
    <row r="467" spans="1:9" x14ac:dyDescent="0.25">
      <c r="A467">
        <v>1801</v>
      </c>
      <c r="B467">
        <f>A467+1</f>
        <v>1802</v>
      </c>
      <c r="C467" t="s">
        <v>508</v>
      </c>
      <c r="D467" t="s">
        <v>27</v>
      </c>
      <c r="E467" s="208" t="s">
        <v>156</v>
      </c>
      <c r="F467" t="s">
        <v>1</v>
      </c>
      <c r="G467" s="18">
        <v>442</v>
      </c>
      <c r="H467" t="s">
        <v>16</v>
      </c>
      <c r="I467" t="s">
        <v>21</v>
      </c>
    </row>
    <row r="468" spans="1:9" x14ac:dyDescent="0.25">
      <c r="A468">
        <v>1801</v>
      </c>
      <c r="B468">
        <f>A468+1</f>
        <v>1802</v>
      </c>
      <c r="C468" t="s">
        <v>508</v>
      </c>
      <c r="D468" t="s">
        <v>27</v>
      </c>
      <c r="E468" s="208" t="s">
        <v>154</v>
      </c>
      <c r="F468" t="s">
        <v>1</v>
      </c>
      <c r="G468" s="18">
        <v>952</v>
      </c>
      <c r="H468" t="s">
        <v>16</v>
      </c>
      <c r="I468" t="s">
        <v>21</v>
      </c>
    </row>
    <row r="469" spans="1:9" x14ac:dyDescent="0.25">
      <c r="A469">
        <v>1801</v>
      </c>
      <c r="B469">
        <f>A469+1</f>
        <v>1802</v>
      </c>
      <c r="C469" t="s">
        <v>508</v>
      </c>
      <c r="D469" t="s">
        <v>27</v>
      </c>
      <c r="E469" s="208" t="s">
        <v>150</v>
      </c>
      <c r="F469" t="s">
        <v>1</v>
      </c>
      <c r="G469" s="18">
        <v>1522</v>
      </c>
      <c r="H469" t="s">
        <v>16</v>
      </c>
      <c r="I469" t="s">
        <v>21</v>
      </c>
    </row>
    <row r="470" spans="1:9" x14ac:dyDescent="0.25">
      <c r="A470">
        <v>1801</v>
      </c>
      <c r="B470">
        <f>A470+1</f>
        <v>1802</v>
      </c>
      <c r="C470" t="s">
        <v>508</v>
      </c>
      <c r="D470" t="s">
        <v>27</v>
      </c>
      <c r="E470" s="208" t="s">
        <v>148</v>
      </c>
      <c r="F470" t="s">
        <v>1</v>
      </c>
      <c r="G470" s="18">
        <v>198</v>
      </c>
      <c r="H470" t="s">
        <v>16</v>
      </c>
      <c r="I470" t="s">
        <v>21</v>
      </c>
    </row>
    <row r="471" spans="1:9" x14ac:dyDescent="0.25">
      <c r="A471">
        <v>1801</v>
      </c>
      <c r="B471">
        <f>A471+1</f>
        <v>1802</v>
      </c>
      <c r="C471" t="s">
        <v>508</v>
      </c>
      <c r="D471" t="s">
        <v>27</v>
      </c>
      <c r="E471" s="208" t="s">
        <v>314</v>
      </c>
      <c r="F471" t="s">
        <v>1</v>
      </c>
      <c r="G471" s="18">
        <v>0</v>
      </c>
      <c r="H471" t="s">
        <v>16</v>
      </c>
      <c r="I471" t="s">
        <v>21</v>
      </c>
    </row>
    <row r="472" spans="1:9" x14ac:dyDescent="0.25">
      <c r="A472">
        <v>1801</v>
      </c>
      <c r="B472">
        <f>A472+1</f>
        <v>1802</v>
      </c>
      <c r="C472" t="s">
        <v>508</v>
      </c>
      <c r="D472" t="s">
        <v>27</v>
      </c>
      <c r="E472" s="208" t="s">
        <v>149</v>
      </c>
      <c r="F472" t="s">
        <v>1</v>
      </c>
      <c r="G472" s="18">
        <v>0</v>
      </c>
      <c r="H472" t="s">
        <v>16</v>
      </c>
      <c r="I472" t="s">
        <v>21</v>
      </c>
    </row>
    <row r="473" spans="1:9" x14ac:dyDescent="0.25">
      <c r="A473">
        <v>1801</v>
      </c>
      <c r="B473">
        <f>A473+1</f>
        <v>1802</v>
      </c>
      <c r="C473" t="s">
        <v>508</v>
      </c>
      <c r="D473" t="s">
        <v>27</v>
      </c>
      <c r="E473" s="208" t="s">
        <v>139</v>
      </c>
      <c r="F473" t="s">
        <v>1</v>
      </c>
      <c r="G473" s="18">
        <v>0</v>
      </c>
      <c r="H473" t="s">
        <v>16</v>
      </c>
      <c r="I473" t="s">
        <v>21</v>
      </c>
    </row>
    <row r="474" spans="1:9" x14ac:dyDescent="0.25">
      <c r="A474">
        <v>1801</v>
      </c>
      <c r="B474">
        <f>A474+1</f>
        <v>1802</v>
      </c>
      <c r="C474" t="s">
        <v>508</v>
      </c>
      <c r="D474" t="s">
        <v>27</v>
      </c>
      <c r="E474" s="208" t="s">
        <v>130</v>
      </c>
      <c r="F474" t="s">
        <v>1</v>
      </c>
      <c r="G474" s="18">
        <v>0</v>
      </c>
      <c r="H474" t="s">
        <v>16</v>
      </c>
      <c r="I474" t="s">
        <v>21</v>
      </c>
    </row>
    <row r="475" spans="1:9" x14ac:dyDescent="0.25">
      <c r="A475">
        <v>1801</v>
      </c>
      <c r="B475">
        <f>A475+1</f>
        <v>1802</v>
      </c>
      <c r="C475" t="s">
        <v>508</v>
      </c>
      <c r="D475" t="s">
        <v>27</v>
      </c>
      <c r="E475" s="208" t="s">
        <v>132</v>
      </c>
      <c r="F475" t="s">
        <v>1</v>
      </c>
      <c r="G475" s="18">
        <v>0</v>
      </c>
      <c r="H475" t="s">
        <v>16</v>
      </c>
      <c r="I475" t="s">
        <v>21</v>
      </c>
    </row>
    <row r="476" spans="1:9" x14ac:dyDescent="0.25">
      <c r="A476">
        <v>1801</v>
      </c>
      <c r="B476">
        <f>A476+1</f>
        <v>1802</v>
      </c>
      <c r="C476" t="s">
        <v>508</v>
      </c>
      <c r="D476" t="s">
        <v>27</v>
      </c>
      <c r="E476" s="208" t="s">
        <v>142</v>
      </c>
      <c r="F476" t="s">
        <v>1</v>
      </c>
      <c r="G476" s="18">
        <v>5</v>
      </c>
      <c r="H476" t="s">
        <v>16</v>
      </c>
      <c r="I476" t="s">
        <v>21</v>
      </c>
    </row>
    <row r="477" spans="1:9" x14ac:dyDescent="0.25">
      <c r="A477">
        <v>1801</v>
      </c>
      <c r="B477">
        <f>A477+1</f>
        <v>1802</v>
      </c>
      <c r="C477" t="s">
        <v>508</v>
      </c>
      <c r="D477" t="s">
        <v>27</v>
      </c>
      <c r="E477" s="208" t="s">
        <v>144</v>
      </c>
      <c r="F477" t="s">
        <v>1</v>
      </c>
      <c r="G477" s="18">
        <v>20</v>
      </c>
      <c r="H477" t="s">
        <v>16</v>
      </c>
      <c r="I477" t="s">
        <v>21</v>
      </c>
    </row>
    <row r="478" spans="1:9" x14ac:dyDescent="0.25">
      <c r="A478">
        <v>1801</v>
      </c>
      <c r="B478">
        <f>A478+1</f>
        <v>1802</v>
      </c>
      <c r="C478" t="s">
        <v>508</v>
      </c>
      <c r="D478" t="s">
        <v>27</v>
      </c>
      <c r="E478" s="208" t="s">
        <v>124</v>
      </c>
      <c r="F478" t="s">
        <v>1</v>
      </c>
      <c r="G478" s="18">
        <v>65921</v>
      </c>
      <c r="H478" t="s">
        <v>16</v>
      </c>
      <c r="I478" t="s">
        <v>21</v>
      </c>
    </row>
    <row r="479" spans="1:9" x14ac:dyDescent="0.25">
      <c r="A479">
        <v>1801</v>
      </c>
      <c r="B479">
        <f>A479+1</f>
        <v>1802</v>
      </c>
      <c r="C479" t="s">
        <v>508</v>
      </c>
      <c r="D479" t="s">
        <v>27</v>
      </c>
      <c r="E479" s="208" t="s">
        <v>155</v>
      </c>
      <c r="F479" t="s">
        <v>6</v>
      </c>
      <c r="G479" s="18">
        <v>0</v>
      </c>
      <c r="H479" t="s">
        <v>16</v>
      </c>
      <c r="I479" t="s">
        <v>25</v>
      </c>
    </row>
    <row r="480" spans="1:9" x14ac:dyDescent="0.25">
      <c r="A480">
        <v>1801</v>
      </c>
      <c r="B480">
        <f>A480+1</f>
        <v>1802</v>
      </c>
      <c r="C480" t="s">
        <v>508</v>
      </c>
      <c r="D480" t="s">
        <v>27</v>
      </c>
      <c r="E480" s="208" t="s">
        <v>156</v>
      </c>
      <c r="F480" t="s">
        <v>6</v>
      </c>
      <c r="G480" s="18">
        <v>0</v>
      </c>
      <c r="H480" t="s">
        <v>16</v>
      </c>
      <c r="I480" t="s">
        <v>25</v>
      </c>
    </row>
    <row r="481" spans="1:9" x14ac:dyDescent="0.25">
      <c r="A481">
        <v>1801</v>
      </c>
      <c r="B481">
        <f>A481+1</f>
        <v>1802</v>
      </c>
      <c r="C481" t="s">
        <v>508</v>
      </c>
      <c r="D481" t="s">
        <v>27</v>
      </c>
      <c r="E481" s="208" t="s">
        <v>154</v>
      </c>
      <c r="F481" t="s">
        <v>6</v>
      </c>
      <c r="G481" s="18">
        <v>0</v>
      </c>
      <c r="H481" t="s">
        <v>16</v>
      </c>
      <c r="I481" t="s">
        <v>25</v>
      </c>
    </row>
    <row r="482" spans="1:9" x14ac:dyDescent="0.25">
      <c r="A482">
        <v>1801</v>
      </c>
      <c r="B482">
        <f>A482+1</f>
        <v>1802</v>
      </c>
      <c r="C482" t="s">
        <v>508</v>
      </c>
      <c r="D482" t="s">
        <v>27</v>
      </c>
      <c r="E482" s="208" t="s">
        <v>150</v>
      </c>
      <c r="F482" t="s">
        <v>6</v>
      </c>
      <c r="G482" s="18">
        <v>564</v>
      </c>
      <c r="H482" t="s">
        <v>16</v>
      </c>
      <c r="I482" t="s">
        <v>25</v>
      </c>
    </row>
    <row r="483" spans="1:9" x14ac:dyDescent="0.25">
      <c r="A483">
        <v>1801</v>
      </c>
      <c r="B483">
        <f>A483+1</f>
        <v>1802</v>
      </c>
      <c r="C483" t="s">
        <v>508</v>
      </c>
      <c r="D483" t="s">
        <v>27</v>
      </c>
      <c r="E483" s="208" t="s">
        <v>148</v>
      </c>
      <c r="F483" t="s">
        <v>6</v>
      </c>
      <c r="G483" s="18">
        <v>296</v>
      </c>
      <c r="H483" t="s">
        <v>16</v>
      </c>
      <c r="I483" t="s">
        <v>25</v>
      </c>
    </row>
    <row r="484" spans="1:9" x14ac:dyDescent="0.25">
      <c r="A484">
        <v>1801</v>
      </c>
      <c r="B484">
        <f>A484+1</f>
        <v>1802</v>
      </c>
      <c r="C484" t="s">
        <v>508</v>
      </c>
      <c r="D484" t="s">
        <v>27</v>
      </c>
      <c r="E484" s="208" t="s">
        <v>314</v>
      </c>
      <c r="F484" t="s">
        <v>6</v>
      </c>
      <c r="G484" s="18">
        <v>473</v>
      </c>
      <c r="H484" t="s">
        <v>16</v>
      </c>
      <c r="I484" t="s">
        <v>25</v>
      </c>
    </row>
    <row r="485" spans="1:9" x14ac:dyDescent="0.25">
      <c r="A485">
        <v>1801</v>
      </c>
      <c r="B485">
        <f>A485+1</f>
        <v>1802</v>
      </c>
      <c r="C485" t="s">
        <v>508</v>
      </c>
      <c r="D485" t="s">
        <v>27</v>
      </c>
      <c r="E485" s="208" t="s">
        <v>149</v>
      </c>
      <c r="F485" t="s">
        <v>6</v>
      </c>
      <c r="G485" s="18">
        <v>205</v>
      </c>
      <c r="H485" t="s">
        <v>16</v>
      </c>
      <c r="I485" t="s">
        <v>25</v>
      </c>
    </row>
    <row r="486" spans="1:9" x14ac:dyDescent="0.25">
      <c r="A486">
        <v>1801</v>
      </c>
      <c r="B486">
        <f>A486+1</f>
        <v>1802</v>
      </c>
      <c r="C486" t="s">
        <v>508</v>
      </c>
      <c r="D486" t="s">
        <v>27</v>
      </c>
      <c r="E486" s="208" t="s">
        <v>139</v>
      </c>
      <c r="F486" t="s">
        <v>6</v>
      </c>
      <c r="G486" s="18">
        <v>0</v>
      </c>
      <c r="H486" t="s">
        <v>16</v>
      </c>
      <c r="I486" t="s">
        <v>25</v>
      </c>
    </row>
    <row r="487" spans="1:9" x14ac:dyDescent="0.25">
      <c r="A487">
        <v>1801</v>
      </c>
      <c r="B487">
        <f>A487+1</f>
        <v>1802</v>
      </c>
      <c r="C487" t="s">
        <v>508</v>
      </c>
      <c r="D487" t="s">
        <v>27</v>
      </c>
      <c r="E487" s="208" t="s">
        <v>130</v>
      </c>
      <c r="F487" t="s">
        <v>6</v>
      </c>
      <c r="G487" s="18">
        <v>0</v>
      </c>
      <c r="H487" t="s">
        <v>16</v>
      </c>
      <c r="I487" t="s">
        <v>25</v>
      </c>
    </row>
    <row r="488" spans="1:9" x14ac:dyDescent="0.25">
      <c r="A488">
        <v>1801</v>
      </c>
      <c r="B488">
        <f>A488+1</f>
        <v>1802</v>
      </c>
      <c r="C488" t="s">
        <v>508</v>
      </c>
      <c r="D488" t="s">
        <v>27</v>
      </c>
      <c r="E488" s="208" t="s">
        <v>132</v>
      </c>
      <c r="F488" t="s">
        <v>6</v>
      </c>
      <c r="G488" s="18">
        <v>0</v>
      </c>
      <c r="H488" t="s">
        <v>16</v>
      </c>
      <c r="I488" t="s">
        <v>25</v>
      </c>
    </row>
    <row r="489" spans="1:9" x14ac:dyDescent="0.25">
      <c r="A489">
        <v>1801</v>
      </c>
      <c r="B489">
        <f>A489+1</f>
        <v>1802</v>
      </c>
      <c r="C489" t="s">
        <v>508</v>
      </c>
      <c r="D489" t="s">
        <v>27</v>
      </c>
      <c r="E489" s="208" t="s">
        <v>142</v>
      </c>
      <c r="F489" t="s">
        <v>6</v>
      </c>
      <c r="G489" s="18">
        <v>0</v>
      </c>
      <c r="H489" t="s">
        <v>16</v>
      </c>
      <c r="I489" t="s">
        <v>25</v>
      </c>
    </row>
    <row r="490" spans="1:9" x14ac:dyDescent="0.25">
      <c r="A490">
        <v>1801</v>
      </c>
      <c r="B490">
        <f>A490+1</f>
        <v>1802</v>
      </c>
      <c r="C490" t="s">
        <v>508</v>
      </c>
      <c r="D490" t="s">
        <v>27</v>
      </c>
      <c r="E490" s="208" t="s">
        <v>144</v>
      </c>
      <c r="F490" t="s">
        <v>6</v>
      </c>
      <c r="G490" s="18">
        <v>0</v>
      </c>
      <c r="H490" t="s">
        <v>16</v>
      </c>
      <c r="I490" t="s">
        <v>25</v>
      </c>
    </row>
    <row r="491" spans="1:9" x14ac:dyDescent="0.25">
      <c r="A491">
        <v>1801</v>
      </c>
      <c r="B491">
        <f>A491+1</f>
        <v>1802</v>
      </c>
      <c r="C491" t="s">
        <v>508</v>
      </c>
      <c r="D491" t="s">
        <v>27</v>
      </c>
      <c r="E491" s="208" t="s">
        <v>124</v>
      </c>
      <c r="F491" t="s">
        <v>6</v>
      </c>
      <c r="G491" s="18">
        <v>0</v>
      </c>
      <c r="H491" t="s">
        <v>16</v>
      </c>
      <c r="I491" t="s">
        <v>25</v>
      </c>
    </row>
    <row r="492" spans="1:9" x14ac:dyDescent="0.25">
      <c r="A492">
        <v>1801</v>
      </c>
      <c r="B492">
        <f>A492+1</f>
        <v>1802</v>
      </c>
      <c r="C492" t="s">
        <v>508</v>
      </c>
      <c r="D492" t="s">
        <v>27</v>
      </c>
      <c r="E492" s="208" t="s">
        <v>155</v>
      </c>
      <c r="F492" t="s">
        <v>4</v>
      </c>
      <c r="G492" s="18">
        <v>776</v>
      </c>
      <c r="H492" t="s">
        <v>16</v>
      </c>
      <c r="I492" t="s">
        <v>23</v>
      </c>
    </row>
    <row r="493" spans="1:9" x14ac:dyDescent="0.25">
      <c r="A493">
        <v>1801</v>
      </c>
      <c r="B493">
        <f>A493+1</f>
        <v>1802</v>
      </c>
      <c r="C493" t="s">
        <v>508</v>
      </c>
      <c r="D493" t="s">
        <v>27</v>
      </c>
      <c r="E493" s="208" t="s">
        <v>156</v>
      </c>
      <c r="F493" t="s">
        <v>4</v>
      </c>
      <c r="G493" s="18">
        <v>105</v>
      </c>
      <c r="H493" t="s">
        <v>16</v>
      </c>
      <c r="I493" t="s">
        <v>23</v>
      </c>
    </row>
    <row r="494" spans="1:9" x14ac:dyDescent="0.25">
      <c r="A494">
        <v>1801</v>
      </c>
      <c r="B494">
        <f>A494+1</f>
        <v>1802</v>
      </c>
      <c r="C494" t="s">
        <v>508</v>
      </c>
      <c r="D494" t="s">
        <v>27</v>
      </c>
      <c r="E494" s="208" t="s">
        <v>154</v>
      </c>
      <c r="F494" t="s">
        <v>4</v>
      </c>
      <c r="G494" s="18">
        <v>246</v>
      </c>
      <c r="H494" t="s">
        <v>16</v>
      </c>
      <c r="I494" t="s">
        <v>23</v>
      </c>
    </row>
    <row r="495" spans="1:9" x14ac:dyDescent="0.25">
      <c r="A495">
        <v>1801</v>
      </c>
      <c r="B495">
        <f>A495+1</f>
        <v>1802</v>
      </c>
      <c r="C495" t="s">
        <v>508</v>
      </c>
      <c r="D495" t="s">
        <v>27</v>
      </c>
      <c r="E495" s="208" t="s">
        <v>150</v>
      </c>
      <c r="F495" t="s">
        <v>4</v>
      </c>
      <c r="G495" s="18">
        <v>2980</v>
      </c>
      <c r="H495" t="s">
        <v>16</v>
      </c>
      <c r="I495" t="s">
        <v>23</v>
      </c>
    </row>
    <row r="496" spans="1:9" x14ac:dyDescent="0.25">
      <c r="A496">
        <v>1801</v>
      </c>
      <c r="B496">
        <f>A496+1</f>
        <v>1802</v>
      </c>
      <c r="C496" t="s">
        <v>508</v>
      </c>
      <c r="D496" t="s">
        <v>27</v>
      </c>
      <c r="E496" s="208" t="s">
        <v>148</v>
      </c>
      <c r="F496" t="s">
        <v>4</v>
      </c>
      <c r="G496" s="18">
        <v>26</v>
      </c>
      <c r="H496" t="s">
        <v>16</v>
      </c>
      <c r="I496" t="s">
        <v>23</v>
      </c>
    </row>
    <row r="497" spans="1:9" x14ac:dyDescent="0.25">
      <c r="A497">
        <v>1801</v>
      </c>
      <c r="B497">
        <f>A497+1</f>
        <v>1802</v>
      </c>
      <c r="C497" t="s">
        <v>508</v>
      </c>
      <c r="D497" t="s">
        <v>27</v>
      </c>
      <c r="E497" s="208" t="s">
        <v>314</v>
      </c>
      <c r="F497" t="s">
        <v>4</v>
      </c>
      <c r="G497" s="18">
        <v>0</v>
      </c>
      <c r="H497" t="s">
        <v>16</v>
      </c>
      <c r="I497" t="s">
        <v>23</v>
      </c>
    </row>
    <row r="498" spans="1:9" x14ac:dyDescent="0.25">
      <c r="A498">
        <v>1801</v>
      </c>
      <c r="B498">
        <f>A498+1</f>
        <v>1802</v>
      </c>
      <c r="C498" t="s">
        <v>508</v>
      </c>
      <c r="D498" t="s">
        <v>27</v>
      </c>
      <c r="E498" s="208" t="s">
        <v>149</v>
      </c>
      <c r="F498" t="s">
        <v>4</v>
      </c>
      <c r="G498" s="18">
        <v>0</v>
      </c>
      <c r="H498" t="s">
        <v>16</v>
      </c>
      <c r="I498" t="s">
        <v>23</v>
      </c>
    </row>
    <row r="499" spans="1:9" x14ac:dyDescent="0.25">
      <c r="A499">
        <v>1801</v>
      </c>
      <c r="B499">
        <f>A499+1</f>
        <v>1802</v>
      </c>
      <c r="C499" t="s">
        <v>508</v>
      </c>
      <c r="D499" t="s">
        <v>27</v>
      </c>
      <c r="E499" s="208" t="s">
        <v>139</v>
      </c>
      <c r="F499" t="s">
        <v>4</v>
      </c>
      <c r="G499" s="18">
        <v>0</v>
      </c>
      <c r="H499" t="s">
        <v>16</v>
      </c>
      <c r="I499" t="s">
        <v>23</v>
      </c>
    </row>
    <row r="500" spans="1:9" x14ac:dyDescent="0.25">
      <c r="A500">
        <v>1801</v>
      </c>
      <c r="B500">
        <f>A500+1</f>
        <v>1802</v>
      </c>
      <c r="C500" t="s">
        <v>508</v>
      </c>
      <c r="D500" t="s">
        <v>27</v>
      </c>
      <c r="E500" s="208" t="s">
        <v>130</v>
      </c>
      <c r="F500" t="s">
        <v>4</v>
      </c>
      <c r="G500" s="18">
        <v>695</v>
      </c>
      <c r="H500" t="s">
        <v>16</v>
      </c>
      <c r="I500" t="s">
        <v>23</v>
      </c>
    </row>
    <row r="501" spans="1:9" x14ac:dyDescent="0.25">
      <c r="A501">
        <v>1801</v>
      </c>
      <c r="B501">
        <f>A501+1</f>
        <v>1802</v>
      </c>
      <c r="C501" t="s">
        <v>508</v>
      </c>
      <c r="D501" t="s">
        <v>27</v>
      </c>
      <c r="E501" s="208" t="s">
        <v>132</v>
      </c>
      <c r="F501" t="s">
        <v>4</v>
      </c>
      <c r="G501" s="18">
        <v>6</v>
      </c>
      <c r="H501" t="s">
        <v>16</v>
      </c>
      <c r="I501" t="s">
        <v>23</v>
      </c>
    </row>
    <row r="502" spans="1:9" x14ac:dyDescent="0.25">
      <c r="A502">
        <v>1801</v>
      </c>
      <c r="B502">
        <f>A502+1</f>
        <v>1802</v>
      </c>
      <c r="C502" t="s">
        <v>508</v>
      </c>
      <c r="D502" t="s">
        <v>27</v>
      </c>
      <c r="E502" s="208" t="s">
        <v>142</v>
      </c>
      <c r="F502" t="s">
        <v>4</v>
      </c>
      <c r="G502" s="18">
        <v>185</v>
      </c>
      <c r="H502" t="s">
        <v>16</v>
      </c>
      <c r="I502" t="s">
        <v>23</v>
      </c>
    </row>
    <row r="503" spans="1:9" x14ac:dyDescent="0.25">
      <c r="A503">
        <v>1801</v>
      </c>
      <c r="B503">
        <f>A503+1</f>
        <v>1802</v>
      </c>
      <c r="C503" t="s">
        <v>508</v>
      </c>
      <c r="D503" t="s">
        <v>27</v>
      </c>
      <c r="E503" s="208" t="s">
        <v>144</v>
      </c>
      <c r="F503" t="s">
        <v>4</v>
      </c>
      <c r="G503" s="18">
        <v>17</v>
      </c>
      <c r="H503" t="s">
        <v>16</v>
      </c>
      <c r="I503" t="s">
        <v>23</v>
      </c>
    </row>
    <row r="504" spans="1:9" x14ac:dyDescent="0.25">
      <c r="A504">
        <v>1801</v>
      </c>
      <c r="B504">
        <f>A504+1</f>
        <v>1802</v>
      </c>
      <c r="C504" t="s">
        <v>508</v>
      </c>
      <c r="D504" t="s">
        <v>27</v>
      </c>
      <c r="E504" s="208" t="s">
        <v>124</v>
      </c>
      <c r="F504" t="s">
        <v>4</v>
      </c>
      <c r="G504" s="18">
        <v>1083821</v>
      </c>
      <c r="H504" t="s">
        <v>16</v>
      </c>
      <c r="I504" t="s">
        <v>23</v>
      </c>
    </row>
    <row r="505" spans="1:9" x14ac:dyDescent="0.25">
      <c r="A505">
        <v>1801</v>
      </c>
      <c r="B505">
        <f>A505+1</f>
        <v>1802</v>
      </c>
      <c r="C505" t="s">
        <v>508</v>
      </c>
      <c r="D505" t="s">
        <v>26</v>
      </c>
      <c r="E505" s="208" t="s">
        <v>51</v>
      </c>
      <c r="F505" t="s">
        <v>10</v>
      </c>
      <c r="G505" s="18">
        <v>0</v>
      </c>
      <c r="H505" t="s">
        <v>24</v>
      </c>
      <c r="I505" t="s">
        <v>17</v>
      </c>
    </row>
    <row r="506" spans="1:9" x14ac:dyDescent="0.25">
      <c r="A506">
        <v>1801</v>
      </c>
      <c r="B506">
        <f>A506+1</f>
        <v>1802</v>
      </c>
      <c r="C506" t="s">
        <v>508</v>
      </c>
      <c r="D506" t="s">
        <v>26</v>
      </c>
      <c r="E506" s="208" t="s">
        <v>51</v>
      </c>
      <c r="F506" t="s">
        <v>14</v>
      </c>
      <c r="G506" s="18">
        <v>0</v>
      </c>
      <c r="H506" s="151" t="s">
        <v>563</v>
      </c>
      <c r="I506" t="s">
        <v>17</v>
      </c>
    </row>
    <row r="507" spans="1:9" x14ac:dyDescent="0.25">
      <c r="A507">
        <v>1801</v>
      </c>
      <c r="B507">
        <f>A507+1</f>
        <v>1802</v>
      </c>
      <c r="C507" t="s">
        <v>508</v>
      </c>
      <c r="D507" t="s">
        <v>26</v>
      </c>
      <c r="E507" s="208" t="s">
        <v>51</v>
      </c>
      <c r="F507" t="s">
        <v>15</v>
      </c>
      <c r="G507" s="18">
        <v>1000</v>
      </c>
      <c r="H507" s="151" t="s">
        <v>563</v>
      </c>
      <c r="I507" t="s">
        <v>561</v>
      </c>
    </row>
    <row r="508" spans="1:9" x14ac:dyDescent="0.25">
      <c r="A508">
        <v>1801</v>
      </c>
      <c r="B508">
        <f>A508+1</f>
        <v>1802</v>
      </c>
      <c r="C508" t="s">
        <v>508</v>
      </c>
      <c r="D508" t="s">
        <v>26</v>
      </c>
      <c r="E508" s="208" t="s">
        <v>53</v>
      </c>
      <c r="F508" t="s">
        <v>3</v>
      </c>
      <c r="G508" s="18">
        <v>450</v>
      </c>
      <c r="H508" t="s">
        <v>24</v>
      </c>
      <c r="I508" t="s">
        <v>16</v>
      </c>
    </row>
    <row r="509" spans="1:9" x14ac:dyDescent="0.25">
      <c r="A509">
        <v>1801</v>
      </c>
      <c r="B509">
        <f>A509+1</f>
        <v>1802</v>
      </c>
      <c r="C509" t="s">
        <v>508</v>
      </c>
      <c r="D509" t="s">
        <v>26</v>
      </c>
      <c r="E509" s="208" t="s">
        <v>53</v>
      </c>
      <c r="F509" t="s">
        <v>4</v>
      </c>
      <c r="G509" s="18">
        <v>53769</v>
      </c>
      <c r="H509" t="s">
        <v>23</v>
      </c>
      <c r="I509" t="s">
        <v>16</v>
      </c>
    </row>
    <row r="510" spans="1:9" x14ac:dyDescent="0.25">
      <c r="A510">
        <v>1801</v>
      </c>
      <c r="B510">
        <f>A510+1</f>
        <v>1802</v>
      </c>
      <c r="C510" t="s">
        <v>508</v>
      </c>
      <c r="D510" t="s">
        <v>26</v>
      </c>
      <c r="E510" s="208" t="s">
        <v>53</v>
      </c>
      <c r="F510" t="s">
        <v>7</v>
      </c>
      <c r="G510" s="18">
        <v>54219</v>
      </c>
      <c r="H510" s="151" t="s">
        <v>563</v>
      </c>
      <c r="I510" t="s">
        <v>16</v>
      </c>
    </row>
    <row r="511" spans="1:9" x14ac:dyDescent="0.25">
      <c r="A511">
        <v>1801</v>
      </c>
      <c r="B511">
        <f>A511+1</f>
        <v>1802</v>
      </c>
      <c r="C511" t="s">
        <v>508</v>
      </c>
      <c r="D511" t="s">
        <v>26</v>
      </c>
      <c r="E511" s="208" t="s">
        <v>53</v>
      </c>
      <c r="F511" t="s">
        <v>10</v>
      </c>
      <c r="G511" s="18">
        <v>323</v>
      </c>
      <c r="H511" t="s">
        <v>24</v>
      </c>
      <c r="I511" t="s">
        <v>17</v>
      </c>
    </row>
    <row r="512" spans="1:9" x14ac:dyDescent="0.25">
      <c r="A512">
        <v>1801</v>
      </c>
      <c r="B512">
        <f>A512+1</f>
        <v>1802</v>
      </c>
      <c r="C512" t="s">
        <v>508</v>
      </c>
      <c r="D512" t="s">
        <v>26</v>
      </c>
      <c r="E512" s="208" t="s">
        <v>53</v>
      </c>
      <c r="F512" t="s">
        <v>11</v>
      </c>
      <c r="G512" s="18">
        <v>68878</v>
      </c>
      <c r="H512" t="s">
        <v>23</v>
      </c>
      <c r="I512" t="s">
        <v>17</v>
      </c>
    </row>
    <row r="513" spans="1:9" x14ac:dyDescent="0.25">
      <c r="A513">
        <v>1801</v>
      </c>
      <c r="B513">
        <f>A513+1</f>
        <v>1802</v>
      </c>
      <c r="C513" t="s">
        <v>508</v>
      </c>
      <c r="D513" t="s">
        <v>26</v>
      </c>
      <c r="E513" s="208" t="s">
        <v>53</v>
      </c>
      <c r="F513" t="s">
        <v>14</v>
      </c>
      <c r="G513" s="18">
        <v>69201</v>
      </c>
      <c r="H513" s="151" t="s">
        <v>563</v>
      </c>
      <c r="I513" t="s">
        <v>17</v>
      </c>
    </row>
    <row r="514" spans="1:9" x14ac:dyDescent="0.25">
      <c r="A514">
        <v>1801</v>
      </c>
      <c r="B514">
        <f>A514+1</f>
        <v>1802</v>
      </c>
      <c r="C514" t="s">
        <v>508</v>
      </c>
      <c r="D514" t="s">
        <v>26</v>
      </c>
      <c r="E514" s="208" t="s">
        <v>53</v>
      </c>
      <c r="F514" t="s">
        <v>15</v>
      </c>
      <c r="G514" s="18">
        <v>123420</v>
      </c>
      <c r="H514" s="151" t="s">
        <v>563</v>
      </c>
      <c r="I514" t="s">
        <v>561</v>
      </c>
    </row>
    <row r="515" spans="1:9" x14ac:dyDescent="0.25">
      <c r="A515">
        <v>1801</v>
      </c>
      <c r="B515">
        <f>A515+1</f>
        <v>1802</v>
      </c>
      <c r="C515" t="s">
        <v>508</v>
      </c>
      <c r="D515" t="s">
        <v>26</v>
      </c>
      <c r="E515" s="208" t="s">
        <v>54</v>
      </c>
      <c r="F515" t="s">
        <v>4</v>
      </c>
      <c r="G515" s="18">
        <v>237</v>
      </c>
      <c r="H515" t="s">
        <v>23</v>
      </c>
      <c r="I515" t="s">
        <v>16</v>
      </c>
    </row>
    <row r="516" spans="1:9" x14ac:dyDescent="0.25">
      <c r="A516">
        <v>1801</v>
      </c>
      <c r="B516">
        <f>A516+1</f>
        <v>1802</v>
      </c>
      <c r="C516" t="s">
        <v>508</v>
      </c>
      <c r="D516" t="s">
        <v>26</v>
      </c>
      <c r="E516" s="208" t="s">
        <v>54</v>
      </c>
      <c r="F516" t="s">
        <v>7</v>
      </c>
      <c r="G516" s="18">
        <v>237</v>
      </c>
      <c r="H516" s="151" t="s">
        <v>563</v>
      </c>
      <c r="I516" t="s">
        <v>16</v>
      </c>
    </row>
    <row r="517" spans="1:9" x14ac:dyDescent="0.25">
      <c r="A517">
        <v>1801</v>
      </c>
      <c r="B517">
        <f>A517+1</f>
        <v>1802</v>
      </c>
      <c r="C517" t="s">
        <v>508</v>
      </c>
      <c r="D517" t="s">
        <v>27</v>
      </c>
      <c r="E517" s="208" t="s">
        <v>155</v>
      </c>
      <c r="F517" t="s">
        <v>7</v>
      </c>
      <c r="G517" s="18">
        <v>61229</v>
      </c>
      <c r="H517" t="s">
        <v>16</v>
      </c>
      <c r="I517" s="151" t="s">
        <v>562</v>
      </c>
    </row>
    <row r="518" spans="1:9" x14ac:dyDescent="0.25">
      <c r="A518">
        <v>1801</v>
      </c>
      <c r="B518">
        <f>A518+1</f>
        <v>1802</v>
      </c>
      <c r="C518" t="s">
        <v>508</v>
      </c>
      <c r="D518" t="s">
        <v>27</v>
      </c>
      <c r="E518" s="208" t="s">
        <v>156</v>
      </c>
      <c r="F518" t="s">
        <v>7</v>
      </c>
      <c r="G518" s="18">
        <v>6272</v>
      </c>
      <c r="H518" t="s">
        <v>16</v>
      </c>
      <c r="I518" s="151" t="s">
        <v>562</v>
      </c>
    </row>
    <row r="519" spans="1:9" x14ac:dyDescent="0.25">
      <c r="A519">
        <v>1801</v>
      </c>
      <c r="B519">
        <f>A519+1</f>
        <v>1802</v>
      </c>
      <c r="C519" t="s">
        <v>508</v>
      </c>
      <c r="D519" t="s">
        <v>27</v>
      </c>
      <c r="E519" s="208" t="s">
        <v>154</v>
      </c>
      <c r="F519" t="s">
        <v>7</v>
      </c>
      <c r="G519" s="18">
        <v>2197</v>
      </c>
      <c r="H519" t="s">
        <v>16</v>
      </c>
      <c r="I519" s="151" t="s">
        <v>562</v>
      </c>
    </row>
    <row r="520" spans="1:9" x14ac:dyDescent="0.25">
      <c r="A520">
        <v>1801</v>
      </c>
      <c r="B520">
        <f>A520+1</f>
        <v>1802</v>
      </c>
      <c r="C520" t="s">
        <v>508</v>
      </c>
      <c r="D520" t="s">
        <v>27</v>
      </c>
      <c r="E520" s="208" t="s">
        <v>150</v>
      </c>
      <c r="F520" t="s">
        <v>7</v>
      </c>
      <c r="G520" s="18">
        <v>17520</v>
      </c>
      <c r="H520" t="s">
        <v>16</v>
      </c>
      <c r="I520" s="151" t="s">
        <v>562</v>
      </c>
    </row>
    <row r="521" spans="1:9" x14ac:dyDescent="0.25">
      <c r="A521">
        <v>1801</v>
      </c>
      <c r="B521">
        <f>A521+1</f>
        <v>1802</v>
      </c>
      <c r="C521" t="s">
        <v>508</v>
      </c>
      <c r="D521" t="s">
        <v>27</v>
      </c>
      <c r="E521" s="208" t="s">
        <v>148</v>
      </c>
      <c r="F521" t="s">
        <v>7</v>
      </c>
      <c r="G521" s="18">
        <v>1217</v>
      </c>
      <c r="H521" t="s">
        <v>16</v>
      </c>
      <c r="I521" s="151" t="s">
        <v>562</v>
      </c>
    </row>
    <row r="522" spans="1:9" x14ac:dyDescent="0.25">
      <c r="A522">
        <v>1801</v>
      </c>
      <c r="B522">
        <f>A522+1</f>
        <v>1802</v>
      </c>
      <c r="C522" t="s">
        <v>508</v>
      </c>
      <c r="D522" t="s">
        <v>27</v>
      </c>
      <c r="E522" s="208" t="s">
        <v>314</v>
      </c>
      <c r="F522" t="s">
        <v>7</v>
      </c>
      <c r="G522" s="18">
        <v>473</v>
      </c>
      <c r="H522" t="s">
        <v>16</v>
      </c>
      <c r="I522" s="151" t="s">
        <v>562</v>
      </c>
    </row>
    <row r="523" spans="1:9" x14ac:dyDescent="0.25">
      <c r="A523">
        <v>1801</v>
      </c>
      <c r="B523">
        <f>A523+1</f>
        <v>1802</v>
      </c>
      <c r="C523" t="s">
        <v>508</v>
      </c>
      <c r="D523" t="s">
        <v>27</v>
      </c>
      <c r="E523" s="208" t="s">
        <v>149</v>
      </c>
      <c r="F523" t="s">
        <v>7</v>
      </c>
      <c r="G523" s="18">
        <v>205</v>
      </c>
      <c r="H523" t="s">
        <v>16</v>
      </c>
      <c r="I523" s="151" t="s">
        <v>562</v>
      </c>
    </row>
    <row r="524" spans="1:9" x14ac:dyDescent="0.25">
      <c r="A524">
        <v>1801</v>
      </c>
      <c r="B524">
        <f>A524+1</f>
        <v>1802</v>
      </c>
      <c r="C524" t="s">
        <v>508</v>
      </c>
      <c r="D524" t="s">
        <v>27</v>
      </c>
      <c r="E524" s="208" t="s">
        <v>139</v>
      </c>
      <c r="F524" t="s">
        <v>7</v>
      </c>
      <c r="G524" s="18">
        <v>0</v>
      </c>
      <c r="H524" t="s">
        <v>16</v>
      </c>
      <c r="I524" s="151" t="s">
        <v>562</v>
      </c>
    </row>
    <row r="525" spans="1:9" x14ac:dyDescent="0.25">
      <c r="A525">
        <v>1801</v>
      </c>
      <c r="B525">
        <f>A525+1</f>
        <v>1802</v>
      </c>
      <c r="C525" t="s">
        <v>508</v>
      </c>
      <c r="D525" t="s">
        <v>27</v>
      </c>
      <c r="E525" s="208" t="s">
        <v>130</v>
      </c>
      <c r="F525" t="s">
        <v>7</v>
      </c>
      <c r="G525" s="18">
        <v>723</v>
      </c>
      <c r="H525" t="s">
        <v>16</v>
      </c>
      <c r="I525" s="151" t="s">
        <v>562</v>
      </c>
    </row>
    <row r="526" spans="1:9" x14ac:dyDescent="0.25">
      <c r="A526">
        <v>1801</v>
      </c>
      <c r="B526">
        <f>A526+1</f>
        <v>1802</v>
      </c>
      <c r="C526" t="s">
        <v>508</v>
      </c>
      <c r="D526" t="s">
        <v>27</v>
      </c>
      <c r="E526" s="208" t="s">
        <v>132</v>
      </c>
      <c r="F526" t="s">
        <v>7</v>
      </c>
      <c r="G526" s="18">
        <v>22</v>
      </c>
      <c r="H526" t="s">
        <v>16</v>
      </c>
      <c r="I526" s="151" t="s">
        <v>562</v>
      </c>
    </row>
    <row r="527" spans="1:9" x14ac:dyDescent="0.25">
      <c r="A527">
        <v>1801</v>
      </c>
      <c r="B527">
        <f>A527+1</f>
        <v>1802</v>
      </c>
      <c r="C527" t="s">
        <v>508</v>
      </c>
      <c r="D527" t="s">
        <v>27</v>
      </c>
      <c r="E527" s="208" t="s">
        <v>142</v>
      </c>
      <c r="F527" t="s">
        <v>7</v>
      </c>
      <c r="G527" s="18">
        <v>2411</v>
      </c>
      <c r="H527" t="s">
        <v>16</v>
      </c>
      <c r="I527" s="151" t="s">
        <v>562</v>
      </c>
    </row>
    <row r="528" spans="1:9" x14ac:dyDescent="0.25">
      <c r="A528">
        <v>1801</v>
      </c>
      <c r="B528">
        <f>A528+1</f>
        <v>1802</v>
      </c>
      <c r="C528" t="s">
        <v>508</v>
      </c>
      <c r="D528" t="s">
        <v>27</v>
      </c>
      <c r="E528" s="208" t="s">
        <v>144</v>
      </c>
      <c r="F528" t="s">
        <v>7</v>
      </c>
      <c r="G528" s="18">
        <v>474</v>
      </c>
      <c r="H528" t="s">
        <v>16</v>
      </c>
      <c r="I528" s="151" t="s">
        <v>562</v>
      </c>
    </row>
    <row r="529" spans="1:9" x14ac:dyDescent="0.25">
      <c r="A529">
        <v>1801</v>
      </c>
      <c r="B529">
        <f>A529+1</f>
        <v>1802</v>
      </c>
      <c r="C529" t="s">
        <v>508</v>
      </c>
      <c r="D529" t="s">
        <v>27</v>
      </c>
      <c r="E529" s="208" t="s">
        <v>124</v>
      </c>
      <c r="F529" t="s">
        <v>7</v>
      </c>
      <c r="G529" s="18">
        <v>12799595</v>
      </c>
      <c r="H529" t="s">
        <v>16</v>
      </c>
      <c r="I529" s="151" t="s">
        <v>562</v>
      </c>
    </row>
    <row r="530" spans="1:9" x14ac:dyDescent="0.25">
      <c r="A530">
        <v>1801</v>
      </c>
      <c r="B530">
        <f>A530+1</f>
        <v>1802</v>
      </c>
      <c r="C530" t="s">
        <v>508</v>
      </c>
      <c r="D530" t="s">
        <v>27</v>
      </c>
      <c r="E530" s="208" t="s">
        <v>62</v>
      </c>
      <c r="F530" t="s">
        <v>7</v>
      </c>
      <c r="G530" s="18">
        <v>823</v>
      </c>
      <c r="H530" t="s">
        <v>16</v>
      </c>
      <c r="I530" s="151" t="s">
        <v>562</v>
      </c>
    </row>
    <row r="531" spans="1:9" x14ac:dyDescent="0.25">
      <c r="A531">
        <v>1801</v>
      </c>
      <c r="B531">
        <f>A531+1</f>
        <v>1802</v>
      </c>
      <c r="C531" t="s">
        <v>508</v>
      </c>
      <c r="D531" t="s">
        <v>27</v>
      </c>
      <c r="E531" s="208" t="s">
        <v>146</v>
      </c>
      <c r="F531" t="s">
        <v>7</v>
      </c>
      <c r="G531" s="18">
        <v>1264</v>
      </c>
      <c r="H531" t="s">
        <v>16</v>
      </c>
      <c r="I531" s="151" t="s">
        <v>562</v>
      </c>
    </row>
    <row r="532" spans="1:9" x14ac:dyDescent="0.25">
      <c r="A532">
        <v>1801</v>
      </c>
      <c r="B532">
        <f>A532+1</f>
        <v>1802</v>
      </c>
      <c r="C532" t="s">
        <v>508</v>
      </c>
      <c r="D532" t="s">
        <v>27</v>
      </c>
      <c r="E532" s="208" t="s">
        <v>36</v>
      </c>
      <c r="F532" t="s">
        <v>7</v>
      </c>
      <c r="G532" s="18">
        <v>281</v>
      </c>
      <c r="H532" t="s">
        <v>16</v>
      </c>
      <c r="I532" s="151" t="s">
        <v>562</v>
      </c>
    </row>
    <row r="533" spans="1:9" x14ac:dyDescent="0.25">
      <c r="A533">
        <v>1801</v>
      </c>
      <c r="B533">
        <f>A533+1</f>
        <v>1802</v>
      </c>
      <c r="C533" t="s">
        <v>508</v>
      </c>
      <c r="D533" t="s">
        <v>27</v>
      </c>
      <c r="E533" s="208" t="s">
        <v>171</v>
      </c>
      <c r="F533" t="s">
        <v>7</v>
      </c>
      <c r="G533" s="18">
        <v>6</v>
      </c>
      <c r="H533" t="s">
        <v>16</v>
      </c>
      <c r="I533" s="151" t="s">
        <v>562</v>
      </c>
    </row>
    <row r="534" spans="1:9" x14ac:dyDescent="0.25">
      <c r="A534">
        <v>1801</v>
      </c>
      <c r="B534">
        <f>A534+1</f>
        <v>1802</v>
      </c>
      <c r="C534" t="s">
        <v>508</v>
      </c>
      <c r="D534" t="s">
        <v>27</v>
      </c>
      <c r="E534" s="208" t="s">
        <v>158</v>
      </c>
      <c r="F534" t="s">
        <v>7</v>
      </c>
      <c r="G534" s="18">
        <v>3</v>
      </c>
      <c r="H534" t="s">
        <v>16</v>
      </c>
      <c r="I534" s="151" t="s">
        <v>562</v>
      </c>
    </row>
    <row r="535" spans="1:9" x14ac:dyDescent="0.25">
      <c r="A535">
        <v>1801</v>
      </c>
      <c r="B535">
        <f>A535+1</f>
        <v>1802</v>
      </c>
      <c r="C535" t="s">
        <v>508</v>
      </c>
      <c r="D535" t="s">
        <v>27</v>
      </c>
      <c r="E535" s="208" t="s">
        <v>159</v>
      </c>
      <c r="F535" t="s">
        <v>7</v>
      </c>
      <c r="G535" s="18">
        <v>7</v>
      </c>
      <c r="H535" t="s">
        <v>16</v>
      </c>
      <c r="I535" s="151" t="s">
        <v>562</v>
      </c>
    </row>
    <row r="536" spans="1:9" x14ac:dyDescent="0.25">
      <c r="A536">
        <v>1801</v>
      </c>
      <c r="B536">
        <f>A536+1</f>
        <v>1802</v>
      </c>
      <c r="C536" t="s">
        <v>508</v>
      </c>
      <c r="D536" t="s">
        <v>27</v>
      </c>
      <c r="E536" s="208" t="s">
        <v>99</v>
      </c>
      <c r="F536" t="s">
        <v>7</v>
      </c>
      <c r="G536" s="18">
        <v>80</v>
      </c>
      <c r="H536" t="s">
        <v>16</v>
      </c>
      <c r="I536" s="151" t="s">
        <v>562</v>
      </c>
    </row>
    <row r="537" spans="1:9" x14ac:dyDescent="0.25">
      <c r="A537">
        <v>1801</v>
      </c>
      <c r="B537">
        <f>A537+1</f>
        <v>1802</v>
      </c>
      <c r="C537" t="s">
        <v>508</v>
      </c>
      <c r="D537" t="s">
        <v>27</v>
      </c>
      <c r="E537" s="208" t="s">
        <v>117</v>
      </c>
      <c r="F537" t="s">
        <v>7</v>
      </c>
      <c r="G537" s="18">
        <v>2</v>
      </c>
      <c r="H537" t="s">
        <v>16</v>
      </c>
      <c r="I537" s="151" t="s">
        <v>562</v>
      </c>
    </row>
    <row r="538" spans="1:9" x14ac:dyDescent="0.25">
      <c r="A538">
        <v>1801</v>
      </c>
      <c r="B538">
        <f>A538+1</f>
        <v>1802</v>
      </c>
      <c r="C538" t="s">
        <v>508</v>
      </c>
      <c r="D538" t="s">
        <v>27</v>
      </c>
      <c r="E538" s="208" t="s">
        <v>151</v>
      </c>
      <c r="F538" t="s">
        <v>7</v>
      </c>
      <c r="G538" s="18">
        <v>53</v>
      </c>
      <c r="H538" t="s">
        <v>16</v>
      </c>
      <c r="I538" s="151" t="s">
        <v>562</v>
      </c>
    </row>
    <row r="539" spans="1:9" x14ac:dyDescent="0.25">
      <c r="A539">
        <v>1801</v>
      </c>
      <c r="B539">
        <f>A539+1</f>
        <v>1802</v>
      </c>
      <c r="C539" t="s">
        <v>508</v>
      </c>
      <c r="D539" t="s">
        <v>27</v>
      </c>
      <c r="E539" s="208" t="s">
        <v>126</v>
      </c>
      <c r="F539" t="s">
        <v>7</v>
      </c>
      <c r="G539" s="18">
        <v>70</v>
      </c>
      <c r="H539" t="s">
        <v>16</v>
      </c>
      <c r="I539" s="151" t="s">
        <v>562</v>
      </c>
    </row>
    <row r="540" spans="1:9" x14ac:dyDescent="0.25">
      <c r="A540">
        <v>1801</v>
      </c>
      <c r="B540">
        <f>A540+1</f>
        <v>1802</v>
      </c>
      <c r="C540" t="s">
        <v>508</v>
      </c>
      <c r="D540" t="s">
        <v>27</v>
      </c>
      <c r="E540" s="208" t="s">
        <v>153</v>
      </c>
      <c r="F540" t="s">
        <v>7</v>
      </c>
      <c r="G540" s="18">
        <v>225</v>
      </c>
      <c r="H540" t="s">
        <v>16</v>
      </c>
      <c r="I540" s="151" t="s">
        <v>562</v>
      </c>
    </row>
    <row r="541" spans="1:9" x14ac:dyDescent="0.25">
      <c r="A541">
        <v>1801</v>
      </c>
      <c r="B541">
        <f>A541+1</f>
        <v>1802</v>
      </c>
      <c r="C541" t="s">
        <v>508</v>
      </c>
      <c r="D541" t="s">
        <v>27</v>
      </c>
      <c r="E541" s="208" t="s">
        <v>120</v>
      </c>
      <c r="F541" t="s">
        <v>7</v>
      </c>
      <c r="G541" s="18">
        <v>27</v>
      </c>
      <c r="H541" t="s">
        <v>16</v>
      </c>
      <c r="I541" s="151" t="s">
        <v>562</v>
      </c>
    </row>
    <row r="542" spans="1:9" x14ac:dyDescent="0.25">
      <c r="A542">
        <v>1801</v>
      </c>
      <c r="B542">
        <f>A542+1</f>
        <v>1802</v>
      </c>
      <c r="C542" t="s">
        <v>508</v>
      </c>
      <c r="D542" t="s">
        <v>27</v>
      </c>
      <c r="E542" s="208" t="s">
        <v>45</v>
      </c>
      <c r="F542" t="s">
        <v>7</v>
      </c>
      <c r="G542" s="18">
        <v>36</v>
      </c>
      <c r="H542" t="s">
        <v>16</v>
      </c>
      <c r="I542" s="151" t="s">
        <v>562</v>
      </c>
    </row>
    <row r="543" spans="1:9" x14ac:dyDescent="0.25">
      <c r="A543">
        <v>1801</v>
      </c>
      <c r="B543">
        <f>A543+1</f>
        <v>1802</v>
      </c>
      <c r="C543" t="s">
        <v>508</v>
      </c>
      <c r="D543" t="s">
        <v>27</v>
      </c>
      <c r="E543" s="208" t="s">
        <v>152</v>
      </c>
      <c r="F543" t="s">
        <v>7</v>
      </c>
      <c r="G543" s="18">
        <v>30</v>
      </c>
      <c r="H543" t="s">
        <v>16</v>
      </c>
      <c r="I543" s="151" t="s">
        <v>562</v>
      </c>
    </row>
    <row r="544" spans="1:9" x14ac:dyDescent="0.25">
      <c r="A544">
        <v>1801</v>
      </c>
      <c r="B544">
        <f>A544+1</f>
        <v>1802</v>
      </c>
      <c r="C544" t="s">
        <v>508</v>
      </c>
      <c r="D544" t="s">
        <v>27</v>
      </c>
      <c r="E544" s="208" t="s">
        <v>70</v>
      </c>
      <c r="F544" t="s">
        <v>7</v>
      </c>
      <c r="G544" s="18">
        <v>30</v>
      </c>
      <c r="H544" t="s">
        <v>16</v>
      </c>
      <c r="I544" s="151" t="s">
        <v>562</v>
      </c>
    </row>
    <row r="545" spans="1:9" x14ac:dyDescent="0.25">
      <c r="A545">
        <v>1801</v>
      </c>
      <c r="B545">
        <f>A545+1</f>
        <v>1802</v>
      </c>
      <c r="C545" t="s">
        <v>508</v>
      </c>
      <c r="D545" t="s">
        <v>27</v>
      </c>
      <c r="E545" s="208" t="s">
        <v>75</v>
      </c>
      <c r="F545" t="s">
        <v>7</v>
      </c>
      <c r="G545" s="18">
        <v>14000</v>
      </c>
      <c r="H545" t="s">
        <v>16</v>
      </c>
      <c r="I545" s="151" t="s">
        <v>562</v>
      </c>
    </row>
    <row r="546" spans="1:9" x14ac:dyDescent="0.25">
      <c r="A546">
        <v>1801</v>
      </c>
      <c r="B546">
        <f>A546+1</f>
        <v>1802</v>
      </c>
      <c r="C546" t="s">
        <v>508</v>
      </c>
      <c r="D546" t="s">
        <v>27</v>
      </c>
      <c r="E546" s="208" t="s">
        <v>101</v>
      </c>
      <c r="F546" t="s">
        <v>7</v>
      </c>
      <c r="G546" s="18">
        <v>15000</v>
      </c>
      <c r="H546" t="s">
        <v>16</v>
      </c>
      <c r="I546" s="151" t="s">
        <v>562</v>
      </c>
    </row>
    <row r="547" spans="1:9" x14ac:dyDescent="0.25">
      <c r="A547">
        <v>1801</v>
      </c>
      <c r="B547">
        <f>A547+1</f>
        <v>1802</v>
      </c>
      <c r="C547" t="s">
        <v>508</v>
      </c>
      <c r="D547" t="s">
        <v>26</v>
      </c>
      <c r="E547" s="208" t="s">
        <v>54</v>
      </c>
      <c r="F547" t="s">
        <v>11</v>
      </c>
      <c r="G547" s="18">
        <v>0</v>
      </c>
      <c r="H547" t="s">
        <v>23</v>
      </c>
      <c r="I547" t="s">
        <v>17</v>
      </c>
    </row>
    <row r="548" spans="1:9" x14ac:dyDescent="0.25">
      <c r="A548">
        <v>1801</v>
      </c>
      <c r="B548">
        <f>A548+1</f>
        <v>1802</v>
      </c>
      <c r="C548" t="s">
        <v>508</v>
      </c>
      <c r="D548" t="s">
        <v>26</v>
      </c>
      <c r="E548" s="208" t="s">
        <v>54</v>
      </c>
      <c r="F548" t="s">
        <v>14</v>
      </c>
      <c r="G548" s="18">
        <v>0</v>
      </c>
      <c r="H548" s="151" t="s">
        <v>563</v>
      </c>
      <c r="I548" t="s">
        <v>17</v>
      </c>
    </row>
    <row r="549" spans="1:9" x14ac:dyDescent="0.25">
      <c r="A549">
        <v>1801</v>
      </c>
      <c r="B549">
        <f>A549+1</f>
        <v>1802</v>
      </c>
      <c r="C549" t="s">
        <v>508</v>
      </c>
      <c r="D549" t="s">
        <v>26</v>
      </c>
      <c r="E549" s="208" t="s">
        <v>54</v>
      </c>
      <c r="F549" t="s">
        <v>15</v>
      </c>
      <c r="G549" s="18">
        <v>237</v>
      </c>
      <c r="H549" s="151" t="s">
        <v>563</v>
      </c>
      <c r="I549" t="s">
        <v>561</v>
      </c>
    </row>
    <row r="550" spans="1:9" x14ac:dyDescent="0.25">
      <c r="A550">
        <v>1801</v>
      </c>
      <c r="B550">
        <f>A550+1</f>
        <v>1802</v>
      </c>
      <c r="C550" t="s">
        <v>508</v>
      </c>
      <c r="D550" t="s">
        <v>26</v>
      </c>
      <c r="E550" s="208" t="s">
        <v>572</v>
      </c>
      <c r="F550" t="s">
        <v>3</v>
      </c>
      <c r="G550" s="18">
        <v>69</v>
      </c>
      <c r="H550" t="s">
        <v>24</v>
      </c>
      <c r="I550" t="s">
        <v>16</v>
      </c>
    </row>
    <row r="551" spans="1:9" x14ac:dyDescent="0.25">
      <c r="A551">
        <v>1801</v>
      </c>
      <c r="B551">
        <f>A551+1</f>
        <v>1802</v>
      </c>
      <c r="C551" t="s">
        <v>508</v>
      </c>
      <c r="D551" t="s">
        <v>26</v>
      </c>
      <c r="E551" s="208" t="s">
        <v>572</v>
      </c>
      <c r="F551" t="s">
        <v>4</v>
      </c>
      <c r="G551" s="18">
        <v>1452</v>
      </c>
      <c r="H551" t="s">
        <v>23</v>
      </c>
      <c r="I551" t="s">
        <v>16</v>
      </c>
    </row>
    <row r="552" spans="1:9" x14ac:dyDescent="0.25">
      <c r="A552">
        <v>1801</v>
      </c>
      <c r="B552">
        <f>A552+1</f>
        <v>1802</v>
      </c>
      <c r="C552" t="s">
        <v>508</v>
      </c>
      <c r="D552" t="s">
        <v>26</v>
      </c>
      <c r="E552" s="208" t="s">
        <v>572</v>
      </c>
      <c r="F552" t="s">
        <v>7</v>
      </c>
      <c r="G552" s="18">
        <v>1521</v>
      </c>
      <c r="H552" s="151" t="s">
        <v>563</v>
      </c>
      <c r="I552" t="s">
        <v>16</v>
      </c>
    </row>
    <row r="553" spans="1:9" x14ac:dyDescent="0.25">
      <c r="A553">
        <v>1801</v>
      </c>
      <c r="B553">
        <f>A553+1</f>
        <v>1802</v>
      </c>
      <c r="C553" t="s">
        <v>508</v>
      </c>
      <c r="D553" t="s">
        <v>26</v>
      </c>
      <c r="E553" s="208" t="s">
        <v>572</v>
      </c>
      <c r="F553" t="s">
        <v>10</v>
      </c>
      <c r="G553" s="18">
        <v>0</v>
      </c>
      <c r="H553" t="s">
        <v>24</v>
      </c>
      <c r="I553" t="s">
        <v>17</v>
      </c>
    </row>
    <row r="554" spans="1:9" x14ac:dyDescent="0.25">
      <c r="A554">
        <v>1801</v>
      </c>
      <c r="B554">
        <f>A554+1</f>
        <v>1802</v>
      </c>
      <c r="C554" t="s">
        <v>508</v>
      </c>
      <c r="D554" t="s">
        <v>26</v>
      </c>
      <c r="E554" s="208" t="s">
        <v>572</v>
      </c>
      <c r="F554" t="s">
        <v>11</v>
      </c>
      <c r="G554" s="18">
        <v>0</v>
      </c>
      <c r="H554" t="s">
        <v>23</v>
      </c>
      <c r="I554" t="s">
        <v>17</v>
      </c>
    </row>
    <row r="555" spans="1:9" x14ac:dyDescent="0.25">
      <c r="A555">
        <v>1801</v>
      </c>
      <c r="B555">
        <f>A555+1</f>
        <v>1802</v>
      </c>
      <c r="C555" t="s">
        <v>508</v>
      </c>
      <c r="D555" t="s">
        <v>26</v>
      </c>
      <c r="E555" s="208" t="s">
        <v>572</v>
      </c>
      <c r="F555" t="s">
        <v>14</v>
      </c>
      <c r="G555" s="18">
        <v>0</v>
      </c>
      <c r="H555" s="151" t="s">
        <v>563</v>
      </c>
      <c r="I555" t="s">
        <v>17</v>
      </c>
    </row>
    <row r="556" spans="1:9" x14ac:dyDescent="0.25">
      <c r="A556">
        <v>1801</v>
      </c>
      <c r="B556">
        <f>A556+1</f>
        <v>1802</v>
      </c>
      <c r="C556" t="s">
        <v>508</v>
      </c>
      <c r="D556" t="s">
        <v>26</v>
      </c>
      <c r="E556" s="208" t="s">
        <v>572</v>
      </c>
      <c r="F556" t="s">
        <v>15</v>
      </c>
      <c r="G556" s="18">
        <v>1521</v>
      </c>
      <c r="H556" s="151" t="s">
        <v>563</v>
      </c>
      <c r="I556" t="s">
        <v>561</v>
      </c>
    </row>
    <row r="557" spans="1:9" x14ac:dyDescent="0.25">
      <c r="A557">
        <v>1801</v>
      </c>
      <c r="B557">
        <f>A557+1</f>
        <v>1802</v>
      </c>
      <c r="C557" t="s">
        <v>508</v>
      </c>
      <c r="D557" t="s">
        <v>26</v>
      </c>
      <c r="E557" s="208" t="s">
        <v>571</v>
      </c>
      <c r="F557" t="s">
        <v>3</v>
      </c>
      <c r="G557" s="18">
        <v>1966</v>
      </c>
      <c r="H557" t="s">
        <v>24</v>
      </c>
      <c r="I557" t="s">
        <v>16</v>
      </c>
    </row>
    <row r="558" spans="1:9" x14ac:dyDescent="0.25">
      <c r="A558">
        <v>1801</v>
      </c>
      <c r="B558">
        <f>A558+1</f>
        <v>1802</v>
      </c>
      <c r="C558" t="s">
        <v>508</v>
      </c>
      <c r="D558" t="s">
        <v>26</v>
      </c>
      <c r="E558" s="208" t="s">
        <v>571</v>
      </c>
      <c r="F558" t="s">
        <v>4</v>
      </c>
      <c r="G558" s="18">
        <v>946</v>
      </c>
      <c r="H558" t="s">
        <v>23</v>
      </c>
      <c r="I558" t="s">
        <v>16</v>
      </c>
    </row>
    <row r="559" spans="1:9" x14ac:dyDescent="0.25">
      <c r="A559">
        <v>1801</v>
      </c>
      <c r="B559">
        <f>A559+1</f>
        <v>1802</v>
      </c>
      <c r="C559" t="s">
        <v>508</v>
      </c>
      <c r="D559" t="s">
        <v>26</v>
      </c>
      <c r="E559" s="208" t="s">
        <v>571</v>
      </c>
      <c r="F559" t="s">
        <v>7</v>
      </c>
      <c r="G559" s="18">
        <v>2912</v>
      </c>
      <c r="H559" s="151" t="s">
        <v>563</v>
      </c>
      <c r="I559" t="s">
        <v>16</v>
      </c>
    </row>
    <row r="560" spans="1:9" x14ac:dyDescent="0.25">
      <c r="A560">
        <v>1801</v>
      </c>
      <c r="B560">
        <f>A560+1</f>
        <v>1802</v>
      </c>
      <c r="C560" t="s">
        <v>508</v>
      </c>
      <c r="D560" t="s">
        <v>26</v>
      </c>
      <c r="E560" s="208" t="s">
        <v>571</v>
      </c>
      <c r="F560" t="s">
        <v>10</v>
      </c>
      <c r="G560" s="18">
        <v>345</v>
      </c>
      <c r="H560" t="s">
        <v>24</v>
      </c>
      <c r="I560" t="s">
        <v>17</v>
      </c>
    </row>
    <row r="561" spans="1:9" x14ac:dyDescent="0.25">
      <c r="A561">
        <v>1801</v>
      </c>
      <c r="B561">
        <f>A561+1</f>
        <v>1802</v>
      </c>
      <c r="C561" t="s">
        <v>508</v>
      </c>
      <c r="D561" t="s">
        <v>26</v>
      </c>
      <c r="E561" s="208" t="s">
        <v>571</v>
      </c>
      <c r="F561" t="s">
        <v>11</v>
      </c>
      <c r="G561" s="18">
        <v>349</v>
      </c>
      <c r="H561" t="s">
        <v>23</v>
      </c>
      <c r="I561" t="s">
        <v>17</v>
      </c>
    </row>
    <row r="562" spans="1:9" x14ac:dyDescent="0.25">
      <c r="A562">
        <v>1801</v>
      </c>
      <c r="B562">
        <f>A562+1</f>
        <v>1802</v>
      </c>
      <c r="C562" t="s">
        <v>508</v>
      </c>
      <c r="D562" t="s">
        <v>26</v>
      </c>
      <c r="E562" s="208" t="s">
        <v>571</v>
      </c>
      <c r="F562" t="s">
        <v>14</v>
      </c>
      <c r="G562" s="18">
        <v>694</v>
      </c>
      <c r="H562" s="151" t="s">
        <v>563</v>
      </c>
      <c r="I562" t="s">
        <v>17</v>
      </c>
    </row>
    <row r="563" spans="1:9" x14ac:dyDescent="0.25">
      <c r="A563">
        <v>1801</v>
      </c>
      <c r="B563">
        <f>A563+1</f>
        <v>1802</v>
      </c>
      <c r="C563" t="s">
        <v>508</v>
      </c>
      <c r="D563" t="s">
        <v>26</v>
      </c>
      <c r="E563" s="208" t="s">
        <v>571</v>
      </c>
      <c r="F563" t="s">
        <v>15</v>
      </c>
      <c r="G563" s="18">
        <v>3606</v>
      </c>
      <c r="H563" s="151" t="s">
        <v>563</v>
      </c>
      <c r="I563" t="s">
        <v>561</v>
      </c>
    </row>
    <row r="564" spans="1:9" x14ac:dyDescent="0.25">
      <c r="A564">
        <v>1801</v>
      </c>
      <c r="B564">
        <f>A564+1</f>
        <v>1802</v>
      </c>
      <c r="C564" t="s">
        <v>508</v>
      </c>
      <c r="D564" t="s">
        <v>26</v>
      </c>
      <c r="E564" s="208" t="s">
        <v>573</v>
      </c>
      <c r="F564" t="s">
        <v>3</v>
      </c>
      <c r="G564" s="18">
        <v>268</v>
      </c>
      <c r="H564" t="s">
        <v>24</v>
      </c>
      <c r="I564" t="s">
        <v>16</v>
      </c>
    </row>
    <row r="565" spans="1:9" x14ac:dyDescent="0.25">
      <c r="A565">
        <v>1801</v>
      </c>
      <c r="B565">
        <f>A565+1</f>
        <v>1802</v>
      </c>
      <c r="C565" t="s">
        <v>508</v>
      </c>
      <c r="D565" t="s">
        <v>26</v>
      </c>
      <c r="E565" s="208" t="s">
        <v>573</v>
      </c>
      <c r="F565" t="s">
        <v>7</v>
      </c>
      <c r="G565" s="18">
        <v>268</v>
      </c>
      <c r="H565" s="151" t="s">
        <v>563</v>
      </c>
      <c r="I565" t="s">
        <v>16</v>
      </c>
    </row>
    <row r="566" spans="1:9" x14ac:dyDescent="0.25">
      <c r="A566">
        <v>1801</v>
      </c>
      <c r="B566">
        <f>A566+1</f>
        <v>1802</v>
      </c>
      <c r="C566" t="s">
        <v>508</v>
      </c>
      <c r="D566" t="s">
        <v>26</v>
      </c>
      <c r="E566" s="208" t="s">
        <v>573</v>
      </c>
      <c r="F566" t="s">
        <v>10</v>
      </c>
      <c r="G566" s="18">
        <v>0</v>
      </c>
      <c r="H566" t="s">
        <v>24</v>
      </c>
      <c r="I566" t="s">
        <v>17</v>
      </c>
    </row>
    <row r="567" spans="1:9" x14ac:dyDescent="0.25">
      <c r="A567">
        <v>1801</v>
      </c>
      <c r="B567">
        <f>A567+1</f>
        <v>1802</v>
      </c>
      <c r="C567" t="s">
        <v>508</v>
      </c>
      <c r="D567" t="s">
        <v>26</v>
      </c>
      <c r="E567" s="208" t="s">
        <v>573</v>
      </c>
      <c r="F567" t="s">
        <v>14</v>
      </c>
      <c r="G567" s="18">
        <v>0</v>
      </c>
      <c r="H567" s="151" t="s">
        <v>563</v>
      </c>
      <c r="I567" t="s">
        <v>17</v>
      </c>
    </row>
    <row r="568" spans="1:9" x14ac:dyDescent="0.25">
      <c r="A568">
        <v>1801</v>
      </c>
      <c r="B568">
        <f>A568+1</f>
        <v>1802</v>
      </c>
      <c r="C568" t="s">
        <v>508</v>
      </c>
      <c r="D568" t="s">
        <v>26</v>
      </c>
      <c r="E568" s="208" t="s">
        <v>573</v>
      </c>
      <c r="F568" t="s">
        <v>15</v>
      </c>
      <c r="G568" s="18">
        <v>268</v>
      </c>
      <c r="H568" s="151" t="s">
        <v>563</v>
      </c>
      <c r="I568" t="s">
        <v>561</v>
      </c>
    </row>
    <row r="569" spans="1:9" x14ac:dyDescent="0.25">
      <c r="A569">
        <v>1801</v>
      </c>
      <c r="B569">
        <f>A569+1</f>
        <v>1802</v>
      </c>
      <c r="C569" t="s">
        <v>508</v>
      </c>
      <c r="D569" t="s">
        <v>26</v>
      </c>
      <c r="E569" s="208" t="s">
        <v>567</v>
      </c>
      <c r="F569" t="s">
        <v>3</v>
      </c>
      <c r="G569" s="18">
        <v>4869</v>
      </c>
      <c r="H569" t="s">
        <v>24</v>
      </c>
      <c r="I569" t="s">
        <v>16</v>
      </c>
    </row>
    <row r="570" spans="1:9" x14ac:dyDescent="0.25">
      <c r="A570">
        <v>1801</v>
      </c>
      <c r="B570">
        <f>A570+1</f>
        <v>1802</v>
      </c>
      <c r="C570" t="s">
        <v>508</v>
      </c>
      <c r="D570" t="s">
        <v>26</v>
      </c>
      <c r="E570" s="208" t="s">
        <v>567</v>
      </c>
      <c r="F570" t="s">
        <v>4</v>
      </c>
      <c r="G570" s="18">
        <v>7875</v>
      </c>
      <c r="H570" t="s">
        <v>23</v>
      </c>
      <c r="I570" t="s">
        <v>16</v>
      </c>
    </row>
    <row r="571" spans="1:9" x14ac:dyDescent="0.25">
      <c r="A571">
        <v>1801</v>
      </c>
      <c r="B571">
        <f>A571+1</f>
        <v>1802</v>
      </c>
      <c r="C571" t="s">
        <v>508</v>
      </c>
      <c r="D571" t="s">
        <v>26</v>
      </c>
      <c r="E571" s="208" t="s">
        <v>567</v>
      </c>
      <c r="F571" t="s">
        <v>7</v>
      </c>
      <c r="G571" s="18">
        <v>12744</v>
      </c>
      <c r="H571" s="151" t="s">
        <v>563</v>
      </c>
      <c r="I571" t="s">
        <v>16</v>
      </c>
    </row>
    <row r="572" spans="1:9" x14ac:dyDescent="0.25">
      <c r="A572">
        <v>1801</v>
      </c>
      <c r="B572">
        <f>A572+1</f>
        <v>1802</v>
      </c>
      <c r="C572" t="s">
        <v>508</v>
      </c>
      <c r="D572" t="s">
        <v>26</v>
      </c>
      <c r="E572" s="208" t="s">
        <v>567</v>
      </c>
      <c r="F572" t="s">
        <v>10</v>
      </c>
      <c r="G572" s="18">
        <v>2926</v>
      </c>
      <c r="H572" t="s">
        <v>24</v>
      </c>
      <c r="I572" t="s">
        <v>17</v>
      </c>
    </row>
    <row r="573" spans="1:9" x14ac:dyDescent="0.25">
      <c r="A573">
        <v>1801</v>
      </c>
      <c r="B573">
        <f>A573+1</f>
        <v>1802</v>
      </c>
      <c r="C573" t="s">
        <v>508</v>
      </c>
      <c r="D573" t="s">
        <v>26</v>
      </c>
      <c r="E573" s="208" t="s">
        <v>567</v>
      </c>
      <c r="F573" t="s">
        <v>11</v>
      </c>
      <c r="G573" s="18">
        <v>5249</v>
      </c>
      <c r="H573" t="s">
        <v>23</v>
      </c>
      <c r="I573" t="s">
        <v>17</v>
      </c>
    </row>
    <row r="574" spans="1:9" x14ac:dyDescent="0.25">
      <c r="A574">
        <v>1801</v>
      </c>
      <c r="B574">
        <f>A574+1</f>
        <v>1802</v>
      </c>
      <c r="C574" t="s">
        <v>508</v>
      </c>
      <c r="D574" t="s">
        <v>26</v>
      </c>
      <c r="E574" s="208" t="s">
        <v>567</v>
      </c>
      <c r="F574" t="s">
        <v>14</v>
      </c>
      <c r="G574" s="18">
        <v>8175</v>
      </c>
      <c r="H574" s="151" t="s">
        <v>563</v>
      </c>
      <c r="I574" t="s">
        <v>17</v>
      </c>
    </row>
    <row r="575" spans="1:9" x14ac:dyDescent="0.25">
      <c r="A575">
        <v>1801</v>
      </c>
      <c r="B575">
        <f>A575+1</f>
        <v>1802</v>
      </c>
      <c r="C575" t="s">
        <v>508</v>
      </c>
      <c r="D575" t="s">
        <v>26</v>
      </c>
      <c r="E575" s="208" t="s">
        <v>567</v>
      </c>
      <c r="F575" t="s">
        <v>15</v>
      </c>
      <c r="G575" s="18">
        <v>20919</v>
      </c>
      <c r="H575" s="151" t="s">
        <v>563</v>
      </c>
      <c r="I575" t="s">
        <v>561</v>
      </c>
    </row>
    <row r="576" spans="1:9" x14ac:dyDescent="0.25">
      <c r="A576">
        <v>1801</v>
      </c>
      <c r="B576">
        <f>A576+1</f>
        <v>1802</v>
      </c>
      <c r="C576" t="s">
        <v>508</v>
      </c>
      <c r="D576" t="s">
        <v>26</v>
      </c>
      <c r="E576" s="208" t="s">
        <v>569</v>
      </c>
      <c r="F576" t="s">
        <v>4</v>
      </c>
      <c r="G576" s="18">
        <v>1452</v>
      </c>
      <c r="H576" t="s">
        <v>23</v>
      </c>
      <c r="I576" t="s">
        <v>16</v>
      </c>
    </row>
    <row r="577" spans="1:9" x14ac:dyDescent="0.25">
      <c r="A577">
        <v>1801</v>
      </c>
      <c r="B577">
        <f>A577+1</f>
        <v>1802</v>
      </c>
      <c r="C577" t="s">
        <v>508</v>
      </c>
      <c r="D577" t="s">
        <v>26</v>
      </c>
      <c r="E577" s="208" t="s">
        <v>569</v>
      </c>
      <c r="F577" t="s">
        <v>7</v>
      </c>
      <c r="G577" s="18">
        <v>1452</v>
      </c>
      <c r="H577" s="151" t="s">
        <v>563</v>
      </c>
      <c r="I577" t="s">
        <v>16</v>
      </c>
    </row>
    <row r="578" spans="1:9" x14ac:dyDescent="0.25">
      <c r="A578">
        <v>1801</v>
      </c>
      <c r="B578">
        <f>A578+1</f>
        <v>1802</v>
      </c>
      <c r="C578" t="s">
        <v>508</v>
      </c>
      <c r="D578" t="s">
        <v>26</v>
      </c>
      <c r="E578" s="208" t="s">
        <v>569</v>
      </c>
      <c r="F578" t="s">
        <v>11</v>
      </c>
      <c r="G578" s="18">
        <v>0</v>
      </c>
      <c r="H578" t="s">
        <v>23</v>
      </c>
      <c r="I578" t="s">
        <v>17</v>
      </c>
    </row>
    <row r="579" spans="1:9" x14ac:dyDescent="0.25">
      <c r="A579">
        <v>1801</v>
      </c>
      <c r="B579">
        <f>A579+1</f>
        <v>1802</v>
      </c>
      <c r="C579" t="s">
        <v>508</v>
      </c>
      <c r="D579" t="s">
        <v>26</v>
      </c>
      <c r="E579" s="208" t="s">
        <v>569</v>
      </c>
      <c r="F579" t="s">
        <v>14</v>
      </c>
      <c r="G579" s="18">
        <v>0</v>
      </c>
      <c r="H579" s="151" t="s">
        <v>563</v>
      </c>
      <c r="I579" t="s">
        <v>17</v>
      </c>
    </row>
    <row r="580" spans="1:9" x14ac:dyDescent="0.25">
      <c r="A580">
        <v>1801</v>
      </c>
      <c r="B580">
        <f>A580+1</f>
        <v>1802</v>
      </c>
      <c r="C580" t="s">
        <v>508</v>
      </c>
      <c r="D580" t="s">
        <v>26</v>
      </c>
      <c r="E580" s="208" t="s">
        <v>569</v>
      </c>
      <c r="F580" t="s">
        <v>15</v>
      </c>
      <c r="G580" s="18">
        <v>1452</v>
      </c>
      <c r="H580" s="151" t="s">
        <v>563</v>
      </c>
      <c r="I580" t="s">
        <v>561</v>
      </c>
    </row>
    <row r="581" spans="1:9" x14ac:dyDescent="0.25">
      <c r="A581">
        <v>1801</v>
      </c>
      <c r="B581">
        <f>A581+1</f>
        <v>1802</v>
      </c>
      <c r="C581" t="s">
        <v>508</v>
      </c>
      <c r="D581" t="s">
        <v>26</v>
      </c>
      <c r="E581" s="208" t="s">
        <v>62</v>
      </c>
      <c r="F581" t="s">
        <v>3</v>
      </c>
      <c r="G581" s="18">
        <v>248</v>
      </c>
      <c r="H581" t="s">
        <v>24</v>
      </c>
      <c r="I581" t="s">
        <v>16</v>
      </c>
    </row>
    <row r="582" spans="1:9" x14ac:dyDescent="0.25">
      <c r="A582">
        <v>1801</v>
      </c>
      <c r="B582">
        <f>A582+1</f>
        <v>1802</v>
      </c>
      <c r="C582" t="s">
        <v>508</v>
      </c>
      <c r="D582" t="s">
        <v>26</v>
      </c>
      <c r="E582" s="208" t="s">
        <v>62</v>
      </c>
      <c r="F582" t="s">
        <v>4</v>
      </c>
      <c r="G582" s="18">
        <v>88913</v>
      </c>
      <c r="H582" t="s">
        <v>23</v>
      </c>
      <c r="I582" t="s">
        <v>16</v>
      </c>
    </row>
    <row r="583" spans="1:9" x14ac:dyDescent="0.25">
      <c r="A583">
        <v>1801</v>
      </c>
      <c r="B583">
        <f>A583+1</f>
        <v>1802</v>
      </c>
      <c r="C583" t="s">
        <v>508</v>
      </c>
      <c r="D583" t="s">
        <v>26</v>
      </c>
      <c r="E583" s="208" t="s">
        <v>62</v>
      </c>
      <c r="F583" t="s">
        <v>7</v>
      </c>
      <c r="G583" s="18">
        <v>89161</v>
      </c>
      <c r="H583" s="151" t="s">
        <v>563</v>
      </c>
      <c r="I583" t="s">
        <v>16</v>
      </c>
    </row>
    <row r="584" spans="1:9" x14ac:dyDescent="0.25">
      <c r="A584">
        <v>1801</v>
      </c>
      <c r="B584">
        <f>A584+1</f>
        <v>1802</v>
      </c>
      <c r="C584" t="s">
        <v>508</v>
      </c>
      <c r="D584" t="s">
        <v>26</v>
      </c>
      <c r="E584" s="208" t="s">
        <v>62</v>
      </c>
      <c r="F584" t="s">
        <v>10</v>
      </c>
      <c r="G584" s="18">
        <v>0</v>
      </c>
      <c r="H584" t="s">
        <v>24</v>
      </c>
      <c r="I584" t="s">
        <v>17</v>
      </c>
    </row>
    <row r="585" spans="1:9" x14ac:dyDescent="0.25">
      <c r="A585">
        <v>1801</v>
      </c>
      <c r="B585">
        <f>A585+1</f>
        <v>1802</v>
      </c>
      <c r="C585" t="s">
        <v>508</v>
      </c>
      <c r="D585" t="s">
        <v>27</v>
      </c>
      <c r="E585" s="208" t="s">
        <v>155</v>
      </c>
      <c r="F585" t="s">
        <v>10</v>
      </c>
      <c r="G585" s="18">
        <v>130</v>
      </c>
      <c r="H585" t="s">
        <v>17</v>
      </c>
      <c r="I585" t="s">
        <v>24</v>
      </c>
    </row>
    <row r="586" spans="1:9" x14ac:dyDescent="0.25">
      <c r="A586">
        <v>1801</v>
      </c>
      <c r="B586">
        <f>A586+1</f>
        <v>1802</v>
      </c>
      <c r="C586" t="s">
        <v>508</v>
      </c>
      <c r="D586" t="s">
        <v>27</v>
      </c>
      <c r="E586" s="208" t="s">
        <v>156</v>
      </c>
      <c r="F586" t="s">
        <v>10</v>
      </c>
      <c r="G586" s="18">
        <v>75</v>
      </c>
      <c r="H586" t="s">
        <v>17</v>
      </c>
      <c r="I586" t="s">
        <v>24</v>
      </c>
    </row>
    <row r="587" spans="1:9" x14ac:dyDescent="0.25">
      <c r="A587">
        <v>1801</v>
      </c>
      <c r="B587">
        <f>A587+1</f>
        <v>1802</v>
      </c>
      <c r="C587" t="s">
        <v>508</v>
      </c>
      <c r="D587" t="s">
        <v>27</v>
      </c>
      <c r="E587" s="208" t="s">
        <v>154</v>
      </c>
      <c r="F587" t="s">
        <v>10</v>
      </c>
      <c r="G587" s="18">
        <v>12</v>
      </c>
      <c r="H587" t="s">
        <v>17</v>
      </c>
      <c r="I587" t="s">
        <v>24</v>
      </c>
    </row>
    <row r="588" spans="1:9" x14ac:dyDescent="0.25">
      <c r="A588">
        <v>1801</v>
      </c>
      <c r="B588">
        <f>A588+1</f>
        <v>1802</v>
      </c>
      <c r="C588" t="s">
        <v>508</v>
      </c>
      <c r="D588" t="s">
        <v>27</v>
      </c>
      <c r="E588" s="208" t="s">
        <v>150</v>
      </c>
      <c r="F588" t="s">
        <v>10</v>
      </c>
      <c r="G588" s="18">
        <v>1393</v>
      </c>
      <c r="H588" t="s">
        <v>17</v>
      </c>
      <c r="I588" t="s">
        <v>24</v>
      </c>
    </row>
    <row r="589" spans="1:9" x14ac:dyDescent="0.25">
      <c r="A589">
        <v>1801</v>
      </c>
      <c r="B589">
        <f>A589+1</f>
        <v>1802</v>
      </c>
      <c r="C589" t="s">
        <v>508</v>
      </c>
      <c r="D589" t="s">
        <v>27</v>
      </c>
      <c r="E589" s="208" t="s">
        <v>148</v>
      </c>
      <c r="F589" t="s">
        <v>10</v>
      </c>
      <c r="G589" s="18">
        <v>70</v>
      </c>
      <c r="H589" t="s">
        <v>17</v>
      </c>
      <c r="I589" t="s">
        <v>24</v>
      </c>
    </row>
    <row r="590" spans="1:9" x14ac:dyDescent="0.25">
      <c r="A590">
        <v>1801</v>
      </c>
      <c r="B590">
        <f>A590+1</f>
        <v>1802</v>
      </c>
      <c r="C590" t="s">
        <v>508</v>
      </c>
      <c r="D590" t="s">
        <v>27</v>
      </c>
      <c r="E590" s="208" t="s">
        <v>314</v>
      </c>
      <c r="F590" t="s">
        <v>10</v>
      </c>
      <c r="G590" s="18">
        <v>0</v>
      </c>
      <c r="H590" t="s">
        <v>17</v>
      </c>
      <c r="I590" t="s">
        <v>24</v>
      </c>
    </row>
    <row r="591" spans="1:9" x14ac:dyDescent="0.25">
      <c r="A591">
        <v>1801</v>
      </c>
      <c r="B591">
        <f>A591+1</f>
        <v>1802</v>
      </c>
      <c r="C591" t="s">
        <v>508</v>
      </c>
      <c r="D591" t="s">
        <v>27</v>
      </c>
      <c r="E591" s="208" t="s">
        <v>149</v>
      </c>
      <c r="F591" t="s">
        <v>10</v>
      </c>
      <c r="G591" s="18">
        <v>0</v>
      </c>
      <c r="H591" t="s">
        <v>17</v>
      </c>
      <c r="I591" t="s">
        <v>24</v>
      </c>
    </row>
    <row r="592" spans="1:9" x14ac:dyDescent="0.25">
      <c r="A592">
        <v>1801</v>
      </c>
      <c r="B592">
        <f>A592+1</f>
        <v>1802</v>
      </c>
      <c r="C592" t="s">
        <v>508</v>
      </c>
      <c r="D592" t="s">
        <v>27</v>
      </c>
      <c r="E592" s="208" t="s">
        <v>139</v>
      </c>
      <c r="F592" t="s">
        <v>10</v>
      </c>
      <c r="G592" s="18">
        <v>60</v>
      </c>
      <c r="H592" t="s">
        <v>17</v>
      </c>
      <c r="I592" t="s">
        <v>24</v>
      </c>
    </row>
    <row r="593" spans="1:9" x14ac:dyDescent="0.25">
      <c r="A593">
        <v>1801</v>
      </c>
      <c r="B593">
        <f>A593+1</f>
        <v>1802</v>
      </c>
      <c r="C593" t="s">
        <v>508</v>
      </c>
      <c r="D593" t="s">
        <v>27</v>
      </c>
      <c r="E593" s="208" t="s">
        <v>130</v>
      </c>
      <c r="F593" t="s">
        <v>10</v>
      </c>
      <c r="G593" s="18">
        <v>0</v>
      </c>
      <c r="H593" t="s">
        <v>17</v>
      </c>
      <c r="I593" t="s">
        <v>24</v>
      </c>
    </row>
    <row r="594" spans="1:9" x14ac:dyDescent="0.25">
      <c r="A594">
        <v>1801</v>
      </c>
      <c r="B594">
        <f>A594+1</f>
        <v>1802</v>
      </c>
      <c r="C594" t="s">
        <v>508</v>
      </c>
      <c r="D594" t="s">
        <v>27</v>
      </c>
      <c r="E594" s="208" t="s">
        <v>132</v>
      </c>
      <c r="F594" t="s">
        <v>10</v>
      </c>
      <c r="G594" s="18">
        <v>0</v>
      </c>
      <c r="H594" t="s">
        <v>17</v>
      </c>
      <c r="I594" t="s">
        <v>24</v>
      </c>
    </row>
    <row r="595" spans="1:9" x14ac:dyDescent="0.25">
      <c r="A595">
        <v>1801</v>
      </c>
      <c r="B595">
        <f>A595+1</f>
        <v>1802</v>
      </c>
      <c r="C595" t="s">
        <v>508</v>
      </c>
      <c r="D595" t="s">
        <v>27</v>
      </c>
      <c r="E595" s="208" t="s">
        <v>142</v>
      </c>
      <c r="F595" t="s">
        <v>10</v>
      </c>
      <c r="G595" s="18">
        <v>0</v>
      </c>
      <c r="H595" t="s">
        <v>17</v>
      </c>
      <c r="I595" t="s">
        <v>24</v>
      </c>
    </row>
    <row r="596" spans="1:9" x14ac:dyDescent="0.25">
      <c r="A596">
        <v>1801</v>
      </c>
      <c r="B596">
        <f>A596+1</f>
        <v>1802</v>
      </c>
      <c r="C596" t="s">
        <v>508</v>
      </c>
      <c r="D596" t="s">
        <v>27</v>
      </c>
      <c r="E596" s="208" t="s">
        <v>144</v>
      </c>
      <c r="F596" t="s">
        <v>10</v>
      </c>
      <c r="G596" s="18">
        <v>0</v>
      </c>
      <c r="H596" t="s">
        <v>17</v>
      </c>
      <c r="I596" t="s">
        <v>24</v>
      </c>
    </row>
    <row r="597" spans="1:9" x14ac:dyDescent="0.25">
      <c r="A597">
        <v>1801</v>
      </c>
      <c r="B597">
        <f>A597+1</f>
        <v>1802</v>
      </c>
      <c r="C597" t="s">
        <v>508</v>
      </c>
      <c r="D597" t="s">
        <v>27</v>
      </c>
      <c r="E597" s="208" t="s">
        <v>124</v>
      </c>
      <c r="F597" t="s">
        <v>10</v>
      </c>
      <c r="G597" s="18">
        <v>14264</v>
      </c>
      <c r="H597" t="s">
        <v>17</v>
      </c>
      <c r="I597" t="s">
        <v>24</v>
      </c>
    </row>
    <row r="598" spans="1:9" x14ac:dyDescent="0.25">
      <c r="A598">
        <v>1801</v>
      </c>
      <c r="B598">
        <f>A598+1</f>
        <v>1802</v>
      </c>
      <c r="C598" t="s">
        <v>508</v>
      </c>
      <c r="D598" t="s">
        <v>27</v>
      </c>
      <c r="E598" s="208" t="s">
        <v>62</v>
      </c>
      <c r="F598" t="s">
        <v>10</v>
      </c>
      <c r="G598" s="18">
        <v>0</v>
      </c>
      <c r="H598" t="s">
        <v>17</v>
      </c>
      <c r="I598" t="s">
        <v>24</v>
      </c>
    </row>
    <row r="599" spans="1:9" x14ac:dyDescent="0.25">
      <c r="A599">
        <v>1801</v>
      </c>
      <c r="B599">
        <f>A599+1</f>
        <v>1802</v>
      </c>
      <c r="C599" t="s">
        <v>508</v>
      </c>
      <c r="D599" t="s">
        <v>27</v>
      </c>
      <c r="E599" s="208" t="s">
        <v>146</v>
      </c>
      <c r="F599" t="s">
        <v>10</v>
      </c>
      <c r="G599" s="18">
        <v>0</v>
      </c>
      <c r="H599" t="s">
        <v>17</v>
      </c>
      <c r="I599" t="s">
        <v>24</v>
      </c>
    </row>
    <row r="600" spans="1:9" x14ac:dyDescent="0.25">
      <c r="A600">
        <v>1801</v>
      </c>
      <c r="B600">
        <f>A600+1</f>
        <v>1802</v>
      </c>
      <c r="C600" t="s">
        <v>508</v>
      </c>
      <c r="D600" t="s">
        <v>27</v>
      </c>
      <c r="E600" s="208" t="s">
        <v>36</v>
      </c>
      <c r="F600" t="s">
        <v>10</v>
      </c>
      <c r="G600" s="18">
        <v>0</v>
      </c>
      <c r="H600" t="s">
        <v>17</v>
      </c>
      <c r="I600" t="s">
        <v>24</v>
      </c>
    </row>
    <row r="601" spans="1:9" x14ac:dyDescent="0.25">
      <c r="A601">
        <v>1801</v>
      </c>
      <c r="B601">
        <f>A601+1</f>
        <v>1802</v>
      </c>
      <c r="C601" t="s">
        <v>508</v>
      </c>
      <c r="D601" t="s">
        <v>27</v>
      </c>
      <c r="E601" s="208" t="s">
        <v>171</v>
      </c>
      <c r="F601" t="s">
        <v>10</v>
      </c>
      <c r="G601" s="18">
        <v>0</v>
      </c>
      <c r="H601" t="s">
        <v>17</v>
      </c>
      <c r="I601" t="s">
        <v>24</v>
      </c>
    </row>
    <row r="602" spans="1:9" x14ac:dyDescent="0.25">
      <c r="A602">
        <v>1801</v>
      </c>
      <c r="B602">
        <f>A602+1</f>
        <v>1802</v>
      </c>
      <c r="C602" t="s">
        <v>508</v>
      </c>
      <c r="D602" t="s">
        <v>27</v>
      </c>
      <c r="E602" s="208" t="s">
        <v>158</v>
      </c>
      <c r="F602" t="s">
        <v>10</v>
      </c>
      <c r="G602" s="18">
        <v>0</v>
      </c>
      <c r="H602" t="s">
        <v>17</v>
      </c>
      <c r="I602" t="s">
        <v>24</v>
      </c>
    </row>
    <row r="603" spans="1:9" x14ac:dyDescent="0.25">
      <c r="A603">
        <v>1801</v>
      </c>
      <c r="B603">
        <f>A603+1</f>
        <v>1802</v>
      </c>
      <c r="C603" t="s">
        <v>508</v>
      </c>
      <c r="D603" t="s">
        <v>27</v>
      </c>
      <c r="E603" s="208" t="s">
        <v>159</v>
      </c>
      <c r="F603" t="s">
        <v>10</v>
      </c>
      <c r="G603" s="18">
        <v>0</v>
      </c>
      <c r="H603" t="s">
        <v>17</v>
      </c>
      <c r="I603" t="s">
        <v>24</v>
      </c>
    </row>
    <row r="604" spans="1:9" x14ac:dyDescent="0.25">
      <c r="A604">
        <v>1801</v>
      </c>
      <c r="B604">
        <f>A604+1</f>
        <v>1802</v>
      </c>
      <c r="C604" t="s">
        <v>508</v>
      </c>
      <c r="D604" t="s">
        <v>27</v>
      </c>
      <c r="E604" s="208" t="s">
        <v>99</v>
      </c>
      <c r="F604" t="s">
        <v>10</v>
      </c>
      <c r="G604" s="18">
        <v>0</v>
      </c>
      <c r="H604" t="s">
        <v>17</v>
      </c>
      <c r="I604" t="s">
        <v>24</v>
      </c>
    </row>
    <row r="605" spans="1:9" x14ac:dyDescent="0.25">
      <c r="A605">
        <v>1801</v>
      </c>
      <c r="B605">
        <f>A605+1</f>
        <v>1802</v>
      </c>
      <c r="C605" t="s">
        <v>508</v>
      </c>
      <c r="D605" t="s">
        <v>27</v>
      </c>
      <c r="E605" s="208" t="s">
        <v>117</v>
      </c>
      <c r="F605" t="s">
        <v>10</v>
      </c>
      <c r="G605" s="18">
        <v>0</v>
      </c>
      <c r="H605" t="s">
        <v>17</v>
      </c>
      <c r="I605" t="s">
        <v>24</v>
      </c>
    </row>
    <row r="606" spans="1:9" x14ac:dyDescent="0.25">
      <c r="A606">
        <v>1801</v>
      </c>
      <c r="B606">
        <f>A606+1</f>
        <v>1802</v>
      </c>
      <c r="C606" t="s">
        <v>508</v>
      </c>
      <c r="D606" t="s">
        <v>27</v>
      </c>
      <c r="E606" s="208" t="s">
        <v>151</v>
      </c>
      <c r="F606" t="s">
        <v>10</v>
      </c>
      <c r="G606" s="18">
        <v>0</v>
      </c>
      <c r="H606" t="s">
        <v>17</v>
      </c>
      <c r="I606" t="s">
        <v>24</v>
      </c>
    </row>
    <row r="607" spans="1:9" x14ac:dyDescent="0.25">
      <c r="A607">
        <v>1801</v>
      </c>
      <c r="B607">
        <f>A607+1</f>
        <v>1802</v>
      </c>
      <c r="C607" t="s">
        <v>508</v>
      </c>
      <c r="D607" t="s">
        <v>27</v>
      </c>
      <c r="E607" s="208" t="s">
        <v>126</v>
      </c>
      <c r="F607" t="s">
        <v>10</v>
      </c>
      <c r="G607" s="18">
        <v>0</v>
      </c>
      <c r="H607" t="s">
        <v>17</v>
      </c>
      <c r="I607" t="s">
        <v>24</v>
      </c>
    </row>
    <row r="608" spans="1:9" x14ac:dyDescent="0.25">
      <c r="A608">
        <v>1801</v>
      </c>
      <c r="B608">
        <f>A608+1</f>
        <v>1802</v>
      </c>
      <c r="C608" t="s">
        <v>508</v>
      </c>
      <c r="D608" t="s">
        <v>27</v>
      </c>
      <c r="E608" s="208" t="s">
        <v>153</v>
      </c>
      <c r="F608" t="s">
        <v>10</v>
      </c>
      <c r="G608" s="18">
        <v>0</v>
      </c>
      <c r="H608" t="s">
        <v>17</v>
      </c>
      <c r="I608" t="s">
        <v>24</v>
      </c>
    </row>
    <row r="609" spans="1:9" x14ac:dyDescent="0.25">
      <c r="A609">
        <v>1801</v>
      </c>
      <c r="B609">
        <f>A609+1</f>
        <v>1802</v>
      </c>
      <c r="C609" t="s">
        <v>508</v>
      </c>
      <c r="D609" t="s">
        <v>27</v>
      </c>
      <c r="E609" s="208" t="s">
        <v>120</v>
      </c>
      <c r="F609" t="s">
        <v>10</v>
      </c>
      <c r="G609" s="18">
        <v>0</v>
      </c>
      <c r="H609" t="s">
        <v>17</v>
      </c>
      <c r="I609" t="s">
        <v>24</v>
      </c>
    </row>
    <row r="610" spans="1:9" x14ac:dyDescent="0.25">
      <c r="A610">
        <v>1801</v>
      </c>
      <c r="B610">
        <f>A610+1</f>
        <v>1802</v>
      </c>
      <c r="C610" t="s">
        <v>508</v>
      </c>
      <c r="D610" t="s">
        <v>27</v>
      </c>
      <c r="E610" s="208" t="s">
        <v>45</v>
      </c>
      <c r="F610" t="s">
        <v>10</v>
      </c>
      <c r="G610" s="18">
        <v>0</v>
      </c>
      <c r="H610" t="s">
        <v>17</v>
      </c>
      <c r="I610" t="s">
        <v>24</v>
      </c>
    </row>
    <row r="611" spans="1:9" x14ac:dyDescent="0.25">
      <c r="A611">
        <v>1801</v>
      </c>
      <c r="B611">
        <f>A611+1</f>
        <v>1802</v>
      </c>
      <c r="C611" t="s">
        <v>508</v>
      </c>
      <c r="D611" t="s">
        <v>27</v>
      </c>
      <c r="E611" s="208" t="s">
        <v>152</v>
      </c>
      <c r="F611" t="s">
        <v>10</v>
      </c>
      <c r="G611" s="18">
        <v>0</v>
      </c>
      <c r="H611" t="s">
        <v>17</v>
      </c>
      <c r="I611" t="s">
        <v>24</v>
      </c>
    </row>
    <row r="612" spans="1:9" x14ac:dyDescent="0.25">
      <c r="A612">
        <v>1801</v>
      </c>
      <c r="B612">
        <f>A612+1</f>
        <v>1802</v>
      </c>
      <c r="C612" t="s">
        <v>508</v>
      </c>
      <c r="D612" t="s">
        <v>27</v>
      </c>
      <c r="E612" s="208" t="s">
        <v>70</v>
      </c>
      <c r="F612" t="s">
        <v>10</v>
      </c>
      <c r="G612" s="18">
        <v>0</v>
      </c>
      <c r="H612" t="s">
        <v>17</v>
      </c>
      <c r="I612" t="s">
        <v>24</v>
      </c>
    </row>
    <row r="613" spans="1:9" x14ac:dyDescent="0.25">
      <c r="A613">
        <v>1801</v>
      </c>
      <c r="B613">
        <f>A613+1</f>
        <v>1802</v>
      </c>
      <c r="C613" t="s">
        <v>508</v>
      </c>
      <c r="D613" t="s">
        <v>27</v>
      </c>
      <c r="E613" s="208" t="s">
        <v>75</v>
      </c>
      <c r="F613" t="s">
        <v>10</v>
      </c>
      <c r="G613" s="18">
        <v>0</v>
      </c>
      <c r="H613" t="s">
        <v>17</v>
      </c>
      <c r="I613" t="s">
        <v>24</v>
      </c>
    </row>
    <row r="614" spans="1:9" x14ac:dyDescent="0.25">
      <c r="A614">
        <v>1801</v>
      </c>
      <c r="B614">
        <f>A614+1</f>
        <v>1802</v>
      </c>
      <c r="C614" t="s">
        <v>508</v>
      </c>
      <c r="D614" t="s">
        <v>27</v>
      </c>
      <c r="E614" s="208" t="s">
        <v>101</v>
      </c>
      <c r="F614" t="s">
        <v>10</v>
      </c>
      <c r="G614" s="18">
        <v>0</v>
      </c>
      <c r="H614" t="s">
        <v>17</v>
      </c>
      <c r="I614" t="s">
        <v>24</v>
      </c>
    </row>
    <row r="615" spans="1:9" x14ac:dyDescent="0.25">
      <c r="A615">
        <v>1801</v>
      </c>
      <c r="B615">
        <f>A615+1</f>
        <v>1802</v>
      </c>
      <c r="C615" t="s">
        <v>508</v>
      </c>
      <c r="D615" t="s">
        <v>26</v>
      </c>
      <c r="E615" s="208" t="s">
        <v>62</v>
      </c>
      <c r="F615" t="s">
        <v>11</v>
      </c>
      <c r="G615" s="18">
        <v>15449</v>
      </c>
      <c r="H615" t="s">
        <v>23</v>
      </c>
      <c r="I615" t="s">
        <v>17</v>
      </c>
    </row>
    <row r="616" spans="1:9" x14ac:dyDescent="0.25">
      <c r="A616">
        <v>1801</v>
      </c>
      <c r="B616">
        <f>A616+1</f>
        <v>1802</v>
      </c>
      <c r="C616" t="s">
        <v>508</v>
      </c>
      <c r="D616" t="s">
        <v>26</v>
      </c>
      <c r="E616" s="208" t="s">
        <v>62</v>
      </c>
      <c r="F616" t="s">
        <v>14</v>
      </c>
      <c r="G616" s="18">
        <v>15449</v>
      </c>
      <c r="H616" s="151" t="s">
        <v>563</v>
      </c>
      <c r="I616" t="s">
        <v>17</v>
      </c>
    </row>
    <row r="617" spans="1:9" x14ac:dyDescent="0.25">
      <c r="A617">
        <v>1801</v>
      </c>
      <c r="B617">
        <f>A617+1</f>
        <v>1802</v>
      </c>
      <c r="C617" t="s">
        <v>508</v>
      </c>
      <c r="D617" t="s">
        <v>26</v>
      </c>
      <c r="E617" s="208" t="s">
        <v>62</v>
      </c>
      <c r="F617" t="s">
        <v>15</v>
      </c>
      <c r="G617" s="18">
        <v>104610</v>
      </c>
      <c r="H617" s="151" t="s">
        <v>563</v>
      </c>
      <c r="I617" t="s">
        <v>561</v>
      </c>
    </row>
    <row r="618" spans="1:9" x14ac:dyDescent="0.25">
      <c r="A618">
        <v>1801</v>
      </c>
      <c r="B618">
        <f>A618+1</f>
        <v>1802</v>
      </c>
      <c r="C618" t="s">
        <v>508</v>
      </c>
      <c r="D618" t="s">
        <v>26</v>
      </c>
      <c r="E618" s="208" t="s">
        <v>64</v>
      </c>
      <c r="F618" t="s">
        <v>3</v>
      </c>
      <c r="G618" s="18">
        <v>300</v>
      </c>
      <c r="H618" t="s">
        <v>24</v>
      </c>
      <c r="I618" t="s">
        <v>16</v>
      </c>
    </row>
    <row r="619" spans="1:9" x14ac:dyDescent="0.25">
      <c r="A619">
        <v>1801</v>
      </c>
      <c r="B619">
        <f>A619+1</f>
        <v>1802</v>
      </c>
      <c r="C619" t="s">
        <v>508</v>
      </c>
      <c r="D619" t="s">
        <v>26</v>
      </c>
      <c r="E619" s="208" t="s">
        <v>64</v>
      </c>
      <c r="F619" t="s">
        <v>7</v>
      </c>
      <c r="G619" s="18">
        <v>300</v>
      </c>
      <c r="H619" s="151" t="s">
        <v>563</v>
      </c>
      <c r="I619" t="s">
        <v>16</v>
      </c>
    </row>
    <row r="620" spans="1:9" x14ac:dyDescent="0.25">
      <c r="A620">
        <v>1801</v>
      </c>
      <c r="B620">
        <f>A620+1</f>
        <v>1802</v>
      </c>
      <c r="C620" t="s">
        <v>508</v>
      </c>
      <c r="D620" t="s">
        <v>26</v>
      </c>
      <c r="E620" s="208" t="s">
        <v>64</v>
      </c>
      <c r="F620" t="s">
        <v>10</v>
      </c>
      <c r="G620" s="18">
        <v>0</v>
      </c>
      <c r="H620" t="s">
        <v>24</v>
      </c>
      <c r="I620" t="s">
        <v>17</v>
      </c>
    </row>
    <row r="621" spans="1:9" x14ac:dyDescent="0.25">
      <c r="A621">
        <v>1801</v>
      </c>
      <c r="B621">
        <f>A621+1</f>
        <v>1802</v>
      </c>
      <c r="C621" t="s">
        <v>508</v>
      </c>
      <c r="D621" t="s">
        <v>26</v>
      </c>
      <c r="E621" s="208" t="s">
        <v>64</v>
      </c>
      <c r="F621" t="s">
        <v>14</v>
      </c>
      <c r="G621" s="18">
        <v>0</v>
      </c>
      <c r="H621" s="151" t="s">
        <v>563</v>
      </c>
      <c r="I621" t="s">
        <v>17</v>
      </c>
    </row>
    <row r="622" spans="1:9" x14ac:dyDescent="0.25">
      <c r="A622">
        <v>1801</v>
      </c>
      <c r="B622">
        <f>A622+1</f>
        <v>1802</v>
      </c>
      <c r="C622" t="s">
        <v>508</v>
      </c>
      <c r="D622" t="s">
        <v>26</v>
      </c>
      <c r="E622" s="208" t="s">
        <v>64</v>
      </c>
      <c r="F622" t="s">
        <v>15</v>
      </c>
      <c r="G622" s="18">
        <v>300</v>
      </c>
      <c r="H622" s="151" t="s">
        <v>563</v>
      </c>
      <c r="I622" t="s">
        <v>561</v>
      </c>
    </row>
    <row r="623" spans="1:9" x14ac:dyDescent="0.25">
      <c r="A623">
        <v>1801</v>
      </c>
      <c r="B623">
        <f>A623+1</f>
        <v>1802</v>
      </c>
      <c r="C623" t="s">
        <v>508</v>
      </c>
      <c r="D623" t="s">
        <v>26</v>
      </c>
      <c r="E623" s="208" t="s">
        <v>332</v>
      </c>
      <c r="F623" t="s">
        <v>6</v>
      </c>
      <c r="G623" s="18">
        <v>137</v>
      </c>
      <c r="H623" t="s">
        <v>25</v>
      </c>
      <c r="I623" t="s">
        <v>16</v>
      </c>
    </row>
    <row r="624" spans="1:9" x14ac:dyDescent="0.25">
      <c r="A624">
        <v>1801</v>
      </c>
      <c r="B624">
        <f>A624+1</f>
        <v>1802</v>
      </c>
      <c r="C624" t="s">
        <v>508</v>
      </c>
      <c r="D624" t="s">
        <v>26</v>
      </c>
      <c r="E624" s="208" t="s">
        <v>332</v>
      </c>
      <c r="F624" t="s">
        <v>7</v>
      </c>
      <c r="G624" s="18">
        <v>137</v>
      </c>
      <c r="H624" s="151" t="s">
        <v>563</v>
      </c>
      <c r="I624" t="s">
        <v>16</v>
      </c>
    </row>
    <row r="625" spans="1:9" x14ac:dyDescent="0.25">
      <c r="A625">
        <v>1801</v>
      </c>
      <c r="B625">
        <f>A625+1</f>
        <v>1802</v>
      </c>
      <c r="C625" t="s">
        <v>508</v>
      </c>
      <c r="D625" t="s">
        <v>26</v>
      </c>
      <c r="E625" s="208" t="s">
        <v>332</v>
      </c>
      <c r="F625" t="s">
        <v>13</v>
      </c>
      <c r="G625" s="18">
        <v>3</v>
      </c>
      <c r="H625" t="s">
        <v>25</v>
      </c>
      <c r="I625" t="s">
        <v>17</v>
      </c>
    </row>
    <row r="626" spans="1:9" x14ac:dyDescent="0.25">
      <c r="A626">
        <v>1801</v>
      </c>
      <c r="B626">
        <f>A626+1</f>
        <v>1802</v>
      </c>
      <c r="C626" t="s">
        <v>508</v>
      </c>
      <c r="D626" t="s">
        <v>26</v>
      </c>
      <c r="E626" s="208" t="s">
        <v>332</v>
      </c>
      <c r="F626" t="s">
        <v>14</v>
      </c>
      <c r="G626" s="18">
        <v>3</v>
      </c>
      <c r="H626" s="151" t="s">
        <v>563</v>
      </c>
      <c r="I626" t="s">
        <v>17</v>
      </c>
    </row>
    <row r="627" spans="1:9" x14ac:dyDescent="0.25">
      <c r="A627">
        <v>1801</v>
      </c>
      <c r="B627">
        <f>A627+1</f>
        <v>1802</v>
      </c>
      <c r="C627" t="s">
        <v>508</v>
      </c>
      <c r="D627" t="s">
        <v>26</v>
      </c>
      <c r="E627" s="208" t="s">
        <v>332</v>
      </c>
      <c r="F627" t="s">
        <v>15</v>
      </c>
      <c r="G627" s="18">
        <v>140</v>
      </c>
      <c r="H627" s="151" t="s">
        <v>563</v>
      </c>
      <c r="I627" t="s">
        <v>561</v>
      </c>
    </row>
    <row r="628" spans="1:9" x14ac:dyDescent="0.25">
      <c r="A628">
        <v>1801</v>
      </c>
      <c r="B628">
        <f>A628+1</f>
        <v>1802</v>
      </c>
      <c r="C628" t="s">
        <v>508</v>
      </c>
      <c r="D628" t="s">
        <v>26</v>
      </c>
      <c r="E628" s="208" t="s">
        <v>333</v>
      </c>
      <c r="F628" t="s">
        <v>6</v>
      </c>
      <c r="G628" s="18">
        <v>2188</v>
      </c>
      <c r="H628" t="s">
        <v>25</v>
      </c>
      <c r="I628" t="s">
        <v>16</v>
      </c>
    </row>
    <row r="629" spans="1:9" x14ac:dyDescent="0.25">
      <c r="A629">
        <v>1801</v>
      </c>
      <c r="B629">
        <f>A629+1</f>
        <v>1802</v>
      </c>
      <c r="C629" t="s">
        <v>508</v>
      </c>
      <c r="D629" t="s">
        <v>26</v>
      </c>
      <c r="E629" s="208" t="s">
        <v>333</v>
      </c>
      <c r="F629" t="s">
        <v>7</v>
      </c>
      <c r="G629" s="18">
        <v>2188</v>
      </c>
      <c r="H629" s="151" t="s">
        <v>563</v>
      </c>
      <c r="I629" t="s">
        <v>16</v>
      </c>
    </row>
    <row r="630" spans="1:9" x14ac:dyDescent="0.25">
      <c r="A630">
        <v>1801</v>
      </c>
      <c r="B630">
        <f>A630+1</f>
        <v>1802</v>
      </c>
      <c r="C630" t="s">
        <v>508</v>
      </c>
      <c r="D630" t="s">
        <v>26</v>
      </c>
      <c r="E630" s="208" t="s">
        <v>333</v>
      </c>
      <c r="F630" t="s">
        <v>13</v>
      </c>
      <c r="G630" s="18">
        <v>2431</v>
      </c>
      <c r="H630" t="s">
        <v>25</v>
      </c>
      <c r="I630" t="s">
        <v>17</v>
      </c>
    </row>
    <row r="631" spans="1:9" x14ac:dyDescent="0.25">
      <c r="A631">
        <v>1801</v>
      </c>
      <c r="B631">
        <f>A631+1</f>
        <v>1802</v>
      </c>
      <c r="C631" t="s">
        <v>508</v>
      </c>
      <c r="D631" t="s">
        <v>26</v>
      </c>
      <c r="E631" s="208" t="s">
        <v>333</v>
      </c>
      <c r="F631" t="s">
        <v>14</v>
      </c>
      <c r="G631" s="18">
        <v>2431</v>
      </c>
      <c r="H631" s="151" t="s">
        <v>563</v>
      </c>
      <c r="I631" t="s">
        <v>17</v>
      </c>
    </row>
    <row r="632" spans="1:9" x14ac:dyDescent="0.25">
      <c r="A632">
        <v>1801</v>
      </c>
      <c r="B632">
        <f>A632+1</f>
        <v>1802</v>
      </c>
      <c r="C632" t="s">
        <v>508</v>
      </c>
      <c r="D632" t="s">
        <v>26</v>
      </c>
      <c r="E632" s="208" t="s">
        <v>333</v>
      </c>
      <c r="F632" t="s">
        <v>15</v>
      </c>
      <c r="G632" s="18">
        <v>4619</v>
      </c>
      <c r="H632" s="151" t="s">
        <v>563</v>
      </c>
      <c r="I632" t="s">
        <v>561</v>
      </c>
    </row>
    <row r="633" spans="1:9" x14ac:dyDescent="0.25">
      <c r="A633">
        <v>1801</v>
      </c>
      <c r="B633">
        <f>A633+1</f>
        <v>1802</v>
      </c>
      <c r="C633" t="s">
        <v>508</v>
      </c>
      <c r="D633" t="s">
        <v>26</v>
      </c>
      <c r="E633" s="208" t="s">
        <v>71</v>
      </c>
      <c r="F633" t="s">
        <v>3</v>
      </c>
      <c r="G633" s="18">
        <v>18</v>
      </c>
      <c r="H633" t="s">
        <v>24</v>
      </c>
      <c r="I633" t="s">
        <v>16</v>
      </c>
    </row>
    <row r="634" spans="1:9" x14ac:dyDescent="0.25">
      <c r="A634">
        <v>1801</v>
      </c>
      <c r="B634">
        <f>A634+1</f>
        <v>1802</v>
      </c>
      <c r="C634" t="s">
        <v>508</v>
      </c>
      <c r="D634" t="s">
        <v>26</v>
      </c>
      <c r="E634" s="208" t="s">
        <v>330</v>
      </c>
      <c r="F634" t="s">
        <v>6</v>
      </c>
      <c r="G634" s="18">
        <v>1207</v>
      </c>
      <c r="H634" t="s">
        <v>25</v>
      </c>
      <c r="I634" t="s">
        <v>16</v>
      </c>
    </row>
    <row r="635" spans="1:9" x14ac:dyDescent="0.25">
      <c r="A635">
        <v>1801</v>
      </c>
      <c r="B635">
        <f>A635+1</f>
        <v>1802</v>
      </c>
      <c r="C635" t="s">
        <v>508</v>
      </c>
      <c r="D635" t="s">
        <v>26</v>
      </c>
      <c r="E635" s="208" t="s">
        <v>71</v>
      </c>
      <c r="F635" t="s">
        <v>7</v>
      </c>
      <c r="G635" s="18">
        <v>18</v>
      </c>
      <c r="H635" s="151" t="s">
        <v>563</v>
      </c>
      <c r="I635" t="s">
        <v>16</v>
      </c>
    </row>
    <row r="636" spans="1:9" x14ac:dyDescent="0.25">
      <c r="A636">
        <v>1801</v>
      </c>
      <c r="B636">
        <f>A636+1</f>
        <v>1802</v>
      </c>
      <c r="C636" t="s">
        <v>508</v>
      </c>
      <c r="D636" t="s">
        <v>26</v>
      </c>
      <c r="E636" s="208" t="s">
        <v>330</v>
      </c>
      <c r="F636" t="s">
        <v>7</v>
      </c>
      <c r="G636" s="18">
        <v>1207</v>
      </c>
      <c r="H636" s="151" t="s">
        <v>563</v>
      </c>
      <c r="I636" t="s">
        <v>16</v>
      </c>
    </row>
    <row r="637" spans="1:9" x14ac:dyDescent="0.25">
      <c r="A637">
        <v>1801</v>
      </c>
      <c r="B637">
        <f>A637+1</f>
        <v>1802</v>
      </c>
      <c r="C637" t="s">
        <v>508</v>
      </c>
      <c r="D637" t="s">
        <v>26</v>
      </c>
      <c r="E637" s="208" t="s">
        <v>71</v>
      </c>
      <c r="F637" t="s">
        <v>10</v>
      </c>
      <c r="G637" s="18">
        <v>0</v>
      </c>
      <c r="H637" t="s">
        <v>24</v>
      </c>
      <c r="I637" t="s">
        <v>17</v>
      </c>
    </row>
    <row r="638" spans="1:9" x14ac:dyDescent="0.25">
      <c r="A638">
        <v>1801</v>
      </c>
      <c r="B638">
        <f>A638+1</f>
        <v>1802</v>
      </c>
      <c r="C638" t="s">
        <v>508</v>
      </c>
      <c r="D638" t="s">
        <v>26</v>
      </c>
      <c r="E638" s="208" t="s">
        <v>330</v>
      </c>
      <c r="F638" t="s">
        <v>13</v>
      </c>
      <c r="G638" s="18">
        <v>1163</v>
      </c>
      <c r="H638" t="s">
        <v>25</v>
      </c>
      <c r="I638" t="s">
        <v>17</v>
      </c>
    </row>
    <row r="639" spans="1:9" x14ac:dyDescent="0.25">
      <c r="A639">
        <v>1801</v>
      </c>
      <c r="B639">
        <f>A639+1</f>
        <v>1802</v>
      </c>
      <c r="C639" t="s">
        <v>508</v>
      </c>
      <c r="D639" t="s">
        <v>26</v>
      </c>
      <c r="E639" s="208" t="s">
        <v>71</v>
      </c>
      <c r="F639" t="s">
        <v>14</v>
      </c>
      <c r="G639" s="18">
        <v>0</v>
      </c>
      <c r="H639" s="151" t="s">
        <v>563</v>
      </c>
      <c r="I639" t="s">
        <v>17</v>
      </c>
    </row>
    <row r="640" spans="1:9" x14ac:dyDescent="0.25">
      <c r="A640">
        <v>1801</v>
      </c>
      <c r="B640">
        <f>A640+1</f>
        <v>1802</v>
      </c>
      <c r="C640" t="s">
        <v>508</v>
      </c>
      <c r="D640" t="s">
        <v>26</v>
      </c>
      <c r="E640" s="208" t="s">
        <v>330</v>
      </c>
      <c r="F640" t="s">
        <v>14</v>
      </c>
      <c r="G640" s="18">
        <v>1163</v>
      </c>
      <c r="H640" s="151" t="s">
        <v>563</v>
      </c>
      <c r="I640" t="s">
        <v>17</v>
      </c>
    </row>
    <row r="641" spans="1:9" x14ac:dyDescent="0.25">
      <c r="A641">
        <v>1801</v>
      </c>
      <c r="B641">
        <f>A641+1</f>
        <v>1802</v>
      </c>
      <c r="C641" t="s">
        <v>508</v>
      </c>
      <c r="D641" t="s">
        <v>26</v>
      </c>
      <c r="E641" s="208" t="s">
        <v>71</v>
      </c>
      <c r="F641" t="s">
        <v>15</v>
      </c>
      <c r="G641" s="18">
        <v>18</v>
      </c>
      <c r="H641" s="151" t="s">
        <v>563</v>
      </c>
      <c r="I641" t="s">
        <v>561</v>
      </c>
    </row>
    <row r="642" spans="1:9" x14ac:dyDescent="0.25">
      <c r="A642">
        <v>1801</v>
      </c>
      <c r="B642">
        <f>A642+1</f>
        <v>1802</v>
      </c>
      <c r="C642" t="s">
        <v>508</v>
      </c>
      <c r="D642" t="s">
        <v>26</v>
      </c>
      <c r="E642" s="208" t="s">
        <v>330</v>
      </c>
      <c r="F642" t="s">
        <v>15</v>
      </c>
      <c r="G642" s="18">
        <v>2370</v>
      </c>
      <c r="H642" s="151" t="s">
        <v>563</v>
      </c>
      <c r="I642" t="s">
        <v>561</v>
      </c>
    </row>
    <row r="643" spans="1:9" x14ac:dyDescent="0.25">
      <c r="A643">
        <v>1801</v>
      </c>
      <c r="B643">
        <f>A643+1</f>
        <v>1802</v>
      </c>
      <c r="C643" t="s">
        <v>508</v>
      </c>
      <c r="D643" t="s">
        <v>26</v>
      </c>
      <c r="E643" s="208" t="s">
        <v>331</v>
      </c>
      <c r="F643" t="s">
        <v>6</v>
      </c>
      <c r="G643" s="18">
        <v>2343</v>
      </c>
      <c r="H643" t="s">
        <v>25</v>
      </c>
      <c r="I643" t="s">
        <v>16</v>
      </c>
    </row>
    <row r="644" spans="1:9" x14ac:dyDescent="0.25">
      <c r="A644">
        <v>1801</v>
      </c>
      <c r="B644">
        <f>A644+1</f>
        <v>1802</v>
      </c>
      <c r="C644" t="s">
        <v>508</v>
      </c>
      <c r="D644" t="s">
        <v>27</v>
      </c>
      <c r="E644" s="208" t="s">
        <v>155</v>
      </c>
      <c r="F644" t="s">
        <v>8</v>
      </c>
      <c r="G644" s="18">
        <v>67726</v>
      </c>
      <c r="H644" t="s">
        <v>17</v>
      </c>
      <c r="I644" t="s">
        <v>18</v>
      </c>
    </row>
    <row r="645" spans="1:9" x14ac:dyDescent="0.25">
      <c r="A645">
        <v>1801</v>
      </c>
      <c r="B645">
        <f>A645+1</f>
        <v>1802</v>
      </c>
      <c r="C645" t="s">
        <v>508</v>
      </c>
      <c r="D645" t="s">
        <v>27</v>
      </c>
      <c r="E645" s="208" t="s">
        <v>156</v>
      </c>
      <c r="F645" t="s">
        <v>8</v>
      </c>
      <c r="G645" s="18">
        <v>8893</v>
      </c>
      <c r="H645" t="s">
        <v>17</v>
      </c>
      <c r="I645" t="s">
        <v>18</v>
      </c>
    </row>
    <row r="646" spans="1:9" x14ac:dyDescent="0.25">
      <c r="A646">
        <v>1801</v>
      </c>
      <c r="B646">
        <f>A646+1</f>
        <v>1802</v>
      </c>
      <c r="C646" t="s">
        <v>508</v>
      </c>
      <c r="D646" t="s">
        <v>27</v>
      </c>
      <c r="E646" s="208" t="s">
        <v>154</v>
      </c>
      <c r="F646" t="s">
        <v>8</v>
      </c>
      <c r="G646" s="18">
        <v>120</v>
      </c>
      <c r="H646" t="s">
        <v>17</v>
      </c>
      <c r="I646" t="s">
        <v>18</v>
      </c>
    </row>
    <row r="647" spans="1:9" x14ac:dyDescent="0.25">
      <c r="A647">
        <v>1801</v>
      </c>
      <c r="B647">
        <f>A647+1</f>
        <v>1802</v>
      </c>
      <c r="C647" t="s">
        <v>508</v>
      </c>
      <c r="D647" t="s">
        <v>27</v>
      </c>
      <c r="E647" s="208" t="s">
        <v>150</v>
      </c>
      <c r="F647" t="s">
        <v>8</v>
      </c>
      <c r="G647" s="18">
        <v>15985</v>
      </c>
      <c r="H647" t="s">
        <v>17</v>
      </c>
      <c r="I647" t="s">
        <v>18</v>
      </c>
    </row>
    <row r="648" spans="1:9" x14ac:dyDescent="0.25">
      <c r="A648">
        <v>1801</v>
      </c>
      <c r="B648">
        <f>A648+1</f>
        <v>1802</v>
      </c>
      <c r="C648" t="s">
        <v>508</v>
      </c>
      <c r="D648" t="s">
        <v>27</v>
      </c>
      <c r="E648" s="208" t="s">
        <v>148</v>
      </c>
      <c r="F648" t="s">
        <v>8</v>
      </c>
      <c r="G648" s="18">
        <v>773</v>
      </c>
      <c r="H648" t="s">
        <v>17</v>
      </c>
      <c r="I648" t="s">
        <v>18</v>
      </c>
    </row>
    <row r="649" spans="1:9" x14ac:dyDescent="0.25">
      <c r="A649">
        <v>1801</v>
      </c>
      <c r="B649">
        <f>A649+1</f>
        <v>1802</v>
      </c>
      <c r="C649" t="s">
        <v>508</v>
      </c>
      <c r="D649" t="s">
        <v>27</v>
      </c>
      <c r="E649" s="208" t="s">
        <v>314</v>
      </c>
      <c r="F649" t="s">
        <v>8</v>
      </c>
      <c r="G649" s="18">
        <v>0</v>
      </c>
      <c r="H649" t="s">
        <v>17</v>
      </c>
      <c r="I649" t="s">
        <v>18</v>
      </c>
    </row>
    <row r="650" spans="1:9" x14ac:dyDescent="0.25">
      <c r="A650">
        <v>1801</v>
      </c>
      <c r="B650">
        <f>A650+1</f>
        <v>1802</v>
      </c>
      <c r="C650" t="s">
        <v>508</v>
      </c>
      <c r="D650" t="s">
        <v>27</v>
      </c>
      <c r="E650" s="208" t="s">
        <v>149</v>
      </c>
      <c r="F650" t="s">
        <v>8</v>
      </c>
      <c r="G650" s="18">
        <v>0</v>
      </c>
      <c r="H650" t="s">
        <v>17</v>
      </c>
      <c r="I650" t="s">
        <v>18</v>
      </c>
    </row>
    <row r="651" spans="1:9" x14ac:dyDescent="0.25">
      <c r="A651">
        <v>1801</v>
      </c>
      <c r="B651">
        <f>A651+1</f>
        <v>1802</v>
      </c>
      <c r="C651" t="s">
        <v>508</v>
      </c>
      <c r="D651" t="s">
        <v>27</v>
      </c>
      <c r="E651" s="208" t="s">
        <v>139</v>
      </c>
      <c r="F651" t="s">
        <v>8</v>
      </c>
      <c r="G651" s="18">
        <v>0</v>
      </c>
      <c r="H651" t="s">
        <v>17</v>
      </c>
      <c r="I651" t="s">
        <v>18</v>
      </c>
    </row>
    <row r="652" spans="1:9" x14ac:dyDescent="0.25">
      <c r="A652">
        <v>1801</v>
      </c>
      <c r="B652">
        <f>A652+1</f>
        <v>1802</v>
      </c>
      <c r="C652" t="s">
        <v>508</v>
      </c>
      <c r="D652" t="s">
        <v>27</v>
      </c>
      <c r="E652" s="208" t="s">
        <v>130</v>
      </c>
      <c r="F652" t="s">
        <v>8</v>
      </c>
      <c r="G652" s="18">
        <v>309</v>
      </c>
      <c r="H652" t="s">
        <v>17</v>
      </c>
      <c r="I652" t="s">
        <v>18</v>
      </c>
    </row>
    <row r="653" spans="1:9" x14ac:dyDescent="0.25">
      <c r="A653">
        <v>1801</v>
      </c>
      <c r="B653">
        <f>A653+1</f>
        <v>1802</v>
      </c>
      <c r="C653" t="s">
        <v>508</v>
      </c>
      <c r="D653" t="s">
        <v>27</v>
      </c>
      <c r="E653" s="208" t="s">
        <v>132</v>
      </c>
      <c r="F653" t="s">
        <v>8</v>
      </c>
      <c r="G653" s="18">
        <v>1</v>
      </c>
      <c r="H653" t="s">
        <v>17</v>
      </c>
      <c r="I653" t="s">
        <v>18</v>
      </c>
    </row>
    <row r="654" spans="1:9" x14ac:dyDescent="0.25">
      <c r="A654">
        <v>1801</v>
      </c>
      <c r="B654">
        <f>A654+1</f>
        <v>1802</v>
      </c>
      <c r="C654" t="s">
        <v>508</v>
      </c>
      <c r="D654" t="s">
        <v>27</v>
      </c>
      <c r="E654" s="208" t="s">
        <v>142</v>
      </c>
      <c r="F654" t="s">
        <v>8</v>
      </c>
      <c r="G654" s="18">
        <v>3715</v>
      </c>
      <c r="H654" t="s">
        <v>17</v>
      </c>
      <c r="I654" t="s">
        <v>18</v>
      </c>
    </row>
    <row r="655" spans="1:9" x14ac:dyDescent="0.25">
      <c r="A655">
        <v>1801</v>
      </c>
      <c r="B655">
        <f>A655+1</f>
        <v>1802</v>
      </c>
      <c r="C655" t="s">
        <v>508</v>
      </c>
      <c r="D655" t="s">
        <v>27</v>
      </c>
      <c r="E655" s="208" t="s">
        <v>144</v>
      </c>
      <c r="F655" t="s">
        <v>8</v>
      </c>
      <c r="G655" s="18">
        <v>113</v>
      </c>
      <c r="H655" t="s">
        <v>17</v>
      </c>
      <c r="I655" t="s">
        <v>18</v>
      </c>
    </row>
    <row r="656" spans="1:9" x14ac:dyDescent="0.25">
      <c r="A656">
        <v>1801</v>
      </c>
      <c r="B656">
        <f>A656+1</f>
        <v>1802</v>
      </c>
      <c r="C656" t="s">
        <v>508</v>
      </c>
      <c r="D656" t="s">
        <v>27</v>
      </c>
      <c r="E656" s="208" t="s">
        <v>124</v>
      </c>
      <c r="F656" t="s">
        <v>8</v>
      </c>
      <c r="G656" s="18">
        <v>5103119</v>
      </c>
      <c r="H656" t="s">
        <v>17</v>
      </c>
      <c r="I656" t="s">
        <v>18</v>
      </c>
    </row>
    <row r="657" spans="1:9" x14ac:dyDescent="0.25">
      <c r="A657">
        <v>1801</v>
      </c>
      <c r="B657">
        <f>A657+1</f>
        <v>1802</v>
      </c>
      <c r="C657" t="s">
        <v>508</v>
      </c>
      <c r="D657" t="s">
        <v>27</v>
      </c>
      <c r="E657" s="208" t="s">
        <v>155</v>
      </c>
      <c r="F657" t="s">
        <v>13</v>
      </c>
      <c r="G657" s="18">
        <v>0</v>
      </c>
      <c r="H657" t="s">
        <v>17</v>
      </c>
      <c r="I657" t="s">
        <v>25</v>
      </c>
    </row>
    <row r="658" spans="1:9" x14ac:dyDescent="0.25">
      <c r="A658">
        <v>1801</v>
      </c>
      <c r="B658">
        <f>A658+1</f>
        <v>1802</v>
      </c>
      <c r="C658" t="s">
        <v>508</v>
      </c>
      <c r="D658" t="s">
        <v>27</v>
      </c>
      <c r="E658" s="208" t="s">
        <v>156</v>
      </c>
      <c r="F658" t="s">
        <v>13</v>
      </c>
      <c r="G658" s="18">
        <v>0</v>
      </c>
      <c r="H658" t="s">
        <v>17</v>
      </c>
      <c r="I658" t="s">
        <v>25</v>
      </c>
    </row>
    <row r="659" spans="1:9" x14ac:dyDescent="0.25">
      <c r="A659">
        <v>1801</v>
      </c>
      <c r="B659">
        <f>A659+1</f>
        <v>1802</v>
      </c>
      <c r="C659" t="s">
        <v>508</v>
      </c>
      <c r="D659" t="s">
        <v>27</v>
      </c>
      <c r="E659" s="208" t="s">
        <v>154</v>
      </c>
      <c r="F659" t="s">
        <v>13</v>
      </c>
      <c r="G659" s="18">
        <v>0</v>
      </c>
      <c r="H659" t="s">
        <v>17</v>
      </c>
      <c r="I659" t="s">
        <v>25</v>
      </c>
    </row>
    <row r="660" spans="1:9" x14ac:dyDescent="0.25">
      <c r="A660">
        <v>1801</v>
      </c>
      <c r="B660">
        <f>A660+1</f>
        <v>1802</v>
      </c>
      <c r="C660" t="s">
        <v>508</v>
      </c>
      <c r="D660" t="s">
        <v>27</v>
      </c>
      <c r="E660" s="208" t="s">
        <v>150</v>
      </c>
      <c r="F660" t="s">
        <v>13</v>
      </c>
      <c r="G660" s="18">
        <v>4</v>
      </c>
      <c r="H660" t="s">
        <v>17</v>
      </c>
      <c r="I660" t="s">
        <v>25</v>
      </c>
    </row>
    <row r="661" spans="1:9" x14ac:dyDescent="0.25">
      <c r="A661">
        <v>1801</v>
      </c>
      <c r="B661">
        <f>A661+1</f>
        <v>1802</v>
      </c>
      <c r="C661" t="s">
        <v>508</v>
      </c>
      <c r="D661" t="s">
        <v>27</v>
      </c>
      <c r="E661" s="208" t="s">
        <v>148</v>
      </c>
      <c r="F661" t="s">
        <v>13</v>
      </c>
      <c r="G661" s="18">
        <v>0</v>
      </c>
      <c r="H661" t="s">
        <v>17</v>
      </c>
      <c r="I661" t="s">
        <v>25</v>
      </c>
    </row>
    <row r="662" spans="1:9" x14ac:dyDescent="0.25">
      <c r="A662">
        <v>1801</v>
      </c>
      <c r="B662">
        <f>A662+1</f>
        <v>1802</v>
      </c>
      <c r="C662" t="s">
        <v>508</v>
      </c>
      <c r="D662" t="s">
        <v>27</v>
      </c>
      <c r="E662" s="208" t="s">
        <v>314</v>
      </c>
      <c r="F662" t="s">
        <v>13</v>
      </c>
      <c r="G662" s="18">
        <v>0</v>
      </c>
      <c r="H662" t="s">
        <v>17</v>
      </c>
      <c r="I662" t="s">
        <v>25</v>
      </c>
    </row>
    <row r="663" spans="1:9" x14ac:dyDescent="0.25">
      <c r="A663">
        <v>1801</v>
      </c>
      <c r="B663">
        <f>A663+1</f>
        <v>1802</v>
      </c>
      <c r="C663" t="s">
        <v>508</v>
      </c>
      <c r="D663" t="s">
        <v>27</v>
      </c>
      <c r="E663" s="208" t="s">
        <v>149</v>
      </c>
      <c r="F663" t="s">
        <v>13</v>
      </c>
      <c r="G663" s="18">
        <v>0</v>
      </c>
      <c r="H663" t="s">
        <v>17</v>
      </c>
      <c r="I663" t="s">
        <v>25</v>
      </c>
    </row>
    <row r="664" spans="1:9" x14ac:dyDescent="0.25">
      <c r="A664">
        <v>1801</v>
      </c>
      <c r="B664">
        <f>A664+1</f>
        <v>1802</v>
      </c>
      <c r="C664" t="s">
        <v>508</v>
      </c>
      <c r="D664" t="s">
        <v>27</v>
      </c>
      <c r="E664" s="208" t="s">
        <v>139</v>
      </c>
      <c r="F664" t="s">
        <v>13</v>
      </c>
      <c r="G664" s="18">
        <v>0</v>
      </c>
      <c r="H664" t="s">
        <v>17</v>
      </c>
      <c r="I664" t="s">
        <v>25</v>
      </c>
    </row>
    <row r="665" spans="1:9" x14ac:dyDescent="0.25">
      <c r="A665">
        <v>1801</v>
      </c>
      <c r="B665">
        <f>A665+1</f>
        <v>1802</v>
      </c>
      <c r="C665" t="s">
        <v>508</v>
      </c>
      <c r="D665" t="s">
        <v>27</v>
      </c>
      <c r="E665" s="208" t="s">
        <v>130</v>
      </c>
      <c r="F665" t="s">
        <v>13</v>
      </c>
      <c r="G665" s="18">
        <v>0</v>
      </c>
      <c r="H665" t="s">
        <v>17</v>
      </c>
      <c r="I665" t="s">
        <v>25</v>
      </c>
    </row>
    <row r="666" spans="1:9" x14ac:dyDescent="0.25">
      <c r="A666">
        <v>1801</v>
      </c>
      <c r="B666">
        <f>A666+1</f>
        <v>1802</v>
      </c>
      <c r="C666" t="s">
        <v>508</v>
      </c>
      <c r="D666" t="s">
        <v>27</v>
      </c>
      <c r="E666" s="208" t="s">
        <v>132</v>
      </c>
      <c r="F666" t="s">
        <v>13</v>
      </c>
      <c r="G666" s="18">
        <v>0</v>
      </c>
      <c r="H666" t="s">
        <v>17</v>
      </c>
      <c r="I666" t="s">
        <v>25</v>
      </c>
    </row>
    <row r="667" spans="1:9" x14ac:dyDescent="0.25">
      <c r="A667">
        <v>1801</v>
      </c>
      <c r="B667">
        <f>A667+1</f>
        <v>1802</v>
      </c>
      <c r="C667" t="s">
        <v>508</v>
      </c>
      <c r="D667" t="s">
        <v>27</v>
      </c>
      <c r="E667" s="208" t="s">
        <v>142</v>
      </c>
      <c r="F667" t="s">
        <v>13</v>
      </c>
      <c r="G667" s="18">
        <v>0</v>
      </c>
      <c r="H667" t="s">
        <v>17</v>
      </c>
      <c r="I667" t="s">
        <v>25</v>
      </c>
    </row>
    <row r="668" spans="1:9" x14ac:dyDescent="0.25">
      <c r="A668">
        <v>1801</v>
      </c>
      <c r="B668">
        <f>A668+1</f>
        <v>1802</v>
      </c>
      <c r="C668" t="s">
        <v>508</v>
      </c>
      <c r="D668" t="s">
        <v>27</v>
      </c>
      <c r="E668" s="208" t="s">
        <v>144</v>
      </c>
      <c r="F668" t="s">
        <v>13</v>
      </c>
      <c r="G668" s="18">
        <v>0</v>
      </c>
      <c r="H668" t="s">
        <v>17</v>
      </c>
      <c r="I668" t="s">
        <v>25</v>
      </c>
    </row>
    <row r="669" spans="1:9" x14ac:dyDescent="0.25">
      <c r="A669">
        <v>1801</v>
      </c>
      <c r="B669">
        <f>A669+1</f>
        <v>1802</v>
      </c>
      <c r="C669" t="s">
        <v>508</v>
      </c>
      <c r="D669" t="s">
        <v>27</v>
      </c>
      <c r="E669" s="208" t="s">
        <v>124</v>
      </c>
      <c r="F669" t="s">
        <v>13</v>
      </c>
      <c r="G669" s="18">
        <v>0</v>
      </c>
      <c r="H669" t="s">
        <v>17</v>
      </c>
      <c r="I669" t="s">
        <v>25</v>
      </c>
    </row>
    <row r="670" spans="1:9" x14ac:dyDescent="0.25">
      <c r="A670">
        <v>1801</v>
      </c>
      <c r="B670">
        <f>A670+1</f>
        <v>1802</v>
      </c>
      <c r="C670" t="s">
        <v>508</v>
      </c>
      <c r="D670" t="s">
        <v>27</v>
      </c>
      <c r="E670" s="208" t="s">
        <v>155</v>
      </c>
      <c r="F670" t="s">
        <v>11</v>
      </c>
      <c r="G670" s="18">
        <v>459</v>
      </c>
      <c r="H670" t="s">
        <v>17</v>
      </c>
      <c r="I670" t="s">
        <v>23</v>
      </c>
    </row>
    <row r="671" spans="1:9" x14ac:dyDescent="0.25">
      <c r="A671">
        <v>1801</v>
      </c>
      <c r="B671">
        <f>A671+1</f>
        <v>1802</v>
      </c>
      <c r="C671" t="s">
        <v>508</v>
      </c>
      <c r="D671" t="s">
        <v>27</v>
      </c>
      <c r="E671" s="208" t="s">
        <v>156</v>
      </c>
      <c r="F671" t="s">
        <v>11</v>
      </c>
      <c r="G671" s="18">
        <v>165</v>
      </c>
      <c r="H671" t="s">
        <v>17</v>
      </c>
      <c r="I671" t="s">
        <v>23</v>
      </c>
    </row>
    <row r="672" spans="1:9" x14ac:dyDescent="0.25">
      <c r="A672">
        <v>1801</v>
      </c>
      <c r="B672">
        <f>A672+1</f>
        <v>1802</v>
      </c>
      <c r="C672" t="s">
        <v>508</v>
      </c>
      <c r="D672" t="s">
        <v>27</v>
      </c>
      <c r="E672" s="208" t="s">
        <v>154</v>
      </c>
      <c r="F672" t="s">
        <v>11</v>
      </c>
      <c r="G672" s="18">
        <v>74</v>
      </c>
      <c r="H672" t="s">
        <v>17</v>
      </c>
      <c r="I672" t="s">
        <v>23</v>
      </c>
    </row>
    <row r="673" spans="1:9" x14ac:dyDescent="0.25">
      <c r="A673">
        <v>1801</v>
      </c>
      <c r="B673">
        <f>A673+1</f>
        <v>1802</v>
      </c>
      <c r="C673" t="s">
        <v>508</v>
      </c>
      <c r="D673" t="s">
        <v>27</v>
      </c>
      <c r="E673" s="208" t="s">
        <v>150</v>
      </c>
      <c r="F673" t="s">
        <v>11</v>
      </c>
      <c r="G673" s="18">
        <v>10730</v>
      </c>
      <c r="H673" t="s">
        <v>17</v>
      </c>
      <c r="I673" t="s">
        <v>23</v>
      </c>
    </row>
    <row r="674" spans="1:9" x14ac:dyDescent="0.25">
      <c r="A674">
        <v>1801</v>
      </c>
      <c r="B674">
        <f>A674+1</f>
        <v>1802</v>
      </c>
      <c r="C674" t="s">
        <v>508</v>
      </c>
      <c r="D674" t="s">
        <v>27</v>
      </c>
      <c r="E674" s="208" t="s">
        <v>148</v>
      </c>
      <c r="F674" t="s">
        <v>11</v>
      </c>
      <c r="G674" s="18">
        <v>13</v>
      </c>
      <c r="H674" t="s">
        <v>17</v>
      </c>
      <c r="I674" t="s">
        <v>23</v>
      </c>
    </row>
    <row r="675" spans="1:9" x14ac:dyDescent="0.25">
      <c r="A675">
        <v>1801</v>
      </c>
      <c r="B675">
        <f>A675+1</f>
        <v>1802</v>
      </c>
      <c r="C675" t="s">
        <v>508</v>
      </c>
      <c r="D675" t="s">
        <v>27</v>
      </c>
      <c r="E675" s="208" t="s">
        <v>314</v>
      </c>
      <c r="F675" t="s">
        <v>11</v>
      </c>
      <c r="G675" s="18">
        <v>0</v>
      </c>
      <c r="H675" t="s">
        <v>17</v>
      </c>
      <c r="I675" t="s">
        <v>23</v>
      </c>
    </row>
    <row r="676" spans="1:9" x14ac:dyDescent="0.25">
      <c r="A676">
        <v>1801</v>
      </c>
      <c r="B676">
        <f>A676+1</f>
        <v>1802</v>
      </c>
      <c r="C676" t="s">
        <v>508</v>
      </c>
      <c r="D676" t="s">
        <v>27</v>
      </c>
      <c r="E676" s="208" t="s">
        <v>149</v>
      </c>
      <c r="F676" t="s">
        <v>11</v>
      </c>
      <c r="G676" s="18">
        <v>0</v>
      </c>
      <c r="H676" t="s">
        <v>17</v>
      </c>
      <c r="I676" t="s">
        <v>23</v>
      </c>
    </row>
    <row r="677" spans="1:9" x14ac:dyDescent="0.25">
      <c r="A677">
        <v>1801</v>
      </c>
      <c r="B677">
        <f>A677+1</f>
        <v>1802</v>
      </c>
      <c r="C677" t="s">
        <v>508</v>
      </c>
      <c r="D677" t="s">
        <v>27</v>
      </c>
      <c r="E677" s="208" t="s">
        <v>139</v>
      </c>
      <c r="F677" t="s">
        <v>11</v>
      </c>
      <c r="G677" s="18">
        <v>306</v>
      </c>
      <c r="H677" t="s">
        <v>17</v>
      </c>
      <c r="I677" t="s">
        <v>23</v>
      </c>
    </row>
    <row r="678" spans="1:9" x14ac:dyDescent="0.25">
      <c r="A678">
        <v>1801</v>
      </c>
      <c r="B678">
        <f>A678+1</f>
        <v>1802</v>
      </c>
      <c r="C678" t="s">
        <v>508</v>
      </c>
      <c r="D678" t="s">
        <v>27</v>
      </c>
      <c r="E678" s="208" t="s">
        <v>130</v>
      </c>
      <c r="F678" t="s">
        <v>11</v>
      </c>
      <c r="G678" s="18">
        <v>1047</v>
      </c>
      <c r="H678" t="s">
        <v>17</v>
      </c>
      <c r="I678" t="s">
        <v>23</v>
      </c>
    </row>
    <row r="679" spans="1:9" x14ac:dyDescent="0.25">
      <c r="A679">
        <v>1801</v>
      </c>
      <c r="B679">
        <f>A679+1</f>
        <v>1802</v>
      </c>
      <c r="C679" t="s">
        <v>508</v>
      </c>
      <c r="D679" t="s">
        <v>27</v>
      </c>
      <c r="E679" s="208" t="s">
        <v>132</v>
      </c>
      <c r="F679" t="s">
        <v>11</v>
      </c>
      <c r="G679" s="18">
        <v>0</v>
      </c>
      <c r="H679" t="s">
        <v>17</v>
      </c>
      <c r="I679" t="s">
        <v>23</v>
      </c>
    </row>
    <row r="680" spans="1:9" x14ac:dyDescent="0.25">
      <c r="A680">
        <v>1801</v>
      </c>
      <c r="B680">
        <f>A680+1</f>
        <v>1802</v>
      </c>
      <c r="C680" t="s">
        <v>508</v>
      </c>
      <c r="D680" t="s">
        <v>27</v>
      </c>
      <c r="E680" s="208" t="s">
        <v>142</v>
      </c>
      <c r="F680" t="s">
        <v>11</v>
      </c>
      <c r="G680" s="18">
        <v>1667</v>
      </c>
      <c r="H680" t="s">
        <v>17</v>
      </c>
      <c r="I680" t="s">
        <v>23</v>
      </c>
    </row>
    <row r="681" spans="1:9" x14ac:dyDescent="0.25">
      <c r="A681">
        <v>1801</v>
      </c>
      <c r="B681">
        <f>A681+1</f>
        <v>1802</v>
      </c>
      <c r="C681" t="s">
        <v>508</v>
      </c>
      <c r="D681" t="s">
        <v>27</v>
      </c>
      <c r="E681" s="208" t="s">
        <v>144</v>
      </c>
      <c r="F681" t="s">
        <v>11</v>
      </c>
      <c r="G681" s="18">
        <v>4</v>
      </c>
      <c r="H681" t="s">
        <v>17</v>
      </c>
      <c r="I681" t="s">
        <v>23</v>
      </c>
    </row>
    <row r="682" spans="1:9" x14ac:dyDescent="0.25">
      <c r="A682">
        <v>1801</v>
      </c>
      <c r="B682">
        <f>A682+1</f>
        <v>1802</v>
      </c>
      <c r="C682" t="s">
        <v>508</v>
      </c>
      <c r="D682" t="s">
        <v>27</v>
      </c>
      <c r="E682" s="208" t="s">
        <v>124</v>
      </c>
      <c r="F682" t="s">
        <v>11</v>
      </c>
      <c r="G682" s="18">
        <v>44945</v>
      </c>
      <c r="H682" t="s">
        <v>17</v>
      </c>
      <c r="I682" t="s">
        <v>23</v>
      </c>
    </row>
    <row r="683" spans="1:9" x14ac:dyDescent="0.25">
      <c r="A683">
        <v>1801</v>
      </c>
      <c r="B683">
        <f>A683+1</f>
        <v>1802</v>
      </c>
      <c r="C683" t="s">
        <v>508</v>
      </c>
      <c r="D683" t="s">
        <v>26</v>
      </c>
      <c r="E683" s="208" t="s">
        <v>331</v>
      </c>
      <c r="F683" t="s">
        <v>7</v>
      </c>
      <c r="G683" s="18">
        <v>2343</v>
      </c>
      <c r="H683" s="151" t="s">
        <v>563</v>
      </c>
      <c r="I683" t="s">
        <v>16</v>
      </c>
    </row>
    <row r="684" spans="1:9" x14ac:dyDescent="0.25">
      <c r="A684">
        <v>1801</v>
      </c>
      <c r="B684">
        <f>A684+1</f>
        <v>1802</v>
      </c>
      <c r="C684" t="s">
        <v>508</v>
      </c>
      <c r="D684" t="s">
        <v>26</v>
      </c>
      <c r="E684" s="208" t="s">
        <v>331</v>
      </c>
      <c r="F684" t="s">
        <v>13</v>
      </c>
      <c r="G684" s="18">
        <v>84</v>
      </c>
      <c r="H684" t="s">
        <v>25</v>
      </c>
      <c r="I684" t="s">
        <v>17</v>
      </c>
    </row>
    <row r="685" spans="1:9" x14ac:dyDescent="0.25">
      <c r="A685">
        <v>1801</v>
      </c>
      <c r="B685">
        <f>A685+1</f>
        <v>1802</v>
      </c>
      <c r="C685" t="s">
        <v>508</v>
      </c>
      <c r="D685" t="s">
        <v>26</v>
      </c>
      <c r="E685" s="208" t="s">
        <v>331</v>
      </c>
      <c r="F685" t="s">
        <v>14</v>
      </c>
      <c r="G685" s="18">
        <v>84</v>
      </c>
      <c r="H685" s="151" t="s">
        <v>563</v>
      </c>
      <c r="I685" t="s">
        <v>17</v>
      </c>
    </row>
    <row r="686" spans="1:9" x14ac:dyDescent="0.25">
      <c r="A686">
        <v>1801</v>
      </c>
      <c r="B686">
        <f>A686+1</f>
        <v>1802</v>
      </c>
      <c r="C686" t="s">
        <v>508</v>
      </c>
      <c r="D686" t="s">
        <v>26</v>
      </c>
      <c r="E686" s="208" t="s">
        <v>331</v>
      </c>
      <c r="F686" t="s">
        <v>15</v>
      </c>
      <c r="G686" s="18">
        <v>2427</v>
      </c>
      <c r="H686" s="151" t="s">
        <v>563</v>
      </c>
      <c r="I686" t="s">
        <v>561</v>
      </c>
    </row>
    <row r="687" spans="1:9" x14ac:dyDescent="0.25">
      <c r="A687">
        <v>1801</v>
      </c>
      <c r="B687">
        <f>A687+1</f>
        <v>1802</v>
      </c>
      <c r="C687" t="s">
        <v>508</v>
      </c>
      <c r="D687" t="s">
        <v>26</v>
      </c>
      <c r="E687" s="208" t="s">
        <v>74</v>
      </c>
      <c r="F687" t="s">
        <v>3</v>
      </c>
      <c r="G687" s="18">
        <v>16.5</v>
      </c>
      <c r="H687" t="s">
        <v>24</v>
      </c>
      <c r="I687" t="s">
        <v>16</v>
      </c>
    </row>
    <row r="688" spans="1:9" x14ac:dyDescent="0.25">
      <c r="A688">
        <v>1801</v>
      </c>
      <c r="B688">
        <f>A688+1</f>
        <v>1802</v>
      </c>
      <c r="C688" t="s">
        <v>508</v>
      </c>
      <c r="D688" t="s">
        <v>26</v>
      </c>
      <c r="E688" s="208" t="s">
        <v>74</v>
      </c>
      <c r="F688" t="s">
        <v>7</v>
      </c>
      <c r="G688" s="18">
        <v>16.5</v>
      </c>
      <c r="H688" s="151" t="s">
        <v>563</v>
      </c>
      <c r="I688" t="s">
        <v>16</v>
      </c>
    </row>
    <row r="689" spans="1:9" x14ac:dyDescent="0.25">
      <c r="A689">
        <v>1801</v>
      </c>
      <c r="B689">
        <f>A689+1</f>
        <v>1802</v>
      </c>
      <c r="C689" t="s">
        <v>508</v>
      </c>
      <c r="D689" t="s">
        <v>26</v>
      </c>
      <c r="E689" s="208" t="s">
        <v>74</v>
      </c>
      <c r="F689" t="s">
        <v>10</v>
      </c>
      <c r="G689" s="18">
        <v>0</v>
      </c>
      <c r="H689" t="s">
        <v>24</v>
      </c>
      <c r="I689" t="s">
        <v>17</v>
      </c>
    </row>
    <row r="690" spans="1:9" x14ac:dyDescent="0.25">
      <c r="A690">
        <v>1801</v>
      </c>
      <c r="B690">
        <f>A690+1</f>
        <v>1802</v>
      </c>
      <c r="C690" t="s">
        <v>508</v>
      </c>
      <c r="D690" t="s">
        <v>26</v>
      </c>
      <c r="E690" s="208" t="s">
        <v>74</v>
      </c>
      <c r="F690" t="s">
        <v>14</v>
      </c>
      <c r="G690" s="18">
        <v>0</v>
      </c>
      <c r="H690" s="151" t="s">
        <v>563</v>
      </c>
      <c r="I690" t="s">
        <v>17</v>
      </c>
    </row>
    <row r="691" spans="1:9" x14ac:dyDescent="0.25">
      <c r="A691">
        <v>1801</v>
      </c>
      <c r="B691">
        <f>A691+1</f>
        <v>1802</v>
      </c>
      <c r="C691" t="s">
        <v>508</v>
      </c>
      <c r="D691" t="s">
        <v>26</v>
      </c>
      <c r="E691" s="208" t="s">
        <v>74</v>
      </c>
      <c r="F691" t="s">
        <v>15</v>
      </c>
      <c r="G691" s="18">
        <v>16.5</v>
      </c>
      <c r="H691" s="151" t="s">
        <v>563</v>
      </c>
      <c r="I691" t="s">
        <v>561</v>
      </c>
    </row>
    <row r="692" spans="1:9" x14ac:dyDescent="0.25">
      <c r="A692">
        <v>1801</v>
      </c>
      <c r="B692">
        <f>A692+1</f>
        <v>1802</v>
      </c>
      <c r="C692" t="s">
        <v>508</v>
      </c>
      <c r="D692" t="s">
        <v>26</v>
      </c>
      <c r="E692" s="208" t="s">
        <v>75</v>
      </c>
      <c r="F692" t="s">
        <v>3</v>
      </c>
      <c r="G692" s="18">
        <v>288490</v>
      </c>
      <c r="H692" t="s">
        <v>24</v>
      </c>
      <c r="I692" t="s">
        <v>16</v>
      </c>
    </row>
    <row r="693" spans="1:9" x14ac:dyDescent="0.25">
      <c r="A693">
        <v>1801</v>
      </c>
      <c r="B693">
        <f>A693+1</f>
        <v>1802</v>
      </c>
      <c r="C693" t="s">
        <v>508</v>
      </c>
      <c r="D693" t="s">
        <v>26</v>
      </c>
      <c r="E693" s="208" t="s">
        <v>75</v>
      </c>
      <c r="F693" t="s">
        <v>4</v>
      </c>
      <c r="G693" s="18">
        <v>7353716</v>
      </c>
      <c r="H693" t="s">
        <v>23</v>
      </c>
      <c r="I693" t="s">
        <v>16</v>
      </c>
    </row>
    <row r="694" spans="1:9" x14ac:dyDescent="0.25">
      <c r="A694">
        <v>1801</v>
      </c>
      <c r="B694">
        <f>A694+1</f>
        <v>1802</v>
      </c>
      <c r="C694" t="s">
        <v>508</v>
      </c>
      <c r="D694" t="s">
        <v>26</v>
      </c>
      <c r="E694" s="208" t="s">
        <v>75</v>
      </c>
      <c r="F694" t="s">
        <v>7</v>
      </c>
      <c r="G694" s="18">
        <v>7642206</v>
      </c>
      <c r="H694" s="151" t="s">
        <v>563</v>
      </c>
      <c r="I694" t="s">
        <v>16</v>
      </c>
    </row>
    <row r="695" spans="1:9" x14ac:dyDescent="0.25">
      <c r="A695">
        <v>1801</v>
      </c>
      <c r="B695">
        <f>A695+1</f>
        <v>1802</v>
      </c>
      <c r="C695" t="s">
        <v>508</v>
      </c>
      <c r="D695" t="s">
        <v>26</v>
      </c>
      <c r="E695" s="208" t="s">
        <v>75</v>
      </c>
      <c r="F695" t="s">
        <v>10</v>
      </c>
      <c r="G695" s="18">
        <v>551500</v>
      </c>
      <c r="H695" t="s">
        <v>24</v>
      </c>
      <c r="I695" t="s">
        <v>17</v>
      </c>
    </row>
    <row r="696" spans="1:9" x14ac:dyDescent="0.25">
      <c r="A696">
        <v>1801</v>
      </c>
      <c r="B696">
        <f>A696+1</f>
        <v>1802</v>
      </c>
      <c r="C696" t="s">
        <v>508</v>
      </c>
      <c r="D696" t="s">
        <v>26</v>
      </c>
      <c r="E696" s="208" t="s">
        <v>75</v>
      </c>
      <c r="F696" t="s">
        <v>11</v>
      </c>
      <c r="G696" s="18">
        <v>4850903</v>
      </c>
      <c r="H696" t="s">
        <v>23</v>
      </c>
      <c r="I696" t="s">
        <v>17</v>
      </c>
    </row>
    <row r="697" spans="1:9" x14ac:dyDescent="0.25">
      <c r="A697">
        <v>1801</v>
      </c>
      <c r="B697">
        <f>A697+1</f>
        <v>1802</v>
      </c>
      <c r="C697" t="s">
        <v>508</v>
      </c>
      <c r="D697" t="s">
        <v>26</v>
      </c>
      <c r="E697" s="208" t="s">
        <v>75</v>
      </c>
      <c r="F697" t="s">
        <v>14</v>
      </c>
      <c r="G697" s="18">
        <v>5402403</v>
      </c>
      <c r="H697" s="151" t="s">
        <v>563</v>
      </c>
      <c r="I697" t="s">
        <v>17</v>
      </c>
    </row>
    <row r="698" spans="1:9" x14ac:dyDescent="0.25">
      <c r="A698">
        <v>1801</v>
      </c>
      <c r="B698">
        <f>A698+1</f>
        <v>1802</v>
      </c>
      <c r="C698" t="s">
        <v>508</v>
      </c>
      <c r="D698" t="s">
        <v>27</v>
      </c>
      <c r="E698" s="208" t="s">
        <v>155</v>
      </c>
      <c r="F698" t="s">
        <v>14</v>
      </c>
      <c r="G698" s="18">
        <v>68315</v>
      </c>
      <c r="H698" t="s">
        <v>17</v>
      </c>
      <c r="I698" s="151" t="s">
        <v>562</v>
      </c>
    </row>
    <row r="699" spans="1:9" x14ac:dyDescent="0.25">
      <c r="A699">
        <v>1801</v>
      </c>
      <c r="B699">
        <f>A699+1</f>
        <v>1802</v>
      </c>
      <c r="C699" t="s">
        <v>508</v>
      </c>
      <c r="D699" t="s">
        <v>27</v>
      </c>
      <c r="E699" s="208" t="s">
        <v>156</v>
      </c>
      <c r="F699" t="s">
        <v>14</v>
      </c>
      <c r="G699" s="18">
        <v>9133</v>
      </c>
      <c r="H699" t="s">
        <v>17</v>
      </c>
      <c r="I699" s="151" t="s">
        <v>562</v>
      </c>
    </row>
    <row r="700" spans="1:9" x14ac:dyDescent="0.25">
      <c r="A700">
        <v>1801</v>
      </c>
      <c r="B700">
        <f>A700+1</f>
        <v>1802</v>
      </c>
      <c r="C700" t="s">
        <v>508</v>
      </c>
      <c r="D700" t="s">
        <v>27</v>
      </c>
      <c r="E700" s="208" t="s">
        <v>154</v>
      </c>
      <c r="F700" t="s">
        <v>14</v>
      </c>
      <c r="G700" s="18">
        <v>206</v>
      </c>
      <c r="H700" t="s">
        <v>17</v>
      </c>
      <c r="I700" s="151" t="s">
        <v>562</v>
      </c>
    </row>
    <row r="701" spans="1:9" x14ac:dyDescent="0.25">
      <c r="A701">
        <v>1801</v>
      </c>
      <c r="B701">
        <f>A701+1</f>
        <v>1802</v>
      </c>
      <c r="C701" t="s">
        <v>508</v>
      </c>
      <c r="D701" t="s">
        <v>27</v>
      </c>
      <c r="E701" s="208" t="s">
        <v>150</v>
      </c>
      <c r="F701" t="s">
        <v>14</v>
      </c>
      <c r="G701" s="18">
        <v>28112</v>
      </c>
      <c r="H701" t="s">
        <v>17</v>
      </c>
      <c r="I701" s="151" t="s">
        <v>562</v>
      </c>
    </row>
    <row r="702" spans="1:9" x14ac:dyDescent="0.25">
      <c r="A702">
        <v>1801</v>
      </c>
      <c r="B702">
        <f>A702+1</f>
        <v>1802</v>
      </c>
      <c r="C702" t="s">
        <v>508</v>
      </c>
      <c r="D702" t="s">
        <v>27</v>
      </c>
      <c r="E702" s="208" t="s">
        <v>148</v>
      </c>
      <c r="F702" t="s">
        <v>14</v>
      </c>
      <c r="G702" s="18">
        <v>856</v>
      </c>
      <c r="H702" t="s">
        <v>17</v>
      </c>
      <c r="I702" s="151" t="s">
        <v>562</v>
      </c>
    </row>
    <row r="703" spans="1:9" x14ac:dyDescent="0.25">
      <c r="A703">
        <v>1801</v>
      </c>
      <c r="B703">
        <f>A703+1</f>
        <v>1802</v>
      </c>
      <c r="C703" t="s">
        <v>508</v>
      </c>
      <c r="D703" t="s">
        <v>27</v>
      </c>
      <c r="E703" s="208" t="s">
        <v>314</v>
      </c>
      <c r="F703" t="s">
        <v>14</v>
      </c>
      <c r="G703" s="18">
        <v>0</v>
      </c>
      <c r="H703" t="s">
        <v>17</v>
      </c>
      <c r="I703" s="151" t="s">
        <v>562</v>
      </c>
    </row>
    <row r="704" spans="1:9" x14ac:dyDescent="0.25">
      <c r="A704">
        <v>1801</v>
      </c>
      <c r="B704">
        <f>A704+1</f>
        <v>1802</v>
      </c>
      <c r="C704" t="s">
        <v>508</v>
      </c>
      <c r="D704" t="s">
        <v>27</v>
      </c>
      <c r="E704" s="208" t="s">
        <v>149</v>
      </c>
      <c r="F704" t="s">
        <v>14</v>
      </c>
      <c r="G704" s="18">
        <v>0</v>
      </c>
      <c r="H704" t="s">
        <v>17</v>
      </c>
      <c r="I704" s="151" t="s">
        <v>562</v>
      </c>
    </row>
    <row r="705" spans="1:9" x14ac:dyDescent="0.25">
      <c r="A705">
        <v>1801</v>
      </c>
      <c r="B705">
        <f>A705+1</f>
        <v>1802</v>
      </c>
      <c r="C705" t="s">
        <v>508</v>
      </c>
      <c r="D705" t="s">
        <v>27</v>
      </c>
      <c r="E705" s="208" t="s">
        <v>139</v>
      </c>
      <c r="F705" t="s">
        <v>14</v>
      </c>
      <c r="G705" s="18">
        <v>366</v>
      </c>
      <c r="H705" t="s">
        <v>17</v>
      </c>
      <c r="I705" s="151" t="s">
        <v>562</v>
      </c>
    </row>
    <row r="706" spans="1:9" x14ac:dyDescent="0.25">
      <c r="A706">
        <v>1801</v>
      </c>
      <c r="B706">
        <f>A706+1</f>
        <v>1802</v>
      </c>
      <c r="C706" t="s">
        <v>508</v>
      </c>
      <c r="D706" t="s">
        <v>27</v>
      </c>
      <c r="E706" s="208" t="s">
        <v>130</v>
      </c>
      <c r="F706" t="s">
        <v>14</v>
      </c>
      <c r="G706" s="18">
        <v>1356</v>
      </c>
      <c r="H706" t="s">
        <v>17</v>
      </c>
      <c r="I706" s="151" t="s">
        <v>562</v>
      </c>
    </row>
    <row r="707" spans="1:9" x14ac:dyDescent="0.25">
      <c r="A707">
        <v>1801</v>
      </c>
      <c r="B707">
        <f>A707+1</f>
        <v>1802</v>
      </c>
      <c r="C707" t="s">
        <v>508</v>
      </c>
      <c r="D707" t="s">
        <v>27</v>
      </c>
      <c r="E707" s="208" t="s">
        <v>132</v>
      </c>
      <c r="F707" t="s">
        <v>14</v>
      </c>
      <c r="G707" s="18">
        <v>1</v>
      </c>
      <c r="H707" t="s">
        <v>17</v>
      </c>
      <c r="I707" s="151" t="s">
        <v>562</v>
      </c>
    </row>
    <row r="708" spans="1:9" x14ac:dyDescent="0.25">
      <c r="A708">
        <v>1801</v>
      </c>
      <c r="B708">
        <f>A708+1</f>
        <v>1802</v>
      </c>
      <c r="C708" t="s">
        <v>508</v>
      </c>
      <c r="D708" t="s">
        <v>27</v>
      </c>
      <c r="E708" s="208" t="s">
        <v>142</v>
      </c>
      <c r="F708" t="s">
        <v>14</v>
      </c>
      <c r="G708" s="18">
        <v>5382</v>
      </c>
      <c r="H708" t="s">
        <v>17</v>
      </c>
      <c r="I708" s="151" t="s">
        <v>562</v>
      </c>
    </row>
    <row r="709" spans="1:9" x14ac:dyDescent="0.25">
      <c r="A709">
        <v>1801</v>
      </c>
      <c r="B709">
        <f>A709+1</f>
        <v>1802</v>
      </c>
      <c r="C709" t="s">
        <v>508</v>
      </c>
      <c r="D709" t="s">
        <v>27</v>
      </c>
      <c r="E709" s="208" t="s">
        <v>144</v>
      </c>
      <c r="F709" t="s">
        <v>14</v>
      </c>
      <c r="G709" s="18">
        <v>117</v>
      </c>
      <c r="H709" t="s">
        <v>17</v>
      </c>
      <c r="I709" s="151" t="s">
        <v>562</v>
      </c>
    </row>
    <row r="710" spans="1:9" x14ac:dyDescent="0.25">
      <c r="A710">
        <v>1801</v>
      </c>
      <c r="B710">
        <f>A710+1</f>
        <v>1802</v>
      </c>
      <c r="C710" t="s">
        <v>508</v>
      </c>
      <c r="D710" t="s">
        <v>27</v>
      </c>
      <c r="E710" s="208" t="s">
        <v>124</v>
      </c>
      <c r="F710" t="s">
        <v>14</v>
      </c>
      <c r="G710" s="18">
        <v>5162328</v>
      </c>
      <c r="H710" t="s">
        <v>17</v>
      </c>
      <c r="I710" s="151" t="s">
        <v>562</v>
      </c>
    </row>
    <row r="711" spans="1:9" x14ac:dyDescent="0.25">
      <c r="A711">
        <v>1801</v>
      </c>
      <c r="B711">
        <f>A711+1</f>
        <v>1802</v>
      </c>
      <c r="C711" t="s">
        <v>508</v>
      </c>
      <c r="D711" t="s">
        <v>27</v>
      </c>
      <c r="E711" s="208" t="s">
        <v>62</v>
      </c>
      <c r="F711" t="s">
        <v>14</v>
      </c>
      <c r="G711" s="18">
        <v>0</v>
      </c>
      <c r="H711" t="s">
        <v>17</v>
      </c>
      <c r="I711" s="151" t="s">
        <v>562</v>
      </c>
    </row>
    <row r="712" spans="1:9" x14ac:dyDescent="0.25">
      <c r="A712">
        <v>1801</v>
      </c>
      <c r="B712">
        <f>A712+1</f>
        <v>1802</v>
      </c>
      <c r="C712" t="s">
        <v>508</v>
      </c>
      <c r="D712" t="s">
        <v>27</v>
      </c>
      <c r="E712" s="208" t="s">
        <v>146</v>
      </c>
      <c r="F712" t="s">
        <v>14</v>
      </c>
      <c r="G712" s="18">
        <v>0</v>
      </c>
      <c r="H712" t="s">
        <v>17</v>
      </c>
      <c r="I712" s="151" t="s">
        <v>562</v>
      </c>
    </row>
    <row r="713" spans="1:9" x14ac:dyDescent="0.25">
      <c r="A713">
        <v>1801</v>
      </c>
      <c r="B713">
        <f>A713+1</f>
        <v>1802</v>
      </c>
      <c r="C713" t="s">
        <v>508</v>
      </c>
      <c r="D713" t="s">
        <v>27</v>
      </c>
      <c r="E713" s="208" t="s">
        <v>36</v>
      </c>
      <c r="F713" t="s">
        <v>14</v>
      </c>
      <c r="G713" s="18">
        <v>0</v>
      </c>
      <c r="H713" t="s">
        <v>17</v>
      </c>
      <c r="I713" s="151" t="s">
        <v>562</v>
      </c>
    </row>
    <row r="714" spans="1:9" x14ac:dyDescent="0.25">
      <c r="A714">
        <v>1801</v>
      </c>
      <c r="B714">
        <f>A714+1</f>
        <v>1802</v>
      </c>
      <c r="C714" t="s">
        <v>508</v>
      </c>
      <c r="D714" t="s">
        <v>27</v>
      </c>
      <c r="E714" s="208" t="s">
        <v>171</v>
      </c>
      <c r="F714" t="s">
        <v>14</v>
      </c>
      <c r="G714" s="18">
        <v>0</v>
      </c>
      <c r="H714" t="s">
        <v>17</v>
      </c>
      <c r="I714" s="151" t="s">
        <v>562</v>
      </c>
    </row>
    <row r="715" spans="1:9" x14ac:dyDescent="0.25">
      <c r="A715">
        <v>1801</v>
      </c>
      <c r="B715">
        <f>A715+1</f>
        <v>1802</v>
      </c>
      <c r="C715" t="s">
        <v>508</v>
      </c>
      <c r="D715" t="s">
        <v>27</v>
      </c>
      <c r="E715" s="208" t="s">
        <v>158</v>
      </c>
      <c r="F715" t="s">
        <v>14</v>
      </c>
      <c r="G715" s="18">
        <v>0</v>
      </c>
      <c r="H715" t="s">
        <v>17</v>
      </c>
      <c r="I715" s="151" t="s">
        <v>562</v>
      </c>
    </row>
    <row r="716" spans="1:9" x14ac:dyDescent="0.25">
      <c r="A716">
        <v>1801</v>
      </c>
      <c r="B716">
        <f>A716+1</f>
        <v>1802</v>
      </c>
      <c r="C716" t="s">
        <v>508</v>
      </c>
      <c r="D716" t="s">
        <v>27</v>
      </c>
      <c r="E716" s="208" t="s">
        <v>159</v>
      </c>
      <c r="F716" t="s">
        <v>14</v>
      </c>
      <c r="G716" s="18">
        <v>0</v>
      </c>
      <c r="H716" t="s">
        <v>17</v>
      </c>
      <c r="I716" s="151" t="s">
        <v>562</v>
      </c>
    </row>
    <row r="717" spans="1:9" x14ac:dyDescent="0.25">
      <c r="A717">
        <v>1801</v>
      </c>
      <c r="B717">
        <f>A717+1</f>
        <v>1802</v>
      </c>
      <c r="C717" t="s">
        <v>508</v>
      </c>
      <c r="D717" t="s">
        <v>27</v>
      </c>
      <c r="E717" s="208" t="s">
        <v>99</v>
      </c>
      <c r="F717" t="s">
        <v>14</v>
      </c>
      <c r="G717" s="18">
        <v>0</v>
      </c>
      <c r="H717" t="s">
        <v>17</v>
      </c>
      <c r="I717" s="151" t="s">
        <v>562</v>
      </c>
    </row>
    <row r="718" spans="1:9" x14ac:dyDescent="0.25">
      <c r="A718">
        <v>1801</v>
      </c>
      <c r="B718">
        <f>A718+1</f>
        <v>1802</v>
      </c>
      <c r="C718" t="s">
        <v>508</v>
      </c>
      <c r="D718" t="s">
        <v>27</v>
      </c>
      <c r="E718" s="208" t="s">
        <v>117</v>
      </c>
      <c r="F718" t="s">
        <v>14</v>
      </c>
      <c r="G718" s="18">
        <v>0</v>
      </c>
      <c r="H718" t="s">
        <v>17</v>
      </c>
      <c r="I718" s="151" t="s">
        <v>562</v>
      </c>
    </row>
    <row r="719" spans="1:9" x14ac:dyDescent="0.25">
      <c r="A719">
        <v>1801</v>
      </c>
      <c r="B719">
        <f>A719+1</f>
        <v>1802</v>
      </c>
      <c r="C719" t="s">
        <v>508</v>
      </c>
      <c r="D719" t="s">
        <v>27</v>
      </c>
      <c r="E719" s="208" t="s">
        <v>151</v>
      </c>
      <c r="F719" t="s">
        <v>14</v>
      </c>
      <c r="G719" s="18">
        <v>0</v>
      </c>
      <c r="H719" t="s">
        <v>17</v>
      </c>
      <c r="I719" s="151" t="s">
        <v>562</v>
      </c>
    </row>
    <row r="720" spans="1:9" x14ac:dyDescent="0.25">
      <c r="A720">
        <v>1801</v>
      </c>
      <c r="B720">
        <f>A720+1</f>
        <v>1802</v>
      </c>
      <c r="C720" t="s">
        <v>508</v>
      </c>
      <c r="D720" t="s">
        <v>27</v>
      </c>
      <c r="E720" s="208" t="s">
        <v>126</v>
      </c>
      <c r="F720" t="s">
        <v>14</v>
      </c>
      <c r="G720" s="18">
        <v>0</v>
      </c>
      <c r="H720" t="s">
        <v>17</v>
      </c>
      <c r="I720" s="151" t="s">
        <v>562</v>
      </c>
    </row>
    <row r="721" spans="1:9" x14ac:dyDescent="0.25">
      <c r="A721">
        <v>1801</v>
      </c>
      <c r="B721">
        <f>A721+1</f>
        <v>1802</v>
      </c>
      <c r="C721" t="s">
        <v>508</v>
      </c>
      <c r="D721" t="s">
        <v>27</v>
      </c>
      <c r="E721" s="208" t="s">
        <v>153</v>
      </c>
      <c r="F721" t="s">
        <v>14</v>
      </c>
      <c r="G721" s="18">
        <v>0</v>
      </c>
      <c r="H721" t="s">
        <v>17</v>
      </c>
      <c r="I721" s="151" t="s">
        <v>562</v>
      </c>
    </row>
    <row r="722" spans="1:9" x14ac:dyDescent="0.25">
      <c r="A722">
        <v>1801</v>
      </c>
      <c r="B722">
        <f>A722+1</f>
        <v>1802</v>
      </c>
      <c r="C722" t="s">
        <v>508</v>
      </c>
      <c r="D722" t="s">
        <v>27</v>
      </c>
      <c r="E722" s="208" t="s">
        <v>120</v>
      </c>
      <c r="F722" t="s">
        <v>14</v>
      </c>
      <c r="G722" s="18">
        <v>0</v>
      </c>
      <c r="H722" t="s">
        <v>17</v>
      </c>
      <c r="I722" s="151" t="s">
        <v>562</v>
      </c>
    </row>
    <row r="723" spans="1:9" x14ac:dyDescent="0.25">
      <c r="A723">
        <v>1801</v>
      </c>
      <c r="B723">
        <f>A723+1</f>
        <v>1802</v>
      </c>
      <c r="C723" t="s">
        <v>508</v>
      </c>
      <c r="D723" t="s">
        <v>27</v>
      </c>
      <c r="E723" s="208" t="s">
        <v>45</v>
      </c>
      <c r="F723" t="s">
        <v>14</v>
      </c>
      <c r="G723" s="18">
        <v>0</v>
      </c>
      <c r="H723" t="s">
        <v>17</v>
      </c>
      <c r="I723" s="151" t="s">
        <v>562</v>
      </c>
    </row>
    <row r="724" spans="1:9" x14ac:dyDescent="0.25">
      <c r="A724">
        <v>1801</v>
      </c>
      <c r="B724">
        <f>A724+1</f>
        <v>1802</v>
      </c>
      <c r="C724" t="s">
        <v>508</v>
      </c>
      <c r="D724" t="s">
        <v>27</v>
      </c>
      <c r="E724" s="208" t="s">
        <v>152</v>
      </c>
      <c r="F724" t="s">
        <v>14</v>
      </c>
      <c r="G724" s="18">
        <v>0</v>
      </c>
      <c r="H724" t="s">
        <v>17</v>
      </c>
      <c r="I724" s="151" t="s">
        <v>562</v>
      </c>
    </row>
    <row r="725" spans="1:9" x14ac:dyDescent="0.25">
      <c r="A725">
        <v>1801</v>
      </c>
      <c r="B725">
        <f>A725+1</f>
        <v>1802</v>
      </c>
      <c r="C725" t="s">
        <v>508</v>
      </c>
      <c r="D725" t="s">
        <v>27</v>
      </c>
      <c r="E725" s="208" t="s">
        <v>70</v>
      </c>
      <c r="F725" t="s">
        <v>14</v>
      </c>
      <c r="G725" s="18">
        <v>0</v>
      </c>
      <c r="H725" t="s">
        <v>17</v>
      </c>
      <c r="I725" s="151" t="s">
        <v>562</v>
      </c>
    </row>
    <row r="726" spans="1:9" x14ac:dyDescent="0.25">
      <c r="A726">
        <v>1801</v>
      </c>
      <c r="B726">
        <f>A726+1</f>
        <v>1802</v>
      </c>
      <c r="C726" t="s">
        <v>508</v>
      </c>
      <c r="D726" t="s">
        <v>27</v>
      </c>
      <c r="E726" s="208" t="s">
        <v>75</v>
      </c>
      <c r="F726" t="s">
        <v>14</v>
      </c>
      <c r="G726" s="18">
        <v>0</v>
      </c>
      <c r="H726" t="s">
        <v>17</v>
      </c>
      <c r="I726" s="151" t="s">
        <v>562</v>
      </c>
    </row>
    <row r="727" spans="1:9" x14ac:dyDescent="0.25">
      <c r="A727">
        <v>1801</v>
      </c>
      <c r="B727">
        <f>A727+1</f>
        <v>1802</v>
      </c>
      <c r="C727" t="s">
        <v>508</v>
      </c>
      <c r="D727" t="s">
        <v>27</v>
      </c>
      <c r="E727" s="208" t="s">
        <v>101</v>
      </c>
      <c r="F727" t="s">
        <v>14</v>
      </c>
      <c r="G727" s="18">
        <v>0</v>
      </c>
      <c r="H727" t="s">
        <v>17</v>
      </c>
      <c r="I727" s="151" t="s">
        <v>562</v>
      </c>
    </row>
    <row r="728" spans="1:9" x14ac:dyDescent="0.25">
      <c r="A728">
        <v>1801</v>
      </c>
      <c r="B728">
        <f>A728+1</f>
        <v>1802</v>
      </c>
      <c r="C728" t="s">
        <v>508</v>
      </c>
      <c r="D728" t="s">
        <v>26</v>
      </c>
      <c r="E728" s="208" t="s">
        <v>75</v>
      </c>
      <c r="F728" t="s">
        <v>15</v>
      </c>
      <c r="G728" s="18">
        <v>13044609</v>
      </c>
      <c r="H728" s="151" t="s">
        <v>563</v>
      </c>
      <c r="I728" t="s">
        <v>561</v>
      </c>
    </row>
    <row r="729" spans="1:9" x14ac:dyDescent="0.25">
      <c r="A729">
        <v>1801</v>
      </c>
      <c r="B729">
        <f>A729+1</f>
        <v>1802</v>
      </c>
      <c r="C729" t="s">
        <v>508</v>
      </c>
      <c r="D729" t="s">
        <v>26</v>
      </c>
      <c r="E729" s="208" t="s">
        <v>76</v>
      </c>
      <c r="F729" t="s">
        <v>3</v>
      </c>
      <c r="G729" s="18">
        <v>441</v>
      </c>
      <c r="H729" t="s">
        <v>24</v>
      </c>
      <c r="I729" t="s">
        <v>16</v>
      </c>
    </row>
    <row r="730" spans="1:9" x14ac:dyDescent="0.25">
      <c r="A730">
        <v>1801</v>
      </c>
      <c r="B730">
        <f>A730+1</f>
        <v>1802</v>
      </c>
      <c r="C730" t="s">
        <v>508</v>
      </c>
      <c r="D730" t="s">
        <v>26</v>
      </c>
      <c r="E730" s="208" t="s">
        <v>76</v>
      </c>
      <c r="F730" t="s">
        <v>7</v>
      </c>
      <c r="G730" s="18">
        <v>441</v>
      </c>
      <c r="H730" s="151" t="s">
        <v>563</v>
      </c>
      <c r="I730" t="s">
        <v>16</v>
      </c>
    </row>
    <row r="731" spans="1:9" x14ac:dyDescent="0.25">
      <c r="A731">
        <v>1801</v>
      </c>
      <c r="B731">
        <f>A731+1</f>
        <v>1802</v>
      </c>
      <c r="C731" t="s">
        <v>508</v>
      </c>
      <c r="D731" t="s">
        <v>26</v>
      </c>
      <c r="E731" s="208" t="s">
        <v>76</v>
      </c>
      <c r="F731" t="s">
        <v>10</v>
      </c>
      <c r="G731" s="18">
        <v>0</v>
      </c>
      <c r="H731" t="s">
        <v>24</v>
      </c>
      <c r="I731" t="s">
        <v>17</v>
      </c>
    </row>
    <row r="732" spans="1:9" x14ac:dyDescent="0.25">
      <c r="A732">
        <v>1801</v>
      </c>
      <c r="B732">
        <f>A732+1</f>
        <v>1802</v>
      </c>
      <c r="C732" t="s">
        <v>508</v>
      </c>
      <c r="D732" t="s">
        <v>26</v>
      </c>
      <c r="E732" s="208" t="s">
        <v>76</v>
      </c>
      <c r="F732" t="s">
        <v>14</v>
      </c>
      <c r="G732" s="18">
        <v>0</v>
      </c>
      <c r="H732" s="151" t="s">
        <v>563</v>
      </c>
      <c r="I732" t="s">
        <v>17</v>
      </c>
    </row>
    <row r="733" spans="1:9" x14ac:dyDescent="0.25">
      <c r="A733">
        <v>1801</v>
      </c>
      <c r="B733">
        <f>A733+1</f>
        <v>1802</v>
      </c>
      <c r="C733" t="s">
        <v>508</v>
      </c>
      <c r="D733" t="s">
        <v>26</v>
      </c>
      <c r="E733" s="208" t="s">
        <v>76</v>
      </c>
      <c r="F733" t="s">
        <v>15</v>
      </c>
      <c r="G733" s="18">
        <v>441</v>
      </c>
      <c r="H733" s="151" t="s">
        <v>563</v>
      </c>
      <c r="I733" t="s">
        <v>561</v>
      </c>
    </row>
    <row r="734" spans="1:9" x14ac:dyDescent="0.25">
      <c r="A734">
        <v>1801</v>
      </c>
      <c r="B734">
        <f>A734+1</f>
        <v>1802</v>
      </c>
      <c r="C734" t="s">
        <v>508</v>
      </c>
      <c r="D734" t="s">
        <v>26</v>
      </c>
      <c r="E734" s="208" t="s">
        <v>77</v>
      </c>
      <c r="F734" t="s">
        <v>3</v>
      </c>
      <c r="G734" s="18">
        <v>29000</v>
      </c>
      <c r="H734" t="s">
        <v>24</v>
      </c>
      <c r="I734" t="s">
        <v>16</v>
      </c>
    </row>
    <row r="735" spans="1:9" x14ac:dyDescent="0.25">
      <c r="A735">
        <v>1801</v>
      </c>
      <c r="B735">
        <f>A735+1</f>
        <v>1802</v>
      </c>
      <c r="C735" t="s">
        <v>508</v>
      </c>
      <c r="D735" t="s">
        <v>26</v>
      </c>
      <c r="E735" s="208" t="s">
        <v>77</v>
      </c>
      <c r="F735" t="s">
        <v>7</v>
      </c>
      <c r="G735" s="18">
        <v>29000</v>
      </c>
      <c r="H735" s="151" t="s">
        <v>563</v>
      </c>
      <c r="I735" t="s">
        <v>16</v>
      </c>
    </row>
    <row r="736" spans="1:9" x14ac:dyDescent="0.25">
      <c r="A736">
        <v>1801</v>
      </c>
      <c r="B736">
        <f>A736+1</f>
        <v>1802</v>
      </c>
      <c r="C736" t="s">
        <v>508</v>
      </c>
      <c r="D736" t="s">
        <v>26</v>
      </c>
      <c r="E736" s="208" t="s">
        <v>77</v>
      </c>
      <c r="F736" t="s">
        <v>10</v>
      </c>
      <c r="G736" s="18">
        <v>0</v>
      </c>
      <c r="H736" t="s">
        <v>24</v>
      </c>
      <c r="I736" t="s">
        <v>17</v>
      </c>
    </row>
    <row r="737" spans="1:9" x14ac:dyDescent="0.25">
      <c r="A737">
        <v>1801</v>
      </c>
      <c r="B737">
        <f>A737+1</f>
        <v>1802</v>
      </c>
      <c r="C737" t="s">
        <v>508</v>
      </c>
      <c r="D737" t="s">
        <v>26</v>
      </c>
      <c r="E737" s="208" t="s">
        <v>77</v>
      </c>
      <c r="F737" t="s">
        <v>14</v>
      </c>
      <c r="G737" s="18">
        <v>0</v>
      </c>
      <c r="H737" s="151" t="s">
        <v>563</v>
      </c>
      <c r="I737" t="s">
        <v>17</v>
      </c>
    </row>
    <row r="738" spans="1:9" x14ac:dyDescent="0.25">
      <c r="A738">
        <v>1801</v>
      </c>
      <c r="B738">
        <f>A738+1</f>
        <v>1802</v>
      </c>
      <c r="C738" t="s">
        <v>508</v>
      </c>
      <c r="D738" t="s">
        <v>26</v>
      </c>
      <c r="E738" s="208" t="s">
        <v>77</v>
      </c>
      <c r="F738" t="s">
        <v>15</v>
      </c>
      <c r="G738" s="18">
        <v>29000</v>
      </c>
      <c r="H738" s="151" t="s">
        <v>563</v>
      </c>
      <c r="I738" t="s">
        <v>561</v>
      </c>
    </row>
    <row r="739" spans="1:9" x14ac:dyDescent="0.25">
      <c r="A739">
        <v>1801</v>
      </c>
      <c r="B739">
        <f>A739+1</f>
        <v>1802</v>
      </c>
      <c r="C739" t="s">
        <v>508</v>
      </c>
      <c r="D739" t="s">
        <v>26</v>
      </c>
      <c r="E739" s="208" t="s">
        <v>78</v>
      </c>
      <c r="F739" t="s">
        <v>3</v>
      </c>
      <c r="G739" s="18">
        <v>182</v>
      </c>
      <c r="H739" t="s">
        <v>24</v>
      </c>
      <c r="I739" t="s">
        <v>16</v>
      </c>
    </row>
    <row r="740" spans="1:9" x14ac:dyDescent="0.25">
      <c r="A740">
        <v>1801</v>
      </c>
      <c r="B740">
        <f>A740+1</f>
        <v>1802</v>
      </c>
      <c r="C740" t="s">
        <v>508</v>
      </c>
      <c r="D740" t="s">
        <v>26</v>
      </c>
      <c r="E740" s="208" t="s">
        <v>78</v>
      </c>
      <c r="F740" t="s">
        <v>7</v>
      </c>
      <c r="G740" s="18">
        <v>182</v>
      </c>
      <c r="H740" s="151" t="s">
        <v>563</v>
      </c>
      <c r="I740" t="s">
        <v>16</v>
      </c>
    </row>
    <row r="741" spans="1:9" x14ac:dyDescent="0.25">
      <c r="A741">
        <v>1801</v>
      </c>
      <c r="B741">
        <f>A741+1</f>
        <v>1802</v>
      </c>
      <c r="C741" t="s">
        <v>508</v>
      </c>
      <c r="D741" t="s">
        <v>26</v>
      </c>
      <c r="E741" s="208" t="s">
        <v>78</v>
      </c>
      <c r="F741" t="s">
        <v>10</v>
      </c>
      <c r="G741" s="18">
        <v>0</v>
      </c>
      <c r="H741" t="s">
        <v>24</v>
      </c>
      <c r="I741" t="s">
        <v>17</v>
      </c>
    </row>
    <row r="742" spans="1:9" x14ac:dyDescent="0.25">
      <c r="A742">
        <v>1801</v>
      </c>
      <c r="B742">
        <f>A742+1</f>
        <v>1802</v>
      </c>
      <c r="C742" t="s">
        <v>508</v>
      </c>
      <c r="D742" t="s">
        <v>26</v>
      </c>
      <c r="E742" s="208" t="s">
        <v>78</v>
      </c>
      <c r="F742" t="s">
        <v>14</v>
      </c>
      <c r="G742" s="18">
        <v>0</v>
      </c>
      <c r="H742" s="151" t="s">
        <v>563</v>
      </c>
      <c r="I742" t="s">
        <v>17</v>
      </c>
    </row>
    <row r="743" spans="1:9" x14ac:dyDescent="0.25">
      <c r="A743">
        <v>1801</v>
      </c>
      <c r="B743">
        <f>A743+1</f>
        <v>1802</v>
      </c>
      <c r="C743" t="s">
        <v>508</v>
      </c>
      <c r="D743" t="s">
        <v>26</v>
      </c>
      <c r="E743" s="208" t="s">
        <v>78</v>
      </c>
      <c r="F743" t="s">
        <v>15</v>
      </c>
      <c r="G743" s="18">
        <v>182</v>
      </c>
      <c r="H743" s="151" t="s">
        <v>563</v>
      </c>
      <c r="I743" t="s">
        <v>561</v>
      </c>
    </row>
    <row r="744" spans="1:9" x14ac:dyDescent="0.25">
      <c r="A744">
        <v>1801</v>
      </c>
      <c r="B744">
        <f>A744+1</f>
        <v>1802</v>
      </c>
      <c r="C744" t="s">
        <v>508</v>
      </c>
      <c r="D744" t="s">
        <v>26</v>
      </c>
      <c r="E744" s="208" t="s">
        <v>79</v>
      </c>
      <c r="F744" t="s">
        <v>3</v>
      </c>
      <c r="G744" s="18">
        <v>27</v>
      </c>
      <c r="H744" t="s">
        <v>24</v>
      </c>
      <c r="I744" t="s">
        <v>16</v>
      </c>
    </row>
    <row r="745" spans="1:9" x14ac:dyDescent="0.25">
      <c r="A745">
        <v>1801</v>
      </c>
      <c r="B745">
        <f>A745+1</f>
        <v>1802</v>
      </c>
      <c r="C745" t="s">
        <v>508</v>
      </c>
      <c r="D745" t="s">
        <v>26</v>
      </c>
      <c r="E745" s="208" t="s">
        <v>79</v>
      </c>
      <c r="F745" t="s">
        <v>7</v>
      </c>
      <c r="G745" s="18">
        <v>27</v>
      </c>
      <c r="H745" s="151" t="s">
        <v>563</v>
      </c>
      <c r="I745" t="s">
        <v>16</v>
      </c>
    </row>
    <row r="746" spans="1:9" x14ac:dyDescent="0.25">
      <c r="A746">
        <v>1801</v>
      </c>
      <c r="B746">
        <f>A746+1</f>
        <v>1802</v>
      </c>
      <c r="C746" t="s">
        <v>508</v>
      </c>
      <c r="D746" t="s">
        <v>26</v>
      </c>
      <c r="E746" s="208" t="s">
        <v>79</v>
      </c>
      <c r="F746" t="s">
        <v>10</v>
      </c>
      <c r="G746" s="18">
        <v>0</v>
      </c>
      <c r="H746" t="s">
        <v>24</v>
      </c>
      <c r="I746" t="s">
        <v>17</v>
      </c>
    </row>
    <row r="747" spans="1:9" x14ac:dyDescent="0.25">
      <c r="A747">
        <v>1801</v>
      </c>
      <c r="B747">
        <f>A747+1</f>
        <v>1802</v>
      </c>
      <c r="C747" t="s">
        <v>508</v>
      </c>
      <c r="D747" t="s">
        <v>26</v>
      </c>
      <c r="E747" s="208" t="s">
        <v>79</v>
      </c>
      <c r="F747" t="s">
        <v>14</v>
      </c>
      <c r="G747" s="18">
        <v>0</v>
      </c>
      <c r="H747" s="151" t="s">
        <v>563</v>
      </c>
      <c r="I747" t="s">
        <v>17</v>
      </c>
    </row>
    <row r="748" spans="1:9" x14ac:dyDescent="0.25">
      <c r="A748">
        <v>1801</v>
      </c>
      <c r="B748">
        <f>A748+1</f>
        <v>1802</v>
      </c>
      <c r="C748" t="s">
        <v>508</v>
      </c>
      <c r="D748" t="s">
        <v>26</v>
      </c>
      <c r="E748" s="208" t="s">
        <v>79</v>
      </c>
      <c r="F748" t="s">
        <v>15</v>
      </c>
      <c r="G748" s="18">
        <v>27</v>
      </c>
      <c r="H748" s="151" t="s">
        <v>563</v>
      </c>
      <c r="I748" t="s">
        <v>561</v>
      </c>
    </row>
    <row r="749" spans="1:9" x14ac:dyDescent="0.25">
      <c r="A749">
        <v>1801</v>
      </c>
      <c r="B749">
        <f>A749+1</f>
        <v>1802</v>
      </c>
      <c r="C749" t="s">
        <v>508</v>
      </c>
      <c r="D749" t="s">
        <v>26</v>
      </c>
      <c r="E749" s="208" t="s">
        <v>329</v>
      </c>
      <c r="F749" t="s">
        <v>3</v>
      </c>
      <c r="G749" s="18">
        <v>12</v>
      </c>
      <c r="H749" t="s">
        <v>24</v>
      </c>
      <c r="I749" t="s">
        <v>16</v>
      </c>
    </row>
    <row r="750" spans="1:9" x14ac:dyDescent="0.25">
      <c r="A750">
        <v>1801</v>
      </c>
      <c r="B750">
        <f>A750+1</f>
        <v>1802</v>
      </c>
      <c r="C750" t="s">
        <v>508</v>
      </c>
      <c r="D750" t="s">
        <v>26</v>
      </c>
      <c r="E750" s="208" t="s">
        <v>329</v>
      </c>
      <c r="F750" t="s">
        <v>7</v>
      </c>
      <c r="G750" s="18">
        <v>12</v>
      </c>
      <c r="H750" s="151" t="s">
        <v>563</v>
      </c>
      <c r="I750" t="s">
        <v>16</v>
      </c>
    </row>
    <row r="751" spans="1:9" x14ac:dyDescent="0.25">
      <c r="A751">
        <v>1801</v>
      </c>
      <c r="B751">
        <f>A751+1</f>
        <v>1802</v>
      </c>
      <c r="C751" t="s">
        <v>508</v>
      </c>
      <c r="D751" t="s">
        <v>26</v>
      </c>
      <c r="E751" s="208" t="s">
        <v>329</v>
      </c>
      <c r="F751" t="s">
        <v>10</v>
      </c>
      <c r="G751" s="18">
        <v>0</v>
      </c>
      <c r="H751" t="s">
        <v>24</v>
      </c>
      <c r="I751" t="s">
        <v>17</v>
      </c>
    </row>
    <row r="752" spans="1:9" x14ac:dyDescent="0.25">
      <c r="A752">
        <v>1801</v>
      </c>
      <c r="B752">
        <f>A752+1</f>
        <v>1802</v>
      </c>
      <c r="C752" t="s">
        <v>508</v>
      </c>
      <c r="D752" t="s">
        <v>26</v>
      </c>
      <c r="E752" s="208" t="s">
        <v>329</v>
      </c>
      <c r="F752" t="s">
        <v>14</v>
      </c>
      <c r="G752" s="18">
        <v>0</v>
      </c>
      <c r="H752" s="151" t="s">
        <v>563</v>
      </c>
      <c r="I752" t="s">
        <v>17</v>
      </c>
    </row>
    <row r="753" spans="1:9" x14ac:dyDescent="0.25">
      <c r="A753">
        <v>1801</v>
      </c>
      <c r="B753">
        <f>A753+1</f>
        <v>1802</v>
      </c>
      <c r="C753" t="s">
        <v>508</v>
      </c>
      <c r="D753" t="s">
        <v>26</v>
      </c>
      <c r="E753" s="208" t="s">
        <v>329</v>
      </c>
      <c r="F753" t="s">
        <v>15</v>
      </c>
      <c r="G753" s="18">
        <v>12</v>
      </c>
      <c r="H753" s="151" t="s">
        <v>563</v>
      </c>
      <c r="I753" t="s">
        <v>561</v>
      </c>
    </row>
    <row r="754" spans="1:9" x14ac:dyDescent="0.25">
      <c r="A754">
        <v>1801</v>
      </c>
      <c r="B754">
        <f>A754+1</f>
        <v>1802</v>
      </c>
      <c r="C754" t="s">
        <v>508</v>
      </c>
      <c r="D754" t="s">
        <v>26</v>
      </c>
      <c r="E754" s="208" t="s">
        <v>82</v>
      </c>
      <c r="F754" t="s">
        <v>3</v>
      </c>
      <c r="G754" s="18">
        <v>46</v>
      </c>
      <c r="H754" t="s">
        <v>24</v>
      </c>
      <c r="I754" t="s">
        <v>16</v>
      </c>
    </row>
    <row r="755" spans="1:9" x14ac:dyDescent="0.25">
      <c r="A755">
        <v>1801</v>
      </c>
      <c r="B755">
        <f>A755+1</f>
        <v>1802</v>
      </c>
      <c r="C755" t="s">
        <v>508</v>
      </c>
      <c r="D755" t="s">
        <v>26</v>
      </c>
      <c r="E755" s="208" t="s">
        <v>82</v>
      </c>
      <c r="F755" t="s">
        <v>7</v>
      </c>
      <c r="G755" s="18">
        <v>46</v>
      </c>
      <c r="H755" s="151" t="s">
        <v>563</v>
      </c>
      <c r="I755" t="s">
        <v>16</v>
      </c>
    </row>
    <row r="756" spans="1:9" x14ac:dyDescent="0.25">
      <c r="A756">
        <v>1801</v>
      </c>
      <c r="B756">
        <f>A756+1</f>
        <v>1802</v>
      </c>
      <c r="C756" t="s">
        <v>508</v>
      </c>
      <c r="D756" t="s">
        <v>26</v>
      </c>
      <c r="E756" s="208" t="s">
        <v>82</v>
      </c>
      <c r="F756" t="s">
        <v>10</v>
      </c>
      <c r="G756" s="18">
        <v>0</v>
      </c>
      <c r="H756" t="s">
        <v>24</v>
      </c>
      <c r="I756" t="s">
        <v>17</v>
      </c>
    </row>
    <row r="757" spans="1:9" x14ac:dyDescent="0.25">
      <c r="A757">
        <v>1801</v>
      </c>
      <c r="B757">
        <f>A757+1</f>
        <v>1802</v>
      </c>
      <c r="C757" t="s">
        <v>508</v>
      </c>
      <c r="D757" t="s">
        <v>26</v>
      </c>
      <c r="E757" s="208" t="s">
        <v>82</v>
      </c>
      <c r="F757" t="s">
        <v>14</v>
      </c>
      <c r="G757" s="18">
        <v>0</v>
      </c>
      <c r="H757" s="151" t="s">
        <v>563</v>
      </c>
      <c r="I757" t="s">
        <v>17</v>
      </c>
    </row>
    <row r="758" spans="1:9" x14ac:dyDescent="0.25">
      <c r="A758">
        <v>1801</v>
      </c>
      <c r="B758">
        <f>A758+1</f>
        <v>1802</v>
      </c>
      <c r="C758" t="s">
        <v>508</v>
      </c>
      <c r="D758" t="s">
        <v>26</v>
      </c>
      <c r="E758" s="208" t="s">
        <v>82</v>
      </c>
      <c r="F758" t="s">
        <v>15</v>
      </c>
      <c r="G758" s="18">
        <v>46</v>
      </c>
      <c r="H758" s="151" t="s">
        <v>563</v>
      </c>
      <c r="I758" t="s">
        <v>561</v>
      </c>
    </row>
    <row r="759" spans="1:9" x14ac:dyDescent="0.25">
      <c r="A759">
        <v>1801</v>
      </c>
      <c r="B759">
        <f>A759+1</f>
        <v>1802</v>
      </c>
      <c r="C759" t="s">
        <v>508</v>
      </c>
      <c r="D759" t="s">
        <v>26</v>
      </c>
      <c r="E759" s="208" t="s">
        <v>83</v>
      </c>
      <c r="F759" t="s">
        <v>3</v>
      </c>
      <c r="G759" s="18">
        <v>180000</v>
      </c>
      <c r="H759" t="s">
        <v>24</v>
      </c>
      <c r="I759" t="s">
        <v>16</v>
      </c>
    </row>
    <row r="760" spans="1:9" x14ac:dyDescent="0.25">
      <c r="A760">
        <v>1801</v>
      </c>
      <c r="B760">
        <f>A760+1</f>
        <v>1802</v>
      </c>
      <c r="C760" t="s">
        <v>508</v>
      </c>
      <c r="D760" t="s">
        <v>26</v>
      </c>
      <c r="E760" s="208" t="s">
        <v>83</v>
      </c>
      <c r="F760" t="s">
        <v>7</v>
      </c>
      <c r="G760" s="18">
        <v>180000</v>
      </c>
      <c r="H760" s="151" t="s">
        <v>563</v>
      </c>
      <c r="I760" t="s">
        <v>16</v>
      </c>
    </row>
    <row r="761" spans="1:9" x14ac:dyDescent="0.25">
      <c r="A761">
        <v>1801</v>
      </c>
      <c r="B761">
        <f>A761+1</f>
        <v>1802</v>
      </c>
      <c r="C761" t="s">
        <v>508</v>
      </c>
      <c r="D761" t="s">
        <v>26</v>
      </c>
      <c r="E761" s="208" t="s">
        <v>83</v>
      </c>
      <c r="F761" t="s">
        <v>10</v>
      </c>
      <c r="G761" s="18">
        <v>0</v>
      </c>
      <c r="H761" t="s">
        <v>24</v>
      </c>
      <c r="I761" t="s">
        <v>17</v>
      </c>
    </row>
    <row r="762" spans="1:9" x14ac:dyDescent="0.25">
      <c r="A762">
        <v>1801</v>
      </c>
      <c r="B762">
        <f>A762+1</f>
        <v>1802</v>
      </c>
      <c r="C762" t="s">
        <v>508</v>
      </c>
      <c r="D762" t="s">
        <v>26</v>
      </c>
      <c r="E762" s="208" t="s">
        <v>83</v>
      </c>
      <c r="F762" t="s">
        <v>14</v>
      </c>
      <c r="G762" s="18">
        <v>0</v>
      </c>
      <c r="H762" s="151" t="s">
        <v>563</v>
      </c>
      <c r="I762" t="s">
        <v>17</v>
      </c>
    </row>
    <row r="763" spans="1:9" x14ac:dyDescent="0.25">
      <c r="A763">
        <v>1801</v>
      </c>
      <c r="B763">
        <f>A763+1</f>
        <v>1802</v>
      </c>
      <c r="C763" t="s">
        <v>508</v>
      </c>
      <c r="D763" t="s">
        <v>26</v>
      </c>
      <c r="E763" s="208" t="s">
        <v>83</v>
      </c>
      <c r="F763" t="s">
        <v>15</v>
      </c>
      <c r="G763" s="18">
        <v>180000</v>
      </c>
      <c r="H763" s="151" t="s">
        <v>563</v>
      </c>
      <c r="I763" t="s">
        <v>561</v>
      </c>
    </row>
    <row r="764" spans="1:9" x14ac:dyDescent="0.25">
      <c r="A764">
        <v>1801</v>
      </c>
      <c r="B764">
        <f>A764+1</f>
        <v>1802</v>
      </c>
      <c r="C764" t="s">
        <v>508</v>
      </c>
      <c r="D764" t="s">
        <v>26</v>
      </c>
      <c r="E764" s="208" t="s">
        <v>85</v>
      </c>
      <c r="F764" t="s">
        <v>4</v>
      </c>
      <c r="G764" s="18">
        <v>2916</v>
      </c>
      <c r="H764" t="s">
        <v>23</v>
      </c>
      <c r="I764" t="s">
        <v>16</v>
      </c>
    </row>
    <row r="765" spans="1:9" x14ac:dyDescent="0.25">
      <c r="A765">
        <v>1801</v>
      </c>
      <c r="B765">
        <f>A765+1</f>
        <v>1802</v>
      </c>
      <c r="C765" t="s">
        <v>508</v>
      </c>
      <c r="D765" t="s">
        <v>26</v>
      </c>
      <c r="E765" s="208" t="s">
        <v>85</v>
      </c>
      <c r="F765" t="s">
        <v>7</v>
      </c>
      <c r="G765" s="18">
        <v>2916</v>
      </c>
      <c r="H765" s="151" t="s">
        <v>563</v>
      </c>
      <c r="I765" t="s">
        <v>16</v>
      </c>
    </row>
    <row r="766" spans="1:9" x14ac:dyDescent="0.25">
      <c r="A766">
        <v>1801</v>
      </c>
      <c r="B766">
        <f>A766+1</f>
        <v>1802</v>
      </c>
      <c r="C766" t="s">
        <v>508</v>
      </c>
      <c r="D766" t="s">
        <v>27</v>
      </c>
      <c r="E766" s="208" t="s">
        <v>155</v>
      </c>
      <c r="F766" t="s">
        <v>15</v>
      </c>
      <c r="G766" s="18">
        <v>129544</v>
      </c>
      <c r="H766" t="s">
        <v>561</v>
      </c>
      <c r="I766" s="151" t="s">
        <v>562</v>
      </c>
    </row>
    <row r="767" spans="1:9" x14ac:dyDescent="0.25">
      <c r="A767">
        <v>1801</v>
      </c>
      <c r="B767">
        <f>A767+1</f>
        <v>1802</v>
      </c>
      <c r="C767" t="s">
        <v>508</v>
      </c>
      <c r="D767" t="s">
        <v>27</v>
      </c>
      <c r="E767" s="208" t="s">
        <v>156</v>
      </c>
      <c r="F767" t="s">
        <v>15</v>
      </c>
      <c r="G767" s="18">
        <v>15405</v>
      </c>
      <c r="H767" t="s">
        <v>561</v>
      </c>
      <c r="I767" s="151" t="s">
        <v>562</v>
      </c>
    </row>
    <row r="768" spans="1:9" x14ac:dyDescent="0.25">
      <c r="A768">
        <v>1801</v>
      </c>
      <c r="B768">
        <f>A768+1</f>
        <v>1802</v>
      </c>
      <c r="C768" t="s">
        <v>508</v>
      </c>
      <c r="D768" t="s">
        <v>27</v>
      </c>
      <c r="E768" s="208" t="s">
        <v>154</v>
      </c>
      <c r="F768" t="s">
        <v>15</v>
      </c>
      <c r="G768" s="18">
        <v>2403</v>
      </c>
      <c r="H768" t="s">
        <v>561</v>
      </c>
      <c r="I768" s="151" t="s">
        <v>562</v>
      </c>
    </row>
    <row r="769" spans="1:9" x14ac:dyDescent="0.25">
      <c r="A769">
        <v>1801</v>
      </c>
      <c r="B769">
        <f>A769+1</f>
        <v>1802</v>
      </c>
      <c r="C769" t="s">
        <v>508</v>
      </c>
      <c r="D769" t="s">
        <v>27</v>
      </c>
      <c r="E769" s="208" t="s">
        <v>150</v>
      </c>
      <c r="F769" t="s">
        <v>15</v>
      </c>
      <c r="G769" s="18">
        <v>45632</v>
      </c>
      <c r="H769" t="s">
        <v>561</v>
      </c>
      <c r="I769" s="151" t="s">
        <v>562</v>
      </c>
    </row>
    <row r="770" spans="1:9" x14ac:dyDescent="0.25">
      <c r="A770">
        <v>1801</v>
      </c>
      <c r="B770">
        <f>A770+1</f>
        <v>1802</v>
      </c>
      <c r="C770" t="s">
        <v>508</v>
      </c>
      <c r="D770" t="s">
        <v>27</v>
      </c>
      <c r="E770" s="208" t="s">
        <v>148</v>
      </c>
      <c r="F770" t="s">
        <v>15</v>
      </c>
      <c r="G770" s="18">
        <v>2073</v>
      </c>
      <c r="H770" t="s">
        <v>561</v>
      </c>
      <c r="I770" s="151" t="s">
        <v>562</v>
      </c>
    </row>
    <row r="771" spans="1:9" x14ac:dyDescent="0.25">
      <c r="A771">
        <v>1801</v>
      </c>
      <c r="B771">
        <f>A771+1</f>
        <v>1802</v>
      </c>
      <c r="C771" t="s">
        <v>508</v>
      </c>
      <c r="D771" t="s">
        <v>27</v>
      </c>
      <c r="E771" s="208" t="s">
        <v>314</v>
      </c>
      <c r="F771" t="s">
        <v>15</v>
      </c>
      <c r="G771" s="18">
        <v>473</v>
      </c>
      <c r="H771" t="s">
        <v>561</v>
      </c>
      <c r="I771" s="151" t="s">
        <v>562</v>
      </c>
    </row>
    <row r="772" spans="1:9" x14ac:dyDescent="0.25">
      <c r="A772">
        <v>1801</v>
      </c>
      <c r="B772">
        <f>A772+1</f>
        <v>1802</v>
      </c>
      <c r="C772" t="s">
        <v>508</v>
      </c>
      <c r="D772" t="s">
        <v>27</v>
      </c>
      <c r="E772" s="208" t="s">
        <v>149</v>
      </c>
      <c r="F772" t="s">
        <v>15</v>
      </c>
      <c r="G772" s="18">
        <v>205</v>
      </c>
      <c r="H772" t="s">
        <v>561</v>
      </c>
      <c r="I772" s="151" t="s">
        <v>562</v>
      </c>
    </row>
    <row r="773" spans="1:9" x14ac:dyDescent="0.25">
      <c r="A773">
        <v>1801</v>
      </c>
      <c r="B773">
        <f>A773+1</f>
        <v>1802</v>
      </c>
      <c r="C773" t="s">
        <v>508</v>
      </c>
      <c r="D773" t="s">
        <v>27</v>
      </c>
      <c r="E773" s="208" t="s">
        <v>139</v>
      </c>
      <c r="F773" t="s">
        <v>15</v>
      </c>
      <c r="G773" s="18">
        <v>366</v>
      </c>
      <c r="H773" t="s">
        <v>561</v>
      </c>
      <c r="I773" s="151" t="s">
        <v>562</v>
      </c>
    </row>
    <row r="774" spans="1:9" x14ac:dyDescent="0.25">
      <c r="A774">
        <v>1801</v>
      </c>
      <c r="B774">
        <f>A774+1</f>
        <v>1802</v>
      </c>
      <c r="C774" t="s">
        <v>508</v>
      </c>
      <c r="D774" t="s">
        <v>27</v>
      </c>
      <c r="E774" s="208" t="s">
        <v>130</v>
      </c>
      <c r="F774" t="s">
        <v>15</v>
      </c>
      <c r="G774" s="18">
        <v>2079</v>
      </c>
      <c r="H774" t="s">
        <v>561</v>
      </c>
      <c r="I774" s="151" t="s">
        <v>562</v>
      </c>
    </row>
    <row r="775" spans="1:9" x14ac:dyDescent="0.25">
      <c r="A775">
        <v>1801</v>
      </c>
      <c r="B775">
        <f>A775+1</f>
        <v>1802</v>
      </c>
      <c r="C775" t="s">
        <v>508</v>
      </c>
      <c r="D775" t="s">
        <v>27</v>
      </c>
      <c r="E775" s="208" t="s">
        <v>132</v>
      </c>
      <c r="F775" t="s">
        <v>15</v>
      </c>
      <c r="G775" s="18">
        <v>23</v>
      </c>
      <c r="H775" t="s">
        <v>561</v>
      </c>
      <c r="I775" s="151" t="s">
        <v>562</v>
      </c>
    </row>
    <row r="776" spans="1:9" x14ac:dyDescent="0.25">
      <c r="A776">
        <v>1801</v>
      </c>
      <c r="B776">
        <f>A776+1</f>
        <v>1802</v>
      </c>
      <c r="C776" t="s">
        <v>508</v>
      </c>
      <c r="D776" t="s">
        <v>27</v>
      </c>
      <c r="E776" s="208" t="s">
        <v>142</v>
      </c>
      <c r="F776" t="s">
        <v>15</v>
      </c>
      <c r="G776" s="18">
        <v>7793</v>
      </c>
      <c r="H776" t="s">
        <v>561</v>
      </c>
      <c r="I776" s="151" t="s">
        <v>562</v>
      </c>
    </row>
    <row r="777" spans="1:9" x14ac:dyDescent="0.25">
      <c r="A777">
        <v>1801</v>
      </c>
      <c r="B777">
        <f>A777+1</f>
        <v>1802</v>
      </c>
      <c r="C777" t="s">
        <v>508</v>
      </c>
      <c r="D777" t="s">
        <v>27</v>
      </c>
      <c r="E777" s="208" t="s">
        <v>144</v>
      </c>
      <c r="F777" t="s">
        <v>15</v>
      </c>
      <c r="G777" s="18">
        <v>591</v>
      </c>
      <c r="H777" t="s">
        <v>561</v>
      </c>
      <c r="I777" s="151" t="s">
        <v>562</v>
      </c>
    </row>
    <row r="778" spans="1:9" x14ac:dyDescent="0.25">
      <c r="A778">
        <v>1801</v>
      </c>
      <c r="B778">
        <f>A778+1</f>
        <v>1802</v>
      </c>
      <c r="C778" t="s">
        <v>508</v>
      </c>
      <c r="D778" t="s">
        <v>27</v>
      </c>
      <c r="E778" s="208" t="s">
        <v>124</v>
      </c>
      <c r="F778" t="s">
        <v>15</v>
      </c>
      <c r="G778" s="18">
        <v>17961923</v>
      </c>
      <c r="H778" t="s">
        <v>561</v>
      </c>
      <c r="I778" s="151" t="s">
        <v>562</v>
      </c>
    </row>
    <row r="779" spans="1:9" x14ac:dyDescent="0.25">
      <c r="A779">
        <v>1801</v>
      </c>
      <c r="B779">
        <f>A779+1</f>
        <v>1802</v>
      </c>
      <c r="C779" t="s">
        <v>508</v>
      </c>
      <c r="D779" t="s">
        <v>27</v>
      </c>
      <c r="E779" s="208" t="s">
        <v>62</v>
      </c>
      <c r="F779" t="s">
        <v>15</v>
      </c>
      <c r="G779" s="18">
        <v>823</v>
      </c>
      <c r="H779" t="s">
        <v>561</v>
      </c>
      <c r="I779" s="151" t="s">
        <v>562</v>
      </c>
    </row>
    <row r="780" spans="1:9" x14ac:dyDescent="0.25">
      <c r="A780">
        <v>1801</v>
      </c>
      <c r="B780">
        <f>A780+1</f>
        <v>1802</v>
      </c>
      <c r="C780" t="s">
        <v>508</v>
      </c>
      <c r="D780" t="s">
        <v>27</v>
      </c>
      <c r="E780" s="208" t="s">
        <v>146</v>
      </c>
      <c r="F780" t="s">
        <v>15</v>
      </c>
      <c r="G780" s="18">
        <v>1264</v>
      </c>
      <c r="H780" t="s">
        <v>561</v>
      </c>
      <c r="I780" s="151" t="s">
        <v>562</v>
      </c>
    </row>
    <row r="781" spans="1:9" x14ac:dyDescent="0.25">
      <c r="A781">
        <v>1801</v>
      </c>
      <c r="B781">
        <f>A781+1</f>
        <v>1802</v>
      </c>
      <c r="C781" t="s">
        <v>508</v>
      </c>
      <c r="D781" t="s">
        <v>27</v>
      </c>
      <c r="E781" s="208" t="s">
        <v>36</v>
      </c>
      <c r="F781" t="s">
        <v>15</v>
      </c>
      <c r="G781" s="18">
        <v>281</v>
      </c>
      <c r="H781" t="s">
        <v>561</v>
      </c>
      <c r="I781" s="151" t="s">
        <v>562</v>
      </c>
    </row>
    <row r="782" spans="1:9" x14ac:dyDescent="0.25">
      <c r="A782">
        <v>1801</v>
      </c>
      <c r="B782">
        <f>A782+1</f>
        <v>1802</v>
      </c>
      <c r="C782" t="s">
        <v>508</v>
      </c>
      <c r="D782" t="s">
        <v>27</v>
      </c>
      <c r="E782" s="208" t="s">
        <v>171</v>
      </c>
      <c r="F782" t="s">
        <v>15</v>
      </c>
      <c r="G782" s="18">
        <v>6</v>
      </c>
      <c r="H782" t="s">
        <v>561</v>
      </c>
      <c r="I782" s="151" t="s">
        <v>562</v>
      </c>
    </row>
    <row r="783" spans="1:9" x14ac:dyDescent="0.25">
      <c r="A783">
        <v>1801</v>
      </c>
      <c r="B783">
        <f>A783+1</f>
        <v>1802</v>
      </c>
      <c r="C783" t="s">
        <v>508</v>
      </c>
      <c r="D783" t="s">
        <v>27</v>
      </c>
      <c r="E783" s="208" t="s">
        <v>158</v>
      </c>
      <c r="F783" t="s">
        <v>15</v>
      </c>
      <c r="G783" s="18">
        <v>3</v>
      </c>
      <c r="H783" t="s">
        <v>561</v>
      </c>
      <c r="I783" s="151" t="s">
        <v>562</v>
      </c>
    </row>
    <row r="784" spans="1:9" x14ac:dyDescent="0.25">
      <c r="A784">
        <v>1801</v>
      </c>
      <c r="B784">
        <f>A784+1</f>
        <v>1802</v>
      </c>
      <c r="C784" t="s">
        <v>508</v>
      </c>
      <c r="D784" t="s">
        <v>27</v>
      </c>
      <c r="E784" s="208" t="s">
        <v>159</v>
      </c>
      <c r="F784" t="s">
        <v>15</v>
      </c>
      <c r="G784" s="18">
        <v>7</v>
      </c>
      <c r="H784" t="s">
        <v>561</v>
      </c>
      <c r="I784" s="151" t="s">
        <v>562</v>
      </c>
    </row>
    <row r="785" spans="1:9" x14ac:dyDescent="0.25">
      <c r="A785">
        <v>1801</v>
      </c>
      <c r="B785">
        <f>A785+1</f>
        <v>1802</v>
      </c>
      <c r="C785" t="s">
        <v>508</v>
      </c>
      <c r="D785" t="s">
        <v>27</v>
      </c>
      <c r="E785" s="208" t="s">
        <v>99</v>
      </c>
      <c r="F785" t="s">
        <v>15</v>
      </c>
      <c r="G785" s="18">
        <v>80</v>
      </c>
      <c r="H785" t="s">
        <v>561</v>
      </c>
      <c r="I785" s="151" t="s">
        <v>562</v>
      </c>
    </row>
    <row r="786" spans="1:9" x14ac:dyDescent="0.25">
      <c r="A786">
        <v>1801</v>
      </c>
      <c r="B786">
        <f>A786+1</f>
        <v>1802</v>
      </c>
      <c r="C786" t="s">
        <v>508</v>
      </c>
      <c r="D786" t="s">
        <v>27</v>
      </c>
      <c r="E786" s="208" t="s">
        <v>117</v>
      </c>
      <c r="F786" t="s">
        <v>15</v>
      </c>
      <c r="G786" s="18">
        <v>2</v>
      </c>
      <c r="H786" t="s">
        <v>561</v>
      </c>
      <c r="I786" s="151" t="s">
        <v>562</v>
      </c>
    </row>
    <row r="787" spans="1:9" x14ac:dyDescent="0.25">
      <c r="A787">
        <v>1801</v>
      </c>
      <c r="B787">
        <f>A787+1</f>
        <v>1802</v>
      </c>
      <c r="C787" t="s">
        <v>508</v>
      </c>
      <c r="D787" t="s">
        <v>27</v>
      </c>
      <c r="E787" s="208" t="s">
        <v>151</v>
      </c>
      <c r="F787" t="s">
        <v>15</v>
      </c>
      <c r="G787" s="18">
        <v>53</v>
      </c>
      <c r="H787" t="s">
        <v>561</v>
      </c>
      <c r="I787" s="151" t="s">
        <v>562</v>
      </c>
    </row>
    <row r="788" spans="1:9" x14ac:dyDescent="0.25">
      <c r="A788">
        <v>1801</v>
      </c>
      <c r="B788">
        <f>A788+1</f>
        <v>1802</v>
      </c>
      <c r="C788" t="s">
        <v>508</v>
      </c>
      <c r="D788" t="s">
        <v>27</v>
      </c>
      <c r="E788" s="208" t="s">
        <v>126</v>
      </c>
      <c r="F788" t="s">
        <v>15</v>
      </c>
      <c r="G788" s="18">
        <v>70</v>
      </c>
      <c r="H788" t="s">
        <v>561</v>
      </c>
      <c r="I788" s="151" t="s">
        <v>562</v>
      </c>
    </row>
    <row r="789" spans="1:9" x14ac:dyDescent="0.25">
      <c r="A789">
        <v>1801</v>
      </c>
      <c r="B789">
        <f>A789+1</f>
        <v>1802</v>
      </c>
      <c r="C789" t="s">
        <v>508</v>
      </c>
      <c r="D789" t="s">
        <v>27</v>
      </c>
      <c r="E789" s="208" t="s">
        <v>153</v>
      </c>
      <c r="F789" t="s">
        <v>15</v>
      </c>
      <c r="G789" s="18">
        <v>225</v>
      </c>
      <c r="H789" t="s">
        <v>561</v>
      </c>
      <c r="I789" s="151" t="s">
        <v>562</v>
      </c>
    </row>
    <row r="790" spans="1:9" x14ac:dyDescent="0.25">
      <c r="A790">
        <v>1801</v>
      </c>
      <c r="B790">
        <f>A790+1</f>
        <v>1802</v>
      </c>
      <c r="C790" t="s">
        <v>508</v>
      </c>
      <c r="D790" t="s">
        <v>27</v>
      </c>
      <c r="E790" s="208" t="s">
        <v>120</v>
      </c>
      <c r="F790" t="s">
        <v>15</v>
      </c>
      <c r="G790" s="18">
        <v>27</v>
      </c>
      <c r="H790" t="s">
        <v>561</v>
      </c>
      <c r="I790" s="151" t="s">
        <v>562</v>
      </c>
    </row>
    <row r="791" spans="1:9" x14ac:dyDescent="0.25">
      <c r="A791">
        <v>1801</v>
      </c>
      <c r="B791">
        <f>A791+1</f>
        <v>1802</v>
      </c>
      <c r="C791" t="s">
        <v>508</v>
      </c>
      <c r="D791" t="s">
        <v>27</v>
      </c>
      <c r="E791" s="208" t="s">
        <v>45</v>
      </c>
      <c r="F791" t="s">
        <v>15</v>
      </c>
      <c r="G791" s="18">
        <v>36</v>
      </c>
      <c r="H791" t="s">
        <v>561</v>
      </c>
      <c r="I791" s="151" t="s">
        <v>562</v>
      </c>
    </row>
    <row r="792" spans="1:9" x14ac:dyDescent="0.25">
      <c r="A792">
        <v>1801</v>
      </c>
      <c r="B792">
        <f>A792+1</f>
        <v>1802</v>
      </c>
      <c r="C792" t="s">
        <v>508</v>
      </c>
      <c r="D792" t="s">
        <v>27</v>
      </c>
      <c r="E792" s="208" t="s">
        <v>152</v>
      </c>
      <c r="F792" t="s">
        <v>15</v>
      </c>
      <c r="G792" s="18">
        <v>30</v>
      </c>
      <c r="H792" t="s">
        <v>561</v>
      </c>
      <c r="I792" s="151" t="s">
        <v>562</v>
      </c>
    </row>
    <row r="793" spans="1:9" x14ac:dyDescent="0.25">
      <c r="A793">
        <v>1801</v>
      </c>
      <c r="B793">
        <f>A793+1</f>
        <v>1802</v>
      </c>
      <c r="C793" t="s">
        <v>508</v>
      </c>
      <c r="D793" t="s">
        <v>27</v>
      </c>
      <c r="E793" s="208" t="s">
        <v>70</v>
      </c>
      <c r="F793" t="s">
        <v>15</v>
      </c>
      <c r="G793" s="18">
        <v>30</v>
      </c>
      <c r="H793" t="s">
        <v>561</v>
      </c>
      <c r="I793" s="151" t="s">
        <v>562</v>
      </c>
    </row>
    <row r="794" spans="1:9" x14ac:dyDescent="0.25">
      <c r="A794">
        <v>1801</v>
      </c>
      <c r="B794">
        <f>A794+1</f>
        <v>1802</v>
      </c>
      <c r="C794" t="s">
        <v>508</v>
      </c>
      <c r="D794" t="s">
        <v>27</v>
      </c>
      <c r="E794" s="208" t="s">
        <v>75</v>
      </c>
      <c r="F794" t="s">
        <v>15</v>
      </c>
      <c r="G794" s="18">
        <v>14000</v>
      </c>
      <c r="H794" t="s">
        <v>561</v>
      </c>
      <c r="I794" s="151" t="s">
        <v>562</v>
      </c>
    </row>
    <row r="795" spans="1:9" x14ac:dyDescent="0.25">
      <c r="A795">
        <v>1801</v>
      </c>
      <c r="B795">
        <f>A795+1</f>
        <v>1802</v>
      </c>
      <c r="C795" t="s">
        <v>508</v>
      </c>
      <c r="D795" t="s">
        <v>27</v>
      </c>
      <c r="E795" s="208" t="s">
        <v>101</v>
      </c>
      <c r="F795" t="s">
        <v>15</v>
      </c>
      <c r="G795" s="18">
        <v>15000</v>
      </c>
      <c r="H795" t="s">
        <v>561</v>
      </c>
      <c r="I795" s="151" t="s">
        <v>562</v>
      </c>
    </row>
    <row r="796" spans="1:9" x14ac:dyDescent="0.25">
      <c r="A796">
        <v>1801</v>
      </c>
      <c r="B796">
        <f>A796+1</f>
        <v>1802</v>
      </c>
      <c r="C796" t="s">
        <v>508</v>
      </c>
      <c r="D796" t="s">
        <v>26</v>
      </c>
      <c r="E796" s="208" t="s">
        <v>85</v>
      </c>
      <c r="F796" t="s">
        <v>11</v>
      </c>
      <c r="G796" s="18">
        <v>0</v>
      </c>
      <c r="H796" t="s">
        <v>23</v>
      </c>
      <c r="I796" t="s">
        <v>17</v>
      </c>
    </row>
    <row r="797" spans="1:9" x14ac:dyDescent="0.25">
      <c r="A797">
        <v>1801</v>
      </c>
      <c r="B797">
        <f>A797+1</f>
        <v>1802</v>
      </c>
      <c r="C797" t="s">
        <v>508</v>
      </c>
      <c r="D797" t="s">
        <v>26</v>
      </c>
      <c r="E797" s="208" t="s">
        <v>85</v>
      </c>
      <c r="F797" t="s">
        <v>14</v>
      </c>
      <c r="G797" s="18">
        <v>0</v>
      </c>
      <c r="H797" s="151" t="s">
        <v>563</v>
      </c>
      <c r="I797" t="s">
        <v>17</v>
      </c>
    </row>
    <row r="798" spans="1:9" x14ac:dyDescent="0.25">
      <c r="A798">
        <v>1801</v>
      </c>
      <c r="B798">
        <f>A798+1</f>
        <v>1802</v>
      </c>
      <c r="C798" t="s">
        <v>508</v>
      </c>
      <c r="D798" t="s">
        <v>26</v>
      </c>
      <c r="E798" s="208" t="s">
        <v>85</v>
      </c>
      <c r="F798" t="s">
        <v>15</v>
      </c>
      <c r="G798" s="18">
        <v>2916</v>
      </c>
      <c r="H798" s="151" t="s">
        <v>563</v>
      </c>
      <c r="I798" t="s">
        <v>561</v>
      </c>
    </row>
    <row r="799" spans="1:9" x14ac:dyDescent="0.25">
      <c r="A799">
        <v>1801</v>
      </c>
      <c r="B799">
        <f>A799+1</f>
        <v>1802</v>
      </c>
      <c r="C799" t="s">
        <v>508</v>
      </c>
      <c r="D799" t="s">
        <v>26</v>
      </c>
      <c r="E799" s="208" t="s">
        <v>86</v>
      </c>
      <c r="F799" t="s">
        <v>4</v>
      </c>
      <c r="G799" s="18">
        <v>10711</v>
      </c>
      <c r="H799" t="s">
        <v>23</v>
      </c>
      <c r="I799" t="s">
        <v>16</v>
      </c>
    </row>
    <row r="800" spans="1:9" x14ac:dyDescent="0.25">
      <c r="A800">
        <v>1801</v>
      </c>
      <c r="B800">
        <f>A800+1</f>
        <v>1802</v>
      </c>
      <c r="C800" t="s">
        <v>508</v>
      </c>
      <c r="D800" t="s">
        <v>26</v>
      </c>
      <c r="E800" s="208" t="s">
        <v>86</v>
      </c>
      <c r="F800" t="s">
        <v>7</v>
      </c>
      <c r="G800" s="18">
        <v>10711</v>
      </c>
      <c r="H800" s="151" t="s">
        <v>563</v>
      </c>
      <c r="I800" t="s">
        <v>16</v>
      </c>
    </row>
    <row r="801" spans="1:9" x14ac:dyDescent="0.25">
      <c r="A801">
        <v>1801</v>
      </c>
      <c r="B801">
        <f>A801+1</f>
        <v>1802</v>
      </c>
      <c r="C801" t="s">
        <v>508</v>
      </c>
      <c r="D801" t="s">
        <v>26</v>
      </c>
      <c r="E801" s="208" t="s">
        <v>86</v>
      </c>
      <c r="F801" t="s">
        <v>11</v>
      </c>
      <c r="G801" s="18">
        <v>0</v>
      </c>
      <c r="H801" t="s">
        <v>23</v>
      </c>
      <c r="I801" t="s">
        <v>17</v>
      </c>
    </row>
    <row r="802" spans="1:9" x14ac:dyDescent="0.25">
      <c r="A802">
        <v>1801</v>
      </c>
      <c r="B802">
        <f>A802+1</f>
        <v>1802</v>
      </c>
      <c r="C802" t="s">
        <v>508</v>
      </c>
      <c r="D802" t="s">
        <v>26</v>
      </c>
      <c r="E802" s="208" t="s">
        <v>86</v>
      </c>
      <c r="F802" t="s">
        <v>14</v>
      </c>
      <c r="G802" s="18">
        <v>0</v>
      </c>
      <c r="H802" s="151" t="s">
        <v>563</v>
      </c>
      <c r="I802" t="s">
        <v>17</v>
      </c>
    </row>
    <row r="803" spans="1:9" x14ac:dyDescent="0.25">
      <c r="A803">
        <v>1801</v>
      </c>
      <c r="B803">
        <f>A803+1</f>
        <v>1802</v>
      </c>
      <c r="C803" t="s">
        <v>508</v>
      </c>
      <c r="D803" t="s">
        <v>26</v>
      </c>
      <c r="E803" s="208" t="s">
        <v>86</v>
      </c>
      <c r="F803" t="s">
        <v>15</v>
      </c>
      <c r="G803" s="18">
        <v>10711</v>
      </c>
      <c r="H803" s="151" t="s">
        <v>563</v>
      </c>
      <c r="I803" t="s">
        <v>561</v>
      </c>
    </row>
    <row r="804" spans="1:9" x14ac:dyDescent="0.25">
      <c r="A804">
        <v>1801</v>
      </c>
      <c r="B804">
        <f>A804+1</f>
        <v>1802</v>
      </c>
      <c r="C804" t="s">
        <v>508</v>
      </c>
      <c r="D804" t="s">
        <v>26</v>
      </c>
      <c r="E804" s="208" t="s">
        <v>89</v>
      </c>
      <c r="F804" t="s">
        <v>4</v>
      </c>
      <c r="G804" s="18">
        <v>6737</v>
      </c>
      <c r="H804" t="s">
        <v>23</v>
      </c>
      <c r="I804" t="s">
        <v>16</v>
      </c>
    </row>
    <row r="805" spans="1:9" x14ac:dyDescent="0.25">
      <c r="A805">
        <v>1801</v>
      </c>
      <c r="B805">
        <f>A805+1</f>
        <v>1802</v>
      </c>
      <c r="C805" t="s">
        <v>508</v>
      </c>
      <c r="D805" t="s">
        <v>26</v>
      </c>
      <c r="E805" s="208" t="s">
        <v>89</v>
      </c>
      <c r="F805" t="s">
        <v>7</v>
      </c>
      <c r="G805" s="18">
        <v>6737</v>
      </c>
      <c r="H805" s="151" t="s">
        <v>563</v>
      </c>
      <c r="I805" t="s">
        <v>16</v>
      </c>
    </row>
    <row r="806" spans="1:9" x14ac:dyDescent="0.25">
      <c r="A806">
        <v>1801</v>
      </c>
      <c r="B806">
        <f>A806+1</f>
        <v>1802</v>
      </c>
      <c r="C806" t="s">
        <v>508</v>
      </c>
      <c r="D806" t="s">
        <v>26</v>
      </c>
      <c r="E806" s="208" t="s">
        <v>89</v>
      </c>
      <c r="F806" t="s">
        <v>11</v>
      </c>
      <c r="G806" s="18">
        <v>2067</v>
      </c>
      <c r="H806" t="s">
        <v>23</v>
      </c>
      <c r="I806" t="s">
        <v>17</v>
      </c>
    </row>
    <row r="807" spans="1:9" x14ac:dyDescent="0.25">
      <c r="A807">
        <v>1801</v>
      </c>
      <c r="B807">
        <f>A807+1</f>
        <v>1802</v>
      </c>
      <c r="C807" t="s">
        <v>508</v>
      </c>
      <c r="D807" t="s">
        <v>26</v>
      </c>
      <c r="E807" s="208" t="s">
        <v>89</v>
      </c>
      <c r="F807" t="s">
        <v>14</v>
      </c>
      <c r="G807" s="18">
        <v>2067</v>
      </c>
      <c r="H807" s="151" t="s">
        <v>563</v>
      </c>
      <c r="I807" t="s">
        <v>17</v>
      </c>
    </row>
    <row r="808" spans="1:9" x14ac:dyDescent="0.25">
      <c r="A808">
        <v>1801</v>
      </c>
      <c r="B808">
        <f>A808+1</f>
        <v>1802</v>
      </c>
      <c r="C808" t="s">
        <v>508</v>
      </c>
      <c r="D808" t="s">
        <v>26</v>
      </c>
      <c r="E808" s="208" t="s">
        <v>89</v>
      </c>
      <c r="F808" t="s">
        <v>15</v>
      </c>
      <c r="G808" s="18">
        <v>8804</v>
      </c>
      <c r="H808" s="151" t="s">
        <v>563</v>
      </c>
      <c r="I808" t="s">
        <v>561</v>
      </c>
    </row>
    <row r="809" spans="1:9" x14ac:dyDescent="0.25">
      <c r="A809">
        <v>1801</v>
      </c>
      <c r="B809">
        <f>A809+1</f>
        <v>1802</v>
      </c>
      <c r="C809" t="s">
        <v>508</v>
      </c>
      <c r="D809" t="s">
        <v>26</v>
      </c>
      <c r="E809" s="208" t="s">
        <v>91</v>
      </c>
      <c r="F809" t="s">
        <v>3</v>
      </c>
      <c r="G809" s="18">
        <v>577</v>
      </c>
      <c r="H809" t="s">
        <v>24</v>
      </c>
      <c r="I809" t="s">
        <v>16</v>
      </c>
    </row>
    <row r="810" spans="1:9" x14ac:dyDescent="0.25">
      <c r="A810">
        <v>1801</v>
      </c>
      <c r="B810">
        <f>A810+1</f>
        <v>1802</v>
      </c>
      <c r="C810" t="s">
        <v>508</v>
      </c>
      <c r="D810" t="s">
        <v>26</v>
      </c>
      <c r="E810" s="208" t="s">
        <v>91</v>
      </c>
      <c r="F810" t="s">
        <v>7</v>
      </c>
      <c r="G810" s="18">
        <v>577</v>
      </c>
      <c r="H810" s="151" t="s">
        <v>563</v>
      </c>
      <c r="I810" t="s">
        <v>16</v>
      </c>
    </row>
    <row r="811" spans="1:9" x14ac:dyDescent="0.25">
      <c r="A811">
        <v>1801</v>
      </c>
      <c r="B811">
        <f>A811+1</f>
        <v>1802</v>
      </c>
      <c r="C811" t="s">
        <v>508</v>
      </c>
      <c r="D811" t="s">
        <v>26</v>
      </c>
      <c r="E811" s="208" t="s">
        <v>91</v>
      </c>
      <c r="F811" t="s">
        <v>10</v>
      </c>
      <c r="G811" s="18">
        <v>0</v>
      </c>
      <c r="H811" t="s">
        <v>24</v>
      </c>
      <c r="I811" t="s">
        <v>17</v>
      </c>
    </row>
    <row r="812" spans="1:9" x14ac:dyDescent="0.25">
      <c r="A812">
        <v>1801</v>
      </c>
      <c r="B812">
        <f>A812+1</f>
        <v>1802</v>
      </c>
      <c r="C812" t="s">
        <v>508</v>
      </c>
      <c r="D812" t="s">
        <v>26</v>
      </c>
      <c r="E812" s="208" t="s">
        <v>91</v>
      </c>
      <c r="F812" t="s">
        <v>14</v>
      </c>
      <c r="G812" s="18">
        <v>0</v>
      </c>
      <c r="H812" s="151" t="s">
        <v>563</v>
      </c>
      <c r="I812" t="s">
        <v>17</v>
      </c>
    </row>
    <row r="813" spans="1:9" x14ac:dyDescent="0.25">
      <c r="A813">
        <v>1801</v>
      </c>
      <c r="B813">
        <f>A813+1</f>
        <v>1802</v>
      </c>
      <c r="C813" t="s">
        <v>508</v>
      </c>
      <c r="D813" t="s">
        <v>26</v>
      </c>
      <c r="E813" s="208" t="s">
        <v>91</v>
      </c>
      <c r="F813" t="s">
        <v>15</v>
      </c>
      <c r="G813" s="18">
        <v>577</v>
      </c>
      <c r="H813" s="151" t="s">
        <v>563</v>
      </c>
      <c r="I813" t="s">
        <v>561</v>
      </c>
    </row>
    <row r="814" spans="1:9" x14ac:dyDescent="0.25">
      <c r="A814">
        <v>1801</v>
      </c>
      <c r="B814">
        <f>A814+1</f>
        <v>1802</v>
      </c>
      <c r="C814" t="s">
        <v>508</v>
      </c>
      <c r="D814" t="s">
        <v>26</v>
      </c>
      <c r="E814" s="208" t="s">
        <v>92</v>
      </c>
      <c r="F814" t="s">
        <v>3</v>
      </c>
      <c r="G814" s="18">
        <v>63</v>
      </c>
      <c r="H814" t="s">
        <v>24</v>
      </c>
      <c r="I814" t="s">
        <v>16</v>
      </c>
    </row>
    <row r="815" spans="1:9" x14ac:dyDescent="0.25">
      <c r="A815">
        <v>1801</v>
      </c>
      <c r="B815">
        <f>A815+1</f>
        <v>1802</v>
      </c>
      <c r="C815" t="s">
        <v>508</v>
      </c>
      <c r="D815" t="s">
        <v>26</v>
      </c>
      <c r="E815" s="208" t="s">
        <v>92</v>
      </c>
      <c r="F815" t="s">
        <v>7</v>
      </c>
      <c r="G815" s="18">
        <v>63</v>
      </c>
      <c r="H815" s="151" t="s">
        <v>563</v>
      </c>
      <c r="I815" t="s">
        <v>16</v>
      </c>
    </row>
    <row r="816" spans="1:9" x14ac:dyDescent="0.25">
      <c r="A816">
        <v>1801</v>
      </c>
      <c r="B816">
        <f>A816+1</f>
        <v>1802</v>
      </c>
      <c r="C816" t="s">
        <v>508</v>
      </c>
      <c r="D816" t="s">
        <v>26</v>
      </c>
      <c r="E816" s="208" t="s">
        <v>92</v>
      </c>
      <c r="F816" t="s">
        <v>10</v>
      </c>
      <c r="G816" s="18">
        <v>0</v>
      </c>
      <c r="H816" t="s">
        <v>24</v>
      </c>
      <c r="I816" t="s">
        <v>17</v>
      </c>
    </row>
    <row r="817" spans="1:9" x14ac:dyDescent="0.25">
      <c r="A817">
        <v>1801</v>
      </c>
      <c r="B817">
        <f>A817+1</f>
        <v>1802</v>
      </c>
      <c r="C817" t="s">
        <v>508</v>
      </c>
      <c r="D817" t="s">
        <v>26</v>
      </c>
      <c r="E817" s="208" t="s">
        <v>92</v>
      </c>
      <c r="F817" t="s">
        <v>14</v>
      </c>
      <c r="G817" s="18">
        <v>0</v>
      </c>
      <c r="H817" s="151" t="s">
        <v>563</v>
      </c>
      <c r="I817" t="s">
        <v>17</v>
      </c>
    </row>
    <row r="818" spans="1:9" x14ac:dyDescent="0.25">
      <c r="A818">
        <v>1801</v>
      </c>
      <c r="B818">
        <f>A818+1</f>
        <v>1802</v>
      </c>
      <c r="C818" t="s">
        <v>508</v>
      </c>
      <c r="D818" t="s">
        <v>26</v>
      </c>
      <c r="E818" s="208" t="s">
        <v>92</v>
      </c>
      <c r="F818" t="s">
        <v>15</v>
      </c>
      <c r="G818" s="18">
        <v>63</v>
      </c>
      <c r="H818" s="151" t="s">
        <v>563</v>
      </c>
      <c r="I818" t="s">
        <v>561</v>
      </c>
    </row>
    <row r="819" spans="1:9" x14ac:dyDescent="0.25">
      <c r="A819">
        <v>1801</v>
      </c>
      <c r="B819">
        <f>A819+1</f>
        <v>1802</v>
      </c>
      <c r="C819" t="s">
        <v>508</v>
      </c>
      <c r="D819" t="s">
        <v>26</v>
      </c>
      <c r="E819" s="208" t="s">
        <v>93</v>
      </c>
      <c r="F819" t="s">
        <v>3</v>
      </c>
      <c r="G819" s="18">
        <v>165</v>
      </c>
      <c r="H819" t="s">
        <v>24</v>
      </c>
      <c r="I819" t="s">
        <v>16</v>
      </c>
    </row>
    <row r="820" spans="1:9" x14ac:dyDescent="0.25">
      <c r="A820">
        <v>1801</v>
      </c>
      <c r="B820">
        <f>A820+1</f>
        <v>1802</v>
      </c>
      <c r="C820" t="s">
        <v>508</v>
      </c>
      <c r="D820" t="s">
        <v>26</v>
      </c>
      <c r="E820" s="208" t="s">
        <v>93</v>
      </c>
      <c r="F820" t="s">
        <v>7</v>
      </c>
      <c r="G820" s="18">
        <v>165</v>
      </c>
      <c r="H820" s="151" t="s">
        <v>563</v>
      </c>
      <c r="I820" t="s">
        <v>16</v>
      </c>
    </row>
    <row r="821" spans="1:9" x14ac:dyDescent="0.25">
      <c r="A821">
        <v>1801</v>
      </c>
      <c r="B821">
        <f>A821+1</f>
        <v>1802</v>
      </c>
      <c r="C821" t="s">
        <v>508</v>
      </c>
      <c r="D821" t="s">
        <v>26</v>
      </c>
      <c r="E821" s="208" t="s">
        <v>93</v>
      </c>
      <c r="F821" t="s">
        <v>10</v>
      </c>
      <c r="G821" s="18">
        <v>0</v>
      </c>
      <c r="H821" t="s">
        <v>24</v>
      </c>
      <c r="I821" t="s">
        <v>17</v>
      </c>
    </row>
    <row r="822" spans="1:9" x14ac:dyDescent="0.25">
      <c r="A822">
        <v>1801</v>
      </c>
      <c r="B822">
        <f>A822+1</f>
        <v>1802</v>
      </c>
      <c r="C822" t="s">
        <v>508</v>
      </c>
      <c r="D822" t="s">
        <v>26</v>
      </c>
      <c r="E822" s="208" t="s">
        <v>93</v>
      </c>
      <c r="F822" t="s">
        <v>14</v>
      </c>
      <c r="G822" s="18">
        <v>0</v>
      </c>
      <c r="H822" s="151" t="s">
        <v>563</v>
      </c>
      <c r="I822" t="s">
        <v>17</v>
      </c>
    </row>
    <row r="823" spans="1:9" x14ac:dyDescent="0.25">
      <c r="A823">
        <v>1801</v>
      </c>
      <c r="B823">
        <f>A823+1</f>
        <v>1802</v>
      </c>
      <c r="C823" t="s">
        <v>508</v>
      </c>
      <c r="D823" t="s">
        <v>26</v>
      </c>
      <c r="E823" s="208" t="s">
        <v>93</v>
      </c>
      <c r="F823" t="s">
        <v>15</v>
      </c>
      <c r="G823" s="18">
        <v>165</v>
      </c>
      <c r="H823" s="151" t="s">
        <v>563</v>
      </c>
      <c r="I823" t="s">
        <v>561</v>
      </c>
    </row>
    <row r="824" spans="1:9" x14ac:dyDescent="0.25">
      <c r="A824">
        <v>1801</v>
      </c>
      <c r="B824">
        <f>A824+1</f>
        <v>1802</v>
      </c>
      <c r="C824" t="s">
        <v>508</v>
      </c>
      <c r="D824" t="s">
        <v>26</v>
      </c>
      <c r="E824" s="208" t="s">
        <v>99</v>
      </c>
      <c r="F824" t="s">
        <v>3</v>
      </c>
      <c r="G824" s="18">
        <v>69</v>
      </c>
      <c r="H824" t="s">
        <v>24</v>
      </c>
      <c r="I824" t="s">
        <v>16</v>
      </c>
    </row>
    <row r="825" spans="1:9" x14ac:dyDescent="0.25">
      <c r="A825">
        <v>1801</v>
      </c>
      <c r="B825">
        <f>A825+1</f>
        <v>1802</v>
      </c>
      <c r="C825" t="s">
        <v>508</v>
      </c>
      <c r="D825" t="s">
        <v>26</v>
      </c>
      <c r="E825" s="208" t="s">
        <v>99</v>
      </c>
      <c r="F825" t="s">
        <v>4</v>
      </c>
      <c r="G825" s="18">
        <v>2620.5</v>
      </c>
      <c r="H825" t="s">
        <v>23</v>
      </c>
      <c r="I825" t="s">
        <v>16</v>
      </c>
    </row>
    <row r="826" spans="1:9" x14ac:dyDescent="0.25">
      <c r="A826">
        <v>1801</v>
      </c>
      <c r="B826">
        <f>A826+1</f>
        <v>1802</v>
      </c>
      <c r="C826" t="s">
        <v>508</v>
      </c>
      <c r="D826" t="s">
        <v>26</v>
      </c>
      <c r="E826" s="208" t="s">
        <v>99</v>
      </c>
      <c r="F826" t="s">
        <v>7</v>
      </c>
      <c r="G826" s="18">
        <v>2689.5</v>
      </c>
      <c r="H826" s="151" t="s">
        <v>563</v>
      </c>
      <c r="I826" t="s">
        <v>16</v>
      </c>
    </row>
    <row r="827" spans="1:9" x14ac:dyDescent="0.25">
      <c r="A827">
        <v>1801</v>
      </c>
      <c r="B827">
        <f>A827+1</f>
        <v>1802</v>
      </c>
      <c r="C827" t="s">
        <v>508</v>
      </c>
      <c r="D827" t="s">
        <v>26</v>
      </c>
      <c r="E827" s="208" t="s">
        <v>99</v>
      </c>
      <c r="F827" t="s">
        <v>10</v>
      </c>
      <c r="G827" s="18">
        <v>0</v>
      </c>
      <c r="H827" t="s">
        <v>24</v>
      </c>
      <c r="I827" t="s">
        <v>17</v>
      </c>
    </row>
    <row r="828" spans="1:9" x14ac:dyDescent="0.25">
      <c r="A828">
        <v>1801</v>
      </c>
      <c r="B828">
        <f>A828+1</f>
        <v>1802</v>
      </c>
      <c r="C828" t="s">
        <v>508</v>
      </c>
      <c r="D828" t="s">
        <v>26</v>
      </c>
      <c r="E828" s="208" t="s">
        <v>99</v>
      </c>
      <c r="F828" t="s">
        <v>11</v>
      </c>
      <c r="G828" s="18">
        <v>1162</v>
      </c>
      <c r="H828" t="s">
        <v>23</v>
      </c>
      <c r="I828" t="s">
        <v>17</v>
      </c>
    </row>
    <row r="829" spans="1:9" x14ac:dyDescent="0.25">
      <c r="A829">
        <v>1801</v>
      </c>
      <c r="B829">
        <f>A829+1</f>
        <v>1802</v>
      </c>
      <c r="C829" t="s">
        <v>508</v>
      </c>
      <c r="D829" t="s">
        <v>26</v>
      </c>
      <c r="E829" s="208" t="s">
        <v>99</v>
      </c>
      <c r="F829" t="s">
        <v>14</v>
      </c>
      <c r="G829" s="18">
        <v>1162</v>
      </c>
      <c r="H829" s="151" t="s">
        <v>563</v>
      </c>
      <c r="I829" t="s">
        <v>17</v>
      </c>
    </row>
    <row r="830" spans="1:9" x14ac:dyDescent="0.25">
      <c r="A830">
        <v>1801</v>
      </c>
      <c r="B830">
        <f>A830+1</f>
        <v>1802</v>
      </c>
      <c r="C830" t="s">
        <v>508</v>
      </c>
      <c r="D830" t="s">
        <v>26</v>
      </c>
      <c r="E830" s="208" t="s">
        <v>99</v>
      </c>
      <c r="F830" t="s">
        <v>15</v>
      </c>
      <c r="G830" s="18">
        <v>3851.5</v>
      </c>
      <c r="H830" s="151" t="s">
        <v>563</v>
      </c>
      <c r="I830" t="s">
        <v>561</v>
      </c>
    </row>
    <row r="831" spans="1:9" x14ac:dyDescent="0.25">
      <c r="A831">
        <v>1801</v>
      </c>
      <c r="B831">
        <f>A831+1</f>
        <v>1802</v>
      </c>
      <c r="C831" t="s">
        <v>508</v>
      </c>
      <c r="D831" t="s">
        <v>26</v>
      </c>
      <c r="E831" s="208" t="s">
        <v>100</v>
      </c>
      <c r="F831" t="s">
        <v>3</v>
      </c>
      <c r="G831" s="18">
        <v>1050</v>
      </c>
      <c r="H831" t="s">
        <v>24</v>
      </c>
      <c r="I831" t="s">
        <v>16</v>
      </c>
    </row>
    <row r="832" spans="1:9" x14ac:dyDescent="0.25">
      <c r="A832">
        <v>1801</v>
      </c>
      <c r="B832">
        <f>A832+1</f>
        <v>1802</v>
      </c>
      <c r="C832" t="s">
        <v>508</v>
      </c>
      <c r="D832" t="s">
        <v>26</v>
      </c>
      <c r="E832" s="208" t="s">
        <v>100</v>
      </c>
      <c r="F832" t="s">
        <v>7</v>
      </c>
      <c r="G832" s="18">
        <v>1050</v>
      </c>
      <c r="H832" s="151" t="s">
        <v>563</v>
      </c>
      <c r="I832" t="s">
        <v>16</v>
      </c>
    </row>
    <row r="833" spans="1:9" x14ac:dyDescent="0.25">
      <c r="A833">
        <v>1801</v>
      </c>
      <c r="B833">
        <f>A833+1</f>
        <v>1802</v>
      </c>
      <c r="C833" t="s">
        <v>508</v>
      </c>
      <c r="D833" t="s">
        <v>26</v>
      </c>
      <c r="E833" s="208" t="s">
        <v>100</v>
      </c>
      <c r="F833" t="s">
        <v>10</v>
      </c>
      <c r="G833" s="18">
        <v>0</v>
      </c>
      <c r="H833" t="s">
        <v>24</v>
      </c>
      <c r="I833" t="s">
        <v>17</v>
      </c>
    </row>
    <row r="834" spans="1:9" x14ac:dyDescent="0.25">
      <c r="A834">
        <v>1801</v>
      </c>
      <c r="B834">
        <f>A834+1</f>
        <v>1802</v>
      </c>
      <c r="C834" t="s">
        <v>508</v>
      </c>
      <c r="D834" t="s">
        <v>27</v>
      </c>
      <c r="E834" s="208" t="s">
        <v>567</v>
      </c>
      <c r="F834" t="s">
        <v>3</v>
      </c>
      <c r="G834" s="18">
        <v>35</v>
      </c>
      <c r="H834" t="s">
        <v>16</v>
      </c>
      <c r="I834" t="s">
        <v>24</v>
      </c>
    </row>
    <row r="835" spans="1:9" x14ac:dyDescent="0.25">
      <c r="A835">
        <v>1801</v>
      </c>
      <c r="B835">
        <f>A835+1</f>
        <v>1802</v>
      </c>
      <c r="C835" t="s">
        <v>508</v>
      </c>
      <c r="D835" t="s">
        <v>26</v>
      </c>
      <c r="E835" s="208" t="s">
        <v>100</v>
      </c>
      <c r="F835" t="s">
        <v>14</v>
      </c>
      <c r="G835" s="18">
        <v>0</v>
      </c>
      <c r="H835" s="151" t="s">
        <v>563</v>
      </c>
      <c r="I835" t="s">
        <v>17</v>
      </c>
    </row>
    <row r="836" spans="1:9" x14ac:dyDescent="0.25">
      <c r="A836">
        <v>1801</v>
      </c>
      <c r="B836">
        <f>A836+1</f>
        <v>1802</v>
      </c>
      <c r="C836" t="s">
        <v>508</v>
      </c>
      <c r="D836" t="s">
        <v>26</v>
      </c>
      <c r="E836" s="208" t="s">
        <v>100</v>
      </c>
      <c r="F836" t="s">
        <v>15</v>
      </c>
      <c r="G836" s="18">
        <v>1050</v>
      </c>
      <c r="H836" s="151" t="s">
        <v>563</v>
      </c>
      <c r="I836" t="s">
        <v>561</v>
      </c>
    </row>
    <row r="837" spans="1:9" x14ac:dyDescent="0.25">
      <c r="A837">
        <v>1801</v>
      </c>
      <c r="B837">
        <f>A837+1</f>
        <v>1802</v>
      </c>
      <c r="C837" t="s">
        <v>508</v>
      </c>
      <c r="D837" t="s">
        <v>27</v>
      </c>
      <c r="E837" s="208" t="s">
        <v>567</v>
      </c>
      <c r="F837" t="s">
        <v>7</v>
      </c>
      <c r="G837" s="18">
        <v>35</v>
      </c>
      <c r="H837" t="s">
        <v>16</v>
      </c>
      <c r="I837" s="151" t="s">
        <v>562</v>
      </c>
    </row>
    <row r="838" spans="1:9" x14ac:dyDescent="0.25">
      <c r="A838">
        <v>1801</v>
      </c>
      <c r="B838">
        <f>A838+1</f>
        <v>1802</v>
      </c>
      <c r="C838" t="s">
        <v>508</v>
      </c>
      <c r="D838" t="s">
        <v>26</v>
      </c>
      <c r="E838" s="208" t="s">
        <v>101</v>
      </c>
      <c r="F838" t="s">
        <v>3</v>
      </c>
      <c r="G838" s="18">
        <v>123000</v>
      </c>
      <c r="H838" t="s">
        <v>24</v>
      </c>
      <c r="I838" t="s">
        <v>16</v>
      </c>
    </row>
    <row r="839" spans="1:9" x14ac:dyDescent="0.25">
      <c r="A839">
        <v>1801</v>
      </c>
      <c r="B839">
        <f>A839+1</f>
        <v>1802</v>
      </c>
      <c r="C839" t="s">
        <v>508</v>
      </c>
      <c r="D839" t="s">
        <v>27</v>
      </c>
      <c r="E839" s="208" t="s">
        <v>567</v>
      </c>
      <c r="F839" t="s">
        <v>10</v>
      </c>
      <c r="G839" s="18">
        <v>0</v>
      </c>
      <c r="H839" t="s">
        <v>17</v>
      </c>
      <c r="I839" t="s">
        <v>24</v>
      </c>
    </row>
    <row r="840" spans="1:9" x14ac:dyDescent="0.25">
      <c r="A840">
        <v>1801</v>
      </c>
      <c r="B840">
        <f>A840+1</f>
        <v>1802</v>
      </c>
      <c r="C840" t="s">
        <v>508</v>
      </c>
      <c r="D840" t="s">
        <v>26</v>
      </c>
      <c r="E840" s="208" t="s">
        <v>101</v>
      </c>
      <c r="F840" t="s">
        <v>4</v>
      </c>
      <c r="G840" s="18">
        <v>9464350</v>
      </c>
      <c r="H840" t="s">
        <v>23</v>
      </c>
      <c r="I840" t="s">
        <v>16</v>
      </c>
    </row>
    <row r="841" spans="1:9" x14ac:dyDescent="0.25">
      <c r="A841">
        <v>1801</v>
      </c>
      <c r="B841">
        <f>A841+1</f>
        <v>1802</v>
      </c>
      <c r="C841" t="s">
        <v>508</v>
      </c>
      <c r="D841" t="s">
        <v>26</v>
      </c>
      <c r="E841" s="208" t="s">
        <v>101</v>
      </c>
      <c r="F841" t="s">
        <v>7</v>
      </c>
      <c r="G841" s="18">
        <v>9587350</v>
      </c>
      <c r="H841" s="151" t="s">
        <v>563</v>
      </c>
      <c r="I841" t="s">
        <v>16</v>
      </c>
    </row>
    <row r="842" spans="1:9" x14ac:dyDescent="0.25">
      <c r="A842">
        <v>1801</v>
      </c>
      <c r="B842">
        <f>A842+1</f>
        <v>1802</v>
      </c>
      <c r="C842" t="s">
        <v>508</v>
      </c>
      <c r="D842" t="s">
        <v>27</v>
      </c>
      <c r="E842" s="208" t="s">
        <v>567</v>
      </c>
      <c r="F842" t="s">
        <v>14</v>
      </c>
      <c r="G842" s="18">
        <v>0</v>
      </c>
      <c r="H842" t="s">
        <v>17</v>
      </c>
      <c r="I842" s="151" t="s">
        <v>562</v>
      </c>
    </row>
    <row r="843" spans="1:9" x14ac:dyDescent="0.25">
      <c r="A843">
        <v>1801</v>
      </c>
      <c r="B843">
        <f>A843+1</f>
        <v>1802</v>
      </c>
      <c r="C843" t="s">
        <v>508</v>
      </c>
      <c r="D843" t="s">
        <v>26</v>
      </c>
      <c r="E843" s="208" t="s">
        <v>101</v>
      </c>
      <c r="F843" t="s">
        <v>10</v>
      </c>
      <c r="G843" s="18">
        <v>0</v>
      </c>
      <c r="H843" t="s">
        <v>24</v>
      </c>
      <c r="I843" t="s">
        <v>17</v>
      </c>
    </row>
    <row r="844" spans="1:9" x14ac:dyDescent="0.25">
      <c r="A844">
        <v>1801</v>
      </c>
      <c r="B844">
        <f>A844+1</f>
        <v>1802</v>
      </c>
      <c r="C844" t="s">
        <v>508</v>
      </c>
      <c r="D844" t="s">
        <v>27</v>
      </c>
      <c r="E844" s="208" t="s">
        <v>567</v>
      </c>
      <c r="F844" t="s">
        <v>15</v>
      </c>
      <c r="G844" s="18">
        <v>35</v>
      </c>
      <c r="H844" t="s">
        <v>561</v>
      </c>
      <c r="I844" s="151" t="s">
        <v>562</v>
      </c>
    </row>
    <row r="845" spans="1:9" x14ac:dyDescent="0.25">
      <c r="A845">
        <v>1801</v>
      </c>
      <c r="B845">
        <f>A845+1</f>
        <v>1802</v>
      </c>
      <c r="C845" t="s">
        <v>508</v>
      </c>
      <c r="D845" t="s">
        <v>26</v>
      </c>
      <c r="E845" s="208" t="s">
        <v>101</v>
      </c>
      <c r="F845" t="s">
        <v>11</v>
      </c>
      <c r="G845" s="18">
        <v>0</v>
      </c>
      <c r="H845" t="s">
        <v>23</v>
      </c>
      <c r="I845" t="s">
        <v>17</v>
      </c>
    </row>
    <row r="846" spans="1:9" x14ac:dyDescent="0.25">
      <c r="A846">
        <v>1801</v>
      </c>
      <c r="B846">
        <f>A846+1</f>
        <v>1802</v>
      </c>
      <c r="C846" t="s">
        <v>508</v>
      </c>
      <c r="D846" t="s">
        <v>26</v>
      </c>
      <c r="E846" s="208" t="s">
        <v>101</v>
      </c>
      <c r="F846" t="s">
        <v>14</v>
      </c>
      <c r="G846" s="18">
        <v>0</v>
      </c>
      <c r="H846" s="151" t="s">
        <v>563</v>
      </c>
      <c r="I846" t="s">
        <v>17</v>
      </c>
    </row>
    <row r="847" spans="1:9" x14ac:dyDescent="0.25">
      <c r="A847">
        <v>1801</v>
      </c>
      <c r="B847">
        <f>A847+1</f>
        <v>1802</v>
      </c>
      <c r="C847" t="s">
        <v>508</v>
      </c>
      <c r="D847" t="s">
        <v>26</v>
      </c>
      <c r="E847" s="208" t="s">
        <v>101</v>
      </c>
      <c r="F847" t="s">
        <v>15</v>
      </c>
      <c r="G847" s="18">
        <v>9587350</v>
      </c>
      <c r="H847" s="151" t="s">
        <v>563</v>
      </c>
      <c r="I847" t="s">
        <v>561</v>
      </c>
    </row>
    <row r="848" spans="1:9" x14ac:dyDescent="0.25">
      <c r="A848">
        <v>1801</v>
      </c>
      <c r="B848">
        <f>A848+1</f>
        <v>1802</v>
      </c>
      <c r="C848" t="s">
        <v>508</v>
      </c>
      <c r="D848" t="s">
        <v>26</v>
      </c>
      <c r="E848" s="208" t="s">
        <v>102</v>
      </c>
      <c r="F848" t="s">
        <v>3</v>
      </c>
      <c r="G848" s="18">
        <v>24</v>
      </c>
      <c r="H848" t="s">
        <v>24</v>
      </c>
      <c r="I848" t="s">
        <v>16</v>
      </c>
    </row>
    <row r="849" spans="1:9" x14ac:dyDescent="0.25">
      <c r="A849">
        <v>1801</v>
      </c>
      <c r="B849">
        <f>A849+1</f>
        <v>1802</v>
      </c>
      <c r="C849" t="s">
        <v>508</v>
      </c>
      <c r="D849" t="s">
        <v>26</v>
      </c>
      <c r="E849" s="208" t="s">
        <v>102</v>
      </c>
      <c r="F849" t="s">
        <v>7</v>
      </c>
      <c r="G849" s="18">
        <v>24</v>
      </c>
      <c r="H849" s="151" t="s">
        <v>563</v>
      </c>
      <c r="I849" t="s">
        <v>16</v>
      </c>
    </row>
    <row r="850" spans="1:9" x14ac:dyDescent="0.25">
      <c r="A850">
        <v>1801</v>
      </c>
      <c r="B850">
        <f>A850+1</f>
        <v>1802</v>
      </c>
      <c r="C850" t="s">
        <v>508</v>
      </c>
      <c r="D850" t="s">
        <v>26</v>
      </c>
      <c r="E850" s="208" t="s">
        <v>102</v>
      </c>
      <c r="F850" t="s">
        <v>10</v>
      </c>
      <c r="G850" s="18">
        <v>0</v>
      </c>
      <c r="H850" t="s">
        <v>24</v>
      </c>
      <c r="I850" t="s">
        <v>17</v>
      </c>
    </row>
    <row r="851" spans="1:9" x14ac:dyDescent="0.25">
      <c r="A851">
        <v>1801</v>
      </c>
      <c r="B851">
        <f>A851+1</f>
        <v>1802</v>
      </c>
      <c r="C851" t="s">
        <v>508</v>
      </c>
      <c r="D851" t="s">
        <v>26</v>
      </c>
      <c r="E851" s="208" t="s">
        <v>102</v>
      </c>
      <c r="F851" t="s">
        <v>14</v>
      </c>
      <c r="G851" s="18">
        <v>0</v>
      </c>
      <c r="H851" s="151" t="s">
        <v>563</v>
      </c>
      <c r="I851" t="s">
        <v>17</v>
      </c>
    </row>
    <row r="852" spans="1:9" x14ac:dyDescent="0.25">
      <c r="A852">
        <v>1801</v>
      </c>
      <c r="B852">
        <f>A852+1</f>
        <v>1802</v>
      </c>
      <c r="C852" t="s">
        <v>508</v>
      </c>
      <c r="D852" t="s">
        <v>26</v>
      </c>
      <c r="E852" s="208" t="s">
        <v>102</v>
      </c>
      <c r="F852" t="s">
        <v>15</v>
      </c>
      <c r="G852" s="18">
        <v>24</v>
      </c>
      <c r="H852" s="151" t="s">
        <v>563</v>
      </c>
      <c r="I852" t="s">
        <v>561</v>
      </c>
    </row>
    <row r="853" spans="1:9" x14ac:dyDescent="0.25">
      <c r="A853">
        <v>1801</v>
      </c>
      <c r="B853">
        <f>A853+1</f>
        <v>1802</v>
      </c>
      <c r="C853" t="s">
        <v>508</v>
      </c>
      <c r="D853" t="s">
        <v>26</v>
      </c>
      <c r="E853" s="208" t="s">
        <v>104</v>
      </c>
      <c r="F853" t="s">
        <v>3</v>
      </c>
      <c r="G853" s="18">
        <v>137</v>
      </c>
      <c r="H853" t="s">
        <v>24</v>
      </c>
      <c r="I853" t="s">
        <v>16</v>
      </c>
    </row>
    <row r="854" spans="1:9" x14ac:dyDescent="0.25">
      <c r="A854">
        <v>1801</v>
      </c>
      <c r="B854">
        <f>A854+1</f>
        <v>1802</v>
      </c>
      <c r="C854" t="s">
        <v>508</v>
      </c>
      <c r="D854" t="s">
        <v>26</v>
      </c>
      <c r="E854" s="208" t="s">
        <v>104</v>
      </c>
      <c r="F854" t="s">
        <v>7</v>
      </c>
      <c r="G854" s="18">
        <v>137</v>
      </c>
      <c r="H854" s="151" t="s">
        <v>563</v>
      </c>
      <c r="I854" t="s">
        <v>16</v>
      </c>
    </row>
    <row r="855" spans="1:9" x14ac:dyDescent="0.25">
      <c r="A855">
        <v>1801</v>
      </c>
      <c r="B855">
        <f>A855+1</f>
        <v>1802</v>
      </c>
      <c r="C855" t="s">
        <v>508</v>
      </c>
      <c r="D855" t="s">
        <v>26</v>
      </c>
      <c r="E855" s="208" t="s">
        <v>104</v>
      </c>
      <c r="F855" t="s">
        <v>10</v>
      </c>
      <c r="G855" s="18">
        <v>0</v>
      </c>
      <c r="H855" t="s">
        <v>24</v>
      </c>
      <c r="I855" t="s">
        <v>17</v>
      </c>
    </row>
    <row r="856" spans="1:9" x14ac:dyDescent="0.25">
      <c r="A856">
        <v>1801</v>
      </c>
      <c r="B856">
        <f>A856+1</f>
        <v>1802</v>
      </c>
      <c r="C856" t="s">
        <v>508</v>
      </c>
      <c r="D856" t="s">
        <v>26</v>
      </c>
      <c r="E856" s="208" t="s">
        <v>104</v>
      </c>
      <c r="F856" t="s">
        <v>14</v>
      </c>
      <c r="G856" s="18">
        <v>0</v>
      </c>
      <c r="H856" s="151" t="s">
        <v>563</v>
      </c>
      <c r="I856" t="s">
        <v>17</v>
      </c>
    </row>
    <row r="857" spans="1:9" x14ac:dyDescent="0.25">
      <c r="A857">
        <v>1801</v>
      </c>
      <c r="B857">
        <f>A857+1</f>
        <v>1802</v>
      </c>
      <c r="C857" t="s">
        <v>508</v>
      </c>
      <c r="D857" t="s">
        <v>26</v>
      </c>
      <c r="E857" s="208" t="s">
        <v>104</v>
      </c>
      <c r="F857" t="s">
        <v>15</v>
      </c>
      <c r="G857" s="18">
        <v>137</v>
      </c>
      <c r="H857" s="151" t="s">
        <v>563</v>
      </c>
      <c r="I857" t="s">
        <v>561</v>
      </c>
    </row>
    <row r="858" spans="1:9" x14ac:dyDescent="0.25">
      <c r="A858">
        <v>1801</v>
      </c>
      <c r="B858">
        <f>A858+1</f>
        <v>1802</v>
      </c>
      <c r="C858" t="s">
        <v>508</v>
      </c>
      <c r="D858" t="s">
        <v>26</v>
      </c>
      <c r="E858" s="208" t="s">
        <v>107</v>
      </c>
      <c r="F858" t="s">
        <v>3</v>
      </c>
      <c r="G858" s="18">
        <v>82770</v>
      </c>
      <c r="H858" t="s">
        <v>24</v>
      </c>
      <c r="I858" t="s">
        <v>16</v>
      </c>
    </row>
    <row r="859" spans="1:9" x14ac:dyDescent="0.25">
      <c r="A859">
        <v>1801</v>
      </c>
      <c r="B859">
        <f>A859+1</f>
        <v>1802</v>
      </c>
      <c r="C859" t="s">
        <v>508</v>
      </c>
      <c r="D859" t="s">
        <v>26</v>
      </c>
      <c r="E859" s="208" t="s">
        <v>107</v>
      </c>
      <c r="F859" t="s">
        <v>4</v>
      </c>
      <c r="G859" s="18">
        <v>3207273</v>
      </c>
      <c r="H859" t="s">
        <v>23</v>
      </c>
      <c r="I859" t="s">
        <v>16</v>
      </c>
    </row>
    <row r="860" spans="1:9" x14ac:dyDescent="0.25">
      <c r="A860">
        <v>1801</v>
      </c>
      <c r="B860">
        <f>A860+1</f>
        <v>1802</v>
      </c>
      <c r="C860" t="s">
        <v>508</v>
      </c>
      <c r="D860" t="s">
        <v>26</v>
      </c>
      <c r="E860" s="208" t="s">
        <v>107</v>
      </c>
      <c r="F860" t="s">
        <v>7</v>
      </c>
      <c r="G860" s="18">
        <v>3290043</v>
      </c>
      <c r="H860" s="151" t="s">
        <v>563</v>
      </c>
      <c r="I860" t="s">
        <v>16</v>
      </c>
    </row>
    <row r="861" spans="1:9" x14ac:dyDescent="0.25">
      <c r="A861">
        <v>1801</v>
      </c>
      <c r="B861">
        <f>A861+1</f>
        <v>1802</v>
      </c>
      <c r="C861" t="s">
        <v>508</v>
      </c>
      <c r="D861" t="s">
        <v>26</v>
      </c>
      <c r="E861" s="208" t="s">
        <v>107</v>
      </c>
      <c r="F861" t="s">
        <v>10</v>
      </c>
      <c r="G861" s="18">
        <v>335700</v>
      </c>
      <c r="H861" t="s">
        <v>24</v>
      </c>
      <c r="I861" t="s">
        <v>17</v>
      </c>
    </row>
    <row r="862" spans="1:9" x14ac:dyDescent="0.25">
      <c r="A862">
        <v>1801</v>
      </c>
      <c r="B862">
        <f>A862+1</f>
        <v>1802</v>
      </c>
      <c r="C862" t="s">
        <v>508</v>
      </c>
      <c r="D862" t="s">
        <v>26</v>
      </c>
      <c r="E862" s="208" t="s">
        <v>107</v>
      </c>
      <c r="F862" t="s">
        <v>11</v>
      </c>
      <c r="G862" s="18">
        <v>12466552</v>
      </c>
      <c r="H862" t="s">
        <v>23</v>
      </c>
      <c r="I862" t="s">
        <v>17</v>
      </c>
    </row>
    <row r="863" spans="1:9" x14ac:dyDescent="0.25">
      <c r="A863">
        <v>1801</v>
      </c>
      <c r="B863">
        <f>A863+1</f>
        <v>1802</v>
      </c>
      <c r="C863" t="s">
        <v>508</v>
      </c>
      <c r="D863" t="s">
        <v>26</v>
      </c>
      <c r="E863" s="208" t="s">
        <v>107</v>
      </c>
      <c r="F863" t="s">
        <v>14</v>
      </c>
      <c r="G863" s="18">
        <v>12802252</v>
      </c>
      <c r="H863" s="151" t="s">
        <v>563</v>
      </c>
      <c r="I863" t="s">
        <v>17</v>
      </c>
    </row>
    <row r="864" spans="1:9" x14ac:dyDescent="0.25">
      <c r="A864">
        <v>1801</v>
      </c>
      <c r="B864">
        <f>A864+1</f>
        <v>1802</v>
      </c>
      <c r="C864" t="s">
        <v>508</v>
      </c>
      <c r="D864" t="s">
        <v>26</v>
      </c>
      <c r="E864" s="208" t="s">
        <v>107</v>
      </c>
      <c r="F864" t="s">
        <v>15</v>
      </c>
      <c r="G864" s="18">
        <v>16092295</v>
      </c>
      <c r="H864" s="151" t="s">
        <v>563</v>
      </c>
      <c r="I864" t="s">
        <v>561</v>
      </c>
    </row>
    <row r="865" spans="1:9" x14ac:dyDescent="0.25">
      <c r="A865">
        <v>1801</v>
      </c>
      <c r="B865">
        <f>A865+1</f>
        <v>1802</v>
      </c>
      <c r="C865" t="s">
        <v>508</v>
      </c>
      <c r="D865" t="s">
        <v>26</v>
      </c>
      <c r="E865" s="208" t="s">
        <v>108</v>
      </c>
      <c r="F865" t="s">
        <v>3</v>
      </c>
      <c r="G865" s="18">
        <v>45</v>
      </c>
      <c r="H865" t="s">
        <v>24</v>
      </c>
      <c r="I865" t="s">
        <v>16</v>
      </c>
    </row>
    <row r="866" spans="1:9" x14ac:dyDescent="0.25">
      <c r="A866">
        <v>1801</v>
      </c>
      <c r="B866">
        <f>A866+1</f>
        <v>1802</v>
      </c>
      <c r="C866" t="s">
        <v>508</v>
      </c>
      <c r="D866" t="s">
        <v>26</v>
      </c>
      <c r="E866" s="208" t="s">
        <v>108</v>
      </c>
      <c r="F866" t="s">
        <v>7</v>
      </c>
      <c r="G866" s="18">
        <v>45</v>
      </c>
      <c r="H866" s="151" t="s">
        <v>563</v>
      </c>
      <c r="I866" t="s">
        <v>16</v>
      </c>
    </row>
    <row r="867" spans="1:9" x14ac:dyDescent="0.25">
      <c r="A867">
        <v>1801</v>
      </c>
      <c r="B867">
        <f>A867+1</f>
        <v>1802</v>
      </c>
      <c r="C867" t="s">
        <v>508</v>
      </c>
      <c r="D867" t="s">
        <v>26</v>
      </c>
      <c r="E867" s="208" t="s">
        <v>108</v>
      </c>
      <c r="F867" t="s">
        <v>10</v>
      </c>
      <c r="G867" s="18">
        <v>35</v>
      </c>
      <c r="H867" t="s">
        <v>24</v>
      </c>
      <c r="I867" t="s">
        <v>17</v>
      </c>
    </row>
    <row r="868" spans="1:9" x14ac:dyDescent="0.25">
      <c r="A868">
        <v>1801</v>
      </c>
      <c r="B868">
        <f>A868+1</f>
        <v>1802</v>
      </c>
      <c r="C868" t="s">
        <v>508</v>
      </c>
      <c r="D868" t="s">
        <v>26</v>
      </c>
      <c r="E868" s="208" t="s">
        <v>108</v>
      </c>
      <c r="F868" t="s">
        <v>14</v>
      </c>
      <c r="G868" s="18">
        <v>35</v>
      </c>
      <c r="H868" s="151" t="s">
        <v>563</v>
      </c>
      <c r="I868" t="s">
        <v>17</v>
      </c>
    </row>
    <row r="869" spans="1:9" x14ac:dyDescent="0.25">
      <c r="A869">
        <v>1801</v>
      </c>
      <c r="B869">
        <f>A869+1</f>
        <v>1802</v>
      </c>
      <c r="C869" t="s">
        <v>508</v>
      </c>
      <c r="D869" t="s">
        <v>26</v>
      </c>
      <c r="E869" s="208" t="s">
        <v>108</v>
      </c>
      <c r="F869" t="s">
        <v>15</v>
      </c>
      <c r="G869" s="18">
        <v>80</v>
      </c>
      <c r="H869" s="151" t="s">
        <v>563</v>
      </c>
      <c r="I869" t="s">
        <v>561</v>
      </c>
    </row>
    <row r="870" spans="1:9" x14ac:dyDescent="0.25">
      <c r="A870">
        <v>1802</v>
      </c>
      <c r="B870">
        <f>A870+1</f>
        <v>1803</v>
      </c>
      <c r="C870" t="s">
        <v>509</v>
      </c>
      <c r="D870" t="s">
        <v>27</v>
      </c>
      <c r="E870" s="208" t="s">
        <v>155</v>
      </c>
      <c r="F870" t="s">
        <v>3</v>
      </c>
      <c r="G870" s="18">
        <v>97</v>
      </c>
      <c r="H870" t="s">
        <v>16</v>
      </c>
      <c r="I870" t="s">
        <v>24</v>
      </c>
    </row>
    <row r="871" spans="1:9" x14ac:dyDescent="0.25">
      <c r="A871">
        <v>1802</v>
      </c>
      <c r="B871">
        <f>A871+1</f>
        <v>1803</v>
      </c>
      <c r="C871" t="s">
        <v>509</v>
      </c>
      <c r="D871" t="s">
        <v>27</v>
      </c>
      <c r="E871" s="208" t="s">
        <v>156</v>
      </c>
      <c r="F871" t="s">
        <v>3</v>
      </c>
      <c r="G871" s="18">
        <v>14</v>
      </c>
      <c r="H871" t="s">
        <v>16</v>
      </c>
      <c r="I871" t="s">
        <v>24</v>
      </c>
    </row>
    <row r="872" spans="1:9" x14ac:dyDescent="0.25">
      <c r="A872">
        <v>1802</v>
      </c>
      <c r="B872">
        <f>A872+1</f>
        <v>1803</v>
      </c>
      <c r="C872" t="s">
        <v>509</v>
      </c>
      <c r="D872" t="s">
        <v>27</v>
      </c>
      <c r="E872" s="208" t="s">
        <v>154</v>
      </c>
      <c r="F872" t="s">
        <v>3</v>
      </c>
      <c r="G872" s="18">
        <v>432</v>
      </c>
      <c r="H872" t="s">
        <v>16</v>
      </c>
      <c r="I872" t="s">
        <v>24</v>
      </c>
    </row>
    <row r="873" spans="1:9" x14ac:dyDescent="0.25">
      <c r="A873">
        <v>1802</v>
      </c>
      <c r="B873">
        <f>A873+1</f>
        <v>1803</v>
      </c>
      <c r="C873" t="s">
        <v>509</v>
      </c>
      <c r="D873" t="s">
        <v>27</v>
      </c>
      <c r="E873" s="208" t="s">
        <v>150</v>
      </c>
      <c r="F873" t="s">
        <v>3</v>
      </c>
      <c r="G873" s="18">
        <v>2136</v>
      </c>
      <c r="H873" t="s">
        <v>16</v>
      </c>
      <c r="I873" t="s">
        <v>24</v>
      </c>
    </row>
    <row r="874" spans="1:9" x14ac:dyDescent="0.25">
      <c r="A874">
        <v>1802</v>
      </c>
      <c r="B874">
        <f>A874+1</f>
        <v>1803</v>
      </c>
      <c r="C874" t="s">
        <v>509</v>
      </c>
      <c r="D874" t="s">
        <v>27</v>
      </c>
      <c r="E874" s="208" t="s">
        <v>148</v>
      </c>
      <c r="F874" t="s">
        <v>3</v>
      </c>
      <c r="G874" s="18">
        <v>171</v>
      </c>
      <c r="H874" t="s">
        <v>16</v>
      </c>
      <c r="I874" t="s">
        <v>24</v>
      </c>
    </row>
    <row r="875" spans="1:9" x14ac:dyDescent="0.25">
      <c r="A875">
        <v>1802</v>
      </c>
      <c r="B875">
        <f>A875+1</f>
        <v>1803</v>
      </c>
      <c r="C875" t="s">
        <v>509</v>
      </c>
      <c r="D875" t="s">
        <v>27</v>
      </c>
      <c r="E875" s="208" t="s">
        <v>130</v>
      </c>
      <c r="F875" t="s">
        <v>3</v>
      </c>
      <c r="G875" s="18">
        <v>2</v>
      </c>
      <c r="H875" t="s">
        <v>16</v>
      </c>
      <c r="I875" t="s">
        <v>24</v>
      </c>
    </row>
    <row r="876" spans="1:9" x14ac:dyDescent="0.25">
      <c r="A876">
        <v>1802</v>
      </c>
      <c r="B876">
        <f>A876+1</f>
        <v>1803</v>
      </c>
      <c r="C876" t="s">
        <v>509</v>
      </c>
      <c r="D876" t="s">
        <v>27</v>
      </c>
      <c r="E876" s="208" t="s">
        <v>132</v>
      </c>
      <c r="F876" t="s">
        <v>3</v>
      </c>
      <c r="G876" s="18">
        <v>0</v>
      </c>
      <c r="H876" t="s">
        <v>16</v>
      </c>
      <c r="I876" t="s">
        <v>24</v>
      </c>
    </row>
    <row r="877" spans="1:9" x14ac:dyDescent="0.25">
      <c r="A877">
        <v>1802</v>
      </c>
      <c r="B877">
        <f>A877+1</f>
        <v>1803</v>
      </c>
      <c r="C877" t="s">
        <v>509</v>
      </c>
      <c r="D877" t="s">
        <v>27</v>
      </c>
      <c r="E877" s="208" t="s">
        <v>142</v>
      </c>
      <c r="F877" t="s">
        <v>3</v>
      </c>
      <c r="G877" s="18">
        <v>183</v>
      </c>
      <c r="H877" t="s">
        <v>16</v>
      </c>
      <c r="I877" t="s">
        <v>24</v>
      </c>
    </row>
    <row r="878" spans="1:9" x14ac:dyDescent="0.25">
      <c r="A878">
        <v>1802</v>
      </c>
      <c r="B878">
        <f>A878+1</f>
        <v>1803</v>
      </c>
      <c r="C878" t="s">
        <v>509</v>
      </c>
      <c r="D878" t="s">
        <v>27</v>
      </c>
      <c r="E878" s="208" t="s">
        <v>144</v>
      </c>
      <c r="F878" t="s">
        <v>3</v>
      </c>
      <c r="G878" s="18">
        <v>40</v>
      </c>
      <c r="H878" t="s">
        <v>16</v>
      </c>
      <c r="I878" t="s">
        <v>24</v>
      </c>
    </row>
    <row r="879" spans="1:9" x14ac:dyDescent="0.25">
      <c r="A879">
        <v>1802</v>
      </c>
      <c r="B879">
        <f>A879+1</f>
        <v>1803</v>
      </c>
      <c r="C879" t="s">
        <v>509</v>
      </c>
      <c r="D879" t="s">
        <v>27</v>
      </c>
      <c r="E879" s="208" t="s">
        <v>124</v>
      </c>
      <c r="F879" t="s">
        <v>3</v>
      </c>
      <c r="G879" s="18">
        <v>119136</v>
      </c>
      <c r="H879" t="s">
        <v>16</v>
      </c>
      <c r="I879" t="s">
        <v>24</v>
      </c>
    </row>
    <row r="880" spans="1:9" x14ac:dyDescent="0.25">
      <c r="A880">
        <v>1802</v>
      </c>
      <c r="B880">
        <f>A880+1</f>
        <v>1803</v>
      </c>
      <c r="C880" t="s">
        <v>509</v>
      </c>
      <c r="D880" t="s">
        <v>27</v>
      </c>
      <c r="E880" s="208" t="s">
        <v>139</v>
      </c>
      <c r="F880" t="s">
        <v>3</v>
      </c>
      <c r="G880" s="18">
        <v>20</v>
      </c>
      <c r="H880" t="s">
        <v>16</v>
      </c>
      <c r="I880" t="s">
        <v>24</v>
      </c>
    </row>
    <row r="881" spans="1:9" x14ac:dyDescent="0.25">
      <c r="A881">
        <v>1802</v>
      </c>
      <c r="B881">
        <f>A881+1</f>
        <v>1803</v>
      </c>
      <c r="C881" t="s">
        <v>509</v>
      </c>
      <c r="D881" t="s">
        <v>26</v>
      </c>
      <c r="E881" s="208" t="s">
        <v>62</v>
      </c>
      <c r="F881" t="s">
        <v>3</v>
      </c>
      <c r="G881" s="18">
        <v>478</v>
      </c>
      <c r="H881" t="s">
        <v>24</v>
      </c>
      <c r="I881" t="s">
        <v>16</v>
      </c>
    </row>
    <row r="882" spans="1:9" x14ac:dyDescent="0.25">
      <c r="A882">
        <v>1802</v>
      </c>
      <c r="B882">
        <f>A882+1</f>
        <v>1803</v>
      </c>
      <c r="C882" t="s">
        <v>509</v>
      </c>
      <c r="D882" t="s">
        <v>26</v>
      </c>
      <c r="E882" s="208" t="s">
        <v>36</v>
      </c>
      <c r="F882" t="s">
        <v>3</v>
      </c>
      <c r="G882" s="18">
        <v>257</v>
      </c>
      <c r="H882" t="s">
        <v>24</v>
      </c>
      <c r="I882" t="s">
        <v>16</v>
      </c>
    </row>
    <row r="883" spans="1:9" x14ac:dyDescent="0.25">
      <c r="A883">
        <v>1802</v>
      </c>
      <c r="B883">
        <f>A883+1</f>
        <v>1803</v>
      </c>
      <c r="C883" t="s">
        <v>509</v>
      </c>
      <c r="D883" t="s">
        <v>26</v>
      </c>
      <c r="E883" s="208" t="s">
        <v>42</v>
      </c>
      <c r="F883" t="s">
        <v>3</v>
      </c>
      <c r="G883" s="18">
        <v>679</v>
      </c>
      <c r="H883" t="s">
        <v>24</v>
      </c>
      <c r="I883" t="s">
        <v>16</v>
      </c>
    </row>
    <row r="884" spans="1:9" x14ac:dyDescent="0.25">
      <c r="A884">
        <v>1802</v>
      </c>
      <c r="B884">
        <f>A884+1</f>
        <v>1803</v>
      </c>
      <c r="C884" t="s">
        <v>509</v>
      </c>
      <c r="D884" t="s">
        <v>26</v>
      </c>
      <c r="E884" s="208" t="s">
        <v>99</v>
      </c>
      <c r="F884" t="s">
        <v>3</v>
      </c>
      <c r="G884" s="18">
        <v>0</v>
      </c>
      <c r="H884" t="s">
        <v>24</v>
      </c>
      <c r="I884" t="s">
        <v>16</v>
      </c>
    </row>
    <row r="885" spans="1:9" x14ac:dyDescent="0.25">
      <c r="A885">
        <v>1802</v>
      </c>
      <c r="B885">
        <f>A885+1</f>
        <v>1803</v>
      </c>
      <c r="C885" t="s">
        <v>509</v>
      </c>
      <c r="D885" t="s">
        <v>26</v>
      </c>
      <c r="E885" s="208" t="s">
        <v>28</v>
      </c>
      <c r="F885" t="s">
        <v>3</v>
      </c>
      <c r="G885" s="18">
        <v>85</v>
      </c>
      <c r="H885" t="s">
        <v>24</v>
      </c>
      <c r="I885" t="s">
        <v>16</v>
      </c>
    </row>
    <row r="886" spans="1:9" x14ac:dyDescent="0.25">
      <c r="A886">
        <v>1802</v>
      </c>
      <c r="B886">
        <f>A886+1</f>
        <v>1803</v>
      </c>
      <c r="C886" t="s">
        <v>509</v>
      </c>
      <c r="D886" t="s">
        <v>26</v>
      </c>
      <c r="E886" s="208" t="s">
        <v>89</v>
      </c>
      <c r="F886" t="s">
        <v>3</v>
      </c>
      <c r="G886" s="18">
        <v>61</v>
      </c>
      <c r="H886" t="s">
        <v>24</v>
      </c>
      <c r="I886" t="s">
        <v>16</v>
      </c>
    </row>
    <row r="887" spans="1:9" x14ac:dyDescent="0.25">
      <c r="A887">
        <v>1802</v>
      </c>
      <c r="B887">
        <f>A887+1</f>
        <v>1803</v>
      </c>
      <c r="C887" t="s">
        <v>509</v>
      </c>
      <c r="D887" t="s">
        <v>26</v>
      </c>
      <c r="E887" s="208" t="s">
        <v>45</v>
      </c>
      <c r="F887" t="s">
        <v>3</v>
      </c>
      <c r="G887" s="18">
        <v>56</v>
      </c>
      <c r="H887" t="s">
        <v>24</v>
      </c>
      <c r="I887" t="s">
        <v>16</v>
      </c>
    </row>
    <row r="888" spans="1:9" x14ac:dyDescent="0.25">
      <c r="A888">
        <v>1802</v>
      </c>
      <c r="B888">
        <f>A888+1</f>
        <v>1803</v>
      </c>
      <c r="C888" t="s">
        <v>509</v>
      </c>
      <c r="D888" t="s">
        <v>26</v>
      </c>
      <c r="E888" s="208" t="s">
        <v>54</v>
      </c>
      <c r="F888" t="s">
        <v>3</v>
      </c>
      <c r="G888" s="18">
        <v>62</v>
      </c>
      <c r="H888" t="s">
        <v>24</v>
      </c>
      <c r="I888" t="s">
        <v>16</v>
      </c>
    </row>
    <row r="889" spans="1:9" x14ac:dyDescent="0.25">
      <c r="A889">
        <v>1802</v>
      </c>
      <c r="B889">
        <f>A889+1</f>
        <v>1803</v>
      </c>
      <c r="C889" t="s">
        <v>509</v>
      </c>
      <c r="D889" t="s">
        <v>26</v>
      </c>
      <c r="E889" s="208" t="s">
        <v>53</v>
      </c>
      <c r="F889" t="s">
        <v>3</v>
      </c>
      <c r="G889" s="18">
        <v>678</v>
      </c>
      <c r="H889" t="s">
        <v>24</v>
      </c>
      <c r="I889" t="s">
        <v>16</v>
      </c>
    </row>
    <row r="890" spans="1:9" x14ac:dyDescent="0.25">
      <c r="A890">
        <v>1802</v>
      </c>
      <c r="B890">
        <f>A890+1</f>
        <v>1803</v>
      </c>
      <c r="C890" t="s">
        <v>509</v>
      </c>
      <c r="D890" t="s">
        <v>26</v>
      </c>
      <c r="E890" s="208" t="s">
        <v>82</v>
      </c>
      <c r="F890" t="s">
        <v>3</v>
      </c>
      <c r="G890" s="18">
        <v>97</v>
      </c>
      <c r="H890" t="s">
        <v>24</v>
      </c>
      <c r="I890" t="s">
        <v>16</v>
      </c>
    </row>
    <row r="891" spans="1:9" x14ac:dyDescent="0.25">
      <c r="A891">
        <v>1802</v>
      </c>
      <c r="B891">
        <f>A891+1</f>
        <v>1803</v>
      </c>
      <c r="C891" t="s">
        <v>509</v>
      </c>
      <c r="D891" t="s">
        <v>26</v>
      </c>
      <c r="E891" s="208" t="s">
        <v>51</v>
      </c>
      <c r="F891" t="s">
        <v>3</v>
      </c>
      <c r="G891" s="18">
        <v>4970</v>
      </c>
      <c r="H891" t="s">
        <v>24</v>
      </c>
      <c r="I891" t="s">
        <v>16</v>
      </c>
    </row>
    <row r="892" spans="1:9" x14ac:dyDescent="0.25">
      <c r="A892">
        <v>1802</v>
      </c>
      <c r="B892">
        <f>A892+1</f>
        <v>1803</v>
      </c>
      <c r="C892" t="s">
        <v>509</v>
      </c>
      <c r="D892" t="s">
        <v>26</v>
      </c>
      <c r="E892" s="208" t="s">
        <v>104</v>
      </c>
      <c r="F892" t="s">
        <v>3</v>
      </c>
      <c r="G892" s="18">
        <v>319</v>
      </c>
      <c r="H892" t="s">
        <v>24</v>
      </c>
      <c r="I892" t="s">
        <v>16</v>
      </c>
    </row>
    <row r="893" spans="1:9" x14ac:dyDescent="0.25">
      <c r="A893">
        <v>1802</v>
      </c>
      <c r="B893">
        <f>A893+1</f>
        <v>1803</v>
      </c>
      <c r="C893" t="s">
        <v>509</v>
      </c>
      <c r="D893" t="s">
        <v>26</v>
      </c>
      <c r="E893" s="208" t="s">
        <v>75</v>
      </c>
      <c r="F893" t="s">
        <v>3</v>
      </c>
      <c r="G893" s="18">
        <v>500178</v>
      </c>
      <c r="H893" t="s">
        <v>24</v>
      </c>
      <c r="I893" t="s">
        <v>16</v>
      </c>
    </row>
    <row r="894" spans="1:9" x14ac:dyDescent="0.25">
      <c r="A894">
        <v>1802</v>
      </c>
      <c r="B894">
        <f>A894+1</f>
        <v>1803</v>
      </c>
      <c r="C894" t="s">
        <v>509</v>
      </c>
      <c r="D894" t="s">
        <v>26</v>
      </c>
      <c r="E894" s="208" t="s">
        <v>107</v>
      </c>
      <c r="F894" t="s">
        <v>3</v>
      </c>
      <c r="G894" s="18">
        <v>57432</v>
      </c>
      <c r="H894" t="s">
        <v>24</v>
      </c>
      <c r="I894" t="s">
        <v>16</v>
      </c>
    </row>
    <row r="895" spans="1:9" x14ac:dyDescent="0.25">
      <c r="A895">
        <v>1802</v>
      </c>
      <c r="B895">
        <f>A895+1</f>
        <v>1803</v>
      </c>
      <c r="C895" t="s">
        <v>509</v>
      </c>
      <c r="D895" t="s">
        <v>26</v>
      </c>
      <c r="E895" s="208" t="s">
        <v>101</v>
      </c>
      <c r="F895" t="s">
        <v>3</v>
      </c>
      <c r="G895" s="18">
        <v>62335</v>
      </c>
      <c r="H895" t="s">
        <v>24</v>
      </c>
      <c r="I895" t="s">
        <v>16</v>
      </c>
    </row>
    <row r="896" spans="1:9" x14ac:dyDescent="0.25">
      <c r="A896">
        <v>1802</v>
      </c>
      <c r="B896">
        <f>A896+1</f>
        <v>1803</v>
      </c>
      <c r="C896" t="s">
        <v>509</v>
      </c>
      <c r="D896" t="s">
        <v>26</v>
      </c>
      <c r="E896" s="208" t="s">
        <v>78</v>
      </c>
      <c r="F896" t="s">
        <v>3</v>
      </c>
      <c r="G896" s="18">
        <v>75</v>
      </c>
      <c r="H896" t="s">
        <v>24</v>
      </c>
      <c r="I896" t="s">
        <v>16</v>
      </c>
    </row>
    <row r="897" spans="1:9" x14ac:dyDescent="0.25">
      <c r="A897">
        <v>1802</v>
      </c>
      <c r="B897">
        <f>A897+1</f>
        <v>1803</v>
      </c>
      <c r="C897" t="s">
        <v>509</v>
      </c>
      <c r="D897" t="s">
        <v>26</v>
      </c>
      <c r="E897" s="208" t="s">
        <v>77</v>
      </c>
      <c r="F897" t="s">
        <v>3</v>
      </c>
      <c r="G897" s="18">
        <v>167482</v>
      </c>
      <c r="H897" t="s">
        <v>24</v>
      </c>
      <c r="I897" t="s">
        <v>16</v>
      </c>
    </row>
    <row r="898" spans="1:9" x14ac:dyDescent="0.25">
      <c r="A898">
        <v>1802</v>
      </c>
      <c r="B898">
        <f>A898+1</f>
        <v>1803</v>
      </c>
      <c r="C898" t="s">
        <v>509</v>
      </c>
      <c r="D898" t="s">
        <v>26</v>
      </c>
      <c r="E898" s="208" t="s">
        <v>330</v>
      </c>
      <c r="F898" t="s">
        <v>6</v>
      </c>
      <c r="G898" s="18">
        <v>974</v>
      </c>
      <c r="H898" t="s">
        <v>25</v>
      </c>
      <c r="I898" t="s">
        <v>16</v>
      </c>
    </row>
    <row r="899" spans="1:9" x14ac:dyDescent="0.25">
      <c r="A899">
        <v>1802</v>
      </c>
      <c r="B899">
        <f>A899+1</f>
        <v>1803</v>
      </c>
      <c r="C899" t="s">
        <v>509</v>
      </c>
      <c r="D899" t="s">
        <v>26</v>
      </c>
      <c r="E899" s="208" t="s">
        <v>331</v>
      </c>
      <c r="F899" t="s">
        <v>6</v>
      </c>
      <c r="G899" s="18">
        <v>1822</v>
      </c>
      <c r="H899" t="s">
        <v>25</v>
      </c>
      <c r="I899" t="s">
        <v>16</v>
      </c>
    </row>
    <row r="900" spans="1:9" x14ac:dyDescent="0.25">
      <c r="A900">
        <v>1802</v>
      </c>
      <c r="B900">
        <f>A900+1</f>
        <v>1803</v>
      </c>
      <c r="C900" t="s">
        <v>509</v>
      </c>
      <c r="D900" t="s">
        <v>26</v>
      </c>
      <c r="E900" s="208" t="s">
        <v>332</v>
      </c>
      <c r="F900" t="s">
        <v>6</v>
      </c>
      <c r="G900" s="18">
        <v>294</v>
      </c>
      <c r="H900" t="s">
        <v>25</v>
      </c>
      <c r="I900" t="s">
        <v>16</v>
      </c>
    </row>
    <row r="901" spans="1:9" x14ac:dyDescent="0.25">
      <c r="A901">
        <v>1802</v>
      </c>
      <c r="B901">
        <f>A901+1</f>
        <v>1803</v>
      </c>
      <c r="C901" t="s">
        <v>509</v>
      </c>
      <c r="D901" t="s">
        <v>26</v>
      </c>
      <c r="E901" s="208" t="s">
        <v>333</v>
      </c>
      <c r="F901" t="s">
        <v>6</v>
      </c>
      <c r="G901" s="18">
        <v>1325</v>
      </c>
      <c r="H901" t="s">
        <v>25</v>
      </c>
      <c r="I901" t="s">
        <v>16</v>
      </c>
    </row>
    <row r="902" spans="1:9" x14ac:dyDescent="0.25">
      <c r="A902">
        <v>1802</v>
      </c>
      <c r="B902">
        <f>A902+1</f>
        <v>1803</v>
      </c>
      <c r="C902" t="s">
        <v>509</v>
      </c>
      <c r="D902" t="s">
        <v>27</v>
      </c>
      <c r="E902" s="208" t="s">
        <v>155</v>
      </c>
      <c r="F902" t="s">
        <v>0</v>
      </c>
      <c r="G902" s="18">
        <v>40722</v>
      </c>
      <c r="H902" t="s">
        <v>16</v>
      </c>
      <c r="I902" t="s">
        <v>18</v>
      </c>
    </row>
    <row r="903" spans="1:9" x14ac:dyDescent="0.25">
      <c r="A903">
        <v>1802</v>
      </c>
      <c r="B903">
        <f>A903+1</f>
        <v>1803</v>
      </c>
      <c r="C903" t="s">
        <v>509</v>
      </c>
      <c r="D903" t="s">
        <v>27</v>
      </c>
      <c r="E903" s="208" t="s">
        <v>156</v>
      </c>
      <c r="F903" t="s">
        <v>0</v>
      </c>
      <c r="G903" s="18">
        <v>3422</v>
      </c>
      <c r="H903" t="s">
        <v>16</v>
      </c>
      <c r="I903" t="s">
        <v>18</v>
      </c>
    </row>
    <row r="904" spans="1:9" x14ac:dyDescent="0.25">
      <c r="A904">
        <v>1802</v>
      </c>
      <c r="B904">
        <f>A904+1</f>
        <v>1803</v>
      </c>
      <c r="C904" t="s">
        <v>509</v>
      </c>
      <c r="D904" t="s">
        <v>27</v>
      </c>
      <c r="E904" s="208" t="s">
        <v>154</v>
      </c>
      <c r="F904" t="s">
        <v>0</v>
      </c>
      <c r="G904" s="18">
        <v>302</v>
      </c>
      <c r="H904" t="s">
        <v>16</v>
      </c>
      <c r="I904" t="s">
        <v>18</v>
      </c>
    </row>
    <row r="905" spans="1:9" x14ac:dyDescent="0.25">
      <c r="A905">
        <v>1802</v>
      </c>
      <c r="B905">
        <f>A905+1</f>
        <v>1803</v>
      </c>
      <c r="C905" t="s">
        <v>509</v>
      </c>
      <c r="D905" t="s">
        <v>27</v>
      </c>
      <c r="E905" s="208" t="s">
        <v>150</v>
      </c>
      <c r="F905" t="s">
        <v>0</v>
      </c>
      <c r="G905" s="18">
        <v>8459</v>
      </c>
      <c r="H905" t="s">
        <v>16</v>
      </c>
      <c r="I905" t="s">
        <v>18</v>
      </c>
    </row>
    <row r="906" spans="1:9" x14ac:dyDescent="0.25">
      <c r="A906">
        <v>1802</v>
      </c>
      <c r="B906">
        <f>A906+1</f>
        <v>1803</v>
      </c>
      <c r="C906" t="s">
        <v>509</v>
      </c>
      <c r="D906" t="s">
        <v>27</v>
      </c>
      <c r="E906" s="208" t="s">
        <v>148</v>
      </c>
      <c r="F906" t="s">
        <v>0</v>
      </c>
      <c r="G906" s="18">
        <v>518</v>
      </c>
      <c r="H906" t="s">
        <v>16</v>
      </c>
      <c r="I906" t="s">
        <v>18</v>
      </c>
    </row>
    <row r="907" spans="1:9" x14ac:dyDescent="0.25">
      <c r="A907">
        <v>1802</v>
      </c>
      <c r="B907">
        <f>A907+1</f>
        <v>1803</v>
      </c>
      <c r="C907" t="s">
        <v>509</v>
      </c>
      <c r="D907" t="s">
        <v>27</v>
      </c>
      <c r="E907" s="208" t="s">
        <v>130</v>
      </c>
      <c r="F907" t="s">
        <v>0</v>
      </c>
      <c r="G907" s="18">
        <v>131</v>
      </c>
      <c r="H907" t="s">
        <v>16</v>
      </c>
      <c r="I907" t="s">
        <v>18</v>
      </c>
    </row>
    <row r="908" spans="1:9" x14ac:dyDescent="0.25">
      <c r="A908">
        <v>1802</v>
      </c>
      <c r="B908">
        <f>A908+1</f>
        <v>1803</v>
      </c>
      <c r="C908" t="s">
        <v>509</v>
      </c>
      <c r="D908" t="s">
        <v>27</v>
      </c>
      <c r="E908" s="208" t="s">
        <v>132</v>
      </c>
      <c r="F908" t="s">
        <v>0</v>
      </c>
      <c r="G908" s="18">
        <v>3</v>
      </c>
      <c r="H908" t="s">
        <v>16</v>
      </c>
      <c r="I908" t="s">
        <v>18</v>
      </c>
    </row>
    <row r="909" spans="1:9" x14ac:dyDescent="0.25">
      <c r="A909">
        <v>1802</v>
      </c>
      <c r="B909">
        <f>A909+1</f>
        <v>1803</v>
      </c>
      <c r="C909" t="s">
        <v>509</v>
      </c>
      <c r="D909" t="s">
        <v>27</v>
      </c>
      <c r="E909" s="208" t="s">
        <v>142</v>
      </c>
      <c r="F909" t="s">
        <v>0</v>
      </c>
      <c r="G909" s="18">
        <v>3218</v>
      </c>
      <c r="H909" t="s">
        <v>16</v>
      </c>
      <c r="I909" t="s">
        <v>18</v>
      </c>
    </row>
    <row r="910" spans="1:9" x14ac:dyDescent="0.25">
      <c r="A910">
        <v>1802</v>
      </c>
      <c r="B910">
        <f>A910+1</f>
        <v>1803</v>
      </c>
      <c r="C910" t="s">
        <v>509</v>
      </c>
      <c r="D910" t="s">
        <v>27</v>
      </c>
      <c r="E910" s="208" t="s">
        <v>144</v>
      </c>
      <c r="F910" t="s">
        <v>0</v>
      </c>
      <c r="G910" s="18">
        <v>153</v>
      </c>
      <c r="H910" t="s">
        <v>16</v>
      </c>
      <c r="I910" t="s">
        <v>18</v>
      </c>
    </row>
    <row r="911" spans="1:9" x14ac:dyDescent="0.25">
      <c r="A911">
        <v>1802</v>
      </c>
      <c r="B911">
        <f>A911+1</f>
        <v>1803</v>
      </c>
      <c r="C911" t="s">
        <v>509</v>
      </c>
      <c r="D911" t="s">
        <v>27</v>
      </c>
      <c r="E911" s="208" t="s">
        <v>124</v>
      </c>
      <c r="F911" t="s">
        <v>0</v>
      </c>
      <c r="G911" s="18">
        <v>10615722</v>
      </c>
      <c r="H911" t="s">
        <v>16</v>
      </c>
      <c r="I911" t="s">
        <v>18</v>
      </c>
    </row>
    <row r="912" spans="1:9" x14ac:dyDescent="0.25">
      <c r="A912">
        <v>1802</v>
      </c>
      <c r="B912">
        <f>A912+1</f>
        <v>1803</v>
      </c>
      <c r="C912" t="s">
        <v>509</v>
      </c>
      <c r="D912" t="s">
        <v>27</v>
      </c>
      <c r="E912" s="208" t="s">
        <v>155</v>
      </c>
      <c r="F912" t="s">
        <v>1</v>
      </c>
      <c r="G912" s="18">
        <v>2023</v>
      </c>
      <c r="H912" t="s">
        <v>16</v>
      </c>
      <c r="I912" t="s">
        <v>21</v>
      </c>
    </row>
    <row r="913" spans="1:9" x14ac:dyDescent="0.25">
      <c r="A913">
        <v>1802</v>
      </c>
      <c r="B913">
        <f>A913+1</f>
        <v>1803</v>
      </c>
      <c r="C913" t="s">
        <v>509</v>
      </c>
      <c r="D913" t="s">
        <v>27</v>
      </c>
      <c r="E913" s="208" t="s">
        <v>156</v>
      </c>
      <c r="F913" t="s">
        <v>1</v>
      </c>
      <c r="G913" s="18">
        <v>472</v>
      </c>
      <c r="H913" t="s">
        <v>16</v>
      </c>
      <c r="I913" t="s">
        <v>21</v>
      </c>
    </row>
    <row r="914" spans="1:9" x14ac:dyDescent="0.25">
      <c r="A914">
        <v>1802</v>
      </c>
      <c r="B914">
        <f>A914+1</f>
        <v>1803</v>
      </c>
      <c r="C914" t="s">
        <v>509</v>
      </c>
      <c r="D914" t="s">
        <v>27</v>
      </c>
      <c r="E914" s="208" t="s">
        <v>154</v>
      </c>
      <c r="F914" t="s">
        <v>1</v>
      </c>
      <c r="G914" s="18">
        <v>681</v>
      </c>
      <c r="H914" t="s">
        <v>16</v>
      </c>
      <c r="I914" t="s">
        <v>21</v>
      </c>
    </row>
    <row r="915" spans="1:9" x14ac:dyDescent="0.25">
      <c r="A915">
        <v>1802</v>
      </c>
      <c r="B915">
        <f>A915+1</f>
        <v>1803</v>
      </c>
      <c r="C915" t="s">
        <v>509</v>
      </c>
      <c r="D915" t="s">
        <v>27</v>
      </c>
      <c r="E915" s="208" t="s">
        <v>150</v>
      </c>
      <c r="F915" t="s">
        <v>1</v>
      </c>
      <c r="G915" s="18">
        <v>2091</v>
      </c>
      <c r="H915" t="s">
        <v>16</v>
      </c>
      <c r="I915" t="s">
        <v>21</v>
      </c>
    </row>
    <row r="916" spans="1:9" x14ac:dyDescent="0.25">
      <c r="A916">
        <v>1802</v>
      </c>
      <c r="B916">
        <f>A916+1</f>
        <v>1803</v>
      </c>
      <c r="C916" t="s">
        <v>509</v>
      </c>
      <c r="D916" t="s">
        <v>27</v>
      </c>
      <c r="E916" s="208" t="s">
        <v>148</v>
      </c>
      <c r="F916" t="s">
        <v>1</v>
      </c>
      <c r="G916" s="18">
        <v>190</v>
      </c>
      <c r="H916" t="s">
        <v>16</v>
      </c>
      <c r="I916" t="s">
        <v>21</v>
      </c>
    </row>
    <row r="917" spans="1:9" x14ac:dyDescent="0.25">
      <c r="A917">
        <v>1802</v>
      </c>
      <c r="B917">
        <f>A917+1</f>
        <v>1803</v>
      </c>
      <c r="C917" t="s">
        <v>509</v>
      </c>
      <c r="D917" t="s">
        <v>27</v>
      </c>
      <c r="E917" s="208" t="s">
        <v>130</v>
      </c>
      <c r="F917" t="s">
        <v>1</v>
      </c>
      <c r="G917" s="18">
        <v>245</v>
      </c>
      <c r="H917" t="s">
        <v>16</v>
      </c>
      <c r="I917" t="s">
        <v>21</v>
      </c>
    </row>
    <row r="918" spans="1:9" x14ac:dyDescent="0.25">
      <c r="A918">
        <v>1802</v>
      </c>
      <c r="B918">
        <f>A918+1</f>
        <v>1803</v>
      </c>
      <c r="C918" t="s">
        <v>509</v>
      </c>
      <c r="D918" t="s">
        <v>27</v>
      </c>
      <c r="E918" s="208" t="s">
        <v>132</v>
      </c>
      <c r="F918" t="s">
        <v>1</v>
      </c>
      <c r="G918" s="18">
        <v>4</v>
      </c>
      <c r="H918" t="s">
        <v>16</v>
      </c>
      <c r="I918" t="s">
        <v>21</v>
      </c>
    </row>
    <row r="919" spans="1:9" x14ac:dyDescent="0.25">
      <c r="A919">
        <v>1802</v>
      </c>
      <c r="B919">
        <f>A919+1</f>
        <v>1803</v>
      </c>
      <c r="C919" t="s">
        <v>509</v>
      </c>
      <c r="D919" t="s">
        <v>27</v>
      </c>
      <c r="E919" s="208" t="s">
        <v>142</v>
      </c>
      <c r="F919" t="s">
        <v>1</v>
      </c>
      <c r="G919" s="18">
        <v>115</v>
      </c>
      <c r="H919" t="s">
        <v>16</v>
      </c>
      <c r="I919" t="s">
        <v>21</v>
      </c>
    </row>
    <row r="920" spans="1:9" x14ac:dyDescent="0.25">
      <c r="A920">
        <v>1802</v>
      </c>
      <c r="B920">
        <f>A920+1</f>
        <v>1803</v>
      </c>
      <c r="C920" t="s">
        <v>509</v>
      </c>
      <c r="D920" t="s">
        <v>27</v>
      </c>
      <c r="E920" s="208" t="s">
        <v>144</v>
      </c>
      <c r="F920" t="s">
        <v>1</v>
      </c>
      <c r="G920" s="18">
        <v>30</v>
      </c>
      <c r="H920" t="s">
        <v>16</v>
      </c>
      <c r="I920" t="s">
        <v>21</v>
      </c>
    </row>
    <row r="921" spans="1:9" x14ac:dyDescent="0.25">
      <c r="A921">
        <v>1802</v>
      </c>
      <c r="B921">
        <f>A921+1</f>
        <v>1803</v>
      </c>
      <c r="C921" t="s">
        <v>509</v>
      </c>
      <c r="D921" t="s">
        <v>27</v>
      </c>
      <c r="E921" s="208" t="s">
        <v>124</v>
      </c>
      <c r="F921" t="s">
        <v>1</v>
      </c>
      <c r="G921" s="18">
        <v>60173</v>
      </c>
      <c r="H921" t="s">
        <v>16</v>
      </c>
      <c r="I921" t="s">
        <v>21</v>
      </c>
    </row>
    <row r="922" spans="1:9" x14ac:dyDescent="0.25">
      <c r="A922">
        <v>1802</v>
      </c>
      <c r="B922">
        <f>A922+1</f>
        <v>1803</v>
      </c>
      <c r="C922" t="s">
        <v>509</v>
      </c>
      <c r="D922" t="s">
        <v>27</v>
      </c>
      <c r="E922" s="208" t="s">
        <v>155</v>
      </c>
      <c r="F922" t="s">
        <v>6</v>
      </c>
      <c r="G922" s="18">
        <v>0</v>
      </c>
      <c r="H922" t="s">
        <v>16</v>
      </c>
      <c r="I922" t="s">
        <v>25</v>
      </c>
    </row>
    <row r="923" spans="1:9" x14ac:dyDescent="0.25">
      <c r="A923">
        <v>1802</v>
      </c>
      <c r="B923">
        <f>A923+1</f>
        <v>1803</v>
      </c>
      <c r="C923" t="s">
        <v>509</v>
      </c>
      <c r="D923" t="s">
        <v>27</v>
      </c>
      <c r="E923" s="208" t="s">
        <v>156</v>
      </c>
      <c r="F923" t="s">
        <v>6</v>
      </c>
      <c r="G923" s="18">
        <v>0</v>
      </c>
      <c r="H923" t="s">
        <v>16</v>
      </c>
      <c r="I923" t="s">
        <v>25</v>
      </c>
    </row>
    <row r="924" spans="1:9" x14ac:dyDescent="0.25">
      <c r="A924">
        <v>1802</v>
      </c>
      <c r="B924">
        <f>A924+1</f>
        <v>1803</v>
      </c>
      <c r="C924" t="s">
        <v>509</v>
      </c>
      <c r="D924" t="s">
        <v>27</v>
      </c>
      <c r="E924" s="208" t="s">
        <v>154</v>
      </c>
      <c r="F924" t="s">
        <v>6</v>
      </c>
      <c r="G924" s="18">
        <v>0</v>
      </c>
      <c r="H924" t="s">
        <v>16</v>
      </c>
      <c r="I924" t="s">
        <v>25</v>
      </c>
    </row>
    <row r="925" spans="1:9" x14ac:dyDescent="0.25">
      <c r="A925">
        <v>1802</v>
      </c>
      <c r="B925">
        <f>A925+1</f>
        <v>1803</v>
      </c>
      <c r="C925" t="s">
        <v>509</v>
      </c>
      <c r="D925" t="s">
        <v>27</v>
      </c>
      <c r="E925" s="208" t="s">
        <v>150</v>
      </c>
      <c r="F925" t="s">
        <v>6</v>
      </c>
      <c r="G925" s="18">
        <v>409</v>
      </c>
      <c r="H925" t="s">
        <v>16</v>
      </c>
      <c r="I925" t="s">
        <v>25</v>
      </c>
    </row>
    <row r="926" spans="1:9" x14ac:dyDescent="0.25">
      <c r="A926">
        <v>1802</v>
      </c>
      <c r="B926">
        <f>A926+1</f>
        <v>1803</v>
      </c>
      <c r="C926" t="s">
        <v>509</v>
      </c>
      <c r="D926" t="s">
        <v>27</v>
      </c>
      <c r="E926" s="208" t="s">
        <v>148</v>
      </c>
      <c r="F926" t="s">
        <v>6</v>
      </c>
      <c r="G926" s="18">
        <v>0</v>
      </c>
      <c r="H926" t="s">
        <v>16</v>
      </c>
      <c r="I926" t="s">
        <v>25</v>
      </c>
    </row>
    <row r="927" spans="1:9" x14ac:dyDescent="0.25">
      <c r="A927">
        <v>1802</v>
      </c>
      <c r="B927">
        <f>A927+1</f>
        <v>1803</v>
      </c>
      <c r="C927" t="s">
        <v>509</v>
      </c>
      <c r="D927" t="s">
        <v>27</v>
      </c>
      <c r="E927" s="208" t="s">
        <v>130</v>
      </c>
      <c r="F927" t="s">
        <v>6</v>
      </c>
      <c r="G927" s="18">
        <v>0</v>
      </c>
      <c r="H927" t="s">
        <v>16</v>
      </c>
      <c r="I927" t="s">
        <v>25</v>
      </c>
    </row>
    <row r="928" spans="1:9" x14ac:dyDescent="0.25">
      <c r="A928">
        <v>1802</v>
      </c>
      <c r="B928">
        <f>A928+1</f>
        <v>1803</v>
      </c>
      <c r="C928" t="s">
        <v>509</v>
      </c>
      <c r="D928" t="s">
        <v>27</v>
      </c>
      <c r="E928" s="208" t="s">
        <v>132</v>
      </c>
      <c r="F928" t="s">
        <v>6</v>
      </c>
      <c r="G928" s="18">
        <v>0</v>
      </c>
      <c r="H928" t="s">
        <v>16</v>
      </c>
      <c r="I928" t="s">
        <v>25</v>
      </c>
    </row>
    <row r="929" spans="1:9" x14ac:dyDescent="0.25">
      <c r="A929">
        <v>1802</v>
      </c>
      <c r="B929">
        <f>A929+1</f>
        <v>1803</v>
      </c>
      <c r="C929" t="s">
        <v>509</v>
      </c>
      <c r="D929" t="s">
        <v>27</v>
      </c>
      <c r="E929" s="208" t="s">
        <v>142</v>
      </c>
      <c r="F929" t="s">
        <v>6</v>
      </c>
      <c r="G929" s="18">
        <v>0</v>
      </c>
      <c r="H929" t="s">
        <v>16</v>
      </c>
      <c r="I929" t="s">
        <v>25</v>
      </c>
    </row>
    <row r="930" spans="1:9" x14ac:dyDescent="0.25">
      <c r="A930">
        <v>1802</v>
      </c>
      <c r="B930">
        <f>A930+1</f>
        <v>1803</v>
      </c>
      <c r="C930" t="s">
        <v>509</v>
      </c>
      <c r="D930" t="s">
        <v>27</v>
      </c>
      <c r="E930" s="208" t="s">
        <v>144</v>
      </c>
      <c r="F930" t="s">
        <v>6</v>
      </c>
      <c r="G930" s="18">
        <v>0</v>
      </c>
      <c r="H930" t="s">
        <v>16</v>
      </c>
      <c r="I930" t="s">
        <v>25</v>
      </c>
    </row>
    <row r="931" spans="1:9" x14ac:dyDescent="0.25">
      <c r="A931">
        <v>1802</v>
      </c>
      <c r="B931">
        <f>A931+1</f>
        <v>1803</v>
      </c>
      <c r="C931" t="s">
        <v>509</v>
      </c>
      <c r="D931" t="s">
        <v>27</v>
      </c>
      <c r="E931" s="208" t="s">
        <v>124</v>
      </c>
      <c r="F931" t="s">
        <v>6</v>
      </c>
      <c r="G931" s="18">
        <v>0</v>
      </c>
      <c r="H931" t="s">
        <v>16</v>
      </c>
      <c r="I931" t="s">
        <v>25</v>
      </c>
    </row>
    <row r="932" spans="1:9" x14ac:dyDescent="0.25">
      <c r="A932">
        <v>1802</v>
      </c>
      <c r="B932">
        <f>A932+1</f>
        <v>1803</v>
      </c>
      <c r="C932" t="s">
        <v>509</v>
      </c>
      <c r="D932" t="s">
        <v>27</v>
      </c>
      <c r="E932" s="208" t="s">
        <v>155</v>
      </c>
      <c r="F932" t="s">
        <v>4</v>
      </c>
      <c r="G932" s="18">
        <v>966</v>
      </c>
      <c r="H932" t="s">
        <v>16</v>
      </c>
      <c r="I932" t="s">
        <v>23</v>
      </c>
    </row>
    <row r="933" spans="1:9" x14ac:dyDescent="0.25">
      <c r="A933">
        <v>1802</v>
      </c>
      <c r="B933">
        <f>A933+1</f>
        <v>1803</v>
      </c>
      <c r="C933" t="s">
        <v>509</v>
      </c>
      <c r="D933" t="s">
        <v>27</v>
      </c>
      <c r="E933" s="208" t="s">
        <v>156</v>
      </c>
      <c r="F933" t="s">
        <v>4</v>
      </c>
      <c r="G933" s="18">
        <v>121</v>
      </c>
      <c r="H933" t="s">
        <v>16</v>
      </c>
      <c r="I933" t="s">
        <v>23</v>
      </c>
    </row>
    <row r="934" spans="1:9" x14ac:dyDescent="0.25">
      <c r="A934">
        <v>1802</v>
      </c>
      <c r="B934">
        <f>A934+1</f>
        <v>1803</v>
      </c>
      <c r="C934" t="s">
        <v>509</v>
      </c>
      <c r="D934" t="s">
        <v>27</v>
      </c>
      <c r="E934" s="208" t="s">
        <v>154</v>
      </c>
      <c r="F934" t="s">
        <v>4</v>
      </c>
      <c r="G934" s="18">
        <v>174</v>
      </c>
      <c r="H934" t="s">
        <v>16</v>
      </c>
      <c r="I934" t="s">
        <v>23</v>
      </c>
    </row>
    <row r="935" spans="1:9" x14ac:dyDescent="0.25">
      <c r="A935">
        <v>1802</v>
      </c>
      <c r="B935">
        <f>A935+1</f>
        <v>1803</v>
      </c>
      <c r="C935" t="s">
        <v>509</v>
      </c>
      <c r="D935" t="s">
        <v>27</v>
      </c>
      <c r="E935" s="208" t="s">
        <v>150</v>
      </c>
      <c r="F935" t="s">
        <v>4</v>
      </c>
      <c r="G935" s="18">
        <v>2935</v>
      </c>
      <c r="H935" t="s">
        <v>16</v>
      </c>
      <c r="I935" t="s">
        <v>23</v>
      </c>
    </row>
    <row r="936" spans="1:9" x14ac:dyDescent="0.25">
      <c r="A936">
        <v>1802</v>
      </c>
      <c r="B936">
        <f>A936+1</f>
        <v>1803</v>
      </c>
      <c r="C936" t="s">
        <v>509</v>
      </c>
      <c r="D936" t="s">
        <v>27</v>
      </c>
      <c r="E936" s="208" t="s">
        <v>148</v>
      </c>
      <c r="F936" t="s">
        <v>4</v>
      </c>
      <c r="G936" s="18">
        <v>38</v>
      </c>
      <c r="H936" t="s">
        <v>16</v>
      </c>
      <c r="I936" t="s">
        <v>23</v>
      </c>
    </row>
    <row r="937" spans="1:9" x14ac:dyDescent="0.25">
      <c r="A937">
        <v>1802</v>
      </c>
      <c r="B937">
        <f>A937+1</f>
        <v>1803</v>
      </c>
      <c r="C937" t="s">
        <v>509</v>
      </c>
      <c r="D937" t="s">
        <v>27</v>
      </c>
      <c r="E937" s="208" t="s">
        <v>130</v>
      </c>
      <c r="F937" t="s">
        <v>4</v>
      </c>
      <c r="G937" s="18">
        <v>1712</v>
      </c>
      <c r="H937" t="s">
        <v>16</v>
      </c>
      <c r="I937" t="s">
        <v>23</v>
      </c>
    </row>
    <row r="938" spans="1:9" x14ac:dyDescent="0.25">
      <c r="A938">
        <v>1802</v>
      </c>
      <c r="B938">
        <f>A938+1</f>
        <v>1803</v>
      </c>
      <c r="C938" t="s">
        <v>509</v>
      </c>
      <c r="D938" t="s">
        <v>27</v>
      </c>
      <c r="E938" s="208" t="s">
        <v>132</v>
      </c>
      <c r="F938" t="s">
        <v>4</v>
      </c>
      <c r="G938" s="18">
        <v>29</v>
      </c>
      <c r="H938" t="s">
        <v>16</v>
      </c>
      <c r="I938" t="s">
        <v>23</v>
      </c>
    </row>
    <row r="939" spans="1:9" x14ac:dyDescent="0.25">
      <c r="A939">
        <v>1802</v>
      </c>
      <c r="B939">
        <f>A939+1</f>
        <v>1803</v>
      </c>
      <c r="C939" t="s">
        <v>509</v>
      </c>
      <c r="D939" t="s">
        <v>27</v>
      </c>
      <c r="E939" s="208" t="s">
        <v>142</v>
      </c>
      <c r="F939" t="s">
        <v>4</v>
      </c>
      <c r="G939" s="18">
        <v>2545</v>
      </c>
      <c r="H939" t="s">
        <v>16</v>
      </c>
      <c r="I939" t="s">
        <v>23</v>
      </c>
    </row>
    <row r="940" spans="1:9" x14ac:dyDescent="0.25">
      <c r="A940">
        <v>1802</v>
      </c>
      <c r="B940">
        <f>A940+1</f>
        <v>1803</v>
      </c>
      <c r="C940" t="s">
        <v>509</v>
      </c>
      <c r="D940" t="s">
        <v>27</v>
      </c>
      <c r="E940" s="208" t="s">
        <v>144</v>
      </c>
      <c r="F940" t="s">
        <v>4</v>
      </c>
      <c r="G940" s="18">
        <v>188</v>
      </c>
      <c r="H940" t="s">
        <v>16</v>
      </c>
      <c r="I940" t="s">
        <v>23</v>
      </c>
    </row>
    <row r="941" spans="1:9" x14ac:dyDescent="0.25">
      <c r="A941">
        <v>1802</v>
      </c>
      <c r="B941">
        <f>A941+1</f>
        <v>1803</v>
      </c>
      <c r="C941" t="s">
        <v>509</v>
      </c>
      <c r="D941" t="s">
        <v>27</v>
      </c>
      <c r="E941" s="208" t="s">
        <v>124</v>
      </c>
      <c r="F941" t="s">
        <v>4</v>
      </c>
      <c r="G941" s="18">
        <v>1720321</v>
      </c>
      <c r="H941" t="s">
        <v>16</v>
      </c>
      <c r="I941" t="s">
        <v>23</v>
      </c>
    </row>
    <row r="942" spans="1:9" x14ac:dyDescent="0.25">
      <c r="A942">
        <v>1802</v>
      </c>
      <c r="B942">
        <f>A942+1</f>
        <v>1803</v>
      </c>
      <c r="C942" t="s">
        <v>509</v>
      </c>
      <c r="D942" t="s">
        <v>27</v>
      </c>
      <c r="E942" s="208" t="s">
        <v>139</v>
      </c>
      <c r="F942" t="s">
        <v>4</v>
      </c>
      <c r="G942" s="18">
        <v>12</v>
      </c>
      <c r="H942" t="s">
        <v>16</v>
      </c>
      <c r="I942" t="s">
        <v>23</v>
      </c>
    </row>
    <row r="943" spans="1:9" x14ac:dyDescent="0.25">
      <c r="A943">
        <v>1802</v>
      </c>
      <c r="B943">
        <f>A943+1</f>
        <v>1803</v>
      </c>
      <c r="C943" t="s">
        <v>509</v>
      </c>
      <c r="D943" t="s">
        <v>26</v>
      </c>
      <c r="E943" s="208" t="s">
        <v>58</v>
      </c>
      <c r="F943" t="s">
        <v>4</v>
      </c>
      <c r="G943" s="18">
        <v>102</v>
      </c>
      <c r="H943" t="s">
        <v>23</v>
      </c>
      <c r="I943" t="s">
        <v>16</v>
      </c>
    </row>
    <row r="944" spans="1:9" x14ac:dyDescent="0.25">
      <c r="A944">
        <v>1802</v>
      </c>
      <c r="B944">
        <f>A944+1</f>
        <v>1803</v>
      </c>
      <c r="C944" t="s">
        <v>509</v>
      </c>
      <c r="D944" t="s">
        <v>26</v>
      </c>
      <c r="E944" s="208" t="s">
        <v>57</v>
      </c>
      <c r="F944" t="s">
        <v>4</v>
      </c>
      <c r="G944" s="18">
        <v>107664.5</v>
      </c>
      <c r="H944" t="s">
        <v>23</v>
      </c>
      <c r="I944" t="s">
        <v>16</v>
      </c>
    </row>
    <row r="945" spans="1:9" x14ac:dyDescent="0.25">
      <c r="A945">
        <v>1802</v>
      </c>
      <c r="B945">
        <f>A945+1</f>
        <v>1803</v>
      </c>
      <c r="C945" t="s">
        <v>509</v>
      </c>
      <c r="D945" t="s">
        <v>26</v>
      </c>
      <c r="E945" s="208" t="s">
        <v>35</v>
      </c>
      <c r="F945" t="s">
        <v>4</v>
      </c>
      <c r="G945" s="18">
        <v>9007</v>
      </c>
      <c r="H945" t="s">
        <v>23</v>
      </c>
      <c r="I945" t="s">
        <v>16</v>
      </c>
    </row>
    <row r="946" spans="1:9" x14ac:dyDescent="0.25">
      <c r="A946">
        <v>1802</v>
      </c>
      <c r="B946">
        <f>A946+1</f>
        <v>1803</v>
      </c>
      <c r="C946" t="s">
        <v>509</v>
      </c>
      <c r="D946" t="s">
        <v>26</v>
      </c>
      <c r="E946" s="208" t="s">
        <v>36</v>
      </c>
      <c r="F946" t="s">
        <v>4</v>
      </c>
      <c r="G946" s="18">
        <v>4424.5</v>
      </c>
      <c r="H946" t="s">
        <v>23</v>
      </c>
      <c r="I946" t="s">
        <v>16</v>
      </c>
    </row>
    <row r="947" spans="1:9" x14ac:dyDescent="0.25">
      <c r="A947">
        <v>1802</v>
      </c>
      <c r="B947">
        <f>A947+1</f>
        <v>1803</v>
      </c>
      <c r="C947" t="s">
        <v>509</v>
      </c>
      <c r="D947" t="s">
        <v>26</v>
      </c>
      <c r="E947" s="208" t="s">
        <v>39</v>
      </c>
      <c r="F947" t="s">
        <v>4</v>
      </c>
      <c r="G947" s="18">
        <v>1777</v>
      </c>
      <c r="H947" t="s">
        <v>23</v>
      </c>
      <c r="I947" t="s">
        <v>16</v>
      </c>
    </row>
    <row r="948" spans="1:9" x14ac:dyDescent="0.25">
      <c r="A948">
        <v>1802</v>
      </c>
      <c r="B948">
        <f>A948+1</f>
        <v>1803</v>
      </c>
      <c r="C948" t="s">
        <v>509</v>
      </c>
      <c r="D948" t="s">
        <v>26</v>
      </c>
      <c r="E948" s="208" t="s">
        <v>99</v>
      </c>
      <c r="F948" t="s">
        <v>4</v>
      </c>
      <c r="G948" s="18">
        <v>2818.5</v>
      </c>
      <c r="H948" t="s">
        <v>23</v>
      </c>
      <c r="I948" t="s">
        <v>16</v>
      </c>
    </row>
    <row r="949" spans="1:9" x14ac:dyDescent="0.25">
      <c r="A949">
        <v>1802</v>
      </c>
      <c r="B949">
        <f>A949+1</f>
        <v>1803</v>
      </c>
      <c r="C949" t="s">
        <v>509</v>
      </c>
      <c r="D949" t="s">
        <v>26</v>
      </c>
      <c r="E949" s="208" t="s">
        <v>28</v>
      </c>
      <c r="F949" t="s">
        <v>4</v>
      </c>
      <c r="G949" s="18">
        <v>3974</v>
      </c>
      <c r="H949" t="s">
        <v>23</v>
      </c>
      <c r="I949" t="s">
        <v>16</v>
      </c>
    </row>
    <row r="950" spans="1:9" x14ac:dyDescent="0.25">
      <c r="A950">
        <v>1802</v>
      </c>
      <c r="B950">
        <f>A950+1</f>
        <v>1803</v>
      </c>
      <c r="C950" t="s">
        <v>509</v>
      </c>
      <c r="D950" t="s">
        <v>26</v>
      </c>
      <c r="E950" s="208" t="s">
        <v>89</v>
      </c>
      <c r="F950" t="s">
        <v>4</v>
      </c>
      <c r="G950" s="18">
        <v>9963.5</v>
      </c>
      <c r="H950" t="s">
        <v>23</v>
      </c>
      <c r="I950" t="s">
        <v>16</v>
      </c>
    </row>
    <row r="951" spans="1:9" x14ac:dyDescent="0.25">
      <c r="A951">
        <v>1802</v>
      </c>
      <c r="B951">
        <f>A951+1</f>
        <v>1803</v>
      </c>
      <c r="C951" t="s">
        <v>509</v>
      </c>
      <c r="D951" t="s">
        <v>26</v>
      </c>
      <c r="E951" s="208" t="s">
        <v>45</v>
      </c>
      <c r="F951" t="s">
        <v>4</v>
      </c>
      <c r="G951" s="18">
        <v>1188</v>
      </c>
      <c r="H951" t="s">
        <v>23</v>
      </c>
      <c r="I951" t="s">
        <v>16</v>
      </c>
    </row>
    <row r="952" spans="1:9" x14ac:dyDescent="0.25">
      <c r="A952">
        <v>1802</v>
      </c>
      <c r="B952">
        <f>A952+1</f>
        <v>1803</v>
      </c>
      <c r="C952" t="s">
        <v>509</v>
      </c>
      <c r="D952" t="s">
        <v>26</v>
      </c>
      <c r="E952" s="208" t="s">
        <v>323</v>
      </c>
      <c r="F952" t="s">
        <v>4</v>
      </c>
      <c r="G952" s="18">
        <v>882</v>
      </c>
      <c r="H952" t="s">
        <v>23</v>
      </c>
      <c r="I952" t="s">
        <v>16</v>
      </c>
    </row>
    <row r="953" spans="1:9" x14ac:dyDescent="0.25">
      <c r="A953">
        <v>1802</v>
      </c>
      <c r="B953">
        <f>A953+1</f>
        <v>1803</v>
      </c>
      <c r="C953" t="s">
        <v>509</v>
      </c>
      <c r="D953" t="s">
        <v>26</v>
      </c>
      <c r="E953" s="208" t="s">
        <v>277</v>
      </c>
      <c r="F953" t="s">
        <v>4</v>
      </c>
      <c r="G953" s="18">
        <v>5676</v>
      </c>
      <c r="H953" t="s">
        <v>23</v>
      </c>
      <c r="I953" t="s">
        <v>16</v>
      </c>
    </row>
    <row r="954" spans="1:9" x14ac:dyDescent="0.25">
      <c r="A954">
        <v>1802</v>
      </c>
      <c r="B954">
        <f>A954+1</f>
        <v>1803</v>
      </c>
      <c r="C954" t="s">
        <v>509</v>
      </c>
      <c r="D954" t="s">
        <v>26</v>
      </c>
      <c r="E954" s="208" t="s">
        <v>54</v>
      </c>
      <c r="F954" t="s">
        <v>4</v>
      </c>
      <c r="G954" s="18">
        <v>710</v>
      </c>
      <c r="H954" t="s">
        <v>23</v>
      </c>
      <c r="I954" t="s">
        <v>16</v>
      </c>
    </row>
    <row r="955" spans="1:9" x14ac:dyDescent="0.25">
      <c r="A955">
        <v>1802</v>
      </c>
      <c r="B955">
        <f>A955+1</f>
        <v>1803</v>
      </c>
      <c r="C955" t="s">
        <v>509</v>
      </c>
      <c r="D955" t="s">
        <v>26</v>
      </c>
      <c r="E955" s="208" t="s">
        <v>53</v>
      </c>
      <c r="F955" t="s">
        <v>4</v>
      </c>
      <c r="G955" s="18">
        <v>69672</v>
      </c>
      <c r="H955" t="s">
        <v>23</v>
      </c>
      <c r="I955" t="s">
        <v>16</v>
      </c>
    </row>
    <row r="956" spans="1:9" x14ac:dyDescent="0.25">
      <c r="A956">
        <v>1802</v>
      </c>
      <c r="B956">
        <f>A956+1</f>
        <v>1803</v>
      </c>
      <c r="C956" t="s">
        <v>509</v>
      </c>
      <c r="D956" t="s">
        <v>26</v>
      </c>
      <c r="E956" s="208" t="s">
        <v>75</v>
      </c>
      <c r="F956" t="s">
        <v>4</v>
      </c>
      <c r="G956" s="18">
        <v>6310071</v>
      </c>
      <c r="H956" t="s">
        <v>23</v>
      </c>
      <c r="I956" t="s">
        <v>16</v>
      </c>
    </row>
    <row r="957" spans="1:9" x14ac:dyDescent="0.25">
      <c r="A957">
        <v>1802</v>
      </c>
      <c r="B957">
        <f>A957+1</f>
        <v>1803</v>
      </c>
      <c r="C957" t="s">
        <v>509</v>
      </c>
      <c r="D957" t="s">
        <v>26</v>
      </c>
      <c r="E957" s="208" t="s">
        <v>276</v>
      </c>
      <c r="F957" t="s">
        <v>4</v>
      </c>
      <c r="G957" s="18">
        <v>2107562</v>
      </c>
      <c r="H957" t="s">
        <v>23</v>
      </c>
      <c r="I957" t="s">
        <v>16</v>
      </c>
    </row>
    <row r="958" spans="1:9" x14ac:dyDescent="0.25">
      <c r="A958">
        <v>1802</v>
      </c>
      <c r="B958">
        <f>A958+1</f>
        <v>1803</v>
      </c>
      <c r="C958" t="s">
        <v>509</v>
      </c>
      <c r="D958" t="s">
        <v>26</v>
      </c>
      <c r="E958" s="208" t="s">
        <v>101</v>
      </c>
      <c r="F958" t="s">
        <v>4</v>
      </c>
      <c r="G958" s="18">
        <v>6684772</v>
      </c>
      <c r="H958" t="s">
        <v>23</v>
      </c>
      <c r="I958" t="s">
        <v>16</v>
      </c>
    </row>
    <row r="959" spans="1:9" x14ac:dyDescent="0.25">
      <c r="A959">
        <v>1802</v>
      </c>
      <c r="B959">
        <f>A959+1</f>
        <v>1803</v>
      </c>
      <c r="C959" t="s">
        <v>509</v>
      </c>
      <c r="D959" t="s">
        <v>27</v>
      </c>
      <c r="E959" s="208" t="s">
        <v>155</v>
      </c>
      <c r="F959" t="s">
        <v>7</v>
      </c>
      <c r="G959" s="18">
        <v>43808</v>
      </c>
      <c r="H959" t="s">
        <v>16</v>
      </c>
      <c r="I959" s="151" t="s">
        <v>562</v>
      </c>
    </row>
    <row r="960" spans="1:9" x14ac:dyDescent="0.25">
      <c r="A960">
        <v>1802</v>
      </c>
      <c r="B960">
        <f>A960+1</f>
        <v>1803</v>
      </c>
      <c r="C960" t="s">
        <v>509</v>
      </c>
      <c r="D960" t="s">
        <v>27</v>
      </c>
      <c r="E960" s="208" t="s">
        <v>156</v>
      </c>
      <c r="F960" t="s">
        <v>7</v>
      </c>
      <c r="G960" s="18">
        <v>4029</v>
      </c>
      <c r="H960" t="s">
        <v>16</v>
      </c>
      <c r="I960" s="151" t="s">
        <v>562</v>
      </c>
    </row>
    <row r="961" spans="1:9" x14ac:dyDescent="0.25">
      <c r="A961">
        <v>1802</v>
      </c>
      <c r="B961">
        <f>A961+1</f>
        <v>1803</v>
      </c>
      <c r="C961" t="s">
        <v>509</v>
      </c>
      <c r="D961" t="s">
        <v>27</v>
      </c>
      <c r="E961" s="208" t="s">
        <v>154</v>
      </c>
      <c r="F961" t="s">
        <v>7</v>
      </c>
      <c r="G961" s="18">
        <v>1589</v>
      </c>
      <c r="H961" t="s">
        <v>16</v>
      </c>
      <c r="I961" s="151" t="s">
        <v>562</v>
      </c>
    </row>
    <row r="962" spans="1:9" x14ac:dyDescent="0.25">
      <c r="A962">
        <v>1802</v>
      </c>
      <c r="B962">
        <f>A962+1</f>
        <v>1803</v>
      </c>
      <c r="C962" t="s">
        <v>509</v>
      </c>
      <c r="D962" t="s">
        <v>27</v>
      </c>
      <c r="E962" s="208" t="s">
        <v>150</v>
      </c>
      <c r="F962" t="s">
        <v>7</v>
      </c>
      <c r="G962" s="18">
        <v>16030</v>
      </c>
      <c r="H962" t="s">
        <v>16</v>
      </c>
      <c r="I962" s="151" t="s">
        <v>562</v>
      </c>
    </row>
    <row r="963" spans="1:9" x14ac:dyDescent="0.25">
      <c r="A963">
        <v>1802</v>
      </c>
      <c r="B963">
        <f>A963+1</f>
        <v>1803</v>
      </c>
      <c r="C963" t="s">
        <v>509</v>
      </c>
      <c r="D963" t="s">
        <v>27</v>
      </c>
      <c r="E963" s="208" t="s">
        <v>148</v>
      </c>
      <c r="F963" t="s">
        <v>7</v>
      </c>
      <c r="G963" s="18">
        <v>917</v>
      </c>
      <c r="H963" t="s">
        <v>16</v>
      </c>
      <c r="I963" s="151" t="s">
        <v>562</v>
      </c>
    </row>
    <row r="964" spans="1:9" x14ac:dyDescent="0.25">
      <c r="A964">
        <v>1802</v>
      </c>
      <c r="B964">
        <f>A964+1</f>
        <v>1803</v>
      </c>
      <c r="C964" t="s">
        <v>509</v>
      </c>
      <c r="D964" t="s">
        <v>27</v>
      </c>
      <c r="E964" s="208" t="s">
        <v>130</v>
      </c>
      <c r="F964" t="s">
        <v>7</v>
      </c>
      <c r="G964" s="18">
        <v>2090</v>
      </c>
      <c r="H964" t="s">
        <v>16</v>
      </c>
      <c r="I964" s="151" t="s">
        <v>562</v>
      </c>
    </row>
    <row r="965" spans="1:9" x14ac:dyDescent="0.25">
      <c r="A965">
        <v>1802</v>
      </c>
      <c r="B965">
        <f>A965+1</f>
        <v>1803</v>
      </c>
      <c r="C965" t="s">
        <v>509</v>
      </c>
      <c r="D965" t="s">
        <v>27</v>
      </c>
      <c r="E965" s="208" t="s">
        <v>132</v>
      </c>
      <c r="F965" t="s">
        <v>7</v>
      </c>
      <c r="G965" s="18">
        <v>36</v>
      </c>
      <c r="H965" t="s">
        <v>16</v>
      </c>
      <c r="I965" s="151" t="s">
        <v>562</v>
      </c>
    </row>
    <row r="966" spans="1:9" x14ac:dyDescent="0.25">
      <c r="A966">
        <v>1802</v>
      </c>
      <c r="B966">
        <f>A966+1</f>
        <v>1803</v>
      </c>
      <c r="C966" t="s">
        <v>509</v>
      </c>
      <c r="D966" t="s">
        <v>27</v>
      </c>
      <c r="E966" s="208" t="s">
        <v>142</v>
      </c>
      <c r="F966" t="s">
        <v>7</v>
      </c>
      <c r="G966" s="18">
        <v>6061</v>
      </c>
      <c r="H966" t="s">
        <v>16</v>
      </c>
      <c r="I966" s="151" t="s">
        <v>562</v>
      </c>
    </row>
    <row r="967" spans="1:9" x14ac:dyDescent="0.25">
      <c r="A967">
        <v>1802</v>
      </c>
      <c r="B967">
        <f>A967+1</f>
        <v>1803</v>
      </c>
      <c r="C967" t="s">
        <v>509</v>
      </c>
      <c r="D967" t="s">
        <v>27</v>
      </c>
      <c r="E967" s="208" t="s">
        <v>144</v>
      </c>
      <c r="F967" t="s">
        <v>7</v>
      </c>
      <c r="G967" s="18">
        <v>411</v>
      </c>
      <c r="H967" t="s">
        <v>16</v>
      </c>
      <c r="I967" s="151" t="s">
        <v>562</v>
      </c>
    </row>
    <row r="968" spans="1:9" x14ac:dyDescent="0.25">
      <c r="A968">
        <v>1802</v>
      </c>
      <c r="B968">
        <f>A968+1</f>
        <v>1803</v>
      </c>
      <c r="C968" t="s">
        <v>509</v>
      </c>
      <c r="D968" t="s">
        <v>27</v>
      </c>
      <c r="E968" s="208" t="s">
        <v>124</v>
      </c>
      <c r="F968" t="s">
        <v>7</v>
      </c>
      <c r="G968" s="18">
        <v>12515352</v>
      </c>
      <c r="H968" t="s">
        <v>16</v>
      </c>
      <c r="I968" s="151" t="s">
        <v>562</v>
      </c>
    </row>
    <row r="969" spans="1:9" x14ac:dyDescent="0.25">
      <c r="A969">
        <v>1802</v>
      </c>
      <c r="B969">
        <f>A969+1</f>
        <v>1803</v>
      </c>
      <c r="C969" t="s">
        <v>509</v>
      </c>
      <c r="D969" t="s">
        <v>27</v>
      </c>
      <c r="E969" s="208" t="s">
        <v>139</v>
      </c>
      <c r="F969" t="s">
        <v>7</v>
      </c>
      <c r="G969" s="18">
        <v>32</v>
      </c>
      <c r="H969" t="s">
        <v>16</v>
      </c>
      <c r="I969" s="151" t="s">
        <v>562</v>
      </c>
    </row>
    <row r="970" spans="1:9" x14ac:dyDescent="0.25">
      <c r="A970">
        <v>1802</v>
      </c>
      <c r="B970">
        <f>A970+1</f>
        <v>1803</v>
      </c>
      <c r="C970" t="s">
        <v>509</v>
      </c>
      <c r="D970" t="s">
        <v>26</v>
      </c>
      <c r="E970" s="208" t="s">
        <v>62</v>
      </c>
      <c r="F970" t="s">
        <v>7</v>
      </c>
      <c r="G970" s="18">
        <v>478</v>
      </c>
      <c r="H970" s="151" t="s">
        <v>563</v>
      </c>
      <c r="I970" t="s">
        <v>16</v>
      </c>
    </row>
    <row r="971" spans="1:9" x14ac:dyDescent="0.25">
      <c r="A971">
        <v>1802</v>
      </c>
      <c r="B971">
        <f>A971+1</f>
        <v>1803</v>
      </c>
      <c r="C971" t="s">
        <v>509</v>
      </c>
      <c r="D971" t="s">
        <v>26</v>
      </c>
      <c r="E971" s="208" t="s">
        <v>58</v>
      </c>
      <c r="F971" t="s">
        <v>7</v>
      </c>
      <c r="G971" s="18">
        <v>102</v>
      </c>
      <c r="H971" s="151" t="s">
        <v>563</v>
      </c>
      <c r="I971" t="s">
        <v>16</v>
      </c>
    </row>
    <row r="972" spans="1:9" x14ac:dyDescent="0.25">
      <c r="A972">
        <v>1802</v>
      </c>
      <c r="B972">
        <f>A972+1</f>
        <v>1803</v>
      </c>
      <c r="C972" t="s">
        <v>509</v>
      </c>
      <c r="D972" t="s">
        <v>26</v>
      </c>
      <c r="E972" s="208" t="s">
        <v>57</v>
      </c>
      <c r="F972" t="s">
        <v>7</v>
      </c>
      <c r="G972" s="18">
        <v>107664.5</v>
      </c>
      <c r="H972" s="151" t="s">
        <v>563</v>
      </c>
      <c r="I972" t="s">
        <v>16</v>
      </c>
    </row>
    <row r="973" spans="1:9" x14ac:dyDescent="0.25">
      <c r="A973">
        <v>1802</v>
      </c>
      <c r="B973">
        <f>A973+1</f>
        <v>1803</v>
      </c>
      <c r="C973" t="s">
        <v>509</v>
      </c>
      <c r="D973" t="s">
        <v>26</v>
      </c>
      <c r="E973" s="208" t="s">
        <v>35</v>
      </c>
      <c r="F973" t="s">
        <v>7</v>
      </c>
      <c r="G973" s="18">
        <v>9007</v>
      </c>
      <c r="H973" s="151" t="s">
        <v>563</v>
      </c>
      <c r="I973" t="s">
        <v>16</v>
      </c>
    </row>
    <row r="974" spans="1:9" x14ac:dyDescent="0.25">
      <c r="A974">
        <v>1802</v>
      </c>
      <c r="B974">
        <f>A974+1</f>
        <v>1803</v>
      </c>
      <c r="C974" t="s">
        <v>509</v>
      </c>
      <c r="D974" t="s">
        <v>26</v>
      </c>
      <c r="E974" s="208" t="s">
        <v>36</v>
      </c>
      <c r="F974" t="s">
        <v>7</v>
      </c>
      <c r="G974" s="18">
        <v>4681.5</v>
      </c>
      <c r="H974" s="151" t="s">
        <v>563</v>
      </c>
      <c r="I974" t="s">
        <v>16</v>
      </c>
    </row>
    <row r="975" spans="1:9" x14ac:dyDescent="0.25">
      <c r="A975">
        <v>1802</v>
      </c>
      <c r="B975">
        <f>A975+1</f>
        <v>1803</v>
      </c>
      <c r="C975" t="s">
        <v>509</v>
      </c>
      <c r="D975" t="s">
        <v>26</v>
      </c>
      <c r="E975" s="208" t="s">
        <v>39</v>
      </c>
      <c r="F975" t="s">
        <v>7</v>
      </c>
      <c r="G975" s="18">
        <v>1777</v>
      </c>
      <c r="H975" s="151" t="s">
        <v>563</v>
      </c>
      <c r="I975" t="s">
        <v>16</v>
      </c>
    </row>
    <row r="976" spans="1:9" x14ac:dyDescent="0.25">
      <c r="A976">
        <v>1802</v>
      </c>
      <c r="B976">
        <f>A976+1</f>
        <v>1803</v>
      </c>
      <c r="C976" t="s">
        <v>509</v>
      </c>
      <c r="D976" t="s">
        <v>26</v>
      </c>
      <c r="E976" s="208" t="s">
        <v>42</v>
      </c>
      <c r="F976" t="s">
        <v>7</v>
      </c>
      <c r="G976" s="18">
        <v>679</v>
      </c>
      <c r="H976" s="151" t="s">
        <v>563</v>
      </c>
      <c r="I976" t="s">
        <v>16</v>
      </c>
    </row>
    <row r="977" spans="1:9" x14ac:dyDescent="0.25">
      <c r="A977">
        <v>1802</v>
      </c>
      <c r="B977">
        <f>A977+1</f>
        <v>1803</v>
      </c>
      <c r="C977" t="s">
        <v>509</v>
      </c>
      <c r="D977" t="s">
        <v>26</v>
      </c>
      <c r="E977" s="208" t="s">
        <v>99</v>
      </c>
      <c r="F977" t="s">
        <v>7</v>
      </c>
      <c r="G977" s="18">
        <v>2818.5</v>
      </c>
      <c r="H977" s="151" t="s">
        <v>563</v>
      </c>
      <c r="I977" t="s">
        <v>16</v>
      </c>
    </row>
    <row r="978" spans="1:9" x14ac:dyDescent="0.25">
      <c r="A978">
        <v>1802</v>
      </c>
      <c r="B978">
        <f>A978+1</f>
        <v>1803</v>
      </c>
      <c r="C978" t="s">
        <v>509</v>
      </c>
      <c r="D978" t="s">
        <v>26</v>
      </c>
      <c r="E978" s="208" t="s">
        <v>28</v>
      </c>
      <c r="F978" t="s">
        <v>7</v>
      </c>
      <c r="G978" s="18">
        <v>4059</v>
      </c>
      <c r="H978" s="151" t="s">
        <v>563</v>
      </c>
      <c r="I978" t="s">
        <v>16</v>
      </c>
    </row>
    <row r="979" spans="1:9" x14ac:dyDescent="0.25">
      <c r="A979">
        <v>1802</v>
      </c>
      <c r="B979">
        <f>A979+1</f>
        <v>1803</v>
      </c>
      <c r="C979" t="s">
        <v>509</v>
      </c>
      <c r="D979" t="s">
        <v>26</v>
      </c>
      <c r="E979" s="208" t="s">
        <v>89</v>
      </c>
      <c r="F979" t="s">
        <v>7</v>
      </c>
      <c r="G979" s="18">
        <v>10024.5</v>
      </c>
      <c r="H979" s="151" t="s">
        <v>563</v>
      </c>
      <c r="I979" t="s">
        <v>16</v>
      </c>
    </row>
    <row r="980" spans="1:9" x14ac:dyDescent="0.25">
      <c r="A980">
        <v>1802</v>
      </c>
      <c r="B980">
        <f>A980+1</f>
        <v>1803</v>
      </c>
      <c r="C980" t="s">
        <v>509</v>
      </c>
      <c r="D980" t="s">
        <v>26</v>
      </c>
      <c r="E980" s="208" t="s">
        <v>45</v>
      </c>
      <c r="F980" t="s">
        <v>7</v>
      </c>
      <c r="G980" s="18">
        <v>1244</v>
      </c>
      <c r="H980" s="151" t="s">
        <v>563</v>
      </c>
      <c r="I980" t="s">
        <v>16</v>
      </c>
    </row>
    <row r="981" spans="1:9" x14ac:dyDescent="0.25">
      <c r="A981">
        <v>1802</v>
      </c>
      <c r="B981">
        <f>A981+1</f>
        <v>1803</v>
      </c>
      <c r="C981" t="s">
        <v>509</v>
      </c>
      <c r="D981" t="s">
        <v>26</v>
      </c>
      <c r="E981" s="208" t="s">
        <v>323</v>
      </c>
      <c r="F981" t="s">
        <v>7</v>
      </c>
      <c r="G981" s="18">
        <v>882</v>
      </c>
      <c r="H981" s="151" t="s">
        <v>563</v>
      </c>
      <c r="I981" t="s">
        <v>16</v>
      </c>
    </row>
    <row r="982" spans="1:9" x14ac:dyDescent="0.25">
      <c r="A982">
        <v>1802</v>
      </c>
      <c r="B982">
        <f>A982+1</f>
        <v>1803</v>
      </c>
      <c r="C982" t="s">
        <v>509</v>
      </c>
      <c r="D982" t="s">
        <v>26</v>
      </c>
      <c r="E982" s="208" t="s">
        <v>277</v>
      </c>
      <c r="F982" t="s">
        <v>7</v>
      </c>
      <c r="G982" s="18">
        <v>5676</v>
      </c>
      <c r="H982" s="151" t="s">
        <v>563</v>
      </c>
      <c r="I982" t="s">
        <v>16</v>
      </c>
    </row>
    <row r="983" spans="1:9" x14ac:dyDescent="0.25">
      <c r="A983">
        <v>1802</v>
      </c>
      <c r="B983">
        <f>A983+1</f>
        <v>1803</v>
      </c>
      <c r="C983" t="s">
        <v>509</v>
      </c>
      <c r="D983" t="s">
        <v>26</v>
      </c>
      <c r="E983" s="208" t="s">
        <v>54</v>
      </c>
      <c r="F983" t="s">
        <v>7</v>
      </c>
      <c r="G983" s="18">
        <v>772</v>
      </c>
      <c r="H983" s="151" t="s">
        <v>563</v>
      </c>
      <c r="I983" t="s">
        <v>16</v>
      </c>
    </row>
    <row r="984" spans="1:9" x14ac:dyDescent="0.25">
      <c r="A984">
        <v>1802</v>
      </c>
      <c r="B984">
        <f>A984+1</f>
        <v>1803</v>
      </c>
      <c r="C984" t="s">
        <v>509</v>
      </c>
      <c r="D984" t="s">
        <v>26</v>
      </c>
      <c r="E984" s="208" t="s">
        <v>53</v>
      </c>
      <c r="F984" t="s">
        <v>7</v>
      </c>
      <c r="G984" s="18">
        <v>70350</v>
      </c>
      <c r="H984" s="151" t="s">
        <v>563</v>
      </c>
      <c r="I984" t="s">
        <v>16</v>
      </c>
    </row>
    <row r="985" spans="1:9" x14ac:dyDescent="0.25">
      <c r="A985">
        <v>1802</v>
      </c>
      <c r="B985">
        <f>A985+1</f>
        <v>1803</v>
      </c>
      <c r="C985" t="s">
        <v>509</v>
      </c>
      <c r="D985" t="s">
        <v>26</v>
      </c>
      <c r="E985" s="208" t="s">
        <v>82</v>
      </c>
      <c r="F985" t="s">
        <v>7</v>
      </c>
      <c r="G985" s="18">
        <v>97</v>
      </c>
      <c r="H985" s="151" t="s">
        <v>563</v>
      </c>
      <c r="I985" t="s">
        <v>16</v>
      </c>
    </row>
    <row r="986" spans="1:9" x14ac:dyDescent="0.25">
      <c r="A986">
        <v>1802</v>
      </c>
      <c r="B986">
        <f>A986+1</f>
        <v>1803</v>
      </c>
      <c r="C986" t="s">
        <v>509</v>
      </c>
      <c r="D986" t="s">
        <v>26</v>
      </c>
      <c r="E986" s="208" t="s">
        <v>51</v>
      </c>
      <c r="F986" t="s">
        <v>7</v>
      </c>
      <c r="G986" s="18">
        <v>4970</v>
      </c>
      <c r="H986" s="151" t="s">
        <v>563</v>
      </c>
      <c r="I986" t="s">
        <v>16</v>
      </c>
    </row>
    <row r="987" spans="1:9" x14ac:dyDescent="0.25">
      <c r="A987">
        <v>1802</v>
      </c>
      <c r="B987">
        <f>A987+1</f>
        <v>1803</v>
      </c>
      <c r="C987" t="s">
        <v>509</v>
      </c>
      <c r="D987" t="s">
        <v>26</v>
      </c>
      <c r="E987" s="208" t="s">
        <v>104</v>
      </c>
      <c r="F987" t="s">
        <v>7</v>
      </c>
      <c r="G987" s="18">
        <v>319</v>
      </c>
      <c r="H987" s="151" t="s">
        <v>563</v>
      </c>
      <c r="I987" t="s">
        <v>16</v>
      </c>
    </row>
    <row r="988" spans="1:9" x14ac:dyDescent="0.25">
      <c r="A988">
        <v>1802</v>
      </c>
      <c r="B988">
        <f>A988+1</f>
        <v>1803</v>
      </c>
      <c r="C988" t="s">
        <v>509</v>
      </c>
      <c r="D988" t="s">
        <v>26</v>
      </c>
      <c r="E988" s="208" t="s">
        <v>75</v>
      </c>
      <c r="F988" t="s">
        <v>7</v>
      </c>
      <c r="G988" s="18">
        <v>6810249</v>
      </c>
      <c r="H988" s="151" t="s">
        <v>563</v>
      </c>
      <c r="I988" t="s">
        <v>16</v>
      </c>
    </row>
    <row r="989" spans="1:9" x14ac:dyDescent="0.25">
      <c r="A989">
        <v>1802</v>
      </c>
      <c r="B989">
        <f>A989+1</f>
        <v>1803</v>
      </c>
      <c r="C989" t="s">
        <v>509</v>
      </c>
      <c r="D989" t="s">
        <v>26</v>
      </c>
      <c r="E989" s="208" t="s">
        <v>107</v>
      </c>
      <c r="F989" t="s">
        <v>7</v>
      </c>
      <c r="G989" s="18">
        <v>57432</v>
      </c>
      <c r="H989" s="151" t="s">
        <v>563</v>
      </c>
      <c r="I989" t="s">
        <v>16</v>
      </c>
    </row>
    <row r="990" spans="1:9" x14ac:dyDescent="0.25">
      <c r="A990">
        <v>1802</v>
      </c>
      <c r="B990">
        <f>A990+1</f>
        <v>1803</v>
      </c>
      <c r="C990" t="s">
        <v>509</v>
      </c>
      <c r="D990" t="s">
        <v>26</v>
      </c>
      <c r="E990" s="208" t="s">
        <v>276</v>
      </c>
      <c r="F990" t="s">
        <v>7</v>
      </c>
      <c r="G990" s="18">
        <v>2107562</v>
      </c>
      <c r="H990" s="151" t="s">
        <v>563</v>
      </c>
      <c r="I990" t="s">
        <v>16</v>
      </c>
    </row>
    <row r="991" spans="1:9" x14ac:dyDescent="0.25">
      <c r="A991">
        <v>1802</v>
      </c>
      <c r="B991">
        <f>A991+1</f>
        <v>1803</v>
      </c>
      <c r="C991" t="s">
        <v>509</v>
      </c>
      <c r="D991" t="s">
        <v>26</v>
      </c>
      <c r="E991" s="208" t="s">
        <v>101</v>
      </c>
      <c r="F991" t="s">
        <v>7</v>
      </c>
      <c r="G991" s="18">
        <v>6747107</v>
      </c>
      <c r="H991" s="151" t="s">
        <v>563</v>
      </c>
      <c r="I991" t="s">
        <v>16</v>
      </c>
    </row>
    <row r="992" spans="1:9" x14ac:dyDescent="0.25">
      <c r="A992">
        <v>1802</v>
      </c>
      <c r="B992">
        <f>A992+1</f>
        <v>1803</v>
      </c>
      <c r="C992" t="s">
        <v>509</v>
      </c>
      <c r="D992" t="s">
        <v>26</v>
      </c>
      <c r="E992" s="208" t="s">
        <v>78</v>
      </c>
      <c r="F992" t="s">
        <v>7</v>
      </c>
      <c r="G992" s="18">
        <v>75</v>
      </c>
      <c r="H992" s="151" t="s">
        <v>563</v>
      </c>
      <c r="I992" t="s">
        <v>16</v>
      </c>
    </row>
    <row r="993" spans="1:9" x14ac:dyDescent="0.25">
      <c r="A993">
        <v>1802</v>
      </c>
      <c r="B993">
        <f>A993+1</f>
        <v>1803</v>
      </c>
      <c r="C993" t="s">
        <v>509</v>
      </c>
      <c r="D993" t="s">
        <v>26</v>
      </c>
      <c r="E993" s="208" t="s">
        <v>77</v>
      </c>
      <c r="F993" t="s">
        <v>7</v>
      </c>
      <c r="G993" s="18">
        <v>167482</v>
      </c>
      <c r="H993" s="151" t="s">
        <v>563</v>
      </c>
      <c r="I993" t="s">
        <v>16</v>
      </c>
    </row>
    <row r="994" spans="1:9" x14ac:dyDescent="0.25">
      <c r="A994">
        <v>1802</v>
      </c>
      <c r="B994">
        <f>A994+1</f>
        <v>1803</v>
      </c>
      <c r="C994" t="s">
        <v>509</v>
      </c>
      <c r="D994" t="s">
        <v>26</v>
      </c>
      <c r="E994" s="208" t="s">
        <v>330</v>
      </c>
      <c r="F994" t="s">
        <v>7</v>
      </c>
      <c r="G994" s="18">
        <v>974</v>
      </c>
      <c r="H994" s="151" t="s">
        <v>563</v>
      </c>
      <c r="I994" t="s">
        <v>16</v>
      </c>
    </row>
    <row r="995" spans="1:9" x14ac:dyDescent="0.25">
      <c r="A995">
        <v>1802</v>
      </c>
      <c r="B995">
        <f>A995+1</f>
        <v>1803</v>
      </c>
      <c r="C995" t="s">
        <v>509</v>
      </c>
      <c r="D995" t="s">
        <v>26</v>
      </c>
      <c r="E995" s="208" t="s">
        <v>331</v>
      </c>
      <c r="F995" t="s">
        <v>7</v>
      </c>
      <c r="G995" s="18">
        <v>1822</v>
      </c>
      <c r="H995" s="151" t="s">
        <v>563</v>
      </c>
      <c r="I995" t="s">
        <v>16</v>
      </c>
    </row>
    <row r="996" spans="1:9" x14ac:dyDescent="0.25">
      <c r="A996">
        <v>1802</v>
      </c>
      <c r="B996">
        <f>A996+1</f>
        <v>1803</v>
      </c>
      <c r="C996" t="s">
        <v>509</v>
      </c>
      <c r="D996" t="s">
        <v>26</v>
      </c>
      <c r="E996" s="208" t="s">
        <v>332</v>
      </c>
      <c r="F996" t="s">
        <v>7</v>
      </c>
      <c r="G996" s="18">
        <v>294</v>
      </c>
      <c r="H996" s="151" t="s">
        <v>563</v>
      </c>
      <c r="I996" t="s">
        <v>16</v>
      </c>
    </row>
    <row r="997" spans="1:9" x14ac:dyDescent="0.25">
      <c r="A997">
        <v>1802</v>
      </c>
      <c r="B997">
        <f>A997+1</f>
        <v>1803</v>
      </c>
      <c r="C997" t="s">
        <v>509</v>
      </c>
      <c r="D997" t="s">
        <v>26</v>
      </c>
      <c r="E997" s="208" t="s">
        <v>333</v>
      </c>
      <c r="F997" t="s">
        <v>7</v>
      </c>
      <c r="G997" s="18">
        <v>1325</v>
      </c>
      <c r="H997" s="151" t="s">
        <v>563</v>
      </c>
      <c r="I997" t="s">
        <v>16</v>
      </c>
    </row>
    <row r="998" spans="1:9" x14ac:dyDescent="0.25">
      <c r="A998">
        <v>1802</v>
      </c>
      <c r="B998">
        <f>A998+1</f>
        <v>1803</v>
      </c>
      <c r="C998" t="s">
        <v>509</v>
      </c>
      <c r="D998" t="s">
        <v>27</v>
      </c>
      <c r="E998" s="208" t="s">
        <v>155</v>
      </c>
      <c r="F998" t="s">
        <v>10</v>
      </c>
      <c r="G998" s="18">
        <v>271</v>
      </c>
      <c r="H998" t="s">
        <v>17</v>
      </c>
      <c r="I998" t="s">
        <v>24</v>
      </c>
    </row>
    <row r="999" spans="1:9" x14ac:dyDescent="0.25">
      <c r="A999">
        <v>1802</v>
      </c>
      <c r="B999">
        <f>A999+1</f>
        <v>1803</v>
      </c>
      <c r="C999" t="s">
        <v>509</v>
      </c>
      <c r="D999" t="s">
        <v>27</v>
      </c>
      <c r="E999" s="208" t="s">
        <v>156</v>
      </c>
      <c r="F999" t="s">
        <v>10</v>
      </c>
      <c r="G999" s="18">
        <v>138</v>
      </c>
      <c r="H999" t="s">
        <v>17</v>
      </c>
      <c r="I999" t="s">
        <v>24</v>
      </c>
    </row>
    <row r="1000" spans="1:9" x14ac:dyDescent="0.25">
      <c r="A1000">
        <v>1802</v>
      </c>
      <c r="B1000">
        <f>A1000+1</f>
        <v>1803</v>
      </c>
      <c r="C1000" t="s">
        <v>509</v>
      </c>
      <c r="D1000" t="s">
        <v>27</v>
      </c>
      <c r="E1000" s="208" t="s">
        <v>154</v>
      </c>
      <c r="F1000" t="s">
        <v>10</v>
      </c>
      <c r="G1000" s="18">
        <v>4</v>
      </c>
      <c r="H1000" t="s">
        <v>17</v>
      </c>
      <c r="I1000" t="s">
        <v>24</v>
      </c>
    </row>
    <row r="1001" spans="1:9" x14ac:dyDescent="0.25">
      <c r="A1001">
        <v>1802</v>
      </c>
      <c r="B1001">
        <f>A1001+1</f>
        <v>1803</v>
      </c>
      <c r="C1001" t="s">
        <v>509</v>
      </c>
      <c r="D1001" t="s">
        <v>27</v>
      </c>
      <c r="E1001" s="208" t="s">
        <v>150</v>
      </c>
      <c r="F1001" t="s">
        <v>10</v>
      </c>
      <c r="G1001" s="18">
        <v>1258</v>
      </c>
      <c r="H1001" t="s">
        <v>17</v>
      </c>
      <c r="I1001" t="s">
        <v>24</v>
      </c>
    </row>
    <row r="1002" spans="1:9" x14ac:dyDescent="0.25">
      <c r="A1002">
        <v>1802</v>
      </c>
      <c r="B1002">
        <f>A1002+1</f>
        <v>1803</v>
      </c>
      <c r="C1002" t="s">
        <v>509</v>
      </c>
      <c r="D1002" t="s">
        <v>27</v>
      </c>
      <c r="E1002" s="208" t="s">
        <v>148</v>
      </c>
      <c r="F1002" t="s">
        <v>10</v>
      </c>
      <c r="G1002" s="18">
        <v>10</v>
      </c>
      <c r="H1002" t="s">
        <v>17</v>
      </c>
      <c r="I1002" t="s">
        <v>24</v>
      </c>
    </row>
    <row r="1003" spans="1:9" x14ac:dyDescent="0.25">
      <c r="A1003">
        <v>1802</v>
      </c>
      <c r="B1003">
        <f>A1003+1</f>
        <v>1803</v>
      </c>
      <c r="C1003" t="s">
        <v>509</v>
      </c>
      <c r="D1003" t="s">
        <v>27</v>
      </c>
      <c r="E1003" s="208" t="s">
        <v>130</v>
      </c>
      <c r="F1003" t="s">
        <v>10</v>
      </c>
      <c r="G1003" s="18">
        <v>105</v>
      </c>
      <c r="H1003" t="s">
        <v>17</v>
      </c>
      <c r="I1003" t="s">
        <v>24</v>
      </c>
    </row>
    <row r="1004" spans="1:9" x14ac:dyDescent="0.25">
      <c r="A1004">
        <v>1802</v>
      </c>
      <c r="B1004">
        <f>A1004+1</f>
        <v>1803</v>
      </c>
      <c r="C1004" t="s">
        <v>509</v>
      </c>
      <c r="D1004" t="s">
        <v>27</v>
      </c>
      <c r="E1004" s="208" t="s">
        <v>132</v>
      </c>
      <c r="F1004" t="s">
        <v>10</v>
      </c>
      <c r="G1004" s="18">
        <v>0</v>
      </c>
      <c r="H1004" t="s">
        <v>17</v>
      </c>
      <c r="I1004" t="s">
        <v>24</v>
      </c>
    </row>
    <row r="1005" spans="1:9" x14ac:dyDescent="0.25">
      <c r="A1005">
        <v>1802</v>
      </c>
      <c r="B1005">
        <f>A1005+1</f>
        <v>1803</v>
      </c>
      <c r="C1005" t="s">
        <v>509</v>
      </c>
      <c r="D1005" t="s">
        <v>27</v>
      </c>
      <c r="E1005" s="208" t="s">
        <v>142</v>
      </c>
      <c r="F1005" t="s">
        <v>10</v>
      </c>
      <c r="G1005" s="18">
        <v>821</v>
      </c>
      <c r="H1005" t="s">
        <v>17</v>
      </c>
      <c r="I1005" t="s">
        <v>24</v>
      </c>
    </row>
    <row r="1006" spans="1:9" x14ac:dyDescent="0.25">
      <c r="A1006">
        <v>1802</v>
      </c>
      <c r="B1006">
        <f>A1006+1</f>
        <v>1803</v>
      </c>
      <c r="C1006" t="s">
        <v>509</v>
      </c>
      <c r="D1006" t="s">
        <v>27</v>
      </c>
      <c r="E1006" s="208" t="s">
        <v>144</v>
      </c>
      <c r="F1006" t="s">
        <v>10</v>
      </c>
      <c r="G1006" s="18">
        <v>0</v>
      </c>
      <c r="H1006" t="s">
        <v>17</v>
      </c>
      <c r="I1006" t="s">
        <v>24</v>
      </c>
    </row>
    <row r="1007" spans="1:9" x14ac:dyDescent="0.25">
      <c r="A1007">
        <v>1802</v>
      </c>
      <c r="B1007">
        <f>A1007+1</f>
        <v>1803</v>
      </c>
      <c r="C1007" t="s">
        <v>509</v>
      </c>
      <c r="D1007" t="s">
        <v>27</v>
      </c>
      <c r="E1007" s="208" t="s">
        <v>124</v>
      </c>
      <c r="F1007" t="s">
        <v>10</v>
      </c>
      <c r="G1007" s="18">
        <v>22911</v>
      </c>
      <c r="H1007" t="s">
        <v>17</v>
      </c>
      <c r="I1007" t="s">
        <v>24</v>
      </c>
    </row>
    <row r="1008" spans="1:9" x14ac:dyDescent="0.25">
      <c r="A1008">
        <v>1802</v>
      </c>
      <c r="B1008">
        <f>A1008+1</f>
        <v>1803</v>
      </c>
      <c r="C1008" t="s">
        <v>509</v>
      </c>
      <c r="D1008" t="s">
        <v>27</v>
      </c>
      <c r="E1008" s="208" t="s">
        <v>139</v>
      </c>
      <c r="F1008" t="s">
        <v>10</v>
      </c>
      <c r="G1008" s="18">
        <v>31</v>
      </c>
      <c r="H1008" t="s">
        <v>17</v>
      </c>
      <c r="I1008" t="s">
        <v>24</v>
      </c>
    </row>
    <row r="1009" spans="1:9" x14ac:dyDescent="0.25">
      <c r="A1009">
        <v>1802</v>
      </c>
      <c r="B1009">
        <f>A1009+1</f>
        <v>1803</v>
      </c>
      <c r="C1009" t="s">
        <v>509</v>
      </c>
      <c r="D1009" t="s">
        <v>26</v>
      </c>
      <c r="E1009" s="208" t="s">
        <v>62</v>
      </c>
      <c r="F1009" t="s">
        <v>10</v>
      </c>
      <c r="G1009" s="18">
        <v>496</v>
      </c>
      <c r="H1009" t="s">
        <v>24</v>
      </c>
      <c r="I1009" t="s">
        <v>17</v>
      </c>
    </row>
    <row r="1010" spans="1:9" x14ac:dyDescent="0.25">
      <c r="A1010">
        <v>1802</v>
      </c>
      <c r="B1010">
        <f>A1010+1</f>
        <v>1803</v>
      </c>
      <c r="C1010" t="s">
        <v>509</v>
      </c>
      <c r="D1010" t="s">
        <v>26</v>
      </c>
      <c r="E1010" s="208" t="s">
        <v>36</v>
      </c>
      <c r="F1010" t="s">
        <v>10</v>
      </c>
      <c r="G1010" s="18">
        <v>236</v>
      </c>
      <c r="H1010" t="s">
        <v>24</v>
      </c>
      <c r="I1010" t="s">
        <v>17</v>
      </c>
    </row>
    <row r="1011" spans="1:9" x14ac:dyDescent="0.25">
      <c r="A1011">
        <v>1802</v>
      </c>
      <c r="B1011">
        <f>A1011+1</f>
        <v>1803</v>
      </c>
      <c r="C1011" t="s">
        <v>509</v>
      </c>
      <c r="D1011" t="s">
        <v>26</v>
      </c>
      <c r="E1011" s="208" t="s">
        <v>42</v>
      </c>
      <c r="F1011" t="s">
        <v>10</v>
      </c>
      <c r="G1011" s="18">
        <v>0</v>
      </c>
      <c r="H1011" t="s">
        <v>24</v>
      </c>
      <c r="I1011" t="s">
        <v>17</v>
      </c>
    </row>
    <row r="1012" spans="1:9" x14ac:dyDescent="0.25">
      <c r="A1012">
        <v>1802</v>
      </c>
      <c r="B1012">
        <f>A1012+1</f>
        <v>1803</v>
      </c>
      <c r="C1012" t="s">
        <v>509</v>
      </c>
      <c r="D1012" t="s">
        <v>26</v>
      </c>
      <c r="E1012" s="208" t="s">
        <v>99</v>
      </c>
      <c r="F1012" t="s">
        <v>10</v>
      </c>
      <c r="G1012" s="18">
        <v>8</v>
      </c>
      <c r="H1012" t="s">
        <v>24</v>
      </c>
      <c r="I1012" t="s">
        <v>17</v>
      </c>
    </row>
    <row r="1013" spans="1:9" x14ac:dyDescent="0.25">
      <c r="A1013">
        <v>1802</v>
      </c>
      <c r="B1013">
        <f>A1013+1</f>
        <v>1803</v>
      </c>
      <c r="C1013" t="s">
        <v>509</v>
      </c>
      <c r="D1013" t="s">
        <v>26</v>
      </c>
      <c r="E1013" s="208" t="s">
        <v>28</v>
      </c>
      <c r="F1013" t="s">
        <v>10</v>
      </c>
      <c r="G1013" s="18">
        <v>81</v>
      </c>
      <c r="H1013" t="s">
        <v>24</v>
      </c>
      <c r="I1013" t="s">
        <v>17</v>
      </c>
    </row>
    <row r="1014" spans="1:9" x14ac:dyDescent="0.25">
      <c r="A1014">
        <v>1802</v>
      </c>
      <c r="B1014">
        <f>A1014+1</f>
        <v>1803</v>
      </c>
      <c r="C1014" t="s">
        <v>509</v>
      </c>
      <c r="D1014" t="s">
        <v>26</v>
      </c>
      <c r="E1014" s="208" t="s">
        <v>89</v>
      </c>
      <c r="F1014" t="s">
        <v>10</v>
      </c>
      <c r="G1014" s="18">
        <v>144</v>
      </c>
      <c r="H1014" t="s">
        <v>24</v>
      </c>
      <c r="I1014" t="s">
        <v>17</v>
      </c>
    </row>
    <row r="1015" spans="1:9" x14ac:dyDescent="0.25">
      <c r="A1015">
        <v>1802</v>
      </c>
      <c r="B1015">
        <f>A1015+1</f>
        <v>1803</v>
      </c>
      <c r="C1015" t="s">
        <v>509</v>
      </c>
      <c r="D1015" t="s">
        <v>26</v>
      </c>
      <c r="E1015" s="208" t="s">
        <v>45</v>
      </c>
      <c r="F1015" t="s">
        <v>10</v>
      </c>
      <c r="G1015" s="18">
        <v>0</v>
      </c>
      <c r="H1015" t="s">
        <v>24</v>
      </c>
      <c r="I1015" t="s">
        <v>17</v>
      </c>
    </row>
    <row r="1016" spans="1:9" x14ac:dyDescent="0.25">
      <c r="A1016">
        <v>1802</v>
      </c>
      <c r="B1016">
        <f>A1016+1</f>
        <v>1803</v>
      </c>
      <c r="C1016" t="s">
        <v>509</v>
      </c>
      <c r="D1016" t="s">
        <v>26</v>
      </c>
      <c r="E1016" s="208" t="s">
        <v>54</v>
      </c>
      <c r="F1016" t="s">
        <v>10</v>
      </c>
      <c r="G1016" s="18">
        <v>0</v>
      </c>
      <c r="H1016" t="s">
        <v>24</v>
      </c>
      <c r="I1016" t="s">
        <v>17</v>
      </c>
    </row>
    <row r="1017" spans="1:9" x14ac:dyDescent="0.25">
      <c r="A1017">
        <v>1802</v>
      </c>
      <c r="B1017">
        <f>A1017+1</f>
        <v>1803</v>
      </c>
      <c r="C1017" t="s">
        <v>509</v>
      </c>
      <c r="D1017" t="s">
        <v>26</v>
      </c>
      <c r="E1017" s="208" t="s">
        <v>53</v>
      </c>
      <c r="F1017" t="s">
        <v>10</v>
      </c>
      <c r="G1017" s="18">
        <v>0</v>
      </c>
      <c r="H1017" t="s">
        <v>24</v>
      </c>
      <c r="I1017" t="s">
        <v>17</v>
      </c>
    </row>
    <row r="1018" spans="1:9" x14ac:dyDescent="0.25">
      <c r="A1018">
        <v>1802</v>
      </c>
      <c r="B1018">
        <f>A1018+1</f>
        <v>1803</v>
      </c>
      <c r="C1018" t="s">
        <v>509</v>
      </c>
      <c r="D1018" t="s">
        <v>26</v>
      </c>
      <c r="E1018" s="208" t="s">
        <v>82</v>
      </c>
      <c r="F1018" t="s">
        <v>10</v>
      </c>
      <c r="G1018" s="18">
        <v>0</v>
      </c>
      <c r="H1018" t="s">
        <v>24</v>
      </c>
      <c r="I1018" t="s">
        <v>17</v>
      </c>
    </row>
    <row r="1019" spans="1:9" x14ac:dyDescent="0.25">
      <c r="A1019">
        <v>1802</v>
      </c>
      <c r="B1019">
        <f>A1019+1</f>
        <v>1803</v>
      </c>
      <c r="C1019" t="s">
        <v>509</v>
      </c>
      <c r="D1019" t="s">
        <v>26</v>
      </c>
      <c r="E1019" s="208" t="s">
        <v>51</v>
      </c>
      <c r="F1019" t="s">
        <v>10</v>
      </c>
      <c r="G1019" s="18">
        <v>0</v>
      </c>
      <c r="H1019" t="s">
        <v>24</v>
      </c>
      <c r="I1019" t="s">
        <v>17</v>
      </c>
    </row>
    <row r="1020" spans="1:9" x14ac:dyDescent="0.25">
      <c r="A1020">
        <v>1802</v>
      </c>
      <c r="B1020">
        <f>A1020+1</f>
        <v>1803</v>
      </c>
      <c r="C1020" t="s">
        <v>509</v>
      </c>
      <c r="D1020" t="s">
        <v>26</v>
      </c>
      <c r="E1020" s="208" t="s">
        <v>104</v>
      </c>
      <c r="F1020" t="s">
        <v>10</v>
      </c>
      <c r="G1020" s="18">
        <v>0</v>
      </c>
      <c r="H1020" t="s">
        <v>24</v>
      </c>
      <c r="I1020" t="s">
        <v>17</v>
      </c>
    </row>
    <row r="1021" spans="1:9" x14ac:dyDescent="0.25">
      <c r="A1021">
        <v>1802</v>
      </c>
      <c r="B1021">
        <f>A1021+1</f>
        <v>1803</v>
      </c>
      <c r="C1021" t="s">
        <v>509</v>
      </c>
      <c r="D1021" t="s">
        <v>26</v>
      </c>
      <c r="E1021" s="208" t="s">
        <v>75</v>
      </c>
      <c r="F1021" t="s">
        <v>10</v>
      </c>
      <c r="G1021" s="18">
        <v>216000</v>
      </c>
      <c r="H1021" t="s">
        <v>24</v>
      </c>
      <c r="I1021" t="s">
        <v>17</v>
      </c>
    </row>
    <row r="1022" spans="1:9" x14ac:dyDescent="0.25">
      <c r="A1022">
        <v>1802</v>
      </c>
      <c r="B1022">
        <f>A1022+1</f>
        <v>1803</v>
      </c>
      <c r="C1022" t="s">
        <v>509</v>
      </c>
      <c r="D1022" t="s">
        <v>26</v>
      </c>
      <c r="E1022" s="208" t="s">
        <v>107</v>
      </c>
      <c r="F1022" t="s">
        <v>10</v>
      </c>
      <c r="G1022" s="18">
        <v>137000</v>
      </c>
      <c r="H1022" t="s">
        <v>24</v>
      </c>
      <c r="I1022" t="s">
        <v>17</v>
      </c>
    </row>
    <row r="1023" spans="1:9" x14ac:dyDescent="0.25">
      <c r="A1023">
        <v>1802</v>
      </c>
      <c r="B1023">
        <f>A1023+1</f>
        <v>1803</v>
      </c>
      <c r="C1023" t="s">
        <v>509</v>
      </c>
      <c r="D1023" t="s">
        <v>26</v>
      </c>
      <c r="E1023" s="208" t="s">
        <v>101</v>
      </c>
      <c r="F1023" t="s">
        <v>10</v>
      </c>
      <c r="G1023" s="18">
        <v>135000</v>
      </c>
      <c r="H1023" t="s">
        <v>24</v>
      </c>
      <c r="I1023" t="s">
        <v>17</v>
      </c>
    </row>
    <row r="1024" spans="1:9" x14ac:dyDescent="0.25">
      <c r="A1024">
        <v>1802</v>
      </c>
      <c r="B1024">
        <f>A1024+1</f>
        <v>1803</v>
      </c>
      <c r="C1024" t="s">
        <v>509</v>
      </c>
      <c r="D1024" t="s">
        <v>26</v>
      </c>
      <c r="E1024" s="208" t="s">
        <v>78</v>
      </c>
      <c r="F1024" t="s">
        <v>10</v>
      </c>
      <c r="G1024" s="18">
        <v>0</v>
      </c>
      <c r="H1024" t="s">
        <v>24</v>
      </c>
      <c r="I1024" t="s">
        <v>17</v>
      </c>
    </row>
    <row r="1025" spans="1:9" x14ac:dyDescent="0.25">
      <c r="A1025">
        <v>1802</v>
      </c>
      <c r="B1025">
        <f>A1025+1</f>
        <v>1803</v>
      </c>
      <c r="C1025" t="s">
        <v>509</v>
      </c>
      <c r="D1025" t="s">
        <v>26</v>
      </c>
      <c r="E1025" s="208" t="s">
        <v>77</v>
      </c>
      <c r="F1025" t="s">
        <v>10</v>
      </c>
      <c r="G1025" s="18">
        <v>0</v>
      </c>
      <c r="H1025" t="s">
        <v>24</v>
      </c>
      <c r="I1025" t="s">
        <v>17</v>
      </c>
    </row>
    <row r="1026" spans="1:9" x14ac:dyDescent="0.25">
      <c r="A1026">
        <v>1802</v>
      </c>
      <c r="B1026">
        <f>A1026+1</f>
        <v>1803</v>
      </c>
      <c r="C1026" t="s">
        <v>509</v>
      </c>
      <c r="D1026" t="s">
        <v>26</v>
      </c>
      <c r="E1026" s="208" t="s">
        <v>330</v>
      </c>
      <c r="F1026" t="s">
        <v>13</v>
      </c>
      <c r="G1026" s="18">
        <v>1546</v>
      </c>
      <c r="H1026" t="s">
        <v>25</v>
      </c>
      <c r="I1026" t="s">
        <v>17</v>
      </c>
    </row>
    <row r="1027" spans="1:9" x14ac:dyDescent="0.25">
      <c r="A1027">
        <v>1802</v>
      </c>
      <c r="B1027">
        <f>A1027+1</f>
        <v>1803</v>
      </c>
      <c r="C1027" t="s">
        <v>509</v>
      </c>
      <c r="D1027" t="s">
        <v>26</v>
      </c>
      <c r="E1027" s="208" t="s">
        <v>331</v>
      </c>
      <c r="F1027" t="s">
        <v>13</v>
      </c>
      <c r="G1027" s="18">
        <v>507</v>
      </c>
      <c r="H1027" t="s">
        <v>25</v>
      </c>
      <c r="I1027" t="s">
        <v>17</v>
      </c>
    </row>
    <row r="1028" spans="1:9" x14ac:dyDescent="0.25">
      <c r="A1028">
        <v>1802</v>
      </c>
      <c r="B1028">
        <f>A1028+1</f>
        <v>1803</v>
      </c>
      <c r="C1028" t="s">
        <v>509</v>
      </c>
      <c r="D1028" t="s">
        <v>26</v>
      </c>
      <c r="E1028" s="208" t="s">
        <v>332</v>
      </c>
      <c r="F1028" t="s">
        <v>13</v>
      </c>
      <c r="G1028" s="18">
        <v>89</v>
      </c>
      <c r="H1028" t="s">
        <v>25</v>
      </c>
      <c r="I1028" t="s">
        <v>17</v>
      </c>
    </row>
    <row r="1029" spans="1:9" x14ac:dyDescent="0.25">
      <c r="A1029">
        <v>1802</v>
      </c>
      <c r="B1029">
        <f>A1029+1</f>
        <v>1803</v>
      </c>
      <c r="C1029" t="s">
        <v>509</v>
      </c>
      <c r="D1029" t="s">
        <v>26</v>
      </c>
      <c r="E1029" s="208" t="s">
        <v>333</v>
      </c>
      <c r="F1029" t="s">
        <v>13</v>
      </c>
      <c r="G1029" s="18">
        <v>2607</v>
      </c>
      <c r="H1029" t="s">
        <v>25</v>
      </c>
      <c r="I1029" t="s">
        <v>17</v>
      </c>
    </row>
    <row r="1030" spans="1:9" x14ac:dyDescent="0.25">
      <c r="A1030">
        <v>1802</v>
      </c>
      <c r="B1030">
        <f>A1030+1</f>
        <v>1803</v>
      </c>
      <c r="C1030" t="s">
        <v>509</v>
      </c>
      <c r="D1030" t="s">
        <v>27</v>
      </c>
      <c r="E1030" s="208" t="s">
        <v>155</v>
      </c>
      <c r="F1030" t="s">
        <v>8</v>
      </c>
      <c r="G1030" s="18">
        <v>62852</v>
      </c>
      <c r="H1030" t="s">
        <v>17</v>
      </c>
      <c r="I1030" t="s">
        <v>18</v>
      </c>
    </row>
    <row r="1031" spans="1:9" x14ac:dyDescent="0.25">
      <c r="A1031">
        <v>1802</v>
      </c>
      <c r="B1031">
        <f>A1031+1</f>
        <v>1803</v>
      </c>
      <c r="C1031" t="s">
        <v>509</v>
      </c>
      <c r="D1031" t="s">
        <v>27</v>
      </c>
      <c r="E1031" s="208" t="s">
        <v>156</v>
      </c>
      <c r="F1031" t="s">
        <v>8</v>
      </c>
      <c r="G1031" s="18">
        <v>7524</v>
      </c>
      <c r="H1031" t="s">
        <v>17</v>
      </c>
      <c r="I1031" t="s">
        <v>18</v>
      </c>
    </row>
    <row r="1032" spans="1:9" x14ac:dyDescent="0.25">
      <c r="A1032">
        <v>1802</v>
      </c>
      <c r="B1032">
        <f>A1032+1</f>
        <v>1803</v>
      </c>
      <c r="C1032" t="s">
        <v>509</v>
      </c>
      <c r="D1032" t="s">
        <v>27</v>
      </c>
      <c r="E1032" s="208" t="s">
        <v>154</v>
      </c>
      <c r="F1032" t="s">
        <v>8</v>
      </c>
      <c r="G1032" s="18">
        <v>182</v>
      </c>
      <c r="H1032" t="s">
        <v>17</v>
      </c>
      <c r="I1032" t="s">
        <v>18</v>
      </c>
    </row>
    <row r="1033" spans="1:9" x14ac:dyDescent="0.25">
      <c r="A1033">
        <v>1802</v>
      </c>
      <c r="B1033">
        <f>A1033+1</f>
        <v>1803</v>
      </c>
      <c r="C1033" t="s">
        <v>509</v>
      </c>
      <c r="D1033" t="s">
        <v>27</v>
      </c>
      <c r="E1033" s="208" t="s">
        <v>150</v>
      </c>
      <c r="F1033" t="s">
        <v>8</v>
      </c>
      <c r="G1033" s="18">
        <v>17151</v>
      </c>
      <c r="H1033" t="s">
        <v>17</v>
      </c>
      <c r="I1033" t="s">
        <v>18</v>
      </c>
    </row>
    <row r="1034" spans="1:9" x14ac:dyDescent="0.25">
      <c r="A1034">
        <v>1802</v>
      </c>
      <c r="B1034">
        <f>A1034+1</f>
        <v>1803</v>
      </c>
      <c r="C1034" t="s">
        <v>509</v>
      </c>
      <c r="D1034" t="s">
        <v>27</v>
      </c>
      <c r="E1034" s="208" t="s">
        <v>148</v>
      </c>
      <c r="F1034" t="s">
        <v>8</v>
      </c>
      <c r="G1034" s="18">
        <v>482</v>
      </c>
      <c r="H1034" t="s">
        <v>17</v>
      </c>
      <c r="I1034" t="s">
        <v>18</v>
      </c>
    </row>
    <row r="1035" spans="1:9" x14ac:dyDescent="0.25">
      <c r="A1035">
        <v>1802</v>
      </c>
      <c r="B1035">
        <f>A1035+1</f>
        <v>1803</v>
      </c>
      <c r="C1035" t="s">
        <v>509</v>
      </c>
      <c r="D1035" t="s">
        <v>27</v>
      </c>
      <c r="E1035" s="208" t="s">
        <v>130</v>
      </c>
      <c r="F1035" t="s">
        <v>8</v>
      </c>
      <c r="G1035" s="18">
        <v>700</v>
      </c>
      <c r="H1035" t="s">
        <v>17</v>
      </c>
      <c r="I1035" t="s">
        <v>18</v>
      </c>
    </row>
    <row r="1036" spans="1:9" x14ac:dyDescent="0.25">
      <c r="A1036">
        <v>1802</v>
      </c>
      <c r="B1036">
        <f>A1036+1</f>
        <v>1803</v>
      </c>
      <c r="C1036" t="s">
        <v>509</v>
      </c>
      <c r="D1036" t="s">
        <v>27</v>
      </c>
      <c r="E1036" s="208" t="s">
        <v>132</v>
      </c>
      <c r="F1036" t="s">
        <v>8</v>
      </c>
      <c r="G1036" s="18">
        <v>13</v>
      </c>
      <c r="H1036" t="s">
        <v>17</v>
      </c>
      <c r="I1036" t="s">
        <v>18</v>
      </c>
    </row>
    <row r="1037" spans="1:9" x14ac:dyDescent="0.25">
      <c r="A1037">
        <v>1802</v>
      </c>
      <c r="B1037">
        <f>A1037+1</f>
        <v>1803</v>
      </c>
      <c r="C1037" t="s">
        <v>509</v>
      </c>
      <c r="D1037" t="s">
        <v>27</v>
      </c>
      <c r="E1037" s="208" t="s">
        <v>142</v>
      </c>
      <c r="F1037" t="s">
        <v>8</v>
      </c>
      <c r="G1037" s="18">
        <v>5308</v>
      </c>
      <c r="H1037" t="s">
        <v>17</v>
      </c>
      <c r="I1037" t="s">
        <v>18</v>
      </c>
    </row>
    <row r="1038" spans="1:9" x14ac:dyDescent="0.25">
      <c r="A1038">
        <v>1802</v>
      </c>
      <c r="B1038">
        <f>A1038+1</f>
        <v>1803</v>
      </c>
      <c r="C1038" t="s">
        <v>509</v>
      </c>
      <c r="D1038" t="s">
        <v>27</v>
      </c>
      <c r="E1038" s="208" t="s">
        <v>144</v>
      </c>
      <c r="F1038" t="s">
        <v>8</v>
      </c>
      <c r="G1038" s="18">
        <v>66</v>
      </c>
      <c r="H1038" t="s">
        <v>17</v>
      </c>
      <c r="I1038" t="s">
        <v>18</v>
      </c>
    </row>
    <row r="1039" spans="1:9" x14ac:dyDescent="0.25">
      <c r="A1039">
        <v>1802</v>
      </c>
      <c r="B1039">
        <f>A1039+1</f>
        <v>1803</v>
      </c>
      <c r="C1039" t="s">
        <v>509</v>
      </c>
      <c r="D1039" t="s">
        <v>27</v>
      </c>
      <c r="E1039" s="208" t="s">
        <v>124</v>
      </c>
      <c r="F1039" t="s">
        <v>8</v>
      </c>
      <c r="G1039" s="18">
        <v>3233684</v>
      </c>
      <c r="H1039" t="s">
        <v>17</v>
      </c>
      <c r="I1039" t="s">
        <v>18</v>
      </c>
    </row>
    <row r="1040" spans="1:9" x14ac:dyDescent="0.25">
      <c r="A1040">
        <v>1802</v>
      </c>
      <c r="B1040">
        <f>A1040+1</f>
        <v>1803</v>
      </c>
      <c r="C1040" t="s">
        <v>509</v>
      </c>
      <c r="D1040" t="s">
        <v>27</v>
      </c>
      <c r="E1040" s="208" t="s">
        <v>155</v>
      </c>
      <c r="F1040" t="s">
        <v>9</v>
      </c>
      <c r="G1040" s="18">
        <v>77</v>
      </c>
      <c r="H1040" t="s">
        <v>17</v>
      </c>
      <c r="I1040" t="s">
        <v>21</v>
      </c>
    </row>
    <row r="1041" spans="1:9" x14ac:dyDescent="0.25">
      <c r="A1041">
        <v>1802</v>
      </c>
      <c r="B1041">
        <f>A1041+1</f>
        <v>1803</v>
      </c>
      <c r="C1041" t="s">
        <v>509</v>
      </c>
      <c r="D1041" t="s">
        <v>27</v>
      </c>
      <c r="E1041" s="208" t="s">
        <v>156</v>
      </c>
      <c r="F1041" t="s">
        <v>9</v>
      </c>
      <c r="G1041" s="18">
        <v>35</v>
      </c>
      <c r="H1041" t="s">
        <v>17</v>
      </c>
      <c r="I1041" t="s">
        <v>21</v>
      </c>
    </row>
    <row r="1042" spans="1:9" x14ac:dyDescent="0.25">
      <c r="A1042">
        <v>1802</v>
      </c>
      <c r="B1042">
        <f>A1042+1</f>
        <v>1803</v>
      </c>
      <c r="C1042" t="s">
        <v>509</v>
      </c>
      <c r="D1042" t="s">
        <v>27</v>
      </c>
      <c r="E1042" s="208" t="s">
        <v>154</v>
      </c>
      <c r="F1042" t="s">
        <v>9</v>
      </c>
      <c r="G1042" s="18">
        <v>0</v>
      </c>
      <c r="H1042" t="s">
        <v>17</v>
      </c>
      <c r="I1042" t="s">
        <v>21</v>
      </c>
    </row>
    <row r="1043" spans="1:9" x14ac:dyDescent="0.25">
      <c r="A1043">
        <v>1802</v>
      </c>
      <c r="B1043">
        <f>A1043+1</f>
        <v>1803</v>
      </c>
      <c r="C1043" t="s">
        <v>509</v>
      </c>
      <c r="D1043" t="s">
        <v>27</v>
      </c>
      <c r="E1043" s="208" t="s">
        <v>150</v>
      </c>
      <c r="F1043" t="s">
        <v>9</v>
      </c>
      <c r="G1043" s="18">
        <v>50</v>
      </c>
      <c r="H1043" t="s">
        <v>17</v>
      </c>
      <c r="I1043" t="s">
        <v>21</v>
      </c>
    </row>
    <row r="1044" spans="1:9" x14ac:dyDescent="0.25">
      <c r="A1044">
        <v>1802</v>
      </c>
      <c r="B1044">
        <f>A1044+1</f>
        <v>1803</v>
      </c>
      <c r="C1044" t="s">
        <v>509</v>
      </c>
      <c r="D1044" t="s">
        <v>27</v>
      </c>
      <c r="E1044" s="208" t="s">
        <v>148</v>
      </c>
      <c r="F1044" t="s">
        <v>9</v>
      </c>
      <c r="G1044" s="18">
        <v>6</v>
      </c>
      <c r="H1044" t="s">
        <v>17</v>
      </c>
      <c r="I1044" t="s">
        <v>21</v>
      </c>
    </row>
    <row r="1045" spans="1:9" x14ac:dyDescent="0.25">
      <c r="A1045">
        <v>1802</v>
      </c>
      <c r="B1045">
        <f>A1045+1</f>
        <v>1803</v>
      </c>
      <c r="C1045" t="s">
        <v>509</v>
      </c>
      <c r="D1045" t="s">
        <v>27</v>
      </c>
      <c r="E1045" s="208" t="s">
        <v>130</v>
      </c>
      <c r="F1045" t="s">
        <v>9</v>
      </c>
      <c r="G1045" s="18">
        <v>0</v>
      </c>
      <c r="H1045" t="s">
        <v>17</v>
      </c>
      <c r="I1045" t="s">
        <v>21</v>
      </c>
    </row>
    <row r="1046" spans="1:9" x14ac:dyDescent="0.25">
      <c r="A1046">
        <v>1802</v>
      </c>
      <c r="B1046">
        <f>A1046+1</f>
        <v>1803</v>
      </c>
      <c r="C1046" t="s">
        <v>509</v>
      </c>
      <c r="D1046" t="s">
        <v>27</v>
      </c>
      <c r="E1046" s="208" t="s">
        <v>132</v>
      </c>
      <c r="F1046" t="s">
        <v>9</v>
      </c>
      <c r="G1046" s="18">
        <v>0</v>
      </c>
      <c r="H1046" t="s">
        <v>17</v>
      </c>
      <c r="I1046" t="s">
        <v>21</v>
      </c>
    </row>
    <row r="1047" spans="1:9" x14ac:dyDescent="0.25">
      <c r="A1047">
        <v>1802</v>
      </c>
      <c r="B1047">
        <f>A1047+1</f>
        <v>1803</v>
      </c>
      <c r="C1047" t="s">
        <v>509</v>
      </c>
      <c r="D1047" t="s">
        <v>27</v>
      </c>
      <c r="E1047" s="208" t="s">
        <v>142</v>
      </c>
      <c r="F1047" t="s">
        <v>9</v>
      </c>
      <c r="G1047" s="18">
        <v>0</v>
      </c>
      <c r="H1047" t="s">
        <v>17</v>
      </c>
      <c r="I1047" t="s">
        <v>21</v>
      </c>
    </row>
    <row r="1048" spans="1:9" x14ac:dyDescent="0.25">
      <c r="A1048">
        <v>1802</v>
      </c>
      <c r="B1048">
        <f>A1048+1</f>
        <v>1803</v>
      </c>
      <c r="C1048" t="s">
        <v>509</v>
      </c>
      <c r="D1048" t="s">
        <v>27</v>
      </c>
      <c r="E1048" s="208" t="s">
        <v>144</v>
      </c>
      <c r="F1048" t="s">
        <v>9</v>
      </c>
      <c r="G1048" s="18">
        <v>0</v>
      </c>
      <c r="H1048" t="s">
        <v>17</v>
      </c>
      <c r="I1048" t="s">
        <v>21</v>
      </c>
    </row>
    <row r="1049" spans="1:9" x14ac:dyDescent="0.25">
      <c r="A1049">
        <v>1802</v>
      </c>
      <c r="B1049">
        <f>A1049+1</f>
        <v>1803</v>
      </c>
      <c r="C1049" t="s">
        <v>509</v>
      </c>
      <c r="D1049" t="s">
        <v>27</v>
      </c>
      <c r="E1049" s="208" t="s">
        <v>124</v>
      </c>
      <c r="F1049" t="s">
        <v>9</v>
      </c>
      <c r="G1049" s="18">
        <v>0</v>
      </c>
      <c r="H1049" t="s">
        <v>17</v>
      </c>
      <c r="I1049" t="s">
        <v>21</v>
      </c>
    </row>
    <row r="1050" spans="1:9" x14ac:dyDescent="0.25">
      <c r="A1050">
        <v>1802</v>
      </c>
      <c r="B1050">
        <f>A1050+1</f>
        <v>1803</v>
      </c>
      <c r="C1050" t="s">
        <v>509</v>
      </c>
      <c r="D1050" t="s">
        <v>27</v>
      </c>
      <c r="E1050" s="208" t="s">
        <v>155</v>
      </c>
      <c r="F1050" t="s">
        <v>13</v>
      </c>
      <c r="G1050" s="18">
        <v>0</v>
      </c>
      <c r="H1050" t="s">
        <v>17</v>
      </c>
      <c r="I1050" t="s">
        <v>25</v>
      </c>
    </row>
    <row r="1051" spans="1:9" x14ac:dyDescent="0.25">
      <c r="A1051">
        <v>1802</v>
      </c>
      <c r="B1051">
        <f>A1051+1</f>
        <v>1803</v>
      </c>
      <c r="C1051" t="s">
        <v>509</v>
      </c>
      <c r="D1051" t="s">
        <v>27</v>
      </c>
      <c r="E1051" s="208" t="s">
        <v>154</v>
      </c>
      <c r="F1051" t="s">
        <v>13</v>
      </c>
      <c r="G1051" s="18">
        <v>0</v>
      </c>
      <c r="H1051" t="s">
        <v>17</v>
      </c>
      <c r="I1051" t="s">
        <v>25</v>
      </c>
    </row>
    <row r="1052" spans="1:9" x14ac:dyDescent="0.25">
      <c r="A1052">
        <v>1802</v>
      </c>
      <c r="B1052">
        <f>A1052+1</f>
        <v>1803</v>
      </c>
      <c r="C1052" t="s">
        <v>509</v>
      </c>
      <c r="D1052" t="s">
        <v>27</v>
      </c>
      <c r="E1052" s="208" t="s">
        <v>150</v>
      </c>
      <c r="F1052" t="s">
        <v>13</v>
      </c>
      <c r="G1052" s="18">
        <v>81</v>
      </c>
      <c r="H1052" t="s">
        <v>17</v>
      </c>
      <c r="I1052" t="s">
        <v>25</v>
      </c>
    </row>
    <row r="1053" spans="1:9" x14ac:dyDescent="0.25">
      <c r="A1053">
        <v>1802</v>
      </c>
      <c r="B1053">
        <f>A1053+1</f>
        <v>1803</v>
      </c>
      <c r="C1053" t="s">
        <v>509</v>
      </c>
      <c r="D1053" t="s">
        <v>27</v>
      </c>
      <c r="E1053" s="208" t="s">
        <v>148</v>
      </c>
      <c r="F1053" t="s">
        <v>13</v>
      </c>
      <c r="G1053" s="18">
        <v>0</v>
      </c>
      <c r="H1053" t="s">
        <v>17</v>
      </c>
      <c r="I1053" t="s">
        <v>25</v>
      </c>
    </row>
    <row r="1054" spans="1:9" x14ac:dyDescent="0.25">
      <c r="A1054">
        <v>1802</v>
      </c>
      <c r="B1054">
        <f>A1054+1</f>
        <v>1803</v>
      </c>
      <c r="C1054" t="s">
        <v>509</v>
      </c>
      <c r="D1054" t="s">
        <v>27</v>
      </c>
      <c r="E1054" s="208" t="s">
        <v>130</v>
      </c>
      <c r="F1054" t="s">
        <v>13</v>
      </c>
      <c r="G1054" s="18">
        <v>0</v>
      </c>
      <c r="H1054" t="s">
        <v>17</v>
      </c>
      <c r="I1054" t="s">
        <v>25</v>
      </c>
    </row>
    <row r="1055" spans="1:9" x14ac:dyDescent="0.25">
      <c r="A1055">
        <v>1802</v>
      </c>
      <c r="B1055">
        <f>A1055+1</f>
        <v>1803</v>
      </c>
      <c r="C1055" t="s">
        <v>509</v>
      </c>
      <c r="D1055" t="s">
        <v>27</v>
      </c>
      <c r="E1055" s="208" t="s">
        <v>132</v>
      </c>
      <c r="F1055" t="s">
        <v>13</v>
      </c>
      <c r="G1055" s="18">
        <v>0</v>
      </c>
      <c r="H1055" t="s">
        <v>17</v>
      </c>
      <c r="I1055" t="s">
        <v>25</v>
      </c>
    </row>
    <row r="1056" spans="1:9" x14ac:dyDescent="0.25">
      <c r="A1056">
        <v>1802</v>
      </c>
      <c r="B1056">
        <f>A1056+1</f>
        <v>1803</v>
      </c>
      <c r="C1056" t="s">
        <v>509</v>
      </c>
      <c r="D1056" t="s">
        <v>27</v>
      </c>
      <c r="E1056" s="208" t="s">
        <v>142</v>
      </c>
      <c r="F1056" t="s">
        <v>13</v>
      </c>
      <c r="G1056" s="18">
        <v>0</v>
      </c>
      <c r="H1056" t="s">
        <v>17</v>
      </c>
      <c r="I1056" t="s">
        <v>25</v>
      </c>
    </row>
    <row r="1057" spans="1:9" x14ac:dyDescent="0.25">
      <c r="A1057">
        <v>1802</v>
      </c>
      <c r="B1057">
        <f>A1057+1</f>
        <v>1803</v>
      </c>
      <c r="C1057" t="s">
        <v>509</v>
      </c>
      <c r="D1057" t="s">
        <v>27</v>
      </c>
      <c r="E1057" s="208" t="s">
        <v>144</v>
      </c>
      <c r="F1057" t="s">
        <v>13</v>
      </c>
      <c r="G1057" s="18">
        <v>0</v>
      </c>
      <c r="H1057" t="s">
        <v>17</v>
      </c>
      <c r="I1057" t="s">
        <v>25</v>
      </c>
    </row>
    <row r="1058" spans="1:9" x14ac:dyDescent="0.25">
      <c r="A1058">
        <v>1802</v>
      </c>
      <c r="B1058">
        <f>A1058+1</f>
        <v>1803</v>
      </c>
      <c r="C1058" t="s">
        <v>509</v>
      </c>
      <c r="D1058" t="s">
        <v>27</v>
      </c>
      <c r="E1058" s="208" t="s">
        <v>124</v>
      </c>
      <c r="F1058" t="s">
        <v>13</v>
      </c>
      <c r="G1058" s="18">
        <v>0</v>
      </c>
      <c r="H1058" t="s">
        <v>17</v>
      </c>
      <c r="I1058" t="s">
        <v>25</v>
      </c>
    </row>
    <row r="1059" spans="1:9" x14ac:dyDescent="0.25">
      <c r="A1059">
        <v>1802</v>
      </c>
      <c r="B1059">
        <f>A1059+1</f>
        <v>1803</v>
      </c>
      <c r="C1059" t="s">
        <v>509</v>
      </c>
      <c r="D1059" t="s">
        <v>27</v>
      </c>
      <c r="E1059" s="208" t="s">
        <v>155</v>
      </c>
      <c r="F1059" t="s">
        <v>11</v>
      </c>
      <c r="G1059" s="18">
        <v>379</v>
      </c>
      <c r="H1059" t="s">
        <v>17</v>
      </c>
      <c r="I1059" t="s">
        <v>23</v>
      </c>
    </row>
    <row r="1060" spans="1:9" x14ac:dyDescent="0.25">
      <c r="A1060">
        <v>1802</v>
      </c>
      <c r="B1060">
        <f>A1060+1</f>
        <v>1803</v>
      </c>
      <c r="C1060" t="s">
        <v>509</v>
      </c>
      <c r="D1060" t="s">
        <v>27</v>
      </c>
      <c r="E1060" s="208" t="s">
        <v>156</v>
      </c>
      <c r="F1060" t="s">
        <v>11</v>
      </c>
      <c r="G1060" s="18">
        <v>99</v>
      </c>
      <c r="H1060" t="s">
        <v>17</v>
      </c>
      <c r="I1060" t="s">
        <v>23</v>
      </c>
    </row>
    <row r="1061" spans="1:9" x14ac:dyDescent="0.25">
      <c r="A1061">
        <v>1802</v>
      </c>
      <c r="B1061">
        <f>A1061+1</f>
        <v>1803</v>
      </c>
      <c r="C1061" t="s">
        <v>509</v>
      </c>
      <c r="D1061" t="s">
        <v>27</v>
      </c>
      <c r="E1061" s="208" t="s">
        <v>154</v>
      </c>
      <c r="F1061" t="s">
        <v>11</v>
      </c>
      <c r="G1061" s="18">
        <v>22</v>
      </c>
      <c r="H1061" t="s">
        <v>17</v>
      </c>
      <c r="I1061" t="s">
        <v>23</v>
      </c>
    </row>
    <row r="1062" spans="1:9" x14ac:dyDescent="0.25">
      <c r="A1062">
        <v>1802</v>
      </c>
      <c r="B1062">
        <f>A1062+1</f>
        <v>1803</v>
      </c>
      <c r="C1062" t="s">
        <v>509</v>
      </c>
      <c r="D1062" t="s">
        <v>27</v>
      </c>
      <c r="E1062" s="208" t="s">
        <v>150</v>
      </c>
      <c r="F1062" t="s">
        <v>11</v>
      </c>
      <c r="G1062" s="18">
        <v>8728</v>
      </c>
      <c r="H1062" t="s">
        <v>17</v>
      </c>
      <c r="I1062" t="s">
        <v>23</v>
      </c>
    </row>
    <row r="1063" spans="1:9" x14ac:dyDescent="0.25">
      <c r="A1063">
        <v>1802</v>
      </c>
      <c r="B1063">
        <f>A1063+1</f>
        <v>1803</v>
      </c>
      <c r="C1063" t="s">
        <v>509</v>
      </c>
      <c r="D1063" t="s">
        <v>27</v>
      </c>
      <c r="E1063" s="208" t="s">
        <v>148</v>
      </c>
      <c r="F1063" t="s">
        <v>11</v>
      </c>
      <c r="G1063" s="18">
        <v>1</v>
      </c>
      <c r="H1063" t="s">
        <v>17</v>
      </c>
      <c r="I1063" t="s">
        <v>23</v>
      </c>
    </row>
    <row r="1064" spans="1:9" x14ac:dyDescent="0.25">
      <c r="A1064">
        <v>1802</v>
      </c>
      <c r="B1064">
        <f>A1064+1</f>
        <v>1803</v>
      </c>
      <c r="C1064" t="s">
        <v>509</v>
      </c>
      <c r="D1064" t="s">
        <v>27</v>
      </c>
      <c r="E1064" s="208" t="s">
        <v>130</v>
      </c>
      <c r="F1064" t="s">
        <v>11</v>
      </c>
      <c r="G1064" s="18">
        <v>392</v>
      </c>
      <c r="H1064" t="s">
        <v>17</v>
      </c>
      <c r="I1064" t="s">
        <v>23</v>
      </c>
    </row>
    <row r="1065" spans="1:9" x14ac:dyDescent="0.25">
      <c r="A1065">
        <v>1802</v>
      </c>
      <c r="B1065">
        <f>A1065+1</f>
        <v>1803</v>
      </c>
      <c r="C1065" t="s">
        <v>509</v>
      </c>
      <c r="D1065" t="s">
        <v>27</v>
      </c>
      <c r="E1065" s="208" t="s">
        <v>132</v>
      </c>
      <c r="F1065" t="s">
        <v>11</v>
      </c>
      <c r="G1065" s="18">
        <v>2</v>
      </c>
      <c r="H1065" t="s">
        <v>17</v>
      </c>
      <c r="I1065" t="s">
        <v>23</v>
      </c>
    </row>
    <row r="1066" spans="1:9" x14ac:dyDescent="0.25">
      <c r="A1066">
        <v>1802</v>
      </c>
      <c r="B1066">
        <f>A1066+1</f>
        <v>1803</v>
      </c>
      <c r="C1066" t="s">
        <v>509</v>
      </c>
      <c r="D1066" t="s">
        <v>27</v>
      </c>
      <c r="E1066" s="208" t="s">
        <v>142</v>
      </c>
      <c r="F1066" t="s">
        <v>11</v>
      </c>
      <c r="G1066" s="18">
        <v>2685</v>
      </c>
      <c r="H1066" t="s">
        <v>17</v>
      </c>
      <c r="I1066" t="s">
        <v>23</v>
      </c>
    </row>
    <row r="1067" spans="1:9" x14ac:dyDescent="0.25">
      <c r="A1067">
        <v>1802</v>
      </c>
      <c r="B1067">
        <f>A1067+1</f>
        <v>1803</v>
      </c>
      <c r="C1067" t="s">
        <v>509</v>
      </c>
      <c r="D1067" t="s">
        <v>27</v>
      </c>
      <c r="E1067" s="208" t="s">
        <v>144</v>
      </c>
      <c r="F1067" t="s">
        <v>11</v>
      </c>
      <c r="G1067" s="18">
        <v>390</v>
      </c>
      <c r="H1067" t="s">
        <v>17</v>
      </c>
      <c r="I1067" t="s">
        <v>23</v>
      </c>
    </row>
    <row r="1068" spans="1:9" x14ac:dyDescent="0.25">
      <c r="A1068">
        <v>1802</v>
      </c>
      <c r="B1068">
        <f>A1068+1</f>
        <v>1803</v>
      </c>
      <c r="C1068" t="s">
        <v>509</v>
      </c>
      <c r="D1068" t="s">
        <v>27</v>
      </c>
      <c r="E1068" s="208" t="s">
        <v>124</v>
      </c>
      <c r="F1068" t="s">
        <v>11</v>
      </c>
      <c r="G1068" s="18">
        <v>94344</v>
      </c>
      <c r="H1068" t="s">
        <v>17</v>
      </c>
      <c r="I1068" t="s">
        <v>23</v>
      </c>
    </row>
    <row r="1069" spans="1:9" x14ac:dyDescent="0.25">
      <c r="A1069">
        <v>1802</v>
      </c>
      <c r="B1069">
        <f>A1069+1</f>
        <v>1803</v>
      </c>
      <c r="C1069" t="s">
        <v>509</v>
      </c>
      <c r="D1069" t="s">
        <v>27</v>
      </c>
      <c r="E1069" s="208" t="s">
        <v>139</v>
      </c>
      <c r="F1069" t="s">
        <v>11</v>
      </c>
      <c r="G1069" s="18">
        <v>393</v>
      </c>
      <c r="H1069" t="s">
        <v>17</v>
      </c>
      <c r="I1069" t="s">
        <v>23</v>
      </c>
    </row>
    <row r="1070" spans="1:9" x14ac:dyDescent="0.25">
      <c r="A1070">
        <v>1802</v>
      </c>
      <c r="B1070">
        <f>A1070+1</f>
        <v>1803</v>
      </c>
      <c r="C1070" t="s">
        <v>509</v>
      </c>
      <c r="D1070" t="s">
        <v>26</v>
      </c>
      <c r="E1070" s="208" t="s">
        <v>58</v>
      </c>
      <c r="F1070" t="s">
        <v>11</v>
      </c>
      <c r="G1070" s="18">
        <v>0</v>
      </c>
      <c r="H1070" t="s">
        <v>23</v>
      </c>
      <c r="I1070" t="s">
        <v>17</v>
      </c>
    </row>
    <row r="1071" spans="1:9" x14ac:dyDescent="0.25">
      <c r="A1071">
        <v>1802</v>
      </c>
      <c r="B1071">
        <f>A1071+1</f>
        <v>1803</v>
      </c>
      <c r="C1071" t="s">
        <v>509</v>
      </c>
      <c r="D1071" t="s">
        <v>26</v>
      </c>
      <c r="E1071" s="208" t="s">
        <v>57</v>
      </c>
      <c r="F1071" t="s">
        <v>11</v>
      </c>
      <c r="G1071" s="18">
        <v>14825</v>
      </c>
      <c r="H1071" t="s">
        <v>23</v>
      </c>
      <c r="I1071" t="s">
        <v>17</v>
      </c>
    </row>
    <row r="1072" spans="1:9" x14ac:dyDescent="0.25">
      <c r="A1072">
        <v>1802</v>
      </c>
      <c r="B1072">
        <f>A1072+1</f>
        <v>1803</v>
      </c>
      <c r="C1072" t="s">
        <v>509</v>
      </c>
      <c r="D1072" t="s">
        <v>26</v>
      </c>
      <c r="E1072" s="208" t="s">
        <v>35</v>
      </c>
      <c r="F1072" t="s">
        <v>11</v>
      </c>
      <c r="G1072" s="18">
        <v>0</v>
      </c>
      <c r="H1072" t="s">
        <v>23</v>
      </c>
      <c r="I1072" t="s">
        <v>17</v>
      </c>
    </row>
    <row r="1073" spans="1:9" x14ac:dyDescent="0.25">
      <c r="A1073">
        <v>1802</v>
      </c>
      <c r="B1073">
        <f>A1073+1</f>
        <v>1803</v>
      </c>
      <c r="C1073" t="s">
        <v>509</v>
      </c>
      <c r="D1073" t="s">
        <v>26</v>
      </c>
      <c r="E1073" s="208" t="s">
        <v>36</v>
      </c>
      <c r="F1073" t="s">
        <v>11</v>
      </c>
      <c r="G1073" s="18">
        <v>2366</v>
      </c>
      <c r="H1073" t="s">
        <v>23</v>
      </c>
      <c r="I1073" t="s">
        <v>17</v>
      </c>
    </row>
    <row r="1074" spans="1:9" x14ac:dyDescent="0.25">
      <c r="A1074">
        <v>1802</v>
      </c>
      <c r="B1074">
        <f>A1074+1</f>
        <v>1803</v>
      </c>
      <c r="C1074" t="s">
        <v>509</v>
      </c>
      <c r="D1074" t="s">
        <v>26</v>
      </c>
      <c r="E1074" s="208" t="s">
        <v>39</v>
      </c>
      <c r="F1074" t="s">
        <v>11</v>
      </c>
      <c r="G1074" s="18">
        <v>245</v>
      </c>
      <c r="H1074" t="s">
        <v>23</v>
      </c>
      <c r="I1074" t="s">
        <v>17</v>
      </c>
    </row>
    <row r="1075" spans="1:9" x14ac:dyDescent="0.25">
      <c r="A1075">
        <v>1802</v>
      </c>
      <c r="B1075">
        <f>A1075+1</f>
        <v>1803</v>
      </c>
      <c r="C1075" t="s">
        <v>509</v>
      </c>
      <c r="D1075" t="s">
        <v>26</v>
      </c>
      <c r="E1075" s="208" t="s">
        <v>99</v>
      </c>
      <c r="F1075" t="s">
        <v>11</v>
      </c>
      <c r="G1075" s="18">
        <v>507</v>
      </c>
      <c r="H1075" t="s">
        <v>23</v>
      </c>
      <c r="I1075" t="s">
        <v>17</v>
      </c>
    </row>
    <row r="1076" spans="1:9" x14ac:dyDescent="0.25">
      <c r="A1076">
        <v>1802</v>
      </c>
      <c r="B1076">
        <f>A1076+1</f>
        <v>1803</v>
      </c>
      <c r="C1076" t="s">
        <v>509</v>
      </c>
      <c r="D1076" t="s">
        <v>26</v>
      </c>
      <c r="E1076" s="208" t="s">
        <v>28</v>
      </c>
      <c r="F1076" t="s">
        <v>11</v>
      </c>
      <c r="G1076" s="18">
        <v>2542</v>
      </c>
      <c r="H1076" t="s">
        <v>23</v>
      </c>
      <c r="I1076" t="s">
        <v>17</v>
      </c>
    </row>
    <row r="1077" spans="1:9" x14ac:dyDescent="0.25">
      <c r="A1077">
        <v>1802</v>
      </c>
      <c r="B1077">
        <f>A1077+1</f>
        <v>1803</v>
      </c>
      <c r="C1077" t="s">
        <v>509</v>
      </c>
      <c r="D1077" t="s">
        <v>26</v>
      </c>
      <c r="E1077" s="208" t="s">
        <v>89</v>
      </c>
      <c r="F1077" t="s">
        <v>11</v>
      </c>
      <c r="G1077" s="18">
        <v>3384</v>
      </c>
      <c r="H1077" t="s">
        <v>23</v>
      </c>
      <c r="I1077" t="s">
        <v>17</v>
      </c>
    </row>
    <row r="1078" spans="1:9" x14ac:dyDescent="0.25">
      <c r="A1078">
        <v>1802</v>
      </c>
      <c r="B1078">
        <f>A1078+1</f>
        <v>1803</v>
      </c>
      <c r="C1078" t="s">
        <v>509</v>
      </c>
      <c r="D1078" t="s">
        <v>26</v>
      </c>
      <c r="E1078" s="208" t="s">
        <v>45</v>
      </c>
      <c r="F1078" t="s">
        <v>11</v>
      </c>
      <c r="G1078" s="18">
        <v>1461</v>
      </c>
      <c r="H1078" t="s">
        <v>23</v>
      </c>
      <c r="I1078" t="s">
        <v>17</v>
      </c>
    </row>
    <row r="1079" spans="1:9" x14ac:dyDescent="0.25">
      <c r="A1079">
        <v>1802</v>
      </c>
      <c r="B1079">
        <f>A1079+1</f>
        <v>1803</v>
      </c>
      <c r="C1079" t="s">
        <v>509</v>
      </c>
      <c r="D1079" t="s">
        <v>26</v>
      </c>
      <c r="E1079" s="208" t="s">
        <v>323</v>
      </c>
      <c r="F1079" t="s">
        <v>11</v>
      </c>
      <c r="G1079" s="18">
        <v>0</v>
      </c>
      <c r="H1079" t="s">
        <v>23</v>
      </c>
      <c r="I1079" t="s">
        <v>17</v>
      </c>
    </row>
    <row r="1080" spans="1:9" x14ac:dyDescent="0.25">
      <c r="A1080">
        <v>1802</v>
      </c>
      <c r="B1080">
        <f>A1080+1</f>
        <v>1803</v>
      </c>
      <c r="C1080" t="s">
        <v>509</v>
      </c>
      <c r="D1080" t="s">
        <v>26</v>
      </c>
      <c r="E1080" s="208" t="s">
        <v>277</v>
      </c>
      <c r="F1080" t="s">
        <v>11</v>
      </c>
      <c r="G1080" s="18">
        <v>0</v>
      </c>
      <c r="H1080" t="s">
        <v>23</v>
      </c>
      <c r="I1080" t="s">
        <v>17</v>
      </c>
    </row>
    <row r="1081" spans="1:9" x14ac:dyDescent="0.25">
      <c r="A1081">
        <v>1802</v>
      </c>
      <c r="B1081">
        <f>A1081+1</f>
        <v>1803</v>
      </c>
      <c r="C1081" t="s">
        <v>509</v>
      </c>
      <c r="D1081" t="s">
        <v>26</v>
      </c>
      <c r="E1081" s="208" t="s">
        <v>54</v>
      </c>
      <c r="F1081" t="s">
        <v>11</v>
      </c>
      <c r="G1081" s="18">
        <v>61</v>
      </c>
      <c r="H1081" t="s">
        <v>23</v>
      </c>
      <c r="I1081" t="s">
        <v>17</v>
      </c>
    </row>
    <row r="1082" spans="1:9" x14ac:dyDescent="0.25">
      <c r="A1082">
        <v>1802</v>
      </c>
      <c r="B1082">
        <f>A1082+1</f>
        <v>1803</v>
      </c>
      <c r="C1082" t="s">
        <v>509</v>
      </c>
      <c r="D1082" t="s">
        <v>26</v>
      </c>
      <c r="E1082" s="208" t="s">
        <v>53</v>
      </c>
      <c r="F1082" t="s">
        <v>11</v>
      </c>
      <c r="G1082" s="18">
        <v>54609</v>
      </c>
      <c r="H1082" t="s">
        <v>23</v>
      </c>
      <c r="I1082" t="s">
        <v>17</v>
      </c>
    </row>
    <row r="1083" spans="1:9" x14ac:dyDescent="0.25">
      <c r="A1083">
        <v>1802</v>
      </c>
      <c r="B1083">
        <f>A1083+1</f>
        <v>1803</v>
      </c>
      <c r="C1083" t="s">
        <v>509</v>
      </c>
      <c r="D1083" t="s">
        <v>26</v>
      </c>
      <c r="E1083" s="208" t="s">
        <v>75</v>
      </c>
      <c r="F1083" t="s">
        <v>11</v>
      </c>
      <c r="G1083" s="18">
        <v>2339709</v>
      </c>
      <c r="H1083" t="s">
        <v>23</v>
      </c>
      <c r="I1083" t="s">
        <v>17</v>
      </c>
    </row>
    <row r="1084" spans="1:9" x14ac:dyDescent="0.25">
      <c r="A1084">
        <v>1802</v>
      </c>
      <c r="B1084">
        <f>A1084+1</f>
        <v>1803</v>
      </c>
      <c r="C1084" t="s">
        <v>509</v>
      </c>
      <c r="D1084" t="s">
        <v>26</v>
      </c>
      <c r="E1084" s="208" t="s">
        <v>276</v>
      </c>
      <c r="F1084" t="s">
        <v>11</v>
      </c>
      <c r="G1084" s="18">
        <v>5677255</v>
      </c>
      <c r="H1084" t="s">
        <v>23</v>
      </c>
      <c r="I1084" t="s">
        <v>17</v>
      </c>
    </row>
    <row r="1085" spans="1:9" x14ac:dyDescent="0.25">
      <c r="A1085">
        <v>1802</v>
      </c>
      <c r="B1085">
        <f>A1085+1</f>
        <v>1803</v>
      </c>
      <c r="C1085" t="s">
        <v>509</v>
      </c>
      <c r="D1085" t="s">
        <v>26</v>
      </c>
      <c r="E1085" s="208" t="s">
        <v>101</v>
      </c>
      <c r="F1085" t="s">
        <v>11</v>
      </c>
      <c r="G1085" s="18">
        <v>3739335</v>
      </c>
      <c r="H1085" t="s">
        <v>23</v>
      </c>
      <c r="I1085" t="s">
        <v>17</v>
      </c>
    </row>
    <row r="1086" spans="1:9" x14ac:dyDescent="0.25">
      <c r="A1086">
        <v>1802</v>
      </c>
      <c r="B1086">
        <f>A1086+1</f>
        <v>1803</v>
      </c>
      <c r="C1086" t="s">
        <v>509</v>
      </c>
      <c r="D1086" t="s">
        <v>27</v>
      </c>
      <c r="E1086" s="208" t="s">
        <v>155</v>
      </c>
      <c r="F1086" t="s">
        <v>14</v>
      </c>
      <c r="G1086" s="18">
        <v>63579</v>
      </c>
      <c r="H1086" t="s">
        <v>17</v>
      </c>
      <c r="I1086" s="151" t="s">
        <v>562</v>
      </c>
    </row>
    <row r="1087" spans="1:9" x14ac:dyDescent="0.25">
      <c r="A1087">
        <v>1802</v>
      </c>
      <c r="B1087">
        <f>A1087+1</f>
        <v>1803</v>
      </c>
      <c r="C1087" t="s">
        <v>509</v>
      </c>
      <c r="D1087" t="s">
        <v>27</v>
      </c>
      <c r="E1087" s="208" t="s">
        <v>156</v>
      </c>
      <c r="F1087" t="s">
        <v>14</v>
      </c>
      <c r="G1087" s="18">
        <v>7796</v>
      </c>
      <c r="H1087" t="s">
        <v>17</v>
      </c>
      <c r="I1087" s="151" t="s">
        <v>562</v>
      </c>
    </row>
    <row r="1088" spans="1:9" x14ac:dyDescent="0.25">
      <c r="A1088">
        <v>1802</v>
      </c>
      <c r="B1088">
        <f>A1088+1</f>
        <v>1803</v>
      </c>
      <c r="C1088" t="s">
        <v>509</v>
      </c>
      <c r="D1088" t="s">
        <v>27</v>
      </c>
      <c r="E1088" s="208" t="s">
        <v>154</v>
      </c>
      <c r="F1088" t="s">
        <v>14</v>
      </c>
      <c r="G1088" s="18">
        <v>208</v>
      </c>
      <c r="H1088" t="s">
        <v>17</v>
      </c>
      <c r="I1088" s="151" t="s">
        <v>562</v>
      </c>
    </row>
    <row r="1089" spans="1:9" x14ac:dyDescent="0.25">
      <c r="A1089">
        <v>1802</v>
      </c>
      <c r="B1089">
        <f>A1089+1</f>
        <v>1803</v>
      </c>
      <c r="C1089" t="s">
        <v>509</v>
      </c>
      <c r="D1089" t="s">
        <v>27</v>
      </c>
      <c r="E1089" s="208" t="s">
        <v>150</v>
      </c>
      <c r="F1089" t="s">
        <v>14</v>
      </c>
      <c r="G1089" s="18">
        <v>27268</v>
      </c>
      <c r="H1089" t="s">
        <v>17</v>
      </c>
      <c r="I1089" s="151" t="s">
        <v>562</v>
      </c>
    </row>
    <row r="1090" spans="1:9" x14ac:dyDescent="0.25">
      <c r="A1090">
        <v>1802</v>
      </c>
      <c r="B1090">
        <f>A1090+1</f>
        <v>1803</v>
      </c>
      <c r="C1090" t="s">
        <v>509</v>
      </c>
      <c r="D1090" t="s">
        <v>27</v>
      </c>
      <c r="E1090" s="208" t="s">
        <v>148</v>
      </c>
      <c r="F1090" t="s">
        <v>14</v>
      </c>
      <c r="G1090" s="18">
        <v>499</v>
      </c>
      <c r="H1090" t="s">
        <v>17</v>
      </c>
      <c r="I1090" s="151" t="s">
        <v>562</v>
      </c>
    </row>
    <row r="1091" spans="1:9" x14ac:dyDescent="0.25">
      <c r="A1091">
        <v>1802</v>
      </c>
      <c r="B1091">
        <f>A1091+1</f>
        <v>1803</v>
      </c>
      <c r="C1091" t="s">
        <v>509</v>
      </c>
      <c r="D1091" t="s">
        <v>27</v>
      </c>
      <c r="E1091" s="208" t="s">
        <v>130</v>
      </c>
      <c r="F1091" t="s">
        <v>14</v>
      </c>
      <c r="G1091" s="18">
        <v>1197</v>
      </c>
      <c r="H1091" t="s">
        <v>17</v>
      </c>
      <c r="I1091" s="151" t="s">
        <v>562</v>
      </c>
    </row>
    <row r="1092" spans="1:9" x14ac:dyDescent="0.25">
      <c r="A1092">
        <v>1802</v>
      </c>
      <c r="B1092">
        <f>A1092+1</f>
        <v>1803</v>
      </c>
      <c r="C1092" t="s">
        <v>509</v>
      </c>
      <c r="D1092" t="s">
        <v>27</v>
      </c>
      <c r="E1092" s="208" t="s">
        <v>132</v>
      </c>
      <c r="F1092" t="s">
        <v>14</v>
      </c>
      <c r="G1092" s="18">
        <v>15</v>
      </c>
      <c r="H1092" t="s">
        <v>17</v>
      </c>
      <c r="I1092" s="151" t="s">
        <v>562</v>
      </c>
    </row>
    <row r="1093" spans="1:9" x14ac:dyDescent="0.25">
      <c r="A1093">
        <v>1802</v>
      </c>
      <c r="B1093">
        <f>A1093+1</f>
        <v>1803</v>
      </c>
      <c r="C1093" t="s">
        <v>509</v>
      </c>
      <c r="D1093" t="s">
        <v>27</v>
      </c>
      <c r="E1093" s="208" t="s">
        <v>142</v>
      </c>
      <c r="F1093" t="s">
        <v>14</v>
      </c>
      <c r="G1093" s="18">
        <v>8814</v>
      </c>
      <c r="H1093" t="s">
        <v>17</v>
      </c>
      <c r="I1093" s="151" t="s">
        <v>562</v>
      </c>
    </row>
    <row r="1094" spans="1:9" x14ac:dyDescent="0.25">
      <c r="A1094">
        <v>1802</v>
      </c>
      <c r="B1094">
        <f>A1094+1</f>
        <v>1803</v>
      </c>
      <c r="C1094" t="s">
        <v>509</v>
      </c>
      <c r="D1094" t="s">
        <v>27</v>
      </c>
      <c r="E1094" s="208" t="s">
        <v>144</v>
      </c>
      <c r="F1094" t="s">
        <v>14</v>
      </c>
      <c r="G1094" s="18">
        <v>456</v>
      </c>
      <c r="H1094" t="s">
        <v>17</v>
      </c>
      <c r="I1094" s="151" t="s">
        <v>562</v>
      </c>
    </row>
    <row r="1095" spans="1:9" x14ac:dyDescent="0.25">
      <c r="A1095">
        <v>1802</v>
      </c>
      <c r="B1095">
        <f>A1095+1</f>
        <v>1803</v>
      </c>
      <c r="C1095" t="s">
        <v>509</v>
      </c>
      <c r="D1095" t="s">
        <v>27</v>
      </c>
      <c r="E1095" s="208" t="s">
        <v>124</v>
      </c>
      <c r="F1095" t="s">
        <v>14</v>
      </c>
      <c r="G1095" s="18">
        <v>3350939</v>
      </c>
      <c r="H1095" t="s">
        <v>17</v>
      </c>
      <c r="I1095" s="151" t="s">
        <v>562</v>
      </c>
    </row>
    <row r="1096" spans="1:9" x14ac:dyDescent="0.25">
      <c r="A1096">
        <v>1802</v>
      </c>
      <c r="B1096">
        <f>A1096+1</f>
        <v>1803</v>
      </c>
      <c r="C1096" t="s">
        <v>509</v>
      </c>
      <c r="D1096" t="s">
        <v>27</v>
      </c>
      <c r="E1096" s="208" t="s">
        <v>139</v>
      </c>
      <c r="F1096" t="s">
        <v>14</v>
      </c>
      <c r="G1096" s="18">
        <v>424</v>
      </c>
      <c r="H1096" t="s">
        <v>17</v>
      </c>
      <c r="I1096" s="151" t="s">
        <v>562</v>
      </c>
    </row>
    <row r="1097" spans="1:9" x14ac:dyDescent="0.25">
      <c r="A1097">
        <v>1802</v>
      </c>
      <c r="B1097">
        <f>A1097+1</f>
        <v>1803</v>
      </c>
      <c r="C1097" t="s">
        <v>509</v>
      </c>
      <c r="D1097" t="s">
        <v>26</v>
      </c>
      <c r="E1097" s="208" t="s">
        <v>62</v>
      </c>
      <c r="F1097" t="s">
        <v>14</v>
      </c>
      <c r="G1097" s="18">
        <v>496</v>
      </c>
      <c r="H1097" s="151" t="s">
        <v>563</v>
      </c>
      <c r="I1097" t="s">
        <v>17</v>
      </c>
    </row>
    <row r="1098" spans="1:9" x14ac:dyDescent="0.25">
      <c r="A1098">
        <v>1802</v>
      </c>
      <c r="B1098">
        <f>A1098+1</f>
        <v>1803</v>
      </c>
      <c r="C1098" t="s">
        <v>509</v>
      </c>
      <c r="D1098" t="s">
        <v>26</v>
      </c>
      <c r="E1098" s="208" t="s">
        <v>58</v>
      </c>
      <c r="F1098" t="s">
        <v>14</v>
      </c>
      <c r="G1098" s="18">
        <v>0</v>
      </c>
      <c r="H1098" s="151" t="s">
        <v>563</v>
      </c>
      <c r="I1098" t="s">
        <v>17</v>
      </c>
    </row>
    <row r="1099" spans="1:9" x14ac:dyDescent="0.25">
      <c r="A1099">
        <v>1802</v>
      </c>
      <c r="B1099">
        <f>A1099+1</f>
        <v>1803</v>
      </c>
      <c r="C1099" t="s">
        <v>509</v>
      </c>
      <c r="D1099" t="s">
        <v>26</v>
      </c>
      <c r="E1099" s="208" t="s">
        <v>57</v>
      </c>
      <c r="F1099" t="s">
        <v>14</v>
      </c>
      <c r="G1099" s="18">
        <v>14825</v>
      </c>
      <c r="H1099" s="151" t="s">
        <v>563</v>
      </c>
      <c r="I1099" t="s">
        <v>17</v>
      </c>
    </row>
    <row r="1100" spans="1:9" x14ac:dyDescent="0.25">
      <c r="A1100">
        <v>1802</v>
      </c>
      <c r="B1100">
        <f>A1100+1</f>
        <v>1803</v>
      </c>
      <c r="C1100" t="s">
        <v>509</v>
      </c>
      <c r="D1100" t="s">
        <v>26</v>
      </c>
      <c r="E1100" s="208" t="s">
        <v>35</v>
      </c>
      <c r="F1100" t="s">
        <v>14</v>
      </c>
      <c r="G1100" s="18">
        <v>0</v>
      </c>
      <c r="H1100" s="151" t="s">
        <v>563</v>
      </c>
      <c r="I1100" t="s">
        <v>17</v>
      </c>
    </row>
    <row r="1101" spans="1:9" x14ac:dyDescent="0.25">
      <c r="A1101">
        <v>1802</v>
      </c>
      <c r="B1101">
        <f>A1101+1</f>
        <v>1803</v>
      </c>
      <c r="C1101" t="s">
        <v>509</v>
      </c>
      <c r="D1101" t="s">
        <v>26</v>
      </c>
      <c r="E1101" s="208" t="s">
        <v>36</v>
      </c>
      <c r="F1101" t="s">
        <v>14</v>
      </c>
      <c r="G1101" s="18">
        <v>2602</v>
      </c>
      <c r="H1101" s="151" t="s">
        <v>563</v>
      </c>
      <c r="I1101" t="s">
        <v>17</v>
      </c>
    </row>
    <row r="1102" spans="1:9" x14ac:dyDescent="0.25">
      <c r="A1102">
        <v>1802</v>
      </c>
      <c r="B1102">
        <f>A1102+1</f>
        <v>1803</v>
      </c>
      <c r="C1102" t="s">
        <v>509</v>
      </c>
      <c r="D1102" t="s">
        <v>26</v>
      </c>
      <c r="E1102" s="208" t="s">
        <v>39</v>
      </c>
      <c r="F1102" t="s">
        <v>14</v>
      </c>
      <c r="G1102" s="18">
        <v>245</v>
      </c>
      <c r="H1102" s="151" t="s">
        <v>563</v>
      </c>
      <c r="I1102" t="s">
        <v>17</v>
      </c>
    </row>
    <row r="1103" spans="1:9" x14ac:dyDescent="0.25">
      <c r="A1103">
        <v>1802</v>
      </c>
      <c r="B1103">
        <f>A1103+1</f>
        <v>1803</v>
      </c>
      <c r="C1103" t="s">
        <v>509</v>
      </c>
      <c r="D1103" t="s">
        <v>26</v>
      </c>
      <c r="E1103" s="208" t="s">
        <v>42</v>
      </c>
      <c r="F1103" t="s">
        <v>14</v>
      </c>
      <c r="G1103" s="18">
        <v>0</v>
      </c>
      <c r="H1103" s="151" t="s">
        <v>563</v>
      </c>
      <c r="I1103" t="s">
        <v>17</v>
      </c>
    </row>
    <row r="1104" spans="1:9" x14ac:dyDescent="0.25">
      <c r="A1104">
        <v>1802</v>
      </c>
      <c r="B1104">
        <f>A1104+1</f>
        <v>1803</v>
      </c>
      <c r="C1104" t="s">
        <v>509</v>
      </c>
      <c r="D1104" t="s">
        <v>26</v>
      </c>
      <c r="E1104" s="208" t="s">
        <v>99</v>
      </c>
      <c r="F1104" t="s">
        <v>14</v>
      </c>
      <c r="G1104" s="18">
        <v>515</v>
      </c>
      <c r="H1104" s="151" t="s">
        <v>563</v>
      </c>
      <c r="I1104" t="s">
        <v>17</v>
      </c>
    </row>
    <row r="1105" spans="1:9" x14ac:dyDescent="0.25">
      <c r="A1105">
        <v>1802</v>
      </c>
      <c r="B1105">
        <f>A1105+1</f>
        <v>1803</v>
      </c>
      <c r="C1105" t="s">
        <v>509</v>
      </c>
      <c r="D1105" t="s">
        <v>26</v>
      </c>
      <c r="E1105" s="208" t="s">
        <v>28</v>
      </c>
      <c r="F1105" t="s">
        <v>14</v>
      </c>
      <c r="G1105" s="18">
        <v>2623</v>
      </c>
      <c r="H1105" s="151" t="s">
        <v>563</v>
      </c>
      <c r="I1105" t="s">
        <v>17</v>
      </c>
    </row>
    <row r="1106" spans="1:9" x14ac:dyDescent="0.25">
      <c r="A1106">
        <v>1802</v>
      </c>
      <c r="B1106">
        <f>A1106+1</f>
        <v>1803</v>
      </c>
      <c r="C1106" t="s">
        <v>509</v>
      </c>
      <c r="D1106" t="s">
        <v>26</v>
      </c>
      <c r="E1106" s="208" t="s">
        <v>89</v>
      </c>
      <c r="F1106" t="s">
        <v>14</v>
      </c>
      <c r="G1106" s="18">
        <v>3528</v>
      </c>
      <c r="H1106" s="151" t="s">
        <v>563</v>
      </c>
      <c r="I1106" t="s">
        <v>17</v>
      </c>
    </row>
    <row r="1107" spans="1:9" x14ac:dyDescent="0.25">
      <c r="A1107">
        <v>1802</v>
      </c>
      <c r="B1107">
        <f>A1107+1</f>
        <v>1803</v>
      </c>
      <c r="C1107" t="s">
        <v>509</v>
      </c>
      <c r="D1107" t="s">
        <v>26</v>
      </c>
      <c r="E1107" s="208" t="s">
        <v>45</v>
      </c>
      <c r="F1107" t="s">
        <v>14</v>
      </c>
      <c r="G1107" s="18">
        <v>1461</v>
      </c>
      <c r="H1107" s="151" t="s">
        <v>563</v>
      </c>
      <c r="I1107" t="s">
        <v>17</v>
      </c>
    </row>
    <row r="1108" spans="1:9" x14ac:dyDescent="0.25">
      <c r="A1108">
        <v>1802</v>
      </c>
      <c r="B1108">
        <f>A1108+1</f>
        <v>1803</v>
      </c>
      <c r="C1108" t="s">
        <v>509</v>
      </c>
      <c r="D1108" t="s">
        <v>26</v>
      </c>
      <c r="E1108" s="208" t="s">
        <v>323</v>
      </c>
      <c r="F1108" t="s">
        <v>14</v>
      </c>
      <c r="G1108" s="18">
        <v>0</v>
      </c>
      <c r="H1108" s="151" t="s">
        <v>563</v>
      </c>
      <c r="I1108" t="s">
        <v>17</v>
      </c>
    </row>
    <row r="1109" spans="1:9" x14ac:dyDescent="0.25">
      <c r="A1109">
        <v>1802</v>
      </c>
      <c r="B1109">
        <f>A1109+1</f>
        <v>1803</v>
      </c>
      <c r="C1109" t="s">
        <v>509</v>
      </c>
      <c r="D1109" t="s">
        <v>26</v>
      </c>
      <c r="E1109" s="208" t="s">
        <v>277</v>
      </c>
      <c r="F1109" t="s">
        <v>14</v>
      </c>
      <c r="G1109" s="18">
        <v>0</v>
      </c>
      <c r="H1109" s="151" t="s">
        <v>563</v>
      </c>
      <c r="I1109" t="s">
        <v>17</v>
      </c>
    </row>
    <row r="1110" spans="1:9" x14ac:dyDescent="0.25">
      <c r="A1110">
        <v>1802</v>
      </c>
      <c r="B1110">
        <f>A1110+1</f>
        <v>1803</v>
      </c>
      <c r="C1110" t="s">
        <v>509</v>
      </c>
      <c r="D1110" t="s">
        <v>26</v>
      </c>
      <c r="E1110" s="208" t="s">
        <v>54</v>
      </c>
      <c r="F1110" t="s">
        <v>14</v>
      </c>
      <c r="G1110" s="18">
        <v>61</v>
      </c>
      <c r="H1110" s="151" t="s">
        <v>563</v>
      </c>
      <c r="I1110" t="s">
        <v>17</v>
      </c>
    </row>
    <row r="1111" spans="1:9" x14ac:dyDescent="0.25">
      <c r="A1111">
        <v>1802</v>
      </c>
      <c r="B1111">
        <f>A1111+1</f>
        <v>1803</v>
      </c>
      <c r="C1111" t="s">
        <v>509</v>
      </c>
      <c r="D1111" t="s">
        <v>26</v>
      </c>
      <c r="E1111" s="208" t="s">
        <v>53</v>
      </c>
      <c r="F1111" t="s">
        <v>14</v>
      </c>
      <c r="G1111" s="18">
        <v>54609</v>
      </c>
      <c r="H1111" s="151" t="s">
        <v>563</v>
      </c>
      <c r="I1111" t="s">
        <v>17</v>
      </c>
    </row>
    <row r="1112" spans="1:9" x14ac:dyDescent="0.25">
      <c r="A1112">
        <v>1802</v>
      </c>
      <c r="B1112">
        <f>A1112+1</f>
        <v>1803</v>
      </c>
      <c r="C1112" t="s">
        <v>509</v>
      </c>
      <c r="D1112" t="s">
        <v>26</v>
      </c>
      <c r="E1112" s="208" t="s">
        <v>82</v>
      </c>
      <c r="F1112" t="s">
        <v>14</v>
      </c>
      <c r="G1112" s="18">
        <v>0</v>
      </c>
      <c r="H1112" s="151" t="s">
        <v>563</v>
      </c>
      <c r="I1112" t="s">
        <v>17</v>
      </c>
    </row>
    <row r="1113" spans="1:9" x14ac:dyDescent="0.25">
      <c r="A1113">
        <v>1802</v>
      </c>
      <c r="B1113">
        <f>A1113+1</f>
        <v>1803</v>
      </c>
      <c r="C1113" t="s">
        <v>509</v>
      </c>
      <c r="D1113" t="s">
        <v>26</v>
      </c>
      <c r="E1113" s="208" t="s">
        <v>51</v>
      </c>
      <c r="F1113" t="s">
        <v>14</v>
      </c>
      <c r="G1113" s="18">
        <v>0</v>
      </c>
      <c r="H1113" s="151" t="s">
        <v>563</v>
      </c>
      <c r="I1113" t="s">
        <v>17</v>
      </c>
    </row>
    <row r="1114" spans="1:9" x14ac:dyDescent="0.25">
      <c r="A1114">
        <v>1802</v>
      </c>
      <c r="B1114">
        <f>A1114+1</f>
        <v>1803</v>
      </c>
      <c r="C1114" t="s">
        <v>509</v>
      </c>
      <c r="D1114" t="s">
        <v>26</v>
      </c>
      <c r="E1114" s="208" t="s">
        <v>104</v>
      </c>
      <c r="F1114" t="s">
        <v>14</v>
      </c>
      <c r="G1114" s="18">
        <v>0</v>
      </c>
      <c r="H1114" s="151" t="s">
        <v>563</v>
      </c>
      <c r="I1114" t="s">
        <v>17</v>
      </c>
    </row>
    <row r="1115" spans="1:9" x14ac:dyDescent="0.25">
      <c r="A1115">
        <v>1802</v>
      </c>
      <c r="B1115">
        <f>A1115+1</f>
        <v>1803</v>
      </c>
      <c r="C1115" t="s">
        <v>509</v>
      </c>
      <c r="D1115" t="s">
        <v>26</v>
      </c>
      <c r="E1115" s="208" t="s">
        <v>75</v>
      </c>
      <c r="F1115" t="s">
        <v>14</v>
      </c>
      <c r="G1115" s="18">
        <v>2555709</v>
      </c>
      <c r="H1115" s="151" t="s">
        <v>563</v>
      </c>
      <c r="I1115" t="s">
        <v>17</v>
      </c>
    </row>
    <row r="1116" spans="1:9" x14ac:dyDescent="0.25">
      <c r="A1116">
        <v>1802</v>
      </c>
      <c r="B1116">
        <f>A1116+1</f>
        <v>1803</v>
      </c>
      <c r="C1116" t="s">
        <v>509</v>
      </c>
      <c r="D1116" t="s">
        <v>26</v>
      </c>
      <c r="E1116" s="208" t="s">
        <v>107</v>
      </c>
      <c r="F1116" t="s">
        <v>14</v>
      </c>
      <c r="G1116" s="18">
        <v>137000</v>
      </c>
      <c r="H1116" s="151" t="s">
        <v>563</v>
      </c>
      <c r="I1116" t="s">
        <v>17</v>
      </c>
    </row>
    <row r="1117" spans="1:9" x14ac:dyDescent="0.25">
      <c r="A1117">
        <v>1802</v>
      </c>
      <c r="B1117">
        <f>A1117+1</f>
        <v>1803</v>
      </c>
      <c r="C1117" t="s">
        <v>509</v>
      </c>
      <c r="D1117" t="s">
        <v>26</v>
      </c>
      <c r="E1117" s="208" t="s">
        <v>276</v>
      </c>
      <c r="F1117" t="s">
        <v>14</v>
      </c>
      <c r="G1117" s="18">
        <v>5677255</v>
      </c>
      <c r="H1117" s="151" t="s">
        <v>563</v>
      </c>
      <c r="I1117" t="s">
        <v>17</v>
      </c>
    </row>
    <row r="1118" spans="1:9" x14ac:dyDescent="0.25">
      <c r="A1118">
        <v>1802</v>
      </c>
      <c r="B1118">
        <f>A1118+1</f>
        <v>1803</v>
      </c>
      <c r="C1118" t="s">
        <v>509</v>
      </c>
      <c r="D1118" t="s">
        <v>26</v>
      </c>
      <c r="E1118" s="208" t="s">
        <v>101</v>
      </c>
      <c r="F1118" t="s">
        <v>14</v>
      </c>
      <c r="G1118" s="18">
        <v>3874335</v>
      </c>
      <c r="H1118" s="151" t="s">
        <v>563</v>
      </c>
      <c r="I1118" t="s">
        <v>17</v>
      </c>
    </row>
    <row r="1119" spans="1:9" x14ac:dyDescent="0.25">
      <c r="A1119">
        <v>1802</v>
      </c>
      <c r="B1119">
        <f>A1119+1</f>
        <v>1803</v>
      </c>
      <c r="C1119" t="s">
        <v>509</v>
      </c>
      <c r="D1119" t="s">
        <v>26</v>
      </c>
      <c r="E1119" s="208" t="s">
        <v>78</v>
      </c>
      <c r="F1119" t="s">
        <v>14</v>
      </c>
      <c r="G1119" s="18">
        <v>0</v>
      </c>
      <c r="H1119" s="151" t="s">
        <v>563</v>
      </c>
      <c r="I1119" t="s">
        <v>17</v>
      </c>
    </row>
    <row r="1120" spans="1:9" x14ac:dyDescent="0.25">
      <c r="A1120">
        <v>1802</v>
      </c>
      <c r="B1120">
        <f>A1120+1</f>
        <v>1803</v>
      </c>
      <c r="C1120" t="s">
        <v>509</v>
      </c>
      <c r="D1120" t="s">
        <v>26</v>
      </c>
      <c r="E1120" s="208" t="s">
        <v>77</v>
      </c>
      <c r="F1120" t="s">
        <v>14</v>
      </c>
      <c r="G1120" s="18">
        <v>0</v>
      </c>
      <c r="H1120" s="151" t="s">
        <v>563</v>
      </c>
      <c r="I1120" t="s">
        <v>17</v>
      </c>
    </row>
    <row r="1121" spans="1:9" x14ac:dyDescent="0.25">
      <c r="A1121">
        <v>1802</v>
      </c>
      <c r="B1121">
        <f>A1121+1</f>
        <v>1803</v>
      </c>
      <c r="C1121" t="s">
        <v>509</v>
      </c>
      <c r="D1121" t="s">
        <v>26</v>
      </c>
      <c r="E1121" s="208" t="s">
        <v>330</v>
      </c>
      <c r="F1121" t="s">
        <v>14</v>
      </c>
      <c r="G1121" s="18">
        <v>1546</v>
      </c>
      <c r="H1121" s="151" t="s">
        <v>563</v>
      </c>
      <c r="I1121" t="s">
        <v>17</v>
      </c>
    </row>
    <row r="1122" spans="1:9" x14ac:dyDescent="0.25">
      <c r="A1122">
        <v>1802</v>
      </c>
      <c r="B1122">
        <f>A1122+1</f>
        <v>1803</v>
      </c>
      <c r="C1122" t="s">
        <v>509</v>
      </c>
      <c r="D1122" t="s">
        <v>26</v>
      </c>
      <c r="E1122" s="208" t="s">
        <v>331</v>
      </c>
      <c r="F1122" t="s">
        <v>14</v>
      </c>
      <c r="G1122" s="18">
        <v>507</v>
      </c>
      <c r="H1122" s="151" t="s">
        <v>563</v>
      </c>
      <c r="I1122" t="s">
        <v>17</v>
      </c>
    </row>
    <row r="1123" spans="1:9" x14ac:dyDescent="0.25">
      <c r="A1123">
        <v>1802</v>
      </c>
      <c r="B1123">
        <f>A1123+1</f>
        <v>1803</v>
      </c>
      <c r="C1123" t="s">
        <v>509</v>
      </c>
      <c r="D1123" t="s">
        <v>26</v>
      </c>
      <c r="E1123" s="208" t="s">
        <v>332</v>
      </c>
      <c r="F1123" t="s">
        <v>14</v>
      </c>
      <c r="G1123" s="18">
        <v>89</v>
      </c>
      <c r="H1123" s="151" t="s">
        <v>563</v>
      </c>
      <c r="I1123" t="s">
        <v>17</v>
      </c>
    </row>
    <row r="1124" spans="1:9" x14ac:dyDescent="0.25">
      <c r="A1124">
        <v>1802</v>
      </c>
      <c r="B1124">
        <f>A1124+1</f>
        <v>1803</v>
      </c>
      <c r="C1124" t="s">
        <v>509</v>
      </c>
      <c r="D1124" t="s">
        <v>26</v>
      </c>
      <c r="E1124" s="208" t="s">
        <v>333</v>
      </c>
      <c r="F1124" t="s">
        <v>14</v>
      </c>
      <c r="G1124" s="18">
        <v>2607</v>
      </c>
      <c r="H1124" s="151" t="s">
        <v>563</v>
      </c>
      <c r="I1124" t="s">
        <v>17</v>
      </c>
    </row>
    <row r="1125" spans="1:9" x14ac:dyDescent="0.25">
      <c r="A1125">
        <v>1802</v>
      </c>
      <c r="B1125">
        <f>A1125+1</f>
        <v>1803</v>
      </c>
      <c r="C1125" t="s">
        <v>509</v>
      </c>
      <c r="D1125" t="s">
        <v>27</v>
      </c>
      <c r="E1125" s="208" t="s">
        <v>155</v>
      </c>
      <c r="F1125" t="s">
        <v>15</v>
      </c>
      <c r="G1125" s="18">
        <v>107387</v>
      </c>
      <c r="H1125" t="s">
        <v>561</v>
      </c>
      <c r="I1125" s="151" t="s">
        <v>562</v>
      </c>
    </row>
    <row r="1126" spans="1:9" x14ac:dyDescent="0.25">
      <c r="A1126">
        <v>1802</v>
      </c>
      <c r="B1126">
        <f>A1126+1</f>
        <v>1803</v>
      </c>
      <c r="C1126" t="s">
        <v>509</v>
      </c>
      <c r="D1126" t="s">
        <v>27</v>
      </c>
      <c r="E1126" s="208" t="s">
        <v>156</v>
      </c>
      <c r="F1126" t="s">
        <v>15</v>
      </c>
      <c r="G1126" s="18">
        <v>11825</v>
      </c>
      <c r="H1126" t="s">
        <v>561</v>
      </c>
      <c r="I1126" s="151" t="s">
        <v>562</v>
      </c>
    </row>
    <row r="1127" spans="1:9" x14ac:dyDescent="0.25">
      <c r="A1127">
        <v>1802</v>
      </c>
      <c r="B1127">
        <f>A1127+1</f>
        <v>1803</v>
      </c>
      <c r="C1127" t="s">
        <v>509</v>
      </c>
      <c r="D1127" t="s">
        <v>27</v>
      </c>
      <c r="E1127" s="208" t="s">
        <v>154</v>
      </c>
      <c r="F1127" t="s">
        <v>15</v>
      </c>
      <c r="G1127" s="18">
        <v>1797</v>
      </c>
      <c r="H1127" t="s">
        <v>561</v>
      </c>
      <c r="I1127" s="151" t="s">
        <v>562</v>
      </c>
    </row>
    <row r="1128" spans="1:9" x14ac:dyDescent="0.25">
      <c r="A1128">
        <v>1802</v>
      </c>
      <c r="B1128">
        <f>A1128+1</f>
        <v>1803</v>
      </c>
      <c r="C1128" t="s">
        <v>509</v>
      </c>
      <c r="D1128" t="s">
        <v>27</v>
      </c>
      <c r="E1128" s="208" t="s">
        <v>150</v>
      </c>
      <c r="F1128" t="s">
        <v>15</v>
      </c>
      <c r="G1128" s="18">
        <v>43298</v>
      </c>
      <c r="H1128" t="s">
        <v>561</v>
      </c>
      <c r="I1128" s="151" t="s">
        <v>562</v>
      </c>
    </row>
    <row r="1129" spans="1:9" x14ac:dyDescent="0.25">
      <c r="A1129">
        <v>1802</v>
      </c>
      <c r="B1129">
        <f>A1129+1</f>
        <v>1803</v>
      </c>
      <c r="C1129" t="s">
        <v>509</v>
      </c>
      <c r="D1129" t="s">
        <v>27</v>
      </c>
      <c r="E1129" s="208" t="s">
        <v>148</v>
      </c>
      <c r="F1129" t="s">
        <v>15</v>
      </c>
      <c r="G1129" s="18">
        <v>1416</v>
      </c>
      <c r="H1129" t="s">
        <v>561</v>
      </c>
      <c r="I1129" s="151" t="s">
        <v>562</v>
      </c>
    </row>
    <row r="1130" spans="1:9" x14ac:dyDescent="0.25">
      <c r="A1130">
        <v>1802</v>
      </c>
      <c r="B1130">
        <f>A1130+1</f>
        <v>1803</v>
      </c>
      <c r="C1130" t="s">
        <v>509</v>
      </c>
      <c r="D1130" t="s">
        <v>27</v>
      </c>
      <c r="E1130" s="208" t="s">
        <v>130</v>
      </c>
      <c r="F1130" t="s">
        <v>15</v>
      </c>
      <c r="G1130" s="18">
        <v>3287</v>
      </c>
      <c r="H1130" t="s">
        <v>561</v>
      </c>
      <c r="I1130" s="151" t="s">
        <v>562</v>
      </c>
    </row>
    <row r="1131" spans="1:9" x14ac:dyDescent="0.25">
      <c r="A1131">
        <v>1802</v>
      </c>
      <c r="B1131">
        <f>A1131+1</f>
        <v>1803</v>
      </c>
      <c r="C1131" t="s">
        <v>509</v>
      </c>
      <c r="D1131" t="s">
        <v>27</v>
      </c>
      <c r="E1131" s="208" t="s">
        <v>132</v>
      </c>
      <c r="F1131" t="s">
        <v>15</v>
      </c>
      <c r="G1131" s="18">
        <v>51</v>
      </c>
      <c r="H1131" t="s">
        <v>561</v>
      </c>
      <c r="I1131" s="151" t="s">
        <v>562</v>
      </c>
    </row>
    <row r="1132" spans="1:9" x14ac:dyDescent="0.25">
      <c r="A1132">
        <v>1802</v>
      </c>
      <c r="B1132">
        <f>A1132+1</f>
        <v>1803</v>
      </c>
      <c r="C1132" t="s">
        <v>509</v>
      </c>
      <c r="D1132" t="s">
        <v>27</v>
      </c>
      <c r="E1132" s="208" t="s">
        <v>142</v>
      </c>
      <c r="F1132" t="s">
        <v>15</v>
      </c>
      <c r="G1132" s="18">
        <v>14875</v>
      </c>
      <c r="H1132" t="s">
        <v>561</v>
      </c>
      <c r="I1132" s="151" t="s">
        <v>562</v>
      </c>
    </row>
    <row r="1133" spans="1:9" x14ac:dyDescent="0.25">
      <c r="A1133">
        <v>1802</v>
      </c>
      <c r="B1133">
        <f>A1133+1</f>
        <v>1803</v>
      </c>
      <c r="C1133" t="s">
        <v>509</v>
      </c>
      <c r="D1133" t="s">
        <v>27</v>
      </c>
      <c r="E1133" s="208" t="s">
        <v>144</v>
      </c>
      <c r="F1133" t="s">
        <v>15</v>
      </c>
      <c r="G1133" s="18">
        <v>867</v>
      </c>
      <c r="H1133" t="s">
        <v>561</v>
      </c>
      <c r="I1133" s="151" t="s">
        <v>562</v>
      </c>
    </row>
    <row r="1134" spans="1:9" x14ac:dyDescent="0.25">
      <c r="A1134">
        <v>1802</v>
      </c>
      <c r="B1134">
        <f>A1134+1</f>
        <v>1803</v>
      </c>
      <c r="C1134" t="s">
        <v>509</v>
      </c>
      <c r="D1134" t="s">
        <v>27</v>
      </c>
      <c r="E1134" s="208" t="s">
        <v>124</v>
      </c>
      <c r="F1134" t="s">
        <v>15</v>
      </c>
      <c r="G1134" s="18">
        <v>15866291</v>
      </c>
      <c r="H1134" t="s">
        <v>561</v>
      </c>
      <c r="I1134" s="151" t="s">
        <v>562</v>
      </c>
    </row>
    <row r="1135" spans="1:9" x14ac:dyDescent="0.25">
      <c r="A1135">
        <v>1802</v>
      </c>
      <c r="B1135">
        <f>A1135+1</f>
        <v>1803</v>
      </c>
      <c r="C1135" t="s">
        <v>509</v>
      </c>
      <c r="D1135" t="s">
        <v>27</v>
      </c>
      <c r="E1135" s="208" t="s">
        <v>139</v>
      </c>
      <c r="F1135" t="s">
        <v>15</v>
      </c>
      <c r="G1135" s="18">
        <v>456</v>
      </c>
      <c r="H1135" t="s">
        <v>561</v>
      </c>
      <c r="I1135" s="151" t="s">
        <v>562</v>
      </c>
    </row>
    <row r="1136" spans="1:9" x14ac:dyDescent="0.25">
      <c r="A1136">
        <v>1802</v>
      </c>
      <c r="B1136">
        <f>A1136+1</f>
        <v>1803</v>
      </c>
      <c r="C1136" t="s">
        <v>509</v>
      </c>
      <c r="D1136" t="s">
        <v>26</v>
      </c>
      <c r="E1136" s="208" t="s">
        <v>62</v>
      </c>
      <c r="F1136" t="s">
        <v>15</v>
      </c>
      <c r="G1136" s="18">
        <v>974</v>
      </c>
      <c r="H1136" s="151" t="s">
        <v>563</v>
      </c>
      <c r="I1136" t="s">
        <v>561</v>
      </c>
    </row>
    <row r="1137" spans="1:9" x14ac:dyDescent="0.25">
      <c r="A1137">
        <v>1802</v>
      </c>
      <c r="B1137">
        <f>A1137+1</f>
        <v>1803</v>
      </c>
      <c r="C1137" t="s">
        <v>509</v>
      </c>
      <c r="D1137" t="s">
        <v>26</v>
      </c>
      <c r="E1137" s="208" t="s">
        <v>58</v>
      </c>
      <c r="F1137" t="s">
        <v>15</v>
      </c>
      <c r="G1137" s="18">
        <v>102</v>
      </c>
      <c r="H1137" s="151" t="s">
        <v>563</v>
      </c>
      <c r="I1137" t="s">
        <v>561</v>
      </c>
    </row>
    <row r="1138" spans="1:9" x14ac:dyDescent="0.25">
      <c r="A1138">
        <v>1802</v>
      </c>
      <c r="B1138">
        <f>A1138+1</f>
        <v>1803</v>
      </c>
      <c r="C1138" t="s">
        <v>509</v>
      </c>
      <c r="D1138" t="s">
        <v>26</v>
      </c>
      <c r="E1138" s="208" t="s">
        <v>57</v>
      </c>
      <c r="F1138" t="s">
        <v>15</v>
      </c>
      <c r="G1138" s="18">
        <v>122489.5</v>
      </c>
      <c r="H1138" s="151" t="s">
        <v>563</v>
      </c>
      <c r="I1138" t="s">
        <v>561</v>
      </c>
    </row>
    <row r="1139" spans="1:9" x14ac:dyDescent="0.25">
      <c r="A1139">
        <v>1802</v>
      </c>
      <c r="B1139">
        <f>A1139+1</f>
        <v>1803</v>
      </c>
      <c r="C1139" t="s">
        <v>509</v>
      </c>
      <c r="D1139" t="s">
        <v>26</v>
      </c>
      <c r="E1139" s="208" t="s">
        <v>35</v>
      </c>
      <c r="F1139" t="s">
        <v>15</v>
      </c>
      <c r="G1139" s="18">
        <v>9007</v>
      </c>
      <c r="H1139" s="151" t="s">
        <v>563</v>
      </c>
      <c r="I1139" t="s">
        <v>561</v>
      </c>
    </row>
    <row r="1140" spans="1:9" x14ac:dyDescent="0.25">
      <c r="A1140">
        <v>1802</v>
      </c>
      <c r="B1140">
        <f>A1140+1</f>
        <v>1803</v>
      </c>
      <c r="C1140" t="s">
        <v>509</v>
      </c>
      <c r="D1140" t="s">
        <v>26</v>
      </c>
      <c r="E1140" s="208" t="s">
        <v>36</v>
      </c>
      <c r="F1140" t="s">
        <v>15</v>
      </c>
      <c r="G1140" s="18">
        <v>7283.5</v>
      </c>
      <c r="H1140" s="151" t="s">
        <v>563</v>
      </c>
      <c r="I1140" t="s">
        <v>561</v>
      </c>
    </row>
    <row r="1141" spans="1:9" x14ac:dyDescent="0.25">
      <c r="A1141">
        <v>1802</v>
      </c>
      <c r="B1141">
        <f>A1141+1</f>
        <v>1803</v>
      </c>
      <c r="C1141" t="s">
        <v>509</v>
      </c>
      <c r="D1141" t="s">
        <v>26</v>
      </c>
      <c r="E1141" s="208" t="s">
        <v>39</v>
      </c>
      <c r="F1141" t="s">
        <v>15</v>
      </c>
      <c r="G1141" s="18">
        <v>2022</v>
      </c>
      <c r="H1141" s="151" t="s">
        <v>563</v>
      </c>
      <c r="I1141" t="s">
        <v>561</v>
      </c>
    </row>
    <row r="1142" spans="1:9" x14ac:dyDescent="0.25">
      <c r="A1142">
        <v>1802</v>
      </c>
      <c r="B1142">
        <f>A1142+1</f>
        <v>1803</v>
      </c>
      <c r="C1142" t="s">
        <v>509</v>
      </c>
      <c r="D1142" t="s">
        <v>26</v>
      </c>
      <c r="E1142" s="208" t="s">
        <v>42</v>
      </c>
      <c r="F1142" t="s">
        <v>15</v>
      </c>
      <c r="G1142" s="18">
        <v>679</v>
      </c>
      <c r="H1142" s="151" t="s">
        <v>563</v>
      </c>
      <c r="I1142" t="s">
        <v>561</v>
      </c>
    </row>
    <row r="1143" spans="1:9" x14ac:dyDescent="0.25">
      <c r="A1143">
        <v>1802</v>
      </c>
      <c r="B1143">
        <f>A1143+1</f>
        <v>1803</v>
      </c>
      <c r="C1143" t="s">
        <v>509</v>
      </c>
      <c r="D1143" t="s">
        <v>26</v>
      </c>
      <c r="E1143" s="208" t="s">
        <v>99</v>
      </c>
      <c r="F1143" t="s">
        <v>15</v>
      </c>
      <c r="G1143" s="18">
        <v>3333.5</v>
      </c>
      <c r="H1143" s="151" t="s">
        <v>563</v>
      </c>
      <c r="I1143" t="s">
        <v>561</v>
      </c>
    </row>
    <row r="1144" spans="1:9" x14ac:dyDescent="0.25">
      <c r="A1144">
        <v>1802</v>
      </c>
      <c r="B1144">
        <f>A1144+1</f>
        <v>1803</v>
      </c>
      <c r="C1144" t="s">
        <v>509</v>
      </c>
      <c r="D1144" t="s">
        <v>26</v>
      </c>
      <c r="E1144" s="208" t="s">
        <v>28</v>
      </c>
      <c r="F1144" t="s">
        <v>15</v>
      </c>
      <c r="G1144" s="18">
        <v>6682</v>
      </c>
      <c r="H1144" s="151" t="s">
        <v>563</v>
      </c>
      <c r="I1144" t="s">
        <v>561</v>
      </c>
    </row>
    <row r="1145" spans="1:9" x14ac:dyDescent="0.25">
      <c r="A1145">
        <v>1802</v>
      </c>
      <c r="B1145">
        <f>A1145+1</f>
        <v>1803</v>
      </c>
      <c r="C1145" t="s">
        <v>509</v>
      </c>
      <c r="D1145" t="s">
        <v>26</v>
      </c>
      <c r="E1145" s="208" t="s">
        <v>89</v>
      </c>
      <c r="F1145" t="s">
        <v>15</v>
      </c>
      <c r="G1145" s="18">
        <v>13552.5</v>
      </c>
      <c r="H1145" s="151" t="s">
        <v>563</v>
      </c>
      <c r="I1145" t="s">
        <v>561</v>
      </c>
    </row>
    <row r="1146" spans="1:9" x14ac:dyDescent="0.25">
      <c r="A1146">
        <v>1802</v>
      </c>
      <c r="B1146">
        <f>A1146+1</f>
        <v>1803</v>
      </c>
      <c r="C1146" t="s">
        <v>509</v>
      </c>
      <c r="D1146" t="s">
        <v>26</v>
      </c>
      <c r="E1146" s="208" t="s">
        <v>45</v>
      </c>
      <c r="F1146" t="s">
        <v>15</v>
      </c>
      <c r="G1146" s="18">
        <v>2705</v>
      </c>
      <c r="H1146" s="151" t="s">
        <v>563</v>
      </c>
      <c r="I1146" t="s">
        <v>561</v>
      </c>
    </row>
    <row r="1147" spans="1:9" x14ac:dyDescent="0.25">
      <c r="A1147">
        <v>1802</v>
      </c>
      <c r="B1147">
        <f>A1147+1</f>
        <v>1803</v>
      </c>
      <c r="C1147" t="s">
        <v>509</v>
      </c>
      <c r="D1147" t="s">
        <v>26</v>
      </c>
      <c r="E1147" s="208" t="s">
        <v>323</v>
      </c>
      <c r="F1147" t="s">
        <v>15</v>
      </c>
      <c r="G1147" s="18">
        <v>882</v>
      </c>
      <c r="H1147" s="151" t="s">
        <v>563</v>
      </c>
      <c r="I1147" t="s">
        <v>561</v>
      </c>
    </row>
    <row r="1148" spans="1:9" x14ac:dyDescent="0.25">
      <c r="A1148">
        <v>1802</v>
      </c>
      <c r="B1148">
        <f>A1148+1</f>
        <v>1803</v>
      </c>
      <c r="C1148" t="s">
        <v>509</v>
      </c>
      <c r="D1148" t="s">
        <v>26</v>
      </c>
      <c r="E1148" s="208" t="s">
        <v>277</v>
      </c>
      <c r="F1148" t="s">
        <v>15</v>
      </c>
      <c r="G1148" s="18">
        <v>5676</v>
      </c>
      <c r="H1148" s="151" t="s">
        <v>563</v>
      </c>
      <c r="I1148" t="s">
        <v>561</v>
      </c>
    </row>
    <row r="1149" spans="1:9" x14ac:dyDescent="0.25">
      <c r="A1149">
        <v>1802</v>
      </c>
      <c r="B1149">
        <f>A1149+1</f>
        <v>1803</v>
      </c>
      <c r="C1149" t="s">
        <v>509</v>
      </c>
      <c r="D1149" t="s">
        <v>26</v>
      </c>
      <c r="E1149" s="208" t="s">
        <v>54</v>
      </c>
      <c r="F1149" t="s">
        <v>15</v>
      </c>
      <c r="G1149" s="18">
        <v>833</v>
      </c>
      <c r="H1149" s="151" t="s">
        <v>563</v>
      </c>
      <c r="I1149" t="s">
        <v>561</v>
      </c>
    </row>
    <row r="1150" spans="1:9" x14ac:dyDescent="0.25">
      <c r="A1150">
        <v>1802</v>
      </c>
      <c r="B1150">
        <f>A1150+1</f>
        <v>1803</v>
      </c>
      <c r="C1150" t="s">
        <v>509</v>
      </c>
      <c r="D1150" t="s">
        <v>26</v>
      </c>
      <c r="E1150" s="208" t="s">
        <v>53</v>
      </c>
      <c r="F1150" t="s">
        <v>15</v>
      </c>
      <c r="G1150" s="18">
        <v>124959</v>
      </c>
      <c r="H1150" s="151" t="s">
        <v>563</v>
      </c>
      <c r="I1150" t="s">
        <v>561</v>
      </c>
    </row>
    <row r="1151" spans="1:9" x14ac:dyDescent="0.25">
      <c r="A1151">
        <v>1802</v>
      </c>
      <c r="B1151">
        <f>A1151+1</f>
        <v>1803</v>
      </c>
      <c r="C1151" t="s">
        <v>509</v>
      </c>
      <c r="D1151" t="s">
        <v>26</v>
      </c>
      <c r="E1151" s="208" t="s">
        <v>82</v>
      </c>
      <c r="F1151" t="s">
        <v>15</v>
      </c>
      <c r="G1151" s="18">
        <v>97</v>
      </c>
      <c r="H1151" s="151" t="s">
        <v>563</v>
      </c>
      <c r="I1151" t="s">
        <v>561</v>
      </c>
    </row>
    <row r="1152" spans="1:9" x14ac:dyDescent="0.25">
      <c r="A1152">
        <v>1802</v>
      </c>
      <c r="B1152">
        <f>A1152+1</f>
        <v>1803</v>
      </c>
      <c r="C1152" t="s">
        <v>509</v>
      </c>
      <c r="D1152" t="s">
        <v>26</v>
      </c>
      <c r="E1152" s="208" t="s">
        <v>51</v>
      </c>
      <c r="F1152" t="s">
        <v>15</v>
      </c>
      <c r="G1152" s="18">
        <v>4970</v>
      </c>
      <c r="H1152" s="151" t="s">
        <v>563</v>
      </c>
      <c r="I1152" t="s">
        <v>561</v>
      </c>
    </row>
    <row r="1153" spans="1:9" x14ac:dyDescent="0.25">
      <c r="A1153">
        <v>1802</v>
      </c>
      <c r="B1153">
        <f>A1153+1</f>
        <v>1803</v>
      </c>
      <c r="C1153" t="s">
        <v>509</v>
      </c>
      <c r="D1153" t="s">
        <v>26</v>
      </c>
      <c r="E1153" s="208" t="s">
        <v>104</v>
      </c>
      <c r="F1153" t="s">
        <v>15</v>
      </c>
      <c r="G1153" s="18">
        <v>319</v>
      </c>
      <c r="H1153" s="151" t="s">
        <v>563</v>
      </c>
      <c r="I1153" t="s">
        <v>561</v>
      </c>
    </row>
    <row r="1154" spans="1:9" x14ac:dyDescent="0.25">
      <c r="A1154">
        <v>1802</v>
      </c>
      <c r="B1154">
        <f>A1154+1</f>
        <v>1803</v>
      </c>
      <c r="C1154" t="s">
        <v>509</v>
      </c>
      <c r="D1154" t="s">
        <v>26</v>
      </c>
      <c r="E1154" s="208" t="s">
        <v>75</v>
      </c>
      <c r="F1154" t="s">
        <v>15</v>
      </c>
      <c r="G1154" s="18">
        <v>9365958</v>
      </c>
      <c r="H1154" s="151" t="s">
        <v>563</v>
      </c>
      <c r="I1154" t="s">
        <v>561</v>
      </c>
    </row>
    <row r="1155" spans="1:9" x14ac:dyDescent="0.25">
      <c r="A1155">
        <v>1802</v>
      </c>
      <c r="B1155">
        <f>A1155+1</f>
        <v>1803</v>
      </c>
      <c r="C1155" t="s">
        <v>509</v>
      </c>
      <c r="D1155" t="s">
        <v>26</v>
      </c>
      <c r="E1155" s="208" t="s">
        <v>107</v>
      </c>
      <c r="F1155" t="s">
        <v>15</v>
      </c>
      <c r="G1155" s="18">
        <v>194432</v>
      </c>
      <c r="H1155" s="151" t="s">
        <v>563</v>
      </c>
      <c r="I1155" t="s">
        <v>561</v>
      </c>
    </row>
    <row r="1156" spans="1:9" x14ac:dyDescent="0.25">
      <c r="A1156">
        <v>1802</v>
      </c>
      <c r="B1156">
        <f>A1156+1</f>
        <v>1803</v>
      </c>
      <c r="C1156" t="s">
        <v>509</v>
      </c>
      <c r="D1156" t="s">
        <v>26</v>
      </c>
      <c r="E1156" s="208" t="s">
        <v>276</v>
      </c>
      <c r="F1156" t="s">
        <v>15</v>
      </c>
      <c r="G1156" s="18">
        <v>7784817</v>
      </c>
      <c r="H1156" s="151" t="s">
        <v>563</v>
      </c>
      <c r="I1156" t="s">
        <v>561</v>
      </c>
    </row>
    <row r="1157" spans="1:9" x14ac:dyDescent="0.25">
      <c r="A1157">
        <v>1802</v>
      </c>
      <c r="B1157">
        <f>A1157+1</f>
        <v>1803</v>
      </c>
      <c r="C1157" t="s">
        <v>509</v>
      </c>
      <c r="D1157" t="s">
        <v>26</v>
      </c>
      <c r="E1157" s="208" t="s">
        <v>101</v>
      </c>
      <c r="F1157" t="s">
        <v>15</v>
      </c>
      <c r="G1157" s="18">
        <v>10621442</v>
      </c>
      <c r="H1157" s="151" t="s">
        <v>563</v>
      </c>
      <c r="I1157" t="s">
        <v>561</v>
      </c>
    </row>
    <row r="1158" spans="1:9" x14ac:dyDescent="0.25">
      <c r="A1158">
        <v>1802</v>
      </c>
      <c r="B1158">
        <f>A1158+1</f>
        <v>1803</v>
      </c>
      <c r="C1158" t="s">
        <v>509</v>
      </c>
      <c r="D1158" t="s">
        <v>26</v>
      </c>
      <c r="E1158" s="208" t="s">
        <v>78</v>
      </c>
      <c r="F1158" t="s">
        <v>15</v>
      </c>
      <c r="G1158" s="18">
        <v>75</v>
      </c>
      <c r="H1158" s="151" t="s">
        <v>563</v>
      </c>
      <c r="I1158" t="s">
        <v>561</v>
      </c>
    </row>
    <row r="1159" spans="1:9" x14ac:dyDescent="0.25">
      <c r="A1159">
        <v>1802</v>
      </c>
      <c r="B1159">
        <f>A1159+1</f>
        <v>1803</v>
      </c>
      <c r="C1159" t="s">
        <v>509</v>
      </c>
      <c r="D1159" t="s">
        <v>26</v>
      </c>
      <c r="E1159" s="208" t="s">
        <v>77</v>
      </c>
      <c r="F1159" t="s">
        <v>15</v>
      </c>
      <c r="G1159" s="18">
        <v>167482</v>
      </c>
      <c r="H1159" s="151" t="s">
        <v>563</v>
      </c>
      <c r="I1159" t="s">
        <v>561</v>
      </c>
    </row>
    <row r="1160" spans="1:9" x14ac:dyDescent="0.25">
      <c r="A1160">
        <v>1802</v>
      </c>
      <c r="B1160">
        <f>A1160+1</f>
        <v>1803</v>
      </c>
      <c r="C1160" t="s">
        <v>509</v>
      </c>
      <c r="D1160" t="s">
        <v>26</v>
      </c>
      <c r="E1160" s="208" t="s">
        <v>330</v>
      </c>
      <c r="F1160" t="s">
        <v>15</v>
      </c>
      <c r="G1160" s="18">
        <v>2520</v>
      </c>
      <c r="H1160" s="151" t="s">
        <v>563</v>
      </c>
      <c r="I1160" t="s">
        <v>561</v>
      </c>
    </row>
    <row r="1161" spans="1:9" x14ac:dyDescent="0.25">
      <c r="A1161">
        <v>1802</v>
      </c>
      <c r="B1161">
        <f>A1161+1</f>
        <v>1803</v>
      </c>
      <c r="C1161" t="s">
        <v>509</v>
      </c>
      <c r="D1161" t="s">
        <v>26</v>
      </c>
      <c r="E1161" s="208" t="s">
        <v>331</v>
      </c>
      <c r="F1161" t="s">
        <v>15</v>
      </c>
      <c r="G1161" s="18">
        <v>2329</v>
      </c>
      <c r="H1161" s="151" t="s">
        <v>563</v>
      </c>
      <c r="I1161" t="s">
        <v>561</v>
      </c>
    </row>
    <row r="1162" spans="1:9" x14ac:dyDescent="0.25">
      <c r="A1162">
        <v>1802</v>
      </c>
      <c r="B1162">
        <f>A1162+1</f>
        <v>1803</v>
      </c>
      <c r="C1162" t="s">
        <v>509</v>
      </c>
      <c r="D1162" t="s">
        <v>26</v>
      </c>
      <c r="E1162" s="208" t="s">
        <v>332</v>
      </c>
      <c r="F1162" t="s">
        <v>15</v>
      </c>
      <c r="G1162" s="18">
        <v>383</v>
      </c>
      <c r="H1162" s="151" t="s">
        <v>563</v>
      </c>
      <c r="I1162" t="s">
        <v>561</v>
      </c>
    </row>
    <row r="1163" spans="1:9" x14ac:dyDescent="0.25">
      <c r="A1163">
        <v>1802</v>
      </c>
      <c r="B1163">
        <f>A1163+1</f>
        <v>1803</v>
      </c>
      <c r="C1163" t="s">
        <v>509</v>
      </c>
      <c r="D1163" t="s">
        <v>26</v>
      </c>
      <c r="E1163" s="208" t="s">
        <v>333</v>
      </c>
      <c r="F1163" t="s">
        <v>15</v>
      </c>
      <c r="G1163" s="18">
        <v>3932</v>
      </c>
      <c r="H1163" s="151" t="s">
        <v>563</v>
      </c>
      <c r="I1163" t="s">
        <v>561</v>
      </c>
    </row>
    <row r="1164" spans="1:9" x14ac:dyDescent="0.25">
      <c r="A1164">
        <v>1802</v>
      </c>
      <c r="B1164">
        <f>A1164+1</f>
        <v>1803</v>
      </c>
      <c r="C1164" t="s">
        <v>509</v>
      </c>
      <c r="D1164" t="s">
        <v>26</v>
      </c>
      <c r="E1164" s="208" t="s">
        <v>567</v>
      </c>
      <c r="F1164" t="s">
        <v>3</v>
      </c>
      <c r="G1164" s="18">
        <v>7719.5</v>
      </c>
      <c r="H1164" t="s">
        <v>24</v>
      </c>
      <c r="I1164" t="s">
        <v>16</v>
      </c>
    </row>
    <row r="1165" spans="1:9" x14ac:dyDescent="0.25">
      <c r="A1165">
        <v>1802</v>
      </c>
      <c r="B1165">
        <f>A1165+1</f>
        <v>1803</v>
      </c>
      <c r="C1165" t="s">
        <v>509</v>
      </c>
      <c r="D1165" t="s">
        <v>26</v>
      </c>
      <c r="E1165" s="208" t="s">
        <v>567</v>
      </c>
      <c r="F1165" t="s">
        <v>4</v>
      </c>
      <c r="G1165" s="18">
        <v>7975.5</v>
      </c>
      <c r="H1165" t="s">
        <v>23</v>
      </c>
      <c r="I1165" t="s">
        <v>16</v>
      </c>
    </row>
    <row r="1166" spans="1:9" x14ac:dyDescent="0.25">
      <c r="A1166">
        <v>1802</v>
      </c>
      <c r="B1166">
        <f>A1166+1</f>
        <v>1803</v>
      </c>
      <c r="C1166" t="s">
        <v>509</v>
      </c>
      <c r="D1166" t="s">
        <v>26</v>
      </c>
      <c r="E1166" s="208" t="s">
        <v>567</v>
      </c>
      <c r="F1166" t="s">
        <v>7</v>
      </c>
      <c r="G1166" s="18">
        <v>15695</v>
      </c>
      <c r="H1166" s="151" t="s">
        <v>563</v>
      </c>
      <c r="I1166" t="s">
        <v>16</v>
      </c>
    </row>
    <row r="1167" spans="1:9" x14ac:dyDescent="0.25">
      <c r="A1167">
        <v>1802</v>
      </c>
      <c r="B1167">
        <f>A1167+1</f>
        <v>1803</v>
      </c>
      <c r="C1167" t="s">
        <v>509</v>
      </c>
      <c r="D1167" t="s">
        <v>26</v>
      </c>
      <c r="E1167" s="208" t="s">
        <v>567</v>
      </c>
      <c r="F1167" t="s">
        <v>10</v>
      </c>
      <c r="G1167" s="18">
        <v>687</v>
      </c>
      <c r="H1167" t="s">
        <v>24</v>
      </c>
      <c r="I1167" t="s">
        <v>17</v>
      </c>
    </row>
    <row r="1168" spans="1:9" x14ac:dyDescent="0.25">
      <c r="A1168">
        <v>1802</v>
      </c>
      <c r="B1168">
        <f>A1168+1</f>
        <v>1803</v>
      </c>
      <c r="C1168" t="s">
        <v>509</v>
      </c>
      <c r="D1168" t="s">
        <v>26</v>
      </c>
      <c r="E1168" s="208" t="s">
        <v>567</v>
      </c>
      <c r="F1168" t="s">
        <v>11</v>
      </c>
      <c r="G1168" s="18">
        <v>12927</v>
      </c>
      <c r="H1168" t="s">
        <v>23</v>
      </c>
      <c r="I1168" t="s">
        <v>17</v>
      </c>
    </row>
    <row r="1169" spans="1:9" x14ac:dyDescent="0.25">
      <c r="A1169">
        <v>1802</v>
      </c>
      <c r="B1169">
        <f>A1169+1</f>
        <v>1803</v>
      </c>
      <c r="C1169" t="s">
        <v>509</v>
      </c>
      <c r="D1169" t="s">
        <v>26</v>
      </c>
      <c r="E1169" s="208" t="s">
        <v>567</v>
      </c>
      <c r="F1169" t="s">
        <v>14</v>
      </c>
      <c r="G1169" s="18">
        <v>13614</v>
      </c>
      <c r="H1169" s="151" t="s">
        <v>563</v>
      </c>
      <c r="I1169" t="s">
        <v>17</v>
      </c>
    </row>
    <row r="1170" spans="1:9" x14ac:dyDescent="0.25">
      <c r="A1170">
        <v>1802</v>
      </c>
      <c r="B1170">
        <f>A1170+1</f>
        <v>1803</v>
      </c>
      <c r="C1170" t="s">
        <v>509</v>
      </c>
      <c r="D1170" t="s">
        <v>26</v>
      </c>
      <c r="E1170" s="208" t="s">
        <v>567</v>
      </c>
      <c r="F1170" t="s">
        <v>15</v>
      </c>
      <c r="G1170" s="18">
        <v>29309</v>
      </c>
      <c r="H1170" s="151" t="s">
        <v>563</v>
      </c>
      <c r="I1170" t="s">
        <v>561</v>
      </c>
    </row>
    <row r="1171" spans="1:9" x14ac:dyDescent="0.25">
      <c r="A1171">
        <v>1802</v>
      </c>
      <c r="B1171">
        <f>A1171+1</f>
        <v>1803</v>
      </c>
      <c r="C1171" t="s">
        <v>509</v>
      </c>
      <c r="D1171" t="s">
        <v>26</v>
      </c>
      <c r="E1171" s="208" t="s">
        <v>572</v>
      </c>
      <c r="F1171" t="s">
        <v>3</v>
      </c>
      <c r="G1171" s="18">
        <v>306</v>
      </c>
      <c r="H1171" t="s">
        <v>24</v>
      </c>
      <c r="I1171" t="s">
        <v>16</v>
      </c>
    </row>
    <row r="1172" spans="1:9" x14ac:dyDescent="0.25">
      <c r="A1172">
        <v>1802</v>
      </c>
      <c r="B1172">
        <f>A1172+1</f>
        <v>1803</v>
      </c>
      <c r="C1172" t="s">
        <v>509</v>
      </c>
      <c r="D1172" t="s">
        <v>26</v>
      </c>
      <c r="E1172" s="208" t="s">
        <v>572</v>
      </c>
      <c r="F1172" t="s">
        <v>4</v>
      </c>
      <c r="G1172" s="18">
        <v>2380</v>
      </c>
      <c r="H1172" t="s">
        <v>23</v>
      </c>
      <c r="I1172" t="s">
        <v>16</v>
      </c>
    </row>
    <row r="1173" spans="1:9" x14ac:dyDescent="0.25">
      <c r="A1173">
        <v>1802</v>
      </c>
      <c r="B1173">
        <f>A1173+1</f>
        <v>1803</v>
      </c>
      <c r="C1173" t="s">
        <v>509</v>
      </c>
      <c r="D1173" t="s">
        <v>26</v>
      </c>
      <c r="E1173" s="208" t="s">
        <v>572</v>
      </c>
      <c r="F1173" t="s">
        <v>7</v>
      </c>
      <c r="G1173" s="18">
        <v>2686</v>
      </c>
      <c r="H1173" s="151" t="s">
        <v>563</v>
      </c>
      <c r="I1173" t="s">
        <v>16</v>
      </c>
    </row>
    <row r="1174" spans="1:9" x14ac:dyDescent="0.25">
      <c r="A1174">
        <v>1802</v>
      </c>
      <c r="B1174">
        <f>A1174+1</f>
        <v>1803</v>
      </c>
      <c r="C1174" t="s">
        <v>509</v>
      </c>
      <c r="D1174" t="s">
        <v>26</v>
      </c>
      <c r="E1174" s="208" t="s">
        <v>572</v>
      </c>
      <c r="F1174" t="s">
        <v>10</v>
      </c>
      <c r="G1174" s="18">
        <v>0</v>
      </c>
      <c r="H1174" t="s">
        <v>24</v>
      </c>
      <c r="I1174" t="s">
        <v>17</v>
      </c>
    </row>
    <row r="1175" spans="1:9" x14ac:dyDescent="0.25">
      <c r="A1175">
        <v>1802</v>
      </c>
      <c r="B1175">
        <f>A1175+1</f>
        <v>1803</v>
      </c>
      <c r="C1175" t="s">
        <v>509</v>
      </c>
      <c r="D1175" t="s">
        <v>26</v>
      </c>
      <c r="E1175" s="208" t="s">
        <v>572</v>
      </c>
      <c r="F1175" t="s">
        <v>11</v>
      </c>
      <c r="G1175" s="18">
        <v>130</v>
      </c>
      <c r="H1175" t="s">
        <v>23</v>
      </c>
      <c r="I1175" t="s">
        <v>17</v>
      </c>
    </row>
    <row r="1176" spans="1:9" x14ac:dyDescent="0.25">
      <c r="A1176">
        <v>1802</v>
      </c>
      <c r="B1176">
        <f>A1176+1</f>
        <v>1803</v>
      </c>
      <c r="C1176" t="s">
        <v>509</v>
      </c>
      <c r="D1176" t="s">
        <v>26</v>
      </c>
      <c r="E1176" s="208" t="s">
        <v>572</v>
      </c>
      <c r="F1176" t="s">
        <v>14</v>
      </c>
      <c r="G1176" s="18">
        <v>130</v>
      </c>
      <c r="H1176" s="151" t="s">
        <v>563</v>
      </c>
      <c r="I1176" t="s">
        <v>17</v>
      </c>
    </row>
    <row r="1177" spans="1:9" x14ac:dyDescent="0.25">
      <c r="A1177">
        <v>1802</v>
      </c>
      <c r="B1177">
        <f>A1177+1</f>
        <v>1803</v>
      </c>
      <c r="C1177" t="s">
        <v>509</v>
      </c>
      <c r="D1177" t="s">
        <v>26</v>
      </c>
      <c r="E1177" s="208" t="s">
        <v>572</v>
      </c>
      <c r="F1177" t="s">
        <v>15</v>
      </c>
      <c r="G1177" s="18">
        <v>2816</v>
      </c>
      <c r="H1177" s="151" t="s">
        <v>563</v>
      </c>
      <c r="I1177" t="s">
        <v>561</v>
      </c>
    </row>
    <row r="1178" spans="1:9" x14ac:dyDescent="0.25">
      <c r="A1178">
        <v>1802</v>
      </c>
      <c r="B1178">
        <f>A1178+1</f>
        <v>1803</v>
      </c>
      <c r="C1178" t="s">
        <v>509</v>
      </c>
      <c r="D1178" t="s">
        <v>26</v>
      </c>
      <c r="E1178" s="208" t="s">
        <v>570</v>
      </c>
      <c r="F1178" t="s">
        <v>3</v>
      </c>
      <c r="G1178" s="18">
        <v>2636</v>
      </c>
      <c r="H1178" t="s">
        <v>24</v>
      </c>
      <c r="I1178" t="s">
        <v>16</v>
      </c>
    </row>
    <row r="1179" spans="1:9" x14ac:dyDescent="0.25">
      <c r="A1179">
        <v>1802</v>
      </c>
      <c r="B1179">
        <f>A1179+1</f>
        <v>1803</v>
      </c>
      <c r="C1179" t="s">
        <v>509</v>
      </c>
      <c r="D1179" t="s">
        <v>26</v>
      </c>
      <c r="E1179" s="208" t="s">
        <v>570</v>
      </c>
      <c r="F1179" t="s">
        <v>4</v>
      </c>
      <c r="G1179" s="18">
        <v>851</v>
      </c>
      <c r="H1179" t="s">
        <v>23</v>
      </c>
      <c r="I1179" t="s">
        <v>16</v>
      </c>
    </row>
    <row r="1180" spans="1:9" x14ac:dyDescent="0.25">
      <c r="A1180">
        <v>1802</v>
      </c>
      <c r="B1180">
        <f>A1180+1</f>
        <v>1803</v>
      </c>
      <c r="C1180" t="s">
        <v>509</v>
      </c>
      <c r="D1180" t="s">
        <v>26</v>
      </c>
      <c r="E1180" s="208" t="s">
        <v>570</v>
      </c>
      <c r="F1180" t="s">
        <v>7</v>
      </c>
      <c r="G1180" s="18">
        <v>3487</v>
      </c>
      <c r="H1180" s="151" t="s">
        <v>563</v>
      </c>
      <c r="I1180" t="s">
        <v>16</v>
      </c>
    </row>
    <row r="1181" spans="1:9" x14ac:dyDescent="0.25">
      <c r="A1181">
        <v>1802</v>
      </c>
      <c r="B1181">
        <f>A1181+1</f>
        <v>1803</v>
      </c>
      <c r="C1181" t="s">
        <v>509</v>
      </c>
      <c r="D1181" t="s">
        <v>26</v>
      </c>
      <c r="E1181" s="208" t="s">
        <v>570</v>
      </c>
      <c r="F1181" t="s">
        <v>10</v>
      </c>
      <c r="G1181" s="18">
        <v>63</v>
      </c>
      <c r="H1181" t="s">
        <v>24</v>
      </c>
      <c r="I1181" t="s">
        <v>17</v>
      </c>
    </row>
    <row r="1182" spans="1:9" x14ac:dyDescent="0.25">
      <c r="A1182">
        <v>1802</v>
      </c>
      <c r="B1182">
        <f>A1182+1</f>
        <v>1803</v>
      </c>
      <c r="C1182" t="s">
        <v>509</v>
      </c>
      <c r="D1182" t="s">
        <v>26</v>
      </c>
      <c r="E1182" s="208" t="s">
        <v>570</v>
      </c>
      <c r="F1182" t="s">
        <v>11</v>
      </c>
      <c r="G1182" s="18">
        <v>1470</v>
      </c>
      <c r="H1182" t="s">
        <v>23</v>
      </c>
      <c r="I1182" t="s">
        <v>17</v>
      </c>
    </row>
    <row r="1183" spans="1:9" x14ac:dyDescent="0.25">
      <c r="A1183">
        <v>1802</v>
      </c>
      <c r="B1183">
        <f>A1183+1</f>
        <v>1803</v>
      </c>
      <c r="C1183" t="s">
        <v>509</v>
      </c>
      <c r="D1183" t="s">
        <v>26</v>
      </c>
      <c r="E1183" s="208" t="s">
        <v>570</v>
      </c>
      <c r="F1183" t="s">
        <v>14</v>
      </c>
      <c r="G1183" s="18">
        <v>1533</v>
      </c>
      <c r="H1183" s="151" t="s">
        <v>563</v>
      </c>
      <c r="I1183" t="s">
        <v>17</v>
      </c>
    </row>
    <row r="1184" spans="1:9" x14ac:dyDescent="0.25">
      <c r="A1184">
        <v>1802</v>
      </c>
      <c r="B1184">
        <f>A1184+1</f>
        <v>1803</v>
      </c>
      <c r="C1184" t="s">
        <v>509</v>
      </c>
      <c r="D1184" t="s">
        <v>26</v>
      </c>
      <c r="E1184" s="208" t="s">
        <v>570</v>
      </c>
      <c r="F1184" t="s">
        <v>15</v>
      </c>
      <c r="G1184" s="18">
        <v>5020</v>
      </c>
      <c r="H1184" s="151" t="s">
        <v>563</v>
      </c>
      <c r="I1184" t="s">
        <v>561</v>
      </c>
    </row>
    <row r="1185" spans="1:9" x14ac:dyDescent="0.25">
      <c r="A1185">
        <v>1802</v>
      </c>
      <c r="B1185">
        <f>A1185+1</f>
        <v>1803</v>
      </c>
      <c r="C1185" t="s">
        <v>509</v>
      </c>
      <c r="D1185" t="s">
        <v>26</v>
      </c>
      <c r="E1185" s="208" t="s">
        <v>569</v>
      </c>
      <c r="F1185" t="s">
        <v>3</v>
      </c>
      <c r="G1185" s="18">
        <v>483</v>
      </c>
      <c r="H1185" t="s">
        <v>24</v>
      </c>
      <c r="I1185" t="s">
        <v>16</v>
      </c>
    </row>
    <row r="1186" spans="1:9" x14ac:dyDescent="0.25">
      <c r="A1186">
        <v>1802</v>
      </c>
      <c r="B1186">
        <f>A1186+1</f>
        <v>1803</v>
      </c>
      <c r="C1186" t="s">
        <v>509</v>
      </c>
      <c r="D1186" t="s">
        <v>26</v>
      </c>
      <c r="E1186" s="208" t="s">
        <v>569</v>
      </c>
      <c r="F1186" t="s">
        <v>4</v>
      </c>
      <c r="G1186" s="18">
        <v>1528</v>
      </c>
      <c r="H1186" t="s">
        <v>23</v>
      </c>
      <c r="I1186" t="s">
        <v>16</v>
      </c>
    </row>
    <row r="1187" spans="1:9" x14ac:dyDescent="0.25">
      <c r="A1187">
        <v>1802</v>
      </c>
      <c r="B1187">
        <f>A1187+1</f>
        <v>1803</v>
      </c>
      <c r="C1187" t="s">
        <v>509</v>
      </c>
      <c r="D1187" t="s">
        <v>26</v>
      </c>
      <c r="E1187" s="208" t="s">
        <v>569</v>
      </c>
      <c r="F1187" t="s">
        <v>7</v>
      </c>
      <c r="G1187" s="18">
        <v>2011</v>
      </c>
      <c r="H1187" s="151" t="s">
        <v>563</v>
      </c>
      <c r="I1187" t="s">
        <v>16</v>
      </c>
    </row>
    <row r="1188" spans="1:9" x14ac:dyDescent="0.25">
      <c r="A1188">
        <v>1802</v>
      </c>
      <c r="B1188">
        <f>A1188+1</f>
        <v>1803</v>
      </c>
      <c r="C1188" t="s">
        <v>509</v>
      </c>
      <c r="D1188" t="s">
        <v>26</v>
      </c>
      <c r="E1188" s="208" t="s">
        <v>569</v>
      </c>
      <c r="F1188" t="s">
        <v>10</v>
      </c>
      <c r="G1188" s="18">
        <v>0</v>
      </c>
      <c r="H1188" t="s">
        <v>24</v>
      </c>
      <c r="I1188" t="s">
        <v>17</v>
      </c>
    </row>
    <row r="1189" spans="1:9" x14ac:dyDescent="0.25">
      <c r="A1189">
        <v>1802</v>
      </c>
      <c r="B1189">
        <f>A1189+1</f>
        <v>1803</v>
      </c>
      <c r="C1189" t="s">
        <v>509</v>
      </c>
      <c r="D1189" t="s">
        <v>26</v>
      </c>
      <c r="E1189" s="208" t="s">
        <v>569</v>
      </c>
      <c r="F1189" t="s">
        <v>11</v>
      </c>
      <c r="G1189" s="18">
        <v>1884</v>
      </c>
      <c r="H1189" t="s">
        <v>23</v>
      </c>
      <c r="I1189" t="s">
        <v>17</v>
      </c>
    </row>
    <row r="1190" spans="1:9" x14ac:dyDescent="0.25">
      <c r="A1190">
        <v>1802</v>
      </c>
      <c r="B1190">
        <f>A1190+1</f>
        <v>1803</v>
      </c>
      <c r="C1190" t="s">
        <v>509</v>
      </c>
      <c r="D1190" t="s">
        <v>26</v>
      </c>
      <c r="E1190" s="208" t="s">
        <v>569</v>
      </c>
      <c r="F1190" t="s">
        <v>14</v>
      </c>
      <c r="G1190" s="18">
        <v>1884</v>
      </c>
      <c r="H1190" s="151" t="s">
        <v>563</v>
      </c>
      <c r="I1190" t="s">
        <v>17</v>
      </c>
    </row>
    <row r="1191" spans="1:9" x14ac:dyDescent="0.25">
      <c r="A1191">
        <v>1802</v>
      </c>
      <c r="B1191">
        <f>A1191+1</f>
        <v>1803</v>
      </c>
      <c r="C1191" t="s">
        <v>509</v>
      </c>
      <c r="D1191" t="s">
        <v>26</v>
      </c>
      <c r="E1191" s="208" t="s">
        <v>569</v>
      </c>
      <c r="F1191" t="s">
        <v>15</v>
      </c>
      <c r="G1191" s="18">
        <v>3895</v>
      </c>
      <c r="H1191" s="151" t="s">
        <v>563</v>
      </c>
      <c r="I1191" t="s">
        <v>561</v>
      </c>
    </row>
    <row r="1192" spans="1:9" x14ac:dyDescent="0.25">
      <c r="A1192">
        <v>1802</v>
      </c>
      <c r="B1192">
        <f>A1192+1</f>
        <v>1803</v>
      </c>
      <c r="C1192" t="s">
        <v>509</v>
      </c>
      <c r="D1192" t="s">
        <v>26</v>
      </c>
      <c r="E1192" s="208" t="s">
        <v>573</v>
      </c>
      <c r="F1192" t="s">
        <v>3</v>
      </c>
      <c r="G1192" s="18">
        <v>59</v>
      </c>
      <c r="H1192" t="s">
        <v>24</v>
      </c>
      <c r="I1192" t="s">
        <v>16</v>
      </c>
    </row>
    <row r="1193" spans="1:9" x14ac:dyDescent="0.25">
      <c r="A1193">
        <v>1802</v>
      </c>
      <c r="B1193">
        <f>A1193+1</f>
        <v>1803</v>
      </c>
      <c r="C1193" t="s">
        <v>509</v>
      </c>
      <c r="D1193" t="s">
        <v>26</v>
      </c>
      <c r="E1193" s="208" t="s">
        <v>573</v>
      </c>
      <c r="F1193" t="s">
        <v>7</v>
      </c>
      <c r="G1193" s="18">
        <v>59</v>
      </c>
      <c r="H1193" s="151" t="s">
        <v>563</v>
      </c>
      <c r="I1193" t="s">
        <v>16</v>
      </c>
    </row>
    <row r="1194" spans="1:9" x14ac:dyDescent="0.25">
      <c r="A1194">
        <v>1802</v>
      </c>
      <c r="B1194">
        <f>A1194+1</f>
        <v>1803</v>
      </c>
      <c r="C1194" t="s">
        <v>509</v>
      </c>
      <c r="D1194" t="s">
        <v>26</v>
      </c>
      <c r="E1194" s="208" t="s">
        <v>573</v>
      </c>
      <c r="F1194" t="s">
        <v>10</v>
      </c>
      <c r="G1194" s="18">
        <v>0</v>
      </c>
      <c r="H1194" t="s">
        <v>24</v>
      </c>
      <c r="I1194" t="s">
        <v>17</v>
      </c>
    </row>
    <row r="1195" spans="1:9" x14ac:dyDescent="0.25">
      <c r="A1195">
        <v>1802</v>
      </c>
      <c r="B1195">
        <f>A1195+1</f>
        <v>1803</v>
      </c>
      <c r="C1195" t="s">
        <v>509</v>
      </c>
      <c r="D1195" t="s">
        <v>26</v>
      </c>
      <c r="E1195" s="208" t="s">
        <v>573</v>
      </c>
      <c r="F1195" t="s">
        <v>14</v>
      </c>
      <c r="G1195" s="18">
        <v>0</v>
      </c>
      <c r="H1195" s="151" t="s">
        <v>563</v>
      </c>
      <c r="I1195" t="s">
        <v>17</v>
      </c>
    </row>
    <row r="1196" spans="1:9" x14ac:dyDescent="0.25">
      <c r="A1196">
        <v>1802</v>
      </c>
      <c r="B1196">
        <f>A1196+1</f>
        <v>1803</v>
      </c>
      <c r="C1196" t="s">
        <v>509</v>
      </c>
      <c r="D1196" t="s">
        <v>26</v>
      </c>
      <c r="E1196" s="208" t="s">
        <v>573</v>
      </c>
      <c r="F1196" t="s">
        <v>15</v>
      </c>
      <c r="G1196" s="18">
        <v>59</v>
      </c>
      <c r="H1196" s="151" t="s">
        <v>563</v>
      </c>
      <c r="I1196" t="s">
        <v>561</v>
      </c>
    </row>
    <row r="1197" spans="1:9" x14ac:dyDescent="0.25">
      <c r="A1197">
        <v>1803</v>
      </c>
      <c r="B1197">
        <f>A1197+1</f>
        <v>1804</v>
      </c>
      <c r="C1197" t="s">
        <v>510</v>
      </c>
      <c r="D1197" t="s">
        <v>27</v>
      </c>
      <c r="E1197" s="208" t="s">
        <v>155</v>
      </c>
      <c r="F1197" t="s">
        <v>3</v>
      </c>
      <c r="G1197" s="18">
        <v>211</v>
      </c>
      <c r="H1197" t="s">
        <v>16</v>
      </c>
      <c r="I1197" t="s">
        <v>24</v>
      </c>
    </row>
    <row r="1198" spans="1:9" x14ac:dyDescent="0.25">
      <c r="A1198">
        <v>1803</v>
      </c>
      <c r="B1198">
        <f>A1198+1</f>
        <v>1804</v>
      </c>
      <c r="C1198" t="s">
        <v>510</v>
      </c>
      <c r="D1198" t="s">
        <v>27</v>
      </c>
      <c r="E1198" s="208" t="s">
        <v>156</v>
      </c>
      <c r="F1198" t="s">
        <v>3</v>
      </c>
      <c r="G1198" s="18">
        <v>18</v>
      </c>
      <c r="H1198" t="s">
        <v>16</v>
      </c>
      <c r="I1198" t="s">
        <v>24</v>
      </c>
    </row>
    <row r="1199" spans="1:9" x14ac:dyDescent="0.25">
      <c r="A1199">
        <v>1803</v>
      </c>
      <c r="B1199">
        <f>A1199+1</f>
        <v>1804</v>
      </c>
      <c r="C1199" t="s">
        <v>510</v>
      </c>
      <c r="D1199" t="s">
        <v>27</v>
      </c>
      <c r="E1199" s="208" t="s">
        <v>154</v>
      </c>
      <c r="F1199" t="s">
        <v>3</v>
      </c>
      <c r="G1199" s="18">
        <v>573</v>
      </c>
      <c r="H1199" t="s">
        <v>16</v>
      </c>
      <c r="I1199" t="s">
        <v>24</v>
      </c>
    </row>
    <row r="1200" spans="1:9" x14ac:dyDescent="0.25">
      <c r="A1200">
        <v>1803</v>
      </c>
      <c r="B1200">
        <f>A1200+1</f>
        <v>1804</v>
      </c>
      <c r="C1200" t="s">
        <v>510</v>
      </c>
      <c r="D1200" t="s">
        <v>27</v>
      </c>
      <c r="E1200" s="208" t="s">
        <v>150</v>
      </c>
      <c r="F1200" t="s">
        <v>3</v>
      </c>
      <c r="G1200" s="18">
        <v>1700</v>
      </c>
      <c r="H1200" t="s">
        <v>16</v>
      </c>
      <c r="I1200" t="s">
        <v>24</v>
      </c>
    </row>
    <row r="1201" spans="1:9" x14ac:dyDescent="0.25">
      <c r="A1201">
        <v>1803</v>
      </c>
      <c r="B1201">
        <f>A1201+1</f>
        <v>1804</v>
      </c>
      <c r="C1201" t="s">
        <v>510</v>
      </c>
      <c r="D1201" t="s">
        <v>27</v>
      </c>
      <c r="E1201" s="208" t="s">
        <v>148</v>
      </c>
      <c r="F1201" t="s">
        <v>3</v>
      </c>
      <c r="G1201" s="18">
        <v>176</v>
      </c>
      <c r="H1201" t="s">
        <v>16</v>
      </c>
      <c r="I1201" t="s">
        <v>24</v>
      </c>
    </row>
    <row r="1202" spans="1:9" x14ac:dyDescent="0.25">
      <c r="A1202">
        <v>1803</v>
      </c>
      <c r="B1202">
        <f>A1202+1</f>
        <v>1804</v>
      </c>
      <c r="C1202" t="s">
        <v>510</v>
      </c>
      <c r="D1202" t="s">
        <v>27</v>
      </c>
      <c r="E1202" s="208" t="s">
        <v>139</v>
      </c>
      <c r="F1202" t="s">
        <v>3</v>
      </c>
      <c r="G1202" s="18">
        <v>29</v>
      </c>
      <c r="H1202" t="s">
        <v>16</v>
      </c>
      <c r="I1202" t="s">
        <v>24</v>
      </c>
    </row>
    <row r="1203" spans="1:9" x14ac:dyDescent="0.25">
      <c r="A1203">
        <v>1803</v>
      </c>
      <c r="B1203">
        <f>A1203+1</f>
        <v>1804</v>
      </c>
      <c r="C1203" t="s">
        <v>510</v>
      </c>
      <c r="D1203" t="s">
        <v>27</v>
      </c>
      <c r="E1203" s="208" t="s">
        <v>130</v>
      </c>
      <c r="F1203" t="s">
        <v>3</v>
      </c>
      <c r="G1203" s="18">
        <v>0</v>
      </c>
      <c r="H1203" t="s">
        <v>16</v>
      </c>
      <c r="I1203" t="s">
        <v>24</v>
      </c>
    </row>
    <row r="1204" spans="1:9" x14ac:dyDescent="0.25">
      <c r="A1204">
        <v>1803</v>
      </c>
      <c r="B1204">
        <f>A1204+1</f>
        <v>1804</v>
      </c>
      <c r="C1204" t="s">
        <v>510</v>
      </c>
      <c r="D1204" t="s">
        <v>27</v>
      </c>
      <c r="E1204" s="208" t="s">
        <v>132</v>
      </c>
      <c r="F1204" t="s">
        <v>3</v>
      </c>
      <c r="G1204" s="18">
        <v>0</v>
      </c>
      <c r="H1204" t="s">
        <v>16</v>
      </c>
      <c r="I1204" t="s">
        <v>24</v>
      </c>
    </row>
    <row r="1205" spans="1:9" x14ac:dyDescent="0.25">
      <c r="A1205">
        <v>1803</v>
      </c>
      <c r="B1205">
        <f>A1205+1</f>
        <v>1804</v>
      </c>
      <c r="C1205" t="s">
        <v>510</v>
      </c>
      <c r="D1205" t="s">
        <v>27</v>
      </c>
      <c r="E1205" s="208" t="s">
        <v>142</v>
      </c>
      <c r="F1205" t="s">
        <v>3</v>
      </c>
      <c r="G1205" s="18">
        <v>34</v>
      </c>
      <c r="H1205" t="s">
        <v>16</v>
      </c>
      <c r="I1205" t="s">
        <v>24</v>
      </c>
    </row>
    <row r="1206" spans="1:9" x14ac:dyDescent="0.25">
      <c r="A1206">
        <v>1803</v>
      </c>
      <c r="B1206">
        <f>A1206+1</f>
        <v>1804</v>
      </c>
      <c r="C1206" t="s">
        <v>510</v>
      </c>
      <c r="D1206" t="s">
        <v>27</v>
      </c>
      <c r="E1206" s="208" t="s">
        <v>144</v>
      </c>
      <c r="F1206" t="s">
        <v>3</v>
      </c>
      <c r="G1206" s="18">
        <v>0</v>
      </c>
      <c r="H1206" t="s">
        <v>16</v>
      </c>
      <c r="I1206" t="s">
        <v>24</v>
      </c>
    </row>
    <row r="1207" spans="1:9" x14ac:dyDescent="0.25">
      <c r="A1207">
        <v>1803</v>
      </c>
      <c r="B1207">
        <f>A1207+1</f>
        <v>1804</v>
      </c>
      <c r="C1207" t="s">
        <v>510</v>
      </c>
      <c r="D1207" t="s">
        <v>27</v>
      </c>
      <c r="E1207" s="208" t="s">
        <v>124</v>
      </c>
      <c r="F1207" t="s">
        <v>3</v>
      </c>
      <c r="G1207" s="18">
        <v>95748</v>
      </c>
      <c r="H1207" t="s">
        <v>16</v>
      </c>
      <c r="I1207" t="s">
        <v>24</v>
      </c>
    </row>
    <row r="1208" spans="1:9" x14ac:dyDescent="0.25">
      <c r="A1208">
        <v>1803</v>
      </c>
      <c r="B1208">
        <f>A1208+1</f>
        <v>1804</v>
      </c>
      <c r="C1208" t="s">
        <v>510</v>
      </c>
      <c r="D1208" t="s">
        <v>26</v>
      </c>
      <c r="E1208" s="208" t="s">
        <v>62</v>
      </c>
      <c r="F1208" t="s">
        <v>3</v>
      </c>
      <c r="G1208" s="18">
        <v>692</v>
      </c>
      <c r="H1208" t="s">
        <v>24</v>
      </c>
      <c r="I1208" t="s">
        <v>16</v>
      </c>
    </row>
    <row r="1209" spans="1:9" x14ac:dyDescent="0.25">
      <c r="A1209">
        <v>1803</v>
      </c>
      <c r="B1209">
        <f>A1209+1</f>
        <v>1804</v>
      </c>
      <c r="C1209" t="s">
        <v>510</v>
      </c>
      <c r="D1209" t="s">
        <v>26</v>
      </c>
      <c r="E1209" s="208" t="s">
        <v>35</v>
      </c>
      <c r="F1209" t="s">
        <v>3</v>
      </c>
      <c r="G1209" s="18">
        <v>100</v>
      </c>
      <c r="H1209" t="s">
        <v>24</v>
      </c>
      <c r="I1209" t="s">
        <v>16</v>
      </c>
    </row>
    <row r="1210" spans="1:9" x14ac:dyDescent="0.25">
      <c r="A1210">
        <v>1803</v>
      </c>
      <c r="B1210">
        <f>A1210+1</f>
        <v>1804</v>
      </c>
      <c r="C1210" t="s">
        <v>510</v>
      </c>
      <c r="D1210" t="s">
        <v>26</v>
      </c>
      <c r="E1210" s="208" t="s">
        <v>36</v>
      </c>
      <c r="F1210" t="s">
        <v>3</v>
      </c>
      <c r="G1210" s="18">
        <v>58</v>
      </c>
      <c r="H1210" t="s">
        <v>24</v>
      </c>
      <c r="I1210" t="s">
        <v>16</v>
      </c>
    </row>
    <row r="1211" spans="1:9" x14ac:dyDescent="0.25">
      <c r="A1211">
        <v>1803</v>
      </c>
      <c r="B1211">
        <f>A1211+1</f>
        <v>1804</v>
      </c>
      <c r="C1211" t="s">
        <v>510</v>
      </c>
      <c r="D1211" t="s">
        <v>26</v>
      </c>
      <c r="E1211" s="208" t="s">
        <v>39</v>
      </c>
      <c r="F1211" t="s">
        <v>3</v>
      </c>
      <c r="G1211" s="18">
        <v>100</v>
      </c>
      <c r="H1211" t="s">
        <v>24</v>
      </c>
      <c r="I1211" t="s">
        <v>16</v>
      </c>
    </row>
    <row r="1212" spans="1:9" x14ac:dyDescent="0.25">
      <c r="A1212">
        <v>1803</v>
      </c>
      <c r="B1212">
        <f>A1212+1</f>
        <v>1804</v>
      </c>
      <c r="C1212" t="s">
        <v>510</v>
      </c>
      <c r="D1212" t="s">
        <v>26</v>
      </c>
      <c r="E1212" s="208" t="s">
        <v>42</v>
      </c>
      <c r="F1212" t="s">
        <v>3</v>
      </c>
      <c r="G1212" s="18">
        <v>10</v>
      </c>
      <c r="H1212" t="s">
        <v>24</v>
      </c>
      <c r="I1212" t="s">
        <v>16</v>
      </c>
    </row>
    <row r="1213" spans="1:9" x14ac:dyDescent="0.25">
      <c r="A1213">
        <v>1803</v>
      </c>
      <c r="B1213">
        <f>A1213+1</f>
        <v>1804</v>
      </c>
      <c r="C1213" t="s">
        <v>510</v>
      </c>
      <c r="D1213" t="s">
        <v>26</v>
      </c>
      <c r="E1213" s="208" t="s">
        <v>28</v>
      </c>
      <c r="F1213" t="s">
        <v>3</v>
      </c>
      <c r="G1213" s="18">
        <v>95</v>
      </c>
      <c r="H1213" t="s">
        <v>24</v>
      </c>
      <c r="I1213" t="s">
        <v>16</v>
      </c>
    </row>
    <row r="1214" spans="1:9" x14ac:dyDescent="0.25">
      <c r="A1214">
        <v>1803</v>
      </c>
      <c r="B1214">
        <f>A1214+1</f>
        <v>1804</v>
      </c>
      <c r="C1214" t="s">
        <v>510</v>
      </c>
      <c r="D1214" t="s">
        <v>26</v>
      </c>
      <c r="E1214" s="208" t="s">
        <v>89</v>
      </c>
      <c r="F1214" t="s">
        <v>3</v>
      </c>
      <c r="G1214" s="18">
        <v>160</v>
      </c>
      <c r="H1214" t="s">
        <v>24</v>
      </c>
      <c r="I1214" t="s">
        <v>16</v>
      </c>
    </row>
    <row r="1215" spans="1:9" x14ac:dyDescent="0.25">
      <c r="A1215">
        <v>1803</v>
      </c>
      <c r="B1215">
        <f>A1215+1</f>
        <v>1804</v>
      </c>
      <c r="C1215" t="s">
        <v>510</v>
      </c>
      <c r="D1215" t="s">
        <v>26</v>
      </c>
      <c r="E1215" s="208" t="s">
        <v>45</v>
      </c>
      <c r="F1215" t="s">
        <v>3</v>
      </c>
      <c r="G1215" s="18">
        <v>53</v>
      </c>
      <c r="H1215" t="s">
        <v>24</v>
      </c>
      <c r="I1215" t="s">
        <v>16</v>
      </c>
    </row>
    <row r="1216" spans="1:9" x14ac:dyDescent="0.25">
      <c r="A1216">
        <v>1803</v>
      </c>
      <c r="B1216">
        <f>A1216+1</f>
        <v>1804</v>
      </c>
      <c r="C1216" t="s">
        <v>510</v>
      </c>
      <c r="D1216" t="s">
        <v>26</v>
      </c>
      <c r="E1216" s="208" t="s">
        <v>75</v>
      </c>
      <c r="F1216" t="s">
        <v>3</v>
      </c>
      <c r="G1216" s="18">
        <v>137971</v>
      </c>
      <c r="H1216" t="s">
        <v>24</v>
      </c>
      <c r="I1216" t="s">
        <v>16</v>
      </c>
    </row>
    <row r="1217" spans="1:9" x14ac:dyDescent="0.25">
      <c r="A1217">
        <v>1803</v>
      </c>
      <c r="B1217">
        <f>A1217+1</f>
        <v>1804</v>
      </c>
      <c r="C1217" t="s">
        <v>510</v>
      </c>
      <c r="D1217" t="s">
        <v>26</v>
      </c>
      <c r="E1217" s="208" t="s">
        <v>107</v>
      </c>
      <c r="F1217" t="s">
        <v>3</v>
      </c>
      <c r="G1217" s="18">
        <v>121750</v>
      </c>
      <c r="H1217" t="s">
        <v>24</v>
      </c>
      <c r="I1217" t="s">
        <v>16</v>
      </c>
    </row>
    <row r="1218" spans="1:9" x14ac:dyDescent="0.25">
      <c r="A1218">
        <v>1803</v>
      </c>
      <c r="B1218">
        <f>A1218+1</f>
        <v>1804</v>
      </c>
      <c r="C1218" t="s">
        <v>510</v>
      </c>
      <c r="D1218" t="s">
        <v>26</v>
      </c>
      <c r="E1218" s="208" t="s">
        <v>101</v>
      </c>
      <c r="F1218" t="s">
        <v>3</v>
      </c>
      <c r="G1218" s="18">
        <v>34750</v>
      </c>
      <c r="H1218" t="s">
        <v>24</v>
      </c>
      <c r="I1218" t="s">
        <v>16</v>
      </c>
    </row>
    <row r="1219" spans="1:9" x14ac:dyDescent="0.25">
      <c r="A1219">
        <v>1803</v>
      </c>
      <c r="B1219">
        <f>A1219+1</f>
        <v>1804</v>
      </c>
      <c r="C1219" t="s">
        <v>510</v>
      </c>
      <c r="D1219" t="s">
        <v>26</v>
      </c>
      <c r="E1219" s="208" t="s">
        <v>78</v>
      </c>
      <c r="F1219" t="s">
        <v>3</v>
      </c>
      <c r="G1219" s="18">
        <v>153</v>
      </c>
      <c r="H1219" t="s">
        <v>24</v>
      </c>
      <c r="I1219" t="s">
        <v>16</v>
      </c>
    </row>
    <row r="1220" spans="1:9" x14ac:dyDescent="0.25">
      <c r="A1220">
        <v>1803</v>
      </c>
      <c r="B1220">
        <f>A1220+1</f>
        <v>1804</v>
      </c>
      <c r="C1220" t="s">
        <v>510</v>
      </c>
      <c r="D1220" t="s">
        <v>26</v>
      </c>
      <c r="E1220" s="208" t="s">
        <v>77</v>
      </c>
      <c r="F1220" t="s">
        <v>3</v>
      </c>
      <c r="G1220" s="18">
        <v>60000</v>
      </c>
      <c r="H1220" t="s">
        <v>24</v>
      </c>
      <c r="I1220" t="s">
        <v>16</v>
      </c>
    </row>
    <row r="1221" spans="1:9" x14ac:dyDescent="0.25">
      <c r="A1221">
        <v>1803</v>
      </c>
      <c r="B1221">
        <f>A1221+1</f>
        <v>1804</v>
      </c>
      <c r="C1221" t="s">
        <v>510</v>
      </c>
      <c r="D1221" t="s">
        <v>26</v>
      </c>
      <c r="E1221" s="208" t="s">
        <v>82</v>
      </c>
      <c r="F1221" t="s">
        <v>3</v>
      </c>
      <c r="G1221" s="18">
        <v>126</v>
      </c>
      <c r="H1221" t="s">
        <v>24</v>
      </c>
      <c r="I1221" t="s">
        <v>16</v>
      </c>
    </row>
    <row r="1222" spans="1:9" x14ac:dyDescent="0.25">
      <c r="A1222">
        <v>1803</v>
      </c>
      <c r="B1222">
        <f>A1222+1</f>
        <v>1804</v>
      </c>
      <c r="C1222" t="s">
        <v>510</v>
      </c>
      <c r="D1222" t="s">
        <v>26</v>
      </c>
      <c r="E1222" s="208" t="s">
        <v>327</v>
      </c>
      <c r="F1222" t="s">
        <v>3</v>
      </c>
      <c r="G1222" s="18">
        <v>92</v>
      </c>
      <c r="H1222" t="s">
        <v>24</v>
      </c>
      <c r="I1222" t="s">
        <v>16</v>
      </c>
    </row>
    <row r="1223" spans="1:9" x14ac:dyDescent="0.25">
      <c r="A1223">
        <v>1803</v>
      </c>
      <c r="B1223">
        <f>A1223+1</f>
        <v>1804</v>
      </c>
      <c r="C1223" t="s">
        <v>510</v>
      </c>
      <c r="D1223" t="s">
        <v>26</v>
      </c>
      <c r="E1223" s="208" t="s">
        <v>330</v>
      </c>
      <c r="F1223" t="s">
        <v>6</v>
      </c>
      <c r="G1223" s="18">
        <v>952</v>
      </c>
      <c r="H1223" t="s">
        <v>25</v>
      </c>
      <c r="I1223" t="s">
        <v>16</v>
      </c>
    </row>
    <row r="1224" spans="1:9" x14ac:dyDescent="0.25">
      <c r="A1224">
        <v>1803</v>
      </c>
      <c r="B1224">
        <f>A1224+1</f>
        <v>1804</v>
      </c>
      <c r="C1224" t="s">
        <v>510</v>
      </c>
      <c r="D1224" t="s">
        <v>26</v>
      </c>
      <c r="E1224" s="208" t="s">
        <v>331</v>
      </c>
      <c r="F1224" t="s">
        <v>6</v>
      </c>
      <c r="G1224" s="18">
        <v>1655</v>
      </c>
      <c r="H1224" t="s">
        <v>25</v>
      </c>
      <c r="I1224" t="s">
        <v>16</v>
      </c>
    </row>
    <row r="1225" spans="1:9" x14ac:dyDescent="0.25">
      <c r="A1225">
        <v>1803</v>
      </c>
      <c r="B1225">
        <f>A1225+1</f>
        <v>1804</v>
      </c>
      <c r="C1225" t="s">
        <v>510</v>
      </c>
      <c r="D1225" t="s">
        <v>26</v>
      </c>
      <c r="E1225" s="208" t="s">
        <v>332</v>
      </c>
      <c r="F1225" t="s">
        <v>6</v>
      </c>
      <c r="G1225" s="18">
        <v>223</v>
      </c>
      <c r="H1225" t="s">
        <v>25</v>
      </c>
      <c r="I1225" t="s">
        <v>16</v>
      </c>
    </row>
    <row r="1226" spans="1:9" x14ac:dyDescent="0.25">
      <c r="A1226">
        <v>1803</v>
      </c>
      <c r="B1226">
        <f>A1226+1</f>
        <v>1804</v>
      </c>
      <c r="C1226" t="s">
        <v>510</v>
      </c>
      <c r="D1226" t="s">
        <v>26</v>
      </c>
      <c r="E1226" s="208" t="s">
        <v>333</v>
      </c>
      <c r="F1226" t="s">
        <v>6</v>
      </c>
      <c r="G1226" s="18">
        <v>461</v>
      </c>
      <c r="H1226" t="s">
        <v>25</v>
      </c>
      <c r="I1226" t="s">
        <v>16</v>
      </c>
    </row>
    <row r="1227" spans="1:9" x14ac:dyDescent="0.25">
      <c r="A1227">
        <v>1803</v>
      </c>
      <c r="B1227">
        <f>A1227+1</f>
        <v>1804</v>
      </c>
      <c r="C1227" t="s">
        <v>510</v>
      </c>
      <c r="D1227" t="s">
        <v>27</v>
      </c>
      <c r="E1227" s="208" t="s">
        <v>155</v>
      </c>
      <c r="F1227" t="s">
        <v>0</v>
      </c>
      <c r="G1227" s="18">
        <v>38660</v>
      </c>
      <c r="H1227" t="s">
        <v>16</v>
      </c>
      <c r="I1227" t="s">
        <v>18</v>
      </c>
    </row>
    <row r="1228" spans="1:9" x14ac:dyDescent="0.25">
      <c r="A1228">
        <v>1803</v>
      </c>
      <c r="B1228">
        <f>A1228+1</f>
        <v>1804</v>
      </c>
      <c r="C1228" t="s">
        <v>510</v>
      </c>
      <c r="D1228" t="s">
        <v>27</v>
      </c>
      <c r="E1228" s="208" t="s">
        <v>156</v>
      </c>
      <c r="F1228" t="s">
        <v>0</v>
      </c>
      <c r="G1228" s="18">
        <v>3562</v>
      </c>
      <c r="H1228" t="s">
        <v>16</v>
      </c>
      <c r="I1228" t="s">
        <v>18</v>
      </c>
    </row>
    <row r="1229" spans="1:9" x14ac:dyDescent="0.25">
      <c r="A1229">
        <v>1803</v>
      </c>
      <c r="B1229">
        <f>A1229+1</f>
        <v>1804</v>
      </c>
      <c r="C1229" t="s">
        <v>510</v>
      </c>
      <c r="D1229" t="s">
        <v>27</v>
      </c>
      <c r="E1229" s="208" t="s">
        <v>154</v>
      </c>
      <c r="F1229" t="s">
        <v>0</v>
      </c>
      <c r="G1229" s="18">
        <v>352</v>
      </c>
      <c r="H1229" t="s">
        <v>16</v>
      </c>
      <c r="I1229" t="s">
        <v>18</v>
      </c>
    </row>
    <row r="1230" spans="1:9" x14ac:dyDescent="0.25">
      <c r="A1230">
        <v>1803</v>
      </c>
      <c r="B1230">
        <f>A1230+1</f>
        <v>1804</v>
      </c>
      <c r="C1230" t="s">
        <v>510</v>
      </c>
      <c r="D1230" t="s">
        <v>27</v>
      </c>
      <c r="E1230" s="208" t="s">
        <v>150</v>
      </c>
      <c r="F1230" t="s">
        <v>0</v>
      </c>
      <c r="G1230" s="18">
        <v>4276</v>
      </c>
      <c r="H1230" t="s">
        <v>16</v>
      </c>
      <c r="I1230" t="s">
        <v>18</v>
      </c>
    </row>
    <row r="1231" spans="1:9" x14ac:dyDescent="0.25">
      <c r="A1231">
        <v>1803</v>
      </c>
      <c r="B1231">
        <f>A1231+1</f>
        <v>1804</v>
      </c>
      <c r="C1231" t="s">
        <v>510</v>
      </c>
      <c r="D1231" t="s">
        <v>27</v>
      </c>
      <c r="E1231" s="208" t="s">
        <v>148</v>
      </c>
      <c r="F1231" t="s">
        <v>0</v>
      </c>
      <c r="G1231" s="18">
        <v>124</v>
      </c>
      <c r="H1231" t="s">
        <v>16</v>
      </c>
      <c r="I1231" t="s">
        <v>18</v>
      </c>
    </row>
    <row r="1232" spans="1:9" x14ac:dyDescent="0.25">
      <c r="A1232">
        <v>1803</v>
      </c>
      <c r="B1232">
        <f>A1232+1</f>
        <v>1804</v>
      </c>
      <c r="C1232" t="s">
        <v>510</v>
      </c>
      <c r="D1232" t="s">
        <v>27</v>
      </c>
      <c r="E1232" s="208" t="s">
        <v>139</v>
      </c>
      <c r="F1232" t="s">
        <v>0</v>
      </c>
      <c r="G1232" s="18">
        <v>0</v>
      </c>
      <c r="H1232" t="s">
        <v>16</v>
      </c>
      <c r="I1232" t="s">
        <v>18</v>
      </c>
    </row>
    <row r="1233" spans="1:9" x14ac:dyDescent="0.25">
      <c r="A1233">
        <v>1803</v>
      </c>
      <c r="B1233">
        <f>A1233+1</f>
        <v>1804</v>
      </c>
      <c r="C1233" t="s">
        <v>510</v>
      </c>
      <c r="D1233" t="s">
        <v>27</v>
      </c>
      <c r="E1233" s="208" t="s">
        <v>130</v>
      </c>
      <c r="F1233" t="s">
        <v>0</v>
      </c>
      <c r="G1233" s="18">
        <v>125</v>
      </c>
      <c r="H1233" t="s">
        <v>16</v>
      </c>
      <c r="I1233" t="s">
        <v>18</v>
      </c>
    </row>
    <row r="1234" spans="1:9" x14ac:dyDescent="0.25">
      <c r="A1234">
        <v>1803</v>
      </c>
      <c r="B1234">
        <f>A1234+1</f>
        <v>1804</v>
      </c>
      <c r="C1234" t="s">
        <v>510</v>
      </c>
      <c r="D1234" t="s">
        <v>27</v>
      </c>
      <c r="E1234" s="208" t="s">
        <v>132</v>
      </c>
      <c r="F1234" t="s">
        <v>0</v>
      </c>
      <c r="G1234" s="18">
        <v>992</v>
      </c>
      <c r="H1234" t="s">
        <v>16</v>
      </c>
      <c r="I1234" t="s">
        <v>18</v>
      </c>
    </row>
    <row r="1235" spans="1:9" x14ac:dyDescent="0.25">
      <c r="A1235">
        <v>1803</v>
      </c>
      <c r="B1235">
        <f>A1235+1</f>
        <v>1804</v>
      </c>
      <c r="C1235" t="s">
        <v>510</v>
      </c>
      <c r="D1235" t="s">
        <v>27</v>
      </c>
      <c r="E1235" s="208" t="s">
        <v>142</v>
      </c>
      <c r="F1235" t="s">
        <v>0</v>
      </c>
      <c r="G1235" s="18">
        <v>4469</v>
      </c>
      <c r="H1235" t="s">
        <v>16</v>
      </c>
      <c r="I1235" t="s">
        <v>18</v>
      </c>
    </row>
    <row r="1236" spans="1:9" x14ac:dyDescent="0.25">
      <c r="A1236">
        <v>1803</v>
      </c>
      <c r="B1236">
        <f>A1236+1</f>
        <v>1804</v>
      </c>
      <c r="C1236" t="s">
        <v>510</v>
      </c>
      <c r="D1236" t="s">
        <v>27</v>
      </c>
      <c r="E1236" s="208" t="s">
        <v>144</v>
      </c>
      <c r="F1236" t="s">
        <v>0</v>
      </c>
      <c r="G1236" s="18">
        <v>525</v>
      </c>
      <c r="H1236" t="s">
        <v>16</v>
      </c>
      <c r="I1236" t="s">
        <v>18</v>
      </c>
    </row>
    <row r="1237" spans="1:9" x14ac:dyDescent="0.25">
      <c r="A1237">
        <v>1803</v>
      </c>
      <c r="B1237">
        <f>A1237+1</f>
        <v>1804</v>
      </c>
      <c r="C1237" t="s">
        <v>510</v>
      </c>
      <c r="D1237" t="s">
        <v>27</v>
      </c>
      <c r="E1237" s="208" t="s">
        <v>124</v>
      </c>
      <c r="F1237" t="s">
        <v>0</v>
      </c>
      <c r="G1237" s="18">
        <v>14845365</v>
      </c>
      <c r="H1237" t="s">
        <v>16</v>
      </c>
      <c r="I1237" t="s">
        <v>18</v>
      </c>
    </row>
    <row r="1238" spans="1:9" x14ac:dyDescent="0.25">
      <c r="A1238">
        <v>1803</v>
      </c>
      <c r="B1238">
        <f>A1238+1</f>
        <v>1804</v>
      </c>
      <c r="C1238" t="s">
        <v>510</v>
      </c>
      <c r="D1238" t="s">
        <v>26</v>
      </c>
      <c r="E1238" s="208" t="s">
        <v>65</v>
      </c>
      <c r="F1238" t="s">
        <v>169</v>
      </c>
      <c r="G1238" s="18">
        <v>6561</v>
      </c>
      <c r="H1238" t="s">
        <v>160</v>
      </c>
      <c r="I1238" t="s">
        <v>16</v>
      </c>
    </row>
    <row r="1239" spans="1:9" x14ac:dyDescent="0.25">
      <c r="A1239">
        <v>1803</v>
      </c>
      <c r="B1239">
        <f>A1239+1</f>
        <v>1804</v>
      </c>
      <c r="C1239" t="s">
        <v>510</v>
      </c>
      <c r="D1239" t="s">
        <v>27</v>
      </c>
      <c r="E1239" s="208" t="s">
        <v>155</v>
      </c>
      <c r="F1239" t="s">
        <v>1</v>
      </c>
      <c r="G1239" s="18">
        <v>1984</v>
      </c>
      <c r="H1239" t="s">
        <v>16</v>
      </c>
      <c r="I1239" t="s">
        <v>21</v>
      </c>
    </row>
    <row r="1240" spans="1:9" x14ac:dyDescent="0.25">
      <c r="A1240">
        <v>1803</v>
      </c>
      <c r="B1240">
        <f>A1240+1</f>
        <v>1804</v>
      </c>
      <c r="C1240" t="s">
        <v>510</v>
      </c>
      <c r="D1240" t="s">
        <v>27</v>
      </c>
      <c r="E1240" s="208" t="s">
        <v>156</v>
      </c>
      <c r="F1240" t="s">
        <v>1</v>
      </c>
      <c r="G1240" s="18">
        <v>342</v>
      </c>
      <c r="H1240" t="s">
        <v>16</v>
      </c>
      <c r="I1240" t="s">
        <v>21</v>
      </c>
    </row>
    <row r="1241" spans="1:9" x14ac:dyDescent="0.25">
      <c r="A1241">
        <v>1803</v>
      </c>
      <c r="B1241">
        <f>A1241+1</f>
        <v>1804</v>
      </c>
      <c r="C1241" t="s">
        <v>510</v>
      </c>
      <c r="D1241" t="s">
        <v>27</v>
      </c>
      <c r="E1241" s="208" t="s">
        <v>154</v>
      </c>
      <c r="F1241" t="s">
        <v>1</v>
      </c>
      <c r="G1241" s="18">
        <v>370</v>
      </c>
      <c r="H1241" t="s">
        <v>16</v>
      </c>
      <c r="I1241" t="s">
        <v>21</v>
      </c>
    </row>
    <row r="1242" spans="1:9" x14ac:dyDescent="0.25">
      <c r="A1242">
        <v>1803</v>
      </c>
      <c r="B1242">
        <f>A1242+1</f>
        <v>1804</v>
      </c>
      <c r="C1242" t="s">
        <v>510</v>
      </c>
      <c r="D1242" t="s">
        <v>27</v>
      </c>
      <c r="E1242" s="208" t="s">
        <v>150</v>
      </c>
      <c r="F1242" t="s">
        <v>1</v>
      </c>
      <c r="G1242" s="18">
        <v>759</v>
      </c>
      <c r="H1242" t="s">
        <v>16</v>
      </c>
      <c r="I1242" t="s">
        <v>21</v>
      </c>
    </row>
    <row r="1243" spans="1:9" x14ac:dyDescent="0.25">
      <c r="A1243">
        <v>1803</v>
      </c>
      <c r="B1243">
        <f>A1243+1</f>
        <v>1804</v>
      </c>
      <c r="C1243" t="s">
        <v>510</v>
      </c>
      <c r="D1243" t="s">
        <v>27</v>
      </c>
      <c r="E1243" s="208" t="s">
        <v>148</v>
      </c>
      <c r="F1243" t="s">
        <v>1</v>
      </c>
      <c r="G1243" s="18">
        <v>190</v>
      </c>
      <c r="H1243" t="s">
        <v>16</v>
      </c>
      <c r="I1243" t="s">
        <v>21</v>
      </c>
    </row>
    <row r="1244" spans="1:9" x14ac:dyDescent="0.25">
      <c r="A1244">
        <v>1803</v>
      </c>
      <c r="B1244">
        <f>A1244+1</f>
        <v>1804</v>
      </c>
      <c r="C1244" t="s">
        <v>510</v>
      </c>
      <c r="D1244" t="s">
        <v>27</v>
      </c>
      <c r="E1244" s="208" t="s">
        <v>139</v>
      </c>
      <c r="F1244" t="s">
        <v>1</v>
      </c>
      <c r="G1244" s="18">
        <v>3</v>
      </c>
      <c r="H1244" t="s">
        <v>16</v>
      </c>
      <c r="I1244" t="s">
        <v>21</v>
      </c>
    </row>
    <row r="1245" spans="1:9" x14ac:dyDescent="0.25">
      <c r="A1245">
        <v>1803</v>
      </c>
      <c r="B1245">
        <f>A1245+1</f>
        <v>1804</v>
      </c>
      <c r="C1245" t="s">
        <v>510</v>
      </c>
      <c r="D1245" t="s">
        <v>27</v>
      </c>
      <c r="E1245" s="208" t="s">
        <v>130</v>
      </c>
      <c r="F1245" t="s">
        <v>1</v>
      </c>
      <c r="G1245" s="18">
        <v>310</v>
      </c>
      <c r="H1245" t="s">
        <v>16</v>
      </c>
      <c r="I1245" t="s">
        <v>21</v>
      </c>
    </row>
    <row r="1246" spans="1:9" x14ac:dyDescent="0.25">
      <c r="A1246">
        <v>1803</v>
      </c>
      <c r="B1246">
        <f>A1246+1</f>
        <v>1804</v>
      </c>
      <c r="C1246" t="s">
        <v>510</v>
      </c>
      <c r="D1246" t="s">
        <v>27</v>
      </c>
      <c r="E1246" s="208" t="s">
        <v>132</v>
      </c>
      <c r="F1246" t="s">
        <v>1</v>
      </c>
      <c r="G1246" s="18">
        <v>20</v>
      </c>
      <c r="H1246" t="s">
        <v>16</v>
      </c>
      <c r="I1246" t="s">
        <v>21</v>
      </c>
    </row>
    <row r="1247" spans="1:9" x14ac:dyDescent="0.25">
      <c r="A1247">
        <v>1803</v>
      </c>
      <c r="B1247">
        <f>A1247+1</f>
        <v>1804</v>
      </c>
      <c r="C1247" t="s">
        <v>510</v>
      </c>
      <c r="D1247" t="s">
        <v>27</v>
      </c>
      <c r="E1247" s="208" t="s">
        <v>142</v>
      </c>
      <c r="F1247" t="s">
        <v>1</v>
      </c>
      <c r="G1247" s="18">
        <v>176</v>
      </c>
      <c r="H1247" t="s">
        <v>16</v>
      </c>
      <c r="I1247" t="s">
        <v>21</v>
      </c>
    </row>
    <row r="1248" spans="1:9" x14ac:dyDescent="0.25">
      <c r="A1248">
        <v>1803</v>
      </c>
      <c r="B1248">
        <f>A1248+1</f>
        <v>1804</v>
      </c>
      <c r="C1248" t="s">
        <v>510</v>
      </c>
      <c r="D1248" t="s">
        <v>27</v>
      </c>
      <c r="E1248" s="208" t="s">
        <v>144</v>
      </c>
      <c r="F1248" t="s">
        <v>1</v>
      </c>
      <c r="G1248" s="18">
        <v>6</v>
      </c>
      <c r="H1248" t="s">
        <v>16</v>
      </c>
      <c r="I1248" t="s">
        <v>21</v>
      </c>
    </row>
    <row r="1249" spans="1:9" x14ac:dyDescent="0.25">
      <c r="A1249">
        <v>1803</v>
      </c>
      <c r="B1249">
        <f>A1249+1</f>
        <v>1804</v>
      </c>
      <c r="C1249" t="s">
        <v>510</v>
      </c>
      <c r="D1249" t="s">
        <v>27</v>
      </c>
      <c r="E1249" s="208" t="s">
        <v>124</v>
      </c>
      <c r="F1249" t="s">
        <v>1</v>
      </c>
      <c r="G1249" s="18">
        <v>118621</v>
      </c>
      <c r="H1249" t="s">
        <v>16</v>
      </c>
      <c r="I1249" t="s">
        <v>21</v>
      </c>
    </row>
    <row r="1250" spans="1:9" x14ac:dyDescent="0.25">
      <c r="A1250">
        <v>1803</v>
      </c>
      <c r="B1250">
        <f>A1250+1</f>
        <v>1804</v>
      </c>
      <c r="C1250" t="s">
        <v>510</v>
      </c>
      <c r="D1250" t="s">
        <v>27</v>
      </c>
      <c r="E1250" s="208" t="s">
        <v>155</v>
      </c>
      <c r="F1250" t="s">
        <v>6</v>
      </c>
      <c r="G1250" s="18">
        <v>0</v>
      </c>
      <c r="H1250" t="s">
        <v>16</v>
      </c>
      <c r="I1250" t="s">
        <v>25</v>
      </c>
    </row>
    <row r="1251" spans="1:9" x14ac:dyDescent="0.25">
      <c r="A1251">
        <v>1803</v>
      </c>
      <c r="B1251">
        <f>A1251+1</f>
        <v>1804</v>
      </c>
      <c r="C1251" t="s">
        <v>510</v>
      </c>
      <c r="D1251" t="s">
        <v>27</v>
      </c>
      <c r="E1251" s="208" t="s">
        <v>154</v>
      </c>
      <c r="F1251" t="s">
        <v>6</v>
      </c>
      <c r="G1251" s="18">
        <v>0</v>
      </c>
      <c r="H1251" t="s">
        <v>16</v>
      </c>
      <c r="I1251" t="s">
        <v>25</v>
      </c>
    </row>
    <row r="1252" spans="1:9" x14ac:dyDescent="0.25">
      <c r="A1252">
        <v>1803</v>
      </c>
      <c r="B1252">
        <f>A1252+1</f>
        <v>1804</v>
      </c>
      <c r="C1252" t="s">
        <v>510</v>
      </c>
      <c r="D1252" t="s">
        <v>27</v>
      </c>
      <c r="E1252" s="208" t="s">
        <v>150</v>
      </c>
      <c r="F1252" t="s">
        <v>6</v>
      </c>
      <c r="G1252" s="18">
        <v>393</v>
      </c>
      <c r="H1252" t="s">
        <v>16</v>
      </c>
      <c r="I1252" t="s">
        <v>25</v>
      </c>
    </row>
    <row r="1253" spans="1:9" x14ac:dyDescent="0.25">
      <c r="A1253">
        <v>1803</v>
      </c>
      <c r="B1253">
        <f>A1253+1</f>
        <v>1804</v>
      </c>
      <c r="C1253" t="s">
        <v>510</v>
      </c>
      <c r="D1253" t="s">
        <v>27</v>
      </c>
      <c r="E1253" s="208" t="s">
        <v>148</v>
      </c>
      <c r="F1253" t="s">
        <v>6</v>
      </c>
      <c r="G1253" s="18">
        <v>51</v>
      </c>
      <c r="H1253" t="s">
        <v>16</v>
      </c>
      <c r="I1253" t="s">
        <v>25</v>
      </c>
    </row>
    <row r="1254" spans="1:9" x14ac:dyDescent="0.25">
      <c r="A1254">
        <v>1803</v>
      </c>
      <c r="B1254">
        <f>A1254+1</f>
        <v>1804</v>
      </c>
      <c r="C1254" t="s">
        <v>510</v>
      </c>
      <c r="D1254" t="s">
        <v>27</v>
      </c>
      <c r="E1254" s="208" t="s">
        <v>139</v>
      </c>
      <c r="F1254" t="s">
        <v>6</v>
      </c>
      <c r="G1254" s="18">
        <v>0</v>
      </c>
      <c r="H1254" t="s">
        <v>16</v>
      </c>
      <c r="I1254" t="s">
        <v>25</v>
      </c>
    </row>
    <row r="1255" spans="1:9" x14ac:dyDescent="0.25">
      <c r="A1255">
        <v>1803</v>
      </c>
      <c r="B1255">
        <f>A1255+1</f>
        <v>1804</v>
      </c>
      <c r="C1255" t="s">
        <v>510</v>
      </c>
      <c r="D1255" t="s">
        <v>27</v>
      </c>
      <c r="E1255" s="208" t="s">
        <v>130</v>
      </c>
      <c r="F1255" t="s">
        <v>6</v>
      </c>
      <c r="G1255" s="18">
        <v>0</v>
      </c>
      <c r="H1255" t="s">
        <v>16</v>
      </c>
      <c r="I1255" t="s">
        <v>25</v>
      </c>
    </row>
    <row r="1256" spans="1:9" x14ac:dyDescent="0.25">
      <c r="A1256">
        <v>1803</v>
      </c>
      <c r="B1256">
        <f>A1256+1</f>
        <v>1804</v>
      </c>
      <c r="C1256" t="s">
        <v>510</v>
      </c>
      <c r="D1256" t="s">
        <v>27</v>
      </c>
      <c r="E1256" s="208" t="s">
        <v>132</v>
      </c>
      <c r="F1256" t="s">
        <v>6</v>
      </c>
      <c r="G1256" s="18">
        <v>0</v>
      </c>
      <c r="H1256" t="s">
        <v>16</v>
      </c>
      <c r="I1256" t="s">
        <v>25</v>
      </c>
    </row>
    <row r="1257" spans="1:9" x14ac:dyDescent="0.25">
      <c r="A1257">
        <v>1803</v>
      </c>
      <c r="B1257">
        <f>A1257+1</f>
        <v>1804</v>
      </c>
      <c r="C1257" t="s">
        <v>510</v>
      </c>
      <c r="D1257" t="s">
        <v>27</v>
      </c>
      <c r="E1257" s="208" t="s">
        <v>142</v>
      </c>
      <c r="F1257" t="s">
        <v>6</v>
      </c>
      <c r="G1257" s="18">
        <v>0</v>
      </c>
      <c r="H1257" t="s">
        <v>16</v>
      </c>
      <c r="I1257" t="s">
        <v>25</v>
      </c>
    </row>
    <row r="1258" spans="1:9" x14ac:dyDescent="0.25">
      <c r="A1258">
        <v>1803</v>
      </c>
      <c r="B1258">
        <f>A1258+1</f>
        <v>1804</v>
      </c>
      <c r="C1258" t="s">
        <v>510</v>
      </c>
      <c r="D1258" t="s">
        <v>27</v>
      </c>
      <c r="E1258" s="208" t="s">
        <v>144</v>
      </c>
      <c r="F1258" t="s">
        <v>6</v>
      </c>
      <c r="G1258" s="18">
        <v>0</v>
      </c>
      <c r="H1258" t="s">
        <v>16</v>
      </c>
      <c r="I1258" t="s">
        <v>25</v>
      </c>
    </row>
    <row r="1259" spans="1:9" x14ac:dyDescent="0.25">
      <c r="A1259">
        <v>1803</v>
      </c>
      <c r="B1259">
        <f>A1259+1</f>
        <v>1804</v>
      </c>
      <c r="C1259" t="s">
        <v>510</v>
      </c>
      <c r="D1259" t="s">
        <v>27</v>
      </c>
      <c r="E1259" s="208" t="s">
        <v>124</v>
      </c>
      <c r="F1259" t="s">
        <v>6</v>
      </c>
      <c r="G1259" s="18">
        <v>0</v>
      </c>
      <c r="H1259" t="s">
        <v>16</v>
      </c>
      <c r="I1259" t="s">
        <v>25</v>
      </c>
    </row>
    <row r="1260" spans="1:9" x14ac:dyDescent="0.25">
      <c r="A1260">
        <v>1803</v>
      </c>
      <c r="B1260">
        <f>A1260+1</f>
        <v>1804</v>
      </c>
      <c r="C1260" t="s">
        <v>510</v>
      </c>
      <c r="D1260" t="s">
        <v>27</v>
      </c>
      <c r="E1260" s="208" t="s">
        <v>155</v>
      </c>
      <c r="F1260" t="s">
        <v>4</v>
      </c>
      <c r="G1260" s="18">
        <v>707</v>
      </c>
      <c r="H1260" t="s">
        <v>16</v>
      </c>
      <c r="I1260" t="s">
        <v>23</v>
      </c>
    </row>
    <row r="1261" spans="1:9" x14ac:dyDescent="0.25">
      <c r="A1261">
        <v>1803</v>
      </c>
      <c r="B1261">
        <f>A1261+1</f>
        <v>1804</v>
      </c>
      <c r="C1261" t="s">
        <v>510</v>
      </c>
      <c r="D1261" t="s">
        <v>27</v>
      </c>
      <c r="E1261" s="208" t="s">
        <v>156</v>
      </c>
      <c r="F1261" t="s">
        <v>4</v>
      </c>
      <c r="G1261" s="18">
        <v>18</v>
      </c>
      <c r="H1261" t="s">
        <v>16</v>
      </c>
      <c r="I1261" t="s">
        <v>23</v>
      </c>
    </row>
    <row r="1262" spans="1:9" x14ac:dyDescent="0.25">
      <c r="A1262">
        <v>1803</v>
      </c>
      <c r="B1262">
        <f>A1262+1</f>
        <v>1804</v>
      </c>
      <c r="C1262" t="s">
        <v>510</v>
      </c>
      <c r="D1262" t="s">
        <v>27</v>
      </c>
      <c r="E1262" s="208" t="s">
        <v>154</v>
      </c>
      <c r="F1262" t="s">
        <v>4</v>
      </c>
      <c r="G1262" s="18">
        <v>145</v>
      </c>
      <c r="H1262" t="s">
        <v>16</v>
      </c>
      <c r="I1262" t="s">
        <v>23</v>
      </c>
    </row>
    <row r="1263" spans="1:9" x14ac:dyDescent="0.25">
      <c r="A1263">
        <v>1803</v>
      </c>
      <c r="B1263">
        <f>A1263+1</f>
        <v>1804</v>
      </c>
      <c r="C1263" t="s">
        <v>510</v>
      </c>
      <c r="D1263" t="s">
        <v>27</v>
      </c>
      <c r="E1263" s="208" t="s">
        <v>150</v>
      </c>
      <c r="F1263" t="s">
        <v>4</v>
      </c>
      <c r="G1263" s="18">
        <v>4875</v>
      </c>
      <c r="H1263" t="s">
        <v>16</v>
      </c>
      <c r="I1263" t="s">
        <v>23</v>
      </c>
    </row>
    <row r="1264" spans="1:9" x14ac:dyDescent="0.25">
      <c r="A1264">
        <v>1803</v>
      </c>
      <c r="B1264">
        <f>A1264+1</f>
        <v>1804</v>
      </c>
      <c r="C1264" t="s">
        <v>510</v>
      </c>
      <c r="D1264" t="s">
        <v>27</v>
      </c>
      <c r="E1264" s="208" t="s">
        <v>148</v>
      </c>
      <c r="F1264" t="s">
        <v>4</v>
      </c>
      <c r="G1264" s="18">
        <v>0</v>
      </c>
      <c r="H1264" t="s">
        <v>16</v>
      </c>
      <c r="I1264" t="s">
        <v>23</v>
      </c>
    </row>
    <row r="1265" spans="1:9" x14ac:dyDescent="0.25">
      <c r="A1265">
        <v>1803</v>
      </c>
      <c r="B1265">
        <f>A1265+1</f>
        <v>1804</v>
      </c>
      <c r="C1265" t="s">
        <v>510</v>
      </c>
      <c r="D1265" t="s">
        <v>27</v>
      </c>
      <c r="E1265" s="208" t="s">
        <v>139</v>
      </c>
      <c r="F1265" t="s">
        <v>4</v>
      </c>
      <c r="G1265" s="18">
        <v>32</v>
      </c>
      <c r="H1265" t="s">
        <v>16</v>
      </c>
      <c r="I1265" t="s">
        <v>23</v>
      </c>
    </row>
    <row r="1266" spans="1:9" x14ac:dyDescent="0.25">
      <c r="A1266">
        <v>1803</v>
      </c>
      <c r="B1266">
        <f>A1266+1</f>
        <v>1804</v>
      </c>
      <c r="C1266" t="s">
        <v>510</v>
      </c>
      <c r="D1266" t="s">
        <v>27</v>
      </c>
      <c r="E1266" s="208" t="s">
        <v>130</v>
      </c>
      <c r="F1266" t="s">
        <v>4</v>
      </c>
      <c r="G1266" s="18">
        <v>438</v>
      </c>
      <c r="H1266" t="s">
        <v>16</v>
      </c>
      <c r="I1266" t="s">
        <v>23</v>
      </c>
    </row>
    <row r="1267" spans="1:9" x14ac:dyDescent="0.25">
      <c r="A1267">
        <v>1803</v>
      </c>
      <c r="B1267">
        <f>A1267+1</f>
        <v>1804</v>
      </c>
      <c r="C1267" t="s">
        <v>510</v>
      </c>
      <c r="D1267" t="s">
        <v>27</v>
      </c>
      <c r="E1267" s="208" t="s">
        <v>132</v>
      </c>
      <c r="F1267" t="s">
        <v>4</v>
      </c>
      <c r="G1267" s="18">
        <v>12</v>
      </c>
      <c r="H1267" t="s">
        <v>16</v>
      </c>
      <c r="I1267" t="s">
        <v>23</v>
      </c>
    </row>
    <row r="1268" spans="1:9" x14ac:dyDescent="0.25">
      <c r="A1268">
        <v>1803</v>
      </c>
      <c r="B1268">
        <f>A1268+1</f>
        <v>1804</v>
      </c>
      <c r="C1268" t="s">
        <v>510</v>
      </c>
      <c r="D1268" t="s">
        <v>27</v>
      </c>
      <c r="E1268" s="208" t="s">
        <v>142</v>
      </c>
      <c r="F1268" t="s">
        <v>4</v>
      </c>
      <c r="G1268" s="18">
        <v>966</v>
      </c>
      <c r="H1268" t="s">
        <v>16</v>
      </c>
      <c r="I1268" t="s">
        <v>23</v>
      </c>
    </row>
    <row r="1269" spans="1:9" x14ac:dyDescent="0.25">
      <c r="A1269">
        <v>1803</v>
      </c>
      <c r="B1269">
        <f>A1269+1</f>
        <v>1804</v>
      </c>
      <c r="C1269" t="s">
        <v>510</v>
      </c>
      <c r="D1269" t="s">
        <v>27</v>
      </c>
      <c r="E1269" s="208" t="s">
        <v>144</v>
      </c>
      <c r="F1269" t="s">
        <v>4</v>
      </c>
      <c r="G1269" s="18">
        <v>101</v>
      </c>
      <c r="H1269" t="s">
        <v>16</v>
      </c>
      <c r="I1269" t="s">
        <v>23</v>
      </c>
    </row>
    <row r="1270" spans="1:9" x14ac:dyDescent="0.25">
      <c r="A1270">
        <v>1803</v>
      </c>
      <c r="B1270">
        <f>A1270+1</f>
        <v>1804</v>
      </c>
      <c r="C1270" t="s">
        <v>510</v>
      </c>
      <c r="D1270" t="s">
        <v>27</v>
      </c>
      <c r="E1270" s="208" t="s">
        <v>124</v>
      </c>
      <c r="F1270" t="s">
        <v>4</v>
      </c>
      <c r="G1270" s="18">
        <v>1253652</v>
      </c>
      <c r="H1270" t="s">
        <v>16</v>
      </c>
      <c r="I1270" t="s">
        <v>23</v>
      </c>
    </row>
    <row r="1271" spans="1:9" x14ac:dyDescent="0.25">
      <c r="A1271">
        <v>1803</v>
      </c>
      <c r="B1271">
        <f>A1271+1</f>
        <v>1804</v>
      </c>
      <c r="C1271" t="s">
        <v>510</v>
      </c>
      <c r="D1271" t="s">
        <v>26</v>
      </c>
      <c r="E1271" s="208" t="s">
        <v>57</v>
      </c>
      <c r="F1271" t="s">
        <v>4</v>
      </c>
      <c r="G1271" s="18">
        <v>63415</v>
      </c>
      <c r="H1271" t="s">
        <v>23</v>
      </c>
      <c r="I1271" t="s">
        <v>16</v>
      </c>
    </row>
    <row r="1272" spans="1:9" x14ac:dyDescent="0.25">
      <c r="A1272">
        <v>1803</v>
      </c>
      <c r="B1272">
        <f>A1272+1</f>
        <v>1804</v>
      </c>
      <c r="C1272" t="s">
        <v>510</v>
      </c>
      <c r="D1272" t="s">
        <v>26</v>
      </c>
      <c r="E1272" s="208" t="s">
        <v>35</v>
      </c>
      <c r="F1272" t="s">
        <v>4</v>
      </c>
      <c r="G1272" s="18">
        <v>16119</v>
      </c>
      <c r="H1272" t="s">
        <v>23</v>
      </c>
      <c r="I1272" t="s">
        <v>16</v>
      </c>
    </row>
    <row r="1273" spans="1:9" x14ac:dyDescent="0.25">
      <c r="A1273">
        <v>1803</v>
      </c>
      <c r="B1273">
        <f>A1273+1</f>
        <v>1804</v>
      </c>
      <c r="C1273" t="s">
        <v>510</v>
      </c>
      <c r="D1273" t="s">
        <v>26</v>
      </c>
      <c r="E1273" s="208" t="s">
        <v>36</v>
      </c>
      <c r="F1273" t="s">
        <v>4</v>
      </c>
      <c r="G1273" s="18">
        <v>4322</v>
      </c>
      <c r="H1273" t="s">
        <v>23</v>
      </c>
      <c r="I1273" t="s">
        <v>16</v>
      </c>
    </row>
    <row r="1274" spans="1:9" x14ac:dyDescent="0.25">
      <c r="A1274">
        <v>1803</v>
      </c>
      <c r="B1274">
        <f>A1274+1</f>
        <v>1804</v>
      </c>
      <c r="C1274" t="s">
        <v>510</v>
      </c>
      <c r="D1274" t="s">
        <v>26</v>
      </c>
      <c r="E1274" s="208" t="s">
        <v>39</v>
      </c>
      <c r="F1274" t="s">
        <v>4</v>
      </c>
      <c r="G1274" s="18">
        <v>3733</v>
      </c>
      <c r="H1274" t="s">
        <v>23</v>
      </c>
      <c r="I1274" t="s">
        <v>16</v>
      </c>
    </row>
    <row r="1275" spans="1:9" x14ac:dyDescent="0.25">
      <c r="A1275">
        <v>1803</v>
      </c>
      <c r="B1275">
        <f>A1275+1</f>
        <v>1804</v>
      </c>
      <c r="C1275" t="s">
        <v>510</v>
      </c>
      <c r="D1275" t="s">
        <v>26</v>
      </c>
      <c r="E1275" s="208" t="s">
        <v>99</v>
      </c>
      <c r="F1275" t="s">
        <v>4</v>
      </c>
      <c r="G1275" s="18">
        <v>2422</v>
      </c>
      <c r="H1275" t="s">
        <v>23</v>
      </c>
      <c r="I1275" t="s">
        <v>16</v>
      </c>
    </row>
    <row r="1276" spans="1:9" x14ac:dyDescent="0.25">
      <c r="A1276">
        <v>1803</v>
      </c>
      <c r="B1276">
        <f>A1276+1</f>
        <v>1804</v>
      </c>
      <c r="C1276" t="s">
        <v>510</v>
      </c>
      <c r="D1276" t="s">
        <v>26</v>
      </c>
      <c r="E1276" s="208" t="s">
        <v>28</v>
      </c>
      <c r="F1276" t="s">
        <v>4</v>
      </c>
      <c r="G1276" s="18">
        <v>9080</v>
      </c>
      <c r="H1276" t="s">
        <v>23</v>
      </c>
      <c r="I1276" t="s">
        <v>16</v>
      </c>
    </row>
    <row r="1277" spans="1:9" x14ac:dyDescent="0.25">
      <c r="A1277">
        <v>1803</v>
      </c>
      <c r="B1277">
        <f>A1277+1</f>
        <v>1804</v>
      </c>
      <c r="C1277" t="s">
        <v>510</v>
      </c>
      <c r="D1277" t="s">
        <v>26</v>
      </c>
      <c r="E1277" s="208" t="s">
        <v>89</v>
      </c>
      <c r="F1277" t="s">
        <v>4</v>
      </c>
      <c r="G1277" s="18">
        <v>13918</v>
      </c>
      <c r="H1277" t="s">
        <v>23</v>
      </c>
      <c r="I1277" t="s">
        <v>16</v>
      </c>
    </row>
    <row r="1278" spans="1:9" x14ac:dyDescent="0.25">
      <c r="A1278">
        <v>1803</v>
      </c>
      <c r="B1278">
        <f>A1278+1</f>
        <v>1804</v>
      </c>
      <c r="C1278" t="s">
        <v>510</v>
      </c>
      <c r="D1278" t="s">
        <v>26</v>
      </c>
      <c r="E1278" s="208" t="s">
        <v>45</v>
      </c>
      <c r="F1278" t="s">
        <v>4</v>
      </c>
      <c r="G1278" s="18">
        <v>4240</v>
      </c>
      <c r="H1278" t="s">
        <v>23</v>
      </c>
      <c r="I1278" t="s">
        <v>16</v>
      </c>
    </row>
    <row r="1279" spans="1:9" x14ac:dyDescent="0.25">
      <c r="A1279">
        <v>1803</v>
      </c>
      <c r="B1279">
        <f>A1279+1</f>
        <v>1804</v>
      </c>
      <c r="C1279" t="s">
        <v>510</v>
      </c>
      <c r="D1279" t="s">
        <v>26</v>
      </c>
      <c r="E1279" s="208" t="s">
        <v>54</v>
      </c>
      <c r="F1279" t="s">
        <v>4</v>
      </c>
      <c r="G1279" s="18">
        <v>162</v>
      </c>
      <c r="H1279" t="s">
        <v>23</v>
      </c>
      <c r="I1279" t="s">
        <v>16</v>
      </c>
    </row>
    <row r="1280" spans="1:9" x14ac:dyDescent="0.25">
      <c r="A1280">
        <v>1803</v>
      </c>
      <c r="B1280">
        <f>A1280+1</f>
        <v>1804</v>
      </c>
      <c r="C1280" t="s">
        <v>510</v>
      </c>
      <c r="D1280" t="s">
        <v>26</v>
      </c>
      <c r="E1280" s="208" t="s">
        <v>53</v>
      </c>
      <c r="F1280" t="s">
        <v>4</v>
      </c>
      <c r="G1280" s="18">
        <v>29932</v>
      </c>
      <c r="H1280" t="s">
        <v>23</v>
      </c>
      <c r="I1280" t="s">
        <v>16</v>
      </c>
    </row>
    <row r="1281" spans="1:9" x14ac:dyDescent="0.25">
      <c r="A1281">
        <v>1803</v>
      </c>
      <c r="B1281">
        <f>A1281+1</f>
        <v>1804</v>
      </c>
      <c r="C1281" t="s">
        <v>510</v>
      </c>
      <c r="D1281" t="s">
        <v>26</v>
      </c>
      <c r="E1281" s="208" t="s">
        <v>75</v>
      </c>
      <c r="F1281" t="s">
        <v>4</v>
      </c>
      <c r="G1281" s="18">
        <v>3681646</v>
      </c>
      <c r="H1281" t="s">
        <v>23</v>
      </c>
      <c r="I1281" t="s">
        <v>16</v>
      </c>
    </row>
    <row r="1282" spans="1:9" x14ac:dyDescent="0.25">
      <c r="A1282">
        <v>1803</v>
      </c>
      <c r="B1282">
        <f>A1282+1</f>
        <v>1804</v>
      </c>
      <c r="C1282" t="s">
        <v>510</v>
      </c>
      <c r="D1282" t="s">
        <v>26</v>
      </c>
      <c r="E1282" s="208" t="s">
        <v>107</v>
      </c>
      <c r="F1282" t="s">
        <v>4</v>
      </c>
      <c r="G1282" s="18">
        <v>3617069</v>
      </c>
      <c r="H1282" t="s">
        <v>23</v>
      </c>
      <c r="I1282" t="s">
        <v>16</v>
      </c>
    </row>
    <row r="1283" spans="1:9" x14ac:dyDescent="0.25">
      <c r="A1283">
        <v>1803</v>
      </c>
      <c r="B1283">
        <f>A1283+1</f>
        <v>1804</v>
      </c>
      <c r="C1283" t="s">
        <v>510</v>
      </c>
      <c r="D1283" t="s">
        <v>26</v>
      </c>
      <c r="E1283" s="208" t="s">
        <v>101</v>
      </c>
      <c r="F1283" t="s">
        <v>4</v>
      </c>
      <c r="G1283" s="18">
        <v>8027051</v>
      </c>
      <c r="H1283" t="s">
        <v>23</v>
      </c>
      <c r="I1283" t="s">
        <v>16</v>
      </c>
    </row>
    <row r="1284" spans="1:9" x14ac:dyDescent="0.25">
      <c r="A1284">
        <v>1803</v>
      </c>
      <c r="B1284">
        <f>A1284+1</f>
        <v>1804</v>
      </c>
      <c r="C1284" t="s">
        <v>510</v>
      </c>
      <c r="D1284" t="s">
        <v>26</v>
      </c>
      <c r="E1284" s="208" t="s">
        <v>328</v>
      </c>
      <c r="F1284" t="s">
        <v>4</v>
      </c>
      <c r="G1284" s="18">
        <v>93</v>
      </c>
      <c r="H1284" t="s">
        <v>23</v>
      </c>
      <c r="I1284" t="s">
        <v>16</v>
      </c>
    </row>
    <row r="1285" spans="1:9" x14ac:dyDescent="0.25">
      <c r="A1285">
        <v>1803</v>
      </c>
      <c r="B1285">
        <f>A1285+1</f>
        <v>1804</v>
      </c>
      <c r="C1285" t="s">
        <v>510</v>
      </c>
      <c r="D1285" t="s">
        <v>26</v>
      </c>
      <c r="E1285" s="208" t="s">
        <v>329</v>
      </c>
      <c r="F1285" t="s">
        <v>4</v>
      </c>
      <c r="G1285" s="18">
        <v>1467</v>
      </c>
      <c r="H1285" t="s">
        <v>23</v>
      </c>
      <c r="I1285" t="s">
        <v>16</v>
      </c>
    </row>
    <row r="1286" spans="1:9" x14ac:dyDescent="0.25">
      <c r="A1286">
        <v>1803</v>
      </c>
      <c r="B1286">
        <f>A1286+1</f>
        <v>1804</v>
      </c>
      <c r="C1286" t="s">
        <v>510</v>
      </c>
      <c r="D1286" t="s">
        <v>27</v>
      </c>
      <c r="E1286" s="208" t="s">
        <v>155</v>
      </c>
      <c r="F1286" t="s">
        <v>7</v>
      </c>
      <c r="G1286" s="18">
        <v>41562</v>
      </c>
      <c r="H1286" t="s">
        <v>16</v>
      </c>
      <c r="I1286" s="151" t="s">
        <v>562</v>
      </c>
    </row>
    <row r="1287" spans="1:9" x14ac:dyDescent="0.25">
      <c r="A1287">
        <v>1803</v>
      </c>
      <c r="B1287">
        <f>A1287+1</f>
        <v>1804</v>
      </c>
      <c r="C1287" t="s">
        <v>510</v>
      </c>
      <c r="D1287" t="s">
        <v>27</v>
      </c>
      <c r="E1287" s="208" t="s">
        <v>156</v>
      </c>
      <c r="F1287" t="s">
        <v>7</v>
      </c>
      <c r="G1287" s="18">
        <v>3940</v>
      </c>
      <c r="H1287" t="s">
        <v>16</v>
      </c>
      <c r="I1287" s="151" t="s">
        <v>562</v>
      </c>
    </row>
    <row r="1288" spans="1:9" x14ac:dyDescent="0.25">
      <c r="A1288">
        <v>1803</v>
      </c>
      <c r="B1288">
        <f>A1288+1</f>
        <v>1804</v>
      </c>
      <c r="C1288" t="s">
        <v>510</v>
      </c>
      <c r="D1288" t="s">
        <v>27</v>
      </c>
      <c r="E1288" s="208" t="s">
        <v>154</v>
      </c>
      <c r="F1288" t="s">
        <v>7</v>
      </c>
      <c r="G1288" s="18">
        <v>1440</v>
      </c>
      <c r="H1288" t="s">
        <v>16</v>
      </c>
      <c r="I1288" s="151" t="s">
        <v>562</v>
      </c>
    </row>
    <row r="1289" spans="1:9" x14ac:dyDescent="0.25">
      <c r="A1289">
        <v>1803</v>
      </c>
      <c r="B1289">
        <f>A1289+1</f>
        <v>1804</v>
      </c>
      <c r="C1289" t="s">
        <v>510</v>
      </c>
      <c r="D1289" t="s">
        <v>27</v>
      </c>
      <c r="E1289" s="208" t="s">
        <v>150</v>
      </c>
      <c r="F1289" t="s">
        <v>7</v>
      </c>
      <c r="G1289" s="18">
        <v>12003</v>
      </c>
      <c r="H1289" t="s">
        <v>16</v>
      </c>
      <c r="I1289" s="151" t="s">
        <v>562</v>
      </c>
    </row>
    <row r="1290" spans="1:9" x14ac:dyDescent="0.25">
      <c r="A1290">
        <v>1803</v>
      </c>
      <c r="B1290">
        <f>A1290+1</f>
        <v>1804</v>
      </c>
      <c r="C1290" t="s">
        <v>510</v>
      </c>
      <c r="D1290" t="s">
        <v>27</v>
      </c>
      <c r="E1290" s="208" t="s">
        <v>148</v>
      </c>
      <c r="F1290" t="s">
        <v>7</v>
      </c>
      <c r="G1290" s="18">
        <v>541</v>
      </c>
      <c r="H1290" t="s">
        <v>16</v>
      </c>
      <c r="I1290" s="151" t="s">
        <v>562</v>
      </c>
    </row>
    <row r="1291" spans="1:9" x14ac:dyDescent="0.25">
      <c r="A1291">
        <v>1803</v>
      </c>
      <c r="B1291">
        <f>A1291+1</f>
        <v>1804</v>
      </c>
      <c r="C1291" t="s">
        <v>510</v>
      </c>
      <c r="D1291" t="s">
        <v>27</v>
      </c>
      <c r="E1291" s="208" t="s">
        <v>139</v>
      </c>
      <c r="F1291" t="s">
        <v>7</v>
      </c>
      <c r="G1291" s="18">
        <v>64</v>
      </c>
      <c r="H1291" t="s">
        <v>16</v>
      </c>
      <c r="I1291" s="151" t="s">
        <v>562</v>
      </c>
    </row>
    <row r="1292" spans="1:9" x14ac:dyDescent="0.25">
      <c r="A1292">
        <v>1803</v>
      </c>
      <c r="B1292">
        <f>A1292+1</f>
        <v>1804</v>
      </c>
      <c r="C1292" t="s">
        <v>510</v>
      </c>
      <c r="D1292" t="s">
        <v>27</v>
      </c>
      <c r="E1292" s="208" t="s">
        <v>130</v>
      </c>
      <c r="F1292" t="s">
        <v>7</v>
      </c>
      <c r="G1292" s="18">
        <v>873</v>
      </c>
      <c r="H1292" t="s">
        <v>16</v>
      </c>
      <c r="I1292" s="151" t="s">
        <v>562</v>
      </c>
    </row>
    <row r="1293" spans="1:9" x14ac:dyDescent="0.25">
      <c r="A1293">
        <v>1803</v>
      </c>
      <c r="B1293">
        <f>A1293+1</f>
        <v>1804</v>
      </c>
      <c r="C1293" t="s">
        <v>510</v>
      </c>
      <c r="D1293" t="s">
        <v>27</v>
      </c>
      <c r="E1293" s="208" t="s">
        <v>132</v>
      </c>
      <c r="F1293" t="s">
        <v>7</v>
      </c>
      <c r="G1293" s="18">
        <v>1024</v>
      </c>
      <c r="H1293" t="s">
        <v>16</v>
      </c>
      <c r="I1293" s="151" t="s">
        <v>562</v>
      </c>
    </row>
    <row r="1294" spans="1:9" x14ac:dyDescent="0.25">
      <c r="A1294">
        <v>1803</v>
      </c>
      <c r="B1294">
        <f>A1294+1</f>
        <v>1804</v>
      </c>
      <c r="C1294" t="s">
        <v>510</v>
      </c>
      <c r="D1294" t="s">
        <v>27</v>
      </c>
      <c r="E1294" s="208" t="s">
        <v>142</v>
      </c>
      <c r="F1294" t="s">
        <v>7</v>
      </c>
      <c r="G1294" s="18">
        <v>5645</v>
      </c>
      <c r="H1294" t="s">
        <v>16</v>
      </c>
      <c r="I1294" s="151" t="s">
        <v>562</v>
      </c>
    </row>
    <row r="1295" spans="1:9" x14ac:dyDescent="0.25">
      <c r="A1295">
        <v>1803</v>
      </c>
      <c r="B1295">
        <f>A1295+1</f>
        <v>1804</v>
      </c>
      <c r="C1295" t="s">
        <v>510</v>
      </c>
      <c r="D1295" t="s">
        <v>27</v>
      </c>
      <c r="E1295" s="208" t="s">
        <v>144</v>
      </c>
      <c r="F1295" t="s">
        <v>7</v>
      </c>
      <c r="G1295" s="18">
        <v>632</v>
      </c>
      <c r="H1295" t="s">
        <v>16</v>
      </c>
      <c r="I1295" s="151" t="s">
        <v>562</v>
      </c>
    </row>
    <row r="1296" spans="1:9" x14ac:dyDescent="0.25">
      <c r="A1296">
        <v>1803</v>
      </c>
      <c r="B1296">
        <f>A1296+1</f>
        <v>1804</v>
      </c>
      <c r="C1296" t="s">
        <v>510</v>
      </c>
      <c r="D1296" t="s">
        <v>27</v>
      </c>
      <c r="E1296" s="208" t="s">
        <v>124</v>
      </c>
      <c r="F1296" t="s">
        <v>7</v>
      </c>
      <c r="G1296" s="18">
        <v>16313386</v>
      </c>
      <c r="H1296" t="s">
        <v>16</v>
      </c>
      <c r="I1296" s="151" t="s">
        <v>562</v>
      </c>
    </row>
    <row r="1297" spans="1:9" x14ac:dyDescent="0.25">
      <c r="A1297">
        <v>1803</v>
      </c>
      <c r="B1297">
        <f>A1297+1</f>
        <v>1804</v>
      </c>
      <c r="C1297" t="s">
        <v>510</v>
      </c>
      <c r="D1297" t="s">
        <v>26</v>
      </c>
      <c r="E1297" s="208" t="s">
        <v>62</v>
      </c>
      <c r="F1297" t="s">
        <v>7</v>
      </c>
      <c r="G1297" s="18">
        <v>692</v>
      </c>
      <c r="H1297" s="151" t="s">
        <v>563</v>
      </c>
      <c r="I1297" t="s">
        <v>16</v>
      </c>
    </row>
    <row r="1298" spans="1:9" x14ac:dyDescent="0.25">
      <c r="A1298">
        <v>1803</v>
      </c>
      <c r="B1298">
        <f>A1298+1</f>
        <v>1804</v>
      </c>
      <c r="C1298" t="s">
        <v>510</v>
      </c>
      <c r="D1298" t="s">
        <v>26</v>
      </c>
      <c r="E1298" s="208" t="s">
        <v>57</v>
      </c>
      <c r="F1298" t="s">
        <v>7</v>
      </c>
      <c r="G1298" s="18">
        <v>63415</v>
      </c>
      <c r="H1298" s="151" t="s">
        <v>563</v>
      </c>
      <c r="I1298" t="s">
        <v>16</v>
      </c>
    </row>
    <row r="1299" spans="1:9" x14ac:dyDescent="0.25">
      <c r="A1299">
        <v>1803</v>
      </c>
      <c r="B1299">
        <f>A1299+1</f>
        <v>1804</v>
      </c>
      <c r="C1299" t="s">
        <v>510</v>
      </c>
      <c r="D1299" t="s">
        <v>26</v>
      </c>
      <c r="E1299" s="208" t="s">
        <v>35</v>
      </c>
      <c r="F1299" t="s">
        <v>7</v>
      </c>
      <c r="G1299" s="18">
        <v>16219</v>
      </c>
      <c r="H1299" s="151" t="s">
        <v>563</v>
      </c>
      <c r="I1299" t="s">
        <v>16</v>
      </c>
    </row>
    <row r="1300" spans="1:9" x14ac:dyDescent="0.25">
      <c r="A1300">
        <v>1803</v>
      </c>
      <c r="B1300">
        <f>A1300+1</f>
        <v>1804</v>
      </c>
      <c r="C1300" t="s">
        <v>510</v>
      </c>
      <c r="D1300" t="s">
        <v>26</v>
      </c>
      <c r="E1300" s="208" t="s">
        <v>36</v>
      </c>
      <c r="F1300" t="s">
        <v>7</v>
      </c>
      <c r="G1300" s="18">
        <v>4380</v>
      </c>
      <c r="H1300" s="151" t="s">
        <v>563</v>
      </c>
      <c r="I1300" t="s">
        <v>16</v>
      </c>
    </row>
    <row r="1301" spans="1:9" x14ac:dyDescent="0.25">
      <c r="A1301">
        <v>1803</v>
      </c>
      <c r="B1301">
        <f>A1301+1</f>
        <v>1804</v>
      </c>
      <c r="C1301" t="s">
        <v>510</v>
      </c>
      <c r="D1301" t="s">
        <v>26</v>
      </c>
      <c r="E1301" s="208" t="s">
        <v>39</v>
      </c>
      <c r="F1301" t="s">
        <v>7</v>
      </c>
      <c r="G1301" s="18">
        <v>3833</v>
      </c>
      <c r="H1301" s="151" t="s">
        <v>563</v>
      </c>
      <c r="I1301" t="s">
        <v>16</v>
      </c>
    </row>
    <row r="1302" spans="1:9" x14ac:dyDescent="0.25">
      <c r="A1302">
        <v>1803</v>
      </c>
      <c r="B1302">
        <f>A1302+1</f>
        <v>1804</v>
      </c>
      <c r="C1302" t="s">
        <v>510</v>
      </c>
      <c r="D1302" t="s">
        <v>26</v>
      </c>
      <c r="E1302" s="208" t="s">
        <v>42</v>
      </c>
      <c r="F1302" t="s">
        <v>7</v>
      </c>
      <c r="G1302" s="18">
        <v>10</v>
      </c>
      <c r="H1302" s="151" t="s">
        <v>563</v>
      </c>
      <c r="I1302" t="s">
        <v>16</v>
      </c>
    </row>
    <row r="1303" spans="1:9" x14ac:dyDescent="0.25">
      <c r="A1303">
        <v>1803</v>
      </c>
      <c r="B1303">
        <f>A1303+1</f>
        <v>1804</v>
      </c>
      <c r="C1303" t="s">
        <v>510</v>
      </c>
      <c r="D1303" t="s">
        <v>26</v>
      </c>
      <c r="E1303" s="208" t="s">
        <v>99</v>
      </c>
      <c r="F1303" t="s">
        <v>7</v>
      </c>
      <c r="G1303" s="18">
        <v>2422</v>
      </c>
      <c r="H1303" s="151" t="s">
        <v>563</v>
      </c>
      <c r="I1303" t="s">
        <v>16</v>
      </c>
    </row>
    <row r="1304" spans="1:9" x14ac:dyDescent="0.25">
      <c r="A1304">
        <v>1803</v>
      </c>
      <c r="B1304">
        <f>A1304+1</f>
        <v>1804</v>
      </c>
      <c r="C1304" t="s">
        <v>510</v>
      </c>
      <c r="D1304" t="s">
        <v>26</v>
      </c>
      <c r="E1304" s="208" t="s">
        <v>28</v>
      </c>
      <c r="F1304" t="s">
        <v>7</v>
      </c>
      <c r="G1304" s="18">
        <v>9175</v>
      </c>
      <c r="H1304" s="151" t="s">
        <v>563</v>
      </c>
      <c r="I1304" t="s">
        <v>16</v>
      </c>
    </row>
    <row r="1305" spans="1:9" x14ac:dyDescent="0.25">
      <c r="A1305">
        <v>1803</v>
      </c>
      <c r="B1305">
        <f>A1305+1</f>
        <v>1804</v>
      </c>
      <c r="C1305" t="s">
        <v>510</v>
      </c>
      <c r="D1305" t="s">
        <v>26</v>
      </c>
      <c r="E1305" s="208" t="s">
        <v>89</v>
      </c>
      <c r="F1305" t="s">
        <v>7</v>
      </c>
      <c r="G1305" s="18">
        <v>14078</v>
      </c>
      <c r="H1305" s="151" t="s">
        <v>563</v>
      </c>
      <c r="I1305" t="s">
        <v>16</v>
      </c>
    </row>
    <row r="1306" spans="1:9" x14ac:dyDescent="0.25">
      <c r="A1306">
        <v>1803</v>
      </c>
      <c r="B1306">
        <f>A1306+1</f>
        <v>1804</v>
      </c>
      <c r="C1306" t="s">
        <v>510</v>
      </c>
      <c r="D1306" t="s">
        <v>26</v>
      </c>
      <c r="E1306" s="208" t="s">
        <v>45</v>
      </c>
      <c r="F1306" t="s">
        <v>7</v>
      </c>
      <c r="G1306" s="18">
        <v>4293</v>
      </c>
      <c r="H1306" s="151" t="s">
        <v>563</v>
      </c>
      <c r="I1306" t="s">
        <v>16</v>
      </c>
    </row>
    <row r="1307" spans="1:9" x14ac:dyDescent="0.25">
      <c r="A1307">
        <v>1803</v>
      </c>
      <c r="B1307">
        <f>A1307+1</f>
        <v>1804</v>
      </c>
      <c r="C1307" t="s">
        <v>510</v>
      </c>
      <c r="D1307" t="s">
        <v>26</v>
      </c>
      <c r="E1307" s="208" t="s">
        <v>54</v>
      </c>
      <c r="F1307" t="s">
        <v>7</v>
      </c>
      <c r="G1307" s="18">
        <v>162</v>
      </c>
      <c r="H1307" s="151" t="s">
        <v>563</v>
      </c>
      <c r="I1307" t="s">
        <v>16</v>
      </c>
    </row>
    <row r="1308" spans="1:9" x14ac:dyDescent="0.25">
      <c r="A1308">
        <v>1803</v>
      </c>
      <c r="B1308">
        <f>A1308+1</f>
        <v>1804</v>
      </c>
      <c r="C1308" t="s">
        <v>510</v>
      </c>
      <c r="D1308" t="s">
        <v>26</v>
      </c>
      <c r="E1308" s="208" t="s">
        <v>53</v>
      </c>
      <c r="F1308" t="s">
        <v>7</v>
      </c>
      <c r="G1308" s="18">
        <v>29932</v>
      </c>
      <c r="H1308" s="151" t="s">
        <v>563</v>
      </c>
      <c r="I1308" t="s">
        <v>16</v>
      </c>
    </row>
    <row r="1309" spans="1:9" x14ac:dyDescent="0.25">
      <c r="A1309">
        <v>1803</v>
      </c>
      <c r="B1309">
        <f>A1309+1</f>
        <v>1804</v>
      </c>
      <c r="C1309" t="s">
        <v>510</v>
      </c>
      <c r="D1309" t="s">
        <v>26</v>
      </c>
      <c r="E1309" s="208" t="s">
        <v>75</v>
      </c>
      <c r="F1309" t="s">
        <v>7</v>
      </c>
      <c r="G1309" s="18">
        <v>3819617</v>
      </c>
      <c r="H1309" s="151" t="s">
        <v>563</v>
      </c>
      <c r="I1309" t="s">
        <v>16</v>
      </c>
    </row>
    <row r="1310" spans="1:9" x14ac:dyDescent="0.25">
      <c r="A1310">
        <v>1803</v>
      </c>
      <c r="B1310">
        <f>A1310+1</f>
        <v>1804</v>
      </c>
      <c r="C1310" t="s">
        <v>510</v>
      </c>
      <c r="D1310" t="s">
        <v>26</v>
      </c>
      <c r="E1310" s="208" t="s">
        <v>107</v>
      </c>
      <c r="F1310" t="s">
        <v>7</v>
      </c>
      <c r="G1310" s="18">
        <v>3738819</v>
      </c>
      <c r="H1310" s="151" t="s">
        <v>563</v>
      </c>
      <c r="I1310" t="s">
        <v>16</v>
      </c>
    </row>
    <row r="1311" spans="1:9" x14ac:dyDescent="0.25">
      <c r="A1311">
        <v>1803</v>
      </c>
      <c r="B1311">
        <f>A1311+1</f>
        <v>1804</v>
      </c>
      <c r="C1311" t="s">
        <v>510</v>
      </c>
      <c r="D1311" t="s">
        <v>26</v>
      </c>
      <c r="E1311" s="208" t="s">
        <v>101</v>
      </c>
      <c r="F1311" t="s">
        <v>7</v>
      </c>
      <c r="G1311" s="18">
        <v>8061801</v>
      </c>
      <c r="H1311" s="151" t="s">
        <v>563</v>
      </c>
      <c r="I1311" t="s">
        <v>16</v>
      </c>
    </row>
    <row r="1312" spans="1:9" x14ac:dyDescent="0.25">
      <c r="A1312">
        <v>1803</v>
      </c>
      <c r="B1312">
        <f>A1312+1</f>
        <v>1804</v>
      </c>
      <c r="C1312" t="s">
        <v>510</v>
      </c>
      <c r="D1312" t="s">
        <v>26</v>
      </c>
      <c r="E1312" s="208" t="s">
        <v>328</v>
      </c>
      <c r="F1312" t="s">
        <v>7</v>
      </c>
      <c r="G1312" s="18">
        <v>93</v>
      </c>
      <c r="H1312" s="151" t="s">
        <v>563</v>
      </c>
      <c r="I1312" t="s">
        <v>16</v>
      </c>
    </row>
    <row r="1313" spans="1:9" x14ac:dyDescent="0.25">
      <c r="A1313">
        <v>1803</v>
      </c>
      <c r="B1313">
        <f>A1313+1</f>
        <v>1804</v>
      </c>
      <c r="C1313" t="s">
        <v>510</v>
      </c>
      <c r="D1313" t="s">
        <v>26</v>
      </c>
      <c r="E1313" s="208" t="s">
        <v>329</v>
      </c>
      <c r="F1313" t="s">
        <v>7</v>
      </c>
      <c r="G1313" s="18">
        <v>1467</v>
      </c>
      <c r="H1313" s="151" t="s">
        <v>563</v>
      </c>
      <c r="I1313" t="s">
        <v>16</v>
      </c>
    </row>
    <row r="1314" spans="1:9" x14ac:dyDescent="0.25">
      <c r="A1314">
        <v>1803</v>
      </c>
      <c r="B1314">
        <f>A1314+1</f>
        <v>1804</v>
      </c>
      <c r="C1314" t="s">
        <v>510</v>
      </c>
      <c r="D1314" t="s">
        <v>26</v>
      </c>
      <c r="E1314" s="208" t="s">
        <v>78</v>
      </c>
      <c r="F1314" t="s">
        <v>7</v>
      </c>
      <c r="G1314" s="18">
        <v>153</v>
      </c>
      <c r="H1314" s="151" t="s">
        <v>563</v>
      </c>
      <c r="I1314" t="s">
        <v>16</v>
      </c>
    </row>
    <row r="1315" spans="1:9" x14ac:dyDescent="0.25">
      <c r="A1315">
        <v>1803</v>
      </c>
      <c r="B1315">
        <f>A1315+1</f>
        <v>1804</v>
      </c>
      <c r="C1315" t="s">
        <v>510</v>
      </c>
      <c r="D1315" t="s">
        <v>26</v>
      </c>
      <c r="E1315" s="208" t="s">
        <v>77</v>
      </c>
      <c r="F1315" t="s">
        <v>7</v>
      </c>
      <c r="G1315" s="18">
        <v>60000</v>
      </c>
      <c r="H1315" s="151" t="s">
        <v>563</v>
      </c>
      <c r="I1315" t="s">
        <v>16</v>
      </c>
    </row>
    <row r="1316" spans="1:9" x14ac:dyDescent="0.25">
      <c r="A1316">
        <v>1803</v>
      </c>
      <c r="B1316">
        <f>A1316+1</f>
        <v>1804</v>
      </c>
      <c r="C1316" t="s">
        <v>510</v>
      </c>
      <c r="D1316" t="s">
        <v>26</v>
      </c>
      <c r="E1316" s="208" t="s">
        <v>82</v>
      </c>
      <c r="F1316" t="s">
        <v>7</v>
      </c>
      <c r="G1316" s="18">
        <v>126</v>
      </c>
      <c r="H1316" s="151" t="s">
        <v>563</v>
      </c>
      <c r="I1316" t="s">
        <v>16</v>
      </c>
    </row>
    <row r="1317" spans="1:9" x14ac:dyDescent="0.25">
      <c r="A1317">
        <v>1803</v>
      </c>
      <c r="B1317">
        <f>A1317+1</f>
        <v>1804</v>
      </c>
      <c r="C1317" t="s">
        <v>510</v>
      </c>
      <c r="D1317" t="s">
        <v>26</v>
      </c>
      <c r="E1317" s="208" t="s">
        <v>327</v>
      </c>
      <c r="F1317" t="s">
        <v>7</v>
      </c>
      <c r="G1317" s="18">
        <v>92</v>
      </c>
      <c r="H1317" s="151" t="s">
        <v>563</v>
      </c>
      <c r="I1317" t="s">
        <v>16</v>
      </c>
    </row>
    <row r="1318" spans="1:9" x14ac:dyDescent="0.25">
      <c r="A1318">
        <v>1803</v>
      </c>
      <c r="B1318">
        <f>A1318+1</f>
        <v>1804</v>
      </c>
      <c r="C1318" t="s">
        <v>510</v>
      </c>
      <c r="D1318" t="s">
        <v>26</v>
      </c>
      <c r="E1318" s="208" t="s">
        <v>65</v>
      </c>
      <c r="F1318" t="s">
        <v>7</v>
      </c>
      <c r="G1318" s="18">
        <v>6561</v>
      </c>
      <c r="H1318" s="151" t="s">
        <v>563</v>
      </c>
      <c r="I1318" t="s">
        <v>16</v>
      </c>
    </row>
    <row r="1319" spans="1:9" x14ac:dyDescent="0.25">
      <c r="A1319">
        <v>1803</v>
      </c>
      <c r="B1319">
        <f>A1319+1</f>
        <v>1804</v>
      </c>
      <c r="C1319" t="s">
        <v>510</v>
      </c>
      <c r="D1319" t="s">
        <v>26</v>
      </c>
      <c r="E1319" s="208" t="s">
        <v>330</v>
      </c>
      <c r="F1319" t="s">
        <v>7</v>
      </c>
      <c r="G1319" s="18">
        <v>952</v>
      </c>
      <c r="H1319" s="151" t="s">
        <v>563</v>
      </c>
      <c r="I1319" t="s">
        <v>16</v>
      </c>
    </row>
    <row r="1320" spans="1:9" x14ac:dyDescent="0.25">
      <c r="A1320">
        <v>1803</v>
      </c>
      <c r="B1320">
        <f>A1320+1</f>
        <v>1804</v>
      </c>
      <c r="C1320" t="s">
        <v>510</v>
      </c>
      <c r="D1320" t="s">
        <v>26</v>
      </c>
      <c r="E1320" s="208" t="s">
        <v>331</v>
      </c>
      <c r="F1320" t="s">
        <v>7</v>
      </c>
      <c r="G1320" s="18">
        <v>1655</v>
      </c>
      <c r="H1320" s="151" t="s">
        <v>563</v>
      </c>
      <c r="I1320" t="s">
        <v>16</v>
      </c>
    </row>
    <row r="1321" spans="1:9" x14ac:dyDescent="0.25">
      <c r="A1321">
        <v>1803</v>
      </c>
      <c r="B1321">
        <f>A1321+1</f>
        <v>1804</v>
      </c>
      <c r="C1321" t="s">
        <v>510</v>
      </c>
      <c r="D1321" t="s">
        <v>26</v>
      </c>
      <c r="E1321" s="208" t="s">
        <v>332</v>
      </c>
      <c r="F1321" t="s">
        <v>7</v>
      </c>
      <c r="G1321" s="18">
        <v>223</v>
      </c>
      <c r="H1321" s="151" t="s">
        <v>563</v>
      </c>
      <c r="I1321" t="s">
        <v>16</v>
      </c>
    </row>
    <row r="1322" spans="1:9" x14ac:dyDescent="0.25">
      <c r="A1322">
        <v>1803</v>
      </c>
      <c r="B1322">
        <f>A1322+1</f>
        <v>1804</v>
      </c>
      <c r="C1322" t="s">
        <v>510</v>
      </c>
      <c r="D1322" t="s">
        <v>26</v>
      </c>
      <c r="E1322" s="208" t="s">
        <v>333</v>
      </c>
      <c r="F1322" t="s">
        <v>7</v>
      </c>
      <c r="G1322" s="18">
        <v>461</v>
      </c>
      <c r="H1322" s="151" t="s">
        <v>563</v>
      </c>
      <c r="I1322" t="s">
        <v>16</v>
      </c>
    </row>
    <row r="1323" spans="1:9" x14ac:dyDescent="0.25">
      <c r="A1323">
        <v>1803</v>
      </c>
      <c r="B1323">
        <f>A1323+1</f>
        <v>1804</v>
      </c>
      <c r="C1323" t="s">
        <v>510</v>
      </c>
      <c r="D1323" t="s">
        <v>27</v>
      </c>
      <c r="E1323" s="208" t="s">
        <v>155</v>
      </c>
      <c r="F1323" t="s">
        <v>10</v>
      </c>
      <c r="G1323" s="18">
        <v>47</v>
      </c>
      <c r="H1323" t="s">
        <v>17</v>
      </c>
      <c r="I1323" t="s">
        <v>24</v>
      </c>
    </row>
    <row r="1324" spans="1:9" x14ac:dyDescent="0.25">
      <c r="A1324">
        <v>1803</v>
      </c>
      <c r="B1324">
        <f>A1324+1</f>
        <v>1804</v>
      </c>
      <c r="C1324" t="s">
        <v>510</v>
      </c>
      <c r="D1324" t="s">
        <v>27</v>
      </c>
      <c r="E1324" s="208" t="s">
        <v>156</v>
      </c>
      <c r="F1324" t="s">
        <v>10</v>
      </c>
      <c r="G1324" s="18">
        <v>0</v>
      </c>
      <c r="H1324" t="s">
        <v>17</v>
      </c>
      <c r="I1324" t="s">
        <v>24</v>
      </c>
    </row>
    <row r="1325" spans="1:9" x14ac:dyDescent="0.25">
      <c r="A1325">
        <v>1803</v>
      </c>
      <c r="B1325">
        <f>A1325+1</f>
        <v>1804</v>
      </c>
      <c r="C1325" t="s">
        <v>510</v>
      </c>
      <c r="D1325" t="s">
        <v>27</v>
      </c>
      <c r="E1325" s="208" t="s">
        <v>154</v>
      </c>
      <c r="F1325" t="s">
        <v>10</v>
      </c>
      <c r="G1325" s="18">
        <v>745</v>
      </c>
      <c r="H1325" t="s">
        <v>17</v>
      </c>
      <c r="I1325" t="s">
        <v>24</v>
      </c>
    </row>
    <row r="1326" spans="1:9" x14ac:dyDescent="0.25">
      <c r="A1326">
        <v>1803</v>
      </c>
      <c r="B1326">
        <f>A1326+1</f>
        <v>1804</v>
      </c>
      <c r="C1326" t="s">
        <v>510</v>
      </c>
      <c r="D1326" t="s">
        <v>27</v>
      </c>
      <c r="E1326" s="208" t="s">
        <v>150</v>
      </c>
      <c r="F1326" t="s">
        <v>10</v>
      </c>
      <c r="G1326" s="18">
        <v>767</v>
      </c>
      <c r="H1326" t="s">
        <v>17</v>
      </c>
      <c r="I1326" t="s">
        <v>24</v>
      </c>
    </row>
    <row r="1327" spans="1:9" x14ac:dyDescent="0.25">
      <c r="A1327">
        <v>1803</v>
      </c>
      <c r="B1327">
        <f>A1327+1</f>
        <v>1804</v>
      </c>
      <c r="C1327" t="s">
        <v>510</v>
      </c>
      <c r="D1327" t="s">
        <v>27</v>
      </c>
      <c r="E1327" s="208" t="s">
        <v>148</v>
      </c>
      <c r="F1327" t="s">
        <v>10</v>
      </c>
      <c r="G1327" s="18">
        <v>0</v>
      </c>
      <c r="H1327" t="s">
        <v>17</v>
      </c>
      <c r="I1327" t="s">
        <v>24</v>
      </c>
    </row>
    <row r="1328" spans="1:9" x14ac:dyDescent="0.25">
      <c r="A1328">
        <v>1803</v>
      </c>
      <c r="B1328">
        <f>A1328+1</f>
        <v>1804</v>
      </c>
      <c r="C1328" t="s">
        <v>510</v>
      </c>
      <c r="D1328" t="s">
        <v>27</v>
      </c>
      <c r="E1328" s="208" t="s">
        <v>139</v>
      </c>
      <c r="F1328" t="s">
        <v>10</v>
      </c>
      <c r="G1328" s="18">
        <v>0</v>
      </c>
      <c r="H1328" t="s">
        <v>17</v>
      </c>
      <c r="I1328" t="s">
        <v>24</v>
      </c>
    </row>
    <row r="1329" spans="1:9" x14ac:dyDescent="0.25">
      <c r="A1329">
        <v>1803</v>
      </c>
      <c r="B1329">
        <f>A1329+1</f>
        <v>1804</v>
      </c>
      <c r="C1329" t="s">
        <v>510</v>
      </c>
      <c r="D1329" t="s">
        <v>27</v>
      </c>
      <c r="E1329" s="208" t="s">
        <v>130</v>
      </c>
      <c r="F1329" t="s">
        <v>10</v>
      </c>
      <c r="G1329" s="18">
        <v>0</v>
      </c>
      <c r="H1329" t="s">
        <v>17</v>
      </c>
      <c r="I1329" t="s">
        <v>24</v>
      </c>
    </row>
    <row r="1330" spans="1:9" x14ac:dyDescent="0.25">
      <c r="A1330">
        <v>1803</v>
      </c>
      <c r="B1330">
        <f>A1330+1</f>
        <v>1804</v>
      </c>
      <c r="C1330" t="s">
        <v>510</v>
      </c>
      <c r="D1330" t="s">
        <v>27</v>
      </c>
      <c r="E1330" s="208" t="s">
        <v>132</v>
      </c>
      <c r="F1330" t="s">
        <v>10</v>
      </c>
      <c r="G1330" s="18">
        <v>0</v>
      </c>
      <c r="H1330" t="s">
        <v>17</v>
      </c>
      <c r="I1330" t="s">
        <v>24</v>
      </c>
    </row>
    <row r="1331" spans="1:9" x14ac:dyDescent="0.25">
      <c r="A1331">
        <v>1803</v>
      </c>
      <c r="B1331">
        <f>A1331+1</f>
        <v>1804</v>
      </c>
      <c r="C1331" t="s">
        <v>510</v>
      </c>
      <c r="D1331" t="s">
        <v>27</v>
      </c>
      <c r="E1331" s="208" t="s">
        <v>142</v>
      </c>
      <c r="F1331" t="s">
        <v>10</v>
      </c>
      <c r="G1331" s="18">
        <v>541</v>
      </c>
      <c r="H1331" t="s">
        <v>17</v>
      </c>
      <c r="I1331" t="s">
        <v>24</v>
      </c>
    </row>
    <row r="1332" spans="1:9" x14ac:dyDescent="0.25">
      <c r="A1332">
        <v>1803</v>
      </c>
      <c r="B1332">
        <f>A1332+1</f>
        <v>1804</v>
      </c>
      <c r="C1332" t="s">
        <v>510</v>
      </c>
      <c r="D1332" t="s">
        <v>27</v>
      </c>
      <c r="E1332" s="208" t="s">
        <v>144</v>
      </c>
      <c r="F1332" t="s">
        <v>10</v>
      </c>
      <c r="G1332" s="18">
        <v>0</v>
      </c>
      <c r="H1332" t="s">
        <v>17</v>
      </c>
      <c r="I1332" t="s">
        <v>24</v>
      </c>
    </row>
    <row r="1333" spans="1:9" x14ac:dyDescent="0.25">
      <c r="A1333">
        <v>1803</v>
      </c>
      <c r="B1333">
        <f>A1333+1</f>
        <v>1804</v>
      </c>
      <c r="C1333" t="s">
        <v>510</v>
      </c>
      <c r="D1333" t="s">
        <v>27</v>
      </c>
      <c r="E1333" s="208" t="s">
        <v>124</v>
      </c>
      <c r="F1333" t="s">
        <v>10</v>
      </c>
      <c r="G1333" s="18">
        <v>9882</v>
      </c>
      <c r="H1333" t="s">
        <v>17</v>
      </c>
      <c r="I1333" t="s">
        <v>24</v>
      </c>
    </row>
    <row r="1334" spans="1:9" x14ac:dyDescent="0.25">
      <c r="A1334">
        <v>1803</v>
      </c>
      <c r="B1334">
        <f>A1334+1</f>
        <v>1804</v>
      </c>
      <c r="C1334" t="s">
        <v>510</v>
      </c>
      <c r="D1334" t="s">
        <v>26</v>
      </c>
      <c r="E1334" s="208" t="s">
        <v>62</v>
      </c>
      <c r="F1334" t="s">
        <v>10</v>
      </c>
      <c r="G1334" s="18">
        <v>124</v>
      </c>
      <c r="H1334" t="s">
        <v>24</v>
      </c>
      <c r="I1334" t="s">
        <v>17</v>
      </c>
    </row>
    <row r="1335" spans="1:9" x14ac:dyDescent="0.25">
      <c r="A1335">
        <v>1803</v>
      </c>
      <c r="B1335">
        <f>A1335+1</f>
        <v>1804</v>
      </c>
      <c r="C1335" t="s">
        <v>510</v>
      </c>
      <c r="D1335" t="s">
        <v>26</v>
      </c>
      <c r="E1335" s="208" t="s">
        <v>35</v>
      </c>
      <c r="F1335" t="s">
        <v>10</v>
      </c>
      <c r="G1335" s="18">
        <v>0</v>
      </c>
      <c r="H1335" t="s">
        <v>24</v>
      </c>
      <c r="I1335" t="s">
        <v>17</v>
      </c>
    </row>
    <row r="1336" spans="1:9" x14ac:dyDescent="0.25">
      <c r="A1336">
        <v>1803</v>
      </c>
      <c r="B1336">
        <f>A1336+1</f>
        <v>1804</v>
      </c>
      <c r="C1336" t="s">
        <v>510</v>
      </c>
      <c r="D1336" t="s">
        <v>26</v>
      </c>
      <c r="E1336" s="208" t="s">
        <v>36</v>
      </c>
      <c r="F1336" t="s">
        <v>10</v>
      </c>
      <c r="G1336" s="18">
        <v>30</v>
      </c>
      <c r="H1336" t="s">
        <v>24</v>
      </c>
      <c r="I1336" t="s">
        <v>17</v>
      </c>
    </row>
    <row r="1337" spans="1:9" x14ac:dyDescent="0.25">
      <c r="A1337">
        <v>1803</v>
      </c>
      <c r="B1337">
        <f>A1337+1</f>
        <v>1804</v>
      </c>
      <c r="C1337" t="s">
        <v>510</v>
      </c>
      <c r="D1337" t="s">
        <v>26</v>
      </c>
      <c r="E1337" s="208" t="s">
        <v>39</v>
      </c>
      <c r="F1337" t="s">
        <v>10</v>
      </c>
      <c r="G1337" s="18">
        <v>0</v>
      </c>
      <c r="H1337" t="s">
        <v>24</v>
      </c>
      <c r="I1337" t="s">
        <v>17</v>
      </c>
    </row>
    <row r="1338" spans="1:9" x14ac:dyDescent="0.25">
      <c r="A1338">
        <v>1803</v>
      </c>
      <c r="B1338">
        <f>A1338+1</f>
        <v>1804</v>
      </c>
      <c r="C1338" t="s">
        <v>510</v>
      </c>
      <c r="D1338" t="s">
        <v>26</v>
      </c>
      <c r="E1338" s="208" t="s">
        <v>42</v>
      </c>
      <c r="F1338" t="s">
        <v>10</v>
      </c>
      <c r="G1338" s="18">
        <v>0</v>
      </c>
      <c r="H1338" t="s">
        <v>24</v>
      </c>
      <c r="I1338" t="s">
        <v>17</v>
      </c>
    </row>
    <row r="1339" spans="1:9" x14ac:dyDescent="0.25">
      <c r="A1339">
        <v>1803</v>
      </c>
      <c r="B1339">
        <f>A1339+1</f>
        <v>1804</v>
      </c>
      <c r="C1339" t="s">
        <v>510</v>
      </c>
      <c r="D1339" t="s">
        <v>26</v>
      </c>
      <c r="E1339" s="208" t="s">
        <v>28</v>
      </c>
      <c r="F1339" t="s">
        <v>10</v>
      </c>
      <c r="G1339" s="18">
        <v>267</v>
      </c>
      <c r="H1339" t="s">
        <v>24</v>
      </c>
      <c r="I1339" t="s">
        <v>17</v>
      </c>
    </row>
    <row r="1340" spans="1:9" x14ac:dyDescent="0.25">
      <c r="A1340">
        <v>1803</v>
      </c>
      <c r="B1340">
        <f>A1340+1</f>
        <v>1804</v>
      </c>
      <c r="C1340" t="s">
        <v>510</v>
      </c>
      <c r="D1340" t="s">
        <v>26</v>
      </c>
      <c r="E1340" s="208" t="s">
        <v>89</v>
      </c>
      <c r="F1340" t="s">
        <v>10</v>
      </c>
      <c r="G1340" s="18">
        <v>31</v>
      </c>
      <c r="H1340" t="s">
        <v>24</v>
      </c>
      <c r="I1340" t="s">
        <v>17</v>
      </c>
    </row>
    <row r="1341" spans="1:9" x14ac:dyDescent="0.25">
      <c r="A1341">
        <v>1803</v>
      </c>
      <c r="B1341">
        <f>A1341+1</f>
        <v>1804</v>
      </c>
      <c r="C1341" t="s">
        <v>510</v>
      </c>
      <c r="D1341" t="s">
        <v>26</v>
      </c>
      <c r="E1341" s="208" t="s">
        <v>45</v>
      </c>
      <c r="F1341" t="s">
        <v>10</v>
      </c>
      <c r="G1341" s="18">
        <v>27</v>
      </c>
      <c r="H1341" t="s">
        <v>24</v>
      </c>
      <c r="I1341" t="s">
        <v>17</v>
      </c>
    </row>
    <row r="1342" spans="1:9" x14ac:dyDescent="0.25">
      <c r="A1342">
        <v>1803</v>
      </c>
      <c r="B1342">
        <f>A1342+1</f>
        <v>1804</v>
      </c>
      <c r="C1342" t="s">
        <v>510</v>
      </c>
      <c r="D1342" t="s">
        <v>26</v>
      </c>
      <c r="E1342" s="208" t="s">
        <v>75</v>
      </c>
      <c r="F1342" t="s">
        <v>10</v>
      </c>
      <c r="G1342" s="18">
        <v>582000</v>
      </c>
      <c r="H1342" t="s">
        <v>24</v>
      </c>
      <c r="I1342" t="s">
        <v>17</v>
      </c>
    </row>
    <row r="1343" spans="1:9" x14ac:dyDescent="0.25">
      <c r="A1343">
        <v>1803</v>
      </c>
      <c r="B1343">
        <f>A1343+1</f>
        <v>1804</v>
      </c>
      <c r="C1343" t="s">
        <v>510</v>
      </c>
      <c r="D1343" t="s">
        <v>26</v>
      </c>
      <c r="E1343" s="208" t="s">
        <v>107</v>
      </c>
      <c r="F1343" t="s">
        <v>10</v>
      </c>
      <c r="G1343" s="18">
        <v>181000</v>
      </c>
      <c r="H1343" t="s">
        <v>24</v>
      </c>
      <c r="I1343" t="s">
        <v>17</v>
      </c>
    </row>
    <row r="1344" spans="1:9" x14ac:dyDescent="0.25">
      <c r="A1344">
        <v>1803</v>
      </c>
      <c r="B1344">
        <f>A1344+1</f>
        <v>1804</v>
      </c>
      <c r="C1344" t="s">
        <v>510</v>
      </c>
      <c r="D1344" t="s">
        <v>26</v>
      </c>
      <c r="E1344" s="208" t="s">
        <v>101</v>
      </c>
      <c r="F1344" t="s">
        <v>10</v>
      </c>
      <c r="G1344" s="18">
        <v>105000</v>
      </c>
      <c r="H1344" t="s">
        <v>24</v>
      </c>
      <c r="I1344" t="s">
        <v>17</v>
      </c>
    </row>
    <row r="1345" spans="1:9" x14ac:dyDescent="0.25">
      <c r="A1345">
        <v>1803</v>
      </c>
      <c r="B1345">
        <f>A1345+1</f>
        <v>1804</v>
      </c>
      <c r="C1345" t="s">
        <v>510</v>
      </c>
      <c r="D1345" t="s">
        <v>26</v>
      </c>
      <c r="E1345" s="208" t="s">
        <v>78</v>
      </c>
      <c r="F1345" t="s">
        <v>10</v>
      </c>
      <c r="G1345" s="18">
        <v>0</v>
      </c>
      <c r="H1345" t="s">
        <v>24</v>
      </c>
      <c r="I1345" t="s">
        <v>17</v>
      </c>
    </row>
    <row r="1346" spans="1:9" x14ac:dyDescent="0.25">
      <c r="A1346">
        <v>1803</v>
      </c>
      <c r="B1346">
        <f>A1346+1</f>
        <v>1804</v>
      </c>
      <c r="C1346" t="s">
        <v>510</v>
      </c>
      <c r="D1346" t="s">
        <v>26</v>
      </c>
      <c r="E1346" s="208" t="s">
        <v>77</v>
      </c>
      <c r="F1346" t="s">
        <v>10</v>
      </c>
      <c r="G1346" s="18">
        <v>0</v>
      </c>
      <c r="H1346" t="s">
        <v>24</v>
      </c>
      <c r="I1346" t="s">
        <v>17</v>
      </c>
    </row>
    <row r="1347" spans="1:9" x14ac:dyDescent="0.25">
      <c r="A1347">
        <v>1803</v>
      </c>
      <c r="B1347">
        <f>A1347+1</f>
        <v>1804</v>
      </c>
      <c r="C1347" t="s">
        <v>510</v>
      </c>
      <c r="D1347" t="s">
        <v>26</v>
      </c>
      <c r="E1347" s="208" t="s">
        <v>82</v>
      </c>
      <c r="F1347" t="s">
        <v>10</v>
      </c>
      <c r="G1347" s="18">
        <v>26</v>
      </c>
      <c r="H1347" t="s">
        <v>24</v>
      </c>
      <c r="I1347" t="s">
        <v>17</v>
      </c>
    </row>
    <row r="1348" spans="1:9" x14ac:dyDescent="0.25">
      <c r="A1348">
        <v>1803</v>
      </c>
      <c r="B1348">
        <f>A1348+1</f>
        <v>1804</v>
      </c>
      <c r="C1348" t="s">
        <v>510</v>
      </c>
      <c r="D1348" t="s">
        <v>26</v>
      </c>
      <c r="E1348" s="208" t="s">
        <v>327</v>
      </c>
      <c r="F1348" t="s">
        <v>10</v>
      </c>
      <c r="G1348" s="18">
        <v>0</v>
      </c>
      <c r="H1348" t="s">
        <v>24</v>
      </c>
      <c r="I1348" t="s">
        <v>17</v>
      </c>
    </row>
    <row r="1349" spans="1:9" x14ac:dyDescent="0.25">
      <c r="A1349">
        <v>1803</v>
      </c>
      <c r="B1349">
        <f>A1349+1</f>
        <v>1804</v>
      </c>
      <c r="C1349" t="s">
        <v>510</v>
      </c>
      <c r="D1349" t="s">
        <v>26</v>
      </c>
      <c r="E1349" s="208" t="s">
        <v>330</v>
      </c>
      <c r="F1349" t="s">
        <v>13</v>
      </c>
      <c r="G1349" s="18">
        <v>861</v>
      </c>
      <c r="H1349" t="s">
        <v>25</v>
      </c>
      <c r="I1349" t="s">
        <v>17</v>
      </c>
    </row>
    <row r="1350" spans="1:9" x14ac:dyDescent="0.25">
      <c r="A1350">
        <v>1803</v>
      </c>
      <c r="B1350">
        <f>A1350+1</f>
        <v>1804</v>
      </c>
      <c r="C1350" t="s">
        <v>510</v>
      </c>
      <c r="D1350" t="s">
        <v>26</v>
      </c>
      <c r="E1350" s="208" t="s">
        <v>331</v>
      </c>
      <c r="F1350" t="s">
        <v>13</v>
      </c>
      <c r="G1350" s="18">
        <v>527</v>
      </c>
      <c r="H1350" t="s">
        <v>25</v>
      </c>
      <c r="I1350" t="s">
        <v>17</v>
      </c>
    </row>
    <row r="1351" spans="1:9" x14ac:dyDescent="0.25">
      <c r="A1351">
        <v>1803</v>
      </c>
      <c r="B1351">
        <f>A1351+1</f>
        <v>1804</v>
      </c>
      <c r="C1351" t="s">
        <v>510</v>
      </c>
      <c r="D1351" t="s">
        <v>26</v>
      </c>
      <c r="E1351" s="208" t="s">
        <v>332</v>
      </c>
      <c r="F1351" t="s">
        <v>13</v>
      </c>
      <c r="G1351" s="18">
        <v>65</v>
      </c>
      <c r="H1351" t="s">
        <v>25</v>
      </c>
      <c r="I1351" t="s">
        <v>17</v>
      </c>
    </row>
    <row r="1352" spans="1:9" x14ac:dyDescent="0.25">
      <c r="A1352">
        <v>1803</v>
      </c>
      <c r="B1352">
        <f>A1352+1</f>
        <v>1804</v>
      </c>
      <c r="C1352" t="s">
        <v>510</v>
      </c>
      <c r="D1352" t="s">
        <v>26</v>
      </c>
      <c r="E1352" s="208" t="s">
        <v>333</v>
      </c>
      <c r="F1352" t="s">
        <v>13</v>
      </c>
      <c r="G1352" s="18">
        <v>1646</v>
      </c>
      <c r="H1352" t="s">
        <v>25</v>
      </c>
      <c r="I1352" t="s">
        <v>17</v>
      </c>
    </row>
    <row r="1353" spans="1:9" x14ac:dyDescent="0.25">
      <c r="A1353">
        <v>1803</v>
      </c>
      <c r="B1353">
        <f>A1353+1</f>
        <v>1804</v>
      </c>
      <c r="C1353" t="s">
        <v>510</v>
      </c>
      <c r="D1353" t="s">
        <v>27</v>
      </c>
      <c r="E1353" s="208" t="s">
        <v>155</v>
      </c>
      <c r="F1353" t="s">
        <v>8</v>
      </c>
      <c r="G1353" s="18">
        <v>61299</v>
      </c>
      <c r="H1353" t="s">
        <v>17</v>
      </c>
      <c r="I1353" t="s">
        <v>18</v>
      </c>
    </row>
    <row r="1354" spans="1:9" x14ac:dyDescent="0.25">
      <c r="A1354">
        <v>1803</v>
      </c>
      <c r="B1354">
        <f>A1354+1</f>
        <v>1804</v>
      </c>
      <c r="C1354" t="s">
        <v>510</v>
      </c>
      <c r="D1354" t="s">
        <v>27</v>
      </c>
      <c r="E1354" s="208" t="s">
        <v>156</v>
      </c>
      <c r="F1354" t="s">
        <v>8</v>
      </c>
      <c r="G1354" s="18">
        <v>8636</v>
      </c>
      <c r="H1354" t="s">
        <v>17</v>
      </c>
      <c r="I1354" t="s">
        <v>18</v>
      </c>
    </row>
    <row r="1355" spans="1:9" x14ac:dyDescent="0.25">
      <c r="A1355">
        <v>1803</v>
      </c>
      <c r="B1355">
        <f>A1355+1</f>
        <v>1804</v>
      </c>
      <c r="C1355" t="s">
        <v>510</v>
      </c>
      <c r="D1355" t="s">
        <v>27</v>
      </c>
      <c r="E1355" s="208" t="s">
        <v>154</v>
      </c>
      <c r="F1355" t="s">
        <v>8</v>
      </c>
      <c r="G1355" s="18">
        <v>639</v>
      </c>
      <c r="H1355" t="s">
        <v>17</v>
      </c>
      <c r="I1355" t="s">
        <v>18</v>
      </c>
    </row>
    <row r="1356" spans="1:9" x14ac:dyDescent="0.25">
      <c r="A1356">
        <v>1803</v>
      </c>
      <c r="B1356">
        <f>A1356+1</f>
        <v>1804</v>
      </c>
      <c r="C1356" t="s">
        <v>510</v>
      </c>
      <c r="D1356" t="s">
        <v>27</v>
      </c>
      <c r="E1356" s="208" t="s">
        <v>150</v>
      </c>
      <c r="F1356" t="s">
        <v>8</v>
      </c>
      <c r="G1356" s="18">
        <v>13377</v>
      </c>
      <c r="H1356" t="s">
        <v>17</v>
      </c>
      <c r="I1356" t="s">
        <v>18</v>
      </c>
    </row>
    <row r="1357" spans="1:9" x14ac:dyDescent="0.25">
      <c r="A1357">
        <v>1803</v>
      </c>
      <c r="B1357">
        <f>A1357+1</f>
        <v>1804</v>
      </c>
      <c r="C1357" t="s">
        <v>510</v>
      </c>
      <c r="D1357" t="s">
        <v>27</v>
      </c>
      <c r="E1357" s="208" t="s">
        <v>148</v>
      </c>
      <c r="F1357" t="s">
        <v>8</v>
      </c>
      <c r="G1357" s="18">
        <v>315</v>
      </c>
      <c r="H1357" t="s">
        <v>17</v>
      </c>
      <c r="I1357" t="s">
        <v>18</v>
      </c>
    </row>
    <row r="1358" spans="1:9" x14ac:dyDescent="0.25">
      <c r="A1358">
        <v>1803</v>
      </c>
      <c r="B1358">
        <f>A1358+1</f>
        <v>1804</v>
      </c>
      <c r="C1358" t="s">
        <v>510</v>
      </c>
      <c r="D1358" t="s">
        <v>27</v>
      </c>
      <c r="E1358" s="208" t="s">
        <v>130</v>
      </c>
      <c r="F1358" t="s">
        <v>8</v>
      </c>
      <c r="G1358" s="18">
        <v>466</v>
      </c>
      <c r="H1358" t="s">
        <v>17</v>
      </c>
      <c r="I1358" t="s">
        <v>18</v>
      </c>
    </row>
    <row r="1359" spans="1:9" x14ac:dyDescent="0.25">
      <c r="A1359">
        <v>1803</v>
      </c>
      <c r="B1359">
        <f>A1359+1</f>
        <v>1804</v>
      </c>
      <c r="C1359" t="s">
        <v>510</v>
      </c>
      <c r="D1359" t="s">
        <v>27</v>
      </c>
      <c r="E1359" s="208" t="s">
        <v>132</v>
      </c>
      <c r="F1359" t="s">
        <v>8</v>
      </c>
      <c r="G1359" s="18">
        <v>7</v>
      </c>
      <c r="H1359" t="s">
        <v>17</v>
      </c>
      <c r="I1359" t="s">
        <v>18</v>
      </c>
    </row>
    <row r="1360" spans="1:9" x14ac:dyDescent="0.25">
      <c r="A1360">
        <v>1803</v>
      </c>
      <c r="B1360">
        <f>A1360+1</f>
        <v>1804</v>
      </c>
      <c r="C1360" t="s">
        <v>510</v>
      </c>
      <c r="D1360" t="s">
        <v>27</v>
      </c>
      <c r="E1360" s="208" t="s">
        <v>142</v>
      </c>
      <c r="F1360" t="s">
        <v>8</v>
      </c>
      <c r="G1360" s="18">
        <v>9873</v>
      </c>
      <c r="H1360" t="s">
        <v>17</v>
      </c>
      <c r="I1360" t="s">
        <v>18</v>
      </c>
    </row>
    <row r="1361" spans="1:9" x14ac:dyDescent="0.25">
      <c r="A1361">
        <v>1803</v>
      </c>
      <c r="B1361">
        <f>A1361+1</f>
        <v>1804</v>
      </c>
      <c r="C1361" t="s">
        <v>510</v>
      </c>
      <c r="D1361" t="s">
        <v>27</v>
      </c>
      <c r="E1361" s="208" t="s">
        <v>144</v>
      </c>
      <c r="F1361" t="s">
        <v>8</v>
      </c>
      <c r="G1361" s="18">
        <v>136</v>
      </c>
      <c r="H1361" t="s">
        <v>17</v>
      </c>
      <c r="I1361" t="s">
        <v>18</v>
      </c>
    </row>
    <row r="1362" spans="1:9" x14ac:dyDescent="0.25">
      <c r="A1362">
        <v>1803</v>
      </c>
      <c r="B1362">
        <f>A1362+1</f>
        <v>1804</v>
      </c>
      <c r="C1362" t="s">
        <v>510</v>
      </c>
      <c r="D1362" t="s">
        <v>27</v>
      </c>
      <c r="E1362" s="208" t="s">
        <v>124</v>
      </c>
      <c r="F1362" t="s">
        <v>8</v>
      </c>
      <c r="G1362" s="18">
        <v>5669191</v>
      </c>
      <c r="H1362" t="s">
        <v>17</v>
      </c>
      <c r="I1362" t="s">
        <v>18</v>
      </c>
    </row>
    <row r="1363" spans="1:9" x14ac:dyDescent="0.25">
      <c r="A1363">
        <v>1803</v>
      </c>
      <c r="B1363">
        <f>A1363+1</f>
        <v>1804</v>
      </c>
      <c r="C1363" t="s">
        <v>510</v>
      </c>
      <c r="D1363" t="s">
        <v>26</v>
      </c>
      <c r="E1363" s="208" t="s">
        <v>65</v>
      </c>
      <c r="F1363" t="s">
        <v>164</v>
      </c>
      <c r="G1363" s="18">
        <v>42946</v>
      </c>
      <c r="H1363" t="s">
        <v>160</v>
      </c>
      <c r="I1363" t="s">
        <v>17</v>
      </c>
    </row>
    <row r="1364" spans="1:9" x14ac:dyDescent="0.25">
      <c r="A1364">
        <v>1803</v>
      </c>
      <c r="B1364">
        <f>A1364+1</f>
        <v>1804</v>
      </c>
      <c r="C1364" t="s">
        <v>510</v>
      </c>
      <c r="D1364" t="s">
        <v>27</v>
      </c>
      <c r="E1364" s="208" t="s">
        <v>155</v>
      </c>
      <c r="F1364" t="s">
        <v>13</v>
      </c>
      <c r="G1364" s="18">
        <v>0</v>
      </c>
      <c r="H1364" t="s">
        <v>17</v>
      </c>
      <c r="I1364" t="s">
        <v>25</v>
      </c>
    </row>
    <row r="1365" spans="1:9" x14ac:dyDescent="0.25">
      <c r="A1365">
        <v>1803</v>
      </c>
      <c r="B1365">
        <f>A1365+1</f>
        <v>1804</v>
      </c>
      <c r="C1365" t="s">
        <v>510</v>
      </c>
      <c r="D1365" t="s">
        <v>27</v>
      </c>
      <c r="E1365" s="208" t="s">
        <v>154</v>
      </c>
      <c r="F1365" t="s">
        <v>13</v>
      </c>
      <c r="G1365" s="18">
        <v>0</v>
      </c>
      <c r="H1365" t="s">
        <v>17</v>
      </c>
      <c r="I1365" t="s">
        <v>25</v>
      </c>
    </row>
    <row r="1366" spans="1:9" x14ac:dyDescent="0.25">
      <c r="A1366">
        <v>1803</v>
      </c>
      <c r="B1366">
        <f>A1366+1</f>
        <v>1804</v>
      </c>
      <c r="C1366" t="s">
        <v>510</v>
      </c>
      <c r="D1366" t="s">
        <v>27</v>
      </c>
      <c r="E1366" s="208" t="s">
        <v>150</v>
      </c>
      <c r="F1366" t="s">
        <v>13</v>
      </c>
      <c r="G1366" s="18">
        <v>27</v>
      </c>
      <c r="H1366" t="s">
        <v>17</v>
      </c>
      <c r="I1366" t="s">
        <v>25</v>
      </c>
    </row>
    <row r="1367" spans="1:9" x14ac:dyDescent="0.25">
      <c r="A1367">
        <v>1803</v>
      </c>
      <c r="B1367">
        <f>A1367+1</f>
        <v>1804</v>
      </c>
      <c r="C1367" t="s">
        <v>510</v>
      </c>
      <c r="D1367" t="s">
        <v>27</v>
      </c>
      <c r="E1367" s="208" t="s">
        <v>148</v>
      </c>
      <c r="F1367" t="s">
        <v>13</v>
      </c>
      <c r="G1367" s="18">
        <v>6</v>
      </c>
      <c r="H1367" t="s">
        <v>17</v>
      </c>
      <c r="I1367" t="s">
        <v>25</v>
      </c>
    </row>
    <row r="1368" spans="1:9" x14ac:dyDescent="0.25">
      <c r="A1368">
        <v>1803</v>
      </c>
      <c r="B1368">
        <f>A1368+1</f>
        <v>1804</v>
      </c>
      <c r="C1368" t="s">
        <v>510</v>
      </c>
      <c r="D1368" t="s">
        <v>27</v>
      </c>
      <c r="E1368" s="208" t="s">
        <v>139</v>
      </c>
      <c r="F1368" t="s">
        <v>13</v>
      </c>
      <c r="G1368" s="18">
        <v>0</v>
      </c>
      <c r="H1368" t="s">
        <v>17</v>
      </c>
      <c r="I1368" t="s">
        <v>25</v>
      </c>
    </row>
    <row r="1369" spans="1:9" x14ac:dyDescent="0.25">
      <c r="A1369">
        <v>1803</v>
      </c>
      <c r="B1369">
        <f>A1369+1</f>
        <v>1804</v>
      </c>
      <c r="C1369" t="s">
        <v>510</v>
      </c>
      <c r="D1369" t="s">
        <v>27</v>
      </c>
      <c r="E1369" s="208" t="s">
        <v>130</v>
      </c>
      <c r="F1369" t="s">
        <v>13</v>
      </c>
      <c r="G1369" s="18">
        <v>0</v>
      </c>
      <c r="H1369" t="s">
        <v>17</v>
      </c>
      <c r="I1369" t="s">
        <v>25</v>
      </c>
    </row>
    <row r="1370" spans="1:9" x14ac:dyDescent="0.25">
      <c r="A1370">
        <v>1803</v>
      </c>
      <c r="B1370">
        <f>A1370+1</f>
        <v>1804</v>
      </c>
      <c r="C1370" t="s">
        <v>510</v>
      </c>
      <c r="D1370" t="s">
        <v>27</v>
      </c>
      <c r="E1370" s="208" t="s">
        <v>132</v>
      </c>
      <c r="F1370" t="s">
        <v>13</v>
      </c>
      <c r="G1370" s="18">
        <v>0</v>
      </c>
      <c r="H1370" t="s">
        <v>17</v>
      </c>
      <c r="I1370" t="s">
        <v>25</v>
      </c>
    </row>
    <row r="1371" spans="1:9" x14ac:dyDescent="0.25">
      <c r="A1371">
        <v>1803</v>
      </c>
      <c r="B1371">
        <f>A1371+1</f>
        <v>1804</v>
      </c>
      <c r="C1371" t="s">
        <v>510</v>
      </c>
      <c r="D1371" t="s">
        <v>27</v>
      </c>
      <c r="E1371" s="208" t="s">
        <v>142</v>
      </c>
      <c r="F1371" t="s">
        <v>13</v>
      </c>
      <c r="G1371" s="18">
        <v>0</v>
      </c>
      <c r="H1371" t="s">
        <v>17</v>
      </c>
      <c r="I1371" t="s">
        <v>25</v>
      </c>
    </row>
    <row r="1372" spans="1:9" x14ac:dyDescent="0.25">
      <c r="A1372">
        <v>1803</v>
      </c>
      <c r="B1372">
        <f>A1372+1</f>
        <v>1804</v>
      </c>
      <c r="C1372" t="s">
        <v>510</v>
      </c>
      <c r="D1372" t="s">
        <v>27</v>
      </c>
      <c r="E1372" s="208" t="s">
        <v>124</v>
      </c>
      <c r="F1372" t="s">
        <v>13</v>
      </c>
      <c r="G1372" s="18">
        <v>0</v>
      </c>
      <c r="H1372" t="s">
        <v>17</v>
      </c>
      <c r="I1372" t="s">
        <v>25</v>
      </c>
    </row>
    <row r="1373" spans="1:9" x14ac:dyDescent="0.25">
      <c r="A1373">
        <v>1803</v>
      </c>
      <c r="B1373">
        <f>A1373+1</f>
        <v>1804</v>
      </c>
      <c r="C1373" t="s">
        <v>510</v>
      </c>
      <c r="D1373" t="s">
        <v>27</v>
      </c>
      <c r="E1373" s="208" t="s">
        <v>155</v>
      </c>
      <c r="F1373" t="s">
        <v>11</v>
      </c>
      <c r="G1373" s="18">
        <v>444</v>
      </c>
      <c r="H1373" t="s">
        <v>17</v>
      </c>
      <c r="I1373" t="s">
        <v>23</v>
      </c>
    </row>
    <row r="1374" spans="1:9" x14ac:dyDescent="0.25">
      <c r="A1374">
        <v>1803</v>
      </c>
      <c r="B1374">
        <f>A1374+1</f>
        <v>1804</v>
      </c>
      <c r="C1374" t="s">
        <v>510</v>
      </c>
      <c r="D1374" t="s">
        <v>27</v>
      </c>
      <c r="E1374" s="208" t="s">
        <v>156</v>
      </c>
      <c r="F1374" t="s">
        <v>11</v>
      </c>
      <c r="G1374" s="18">
        <v>226</v>
      </c>
      <c r="H1374" t="s">
        <v>17</v>
      </c>
      <c r="I1374" t="s">
        <v>23</v>
      </c>
    </row>
    <row r="1375" spans="1:9" x14ac:dyDescent="0.25">
      <c r="A1375">
        <v>1803</v>
      </c>
      <c r="B1375">
        <f>A1375+1</f>
        <v>1804</v>
      </c>
      <c r="C1375" t="s">
        <v>510</v>
      </c>
      <c r="D1375" t="s">
        <v>27</v>
      </c>
      <c r="E1375" s="208" t="s">
        <v>154</v>
      </c>
      <c r="F1375" t="s">
        <v>11</v>
      </c>
      <c r="G1375" s="18">
        <v>128</v>
      </c>
      <c r="H1375" t="s">
        <v>17</v>
      </c>
      <c r="I1375" t="s">
        <v>23</v>
      </c>
    </row>
    <row r="1376" spans="1:9" x14ac:dyDescent="0.25">
      <c r="A1376">
        <v>1803</v>
      </c>
      <c r="B1376">
        <f>A1376+1</f>
        <v>1804</v>
      </c>
      <c r="C1376" t="s">
        <v>510</v>
      </c>
      <c r="D1376" t="s">
        <v>27</v>
      </c>
      <c r="E1376" s="208" t="s">
        <v>150</v>
      </c>
      <c r="F1376" t="s">
        <v>11</v>
      </c>
      <c r="G1376" s="18">
        <v>16055</v>
      </c>
      <c r="H1376" t="s">
        <v>17</v>
      </c>
      <c r="I1376" t="s">
        <v>23</v>
      </c>
    </row>
    <row r="1377" spans="1:9" x14ac:dyDescent="0.25">
      <c r="A1377">
        <v>1803</v>
      </c>
      <c r="B1377">
        <f>A1377+1</f>
        <v>1804</v>
      </c>
      <c r="C1377" t="s">
        <v>510</v>
      </c>
      <c r="D1377" t="s">
        <v>27</v>
      </c>
      <c r="E1377" s="208" t="s">
        <v>148</v>
      </c>
      <c r="F1377" t="s">
        <v>11</v>
      </c>
      <c r="G1377" s="18">
        <v>51</v>
      </c>
      <c r="H1377" t="s">
        <v>17</v>
      </c>
      <c r="I1377" t="s">
        <v>23</v>
      </c>
    </row>
    <row r="1378" spans="1:9" x14ac:dyDescent="0.25">
      <c r="A1378">
        <v>1803</v>
      </c>
      <c r="B1378">
        <f>A1378+1</f>
        <v>1804</v>
      </c>
      <c r="C1378" t="s">
        <v>510</v>
      </c>
      <c r="D1378" t="s">
        <v>27</v>
      </c>
      <c r="E1378" s="208" t="s">
        <v>139</v>
      </c>
      <c r="F1378" t="s">
        <v>11</v>
      </c>
      <c r="G1378" s="18">
        <v>365</v>
      </c>
      <c r="H1378" t="s">
        <v>17</v>
      </c>
      <c r="I1378" t="s">
        <v>23</v>
      </c>
    </row>
    <row r="1379" spans="1:9" x14ac:dyDescent="0.25">
      <c r="A1379">
        <v>1803</v>
      </c>
      <c r="B1379">
        <f>A1379+1</f>
        <v>1804</v>
      </c>
      <c r="C1379" t="s">
        <v>510</v>
      </c>
      <c r="D1379" t="s">
        <v>27</v>
      </c>
      <c r="E1379" s="208" t="s">
        <v>130</v>
      </c>
      <c r="F1379" t="s">
        <v>11</v>
      </c>
      <c r="G1379" s="18">
        <v>515</v>
      </c>
      <c r="H1379" t="s">
        <v>17</v>
      </c>
      <c r="I1379" t="s">
        <v>23</v>
      </c>
    </row>
    <row r="1380" spans="1:9" x14ac:dyDescent="0.25">
      <c r="A1380">
        <v>1803</v>
      </c>
      <c r="B1380">
        <f>A1380+1</f>
        <v>1804</v>
      </c>
      <c r="C1380" t="s">
        <v>510</v>
      </c>
      <c r="D1380" t="s">
        <v>27</v>
      </c>
      <c r="E1380" s="208" t="s">
        <v>132</v>
      </c>
      <c r="F1380" t="s">
        <v>11</v>
      </c>
      <c r="G1380" s="18">
        <v>63</v>
      </c>
      <c r="H1380" t="s">
        <v>17</v>
      </c>
      <c r="I1380" t="s">
        <v>23</v>
      </c>
    </row>
    <row r="1381" spans="1:9" x14ac:dyDescent="0.25">
      <c r="A1381">
        <v>1803</v>
      </c>
      <c r="B1381">
        <f>A1381+1</f>
        <v>1804</v>
      </c>
      <c r="C1381" t="s">
        <v>510</v>
      </c>
      <c r="D1381" t="s">
        <v>27</v>
      </c>
      <c r="E1381" s="208" t="s">
        <v>142</v>
      </c>
      <c r="F1381" t="s">
        <v>11</v>
      </c>
      <c r="G1381" s="18">
        <v>3513</v>
      </c>
      <c r="H1381" t="s">
        <v>17</v>
      </c>
      <c r="I1381" t="s">
        <v>23</v>
      </c>
    </row>
    <row r="1382" spans="1:9" x14ac:dyDescent="0.25">
      <c r="A1382">
        <v>1803</v>
      </c>
      <c r="B1382">
        <f>A1382+1</f>
        <v>1804</v>
      </c>
      <c r="C1382" t="s">
        <v>510</v>
      </c>
      <c r="D1382" t="s">
        <v>27</v>
      </c>
      <c r="E1382" s="208" t="s">
        <v>144</v>
      </c>
      <c r="F1382" t="s">
        <v>11</v>
      </c>
      <c r="G1382" s="18">
        <v>649</v>
      </c>
      <c r="H1382" t="s">
        <v>17</v>
      </c>
      <c r="I1382" t="s">
        <v>23</v>
      </c>
    </row>
    <row r="1383" spans="1:9" x14ac:dyDescent="0.25">
      <c r="A1383">
        <v>1803</v>
      </c>
      <c r="B1383">
        <f>A1383+1</f>
        <v>1804</v>
      </c>
      <c r="C1383" t="s">
        <v>510</v>
      </c>
      <c r="D1383" t="s">
        <v>27</v>
      </c>
      <c r="E1383" s="208" t="s">
        <v>124</v>
      </c>
      <c r="F1383" t="s">
        <v>11</v>
      </c>
      <c r="G1383" s="18">
        <v>71521</v>
      </c>
      <c r="H1383" t="s">
        <v>17</v>
      </c>
      <c r="I1383" t="s">
        <v>23</v>
      </c>
    </row>
    <row r="1384" spans="1:9" x14ac:dyDescent="0.25">
      <c r="A1384">
        <v>1803</v>
      </c>
      <c r="B1384">
        <f>A1384+1</f>
        <v>1804</v>
      </c>
      <c r="C1384" t="s">
        <v>510</v>
      </c>
      <c r="D1384" t="s">
        <v>26</v>
      </c>
      <c r="E1384" s="208" t="s">
        <v>57</v>
      </c>
      <c r="F1384" t="s">
        <v>11</v>
      </c>
      <c r="G1384" s="18">
        <v>13884</v>
      </c>
      <c r="H1384" t="s">
        <v>23</v>
      </c>
      <c r="I1384" t="s">
        <v>17</v>
      </c>
    </row>
    <row r="1385" spans="1:9" x14ac:dyDescent="0.25">
      <c r="A1385">
        <v>1803</v>
      </c>
      <c r="B1385">
        <f>A1385+1</f>
        <v>1804</v>
      </c>
      <c r="C1385" t="s">
        <v>510</v>
      </c>
      <c r="D1385" t="s">
        <v>26</v>
      </c>
      <c r="E1385" s="208" t="s">
        <v>35</v>
      </c>
      <c r="F1385" t="s">
        <v>11</v>
      </c>
      <c r="G1385" s="18">
        <v>0</v>
      </c>
      <c r="H1385" t="s">
        <v>23</v>
      </c>
      <c r="I1385" t="s">
        <v>17</v>
      </c>
    </row>
    <row r="1386" spans="1:9" x14ac:dyDescent="0.25">
      <c r="A1386">
        <v>1803</v>
      </c>
      <c r="B1386">
        <f>A1386+1</f>
        <v>1804</v>
      </c>
      <c r="C1386" t="s">
        <v>510</v>
      </c>
      <c r="D1386" t="s">
        <v>26</v>
      </c>
      <c r="E1386" s="208" t="s">
        <v>36</v>
      </c>
      <c r="F1386" t="s">
        <v>11</v>
      </c>
      <c r="G1386" s="18">
        <v>2549</v>
      </c>
      <c r="H1386" t="s">
        <v>23</v>
      </c>
      <c r="I1386" t="s">
        <v>17</v>
      </c>
    </row>
    <row r="1387" spans="1:9" x14ac:dyDescent="0.25">
      <c r="A1387">
        <v>1803</v>
      </c>
      <c r="B1387">
        <f>A1387+1</f>
        <v>1804</v>
      </c>
      <c r="C1387" t="s">
        <v>510</v>
      </c>
      <c r="D1387" t="s">
        <v>26</v>
      </c>
      <c r="E1387" s="208" t="s">
        <v>39</v>
      </c>
      <c r="F1387" t="s">
        <v>11</v>
      </c>
      <c r="G1387" s="18">
        <v>675</v>
      </c>
      <c r="H1387" t="s">
        <v>23</v>
      </c>
      <c r="I1387" t="s">
        <v>17</v>
      </c>
    </row>
    <row r="1388" spans="1:9" x14ac:dyDescent="0.25">
      <c r="A1388">
        <v>1803</v>
      </c>
      <c r="B1388">
        <f>A1388+1</f>
        <v>1804</v>
      </c>
      <c r="C1388" t="s">
        <v>510</v>
      </c>
      <c r="D1388" t="s">
        <v>26</v>
      </c>
      <c r="E1388" s="208" t="s">
        <v>99</v>
      </c>
      <c r="F1388" t="s">
        <v>11</v>
      </c>
      <c r="G1388" s="18">
        <v>1202</v>
      </c>
      <c r="H1388" t="s">
        <v>23</v>
      </c>
      <c r="I1388" t="s">
        <v>17</v>
      </c>
    </row>
    <row r="1389" spans="1:9" x14ac:dyDescent="0.25">
      <c r="A1389">
        <v>1803</v>
      </c>
      <c r="B1389">
        <f>A1389+1</f>
        <v>1804</v>
      </c>
      <c r="C1389" t="s">
        <v>510</v>
      </c>
      <c r="D1389" t="s">
        <v>26</v>
      </c>
      <c r="E1389" s="208" t="s">
        <v>28</v>
      </c>
      <c r="F1389" t="s">
        <v>11</v>
      </c>
      <c r="G1389" s="18">
        <v>3328</v>
      </c>
      <c r="H1389" t="s">
        <v>23</v>
      </c>
      <c r="I1389" t="s">
        <v>17</v>
      </c>
    </row>
    <row r="1390" spans="1:9" x14ac:dyDescent="0.25">
      <c r="A1390">
        <v>1803</v>
      </c>
      <c r="B1390">
        <f>A1390+1</f>
        <v>1804</v>
      </c>
      <c r="C1390" t="s">
        <v>510</v>
      </c>
      <c r="D1390" t="s">
        <v>26</v>
      </c>
      <c r="E1390" s="208" t="s">
        <v>89</v>
      </c>
      <c r="F1390" t="s">
        <v>11</v>
      </c>
      <c r="G1390" s="18">
        <v>4716</v>
      </c>
      <c r="H1390" t="s">
        <v>23</v>
      </c>
      <c r="I1390" t="s">
        <v>17</v>
      </c>
    </row>
    <row r="1391" spans="1:9" x14ac:dyDescent="0.25">
      <c r="A1391">
        <v>1803</v>
      </c>
      <c r="B1391">
        <f>A1391+1</f>
        <v>1804</v>
      </c>
      <c r="C1391" t="s">
        <v>510</v>
      </c>
      <c r="D1391" t="s">
        <v>26</v>
      </c>
      <c r="E1391" s="208" t="s">
        <v>45</v>
      </c>
      <c r="F1391" t="s">
        <v>11</v>
      </c>
      <c r="G1391" s="18">
        <v>1056</v>
      </c>
      <c r="H1391" t="s">
        <v>23</v>
      </c>
      <c r="I1391" t="s">
        <v>17</v>
      </c>
    </row>
    <row r="1392" spans="1:9" x14ac:dyDescent="0.25">
      <c r="A1392">
        <v>1803</v>
      </c>
      <c r="B1392">
        <f>A1392+1</f>
        <v>1804</v>
      </c>
      <c r="C1392" t="s">
        <v>510</v>
      </c>
      <c r="D1392" t="s">
        <v>26</v>
      </c>
      <c r="E1392" s="208" t="s">
        <v>54</v>
      </c>
      <c r="F1392" t="s">
        <v>11</v>
      </c>
      <c r="G1392" s="18">
        <v>0</v>
      </c>
      <c r="H1392" t="s">
        <v>23</v>
      </c>
      <c r="I1392" t="s">
        <v>17</v>
      </c>
    </row>
    <row r="1393" spans="1:9" x14ac:dyDescent="0.25">
      <c r="A1393">
        <v>1803</v>
      </c>
      <c r="B1393">
        <f>A1393+1</f>
        <v>1804</v>
      </c>
      <c r="C1393" t="s">
        <v>510</v>
      </c>
      <c r="D1393" t="s">
        <v>26</v>
      </c>
      <c r="E1393" s="208" t="s">
        <v>53</v>
      </c>
      <c r="F1393" t="s">
        <v>11</v>
      </c>
      <c r="G1393" s="18">
        <v>39395</v>
      </c>
      <c r="H1393" t="s">
        <v>23</v>
      </c>
      <c r="I1393" t="s">
        <v>17</v>
      </c>
    </row>
    <row r="1394" spans="1:9" x14ac:dyDescent="0.25">
      <c r="A1394">
        <v>1803</v>
      </c>
      <c r="B1394">
        <f>A1394+1</f>
        <v>1804</v>
      </c>
      <c r="C1394" t="s">
        <v>510</v>
      </c>
      <c r="D1394" t="s">
        <v>26</v>
      </c>
      <c r="E1394" s="208" t="s">
        <v>75</v>
      </c>
      <c r="F1394" t="s">
        <v>11</v>
      </c>
      <c r="G1394" s="18">
        <v>3487470</v>
      </c>
      <c r="H1394" t="s">
        <v>23</v>
      </c>
      <c r="I1394" t="s">
        <v>17</v>
      </c>
    </row>
    <row r="1395" spans="1:9" x14ac:dyDescent="0.25">
      <c r="A1395">
        <v>1803</v>
      </c>
      <c r="B1395">
        <f>A1395+1</f>
        <v>1804</v>
      </c>
      <c r="C1395" t="s">
        <v>510</v>
      </c>
      <c r="D1395" t="s">
        <v>26</v>
      </c>
      <c r="E1395" s="208" t="s">
        <v>107</v>
      </c>
      <c r="F1395" t="s">
        <v>11</v>
      </c>
      <c r="G1395" s="18">
        <v>4792870</v>
      </c>
      <c r="H1395" t="s">
        <v>23</v>
      </c>
      <c r="I1395" t="s">
        <v>17</v>
      </c>
    </row>
    <row r="1396" spans="1:9" x14ac:dyDescent="0.25">
      <c r="A1396">
        <v>1803</v>
      </c>
      <c r="B1396">
        <f>A1396+1</f>
        <v>1804</v>
      </c>
      <c r="C1396" t="s">
        <v>510</v>
      </c>
      <c r="D1396" t="s">
        <v>26</v>
      </c>
      <c r="E1396" s="208" t="s">
        <v>101</v>
      </c>
      <c r="F1396" t="s">
        <v>11</v>
      </c>
      <c r="G1396" s="18">
        <v>4954856</v>
      </c>
      <c r="H1396" t="s">
        <v>23</v>
      </c>
      <c r="I1396" t="s">
        <v>17</v>
      </c>
    </row>
    <row r="1397" spans="1:9" x14ac:dyDescent="0.25">
      <c r="A1397">
        <v>1803</v>
      </c>
      <c r="B1397">
        <f>A1397+1</f>
        <v>1804</v>
      </c>
      <c r="C1397" t="s">
        <v>510</v>
      </c>
      <c r="D1397" t="s">
        <v>26</v>
      </c>
      <c r="E1397" s="208" t="s">
        <v>328</v>
      </c>
      <c r="F1397" t="s">
        <v>11</v>
      </c>
      <c r="G1397" s="18">
        <v>0</v>
      </c>
      <c r="H1397" t="s">
        <v>23</v>
      </c>
      <c r="I1397" t="s">
        <v>17</v>
      </c>
    </row>
    <row r="1398" spans="1:9" x14ac:dyDescent="0.25">
      <c r="A1398">
        <v>1803</v>
      </c>
      <c r="B1398">
        <f>A1398+1</f>
        <v>1804</v>
      </c>
      <c r="C1398" t="s">
        <v>510</v>
      </c>
      <c r="D1398" t="s">
        <v>26</v>
      </c>
      <c r="E1398" s="208" t="s">
        <v>329</v>
      </c>
      <c r="F1398" t="s">
        <v>11</v>
      </c>
      <c r="G1398" s="18">
        <v>0</v>
      </c>
      <c r="H1398" t="s">
        <v>23</v>
      </c>
      <c r="I1398" t="s">
        <v>17</v>
      </c>
    </row>
    <row r="1399" spans="1:9" x14ac:dyDescent="0.25">
      <c r="A1399">
        <v>1803</v>
      </c>
      <c r="B1399">
        <f>A1399+1</f>
        <v>1804</v>
      </c>
      <c r="C1399" t="s">
        <v>510</v>
      </c>
      <c r="D1399" t="s">
        <v>27</v>
      </c>
      <c r="E1399" s="208" t="s">
        <v>155</v>
      </c>
      <c r="F1399" t="s">
        <v>14</v>
      </c>
      <c r="G1399" s="18">
        <v>61790</v>
      </c>
      <c r="H1399" t="s">
        <v>17</v>
      </c>
      <c r="I1399" s="151" t="s">
        <v>562</v>
      </c>
    </row>
    <row r="1400" spans="1:9" x14ac:dyDescent="0.25">
      <c r="A1400">
        <v>1803</v>
      </c>
      <c r="B1400">
        <f>A1400+1</f>
        <v>1804</v>
      </c>
      <c r="C1400" t="s">
        <v>510</v>
      </c>
      <c r="D1400" t="s">
        <v>27</v>
      </c>
      <c r="E1400" s="208" t="s">
        <v>156</v>
      </c>
      <c r="F1400" t="s">
        <v>14</v>
      </c>
      <c r="G1400" s="18">
        <v>8862</v>
      </c>
      <c r="H1400" t="s">
        <v>17</v>
      </c>
      <c r="I1400" s="151" t="s">
        <v>562</v>
      </c>
    </row>
    <row r="1401" spans="1:9" x14ac:dyDescent="0.25">
      <c r="A1401">
        <v>1803</v>
      </c>
      <c r="B1401">
        <f>A1401+1</f>
        <v>1804</v>
      </c>
      <c r="C1401" t="s">
        <v>510</v>
      </c>
      <c r="D1401" t="s">
        <v>27</v>
      </c>
      <c r="E1401" s="208" t="s">
        <v>154</v>
      </c>
      <c r="F1401" t="s">
        <v>14</v>
      </c>
      <c r="G1401" s="18">
        <v>1512</v>
      </c>
      <c r="H1401" t="s">
        <v>17</v>
      </c>
      <c r="I1401" s="151" t="s">
        <v>562</v>
      </c>
    </row>
    <row r="1402" spans="1:9" x14ac:dyDescent="0.25">
      <c r="A1402">
        <v>1803</v>
      </c>
      <c r="B1402">
        <f>A1402+1</f>
        <v>1804</v>
      </c>
      <c r="C1402" t="s">
        <v>510</v>
      </c>
      <c r="D1402" t="s">
        <v>27</v>
      </c>
      <c r="E1402" s="208" t="s">
        <v>150</v>
      </c>
      <c r="F1402" t="s">
        <v>14</v>
      </c>
      <c r="G1402" s="18">
        <v>30226</v>
      </c>
      <c r="H1402" t="s">
        <v>17</v>
      </c>
      <c r="I1402" s="151" t="s">
        <v>562</v>
      </c>
    </row>
    <row r="1403" spans="1:9" x14ac:dyDescent="0.25">
      <c r="A1403">
        <v>1803</v>
      </c>
      <c r="B1403">
        <f>A1403+1</f>
        <v>1804</v>
      </c>
      <c r="C1403" t="s">
        <v>510</v>
      </c>
      <c r="D1403" t="s">
        <v>27</v>
      </c>
      <c r="E1403" s="208" t="s">
        <v>148</v>
      </c>
      <c r="F1403" t="s">
        <v>14</v>
      </c>
      <c r="G1403" s="18">
        <v>372</v>
      </c>
      <c r="H1403" t="s">
        <v>17</v>
      </c>
      <c r="I1403" s="151" t="s">
        <v>562</v>
      </c>
    </row>
    <row r="1404" spans="1:9" x14ac:dyDescent="0.25">
      <c r="A1404">
        <v>1803</v>
      </c>
      <c r="B1404">
        <f>A1404+1</f>
        <v>1804</v>
      </c>
      <c r="C1404" t="s">
        <v>510</v>
      </c>
      <c r="D1404" t="s">
        <v>27</v>
      </c>
      <c r="E1404" s="208" t="s">
        <v>139</v>
      </c>
      <c r="F1404" t="s">
        <v>14</v>
      </c>
      <c r="G1404" s="18">
        <v>365</v>
      </c>
      <c r="H1404" t="s">
        <v>17</v>
      </c>
      <c r="I1404" s="151" t="s">
        <v>562</v>
      </c>
    </row>
    <row r="1405" spans="1:9" x14ac:dyDescent="0.25">
      <c r="A1405">
        <v>1803</v>
      </c>
      <c r="B1405">
        <f>A1405+1</f>
        <v>1804</v>
      </c>
      <c r="C1405" t="s">
        <v>510</v>
      </c>
      <c r="D1405" t="s">
        <v>27</v>
      </c>
      <c r="E1405" s="208" t="s">
        <v>130</v>
      </c>
      <c r="F1405" t="s">
        <v>14</v>
      </c>
      <c r="G1405" s="18">
        <v>981</v>
      </c>
      <c r="H1405" t="s">
        <v>17</v>
      </c>
      <c r="I1405" s="151" t="s">
        <v>562</v>
      </c>
    </row>
    <row r="1406" spans="1:9" x14ac:dyDescent="0.25">
      <c r="A1406">
        <v>1803</v>
      </c>
      <c r="B1406">
        <f>A1406+1</f>
        <v>1804</v>
      </c>
      <c r="C1406" t="s">
        <v>510</v>
      </c>
      <c r="D1406" t="s">
        <v>27</v>
      </c>
      <c r="E1406" s="208" t="s">
        <v>132</v>
      </c>
      <c r="F1406" t="s">
        <v>14</v>
      </c>
      <c r="G1406" s="18">
        <v>70</v>
      </c>
      <c r="H1406" t="s">
        <v>17</v>
      </c>
      <c r="I1406" s="151" t="s">
        <v>562</v>
      </c>
    </row>
    <row r="1407" spans="1:9" x14ac:dyDescent="0.25">
      <c r="A1407">
        <v>1803</v>
      </c>
      <c r="B1407">
        <f>A1407+1</f>
        <v>1804</v>
      </c>
      <c r="C1407" t="s">
        <v>510</v>
      </c>
      <c r="D1407" t="s">
        <v>27</v>
      </c>
      <c r="E1407" s="208" t="s">
        <v>142</v>
      </c>
      <c r="F1407" t="s">
        <v>14</v>
      </c>
      <c r="G1407" s="18">
        <v>13927</v>
      </c>
      <c r="H1407" t="s">
        <v>17</v>
      </c>
      <c r="I1407" s="151" t="s">
        <v>562</v>
      </c>
    </row>
    <row r="1408" spans="1:9" x14ac:dyDescent="0.25">
      <c r="A1408">
        <v>1803</v>
      </c>
      <c r="B1408">
        <f>A1408+1</f>
        <v>1804</v>
      </c>
      <c r="C1408" t="s">
        <v>510</v>
      </c>
      <c r="D1408" t="s">
        <v>27</v>
      </c>
      <c r="E1408" s="208" t="s">
        <v>144</v>
      </c>
      <c r="F1408" t="s">
        <v>14</v>
      </c>
      <c r="G1408" s="18">
        <v>785</v>
      </c>
      <c r="H1408" t="s">
        <v>17</v>
      </c>
      <c r="I1408" s="151" t="s">
        <v>562</v>
      </c>
    </row>
    <row r="1409" spans="1:9" x14ac:dyDescent="0.25">
      <c r="A1409">
        <v>1803</v>
      </c>
      <c r="B1409">
        <f>A1409+1</f>
        <v>1804</v>
      </c>
      <c r="C1409" t="s">
        <v>510</v>
      </c>
      <c r="D1409" t="s">
        <v>27</v>
      </c>
      <c r="E1409" s="208" t="s">
        <v>124</v>
      </c>
      <c r="F1409" t="s">
        <v>14</v>
      </c>
      <c r="G1409" s="18">
        <v>5750594</v>
      </c>
      <c r="H1409" t="s">
        <v>17</v>
      </c>
      <c r="I1409" s="151" t="s">
        <v>562</v>
      </c>
    </row>
    <row r="1410" spans="1:9" x14ac:dyDescent="0.25">
      <c r="A1410">
        <v>1803</v>
      </c>
      <c r="B1410">
        <f>A1410+1</f>
        <v>1804</v>
      </c>
      <c r="C1410" t="s">
        <v>510</v>
      </c>
      <c r="D1410" t="s">
        <v>26</v>
      </c>
      <c r="E1410" s="208" t="s">
        <v>62</v>
      </c>
      <c r="F1410" t="s">
        <v>14</v>
      </c>
      <c r="G1410" s="18">
        <v>124</v>
      </c>
      <c r="H1410" s="151" t="s">
        <v>563</v>
      </c>
      <c r="I1410" t="s">
        <v>17</v>
      </c>
    </row>
    <row r="1411" spans="1:9" x14ac:dyDescent="0.25">
      <c r="A1411">
        <v>1803</v>
      </c>
      <c r="B1411">
        <f>A1411+1</f>
        <v>1804</v>
      </c>
      <c r="C1411" t="s">
        <v>510</v>
      </c>
      <c r="D1411" t="s">
        <v>26</v>
      </c>
      <c r="E1411" s="208" t="s">
        <v>57</v>
      </c>
      <c r="F1411" t="s">
        <v>14</v>
      </c>
      <c r="G1411" s="18">
        <v>13884</v>
      </c>
      <c r="H1411" s="151" t="s">
        <v>563</v>
      </c>
      <c r="I1411" t="s">
        <v>17</v>
      </c>
    </row>
    <row r="1412" spans="1:9" x14ac:dyDescent="0.25">
      <c r="A1412">
        <v>1803</v>
      </c>
      <c r="B1412">
        <f>A1412+1</f>
        <v>1804</v>
      </c>
      <c r="C1412" t="s">
        <v>510</v>
      </c>
      <c r="D1412" t="s">
        <v>26</v>
      </c>
      <c r="E1412" s="208" t="s">
        <v>35</v>
      </c>
      <c r="F1412" t="s">
        <v>14</v>
      </c>
      <c r="G1412" s="18">
        <v>0</v>
      </c>
      <c r="H1412" s="151" t="s">
        <v>563</v>
      </c>
      <c r="I1412" t="s">
        <v>17</v>
      </c>
    </row>
    <row r="1413" spans="1:9" x14ac:dyDescent="0.25">
      <c r="A1413">
        <v>1803</v>
      </c>
      <c r="B1413">
        <f>A1413+1</f>
        <v>1804</v>
      </c>
      <c r="C1413" t="s">
        <v>510</v>
      </c>
      <c r="D1413" t="s">
        <v>26</v>
      </c>
      <c r="E1413" s="208" t="s">
        <v>36</v>
      </c>
      <c r="F1413" t="s">
        <v>14</v>
      </c>
      <c r="G1413" s="18">
        <v>2579</v>
      </c>
      <c r="H1413" s="151" t="s">
        <v>563</v>
      </c>
      <c r="I1413" t="s">
        <v>17</v>
      </c>
    </row>
    <row r="1414" spans="1:9" x14ac:dyDescent="0.25">
      <c r="A1414">
        <v>1803</v>
      </c>
      <c r="B1414">
        <f>A1414+1</f>
        <v>1804</v>
      </c>
      <c r="C1414" t="s">
        <v>510</v>
      </c>
      <c r="D1414" t="s">
        <v>26</v>
      </c>
      <c r="E1414" s="208" t="s">
        <v>39</v>
      </c>
      <c r="F1414" t="s">
        <v>14</v>
      </c>
      <c r="G1414" s="18">
        <v>675</v>
      </c>
      <c r="H1414" s="151" t="s">
        <v>563</v>
      </c>
      <c r="I1414" t="s">
        <v>17</v>
      </c>
    </row>
    <row r="1415" spans="1:9" x14ac:dyDescent="0.25">
      <c r="A1415">
        <v>1803</v>
      </c>
      <c r="B1415">
        <f>A1415+1</f>
        <v>1804</v>
      </c>
      <c r="C1415" t="s">
        <v>510</v>
      </c>
      <c r="D1415" t="s">
        <v>26</v>
      </c>
      <c r="E1415" s="208" t="s">
        <v>42</v>
      </c>
      <c r="F1415" t="s">
        <v>14</v>
      </c>
      <c r="G1415" s="18">
        <v>0</v>
      </c>
      <c r="H1415" s="151" t="s">
        <v>563</v>
      </c>
      <c r="I1415" t="s">
        <v>17</v>
      </c>
    </row>
    <row r="1416" spans="1:9" x14ac:dyDescent="0.25">
      <c r="A1416">
        <v>1803</v>
      </c>
      <c r="B1416">
        <f>A1416+1</f>
        <v>1804</v>
      </c>
      <c r="C1416" t="s">
        <v>510</v>
      </c>
      <c r="D1416" t="s">
        <v>26</v>
      </c>
      <c r="E1416" s="208" t="s">
        <v>99</v>
      </c>
      <c r="F1416" t="s">
        <v>14</v>
      </c>
      <c r="G1416" s="18">
        <v>1202</v>
      </c>
      <c r="H1416" s="151" t="s">
        <v>563</v>
      </c>
      <c r="I1416" t="s">
        <v>17</v>
      </c>
    </row>
    <row r="1417" spans="1:9" x14ac:dyDescent="0.25">
      <c r="A1417">
        <v>1803</v>
      </c>
      <c r="B1417">
        <f>A1417+1</f>
        <v>1804</v>
      </c>
      <c r="C1417" t="s">
        <v>510</v>
      </c>
      <c r="D1417" t="s">
        <v>26</v>
      </c>
      <c r="E1417" s="208" t="s">
        <v>28</v>
      </c>
      <c r="F1417" t="s">
        <v>14</v>
      </c>
      <c r="G1417" s="18">
        <v>3595</v>
      </c>
      <c r="H1417" s="151" t="s">
        <v>563</v>
      </c>
      <c r="I1417" t="s">
        <v>17</v>
      </c>
    </row>
    <row r="1418" spans="1:9" x14ac:dyDescent="0.25">
      <c r="A1418">
        <v>1803</v>
      </c>
      <c r="B1418">
        <f>A1418+1</f>
        <v>1804</v>
      </c>
      <c r="C1418" t="s">
        <v>510</v>
      </c>
      <c r="D1418" t="s">
        <v>26</v>
      </c>
      <c r="E1418" s="208" t="s">
        <v>89</v>
      </c>
      <c r="F1418" t="s">
        <v>14</v>
      </c>
      <c r="G1418" s="18">
        <v>4747</v>
      </c>
      <c r="H1418" s="151" t="s">
        <v>563</v>
      </c>
      <c r="I1418" t="s">
        <v>17</v>
      </c>
    </row>
    <row r="1419" spans="1:9" x14ac:dyDescent="0.25">
      <c r="A1419">
        <v>1803</v>
      </c>
      <c r="B1419">
        <f>A1419+1</f>
        <v>1804</v>
      </c>
      <c r="C1419" t="s">
        <v>510</v>
      </c>
      <c r="D1419" t="s">
        <v>26</v>
      </c>
      <c r="E1419" s="208" t="s">
        <v>45</v>
      </c>
      <c r="F1419" t="s">
        <v>14</v>
      </c>
      <c r="G1419" s="18">
        <v>1083</v>
      </c>
      <c r="H1419" s="151" t="s">
        <v>563</v>
      </c>
      <c r="I1419" t="s">
        <v>17</v>
      </c>
    </row>
    <row r="1420" spans="1:9" x14ac:dyDescent="0.25">
      <c r="A1420">
        <v>1803</v>
      </c>
      <c r="B1420">
        <f>A1420+1</f>
        <v>1804</v>
      </c>
      <c r="C1420" t="s">
        <v>510</v>
      </c>
      <c r="D1420" t="s">
        <v>26</v>
      </c>
      <c r="E1420" s="208" t="s">
        <v>54</v>
      </c>
      <c r="F1420" t="s">
        <v>14</v>
      </c>
      <c r="G1420" s="18">
        <v>0</v>
      </c>
      <c r="H1420" s="151" t="s">
        <v>563</v>
      </c>
      <c r="I1420" t="s">
        <v>17</v>
      </c>
    </row>
    <row r="1421" spans="1:9" x14ac:dyDescent="0.25">
      <c r="A1421">
        <v>1803</v>
      </c>
      <c r="B1421">
        <f>A1421+1</f>
        <v>1804</v>
      </c>
      <c r="C1421" t="s">
        <v>510</v>
      </c>
      <c r="D1421" t="s">
        <v>26</v>
      </c>
      <c r="E1421" s="208" t="s">
        <v>53</v>
      </c>
      <c r="F1421" t="s">
        <v>14</v>
      </c>
      <c r="G1421" s="18">
        <v>39395</v>
      </c>
      <c r="H1421" s="151" t="s">
        <v>563</v>
      </c>
      <c r="I1421" t="s">
        <v>17</v>
      </c>
    </row>
    <row r="1422" spans="1:9" x14ac:dyDescent="0.25">
      <c r="A1422">
        <v>1803</v>
      </c>
      <c r="B1422">
        <f>A1422+1</f>
        <v>1804</v>
      </c>
      <c r="C1422" t="s">
        <v>510</v>
      </c>
      <c r="D1422" t="s">
        <v>26</v>
      </c>
      <c r="E1422" s="208" t="s">
        <v>75</v>
      </c>
      <c r="F1422" t="s">
        <v>14</v>
      </c>
      <c r="G1422" s="18">
        <v>4069470</v>
      </c>
      <c r="H1422" s="151" t="s">
        <v>563</v>
      </c>
      <c r="I1422" t="s">
        <v>17</v>
      </c>
    </row>
    <row r="1423" spans="1:9" x14ac:dyDescent="0.25">
      <c r="A1423">
        <v>1803</v>
      </c>
      <c r="B1423">
        <f>A1423+1</f>
        <v>1804</v>
      </c>
      <c r="C1423" t="s">
        <v>510</v>
      </c>
      <c r="D1423" t="s">
        <v>26</v>
      </c>
      <c r="E1423" s="208" t="s">
        <v>107</v>
      </c>
      <c r="F1423" t="s">
        <v>14</v>
      </c>
      <c r="G1423" s="18">
        <v>4973870</v>
      </c>
      <c r="H1423" s="151" t="s">
        <v>563</v>
      </c>
      <c r="I1423" t="s">
        <v>17</v>
      </c>
    </row>
    <row r="1424" spans="1:9" x14ac:dyDescent="0.25">
      <c r="A1424">
        <v>1803</v>
      </c>
      <c r="B1424">
        <f>A1424+1</f>
        <v>1804</v>
      </c>
      <c r="C1424" t="s">
        <v>510</v>
      </c>
      <c r="D1424" t="s">
        <v>26</v>
      </c>
      <c r="E1424" s="208" t="s">
        <v>101</v>
      </c>
      <c r="F1424" t="s">
        <v>14</v>
      </c>
      <c r="G1424" s="18">
        <v>5059856</v>
      </c>
      <c r="H1424" s="151" t="s">
        <v>563</v>
      </c>
      <c r="I1424" t="s">
        <v>17</v>
      </c>
    </row>
    <row r="1425" spans="1:9" x14ac:dyDescent="0.25">
      <c r="A1425">
        <v>1803</v>
      </c>
      <c r="B1425">
        <f>A1425+1</f>
        <v>1804</v>
      </c>
      <c r="C1425" t="s">
        <v>510</v>
      </c>
      <c r="D1425" t="s">
        <v>26</v>
      </c>
      <c r="E1425" s="208" t="s">
        <v>328</v>
      </c>
      <c r="F1425" t="s">
        <v>14</v>
      </c>
      <c r="G1425" s="18">
        <v>0</v>
      </c>
      <c r="H1425" s="151" t="s">
        <v>563</v>
      </c>
      <c r="I1425" t="s">
        <v>17</v>
      </c>
    </row>
    <row r="1426" spans="1:9" x14ac:dyDescent="0.25">
      <c r="A1426">
        <v>1803</v>
      </c>
      <c r="B1426">
        <f>A1426+1</f>
        <v>1804</v>
      </c>
      <c r="C1426" t="s">
        <v>510</v>
      </c>
      <c r="D1426" t="s">
        <v>26</v>
      </c>
      <c r="E1426" s="208" t="s">
        <v>329</v>
      </c>
      <c r="F1426" t="s">
        <v>14</v>
      </c>
      <c r="G1426" s="18">
        <v>0</v>
      </c>
      <c r="H1426" s="151" t="s">
        <v>563</v>
      </c>
      <c r="I1426" t="s">
        <v>17</v>
      </c>
    </row>
    <row r="1427" spans="1:9" x14ac:dyDescent="0.25">
      <c r="A1427">
        <v>1803</v>
      </c>
      <c r="B1427">
        <f>A1427+1</f>
        <v>1804</v>
      </c>
      <c r="C1427" t="s">
        <v>510</v>
      </c>
      <c r="D1427" t="s">
        <v>26</v>
      </c>
      <c r="E1427" s="208" t="s">
        <v>78</v>
      </c>
      <c r="F1427" t="s">
        <v>14</v>
      </c>
      <c r="G1427" s="18">
        <v>0</v>
      </c>
      <c r="H1427" s="151" t="s">
        <v>563</v>
      </c>
      <c r="I1427" t="s">
        <v>17</v>
      </c>
    </row>
    <row r="1428" spans="1:9" x14ac:dyDescent="0.25">
      <c r="A1428">
        <v>1803</v>
      </c>
      <c r="B1428">
        <f>A1428+1</f>
        <v>1804</v>
      </c>
      <c r="C1428" t="s">
        <v>510</v>
      </c>
      <c r="D1428" t="s">
        <v>26</v>
      </c>
      <c r="E1428" s="208" t="s">
        <v>77</v>
      </c>
      <c r="F1428" t="s">
        <v>14</v>
      </c>
      <c r="G1428" s="18">
        <v>0</v>
      </c>
      <c r="H1428" s="151" t="s">
        <v>563</v>
      </c>
      <c r="I1428" t="s">
        <v>17</v>
      </c>
    </row>
    <row r="1429" spans="1:9" x14ac:dyDescent="0.25">
      <c r="A1429">
        <v>1803</v>
      </c>
      <c r="B1429">
        <f>A1429+1</f>
        <v>1804</v>
      </c>
      <c r="C1429" t="s">
        <v>510</v>
      </c>
      <c r="D1429" t="s">
        <v>26</v>
      </c>
      <c r="E1429" s="208" t="s">
        <v>82</v>
      </c>
      <c r="F1429" t="s">
        <v>14</v>
      </c>
      <c r="G1429" s="18">
        <v>26</v>
      </c>
      <c r="H1429" s="151" t="s">
        <v>563</v>
      </c>
      <c r="I1429" t="s">
        <v>17</v>
      </c>
    </row>
    <row r="1430" spans="1:9" x14ac:dyDescent="0.25">
      <c r="A1430">
        <v>1803</v>
      </c>
      <c r="B1430">
        <f>A1430+1</f>
        <v>1804</v>
      </c>
      <c r="C1430" t="s">
        <v>510</v>
      </c>
      <c r="D1430" t="s">
        <v>26</v>
      </c>
      <c r="E1430" s="208" t="s">
        <v>327</v>
      </c>
      <c r="F1430" t="s">
        <v>14</v>
      </c>
      <c r="G1430" s="18">
        <v>0</v>
      </c>
      <c r="H1430" s="151" t="s">
        <v>563</v>
      </c>
      <c r="I1430" t="s">
        <v>17</v>
      </c>
    </row>
    <row r="1431" spans="1:9" x14ac:dyDescent="0.25">
      <c r="A1431">
        <v>1803</v>
      </c>
      <c r="B1431">
        <f>A1431+1</f>
        <v>1804</v>
      </c>
      <c r="C1431" t="s">
        <v>510</v>
      </c>
      <c r="D1431" t="s">
        <v>26</v>
      </c>
      <c r="E1431" s="208" t="s">
        <v>65</v>
      </c>
      <c r="F1431" t="s">
        <v>14</v>
      </c>
      <c r="G1431" s="18">
        <v>42946</v>
      </c>
      <c r="H1431" s="151" t="s">
        <v>563</v>
      </c>
      <c r="I1431" t="s">
        <v>17</v>
      </c>
    </row>
    <row r="1432" spans="1:9" x14ac:dyDescent="0.25">
      <c r="A1432">
        <v>1803</v>
      </c>
      <c r="B1432">
        <f>A1432+1</f>
        <v>1804</v>
      </c>
      <c r="C1432" t="s">
        <v>510</v>
      </c>
      <c r="D1432" t="s">
        <v>26</v>
      </c>
      <c r="E1432" s="208" t="s">
        <v>330</v>
      </c>
      <c r="F1432" t="s">
        <v>14</v>
      </c>
      <c r="G1432" s="18">
        <v>861</v>
      </c>
      <c r="H1432" s="151" t="s">
        <v>563</v>
      </c>
      <c r="I1432" t="s">
        <v>17</v>
      </c>
    </row>
    <row r="1433" spans="1:9" x14ac:dyDescent="0.25">
      <c r="A1433">
        <v>1803</v>
      </c>
      <c r="B1433">
        <f>A1433+1</f>
        <v>1804</v>
      </c>
      <c r="C1433" t="s">
        <v>510</v>
      </c>
      <c r="D1433" t="s">
        <v>26</v>
      </c>
      <c r="E1433" s="208" t="s">
        <v>331</v>
      </c>
      <c r="F1433" t="s">
        <v>14</v>
      </c>
      <c r="G1433" s="18">
        <v>527</v>
      </c>
      <c r="H1433" s="151" t="s">
        <v>563</v>
      </c>
      <c r="I1433" t="s">
        <v>17</v>
      </c>
    </row>
    <row r="1434" spans="1:9" x14ac:dyDescent="0.25">
      <c r="A1434">
        <v>1803</v>
      </c>
      <c r="B1434">
        <f>A1434+1</f>
        <v>1804</v>
      </c>
      <c r="C1434" t="s">
        <v>510</v>
      </c>
      <c r="D1434" t="s">
        <v>26</v>
      </c>
      <c r="E1434" s="208" t="s">
        <v>332</v>
      </c>
      <c r="F1434" t="s">
        <v>14</v>
      </c>
      <c r="G1434" s="18">
        <v>65</v>
      </c>
      <c r="H1434" s="151" t="s">
        <v>563</v>
      </c>
      <c r="I1434" t="s">
        <v>17</v>
      </c>
    </row>
    <row r="1435" spans="1:9" x14ac:dyDescent="0.25">
      <c r="A1435">
        <v>1803</v>
      </c>
      <c r="B1435">
        <f>A1435+1</f>
        <v>1804</v>
      </c>
      <c r="C1435" t="s">
        <v>510</v>
      </c>
      <c r="D1435" t="s">
        <v>26</v>
      </c>
      <c r="E1435" s="208" t="s">
        <v>333</v>
      </c>
      <c r="F1435" t="s">
        <v>14</v>
      </c>
      <c r="G1435" s="18">
        <v>1646</v>
      </c>
      <c r="H1435" s="151" t="s">
        <v>563</v>
      </c>
      <c r="I1435" t="s">
        <v>17</v>
      </c>
    </row>
    <row r="1436" spans="1:9" x14ac:dyDescent="0.25">
      <c r="A1436">
        <v>1803</v>
      </c>
      <c r="B1436">
        <f>A1436+1</f>
        <v>1804</v>
      </c>
      <c r="C1436" t="s">
        <v>510</v>
      </c>
      <c r="D1436" t="s">
        <v>27</v>
      </c>
      <c r="E1436" s="208" t="s">
        <v>155</v>
      </c>
      <c r="F1436" t="s">
        <v>15</v>
      </c>
      <c r="G1436" s="18">
        <v>103352</v>
      </c>
      <c r="H1436" t="s">
        <v>561</v>
      </c>
      <c r="I1436" s="151" t="s">
        <v>562</v>
      </c>
    </row>
    <row r="1437" spans="1:9" x14ac:dyDescent="0.25">
      <c r="A1437">
        <v>1803</v>
      </c>
      <c r="B1437">
        <f>A1437+1</f>
        <v>1804</v>
      </c>
      <c r="C1437" t="s">
        <v>510</v>
      </c>
      <c r="D1437" t="s">
        <v>27</v>
      </c>
      <c r="E1437" s="208" t="s">
        <v>156</v>
      </c>
      <c r="F1437" t="s">
        <v>15</v>
      </c>
      <c r="G1437" s="18">
        <v>12802</v>
      </c>
      <c r="H1437" t="s">
        <v>561</v>
      </c>
      <c r="I1437" s="151" t="s">
        <v>562</v>
      </c>
    </row>
    <row r="1438" spans="1:9" x14ac:dyDescent="0.25">
      <c r="A1438">
        <v>1803</v>
      </c>
      <c r="B1438">
        <f>A1438+1</f>
        <v>1804</v>
      </c>
      <c r="C1438" t="s">
        <v>510</v>
      </c>
      <c r="D1438" t="s">
        <v>27</v>
      </c>
      <c r="E1438" s="208" t="s">
        <v>154</v>
      </c>
      <c r="F1438" t="s">
        <v>15</v>
      </c>
      <c r="G1438" s="18">
        <v>2952</v>
      </c>
      <c r="H1438" t="s">
        <v>561</v>
      </c>
      <c r="I1438" s="151" t="s">
        <v>562</v>
      </c>
    </row>
    <row r="1439" spans="1:9" x14ac:dyDescent="0.25">
      <c r="A1439">
        <v>1803</v>
      </c>
      <c r="B1439">
        <f>A1439+1</f>
        <v>1804</v>
      </c>
      <c r="C1439" t="s">
        <v>510</v>
      </c>
      <c r="D1439" t="s">
        <v>27</v>
      </c>
      <c r="E1439" s="208" t="s">
        <v>150</v>
      </c>
      <c r="F1439" t="s">
        <v>15</v>
      </c>
      <c r="G1439" s="18">
        <v>42229</v>
      </c>
      <c r="H1439" t="s">
        <v>561</v>
      </c>
      <c r="I1439" s="151" t="s">
        <v>562</v>
      </c>
    </row>
    <row r="1440" spans="1:9" x14ac:dyDescent="0.25">
      <c r="A1440">
        <v>1803</v>
      </c>
      <c r="B1440">
        <f>A1440+1</f>
        <v>1804</v>
      </c>
      <c r="C1440" t="s">
        <v>510</v>
      </c>
      <c r="D1440" t="s">
        <v>27</v>
      </c>
      <c r="E1440" s="208" t="s">
        <v>148</v>
      </c>
      <c r="F1440" t="s">
        <v>15</v>
      </c>
      <c r="G1440" s="18">
        <v>913</v>
      </c>
      <c r="H1440" t="s">
        <v>561</v>
      </c>
      <c r="I1440" s="151" t="s">
        <v>562</v>
      </c>
    </row>
    <row r="1441" spans="1:9" x14ac:dyDescent="0.25">
      <c r="A1441">
        <v>1803</v>
      </c>
      <c r="B1441">
        <f>A1441+1</f>
        <v>1804</v>
      </c>
      <c r="C1441" t="s">
        <v>510</v>
      </c>
      <c r="D1441" t="s">
        <v>27</v>
      </c>
      <c r="E1441" s="208" t="s">
        <v>139</v>
      </c>
      <c r="F1441" t="s">
        <v>15</v>
      </c>
      <c r="G1441" s="18">
        <v>429</v>
      </c>
      <c r="H1441" t="s">
        <v>561</v>
      </c>
      <c r="I1441" s="151" t="s">
        <v>562</v>
      </c>
    </row>
    <row r="1442" spans="1:9" x14ac:dyDescent="0.25">
      <c r="A1442">
        <v>1803</v>
      </c>
      <c r="B1442">
        <f>A1442+1</f>
        <v>1804</v>
      </c>
      <c r="C1442" t="s">
        <v>510</v>
      </c>
      <c r="D1442" t="s">
        <v>27</v>
      </c>
      <c r="E1442" s="208" t="s">
        <v>130</v>
      </c>
      <c r="F1442" t="s">
        <v>15</v>
      </c>
      <c r="G1442" s="18">
        <v>1854</v>
      </c>
      <c r="H1442" t="s">
        <v>561</v>
      </c>
      <c r="I1442" s="151" t="s">
        <v>562</v>
      </c>
    </row>
    <row r="1443" spans="1:9" x14ac:dyDescent="0.25">
      <c r="A1443">
        <v>1803</v>
      </c>
      <c r="B1443">
        <f>A1443+1</f>
        <v>1804</v>
      </c>
      <c r="C1443" t="s">
        <v>510</v>
      </c>
      <c r="D1443" t="s">
        <v>27</v>
      </c>
      <c r="E1443" s="208" t="s">
        <v>132</v>
      </c>
      <c r="F1443" t="s">
        <v>15</v>
      </c>
      <c r="G1443" s="18">
        <v>1094</v>
      </c>
      <c r="H1443" t="s">
        <v>561</v>
      </c>
      <c r="I1443" s="151" t="s">
        <v>562</v>
      </c>
    </row>
    <row r="1444" spans="1:9" x14ac:dyDescent="0.25">
      <c r="A1444">
        <v>1803</v>
      </c>
      <c r="B1444">
        <f>A1444+1</f>
        <v>1804</v>
      </c>
      <c r="C1444" t="s">
        <v>510</v>
      </c>
      <c r="D1444" t="s">
        <v>27</v>
      </c>
      <c r="E1444" s="208" t="s">
        <v>142</v>
      </c>
      <c r="F1444" t="s">
        <v>15</v>
      </c>
      <c r="G1444" s="18">
        <v>19572</v>
      </c>
      <c r="H1444" t="s">
        <v>561</v>
      </c>
      <c r="I1444" s="151" t="s">
        <v>562</v>
      </c>
    </row>
    <row r="1445" spans="1:9" x14ac:dyDescent="0.25">
      <c r="A1445">
        <v>1803</v>
      </c>
      <c r="B1445">
        <f>A1445+1</f>
        <v>1804</v>
      </c>
      <c r="C1445" t="s">
        <v>510</v>
      </c>
      <c r="D1445" t="s">
        <v>27</v>
      </c>
      <c r="E1445" s="208" t="s">
        <v>144</v>
      </c>
      <c r="F1445" t="s">
        <v>15</v>
      </c>
      <c r="G1445" s="18">
        <v>1417</v>
      </c>
      <c r="H1445" t="s">
        <v>561</v>
      </c>
      <c r="I1445" s="151" t="s">
        <v>562</v>
      </c>
    </row>
    <row r="1446" spans="1:9" x14ac:dyDescent="0.25">
      <c r="A1446">
        <v>1803</v>
      </c>
      <c r="B1446">
        <f>A1446+1</f>
        <v>1804</v>
      </c>
      <c r="C1446" t="s">
        <v>510</v>
      </c>
      <c r="D1446" t="s">
        <v>27</v>
      </c>
      <c r="E1446" s="208" t="s">
        <v>124</v>
      </c>
      <c r="F1446" t="s">
        <v>15</v>
      </c>
      <c r="G1446" s="18">
        <v>22063980</v>
      </c>
      <c r="H1446" t="s">
        <v>561</v>
      </c>
      <c r="I1446" s="151" t="s">
        <v>562</v>
      </c>
    </row>
    <row r="1447" spans="1:9" x14ac:dyDescent="0.25">
      <c r="A1447">
        <v>1803</v>
      </c>
      <c r="B1447">
        <f>A1447+1</f>
        <v>1804</v>
      </c>
      <c r="C1447" t="s">
        <v>510</v>
      </c>
      <c r="D1447" t="s">
        <v>26</v>
      </c>
      <c r="E1447" s="208" t="s">
        <v>62</v>
      </c>
      <c r="F1447" t="s">
        <v>15</v>
      </c>
      <c r="G1447" s="18">
        <v>816</v>
      </c>
      <c r="H1447" s="151" t="s">
        <v>563</v>
      </c>
      <c r="I1447" t="s">
        <v>561</v>
      </c>
    </row>
    <row r="1448" spans="1:9" x14ac:dyDescent="0.25">
      <c r="A1448">
        <v>1803</v>
      </c>
      <c r="B1448">
        <f>A1448+1</f>
        <v>1804</v>
      </c>
      <c r="C1448" t="s">
        <v>510</v>
      </c>
      <c r="D1448" t="s">
        <v>26</v>
      </c>
      <c r="E1448" s="208" t="s">
        <v>57</v>
      </c>
      <c r="F1448" t="s">
        <v>15</v>
      </c>
      <c r="G1448" s="18">
        <v>77299</v>
      </c>
      <c r="H1448" s="151" t="s">
        <v>563</v>
      </c>
      <c r="I1448" t="s">
        <v>561</v>
      </c>
    </row>
    <row r="1449" spans="1:9" x14ac:dyDescent="0.25">
      <c r="A1449">
        <v>1803</v>
      </c>
      <c r="B1449">
        <f>A1449+1</f>
        <v>1804</v>
      </c>
      <c r="C1449" t="s">
        <v>510</v>
      </c>
      <c r="D1449" t="s">
        <v>26</v>
      </c>
      <c r="E1449" s="208" t="s">
        <v>35</v>
      </c>
      <c r="F1449" t="s">
        <v>15</v>
      </c>
      <c r="G1449" s="18">
        <v>16219</v>
      </c>
      <c r="H1449" s="151" t="s">
        <v>563</v>
      </c>
      <c r="I1449" t="s">
        <v>561</v>
      </c>
    </row>
    <row r="1450" spans="1:9" x14ac:dyDescent="0.25">
      <c r="A1450">
        <v>1803</v>
      </c>
      <c r="B1450">
        <f>A1450+1</f>
        <v>1804</v>
      </c>
      <c r="C1450" t="s">
        <v>510</v>
      </c>
      <c r="D1450" t="s">
        <v>26</v>
      </c>
      <c r="E1450" s="208" t="s">
        <v>36</v>
      </c>
      <c r="F1450" t="s">
        <v>15</v>
      </c>
      <c r="G1450" s="18">
        <v>6959</v>
      </c>
      <c r="H1450" s="151" t="s">
        <v>563</v>
      </c>
      <c r="I1450" t="s">
        <v>561</v>
      </c>
    </row>
    <row r="1451" spans="1:9" x14ac:dyDescent="0.25">
      <c r="A1451">
        <v>1803</v>
      </c>
      <c r="B1451">
        <f>A1451+1</f>
        <v>1804</v>
      </c>
      <c r="C1451" t="s">
        <v>510</v>
      </c>
      <c r="D1451" t="s">
        <v>26</v>
      </c>
      <c r="E1451" s="208" t="s">
        <v>39</v>
      </c>
      <c r="F1451" t="s">
        <v>15</v>
      </c>
      <c r="G1451" s="18">
        <v>4508</v>
      </c>
      <c r="H1451" s="151" t="s">
        <v>563</v>
      </c>
      <c r="I1451" t="s">
        <v>561</v>
      </c>
    </row>
    <row r="1452" spans="1:9" x14ac:dyDescent="0.25">
      <c r="A1452">
        <v>1803</v>
      </c>
      <c r="B1452">
        <f>A1452+1</f>
        <v>1804</v>
      </c>
      <c r="C1452" t="s">
        <v>510</v>
      </c>
      <c r="D1452" t="s">
        <v>26</v>
      </c>
      <c r="E1452" s="208" t="s">
        <v>42</v>
      </c>
      <c r="F1452" t="s">
        <v>15</v>
      </c>
      <c r="G1452" s="18">
        <v>10</v>
      </c>
      <c r="H1452" s="151" t="s">
        <v>563</v>
      </c>
      <c r="I1452" t="s">
        <v>561</v>
      </c>
    </row>
    <row r="1453" spans="1:9" x14ac:dyDescent="0.25">
      <c r="A1453">
        <v>1803</v>
      </c>
      <c r="B1453">
        <f>A1453+1</f>
        <v>1804</v>
      </c>
      <c r="C1453" t="s">
        <v>510</v>
      </c>
      <c r="D1453" t="s">
        <v>26</v>
      </c>
      <c r="E1453" s="208" t="s">
        <v>99</v>
      </c>
      <c r="F1453" t="s">
        <v>15</v>
      </c>
      <c r="G1453" s="18">
        <v>3624</v>
      </c>
      <c r="H1453" s="151" t="s">
        <v>563</v>
      </c>
      <c r="I1453" t="s">
        <v>561</v>
      </c>
    </row>
    <row r="1454" spans="1:9" x14ac:dyDescent="0.25">
      <c r="A1454">
        <v>1803</v>
      </c>
      <c r="B1454">
        <f>A1454+1</f>
        <v>1804</v>
      </c>
      <c r="C1454" t="s">
        <v>510</v>
      </c>
      <c r="D1454" t="s">
        <v>26</v>
      </c>
      <c r="E1454" s="208" t="s">
        <v>28</v>
      </c>
      <c r="F1454" t="s">
        <v>15</v>
      </c>
      <c r="G1454" s="18">
        <v>12770</v>
      </c>
      <c r="H1454" s="151" t="s">
        <v>563</v>
      </c>
      <c r="I1454" t="s">
        <v>561</v>
      </c>
    </row>
    <row r="1455" spans="1:9" x14ac:dyDescent="0.25">
      <c r="A1455">
        <v>1803</v>
      </c>
      <c r="B1455">
        <f>A1455+1</f>
        <v>1804</v>
      </c>
      <c r="C1455" t="s">
        <v>510</v>
      </c>
      <c r="D1455" t="s">
        <v>26</v>
      </c>
      <c r="E1455" s="208" t="s">
        <v>89</v>
      </c>
      <c r="F1455" t="s">
        <v>15</v>
      </c>
      <c r="G1455" s="18">
        <v>18825</v>
      </c>
      <c r="H1455" s="151" t="s">
        <v>563</v>
      </c>
      <c r="I1455" t="s">
        <v>561</v>
      </c>
    </row>
    <row r="1456" spans="1:9" x14ac:dyDescent="0.25">
      <c r="A1456">
        <v>1803</v>
      </c>
      <c r="B1456">
        <f>A1456+1</f>
        <v>1804</v>
      </c>
      <c r="C1456" t="s">
        <v>510</v>
      </c>
      <c r="D1456" t="s">
        <v>26</v>
      </c>
      <c r="E1456" s="208" t="s">
        <v>45</v>
      </c>
      <c r="F1456" t="s">
        <v>15</v>
      </c>
      <c r="G1456" s="18">
        <v>5376</v>
      </c>
      <c r="H1456" s="151" t="s">
        <v>563</v>
      </c>
      <c r="I1456" t="s">
        <v>561</v>
      </c>
    </row>
    <row r="1457" spans="1:9" x14ac:dyDescent="0.25">
      <c r="A1457">
        <v>1803</v>
      </c>
      <c r="B1457">
        <f>A1457+1</f>
        <v>1804</v>
      </c>
      <c r="C1457" t="s">
        <v>510</v>
      </c>
      <c r="D1457" t="s">
        <v>26</v>
      </c>
      <c r="E1457" s="208" t="s">
        <v>54</v>
      </c>
      <c r="F1457" t="s">
        <v>15</v>
      </c>
      <c r="G1457" s="18">
        <v>162</v>
      </c>
      <c r="H1457" s="151" t="s">
        <v>563</v>
      </c>
      <c r="I1457" t="s">
        <v>561</v>
      </c>
    </row>
    <row r="1458" spans="1:9" x14ac:dyDescent="0.25">
      <c r="A1458">
        <v>1803</v>
      </c>
      <c r="B1458">
        <f>A1458+1</f>
        <v>1804</v>
      </c>
      <c r="C1458" t="s">
        <v>510</v>
      </c>
      <c r="D1458" t="s">
        <v>26</v>
      </c>
      <c r="E1458" s="208" t="s">
        <v>53</v>
      </c>
      <c r="F1458" t="s">
        <v>15</v>
      </c>
      <c r="G1458" s="18">
        <v>69327</v>
      </c>
      <c r="H1458" s="151" t="s">
        <v>563</v>
      </c>
      <c r="I1458" t="s">
        <v>561</v>
      </c>
    </row>
    <row r="1459" spans="1:9" x14ac:dyDescent="0.25">
      <c r="A1459">
        <v>1803</v>
      </c>
      <c r="B1459">
        <f>A1459+1</f>
        <v>1804</v>
      </c>
      <c r="C1459" t="s">
        <v>510</v>
      </c>
      <c r="D1459" t="s">
        <v>26</v>
      </c>
      <c r="E1459" s="208" t="s">
        <v>75</v>
      </c>
      <c r="F1459" t="s">
        <v>15</v>
      </c>
      <c r="G1459" s="18">
        <v>7889087</v>
      </c>
      <c r="H1459" s="151" t="s">
        <v>563</v>
      </c>
      <c r="I1459" t="s">
        <v>561</v>
      </c>
    </row>
    <row r="1460" spans="1:9" x14ac:dyDescent="0.25">
      <c r="A1460">
        <v>1803</v>
      </c>
      <c r="B1460">
        <f>A1460+1</f>
        <v>1804</v>
      </c>
      <c r="C1460" t="s">
        <v>510</v>
      </c>
      <c r="D1460" t="s">
        <v>26</v>
      </c>
      <c r="E1460" s="208" t="s">
        <v>107</v>
      </c>
      <c r="F1460" t="s">
        <v>15</v>
      </c>
      <c r="G1460" s="18">
        <v>8712689</v>
      </c>
      <c r="H1460" s="151" t="s">
        <v>563</v>
      </c>
      <c r="I1460" t="s">
        <v>561</v>
      </c>
    </row>
    <row r="1461" spans="1:9" x14ac:dyDescent="0.25">
      <c r="A1461">
        <v>1803</v>
      </c>
      <c r="B1461">
        <f>A1461+1</f>
        <v>1804</v>
      </c>
      <c r="C1461" t="s">
        <v>510</v>
      </c>
      <c r="D1461" t="s">
        <v>26</v>
      </c>
      <c r="E1461" s="208" t="s">
        <v>101</v>
      </c>
      <c r="F1461" t="s">
        <v>15</v>
      </c>
      <c r="G1461" s="18">
        <v>13121657</v>
      </c>
      <c r="H1461" s="151" t="s">
        <v>563</v>
      </c>
      <c r="I1461" t="s">
        <v>561</v>
      </c>
    </row>
    <row r="1462" spans="1:9" x14ac:dyDescent="0.25">
      <c r="A1462">
        <v>1803</v>
      </c>
      <c r="B1462">
        <f>A1462+1</f>
        <v>1804</v>
      </c>
      <c r="C1462" t="s">
        <v>510</v>
      </c>
      <c r="D1462" t="s">
        <v>26</v>
      </c>
      <c r="E1462" s="208" t="s">
        <v>328</v>
      </c>
      <c r="F1462" t="s">
        <v>15</v>
      </c>
      <c r="G1462" s="18">
        <v>93</v>
      </c>
      <c r="H1462" s="151" t="s">
        <v>563</v>
      </c>
      <c r="I1462" t="s">
        <v>561</v>
      </c>
    </row>
    <row r="1463" spans="1:9" x14ac:dyDescent="0.25">
      <c r="A1463">
        <v>1803</v>
      </c>
      <c r="B1463">
        <f>A1463+1</f>
        <v>1804</v>
      </c>
      <c r="C1463" t="s">
        <v>510</v>
      </c>
      <c r="D1463" t="s">
        <v>26</v>
      </c>
      <c r="E1463" s="208" t="s">
        <v>329</v>
      </c>
      <c r="F1463" t="s">
        <v>15</v>
      </c>
      <c r="G1463" s="18">
        <v>1467</v>
      </c>
      <c r="H1463" s="151" t="s">
        <v>563</v>
      </c>
      <c r="I1463" t="s">
        <v>561</v>
      </c>
    </row>
    <row r="1464" spans="1:9" x14ac:dyDescent="0.25">
      <c r="A1464">
        <v>1803</v>
      </c>
      <c r="B1464">
        <f>A1464+1</f>
        <v>1804</v>
      </c>
      <c r="C1464" t="s">
        <v>510</v>
      </c>
      <c r="D1464" t="s">
        <v>26</v>
      </c>
      <c r="E1464" s="208" t="s">
        <v>78</v>
      </c>
      <c r="F1464" t="s">
        <v>15</v>
      </c>
      <c r="G1464" s="18">
        <v>153</v>
      </c>
      <c r="H1464" s="151" t="s">
        <v>563</v>
      </c>
      <c r="I1464" t="s">
        <v>561</v>
      </c>
    </row>
    <row r="1465" spans="1:9" x14ac:dyDescent="0.25">
      <c r="A1465">
        <v>1803</v>
      </c>
      <c r="B1465">
        <f>A1465+1</f>
        <v>1804</v>
      </c>
      <c r="C1465" t="s">
        <v>510</v>
      </c>
      <c r="D1465" t="s">
        <v>26</v>
      </c>
      <c r="E1465" s="208" t="s">
        <v>77</v>
      </c>
      <c r="F1465" t="s">
        <v>15</v>
      </c>
      <c r="G1465" s="18">
        <v>60000</v>
      </c>
      <c r="H1465" s="151" t="s">
        <v>563</v>
      </c>
      <c r="I1465" t="s">
        <v>561</v>
      </c>
    </row>
    <row r="1466" spans="1:9" x14ac:dyDescent="0.25">
      <c r="A1466">
        <v>1803</v>
      </c>
      <c r="B1466">
        <f>A1466+1</f>
        <v>1804</v>
      </c>
      <c r="C1466" t="s">
        <v>510</v>
      </c>
      <c r="D1466" t="s">
        <v>26</v>
      </c>
      <c r="E1466" s="208" t="s">
        <v>82</v>
      </c>
      <c r="F1466" t="s">
        <v>15</v>
      </c>
      <c r="G1466" s="18">
        <v>152</v>
      </c>
      <c r="H1466" s="151" t="s">
        <v>563</v>
      </c>
      <c r="I1466" t="s">
        <v>561</v>
      </c>
    </row>
    <row r="1467" spans="1:9" x14ac:dyDescent="0.25">
      <c r="A1467">
        <v>1803</v>
      </c>
      <c r="B1467">
        <f>A1467+1</f>
        <v>1804</v>
      </c>
      <c r="C1467" t="s">
        <v>510</v>
      </c>
      <c r="D1467" t="s">
        <v>26</v>
      </c>
      <c r="E1467" s="208" t="s">
        <v>327</v>
      </c>
      <c r="F1467" t="s">
        <v>15</v>
      </c>
      <c r="G1467" s="18">
        <v>92</v>
      </c>
      <c r="H1467" s="151" t="s">
        <v>563</v>
      </c>
      <c r="I1467" t="s">
        <v>561</v>
      </c>
    </row>
    <row r="1468" spans="1:9" x14ac:dyDescent="0.25">
      <c r="A1468">
        <v>1803</v>
      </c>
      <c r="B1468">
        <f>A1468+1</f>
        <v>1804</v>
      </c>
      <c r="C1468" t="s">
        <v>510</v>
      </c>
      <c r="D1468" t="s">
        <v>26</v>
      </c>
      <c r="E1468" s="208" t="s">
        <v>65</v>
      </c>
      <c r="F1468" t="s">
        <v>15</v>
      </c>
      <c r="G1468" s="18">
        <v>49507</v>
      </c>
      <c r="H1468" s="151" t="s">
        <v>563</v>
      </c>
      <c r="I1468" t="s">
        <v>561</v>
      </c>
    </row>
    <row r="1469" spans="1:9" x14ac:dyDescent="0.25">
      <c r="A1469">
        <v>1803</v>
      </c>
      <c r="B1469">
        <f>A1469+1</f>
        <v>1804</v>
      </c>
      <c r="C1469" t="s">
        <v>510</v>
      </c>
      <c r="D1469" t="s">
        <v>26</v>
      </c>
      <c r="E1469" s="208" t="s">
        <v>330</v>
      </c>
      <c r="F1469" t="s">
        <v>15</v>
      </c>
      <c r="G1469" s="18">
        <v>1813</v>
      </c>
      <c r="H1469" s="151" t="s">
        <v>563</v>
      </c>
      <c r="I1469" t="s">
        <v>561</v>
      </c>
    </row>
    <row r="1470" spans="1:9" x14ac:dyDescent="0.25">
      <c r="A1470">
        <v>1803</v>
      </c>
      <c r="B1470">
        <f>A1470+1</f>
        <v>1804</v>
      </c>
      <c r="C1470" t="s">
        <v>510</v>
      </c>
      <c r="D1470" t="s">
        <v>26</v>
      </c>
      <c r="E1470" s="208" t="s">
        <v>331</v>
      </c>
      <c r="F1470" t="s">
        <v>15</v>
      </c>
      <c r="G1470" s="18">
        <v>2182</v>
      </c>
      <c r="H1470" s="151" t="s">
        <v>563</v>
      </c>
      <c r="I1470" t="s">
        <v>561</v>
      </c>
    </row>
    <row r="1471" spans="1:9" x14ac:dyDescent="0.25">
      <c r="A1471">
        <v>1803</v>
      </c>
      <c r="B1471">
        <f>A1471+1</f>
        <v>1804</v>
      </c>
      <c r="C1471" t="s">
        <v>510</v>
      </c>
      <c r="D1471" t="s">
        <v>26</v>
      </c>
      <c r="E1471" s="208" t="s">
        <v>332</v>
      </c>
      <c r="F1471" t="s">
        <v>15</v>
      </c>
      <c r="G1471" s="18">
        <v>288</v>
      </c>
      <c r="H1471" s="151" t="s">
        <v>563</v>
      </c>
      <c r="I1471" t="s">
        <v>561</v>
      </c>
    </row>
    <row r="1472" spans="1:9" x14ac:dyDescent="0.25">
      <c r="A1472">
        <v>1803</v>
      </c>
      <c r="B1472">
        <f>A1472+1</f>
        <v>1804</v>
      </c>
      <c r="C1472" t="s">
        <v>510</v>
      </c>
      <c r="D1472" t="s">
        <v>26</v>
      </c>
      <c r="E1472" s="208" t="s">
        <v>333</v>
      </c>
      <c r="F1472" t="s">
        <v>15</v>
      </c>
      <c r="G1472" s="18">
        <v>2107</v>
      </c>
      <c r="H1472" s="151" t="s">
        <v>563</v>
      </c>
      <c r="I1472" t="s">
        <v>561</v>
      </c>
    </row>
    <row r="1473" spans="1:9" x14ac:dyDescent="0.25">
      <c r="A1473">
        <v>1803</v>
      </c>
      <c r="B1473">
        <f>A1473+1</f>
        <v>1804</v>
      </c>
      <c r="C1473" t="s">
        <v>510</v>
      </c>
      <c r="D1473" t="s">
        <v>26</v>
      </c>
      <c r="E1473" s="208" t="s">
        <v>567</v>
      </c>
      <c r="F1473" t="s">
        <v>3</v>
      </c>
      <c r="G1473" s="18">
        <v>7372</v>
      </c>
      <c r="H1473" t="s">
        <v>24</v>
      </c>
      <c r="I1473" t="s">
        <v>16</v>
      </c>
    </row>
    <row r="1474" spans="1:9" x14ac:dyDescent="0.25">
      <c r="A1474">
        <v>1803</v>
      </c>
      <c r="B1474">
        <f>A1474+1</f>
        <v>1804</v>
      </c>
      <c r="C1474" t="s">
        <v>510</v>
      </c>
      <c r="D1474" t="s">
        <v>26</v>
      </c>
      <c r="E1474" s="208" t="s">
        <v>567</v>
      </c>
      <c r="F1474" t="s">
        <v>4</v>
      </c>
      <c r="G1474" s="18">
        <v>8610</v>
      </c>
      <c r="H1474" t="s">
        <v>23</v>
      </c>
      <c r="I1474" t="s">
        <v>16</v>
      </c>
    </row>
    <row r="1475" spans="1:9" x14ac:dyDescent="0.25">
      <c r="A1475">
        <v>1803</v>
      </c>
      <c r="B1475">
        <f>A1475+1</f>
        <v>1804</v>
      </c>
      <c r="C1475" t="s">
        <v>510</v>
      </c>
      <c r="D1475" t="s">
        <v>26</v>
      </c>
      <c r="E1475" s="208" t="s">
        <v>567</v>
      </c>
      <c r="F1475" t="s">
        <v>7</v>
      </c>
      <c r="G1475" s="18">
        <v>15982</v>
      </c>
      <c r="H1475" s="151" t="s">
        <v>563</v>
      </c>
      <c r="I1475" t="s">
        <v>16</v>
      </c>
    </row>
    <row r="1476" spans="1:9" x14ac:dyDescent="0.25">
      <c r="A1476">
        <v>1803</v>
      </c>
      <c r="B1476">
        <f>A1476+1</f>
        <v>1804</v>
      </c>
      <c r="C1476" t="s">
        <v>510</v>
      </c>
      <c r="D1476" t="s">
        <v>26</v>
      </c>
      <c r="E1476" s="208" t="s">
        <v>567</v>
      </c>
      <c r="F1476" t="s">
        <v>10</v>
      </c>
      <c r="G1476" s="18">
        <v>6426</v>
      </c>
      <c r="H1476" t="s">
        <v>24</v>
      </c>
      <c r="I1476" t="s">
        <v>17</v>
      </c>
    </row>
    <row r="1477" spans="1:9" x14ac:dyDescent="0.25">
      <c r="A1477">
        <v>1803</v>
      </c>
      <c r="B1477">
        <f>A1477+1</f>
        <v>1804</v>
      </c>
      <c r="C1477" t="s">
        <v>510</v>
      </c>
      <c r="D1477" t="s">
        <v>26</v>
      </c>
      <c r="E1477" s="208" t="s">
        <v>567</v>
      </c>
      <c r="F1477" t="s">
        <v>11</v>
      </c>
      <c r="G1477" s="18">
        <v>7984</v>
      </c>
      <c r="H1477" t="s">
        <v>23</v>
      </c>
      <c r="I1477" t="s">
        <v>17</v>
      </c>
    </row>
    <row r="1478" spans="1:9" x14ac:dyDescent="0.25">
      <c r="A1478">
        <v>1803</v>
      </c>
      <c r="B1478">
        <f>A1478+1</f>
        <v>1804</v>
      </c>
      <c r="C1478" t="s">
        <v>510</v>
      </c>
      <c r="D1478" t="s">
        <v>26</v>
      </c>
      <c r="E1478" s="208" t="s">
        <v>567</v>
      </c>
      <c r="F1478" t="s">
        <v>14</v>
      </c>
      <c r="G1478" s="18">
        <v>14410</v>
      </c>
      <c r="H1478" s="151" t="s">
        <v>563</v>
      </c>
      <c r="I1478" t="s">
        <v>17</v>
      </c>
    </row>
    <row r="1479" spans="1:9" x14ac:dyDescent="0.25">
      <c r="A1479">
        <v>1803</v>
      </c>
      <c r="B1479">
        <f>A1479+1</f>
        <v>1804</v>
      </c>
      <c r="C1479" t="s">
        <v>510</v>
      </c>
      <c r="D1479" t="s">
        <v>26</v>
      </c>
      <c r="E1479" s="208" t="s">
        <v>567</v>
      </c>
      <c r="F1479" t="s">
        <v>15</v>
      </c>
      <c r="G1479" s="18">
        <v>30392</v>
      </c>
      <c r="H1479" s="151" t="s">
        <v>563</v>
      </c>
      <c r="I1479" t="s">
        <v>561</v>
      </c>
    </row>
    <row r="1480" spans="1:9" x14ac:dyDescent="0.25">
      <c r="A1480">
        <v>1803</v>
      </c>
      <c r="B1480">
        <f>A1480+1</f>
        <v>1804</v>
      </c>
      <c r="C1480" t="s">
        <v>510</v>
      </c>
      <c r="D1480" t="s">
        <v>26</v>
      </c>
      <c r="E1480" s="208" t="s">
        <v>572</v>
      </c>
      <c r="F1480" t="s">
        <v>3</v>
      </c>
      <c r="G1480" s="18">
        <v>275</v>
      </c>
      <c r="H1480" t="s">
        <v>24</v>
      </c>
      <c r="I1480" t="s">
        <v>16</v>
      </c>
    </row>
    <row r="1481" spans="1:9" x14ac:dyDescent="0.25">
      <c r="A1481">
        <v>1803</v>
      </c>
      <c r="B1481">
        <f>A1481+1</f>
        <v>1804</v>
      </c>
      <c r="C1481" t="s">
        <v>510</v>
      </c>
      <c r="D1481" t="s">
        <v>26</v>
      </c>
      <c r="E1481" s="208" t="s">
        <v>572</v>
      </c>
      <c r="F1481" t="s">
        <v>4</v>
      </c>
      <c r="G1481" s="18">
        <v>2145</v>
      </c>
      <c r="H1481" t="s">
        <v>23</v>
      </c>
      <c r="I1481" t="s">
        <v>16</v>
      </c>
    </row>
    <row r="1482" spans="1:9" x14ac:dyDescent="0.25">
      <c r="A1482">
        <v>1803</v>
      </c>
      <c r="B1482">
        <f>A1482+1</f>
        <v>1804</v>
      </c>
      <c r="C1482" t="s">
        <v>510</v>
      </c>
      <c r="D1482" t="s">
        <v>26</v>
      </c>
      <c r="E1482" s="208" t="s">
        <v>572</v>
      </c>
      <c r="F1482" t="s">
        <v>7</v>
      </c>
      <c r="G1482" s="18">
        <v>2420</v>
      </c>
      <c r="H1482" s="151" t="s">
        <v>563</v>
      </c>
      <c r="I1482" t="s">
        <v>16</v>
      </c>
    </row>
    <row r="1483" spans="1:9" x14ac:dyDescent="0.25">
      <c r="A1483">
        <v>1803</v>
      </c>
      <c r="B1483">
        <f>A1483+1</f>
        <v>1804</v>
      </c>
      <c r="C1483" t="s">
        <v>510</v>
      </c>
      <c r="D1483" t="s">
        <v>26</v>
      </c>
      <c r="E1483" s="208" t="s">
        <v>572</v>
      </c>
      <c r="F1483" t="s">
        <v>10</v>
      </c>
      <c r="G1483" s="18">
        <v>93</v>
      </c>
      <c r="H1483" t="s">
        <v>24</v>
      </c>
      <c r="I1483" t="s">
        <v>17</v>
      </c>
    </row>
    <row r="1484" spans="1:9" x14ac:dyDescent="0.25">
      <c r="A1484">
        <v>1803</v>
      </c>
      <c r="B1484">
        <f>A1484+1</f>
        <v>1804</v>
      </c>
      <c r="C1484" t="s">
        <v>510</v>
      </c>
      <c r="D1484" t="s">
        <v>26</v>
      </c>
      <c r="E1484" s="208" t="s">
        <v>572</v>
      </c>
      <c r="F1484" t="s">
        <v>11</v>
      </c>
      <c r="G1484" s="18">
        <v>1163</v>
      </c>
      <c r="H1484" t="s">
        <v>23</v>
      </c>
      <c r="I1484" t="s">
        <v>17</v>
      </c>
    </row>
    <row r="1485" spans="1:9" x14ac:dyDescent="0.25">
      <c r="A1485">
        <v>1803</v>
      </c>
      <c r="B1485">
        <f>A1485+1</f>
        <v>1804</v>
      </c>
      <c r="C1485" t="s">
        <v>510</v>
      </c>
      <c r="D1485" t="s">
        <v>26</v>
      </c>
      <c r="E1485" s="208" t="s">
        <v>572</v>
      </c>
      <c r="F1485" t="s">
        <v>14</v>
      </c>
      <c r="G1485" s="18">
        <v>1256</v>
      </c>
      <c r="H1485" s="151" t="s">
        <v>563</v>
      </c>
      <c r="I1485" t="s">
        <v>17</v>
      </c>
    </row>
    <row r="1486" spans="1:9" x14ac:dyDescent="0.25">
      <c r="A1486">
        <v>1803</v>
      </c>
      <c r="B1486">
        <f>A1486+1</f>
        <v>1804</v>
      </c>
      <c r="C1486" t="s">
        <v>510</v>
      </c>
      <c r="D1486" t="s">
        <v>26</v>
      </c>
      <c r="E1486" s="208" t="s">
        <v>572</v>
      </c>
      <c r="F1486" t="s">
        <v>15</v>
      </c>
      <c r="G1486" s="18">
        <v>3676</v>
      </c>
      <c r="H1486" s="151" t="s">
        <v>563</v>
      </c>
      <c r="I1486" t="s">
        <v>561</v>
      </c>
    </row>
    <row r="1487" spans="1:9" x14ac:dyDescent="0.25">
      <c r="A1487">
        <v>1803</v>
      </c>
      <c r="B1487">
        <f>A1487+1</f>
        <v>1804</v>
      </c>
      <c r="C1487" t="s">
        <v>510</v>
      </c>
      <c r="D1487" t="s">
        <v>26</v>
      </c>
      <c r="E1487" s="208" t="s">
        <v>570</v>
      </c>
      <c r="F1487" t="s">
        <v>3</v>
      </c>
      <c r="G1487" s="18">
        <v>1256</v>
      </c>
      <c r="H1487" t="s">
        <v>24</v>
      </c>
      <c r="I1487" t="s">
        <v>16</v>
      </c>
    </row>
    <row r="1488" spans="1:9" x14ac:dyDescent="0.25">
      <c r="A1488">
        <v>1803</v>
      </c>
      <c r="B1488">
        <f>A1488+1</f>
        <v>1804</v>
      </c>
      <c r="C1488" t="s">
        <v>510</v>
      </c>
      <c r="D1488" t="s">
        <v>26</v>
      </c>
      <c r="E1488" s="208" t="s">
        <v>570</v>
      </c>
      <c r="F1488" t="s">
        <v>4</v>
      </c>
      <c r="G1488" s="18">
        <v>1000</v>
      </c>
      <c r="H1488" t="s">
        <v>23</v>
      </c>
      <c r="I1488" t="s">
        <v>16</v>
      </c>
    </row>
    <row r="1489" spans="1:9" x14ac:dyDescent="0.25">
      <c r="A1489">
        <v>1803</v>
      </c>
      <c r="B1489">
        <f>A1489+1</f>
        <v>1804</v>
      </c>
      <c r="C1489" t="s">
        <v>510</v>
      </c>
      <c r="D1489" t="s">
        <v>26</v>
      </c>
      <c r="E1489" s="208" t="s">
        <v>570</v>
      </c>
      <c r="F1489" t="s">
        <v>7</v>
      </c>
      <c r="G1489" s="18">
        <v>2256</v>
      </c>
      <c r="H1489" s="151" t="s">
        <v>563</v>
      </c>
      <c r="I1489" t="s">
        <v>16</v>
      </c>
    </row>
    <row r="1490" spans="1:9" x14ac:dyDescent="0.25">
      <c r="A1490">
        <v>1803</v>
      </c>
      <c r="B1490">
        <f>A1490+1</f>
        <v>1804</v>
      </c>
      <c r="C1490" t="s">
        <v>510</v>
      </c>
      <c r="D1490" t="s">
        <v>26</v>
      </c>
      <c r="E1490" s="208" t="s">
        <v>570</v>
      </c>
      <c r="F1490" t="s">
        <v>10</v>
      </c>
      <c r="G1490" s="18">
        <v>704</v>
      </c>
      <c r="H1490" t="s">
        <v>24</v>
      </c>
      <c r="I1490" t="s">
        <v>17</v>
      </c>
    </row>
    <row r="1491" spans="1:9" x14ac:dyDescent="0.25">
      <c r="A1491">
        <v>1803</v>
      </c>
      <c r="B1491">
        <f>A1491+1</f>
        <v>1804</v>
      </c>
      <c r="C1491" t="s">
        <v>510</v>
      </c>
      <c r="D1491" t="s">
        <v>26</v>
      </c>
      <c r="E1491" s="208" t="s">
        <v>570</v>
      </c>
      <c r="F1491" t="s">
        <v>11</v>
      </c>
      <c r="G1491" s="18">
        <v>1536</v>
      </c>
      <c r="H1491" t="s">
        <v>23</v>
      </c>
      <c r="I1491" t="s">
        <v>17</v>
      </c>
    </row>
    <row r="1492" spans="1:9" x14ac:dyDescent="0.25">
      <c r="A1492">
        <v>1803</v>
      </c>
      <c r="B1492">
        <f>A1492+1</f>
        <v>1804</v>
      </c>
      <c r="C1492" t="s">
        <v>510</v>
      </c>
      <c r="D1492" t="s">
        <v>26</v>
      </c>
      <c r="E1492" s="208" t="s">
        <v>570</v>
      </c>
      <c r="F1492" t="s">
        <v>14</v>
      </c>
      <c r="G1492" s="18">
        <v>2240</v>
      </c>
      <c r="H1492" s="151" t="s">
        <v>563</v>
      </c>
      <c r="I1492" t="s">
        <v>17</v>
      </c>
    </row>
    <row r="1493" spans="1:9" x14ac:dyDescent="0.25">
      <c r="A1493">
        <v>1803</v>
      </c>
      <c r="B1493">
        <f>A1493+1</f>
        <v>1804</v>
      </c>
      <c r="C1493" t="s">
        <v>510</v>
      </c>
      <c r="D1493" t="s">
        <v>26</v>
      </c>
      <c r="E1493" s="208" t="s">
        <v>570</v>
      </c>
      <c r="F1493" t="s">
        <v>15</v>
      </c>
      <c r="G1493" s="18">
        <v>4496</v>
      </c>
      <c r="H1493" s="151" t="s">
        <v>563</v>
      </c>
      <c r="I1493" t="s">
        <v>561</v>
      </c>
    </row>
    <row r="1494" spans="1:9" x14ac:dyDescent="0.25">
      <c r="A1494">
        <v>1803</v>
      </c>
      <c r="B1494">
        <f>A1494+1</f>
        <v>1804</v>
      </c>
      <c r="C1494" t="s">
        <v>510</v>
      </c>
      <c r="D1494" t="s">
        <v>26</v>
      </c>
      <c r="E1494" s="208" t="s">
        <v>569</v>
      </c>
      <c r="F1494" t="s">
        <v>3</v>
      </c>
      <c r="G1494" s="18">
        <v>221</v>
      </c>
      <c r="H1494" t="s">
        <v>24</v>
      </c>
      <c r="I1494" t="s">
        <v>16</v>
      </c>
    </row>
    <row r="1495" spans="1:9" x14ac:dyDescent="0.25">
      <c r="A1495">
        <v>1803</v>
      </c>
      <c r="B1495">
        <f>A1495+1</f>
        <v>1804</v>
      </c>
      <c r="C1495" t="s">
        <v>510</v>
      </c>
      <c r="D1495" t="s">
        <v>26</v>
      </c>
      <c r="E1495" s="208" t="s">
        <v>569</v>
      </c>
      <c r="F1495" t="s">
        <v>4</v>
      </c>
      <c r="G1495" s="18">
        <v>286</v>
      </c>
      <c r="H1495" t="s">
        <v>23</v>
      </c>
      <c r="I1495" t="s">
        <v>16</v>
      </c>
    </row>
    <row r="1496" spans="1:9" x14ac:dyDescent="0.25">
      <c r="A1496">
        <v>1803</v>
      </c>
      <c r="B1496">
        <f>A1496+1</f>
        <v>1804</v>
      </c>
      <c r="C1496" t="s">
        <v>510</v>
      </c>
      <c r="D1496" t="s">
        <v>26</v>
      </c>
      <c r="E1496" s="208" t="s">
        <v>569</v>
      </c>
      <c r="F1496" t="s">
        <v>7</v>
      </c>
      <c r="G1496" s="18">
        <v>507</v>
      </c>
      <c r="H1496" s="151" t="s">
        <v>563</v>
      </c>
      <c r="I1496" t="s">
        <v>16</v>
      </c>
    </row>
    <row r="1497" spans="1:9" x14ac:dyDescent="0.25">
      <c r="A1497">
        <v>1803</v>
      </c>
      <c r="B1497">
        <f>A1497+1</f>
        <v>1804</v>
      </c>
      <c r="C1497" t="s">
        <v>510</v>
      </c>
      <c r="D1497" t="s">
        <v>26</v>
      </c>
      <c r="E1497" s="208" t="s">
        <v>569</v>
      </c>
      <c r="F1497" t="s">
        <v>10</v>
      </c>
      <c r="G1497" s="18">
        <v>100</v>
      </c>
      <c r="H1497" t="s">
        <v>24</v>
      </c>
      <c r="I1497" t="s">
        <v>17</v>
      </c>
    </row>
    <row r="1498" spans="1:9" x14ac:dyDescent="0.25">
      <c r="A1498">
        <v>1803</v>
      </c>
      <c r="B1498">
        <f>A1498+1</f>
        <v>1804</v>
      </c>
      <c r="C1498" t="s">
        <v>510</v>
      </c>
      <c r="D1498" t="s">
        <v>26</v>
      </c>
      <c r="E1498" s="208" t="s">
        <v>569</v>
      </c>
      <c r="F1498" t="s">
        <v>11</v>
      </c>
      <c r="G1498" s="18">
        <v>258</v>
      </c>
      <c r="H1498" t="s">
        <v>23</v>
      </c>
      <c r="I1498" t="s">
        <v>17</v>
      </c>
    </row>
    <row r="1499" spans="1:9" x14ac:dyDescent="0.25">
      <c r="A1499">
        <v>1803</v>
      </c>
      <c r="B1499">
        <f>A1499+1</f>
        <v>1804</v>
      </c>
      <c r="C1499" t="s">
        <v>510</v>
      </c>
      <c r="D1499" t="s">
        <v>26</v>
      </c>
      <c r="E1499" s="208" t="s">
        <v>569</v>
      </c>
      <c r="F1499" t="s">
        <v>14</v>
      </c>
      <c r="G1499" s="18">
        <v>358</v>
      </c>
      <c r="H1499" s="151" t="s">
        <v>563</v>
      </c>
      <c r="I1499" t="s">
        <v>17</v>
      </c>
    </row>
    <row r="1500" spans="1:9" x14ac:dyDescent="0.25">
      <c r="A1500">
        <v>1803</v>
      </c>
      <c r="B1500">
        <f>A1500+1</f>
        <v>1804</v>
      </c>
      <c r="C1500" t="s">
        <v>510</v>
      </c>
      <c r="D1500" t="s">
        <v>26</v>
      </c>
      <c r="E1500" s="208" t="s">
        <v>569</v>
      </c>
      <c r="F1500" t="s">
        <v>15</v>
      </c>
      <c r="G1500" s="18">
        <v>865</v>
      </c>
      <c r="H1500" s="151" t="s">
        <v>563</v>
      </c>
      <c r="I1500" t="s">
        <v>561</v>
      </c>
    </row>
    <row r="1501" spans="1:9" x14ac:dyDescent="0.25">
      <c r="A1501">
        <v>1803</v>
      </c>
      <c r="B1501">
        <f>A1501+1</f>
        <v>1804</v>
      </c>
      <c r="C1501" t="s">
        <v>510</v>
      </c>
      <c r="D1501" t="s">
        <v>26</v>
      </c>
      <c r="E1501" s="208" t="s">
        <v>573</v>
      </c>
      <c r="F1501" t="s">
        <v>4</v>
      </c>
      <c r="G1501" s="18">
        <v>267</v>
      </c>
      <c r="H1501" t="s">
        <v>23</v>
      </c>
      <c r="I1501" t="s">
        <v>16</v>
      </c>
    </row>
    <row r="1502" spans="1:9" x14ac:dyDescent="0.25">
      <c r="A1502">
        <v>1803</v>
      </c>
      <c r="B1502">
        <f>A1502+1</f>
        <v>1804</v>
      </c>
      <c r="C1502" t="s">
        <v>510</v>
      </c>
      <c r="D1502" t="s">
        <v>26</v>
      </c>
      <c r="E1502" s="208" t="s">
        <v>573</v>
      </c>
      <c r="F1502" t="s">
        <v>7</v>
      </c>
      <c r="G1502" s="18">
        <v>267</v>
      </c>
      <c r="H1502" s="151" t="s">
        <v>563</v>
      </c>
      <c r="I1502" t="s">
        <v>16</v>
      </c>
    </row>
    <row r="1503" spans="1:9" x14ac:dyDescent="0.25">
      <c r="A1503">
        <v>1803</v>
      </c>
      <c r="B1503">
        <f>A1503+1</f>
        <v>1804</v>
      </c>
      <c r="C1503" t="s">
        <v>510</v>
      </c>
      <c r="D1503" t="s">
        <v>26</v>
      </c>
      <c r="E1503" s="208" t="s">
        <v>573</v>
      </c>
      <c r="F1503" t="s">
        <v>14</v>
      </c>
      <c r="G1503" s="18">
        <v>0</v>
      </c>
      <c r="H1503" s="151" t="s">
        <v>563</v>
      </c>
      <c r="I1503" t="s">
        <v>17</v>
      </c>
    </row>
    <row r="1504" spans="1:9" x14ac:dyDescent="0.25">
      <c r="A1504">
        <v>1803</v>
      </c>
      <c r="B1504">
        <f>A1504+1</f>
        <v>1804</v>
      </c>
      <c r="C1504" t="s">
        <v>510</v>
      </c>
      <c r="D1504" t="s">
        <v>26</v>
      </c>
      <c r="E1504" s="208" t="s">
        <v>573</v>
      </c>
      <c r="F1504" t="s">
        <v>15</v>
      </c>
      <c r="G1504" s="18">
        <v>267</v>
      </c>
      <c r="H1504" s="151" t="s">
        <v>563</v>
      </c>
      <c r="I1504" t="s">
        <v>561</v>
      </c>
    </row>
    <row r="1505" spans="1:9" x14ac:dyDescent="0.25">
      <c r="A1505">
        <v>1804</v>
      </c>
      <c r="B1505">
        <f>A1505+1</f>
        <v>1805</v>
      </c>
      <c r="C1505" t="s">
        <v>512</v>
      </c>
      <c r="D1505" t="s">
        <v>27</v>
      </c>
      <c r="E1505" s="208" t="s">
        <v>155</v>
      </c>
      <c r="F1505" t="s">
        <v>3</v>
      </c>
      <c r="G1505" s="18">
        <v>211</v>
      </c>
      <c r="H1505" t="s">
        <v>16</v>
      </c>
      <c r="I1505" t="s">
        <v>24</v>
      </c>
    </row>
    <row r="1506" spans="1:9" x14ac:dyDescent="0.25">
      <c r="A1506">
        <v>1804</v>
      </c>
      <c r="B1506">
        <f>A1506+1</f>
        <v>1805</v>
      </c>
      <c r="C1506" t="s">
        <v>512</v>
      </c>
      <c r="D1506" t="s">
        <v>27</v>
      </c>
      <c r="E1506" s="208" t="s">
        <v>156</v>
      </c>
      <c r="F1506" t="s">
        <v>3</v>
      </c>
      <c r="G1506" s="18">
        <v>27</v>
      </c>
      <c r="H1506" t="s">
        <v>16</v>
      </c>
      <c r="I1506" t="s">
        <v>24</v>
      </c>
    </row>
    <row r="1507" spans="1:9" x14ac:dyDescent="0.25">
      <c r="A1507">
        <v>1804</v>
      </c>
      <c r="B1507">
        <f>A1507+1</f>
        <v>1805</v>
      </c>
      <c r="C1507" t="s">
        <v>512</v>
      </c>
      <c r="D1507" t="s">
        <v>27</v>
      </c>
      <c r="E1507" s="208" t="s">
        <v>154</v>
      </c>
      <c r="F1507" t="s">
        <v>3</v>
      </c>
      <c r="G1507" s="18">
        <v>1237</v>
      </c>
      <c r="H1507" t="s">
        <v>16</v>
      </c>
      <c r="I1507" t="s">
        <v>24</v>
      </c>
    </row>
    <row r="1508" spans="1:9" x14ac:dyDescent="0.25">
      <c r="A1508">
        <v>1804</v>
      </c>
      <c r="B1508">
        <f>A1508+1</f>
        <v>1805</v>
      </c>
      <c r="C1508" t="s">
        <v>512</v>
      </c>
      <c r="D1508" t="s">
        <v>27</v>
      </c>
      <c r="E1508" s="208" t="s">
        <v>150</v>
      </c>
      <c r="F1508" t="s">
        <v>3</v>
      </c>
      <c r="G1508" s="18">
        <v>3361</v>
      </c>
      <c r="H1508" t="s">
        <v>16</v>
      </c>
      <c r="I1508" t="s">
        <v>24</v>
      </c>
    </row>
    <row r="1509" spans="1:9" x14ac:dyDescent="0.25">
      <c r="A1509">
        <v>1804</v>
      </c>
      <c r="B1509">
        <f>A1509+1</f>
        <v>1805</v>
      </c>
      <c r="C1509" t="s">
        <v>512</v>
      </c>
      <c r="D1509" t="s">
        <v>27</v>
      </c>
      <c r="E1509" s="208" t="s">
        <v>148</v>
      </c>
      <c r="F1509" t="s">
        <v>3</v>
      </c>
      <c r="G1509" s="18">
        <v>293</v>
      </c>
      <c r="H1509" t="s">
        <v>16</v>
      </c>
      <c r="I1509" t="s">
        <v>24</v>
      </c>
    </row>
    <row r="1510" spans="1:9" x14ac:dyDescent="0.25">
      <c r="A1510">
        <v>1804</v>
      </c>
      <c r="B1510">
        <f>A1510+1</f>
        <v>1805</v>
      </c>
      <c r="C1510" t="s">
        <v>512</v>
      </c>
      <c r="D1510" t="s">
        <v>27</v>
      </c>
      <c r="E1510" s="208" t="s">
        <v>314</v>
      </c>
      <c r="F1510" t="s">
        <v>3</v>
      </c>
      <c r="G1510" s="18">
        <v>0</v>
      </c>
      <c r="H1510" t="s">
        <v>16</v>
      </c>
      <c r="I1510" t="s">
        <v>24</v>
      </c>
    </row>
    <row r="1511" spans="1:9" x14ac:dyDescent="0.25">
      <c r="A1511">
        <v>1804</v>
      </c>
      <c r="B1511">
        <f>A1511+1</f>
        <v>1805</v>
      </c>
      <c r="C1511" t="s">
        <v>512</v>
      </c>
      <c r="D1511" t="s">
        <v>27</v>
      </c>
      <c r="E1511" s="208" t="s">
        <v>149</v>
      </c>
      <c r="F1511" t="s">
        <v>3</v>
      </c>
      <c r="G1511" s="18">
        <v>0</v>
      </c>
      <c r="H1511" t="s">
        <v>16</v>
      </c>
      <c r="I1511" t="s">
        <v>24</v>
      </c>
    </row>
    <row r="1512" spans="1:9" x14ac:dyDescent="0.25">
      <c r="A1512">
        <v>1804</v>
      </c>
      <c r="B1512">
        <f>A1512+1</f>
        <v>1805</v>
      </c>
      <c r="C1512" t="s">
        <v>512</v>
      </c>
      <c r="D1512" t="s">
        <v>27</v>
      </c>
      <c r="E1512" s="208" t="s">
        <v>139</v>
      </c>
      <c r="F1512" t="s">
        <v>3</v>
      </c>
      <c r="G1512" s="18">
        <v>108</v>
      </c>
      <c r="H1512" t="s">
        <v>16</v>
      </c>
      <c r="I1512" t="s">
        <v>24</v>
      </c>
    </row>
    <row r="1513" spans="1:9" x14ac:dyDescent="0.25">
      <c r="A1513">
        <v>1804</v>
      </c>
      <c r="B1513">
        <f>A1513+1</f>
        <v>1805</v>
      </c>
      <c r="C1513" t="s">
        <v>512</v>
      </c>
      <c r="D1513" t="s">
        <v>27</v>
      </c>
      <c r="E1513" s="208" t="s">
        <v>130</v>
      </c>
      <c r="F1513" t="s">
        <v>3</v>
      </c>
      <c r="G1513" s="18">
        <v>0</v>
      </c>
      <c r="H1513" t="s">
        <v>16</v>
      </c>
      <c r="I1513" t="s">
        <v>24</v>
      </c>
    </row>
    <row r="1514" spans="1:9" x14ac:dyDescent="0.25">
      <c r="A1514">
        <v>1804</v>
      </c>
      <c r="B1514">
        <f>A1514+1</f>
        <v>1805</v>
      </c>
      <c r="C1514" t="s">
        <v>512</v>
      </c>
      <c r="D1514" t="s">
        <v>27</v>
      </c>
      <c r="E1514" s="208" t="s">
        <v>132</v>
      </c>
      <c r="F1514" t="s">
        <v>3</v>
      </c>
      <c r="G1514" s="18">
        <v>0</v>
      </c>
      <c r="H1514" t="s">
        <v>16</v>
      </c>
      <c r="I1514" t="s">
        <v>24</v>
      </c>
    </row>
    <row r="1515" spans="1:9" x14ac:dyDescent="0.25">
      <c r="A1515">
        <v>1804</v>
      </c>
      <c r="B1515">
        <f>A1515+1</f>
        <v>1805</v>
      </c>
      <c r="C1515" t="s">
        <v>512</v>
      </c>
      <c r="D1515" t="s">
        <v>27</v>
      </c>
      <c r="E1515" s="208" t="s">
        <v>142</v>
      </c>
      <c r="F1515" t="s">
        <v>3</v>
      </c>
      <c r="G1515" s="18">
        <v>2</v>
      </c>
      <c r="H1515" t="s">
        <v>16</v>
      </c>
      <c r="I1515" t="s">
        <v>24</v>
      </c>
    </row>
    <row r="1516" spans="1:9" x14ac:dyDescent="0.25">
      <c r="A1516">
        <v>1804</v>
      </c>
      <c r="B1516">
        <f>A1516+1</f>
        <v>1805</v>
      </c>
      <c r="C1516" t="s">
        <v>512</v>
      </c>
      <c r="D1516" t="s">
        <v>27</v>
      </c>
      <c r="E1516" s="208" t="s">
        <v>124</v>
      </c>
      <c r="F1516" t="s">
        <v>3</v>
      </c>
      <c r="G1516" s="18">
        <v>94893</v>
      </c>
      <c r="H1516" t="s">
        <v>16</v>
      </c>
      <c r="I1516" t="s">
        <v>24</v>
      </c>
    </row>
    <row r="1517" spans="1:9" x14ac:dyDescent="0.25">
      <c r="A1517">
        <v>1804</v>
      </c>
      <c r="B1517">
        <f>A1517+1</f>
        <v>1805</v>
      </c>
      <c r="C1517" t="s">
        <v>512</v>
      </c>
      <c r="D1517" t="s">
        <v>26</v>
      </c>
      <c r="E1517" s="208" t="s">
        <v>62</v>
      </c>
      <c r="F1517" t="s">
        <v>3</v>
      </c>
      <c r="G1517" s="18">
        <v>58</v>
      </c>
      <c r="H1517" t="s">
        <v>24</v>
      </c>
      <c r="I1517" t="s">
        <v>16</v>
      </c>
    </row>
    <row r="1518" spans="1:9" x14ac:dyDescent="0.25">
      <c r="A1518">
        <v>1804</v>
      </c>
      <c r="B1518">
        <f>A1518+1</f>
        <v>1805</v>
      </c>
      <c r="C1518" t="s">
        <v>512</v>
      </c>
      <c r="D1518" t="s">
        <v>26</v>
      </c>
      <c r="E1518" s="208" t="s">
        <v>36</v>
      </c>
      <c r="F1518" t="s">
        <v>3</v>
      </c>
      <c r="G1518" s="18">
        <v>385</v>
      </c>
      <c r="H1518" t="s">
        <v>24</v>
      </c>
      <c r="I1518" t="s">
        <v>16</v>
      </c>
    </row>
    <row r="1519" spans="1:9" x14ac:dyDescent="0.25">
      <c r="A1519">
        <v>1804</v>
      </c>
      <c r="B1519">
        <f>A1519+1</f>
        <v>1805</v>
      </c>
      <c r="C1519" t="s">
        <v>512</v>
      </c>
      <c r="D1519" t="s">
        <v>26</v>
      </c>
      <c r="E1519" s="208" t="s">
        <v>28</v>
      </c>
      <c r="F1519" t="s">
        <v>3</v>
      </c>
      <c r="G1519" s="18">
        <v>171</v>
      </c>
      <c r="H1519" t="s">
        <v>24</v>
      </c>
      <c r="I1519" t="s">
        <v>16</v>
      </c>
    </row>
    <row r="1520" spans="1:9" x14ac:dyDescent="0.25">
      <c r="A1520">
        <v>1804</v>
      </c>
      <c r="B1520">
        <f>A1520+1</f>
        <v>1805</v>
      </c>
      <c r="C1520" t="s">
        <v>512</v>
      </c>
      <c r="D1520" t="s">
        <v>26</v>
      </c>
      <c r="E1520" s="208" t="s">
        <v>89</v>
      </c>
      <c r="F1520" t="s">
        <v>3</v>
      </c>
      <c r="G1520" s="18">
        <v>101</v>
      </c>
      <c r="H1520" t="s">
        <v>24</v>
      </c>
      <c r="I1520" t="s">
        <v>16</v>
      </c>
    </row>
    <row r="1521" spans="1:9" x14ac:dyDescent="0.25">
      <c r="A1521">
        <v>1804</v>
      </c>
      <c r="B1521">
        <f>A1521+1</f>
        <v>1805</v>
      </c>
      <c r="C1521" t="s">
        <v>512</v>
      </c>
      <c r="D1521" t="s">
        <v>26</v>
      </c>
      <c r="E1521" s="208" t="s">
        <v>45</v>
      </c>
      <c r="F1521" t="s">
        <v>3</v>
      </c>
      <c r="G1521" s="18">
        <v>24</v>
      </c>
      <c r="H1521" t="s">
        <v>24</v>
      </c>
      <c r="I1521" t="s">
        <v>16</v>
      </c>
    </row>
    <row r="1522" spans="1:9" x14ac:dyDescent="0.25">
      <c r="A1522">
        <v>1804</v>
      </c>
      <c r="B1522">
        <f>A1522+1</f>
        <v>1805</v>
      </c>
      <c r="C1522" t="s">
        <v>512</v>
      </c>
      <c r="D1522" t="s">
        <v>26</v>
      </c>
      <c r="E1522" s="208" t="s">
        <v>53</v>
      </c>
      <c r="F1522" t="s">
        <v>3</v>
      </c>
      <c r="G1522" s="18">
        <v>1346</v>
      </c>
      <c r="H1522" t="s">
        <v>24</v>
      </c>
      <c r="I1522" t="s">
        <v>16</v>
      </c>
    </row>
    <row r="1523" spans="1:9" x14ac:dyDescent="0.25">
      <c r="A1523">
        <v>1804</v>
      </c>
      <c r="B1523">
        <f>A1523+1</f>
        <v>1805</v>
      </c>
      <c r="C1523" t="s">
        <v>512</v>
      </c>
      <c r="D1523" t="s">
        <v>26</v>
      </c>
      <c r="E1523" s="208" t="s">
        <v>75</v>
      </c>
      <c r="F1523" t="s">
        <v>3</v>
      </c>
      <c r="G1523" s="18">
        <v>270124</v>
      </c>
      <c r="H1523" t="s">
        <v>24</v>
      </c>
      <c r="I1523" t="s">
        <v>16</v>
      </c>
    </row>
    <row r="1524" spans="1:9" x14ac:dyDescent="0.25">
      <c r="A1524">
        <v>1804</v>
      </c>
      <c r="B1524">
        <f>A1524+1</f>
        <v>1805</v>
      </c>
      <c r="C1524" t="s">
        <v>512</v>
      </c>
      <c r="D1524" t="s">
        <v>26</v>
      </c>
      <c r="E1524" s="208" t="s">
        <v>107</v>
      </c>
      <c r="F1524" t="s">
        <v>3</v>
      </c>
      <c r="G1524" s="18">
        <v>90718</v>
      </c>
      <c r="H1524" t="s">
        <v>24</v>
      </c>
      <c r="I1524" t="s">
        <v>16</v>
      </c>
    </row>
    <row r="1525" spans="1:9" x14ac:dyDescent="0.25">
      <c r="A1525">
        <v>1804</v>
      </c>
      <c r="B1525">
        <f>A1525+1</f>
        <v>1805</v>
      </c>
      <c r="C1525" t="s">
        <v>512</v>
      </c>
      <c r="D1525" t="s">
        <v>26</v>
      </c>
      <c r="E1525" s="208" t="s">
        <v>101</v>
      </c>
      <c r="F1525" t="s">
        <v>3</v>
      </c>
      <c r="G1525" s="18">
        <v>13325</v>
      </c>
      <c r="H1525" t="s">
        <v>24</v>
      </c>
      <c r="I1525" t="s">
        <v>16</v>
      </c>
    </row>
    <row r="1526" spans="1:9" x14ac:dyDescent="0.25">
      <c r="A1526">
        <v>1804</v>
      </c>
      <c r="B1526">
        <f>A1526+1</f>
        <v>1805</v>
      </c>
      <c r="C1526" t="s">
        <v>512</v>
      </c>
      <c r="D1526" t="s">
        <v>26</v>
      </c>
      <c r="E1526" s="208" t="s">
        <v>330</v>
      </c>
      <c r="F1526" t="s">
        <v>6</v>
      </c>
      <c r="G1526" s="18">
        <v>1143</v>
      </c>
      <c r="H1526" t="s">
        <v>25</v>
      </c>
      <c r="I1526" t="s">
        <v>16</v>
      </c>
    </row>
    <row r="1527" spans="1:9" x14ac:dyDescent="0.25">
      <c r="A1527">
        <v>1804</v>
      </c>
      <c r="B1527">
        <f>A1527+1</f>
        <v>1805</v>
      </c>
      <c r="C1527" t="s">
        <v>512</v>
      </c>
      <c r="D1527" t="s">
        <v>26</v>
      </c>
      <c r="E1527" s="208" t="s">
        <v>331</v>
      </c>
      <c r="F1527" t="s">
        <v>6</v>
      </c>
      <c r="G1527" s="18">
        <v>1146</v>
      </c>
      <c r="H1527" t="s">
        <v>25</v>
      </c>
      <c r="I1527" t="s">
        <v>16</v>
      </c>
    </row>
    <row r="1528" spans="1:9" x14ac:dyDescent="0.25">
      <c r="A1528">
        <v>1804</v>
      </c>
      <c r="B1528">
        <f>A1528+1</f>
        <v>1805</v>
      </c>
      <c r="C1528" t="s">
        <v>512</v>
      </c>
      <c r="D1528" t="s">
        <v>26</v>
      </c>
      <c r="E1528" s="208" t="s">
        <v>332</v>
      </c>
      <c r="F1528" t="s">
        <v>6</v>
      </c>
      <c r="G1528" s="18">
        <v>476</v>
      </c>
      <c r="H1528" t="s">
        <v>25</v>
      </c>
      <c r="I1528" t="s">
        <v>16</v>
      </c>
    </row>
    <row r="1529" spans="1:9" x14ac:dyDescent="0.25">
      <c r="A1529">
        <v>1804</v>
      </c>
      <c r="B1529">
        <f>A1529+1</f>
        <v>1805</v>
      </c>
      <c r="C1529" t="s">
        <v>512</v>
      </c>
      <c r="D1529" t="s">
        <v>26</v>
      </c>
      <c r="E1529" s="208" t="s">
        <v>333</v>
      </c>
      <c r="F1529" t="s">
        <v>6</v>
      </c>
      <c r="G1529" s="18">
        <v>227</v>
      </c>
      <c r="H1529" t="s">
        <v>25</v>
      </c>
      <c r="I1529" t="s">
        <v>16</v>
      </c>
    </row>
    <row r="1530" spans="1:9" x14ac:dyDescent="0.25">
      <c r="A1530">
        <v>1804</v>
      </c>
      <c r="B1530">
        <f>A1530+1</f>
        <v>1805</v>
      </c>
      <c r="C1530" t="s">
        <v>512</v>
      </c>
      <c r="D1530" t="s">
        <v>27</v>
      </c>
      <c r="E1530" s="208" t="s">
        <v>155</v>
      </c>
      <c r="F1530" t="s">
        <v>0</v>
      </c>
      <c r="G1530" s="18">
        <v>53141</v>
      </c>
      <c r="H1530" t="s">
        <v>16</v>
      </c>
      <c r="I1530" t="s">
        <v>18</v>
      </c>
    </row>
    <row r="1531" spans="1:9" x14ac:dyDescent="0.25">
      <c r="A1531">
        <v>1804</v>
      </c>
      <c r="B1531">
        <f>A1531+1</f>
        <v>1805</v>
      </c>
      <c r="C1531" t="s">
        <v>512</v>
      </c>
      <c r="D1531" t="s">
        <v>27</v>
      </c>
      <c r="E1531" s="208" t="s">
        <v>156</v>
      </c>
      <c r="F1531" t="s">
        <v>0</v>
      </c>
      <c r="G1531" s="18">
        <v>5732</v>
      </c>
      <c r="H1531" t="s">
        <v>16</v>
      </c>
      <c r="I1531" t="s">
        <v>18</v>
      </c>
    </row>
    <row r="1532" spans="1:9" x14ac:dyDescent="0.25">
      <c r="A1532">
        <v>1804</v>
      </c>
      <c r="B1532">
        <f>A1532+1</f>
        <v>1805</v>
      </c>
      <c r="C1532" t="s">
        <v>512</v>
      </c>
      <c r="D1532" t="s">
        <v>27</v>
      </c>
      <c r="E1532" s="208" t="s">
        <v>154</v>
      </c>
      <c r="F1532" t="s">
        <v>0</v>
      </c>
      <c r="G1532" s="18">
        <v>464</v>
      </c>
      <c r="H1532" t="s">
        <v>16</v>
      </c>
      <c r="I1532" t="s">
        <v>18</v>
      </c>
    </row>
    <row r="1533" spans="1:9" x14ac:dyDescent="0.25">
      <c r="A1533">
        <v>1804</v>
      </c>
      <c r="B1533">
        <f>A1533+1</f>
        <v>1805</v>
      </c>
      <c r="C1533" t="s">
        <v>512</v>
      </c>
      <c r="D1533" t="s">
        <v>27</v>
      </c>
      <c r="E1533" s="208" t="s">
        <v>150</v>
      </c>
      <c r="F1533" t="s">
        <v>0</v>
      </c>
      <c r="G1533" s="18">
        <v>10721</v>
      </c>
      <c r="H1533" t="s">
        <v>16</v>
      </c>
      <c r="I1533" t="s">
        <v>18</v>
      </c>
    </row>
    <row r="1534" spans="1:9" x14ac:dyDescent="0.25">
      <c r="A1534">
        <v>1804</v>
      </c>
      <c r="B1534">
        <f>A1534+1</f>
        <v>1805</v>
      </c>
      <c r="C1534" t="s">
        <v>512</v>
      </c>
      <c r="D1534" t="s">
        <v>27</v>
      </c>
      <c r="E1534" s="208" t="s">
        <v>148</v>
      </c>
      <c r="F1534" t="s">
        <v>0</v>
      </c>
      <c r="G1534" s="18">
        <v>368</v>
      </c>
      <c r="H1534" t="s">
        <v>16</v>
      </c>
      <c r="I1534" t="s">
        <v>18</v>
      </c>
    </row>
    <row r="1535" spans="1:9" x14ac:dyDescent="0.25">
      <c r="A1535">
        <v>1804</v>
      </c>
      <c r="B1535">
        <f>A1535+1</f>
        <v>1805</v>
      </c>
      <c r="C1535" t="s">
        <v>512</v>
      </c>
      <c r="D1535" t="s">
        <v>27</v>
      </c>
      <c r="E1535" s="208" t="s">
        <v>314</v>
      </c>
      <c r="F1535" t="s">
        <v>0</v>
      </c>
      <c r="G1535" s="18">
        <v>0</v>
      </c>
      <c r="H1535" t="s">
        <v>16</v>
      </c>
      <c r="I1535" t="s">
        <v>18</v>
      </c>
    </row>
    <row r="1536" spans="1:9" x14ac:dyDescent="0.25">
      <c r="A1536">
        <v>1804</v>
      </c>
      <c r="B1536">
        <f>A1536+1</f>
        <v>1805</v>
      </c>
      <c r="C1536" t="s">
        <v>512</v>
      </c>
      <c r="D1536" t="s">
        <v>27</v>
      </c>
      <c r="E1536" s="208" t="s">
        <v>149</v>
      </c>
      <c r="F1536" t="s">
        <v>0</v>
      </c>
      <c r="G1536" s="18">
        <v>0</v>
      </c>
      <c r="H1536" t="s">
        <v>16</v>
      </c>
      <c r="I1536" t="s">
        <v>18</v>
      </c>
    </row>
    <row r="1537" spans="1:9" x14ac:dyDescent="0.25">
      <c r="A1537">
        <v>1804</v>
      </c>
      <c r="B1537">
        <f>A1537+1</f>
        <v>1805</v>
      </c>
      <c r="C1537" t="s">
        <v>512</v>
      </c>
      <c r="D1537" t="s">
        <v>27</v>
      </c>
      <c r="E1537" s="208" t="s">
        <v>139</v>
      </c>
      <c r="F1537" t="s">
        <v>0</v>
      </c>
      <c r="G1537" s="18">
        <v>0</v>
      </c>
      <c r="H1537" t="s">
        <v>16</v>
      </c>
      <c r="I1537" t="s">
        <v>18</v>
      </c>
    </row>
    <row r="1538" spans="1:9" x14ac:dyDescent="0.25">
      <c r="A1538">
        <v>1804</v>
      </c>
      <c r="B1538">
        <f>A1538+1</f>
        <v>1805</v>
      </c>
      <c r="C1538" t="s">
        <v>512</v>
      </c>
      <c r="D1538" t="s">
        <v>27</v>
      </c>
      <c r="E1538" s="208" t="s">
        <v>130</v>
      </c>
      <c r="F1538" t="s">
        <v>0</v>
      </c>
      <c r="G1538" s="18">
        <v>482</v>
      </c>
      <c r="H1538" t="s">
        <v>16</v>
      </c>
      <c r="I1538" t="s">
        <v>18</v>
      </c>
    </row>
    <row r="1539" spans="1:9" x14ac:dyDescent="0.25">
      <c r="A1539">
        <v>1804</v>
      </c>
      <c r="B1539">
        <f>A1539+1</f>
        <v>1805</v>
      </c>
      <c r="C1539" t="s">
        <v>512</v>
      </c>
      <c r="D1539" t="s">
        <v>27</v>
      </c>
      <c r="E1539" s="208" t="s">
        <v>132</v>
      </c>
      <c r="F1539" t="s">
        <v>0</v>
      </c>
      <c r="G1539" s="18">
        <v>182</v>
      </c>
      <c r="H1539" t="s">
        <v>16</v>
      </c>
      <c r="I1539" t="s">
        <v>18</v>
      </c>
    </row>
    <row r="1540" spans="1:9" x14ac:dyDescent="0.25">
      <c r="A1540">
        <v>1804</v>
      </c>
      <c r="B1540">
        <f>A1540+1</f>
        <v>1805</v>
      </c>
      <c r="C1540" t="s">
        <v>512</v>
      </c>
      <c r="D1540" t="s">
        <v>27</v>
      </c>
      <c r="E1540" s="208" t="s">
        <v>142</v>
      </c>
      <c r="F1540" t="s">
        <v>0</v>
      </c>
      <c r="G1540" s="18">
        <v>1970</v>
      </c>
      <c r="H1540" t="s">
        <v>16</v>
      </c>
      <c r="I1540" t="s">
        <v>18</v>
      </c>
    </row>
    <row r="1541" spans="1:9" x14ac:dyDescent="0.25">
      <c r="A1541">
        <v>1804</v>
      </c>
      <c r="B1541">
        <f>A1541+1</f>
        <v>1805</v>
      </c>
      <c r="C1541" t="s">
        <v>512</v>
      </c>
      <c r="D1541" t="s">
        <v>27</v>
      </c>
      <c r="E1541" s="208" t="s">
        <v>144</v>
      </c>
      <c r="F1541" t="s">
        <v>0</v>
      </c>
      <c r="G1541" s="18">
        <v>84</v>
      </c>
      <c r="H1541" t="s">
        <v>16</v>
      </c>
      <c r="I1541" t="s">
        <v>18</v>
      </c>
    </row>
    <row r="1542" spans="1:9" x14ac:dyDescent="0.25">
      <c r="A1542">
        <v>1804</v>
      </c>
      <c r="B1542">
        <f>A1542+1</f>
        <v>1805</v>
      </c>
      <c r="C1542" t="s">
        <v>512</v>
      </c>
      <c r="D1542" t="s">
        <v>27</v>
      </c>
      <c r="E1542" s="208" t="s">
        <v>124</v>
      </c>
      <c r="F1542" t="s">
        <v>0</v>
      </c>
      <c r="G1542" s="18">
        <v>16253333</v>
      </c>
      <c r="H1542" t="s">
        <v>16</v>
      </c>
      <c r="I1542" t="s">
        <v>18</v>
      </c>
    </row>
    <row r="1543" spans="1:9" x14ac:dyDescent="0.25">
      <c r="A1543">
        <v>1804</v>
      </c>
      <c r="B1543">
        <f>A1543+1</f>
        <v>1805</v>
      </c>
      <c r="C1543" t="s">
        <v>512</v>
      </c>
      <c r="D1543" t="s">
        <v>26</v>
      </c>
      <c r="E1543" s="208" t="s">
        <v>65</v>
      </c>
      <c r="F1543" t="s">
        <v>169</v>
      </c>
      <c r="G1543" s="18">
        <v>7208</v>
      </c>
      <c r="H1543" t="s">
        <v>160</v>
      </c>
      <c r="I1543" t="s">
        <v>16</v>
      </c>
    </row>
    <row r="1544" spans="1:9" x14ac:dyDescent="0.25">
      <c r="A1544">
        <v>1804</v>
      </c>
      <c r="B1544">
        <f>A1544+1</f>
        <v>1805</v>
      </c>
      <c r="C1544" t="s">
        <v>512</v>
      </c>
      <c r="D1544" t="s">
        <v>27</v>
      </c>
      <c r="E1544" s="208" t="s">
        <v>155</v>
      </c>
      <c r="F1544" t="s">
        <v>1</v>
      </c>
      <c r="G1544" s="18">
        <v>2970</v>
      </c>
      <c r="H1544" t="s">
        <v>16</v>
      </c>
      <c r="I1544" t="s">
        <v>21</v>
      </c>
    </row>
    <row r="1545" spans="1:9" x14ac:dyDescent="0.25">
      <c r="A1545">
        <v>1804</v>
      </c>
      <c r="B1545">
        <f>A1545+1</f>
        <v>1805</v>
      </c>
      <c r="C1545" t="s">
        <v>512</v>
      </c>
      <c r="D1545" t="s">
        <v>27</v>
      </c>
      <c r="E1545" s="208" t="s">
        <v>156</v>
      </c>
      <c r="F1545" t="s">
        <v>1</v>
      </c>
      <c r="G1545" s="18">
        <v>524</v>
      </c>
      <c r="H1545" t="s">
        <v>16</v>
      </c>
      <c r="I1545" t="s">
        <v>21</v>
      </c>
    </row>
    <row r="1546" spans="1:9" x14ac:dyDescent="0.25">
      <c r="A1546">
        <v>1804</v>
      </c>
      <c r="B1546">
        <f>A1546+1</f>
        <v>1805</v>
      </c>
      <c r="C1546" t="s">
        <v>512</v>
      </c>
      <c r="D1546" t="s">
        <v>27</v>
      </c>
      <c r="E1546" s="208" t="s">
        <v>154</v>
      </c>
      <c r="F1546" t="s">
        <v>1</v>
      </c>
      <c r="G1546" s="18">
        <v>481</v>
      </c>
      <c r="H1546" t="s">
        <v>16</v>
      </c>
      <c r="I1546" t="s">
        <v>21</v>
      </c>
    </row>
    <row r="1547" spans="1:9" x14ac:dyDescent="0.25">
      <c r="A1547">
        <v>1804</v>
      </c>
      <c r="B1547">
        <f>A1547+1</f>
        <v>1805</v>
      </c>
      <c r="C1547" t="s">
        <v>512</v>
      </c>
      <c r="D1547" t="s">
        <v>27</v>
      </c>
      <c r="E1547" s="208" t="s">
        <v>150</v>
      </c>
      <c r="F1547" t="s">
        <v>1</v>
      </c>
      <c r="G1547" s="18">
        <v>587</v>
      </c>
      <c r="H1547" t="s">
        <v>16</v>
      </c>
      <c r="I1547" t="s">
        <v>21</v>
      </c>
    </row>
    <row r="1548" spans="1:9" x14ac:dyDescent="0.25">
      <c r="A1548">
        <v>1804</v>
      </c>
      <c r="B1548">
        <f>A1548+1</f>
        <v>1805</v>
      </c>
      <c r="C1548" t="s">
        <v>512</v>
      </c>
      <c r="D1548" t="s">
        <v>27</v>
      </c>
      <c r="E1548" s="208" t="s">
        <v>148</v>
      </c>
      <c r="F1548" t="s">
        <v>1</v>
      </c>
      <c r="G1548" s="18">
        <v>223</v>
      </c>
      <c r="H1548" t="s">
        <v>16</v>
      </c>
      <c r="I1548" t="s">
        <v>21</v>
      </c>
    </row>
    <row r="1549" spans="1:9" x14ac:dyDescent="0.25">
      <c r="A1549">
        <v>1804</v>
      </c>
      <c r="B1549">
        <f>A1549+1</f>
        <v>1805</v>
      </c>
      <c r="C1549" t="s">
        <v>512</v>
      </c>
      <c r="D1549" t="s">
        <v>27</v>
      </c>
      <c r="E1549" s="208" t="s">
        <v>314</v>
      </c>
      <c r="F1549" t="s">
        <v>1</v>
      </c>
      <c r="G1549" s="18">
        <v>0</v>
      </c>
      <c r="H1549" t="s">
        <v>16</v>
      </c>
      <c r="I1549" t="s">
        <v>21</v>
      </c>
    </row>
    <row r="1550" spans="1:9" x14ac:dyDescent="0.25">
      <c r="A1550">
        <v>1804</v>
      </c>
      <c r="B1550">
        <f>A1550+1</f>
        <v>1805</v>
      </c>
      <c r="C1550" t="s">
        <v>512</v>
      </c>
      <c r="D1550" t="s">
        <v>27</v>
      </c>
      <c r="E1550" s="208" t="s">
        <v>149</v>
      </c>
      <c r="F1550" t="s">
        <v>1</v>
      </c>
      <c r="G1550" s="18">
        <v>0</v>
      </c>
      <c r="H1550" t="s">
        <v>16</v>
      </c>
      <c r="I1550" t="s">
        <v>21</v>
      </c>
    </row>
    <row r="1551" spans="1:9" x14ac:dyDescent="0.25">
      <c r="A1551">
        <v>1804</v>
      </c>
      <c r="B1551">
        <f>A1551+1</f>
        <v>1805</v>
      </c>
      <c r="C1551" t="s">
        <v>512</v>
      </c>
      <c r="D1551" t="s">
        <v>27</v>
      </c>
      <c r="E1551" s="208" t="s">
        <v>139</v>
      </c>
      <c r="F1551" t="s">
        <v>1</v>
      </c>
      <c r="G1551" s="18">
        <v>0</v>
      </c>
      <c r="H1551" t="s">
        <v>16</v>
      </c>
      <c r="I1551" t="s">
        <v>21</v>
      </c>
    </row>
    <row r="1552" spans="1:9" x14ac:dyDescent="0.25">
      <c r="A1552">
        <v>1804</v>
      </c>
      <c r="B1552">
        <f>A1552+1</f>
        <v>1805</v>
      </c>
      <c r="C1552" t="s">
        <v>512</v>
      </c>
      <c r="D1552" t="s">
        <v>27</v>
      </c>
      <c r="E1552" s="208" t="s">
        <v>130</v>
      </c>
      <c r="F1552" t="s">
        <v>1</v>
      </c>
      <c r="G1552" s="18">
        <v>279</v>
      </c>
      <c r="H1552" t="s">
        <v>16</v>
      </c>
      <c r="I1552" t="s">
        <v>21</v>
      </c>
    </row>
    <row r="1553" spans="1:9" x14ac:dyDescent="0.25">
      <c r="A1553">
        <v>1804</v>
      </c>
      <c r="B1553">
        <f>A1553+1</f>
        <v>1805</v>
      </c>
      <c r="C1553" t="s">
        <v>512</v>
      </c>
      <c r="D1553" t="s">
        <v>27</v>
      </c>
      <c r="E1553" s="208" t="s">
        <v>132</v>
      </c>
      <c r="F1553" t="s">
        <v>1</v>
      </c>
      <c r="G1553" s="18">
        <v>78</v>
      </c>
      <c r="H1553" t="s">
        <v>16</v>
      </c>
      <c r="I1553" t="s">
        <v>21</v>
      </c>
    </row>
    <row r="1554" spans="1:9" x14ac:dyDescent="0.25">
      <c r="A1554">
        <v>1804</v>
      </c>
      <c r="B1554">
        <f>A1554+1</f>
        <v>1805</v>
      </c>
      <c r="C1554" t="s">
        <v>512</v>
      </c>
      <c r="D1554" t="s">
        <v>27</v>
      </c>
      <c r="E1554" s="208" t="s">
        <v>142</v>
      </c>
      <c r="F1554" t="s">
        <v>1</v>
      </c>
      <c r="G1554" s="18">
        <v>47</v>
      </c>
      <c r="H1554" t="s">
        <v>16</v>
      </c>
      <c r="I1554" t="s">
        <v>21</v>
      </c>
    </row>
    <row r="1555" spans="1:9" x14ac:dyDescent="0.25">
      <c r="A1555">
        <v>1804</v>
      </c>
      <c r="B1555">
        <f>A1555+1</f>
        <v>1805</v>
      </c>
      <c r="C1555" t="s">
        <v>512</v>
      </c>
      <c r="D1555" t="s">
        <v>27</v>
      </c>
      <c r="E1555" s="208" t="s">
        <v>144</v>
      </c>
      <c r="F1555" t="s">
        <v>1</v>
      </c>
      <c r="G1555" s="18">
        <v>10</v>
      </c>
      <c r="H1555" t="s">
        <v>16</v>
      </c>
      <c r="I1555" t="s">
        <v>21</v>
      </c>
    </row>
    <row r="1556" spans="1:9" x14ac:dyDescent="0.25">
      <c r="A1556">
        <v>1804</v>
      </c>
      <c r="B1556">
        <f>A1556+1</f>
        <v>1805</v>
      </c>
      <c r="C1556" t="s">
        <v>512</v>
      </c>
      <c r="D1556" t="s">
        <v>27</v>
      </c>
      <c r="E1556" s="208" t="s">
        <v>124</v>
      </c>
      <c r="F1556" t="s">
        <v>1</v>
      </c>
      <c r="G1556" s="18">
        <v>132232</v>
      </c>
      <c r="H1556" t="s">
        <v>16</v>
      </c>
      <c r="I1556" t="s">
        <v>21</v>
      </c>
    </row>
    <row r="1557" spans="1:9" x14ac:dyDescent="0.25">
      <c r="A1557">
        <v>1804</v>
      </c>
      <c r="B1557">
        <f>A1557+1</f>
        <v>1805</v>
      </c>
      <c r="C1557" t="s">
        <v>512</v>
      </c>
      <c r="D1557" t="s">
        <v>27</v>
      </c>
      <c r="E1557" s="208" t="s">
        <v>155</v>
      </c>
      <c r="F1557" t="s">
        <v>6</v>
      </c>
      <c r="G1557" s="18">
        <v>0</v>
      </c>
      <c r="H1557" t="s">
        <v>16</v>
      </c>
      <c r="I1557" t="s">
        <v>25</v>
      </c>
    </row>
    <row r="1558" spans="1:9" x14ac:dyDescent="0.25">
      <c r="A1558">
        <v>1804</v>
      </c>
      <c r="B1558">
        <f>A1558+1</f>
        <v>1805</v>
      </c>
      <c r="C1558" t="s">
        <v>512</v>
      </c>
      <c r="D1558" t="s">
        <v>27</v>
      </c>
      <c r="E1558" s="208" t="s">
        <v>156</v>
      </c>
      <c r="F1558" t="s">
        <v>6</v>
      </c>
      <c r="G1558" s="18">
        <v>0</v>
      </c>
      <c r="H1558" t="s">
        <v>16</v>
      </c>
      <c r="I1558" t="s">
        <v>25</v>
      </c>
    </row>
    <row r="1559" spans="1:9" x14ac:dyDescent="0.25">
      <c r="A1559">
        <v>1804</v>
      </c>
      <c r="B1559">
        <f>A1559+1</f>
        <v>1805</v>
      </c>
      <c r="C1559" t="s">
        <v>512</v>
      </c>
      <c r="D1559" t="s">
        <v>27</v>
      </c>
      <c r="E1559" s="208" t="s">
        <v>154</v>
      </c>
      <c r="F1559" t="s">
        <v>6</v>
      </c>
      <c r="G1559" s="18">
        <v>0</v>
      </c>
      <c r="H1559" t="s">
        <v>16</v>
      </c>
      <c r="I1559" t="s">
        <v>25</v>
      </c>
    </row>
    <row r="1560" spans="1:9" x14ac:dyDescent="0.25">
      <c r="A1560">
        <v>1804</v>
      </c>
      <c r="B1560">
        <f>A1560+1</f>
        <v>1805</v>
      </c>
      <c r="C1560" t="s">
        <v>512</v>
      </c>
      <c r="D1560" t="s">
        <v>27</v>
      </c>
      <c r="E1560" s="208" t="s">
        <v>150</v>
      </c>
      <c r="F1560" t="s">
        <v>6</v>
      </c>
      <c r="G1560" s="18">
        <v>291</v>
      </c>
      <c r="H1560" t="s">
        <v>16</v>
      </c>
      <c r="I1560" t="s">
        <v>25</v>
      </c>
    </row>
    <row r="1561" spans="1:9" x14ac:dyDescent="0.25">
      <c r="A1561">
        <v>1804</v>
      </c>
      <c r="B1561">
        <f>A1561+1</f>
        <v>1805</v>
      </c>
      <c r="C1561" t="s">
        <v>512</v>
      </c>
      <c r="D1561" t="s">
        <v>27</v>
      </c>
      <c r="E1561" s="208" t="s">
        <v>148</v>
      </c>
      <c r="F1561" t="s">
        <v>6</v>
      </c>
      <c r="G1561" s="18">
        <v>38</v>
      </c>
      <c r="H1561" t="s">
        <v>16</v>
      </c>
      <c r="I1561" t="s">
        <v>25</v>
      </c>
    </row>
    <row r="1562" spans="1:9" x14ac:dyDescent="0.25">
      <c r="A1562">
        <v>1804</v>
      </c>
      <c r="B1562">
        <f>A1562+1</f>
        <v>1805</v>
      </c>
      <c r="C1562" t="s">
        <v>512</v>
      </c>
      <c r="D1562" t="s">
        <v>27</v>
      </c>
      <c r="E1562" s="208" t="s">
        <v>314</v>
      </c>
      <c r="F1562" t="s">
        <v>6</v>
      </c>
      <c r="G1562" s="18">
        <v>133</v>
      </c>
      <c r="H1562" t="s">
        <v>16</v>
      </c>
      <c r="I1562" t="s">
        <v>25</v>
      </c>
    </row>
    <row r="1563" spans="1:9" x14ac:dyDescent="0.25">
      <c r="A1563">
        <v>1804</v>
      </c>
      <c r="B1563">
        <f>A1563+1</f>
        <v>1805</v>
      </c>
      <c r="C1563" t="s">
        <v>512</v>
      </c>
      <c r="D1563" t="s">
        <v>27</v>
      </c>
      <c r="E1563" s="208" t="s">
        <v>149</v>
      </c>
      <c r="F1563" t="s">
        <v>6</v>
      </c>
      <c r="G1563" s="18">
        <v>167</v>
      </c>
      <c r="H1563" t="s">
        <v>16</v>
      </c>
      <c r="I1563" t="s">
        <v>25</v>
      </c>
    </row>
    <row r="1564" spans="1:9" x14ac:dyDescent="0.25">
      <c r="A1564">
        <v>1804</v>
      </c>
      <c r="B1564">
        <f>A1564+1</f>
        <v>1805</v>
      </c>
      <c r="C1564" t="s">
        <v>512</v>
      </c>
      <c r="D1564" t="s">
        <v>27</v>
      </c>
      <c r="E1564" s="208" t="s">
        <v>139</v>
      </c>
      <c r="F1564" t="s">
        <v>6</v>
      </c>
      <c r="G1564" s="18">
        <v>0</v>
      </c>
      <c r="H1564" t="s">
        <v>16</v>
      </c>
      <c r="I1564" t="s">
        <v>25</v>
      </c>
    </row>
    <row r="1565" spans="1:9" x14ac:dyDescent="0.25">
      <c r="A1565">
        <v>1804</v>
      </c>
      <c r="B1565">
        <f>A1565+1</f>
        <v>1805</v>
      </c>
      <c r="C1565" t="s">
        <v>512</v>
      </c>
      <c r="D1565" t="s">
        <v>27</v>
      </c>
      <c r="E1565" s="208" t="s">
        <v>130</v>
      </c>
      <c r="F1565" t="s">
        <v>6</v>
      </c>
      <c r="G1565" s="18">
        <v>0</v>
      </c>
      <c r="H1565" t="s">
        <v>16</v>
      </c>
      <c r="I1565" t="s">
        <v>25</v>
      </c>
    </row>
    <row r="1566" spans="1:9" x14ac:dyDescent="0.25">
      <c r="A1566">
        <v>1804</v>
      </c>
      <c r="B1566">
        <f>A1566+1</f>
        <v>1805</v>
      </c>
      <c r="C1566" t="s">
        <v>512</v>
      </c>
      <c r="D1566" t="s">
        <v>27</v>
      </c>
      <c r="E1566" s="208" t="s">
        <v>132</v>
      </c>
      <c r="F1566" t="s">
        <v>6</v>
      </c>
      <c r="G1566" s="18">
        <v>0</v>
      </c>
      <c r="H1566" t="s">
        <v>16</v>
      </c>
      <c r="I1566" t="s">
        <v>25</v>
      </c>
    </row>
    <row r="1567" spans="1:9" x14ac:dyDescent="0.25">
      <c r="A1567">
        <v>1804</v>
      </c>
      <c r="B1567">
        <f>A1567+1</f>
        <v>1805</v>
      </c>
      <c r="C1567" t="s">
        <v>512</v>
      </c>
      <c r="D1567" t="s">
        <v>27</v>
      </c>
      <c r="E1567" s="208" t="s">
        <v>142</v>
      </c>
      <c r="F1567" t="s">
        <v>6</v>
      </c>
      <c r="G1567" s="18">
        <v>0</v>
      </c>
      <c r="H1567" t="s">
        <v>16</v>
      </c>
      <c r="I1567" t="s">
        <v>25</v>
      </c>
    </row>
    <row r="1568" spans="1:9" x14ac:dyDescent="0.25">
      <c r="A1568">
        <v>1804</v>
      </c>
      <c r="B1568">
        <f>A1568+1</f>
        <v>1805</v>
      </c>
      <c r="C1568" t="s">
        <v>512</v>
      </c>
      <c r="D1568" t="s">
        <v>27</v>
      </c>
      <c r="E1568" s="208" t="s">
        <v>144</v>
      </c>
      <c r="F1568" t="s">
        <v>6</v>
      </c>
      <c r="G1568" s="18">
        <v>0</v>
      </c>
      <c r="H1568" t="s">
        <v>16</v>
      </c>
      <c r="I1568" t="s">
        <v>25</v>
      </c>
    </row>
    <row r="1569" spans="1:9" x14ac:dyDescent="0.25">
      <c r="A1569">
        <v>1804</v>
      </c>
      <c r="B1569">
        <f>A1569+1</f>
        <v>1805</v>
      </c>
      <c r="C1569" t="s">
        <v>512</v>
      </c>
      <c r="D1569" t="s">
        <v>27</v>
      </c>
      <c r="E1569" s="208" t="s">
        <v>124</v>
      </c>
      <c r="F1569" t="s">
        <v>6</v>
      </c>
      <c r="G1569" s="18">
        <v>0</v>
      </c>
      <c r="H1569" t="s">
        <v>16</v>
      </c>
      <c r="I1569" t="s">
        <v>25</v>
      </c>
    </row>
    <row r="1570" spans="1:9" x14ac:dyDescent="0.25">
      <c r="A1570">
        <v>1804</v>
      </c>
      <c r="B1570">
        <f>A1570+1</f>
        <v>1805</v>
      </c>
      <c r="C1570" t="s">
        <v>512</v>
      </c>
      <c r="D1570" t="s">
        <v>27</v>
      </c>
      <c r="E1570" s="208" t="s">
        <v>155</v>
      </c>
      <c r="F1570" t="s">
        <v>4</v>
      </c>
      <c r="G1570" s="18">
        <v>469</v>
      </c>
      <c r="H1570" t="s">
        <v>16</v>
      </c>
      <c r="I1570" t="s">
        <v>23</v>
      </c>
    </row>
    <row r="1571" spans="1:9" x14ac:dyDescent="0.25">
      <c r="A1571">
        <v>1804</v>
      </c>
      <c r="B1571">
        <f>A1571+1</f>
        <v>1805</v>
      </c>
      <c r="C1571" t="s">
        <v>512</v>
      </c>
      <c r="D1571" t="s">
        <v>27</v>
      </c>
      <c r="E1571" s="208" t="s">
        <v>156</v>
      </c>
      <c r="F1571" t="s">
        <v>4</v>
      </c>
      <c r="G1571" s="18">
        <v>87</v>
      </c>
      <c r="H1571" t="s">
        <v>16</v>
      </c>
      <c r="I1571" t="s">
        <v>23</v>
      </c>
    </row>
    <row r="1572" spans="1:9" x14ac:dyDescent="0.25">
      <c r="A1572">
        <v>1804</v>
      </c>
      <c r="B1572">
        <f>A1572+1</f>
        <v>1805</v>
      </c>
      <c r="C1572" t="s">
        <v>512</v>
      </c>
      <c r="D1572" t="s">
        <v>27</v>
      </c>
      <c r="E1572" s="208" t="s">
        <v>154</v>
      </c>
      <c r="F1572" t="s">
        <v>4</v>
      </c>
      <c r="G1572" s="18">
        <v>79</v>
      </c>
      <c r="H1572" t="s">
        <v>16</v>
      </c>
      <c r="I1572" t="s">
        <v>23</v>
      </c>
    </row>
    <row r="1573" spans="1:9" x14ac:dyDescent="0.25">
      <c r="A1573">
        <v>1804</v>
      </c>
      <c r="B1573">
        <f>A1573+1</f>
        <v>1805</v>
      </c>
      <c r="C1573" t="s">
        <v>512</v>
      </c>
      <c r="D1573" t="s">
        <v>27</v>
      </c>
      <c r="E1573" s="208" t="s">
        <v>150</v>
      </c>
      <c r="F1573" t="s">
        <v>4</v>
      </c>
      <c r="G1573" s="18">
        <v>2910</v>
      </c>
      <c r="H1573" t="s">
        <v>16</v>
      </c>
      <c r="I1573" t="s">
        <v>23</v>
      </c>
    </row>
    <row r="1574" spans="1:9" x14ac:dyDescent="0.25">
      <c r="A1574">
        <v>1804</v>
      </c>
      <c r="B1574">
        <f>A1574+1</f>
        <v>1805</v>
      </c>
      <c r="C1574" t="s">
        <v>512</v>
      </c>
      <c r="D1574" t="s">
        <v>27</v>
      </c>
      <c r="E1574" s="208" t="s">
        <v>148</v>
      </c>
      <c r="F1574" t="s">
        <v>4</v>
      </c>
      <c r="G1574" s="18">
        <v>0</v>
      </c>
      <c r="H1574" t="s">
        <v>16</v>
      </c>
      <c r="I1574" t="s">
        <v>23</v>
      </c>
    </row>
    <row r="1575" spans="1:9" x14ac:dyDescent="0.25">
      <c r="A1575">
        <v>1804</v>
      </c>
      <c r="B1575">
        <f>A1575+1</f>
        <v>1805</v>
      </c>
      <c r="C1575" t="s">
        <v>512</v>
      </c>
      <c r="D1575" t="s">
        <v>27</v>
      </c>
      <c r="E1575" s="208" t="s">
        <v>314</v>
      </c>
      <c r="F1575" t="s">
        <v>4</v>
      </c>
      <c r="G1575" s="18">
        <v>0</v>
      </c>
      <c r="H1575" t="s">
        <v>16</v>
      </c>
      <c r="I1575" t="s">
        <v>23</v>
      </c>
    </row>
    <row r="1576" spans="1:9" x14ac:dyDescent="0.25">
      <c r="A1576">
        <v>1804</v>
      </c>
      <c r="B1576">
        <f>A1576+1</f>
        <v>1805</v>
      </c>
      <c r="C1576" t="s">
        <v>512</v>
      </c>
      <c r="D1576" t="s">
        <v>27</v>
      </c>
      <c r="E1576" s="208" t="s">
        <v>149</v>
      </c>
      <c r="F1576" t="s">
        <v>4</v>
      </c>
      <c r="G1576" s="18">
        <v>0</v>
      </c>
      <c r="H1576" t="s">
        <v>16</v>
      </c>
      <c r="I1576" t="s">
        <v>23</v>
      </c>
    </row>
    <row r="1577" spans="1:9" x14ac:dyDescent="0.25">
      <c r="A1577">
        <v>1804</v>
      </c>
      <c r="B1577">
        <f>A1577+1</f>
        <v>1805</v>
      </c>
      <c r="C1577" t="s">
        <v>512</v>
      </c>
      <c r="D1577" t="s">
        <v>27</v>
      </c>
      <c r="E1577" s="208" t="s">
        <v>139</v>
      </c>
      <c r="F1577" t="s">
        <v>4</v>
      </c>
      <c r="G1577" s="18">
        <v>7</v>
      </c>
      <c r="H1577" t="s">
        <v>16</v>
      </c>
      <c r="I1577" t="s">
        <v>23</v>
      </c>
    </row>
    <row r="1578" spans="1:9" x14ac:dyDescent="0.25">
      <c r="A1578">
        <v>1804</v>
      </c>
      <c r="B1578">
        <f>A1578+1</f>
        <v>1805</v>
      </c>
      <c r="C1578" t="s">
        <v>512</v>
      </c>
      <c r="D1578" t="s">
        <v>27</v>
      </c>
      <c r="E1578" s="208" t="s">
        <v>130</v>
      </c>
      <c r="F1578" t="s">
        <v>4</v>
      </c>
      <c r="G1578" s="18">
        <v>12</v>
      </c>
      <c r="H1578" t="s">
        <v>16</v>
      </c>
      <c r="I1578" t="s">
        <v>23</v>
      </c>
    </row>
    <row r="1579" spans="1:9" x14ac:dyDescent="0.25">
      <c r="A1579">
        <v>1804</v>
      </c>
      <c r="B1579">
        <f>A1579+1</f>
        <v>1805</v>
      </c>
      <c r="C1579" t="s">
        <v>512</v>
      </c>
      <c r="D1579" t="s">
        <v>27</v>
      </c>
      <c r="E1579" s="208" t="s">
        <v>132</v>
      </c>
      <c r="F1579" t="s">
        <v>4</v>
      </c>
      <c r="G1579" s="18">
        <v>0</v>
      </c>
      <c r="H1579" t="s">
        <v>16</v>
      </c>
      <c r="I1579" t="s">
        <v>23</v>
      </c>
    </row>
    <row r="1580" spans="1:9" x14ac:dyDescent="0.25">
      <c r="A1580">
        <v>1804</v>
      </c>
      <c r="B1580">
        <f>A1580+1</f>
        <v>1805</v>
      </c>
      <c r="C1580" t="s">
        <v>512</v>
      </c>
      <c r="D1580" t="s">
        <v>27</v>
      </c>
      <c r="E1580" s="208" t="s">
        <v>142</v>
      </c>
      <c r="F1580" t="s">
        <v>4</v>
      </c>
      <c r="G1580" s="18">
        <v>404</v>
      </c>
      <c r="H1580" t="s">
        <v>16</v>
      </c>
      <c r="I1580" t="s">
        <v>23</v>
      </c>
    </row>
    <row r="1581" spans="1:9" x14ac:dyDescent="0.25">
      <c r="A1581">
        <v>1804</v>
      </c>
      <c r="B1581">
        <f>A1581+1</f>
        <v>1805</v>
      </c>
      <c r="C1581" t="s">
        <v>512</v>
      </c>
      <c r="D1581" t="s">
        <v>27</v>
      </c>
      <c r="E1581" s="208" t="s">
        <v>144</v>
      </c>
      <c r="F1581" t="s">
        <v>4</v>
      </c>
      <c r="G1581" s="18">
        <v>38</v>
      </c>
      <c r="H1581" t="s">
        <v>16</v>
      </c>
      <c r="I1581" t="s">
        <v>23</v>
      </c>
    </row>
    <row r="1582" spans="1:9" x14ac:dyDescent="0.25">
      <c r="A1582">
        <v>1804</v>
      </c>
      <c r="B1582">
        <f>A1582+1</f>
        <v>1805</v>
      </c>
      <c r="C1582" t="s">
        <v>512</v>
      </c>
      <c r="D1582" t="s">
        <v>27</v>
      </c>
      <c r="E1582" s="208" t="s">
        <v>124</v>
      </c>
      <c r="F1582" t="s">
        <v>4</v>
      </c>
      <c r="G1582" s="18">
        <v>984582</v>
      </c>
      <c r="H1582" t="s">
        <v>16</v>
      </c>
      <c r="I1582" t="s">
        <v>23</v>
      </c>
    </row>
    <row r="1583" spans="1:9" x14ac:dyDescent="0.25">
      <c r="A1583">
        <v>1804</v>
      </c>
      <c r="B1583">
        <f>A1583+1</f>
        <v>1805</v>
      </c>
      <c r="C1583" t="s">
        <v>512</v>
      </c>
      <c r="D1583" t="s">
        <v>26</v>
      </c>
      <c r="E1583" s="208" t="s">
        <v>57</v>
      </c>
      <c r="F1583" t="s">
        <v>4</v>
      </c>
      <c r="G1583" s="18">
        <v>52073</v>
      </c>
      <c r="H1583" t="s">
        <v>23</v>
      </c>
      <c r="I1583" t="s">
        <v>16</v>
      </c>
    </row>
    <row r="1584" spans="1:9" x14ac:dyDescent="0.25">
      <c r="A1584">
        <v>1804</v>
      </c>
      <c r="B1584">
        <f>A1584+1</f>
        <v>1805</v>
      </c>
      <c r="C1584" t="s">
        <v>512</v>
      </c>
      <c r="D1584" t="s">
        <v>26</v>
      </c>
      <c r="E1584" s="208" t="s">
        <v>35</v>
      </c>
      <c r="F1584" t="s">
        <v>4</v>
      </c>
      <c r="G1584" s="18">
        <v>15451</v>
      </c>
      <c r="H1584" t="s">
        <v>23</v>
      </c>
      <c r="I1584" t="s">
        <v>16</v>
      </c>
    </row>
    <row r="1585" spans="1:9" x14ac:dyDescent="0.25">
      <c r="A1585">
        <v>1804</v>
      </c>
      <c r="B1585">
        <f>A1585+1</f>
        <v>1805</v>
      </c>
      <c r="C1585" t="s">
        <v>512</v>
      </c>
      <c r="D1585" t="s">
        <v>26</v>
      </c>
      <c r="E1585" s="208" t="s">
        <v>36</v>
      </c>
      <c r="F1585" t="s">
        <v>4</v>
      </c>
      <c r="G1585" s="18">
        <v>2891</v>
      </c>
      <c r="H1585" t="s">
        <v>23</v>
      </c>
      <c r="I1585" t="s">
        <v>16</v>
      </c>
    </row>
    <row r="1586" spans="1:9" x14ac:dyDescent="0.25">
      <c r="A1586">
        <v>1804</v>
      </c>
      <c r="B1586">
        <f>A1586+1</f>
        <v>1805</v>
      </c>
      <c r="C1586" t="s">
        <v>512</v>
      </c>
      <c r="D1586" t="s">
        <v>26</v>
      </c>
      <c r="E1586" s="208" t="s">
        <v>39</v>
      </c>
      <c r="F1586" t="s">
        <v>4</v>
      </c>
      <c r="G1586" s="18">
        <v>2301</v>
      </c>
      <c r="H1586" t="s">
        <v>23</v>
      </c>
      <c r="I1586" t="s">
        <v>16</v>
      </c>
    </row>
    <row r="1587" spans="1:9" x14ac:dyDescent="0.25">
      <c r="A1587">
        <v>1804</v>
      </c>
      <c r="B1587">
        <f>A1587+1</f>
        <v>1805</v>
      </c>
      <c r="C1587" t="s">
        <v>512</v>
      </c>
      <c r="D1587" t="s">
        <v>26</v>
      </c>
      <c r="E1587" s="208" t="s">
        <v>99</v>
      </c>
      <c r="F1587" t="s">
        <v>4</v>
      </c>
      <c r="G1587" s="18">
        <v>924</v>
      </c>
      <c r="H1587" t="s">
        <v>23</v>
      </c>
      <c r="I1587" t="s">
        <v>16</v>
      </c>
    </row>
    <row r="1588" spans="1:9" x14ac:dyDescent="0.25">
      <c r="A1588">
        <v>1804</v>
      </c>
      <c r="B1588">
        <f>A1588+1</f>
        <v>1805</v>
      </c>
      <c r="C1588" t="s">
        <v>512</v>
      </c>
      <c r="D1588" t="s">
        <v>26</v>
      </c>
      <c r="E1588" s="208" t="s">
        <v>28</v>
      </c>
      <c r="F1588" t="s">
        <v>4</v>
      </c>
      <c r="G1588" s="18">
        <v>2209</v>
      </c>
      <c r="H1588" t="s">
        <v>23</v>
      </c>
      <c r="I1588" t="s">
        <v>16</v>
      </c>
    </row>
    <row r="1589" spans="1:9" x14ac:dyDescent="0.25">
      <c r="A1589">
        <v>1804</v>
      </c>
      <c r="B1589">
        <f>A1589+1</f>
        <v>1805</v>
      </c>
      <c r="C1589" t="s">
        <v>512</v>
      </c>
      <c r="D1589" t="s">
        <v>26</v>
      </c>
      <c r="E1589" s="208" t="s">
        <v>89</v>
      </c>
      <c r="F1589" t="s">
        <v>4</v>
      </c>
      <c r="G1589" s="18">
        <v>3346</v>
      </c>
      <c r="H1589" t="s">
        <v>23</v>
      </c>
      <c r="I1589" t="s">
        <v>16</v>
      </c>
    </row>
    <row r="1590" spans="1:9" x14ac:dyDescent="0.25">
      <c r="A1590">
        <v>1804</v>
      </c>
      <c r="B1590">
        <f>A1590+1</f>
        <v>1805</v>
      </c>
      <c r="C1590" t="s">
        <v>512</v>
      </c>
      <c r="D1590" t="s">
        <v>26</v>
      </c>
      <c r="E1590" s="208" t="s">
        <v>45</v>
      </c>
      <c r="F1590" t="s">
        <v>4</v>
      </c>
      <c r="G1590" s="18">
        <v>461</v>
      </c>
      <c r="H1590" t="s">
        <v>23</v>
      </c>
      <c r="I1590" t="s">
        <v>16</v>
      </c>
    </row>
    <row r="1591" spans="1:9" x14ac:dyDescent="0.25">
      <c r="A1591">
        <v>1804</v>
      </c>
      <c r="B1591">
        <f>A1591+1</f>
        <v>1805</v>
      </c>
      <c r="C1591" t="s">
        <v>512</v>
      </c>
      <c r="D1591" t="s">
        <v>26</v>
      </c>
      <c r="E1591" s="208" t="s">
        <v>335</v>
      </c>
      <c r="F1591" t="s">
        <v>4</v>
      </c>
      <c r="G1591" s="18">
        <v>606</v>
      </c>
      <c r="H1591" t="s">
        <v>23</v>
      </c>
      <c r="I1591" t="s">
        <v>16</v>
      </c>
    </row>
    <row r="1592" spans="1:9" x14ac:dyDescent="0.25">
      <c r="A1592">
        <v>1804</v>
      </c>
      <c r="B1592">
        <f>A1592+1</f>
        <v>1805</v>
      </c>
      <c r="C1592" t="s">
        <v>512</v>
      </c>
      <c r="D1592" t="s">
        <v>26</v>
      </c>
      <c r="E1592" s="208" t="s">
        <v>336</v>
      </c>
      <c r="F1592" t="s">
        <v>4</v>
      </c>
      <c r="G1592" s="18">
        <v>16079</v>
      </c>
      <c r="H1592" t="s">
        <v>23</v>
      </c>
      <c r="I1592" t="s">
        <v>16</v>
      </c>
    </row>
    <row r="1593" spans="1:9" x14ac:dyDescent="0.25">
      <c r="A1593">
        <v>1804</v>
      </c>
      <c r="B1593">
        <f>A1593+1</f>
        <v>1805</v>
      </c>
      <c r="C1593" t="s">
        <v>512</v>
      </c>
      <c r="D1593" t="s">
        <v>26</v>
      </c>
      <c r="E1593" s="208" t="s">
        <v>75</v>
      </c>
      <c r="F1593" t="s">
        <v>4</v>
      </c>
      <c r="G1593" s="18">
        <v>2878990</v>
      </c>
      <c r="H1593" t="s">
        <v>23</v>
      </c>
      <c r="I1593" t="s">
        <v>16</v>
      </c>
    </row>
    <row r="1594" spans="1:9" x14ac:dyDescent="0.25">
      <c r="A1594">
        <v>1804</v>
      </c>
      <c r="B1594">
        <f>A1594+1</f>
        <v>1805</v>
      </c>
      <c r="C1594" t="s">
        <v>512</v>
      </c>
      <c r="D1594" t="s">
        <v>26</v>
      </c>
      <c r="E1594" s="208" t="s">
        <v>107</v>
      </c>
      <c r="F1594" t="s">
        <v>4</v>
      </c>
      <c r="G1594" s="18">
        <v>3568660</v>
      </c>
      <c r="H1594" t="s">
        <v>23</v>
      </c>
      <c r="I1594" t="s">
        <v>16</v>
      </c>
    </row>
    <row r="1595" spans="1:9" x14ac:dyDescent="0.25">
      <c r="A1595">
        <v>1804</v>
      </c>
      <c r="B1595">
        <f>A1595+1</f>
        <v>1805</v>
      </c>
      <c r="C1595" t="s">
        <v>512</v>
      </c>
      <c r="D1595" t="s">
        <v>26</v>
      </c>
      <c r="E1595" s="208" t="s">
        <v>101</v>
      </c>
      <c r="F1595" t="s">
        <v>4</v>
      </c>
      <c r="G1595" s="18">
        <v>4939060</v>
      </c>
      <c r="H1595" t="s">
        <v>23</v>
      </c>
      <c r="I1595" t="s">
        <v>16</v>
      </c>
    </row>
    <row r="1596" spans="1:9" x14ac:dyDescent="0.25">
      <c r="A1596">
        <v>1804</v>
      </c>
      <c r="B1596">
        <f>A1596+1</f>
        <v>1805</v>
      </c>
      <c r="C1596" t="s">
        <v>512</v>
      </c>
      <c r="D1596" t="s">
        <v>27</v>
      </c>
      <c r="E1596" s="208" t="s">
        <v>155</v>
      </c>
      <c r="F1596" t="s">
        <v>7</v>
      </c>
      <c r="G1596" s="18">
        <v>56791</v>
      </c>
      <c r="H1596" t="s">
        <v>16</v>
      </c>
      <c r="I1596" s="151" t="s">
        <v>562</v>
      </c>
    </row>
    <row r="1597" spans="1:9" x14ac:dyDescent="0.25">
      <c r="A1597">
        <v>1804</v>
      </c>
      <c r="B1597">
        <f>A1597+1</f>
        <v>1805</v>
      </c>
      <c r="C1597" t="s">
        <v>512</v>
      </c>
      <c r="D1597" t="s">
        <v>27</v>
      </c>
      <c r="E1597" s="208" t="s">
        <v>156</v>
      </c>
      <c r="F1597" t="s">
        <v>7</v>
      </c>
      <c r="G1597" s="18">
        <v>6370</v>
      </c>
      <c r="H1597" t="s">
        <v>16</v>
      </c>
      <c r="I1597" s="151" t="s">
        <v>562</v>
      </c>
    </row>
    <row r="1598" spans="1:9" x14ac:dyDescent="0.25">
      <c r="A1598">
        <v>1804</v>
      </c>
      <c r="B1598">
        <f>A1598+1</f>
        <v>1805</v>
      </c>
      <c r="C1598" t="s">
        <v>512</v>
      </c>
      <c r="D1598" t="s">
        <v>27</v>
      </c>
      <c r="E1598" s="208" t="s">
        <v>154</v>
      </c>
      <c r="F1598" t="s">
        <v>7</v>
      </c>
      <c r="G1598" s="18">
        <v>2261</v>
      </c>
      <c r="H1598" t="s">
        <v>16</v>
      </c>
      <c r="I1598" s="151" t="s">
        <v>562</v>
      </c>
    </row>
    <row r="1599" spans="1:9" x14ac:dyDescent="0.25">
      <c r="A1599">
        <v>1804</v>
      </c>
      <c r="B1599">
        <f>A1599+1</f>
        <v>1805</v>
      </c>
      <c r="C1599" t="s">
        <v>512</v>
      </c>
      <c r="D1599" t="s">
        <v>27</v>
      </c>
      <c r="E1599" s="208" t="s">
        <v>150</v>
      </c>
      <c r="F1599" t="s">
        <v>7</v>
      </c>
      <c r="G1599" s="18">
        <v>17870</v>
      </c>
      <c r="H1599" t="s">
        <v>16</v>
      </c>
      <c r="I1599" s="151" t="s">
        <v>562</v>
      </c>
    </row>
    <row r="1600" spans="1:9" x14ac:dyDescent="0.25">
      <c r="A1600">
        <v>1804</v>
      </c>
      <c r="B1600">
        <f>A1600+1</f>
        <v>1805</v>
      </c>
      <c r="C1600" t="s">
        <v>512</v>
      </c>
      <c r="D1600" t="s">
        <v>27</v>
      </c>
      <c r="E1600" s="208" t="s">
        <v>148</v>
      </c>
      <c r="F1600" t="s">
        <v>7</v>
      </c>
      <c r="G1600" s="18">
        <v>922</v>
      </c>
      <c r="H1600" t="s">
        <v>16</v>
      </c>
      <c r="I1600" s="151" t="s">
        <v>562</v>
      </c>
    </row>
    <row r="1601" spans="1:9" x14ac:dyDescent="0.25">
      <c r="A1601">
        <v>1804</v>
      </c>
      <c r="B1601">
        <f>A1601+1</f>
        <v>1805</v>
      </c>
      <c r="C1601" t="s">
        <v>512</v>
      </c>
      <c r="D1601" t="s">
        <v>27</v>
      </c>
      <c r="E1601" s="208" t="s">
        <v>314</v>
      </c>
      <c r="F1601" t="s">
        <v>7</v>
      </c>
      <c r="G1601" s="18">
        <v>133</v>
      </c>
      <c r="H1601" t="s">
        <v>16</v>
      </c>
      <c r="I1601" s="151" t="s">
        <v>562</v>
      </c>
    </row>
    <row r="1602" spans="1:9" x14ac:dyDescent="0.25">
      <c r="A1602">
        <v>1804</v>
      </c>
      <c r="B1602">
        <f>A1602+1</f>
        <v>1805</v>
      </c>
      <c r="C1602" t="s">
        <v>512</v>
      </c>
      <c r="D1602" t="s">
        <v>27</v>
      </c>
      <c r="E1602" s="208" t="s">
        <v>149</v>
      </c>
      <c r="F1602" t="s">
        <v>7</v>
      </c>
      <c r="G1602" s="18">
        <v>167</v>
      </c>
      <c r="H1602" t="s">
        <v>16</v>
      </c>
      <c r="I1602" s="151" t="s">
        <v>562</v>
      </c>
    </row>
    <row r="1603" spans="1:9" x14ac:dyDescent="0.25">
      <c r="A1603">
        <v>1804</v>
      </c>
      <c r="B1603">
        <f>A1603+1</f>
        <v>1805</v>
      </c>
      <c r="C1603" t="s">
        <v>512</v>
      </c>
      <c r="D1603" t="s">
        <v>27</v>
      </c>
      <c r="E1603" s="208" t="s">
        <v>139</v>
      </c>
      <c r="F1603" t="s">
        <v>7</v>
      </c>
      <c r="G1603" s="18">
        <v>115</v>
      </c>
      <c r="H1603" t="s">
        <v>16</v>
      </c>
      <c r="I1603" s="151" t="s">
        <v>562</v>
      </c>
    </row>
    <row r="1604" spans="1:9" x14ac:dyDescent="0.25">
      <c r="A1604">
        <v>1804</v>
      </c>
      <c r="B1604">
        <f>A1604+1</f>
        <v>1805</v>
      </c>
      <c r="C1604" t="s">
        <v>512</v>
      </c>
      <c r="D1604" t="s">
        <v>27</v>
      </c>
      <c r="E1604" s="208" t="s">
        <v>130</v>
      </c>
      <c r="F1604" t="s">
        <v>7</v>
      </c>
      <c r="G1604" s="18">
        <v>773</v>
      </c>
      <c r="H1604" t="s">
        <v>16</v>
      </c>
      <c r="I1604" s="151" t="s">
        <v>562</v>
      </c>
    </row>
    <row r="1605" spans="1:9" x14ac:dyDescent="0.25">
      <c r="A1605">
        <v>1804</v>
      </c>
      <c r="B1605">
        <f>A1605+1</f>
        <v>1805</v>
      </c>
      <c r="C1605" t="s">
        <v>512</v>
      </c>
      <c r="D1605" t="s">
        <v>27</v>
      </c>
      <c r="E1605" s="208" t="s">
        <v>132</v>
      </c>
      <c r="F1605" t="s">
        <v>7</v>
      </c>
      <c r="G1605" s="18">
        <v>260</v>
      </c>
      <c r="H1605" t="s">
        <v>16</v>
      </c>
      <c r="I1605" s="151" t="s">
        <v>562</v>
      </c>
    </row>
    <row r="1606" spans="1:9" x14ac:dyDescent="0.25">
      <c r="A1606">
        <v>1804</v>
      </c>
      <c r="B1606">
        <f>A1606+1</f>
        <v>1805</v>
      </c>
      <c r="C1606" t="s">
        <v>512</v>
      </c>
      <c r="D1606" t="s">
        <v>27</v>
      </c>
      <c r="E1606" s="208" t="s">
        <v>142</v>
      </c>
      <c r="F1606" t="s">
        <v>7</v>
      </c>
      <c r="G1606" s="18">
        <v>2423</v>
      </c>
      <c r="H1606" t="s">
        <v>16</v>
      </c>
      <c r="I1606" s="151" t="s">
        <v>562</v>
      </c>
    </row>
    <row r="1607" spans="1:9" x14ac:dyDescent="0.25">
      <c r="A1607">
        <v>1804</v>
      </c>
      <c r="B1607">
        <f>A1607+1</f>
        <v>1805</v>
      </c>
      <c r="C1607" t="s">
        <v>512</v>
      </c>
      <c r="D1607" t="s">
        <v>27</v>
      </c>
      <c r="E1607" s="208" t="s">
        <v>144</v>
      </c>
      <c r="F1607" t="s">
        <v>7</v>
      </c>
      <c r="G1607" s="18">
        <v>132</v>
      </c>
      <c r="H1607" t="s">
        <v>16</v>
      </c>
      <c r="I1607" s="151" t="s">
        <v>562</v>
      </c>
    </row>
    <row r="1608" spans="1:9" x14ac:dyDescent="0.25">
      <c r="A1608">
        <v>1804</v>
      </c>
      <c r="B1608">
        <f>A1608+1</f>
        <v>1805</v>
      </c>
      <c r="C1608" t="s">
        <v>512</v>
      </c>
      <c r="D1608" t="s">
        <v>27</v>
      </c>
      <c r="E1608" s="208" t="s">
        <v>124</v>
      </c>
      <c r="F1608" t="s">
        <v>7</v>
      </c>
      <c r="G1608" s="18">
        <v>17465040</v>
      </c>
      <c r="H1608" t="s">
        <v>16</v>
      </c>
      <c r="I1608" s="151" t="s">
        <v>562</v>
      </c>
    </row>
    <row r="1609" spans="1:9" x14ac:dyDescent="0.25">
      <c r="A1609">
        <v>1804</v>
      </c>
      <c r="B1609">
        <f>A1609+1</f>
        <v>1805</v>
      </c>
      <c r="C1609" t="s">
        <v>512</v>
      </c>
      <c r="D1609" t="s">
        <v>26</v>
      </c>
      <c r="E1609" s="208" t="s">
        <v>62</v>
      </c>
      <c r="F1609" t="s">
        <v>7</v>
      </c>
      <c r="G1609" s="18">
        <v>58</v>
      </c>
      <c r="H1609" s="151" t="s">
        <v>563</v>
      </c>
      <c r="I1609" t="s">
        <v>16</v>
      </c>
    </row>
    <row r="1610" spans="1:9" x14ac:dyDescent="0.25">
      <c r="A1610">
        <v>1804</v>
      </c>
      <c r="B1610">
        <f>A1610+1</f>
        <v>1805</v>
      </c>
      <c r="C1610" t="s">
        <v>512</v>
      </c>
      <c r="D1610" t="s">
        <v>26</v>
      </c>
      <c r="E1610" s="208" t="s">
        <v>57</v>
      </c>
      <c r="F1610" t="s">
        <v>7</v>
      </c>
      <c r="G1610" s="18">
        <v>52073</v>
      </c>
      <c r="H1610" s="151" t="s">
        <v>563</v>
      </c>
      <c r="I1610" t="s">
        <v>16</v>
      </c>
    </row>
    <row r="1611" spans="1:9" x14ac:dyDescent="0.25">
      <c r="A1611">
        <v>1804</v>
      </c>
      <c r="B1611">
        <f>A1611+1</f>
        <v>1805</v>
      </c>
      <c r="C1611" t="s">
        <v>512</v>
      </c>
      <c r="D1611" t="s">
        <v>26</v>
      </c>
      <c r="E1611" s="208" t="s">
        <v>35</v>
      </c>
      <c r="F1611" t="s">
        <v>7</v>
      </c>
      <c r="G1611" s="18">
        <v>15451</v>
      </c>
      <c r="H1611" s="151" t="s">
        <v>563</v>
      </c>
      <c r="I1611" t="s">
        <v>16</v>
      </c>
    </row>
    <row r="1612" spans="1:9" x14ac:dyDescent="0.25">
      <c r="A1612">
        <v>1804</v>
      </c>
      <c r="B1612">
        <f>A1612+1</f>
        <v>1805</v>
      </c>
      <c r="C1612" t="s">
        <v>512</v>
      </c>
      <c r="D1612" t="s">
        <v>26</v>
      </c>
      <c r="E1612" s="208" t="s">
        <v>36</v>
      </c>
      <c r="F1612" t="s">
        <v>7</v>
      </c>
      <c r="G1612" s="18">
        <v>3276</v>
      </c>
      <c r="H1612" s="151" t="s">
        <v>563</v>
      </c>
      <c r="I1612" t="s">
        <v>16</v>
      </c>
    </row>
    <row r="1613" spans="1:9" x14ac:dyDescent="0.25">
      <c r="A1613">
        <v>1804</v>
      </c>
      <c r="B1613">
        <f>A1613+1</f>
        <v>1805</v>
      </c>
      <c r="C1613" t="s">
        <v>512</v>
      </c>
      <c r="D1613" t="s">
        <v>26</v>
      </c>
      <c r="E1613" s="208" t="s">
        <v>39</v>
      </c>
      <c r="F1613" t="s">
        <v>7</v>
      </c>
      <c r="G1613" s="18">
        <v>2301</v>
      </c>
      <c r="H1613" s="151" t="s">
        <v>563</v>
      </c>
      <c r="I1613" t="s">
        <v>16</v>
      </c>
    </row>
    <row r="1614" spans="1:9" x14ac:dyDescent="0.25">
      <c r="A1614">
        <v>1804</v>
      </c>
      <c r="B1614">
        <f>A1614+1</f>
        <v>1805</v>
      </c>
      <c r="C1614" t="s">
        <v>512</v>
      </c>
      <c r="D1614" t="s">
        <v>26</v>
      </c>
      <c r="E1614" s="208" t="s">
        <v>99</v>
      </c>
      <c r="F1614" t="s">
        <v>7</v>
      </c>
      <c r="G1614" s="18">
        <v>924</v>
      </c>
      <c r="H1614" s="151" t="s">
        <v>563</v>
      </c>
      <c r="I1614" t="s">
        <v>16</v>
      </c>
    </row>
    <row r="1615" spans="1:9" x14ac:dyDescent="0.25">
      <c r="A1615">
        <v>1804</v>
      </c>
      <c r="B1615">
        <f>A1615+1</f>
        <v>1805</v>
      </c>
      <c r="C1615" t="s">
        <v>512</v>
      </c>
      <c r="D1615" t="s">
        <v>26</v>
      </c>
      <c r="E1615" s="208" t="s">
        <v>28</v>
      </c>
      <c r="F1615" t="s">
        <v>7</v>
      </c>
      <c r="G1615" s="18">
        <v>2380</v>
      </c>
      <c r="H1615" s="151" t="s">
        <v>563</v>
      </c>
      <c r="I1615" t="s">
        <v>16</v>
      </c>
    </row>
    <row r="1616" spans="1:9" x14ac:dyDescent="0.25">
      <c r="A1616">
        <v>1804</v>
      </c>
      <c r="B1616">
        <f>A1616+1</f>
        <v>1805</v>
      </c>
      <c r="C1616" t="s">
        <v>512</v>
      </c>
      <c r="D1616" t="s">
        <v>26</v>
      </c>
      <c r="E1616" s="208" t="s">
        <v>89</v>
      </c>
      <c r="F1616" t="s">
        <v>7</v>
      </c>
      <c r="G1616" s="18">
        <v>3447</v>
      </c>
      <c r="H1616" s="151" t="s">
        <v>563</v>
      </c>
      <c r="I1616" t="s">
        <v>16</v>
      </c>
    </row>
    <row r="1617" spans="1:9" x14ac:dyDescent="0.25">
      <c r="A1617">
        <v>1804</v>
      </c>
      <c r="B1617">
        <f>A1617+1</f>
        <v>1805</v>
      </c>
      <c r="C1617" t="s">
        <v>512</v>
      </c>
      <c r="D1617" t="s">
        <v>26</v>
      </c>
      <c r="E1617" s="208" t="s">
        <v>45</v>
      </c>
      <c r="F1617" t="s">
        <v>7</v>
      </c>
      <c r="G1617" s="18">
        <v>485</v>
      </c>
      <c r="H1617" s="151" t="s">
        <v>563</v>
      </c>
      <c r="I1617" t="s">
        <v>16</v>
      </c>
    </row>
    <row r="1618" spans="1:9" x14ac:dyDescent="0.25">
      <c r="A1618">
        <v>1804</v>
      </c>
      <c r="B1618">
        <f>A1618+1</f>
        <v>1805</v>
      </c>
      <c r="C1618" t="s">
        <v>512</v>
      </c>
      <c r="D1618" t="s">
        <v>26</v>
      </c>
      <c r="E1618" s="208" t="s">
        <v>54</v>
      </c>
      <c r="F1618" t="s">
        <v>7</v>
      </c>
      <c r="G1618" s="18">
        <v>0</v>
      </c>
      <c r="H1618" s="151" t="s">
        <v>563</v>
      </c>
      <c r="I1618" t="s">
        <v>16</v>
      </c>
    </row>
    <row r="1619" spans="1:9" x14ac:dyDescent="0.25">
      <c r="A1619">
        <v>1804</v>
      </c>
      <c r="B1619">
        <f>A1619+1</f>
        <v>1805</v>
      </c>
      <c r="C1619" t="s">
        <v>512</v>
      </c>
      <c r="D1619" t="s">
        <v>26</v>
      </c>
      <c r="E1619" s="208" t="s">
        <v>53</v>
      </c>
      <c r="F1619" t="s">
        <v>7</v>
      </c>
      <c r="G1619" s="18">
        <v>1346</v>
      </c>
      <c r="H1619" s="151" t="s">
        <v>563</v>
      </c>
      <c r="I1619" t="s">
        <v>16</v>
      </c>
    </row>
    <row r="1620" spans="1:9" x14ac:dyDescent="0.25">
      <c r="A1620">
        <v>1804</v>
      </c>
      <c r="B1620">
        <f>A1620+1</f>
        <v>1805</v>
      </c>
      <c r="C1620" t="s">
        <v>512</v>
      </c>
      <c r="D1620" t="s">
        <v>26</v>
      </c>
      <c r="E1620" s="208" t="s">
        <v>335</v>
      </c>
      <c r="F1620" t="s">
        <v>7</v>
      </c>
      <c r="G1620" s="18">
        <v>606</v>
      </c>
      <c r="H1620" s="151" t="s">
        <v>563</v>
      </c>
      <c r="I1620" t="s">
        <v>16</v>
      </c>
    </row>
    <row r="1621" spans="1:9" x14ac:dyDescent="0.25">
      <c r="A1621">
        <v>1804</v>
      </c>
      <c r="B1621">
        <f>A1621+1</f>
        <v>1805</v>
      </c>
      <c r="C1621" t="s">
        <v>512</v>
      </c>
      <c r="D1621" t="s">
        <v>26</v>
      </c>
      <c r="E1621" s="208" t="s">
        <v>336</v>
      </c>
      <c r="F1621" t="s">
        <v>7</v>
      </c>
      <c r="G1621" s="18">
        <v>16079</v>
      </c>
      <c r="H1621" s="151" t="s">
        <v>563</v>
      </c>
      <c r="I1621" t="s">
        <v>16</v>
      </c>
    </row>
    <row r="1622" spans="1:9" x14ac:dyDescent="0.25">
      <c r="A1622">
        <v>1804</v>
      </c>
      <c r="B1622">
        <f>A1622+1</f>
        <v>1805</v>
      </c>
      <c r="C1622" t="s">
        <v>512</v>
      </c>
      <c r="D1622" t="s">
        <v>26</v>
      </c>
      <c r="E1622" s="208" t="s">
        <v>75</v>
      </c>
      <c r="F1622" t="s">
        <v>7</v>
      </c>
      <c r="G1622" s="18">
        <v>3149114</v>
      </c>
      <c r="H1622" s="151" t="s">
        <v>563</v>
      </c>
      <c r="I1622" t="s">
        <v>16</v>
      </c>
    </row>
    <row r="1623" spans="1:9" x14ac:dyDescent="0.25">
      <c r="A1623">
        <v>1804</v>
      </c>
      <c r="B1623">
        <f>A1623+1</f>
        <v>1805</v>
      </c>
      <c r="C1623" t="s">
        <v>512</v>
      </c>
      <c r="D1623" t="s">
        <v>26</v>
      </c>
      <c r="E1623" s="208" t="s">
        <v>107</v>
      </c>
      <c r="F1623" t="s">
        <v>7</v>
      </c>
      <c r="G1623" s="18">
        <v>3659378</v>
      </c>
      <c r="H1623" s="151" t="s">
        <v>563</v>
      </c>
      <c r="I1623" t="s">
        <v>16</v>
      </c>
    </row>
    <row r="1624" spans="1:9" x14ac:dyDescent="0.25">
      <c r="A1624">
        <v>1804</v>
      </c>
      <c r="B1624">
        <f>A1624+1</f>
        <v>1805</v>
      </c>
      <c r="C1624" t="s">
        <v>512</v>
      </c>
      <c r="D1624" t="s">
        <v>26</v>
      </c>
      <c r="E1624" s="208" t="s">
        <v>101</v>
      </c>
      <c r="F1624" t="s">
        <v>7</v>
      </c>
      <c r="G1624" s="18">
        <v>4952385</v>
      </c>
      <c r="H1624" s="151" t="s">
        <v>563</v>
      </c>
      <c r="I1624" t="s">
        <v>16</v>
      </c>
    </row>
    <row r="1625" spans="1:9" x14ac:dyDescent="0.25">
      <c r="A1625">
        <v>1804</v>
      </c>
      <c r="B1625">
        <f>A1625+1</f>
        <v>1805</v>
      </c>
      <c r="C1625" t="s">
        <v>512</v>
      </c>
      <c r="D1625" t="s">
        <v>26</v>
      </c>
      <c r="E1625" s="208" t="s">
        <v>65</v>
      </c>
      <c r="F1625" t="s">
        <v>7</v>
      </c>
      <c r="G1625" s="18">
        <v>7208</v>
      </c>
      <c r="H1625" s="151" t="s">
        <v>563</v>
      </c>
      <c r="I1625" t="s">
        <v>16</v>
      </c>
    </row>
    <row r="1626" spans="1:9" x14ac:dyDescent="0.25">
      <c r="A1626">
        <v>1804</v>
      </c>
      <c r="B1626">
        <f>A1626+1</f>
        <v>1805</v>
      </c>
      <c r="C1626" t="s">
        <v>512</v>
      </c>
      <c r="D1626" t="s">
        <v>26</v>
      </c>
      <c r="E1626" s="208" t="s">
        <v>330</v>
      </c>
      <c r="F1626" t="s">
        <v>7</v>
      </c>
      <c r="G1626" s="18">
        <v>1143</v>
      </c>
      <c r="H1626" s="151" t="s">
        <v>563</v>
      </c>
      <c r="I1626" t="s">
        <v>16</v>
      </c>
    </row>
    <row r="1627" spans="1:9" x14ac:dyDescent="0.25">
      <c r="A1627">
        <v>1804</v>
      </c>
      <c r="B1627">
        <f>A1627+1</f>
        <v>1805</v>
      </c>
      <c r="C1627" t="s">
        <v>512</v>
      </c>
      <c r="D1627" t="s">
        <v>26</v>
      </c>
      <c r="E1627" s="208" t="s">
        <v>331</v>
      </c>
      <c r="F1627" t="s">
        <v>7</v>
      </c>
      <c r="G1627" s="18">
        <v>1146</v>
      </c>
      <c r="H1627" s="151" t="s">
        <v>563</v>
      </c>
      <c r="I1627" t="s">
        <v>16</v>
      </c>
    </row>
    <row r="1628" spans="1:9" x14ac:dyDescent="0.25">
      <c r="A1628">
        <v>1804</v>
      </c>
      <c r="B1628">
        <f>A1628+1</f>
        <v>1805</v>
      </c>
      <c r="C1628" t="s">
        <v>512</v>
      </c>
      <c r="D1628" t="s">
        <v>26</v>
      </c>
      <c r="E1628" s="208" t="s">
        <v>332</v>
      </c>
      <c r="F1628" t="s">
        <v>7</v>
      </c>
      <c r="G1628" s="18">
        <v>476</v>
      </c>
      <c r="H1628" s="151" t="s">
        <v>563</v>
      </c>
      <c r="I1628" t="s">
        <v>16</v>
      </c>
    </row>
    <row r="1629" spans="1:9" x14ac:dyDescent="0.25">
      <c r="A1629">
        <v>1804</v>
      </c>
      <c r="B1629">
        <f>A1629+1</f>
        <v>1805</v>
      </c>
      <c r="C1629" t="s">
        <v>512</v>
      </c>
      <c r="D1629" t="s">
        <v>26</v>
      </c>
      <c r="E1629" s="208" t="s">
        <v>333</v>
      </c>
      <c r="F1629" t="s">
        <v>7</v>
      </c>
      <c r="G1629" s="18">
        <v>227</v>
      </c>
      <c r="H1629" s="151" t="s">
        <v>563</v>
      </c>
      <c r="I1629" t="s">
        <v>16</v>
      </c>
    </row>
    <row r="1630" spans="1:9" x14ac:dyDescent="0.25">
      <c r="A1630">
        <v>1804</v>
      </c>
      <c r="B1630">
        <f>A1630+1</f>
        <v>1805</v>
      </c>
      <c r="C1630" t="s">
        <v>512</v>
      </c>
      <c r="D1630" t="s">
        <v>27</v>
      </c>
      <c r="E1630" s="208" t="s">
        <v>155</v>
      </c>
      <c r="F1630" t="s">
        <v>10</v>
      </c>
      <c r="G1630" s="18">
        <v>141</v>
      </c>
      <c r="H1630" t="s">
        <v>17</v>
      </c>
      <c r="I1630" t="s">
        <v>24</v>
      </c>
    </row>
    <row r="1631" spans="1:9" x14ac:dyDescent="0.25">
      <c r="A1631">
        <v>1804</v>
      </c>
      <c r="B1631">
        <f>A1631+1</f>
        <v>1805</v>
      </c>
      <c r="C1631" t="s">
        <v>512</v>
      </c>
      <c r="D1631" t="s">
        <v>27</v>
      </c>
      <c r="E1631" s="208" t="s">
        <v>156</v>
      </c>
      <c r="F1631" t="s">
        <v>10</v>
      </c>
      <c r="G1631" s="18">
        <v>74</v>
      </c>
      <c r="H1631" t="s">
        <v>17</v>
      </c>
      <c r="I1631" t="s">
        <v>24</v>
      </c>
    </row>
    <row r="1632" spans="1:9" x14ac:dyDescent="0.25">
      <c r="A1632">
        <v>1804</v>
      </c>
      <c r="B1632">
        <f>A1632+1</f>
        <v>1805</v>
      </c>
      <c r="C1632" t="s">
        <v>512</v>
      </c>
      <c r="D1632" t="s">
        <v>27</v>
      </c>
      <c r="E1632" s="208" t="s">
        <v>154</v>
      </c>
      <c r="F1632" t="s">
        <v>10</v>
      </c>
      <c r="G1632" s="18">
        <v>18</v>
      </c>
      <c r="H1632" t="s">
        <v>17</v>
      </c>
      <c r="I1632" t="s">
        <v>24</v>
      </c>
    </row>
    <row r="1633" spans="1:9" x14ac:dyDescent="0.25">
      <c r="A1633">
        <v>1804</v>
      </c>
      <c r="B1633">
        <f>A1633+1</f>
        <v>1805</v>
      </c>
      <c r="C1633" t="s">
        <v>512</v>
      </c>
      <c r="D1633" t="s">
        <v>27</v>
      </c>
      <c r="E1633" s="208" t="s">
        <v>150</v>
      </c>
      <c r="F1633" t="s">
        <v>10</v>
      </c>
      <c r="G1633" s="18">
        <v>441</v>
      </c>
      <c r="H1633" t="s">
        <v>17</v>
      </c>
      <c r="I1633" t="s">
        <v>24</v>
      </c>
    </row>
    <row r="1634" spans="1:9" x14ac:dyDescent="0.25">
      <c r="A1634">
        <v>1804</v>
      </c>
      <c r="B1634">
        <f>A1634+1</f>
        <v>1805</v>
      </c>
      <c r="C1634" t="s">
        <v>512</v>
      </c>
      <c r="D1634" t="s">
        <v>27</v>
      </c>
      <c r="E1634" s="208" t="s">
        <v>148</v>
      </c>
      <c r="F1634" t="s">
        <v>10</v>
      </c>
      <c r="G1634" s="18">
        <v>59</v>
      </c>
      <c r="H1634" t="s">
        <v>17</v>
      </c>
      <c r="I1634" t="s">
        <v>24</v>
      </c>
    </row>
    <row r="1635" spans="1:9" x14ac:dyDescent="0.25">
      <c r="A1635">
        <v>1804</v>
      </c>
      <c r="B1635">
        <f>A1635+1</f>
        <v>1805</v>
      </c>
      <c r="C1635" t="s">
        <v>512</v>
      </c>
      <c r="D1635" t="s">
        <v>27</v>
      </c>
      <c r="E1635" s="208" t="s">
        <v>314</v>
      </c>
      <c r="F1635" t="s">
        <v>10</v>
      </c>
      <c r="G1635" s="18">
        <v>0</v>
      </c>
      <c r="H1635" t="s">
        <v>17</v>
      </c>
      <c r="I1635" t="s">
        <v>24</v>
      </c>
    </row>
    <row r="1636" spans="1:9" x14ac:dyDescent="0.25">
      <c r="A1636">
        <v>1804</v>
      </c>
      <c r="B1636">
        <f>A1636+1</f>
        <v>1805</v>
      </c>
      <c r="C1636" t="s">
        <v>512</v>
      </c>
      <c r="D1636" t="s">
        <v>27</v>
      </c>
      <c r="E1636" s="208" t="s">
        <v>149</v>
      </c>
      <c r="F1636" t="s">
        <v>10</v>
      </c>
      <c r="G1636" s="18">
        <v>0</v>
      </c>
      <c r="H1636" t="s">
        <v>17</v>
      </c>
      <c r="I1636" t="s">
        <v>24</v>
      </c>
    </row>
    <row r="1637" spans="1:9" x14ac:dyDescent="0.25">
      <c r="A1637">
        <v>1804</v>
      </c>
      <c r="B1637">
        <f>A1637+1</f>
        <v>1805</v>
      </c>
      <c r="C1637" t="s">
        <v>512</v>
      </c>
      <c r="D1637" t="s">
        <v>27</v>
      </c>
      <c r="E1637" s="208" t="s">
        <v>139</v>
      </c>
      <c r="F1637" t="s">
        <v>10</v>
      </c>
      <c r="G1637" s="18">
        <v>15</v>
      </c>
      <c r="H1637" t="s">
        <v>17</v>
      </c>
      <c r="I1637" t="s">
        <v>24</v>
      </c>
    </row>
    <row r="1638" spans="1:9" x14ac:dyDescent="0.25">
      <c r="A1638">
        <v>1804</v>
      </c>
      <c r="B1638">
        <f>A1638+1</f>
        <v>1805</v>
      </c>
      <c r="C1638" t="s">
        <v>512</v>
      </c>
      <c r="D1638" t="s">
        <v>27</v>
      </c>
      <c r="E1638" s="208" t="s">
        <v>130</v>
      </c>
      <c r="F1638" t="s">
        <v>10</v>
      </c>
      <c r="G1638" s="18">
        <v>0</v>
      </c>
      <c r="H1638" t="s">
        <v>17</v>
      </c>
      <c r="I1638" t="s">
        <v>24</v>
      </c>
    </row>
    <row r="1639" spans="1:9" x14ac:dyDescent="0.25">
      <c r="A1639">
        <v>1804</v>
      </c>
      <c r="B1639">
        <f>A1639+1</f>
        <v>1805</v>
      </c>
      <c r="C1639" t="s">
        <v>512</v>
      </c>
      <c r="D1639" t="s">
        <v>27</v>
      </c>
      <c r="E1639" s="208" t="s">
        <v>132</v>
      </c>
      <c r="F1639" t="s">
        <v>10</v>
      </c>
      <c r="G1639" s="18">
        <v>0</v>
      </c>
      <c r="H1639" t="s">
        <v>17</v>
      </c>
      <c r="I1639" t="s">
        <v>24</v>
      </c>
    </row>
    <row r="1640" spans="1:9" x14ac:dyDescent="0.25">
      <c r="A1640">
        <v>1804</v>
      </c>
      <c r="B1640">
        <f>A1640+1</f>
        <v>1805</v>
      </c>
      <c r="C1640" t="s">
        <v>512</v>
      </c>
      <c r="D1640" t="s">
        <v>27</v>
      </c>
      <c r="E1640" s="208" t="s">
        <v>142</v>
      </c>
      <c r="F1640" t="s">
        <v>10</v>
      </c>
      <c r="G1640" s="18">
        <v>0</v>
      </c>
      <c r="H1640" t="s">
        <v>17</v>
      </c>
      <c r="I1640" t="s">
        <v>24</v>
      </c>
    </row>
    <row r="1641" spans="1:9" x14ac:dyDescent="0.25">
      <c r="A1641">
        <v>1804</v>
      </c>
      <c r="B1641">
        <f>A1641+1</f>
        <v>1805</v>
      </c>
      <c r="C1641" t="s">
        <v>512</v>
      </c>
      <c r="D1641" t="s">
        <v>27</v>
      </c>
      <c r="E1641" s="208" t="s">
        <v>144</v>
      </c>
      <c r="F1641" t="s">
        <v>10</v>
      </c>
      <c r="G1641" s="18">
        <v>0</v>
      </c>
      <c r="H1641" t="s">
        <v>17</v>
      </c>
      <c r="I1641" t="s">
        <v>24</v>
      </c>
    </row>
    <row r="1642" spans="1:9" x14ac:dyDescent="0.25">
      <c r="A1642">
        <v>1804</v>
      </c>
      <c r="B1642">
        <f>A1642+1</f>
        <v>1805</v>
      </c>
      <c r="C1642" t="s">
        <v>512</v>
      </c>
      <c r="D1642" t="s">
        <v>27</v>
      </c>
      <c r="E1642" s="208" t="s">
        <v>124</v>
      </c>
      <c r="F1642" t="s">
        <v>10</v>
      </c>
      <c r="G1642" s="18">
        <v>4581</v>
      </c>
      <c r="H1642" t="s">
        <v>17</v>
      </c>
      <c r="I1642" t="s">
        <v>24</v>
      </c>
    </row>
    <row r="1643" spans="1:9" x14ac:dyDescent="0.25">
      <c r="A1643">
        <v>1804</v>
      </c>
      <c r="B1643">
        <f>A1643+1</f>
        <v>1805</v>
      </c>
      <c r="C1643" t="s">
        <v>512</v>
      </c>
      <c r="D1643" t="s">
        <v>26</v>
      </c>
      <c r="E1643" s="208" t="s">
        <v>62</v>
      </c>
      <c r="F1643" t="s">
        <v>10</v>
      </c>
      <c r="G1643" s="18">
        <v>0</v>
      </c>
      <c r="H1643" t="s">
        <v>24</v>
      </c>
      <c r="I1643" t="s">
        <v>17</v>
      </c>
    </row>
    <row r="1644" spans="1:9" x14ac:dyDescent="0.25">
      <c r="A1644">
        <v>1804</v>
      </c>
      <c r="B1644">
        <f>A1644+1</f>
        <v>1805</v>
      </c>
      <c r="C1644" t="s">
        <v>512</v>
      </c>
      <c r="D1644" t="s">
        <v>26</v>
      </c>
      <c r="E1644" s="208" t="s">
        <v>36</v>
      </c>
      <c r="F1644" t="s">
        <v>10</v>
      </c>
      <c r="G1644" s="18">
        <v>0</v>
      </c>
      <c r="H1644" t="s">
        <v>24</v>
      </c>
      <c r="I1644" t="s">
        <v>17</v>
      </c>
    </row>
    <row r="1645" spans="1:9" x14ac:dyDescent="0.25">
      <c r="A1645">
        <v>1804</v>
      </c>
      <c r="B1645">
        <f>A1645+1</f>
        <v>1805</v>
      </c>
      <c r="C1645" t="s">
        <v>512</v>
      </c>
      <c r="D1645" t="s">
        <v>26</v>
      </c>
      <c r="E1645" s="208" t="s">
        <v>28</v>
      </c>
      <c r="F1645" t="s">
        <v>10</v>
      </c>
      <c r="G1645" s="18">
        <v>15</v>
      </c>
      <c r="H1645" t="s">
        <v>24</v>
      </c>
      <c r="I1645" t="s">
        <v>17</v>
      </c>
    </row>
    <row r="1646" spans="1:9" x14ac:dyDescent="0.25">
      <c r="A1646">
        <v>1804</v>
      </c>
      <c r="B1646">
        <f>A1646+1</f>
        <v>1805</v>
      </c>
      <c r="C1646" t="s">
        <v>512</v>
      </c>
      <c r="D1646" t="s">
        <v>26</v>
      </c>
      <c r="E1646" s="208" t="s">
        <v>89</v>
      </c>
      <c r="F1646" t="s">
        <v>10</v>
      </c>
      <c r="G1646" s="18">
        <v>10</v>
      </c>
      <c r="H1646" t="s">
        <v>24</v>
      </c>
      <c r="I1646" t="s">
        <v>17</v>
      </c>
    </row>
    <row r="1647" spans="1:9" x14ac:dyDescent="0.25">
      <c r="A1647">
        <v>1804</v>
      </c>
      <c r="B1647">
        <f>A1647+1</f>
        <v>1805</v>
      </c>
      <c r="C1647" t="s">
        <v>512</v>
      </c>
      <c r="D1647" t="s">
        <v>26</v>
      </c>
      <c r="E1647" s="208" t="s">
        <v>45</v>
      </c>
      <c r="F1647" t="s">
        <v>10</v>
      </c>
      <c r="G1647" s="18">
        <v>0</v>
      </c>
      <c r="H1647" t="s">
        <v>24</v>
      </c>
      <c r="I1647" t="s">
        <v>17</v>
      </c>
    </row>
    <row r="1648" spans="1:9" x14ac:dyDescent="0.25">
      <c r="A1648">
        <v>1804</v>
      </c>
      <c r="B1648">
        <f>A1648+1</f>
        <v>1805</v>
      </c>
      <c r="C1648" t="s">
        <v>512</v>
      </c>
      <c r="D1648" t="s">
        <v>26</v>
      </c>
      <c r="E1648" s="208" t="s">
        <v>53</v>
      </c>
      <c r="F1648" t="s">
        <v>10</v>
      </c>
      <c r="G1648" s="18">
        <v>0</v>
      </c>
      <c r="H1648" t="s">
        <v>24</v>
      </c>
      <c r="I1648" t="s">
        <v>17</v>
      </c>
    </row>
    <row r="1649" spans="1:9" x14ac:dyDescent="0.25">
      <c r="A1649">
        <v>1804</v>
      </c>
      <c r="B1649">
        <f>A1649+1</f>
        <v>1805</v>
      </c>
      <c r="C1649" t="s">
        <v>512</v>
      </c>
      <c r="D1649" t="s">
        <v>26</v>
      </c>
      <c r="E1649" s="208" t="s">
        <v>75</v>
      </c>
      <c r="F1649" t="s">
        <v>10</v>
      </c>
      <c r="G1649" s="18">
        <v>256000</v>
      </c>
      <c r="H1649" t="s">
        <v>24</v>
      </c>
      <c r="I1649" t="s">
        <v>17</v>
      </c>
    </row>
    <row r="1650" spans="1:9" x14ac:dyDescent="0.25">
      <c r="A1650">
        <v>1804</v>
      </c>
      <c r="B1650">
        <f>A1650+1</f>
        <v>1805</v>
      </c>
      <c r="C1650" t="s">
        <v>512</v>
      </c>
      <c r="D1650" t="s">
        <v>26</v>
      </c>
      <c r="E1650" s="208" t="s">
        <v>107</v>
      </c>
      <c r="F1650" t="s">
        <v>10</v>
      </c>
      <c r="G1650" s="18">
        <v>13600</v>
      </c>
      <c r="H1650" t="s">
        <v>24</v>
      </c>
      <c r="I1650" t="s">
        <v>17</v>
      </c>
    </row>
    <row r="1651" spans="1:9" x14ac:dyDescent="0.25">
      <c r="A1651">
        <v>1804</v>
      </c>
      <c r="B1651">
        <f>A1651+1</f>
        <v>1805</v>
      </c>
      <c r="C1651" t="s">
        <v>512</v>
      </c>
      <c r="D1651" t="s">
        <v>26</v>
      </c>
      <c r="E1651" s="208" t="s">
        <v>101</v>
      </c>
      <c r="F1651" t="s">
        <v>10</v>
      </c>
      <c r="G1651" s="18">
        <v>39000</v>
      </c>
      <c r="H1651" t="s">
        <v>24</v>
      </c>
      <c r="I1651" t="s">
        <v>17</v>
      </c>
    </row>
    <row r="1652" spans="1:9" x14ac:dyDescent="0.25">
      <c r="A1652">
        <v>1804</v>
      </c>
      <c r="B1652">
        <f>A1652+1</f>
        <v>1805</v>
      </c>
      <c r="C1652" t="s">
        <v>512</v>
      </c>
      <c r="D1652" t="s">
        <v>26</v>
      </c>
      <c r="E1652" s="208" t="s">
        <v>330</v>
      </c>
      <c r="F1652" t="s">
        <v>13</v>
      </c>
      <c r="G1652" s="18">
        <v>355</v>
      </c>
      <c r="H1652" t="s">
        <v>25</v>
      </c>
      <c r="I1652" t="s">
        <v>17</v>
      </c>
    </row>
    <row r="1653" spans="1:9" x14ac:dyDescent="0.25">
      <c r="A1653">
        <v>1804</v>
      </c>
      <c r="B1653">
        <f>A1653+1</f>
        <v>1805</v>
      </c>
      <c r="C1653" t="s">
        <v>512</v>
      </c>
      <c r="D1653" t="s">
        <v>26</v>
      </c>
      <c r="E1653" s="208" t="s">
        <v>331</v>
      </c>
      <c r="F1653" t="s">
        <v>13</v>
      </c>
      <c r="G1653" s="18">
        <v>807</v>
      </c>
      <c r="H1653" t="s">
        <v>25</v>
      </c>
      <c r="I1653" t="s">
        <v>17</v>
      </c>
    </row>
    <row r="1654" spans="1:9" x14ac:dyDescent="0.25">
      <c r="A1654">
        <v>1804</v>
      </c>
      <c r="B1654">
        <f>A1654+1</f>
        <v>1805</v>
      </c>
      <c r="C1654" t="s">
        <v>512</v>
      </c>
      <c r="D1654" t="s">
        <v>26</v>
      </c>
      <c r="E1654" s="208" t="s">
        <v>332</v>
      </c>
      <c r="F1654" t="s">
        <v>13</v>
      </c>
      <c r="G1654" s="18">
        <v>0</v>
      </c>
      <c r="H1654" t="s">
        <v>25</v>
      </c>
      <c r="I1654" t="s">
        <v>17</v>
      </c>
    </row>
    <row r="1655" spans="1:9" x14ac:dyDescent="0.25">
      <c r="A1655">
        <v>1804</v>
      </c>
      <c r="B1655">
        <f>A1655+1</f>
        <v>1805</v>
      </c>
      <c r="C1655" t="s">
        <v>512</v>
      </c>
      <c r="D1655" t="s">
        <v>26</v>
      </c>
      <c r="E1655" s="208" t="s">
        <v>333</v>
      </c>
      <c r="F1655" t="s">
        <v>13</v>
      </c>
      <c r="G1655" s="18">
        <v>1117</v>
      </c>
      <c r="H1655" t="s">
        <v>25</v>
      </c>
      <c r="I1655" t="s">
        <v>17</v>
      </c>
    </row>
    <row r="1656" spans="1:9" x14ac:dyDescent="0.25">
      <c r="A1656">
        <v>1804</v>
      </c>
      <c r="B1656">
        <f>A1656+1</f>
        <v>1805</v>
      </c>
      <c r="C1656" t="s">
        <v>512</v>
      </c>
      <c r="D1656" t="s">
        <v>27</v>
      </c>
      <c r="E1656" s="208" t="s">
        <v>155</v>
      </c>
      <c r="F1656" t="s">
        <v>8</v>
      </c>
      <c r="G1656" s="18">
        <v>80916</v>
      </c>
      <c r="H1656" t="s">
        <v>17</v>
      </c>
      <c r="I1656" t="s">
        <v>18</v>
      </c>
    </row>
    <row r="1657" spans="1:9" x14ac:dyDescent="0.25">
      <c r="A1657">
        <v>1804</v>
      </c>
      <c r="B1657">
        <f>A1657+1</f>
        <v>1805</v>
      </c>
      <c r="C1657" t="s">
        <v>512</v>
      </c>
      <c r="D1657" t="s">
        <v>27</v>
      </c>
      <c r="E1657" s="208" t="s">
        <v>156</v>
      </c>
      <c r="F1657" t="s">
        <v>8</v>
      </c>
      <c r="G1657" s="18">
        <v>11510</v>
      </c>
      <c r="H1657" t="s">
        <v>17</v>
      </c>
      <c r="I1657" t="s">
        <v>18</v>
      </c>
    </row>
    <row r="1658" spans="1:9" x14ac:dyDescent="0.25">
      <c r="A1658">
        <v>1804</v>
      </c>
      <c r="B1658">
        <f>A1658+1</f>
        <v>1805</v>
      </c>
      <c r="C1658" t="s">
        <v>512</v>
      </c>
      <c r="D1658" t="s">
        <v>27</v>
      </c>
      <c r="E1658" s="208" t="s">
        <v>154</v>
      </c>
      <c r="F1658" t="s">
        <v>8</v>
      </c>
      <c r="G1658" s="18">
        <v>1401</v>
      </c>
      <c r="H1658" t="s">
        <v>17</v>
      </c>
      <c r="I1658" t="s">
        <v>18</v>
      </c>
    </row>
    <row r="1659" spans="1:9" x14ac:dyDescent="0.25">
      <c r="A1659">
        <v>1804</v>
      </c>
      <c r="B1659">
        <f>A1659+1</f>
        <v>1805</v>
      </c>
      <c r="C1659" t="s">
        <v>512</v>
      </c>
      <c r="D1659" t="s">
        <v>27</v>
      </c>
      <c r="E1659" s="208" t="s">
        <v>150</v>
      </c>
      <c r="F1659" t="s">
        <v>8</v>
      </c>
      <c r="G1659" s="18">
        <v>20336</v>
      </c>
      <c r="H1659" t="s">
        <v>17</v>
      </c>
      <c r="I1659" t="s">
        <v>18</v>
      </c>
    </row>
    <row r="1660" spans="1:9" x14ac:dyDescent="0.25">
      <c r="A1660">
        <v>1804</v>
      </c>
      <c r="B1660">
        <f>A1660+1</f>
        <v>1805</v>
      </c>
      <c r="C1660" t="s">
        <v>512</v>
      </c>
      <c r="D1660" t="s">
        <v>27</v>
      </c>
      <c r="E1660" s="208" t="s">
        <v>148</v>
      </c>
      <c r="F1660" t="s">
        <v>8</v>
      </c>
      <c r="G1660" s="18">
        <v>345</v>
      </c>
      <c r="H1660" t="s">
        <v>17</v>
      </c>
      <c r="I1660" t="s">
        <v>18</v>
      </c>
    </row>
    <row r="1661" spans="1:9" x14ac:dyDescent="0.25">
      <c r="A1661">
        <v>1804</v>
      </c>
      <c r="B1661">
        <f>A1661+1</f>
        <v>1805</v>
      </c>
      <c r="C1661" t="s">
        <v>512</v>
      </c>
      <c r="D1661" t="s">
        <v>27</v>
      </c>
      <c r="E1661" s="208" t="s">
        <v>314</v>
      </c>
      <c r="F1661" t="s">
        <v>8</v>
      </c>
      <c r="G1661" s="18">
        <v>0</v>
      </c>
      <c r="H1661" t="s">
        <v>17</v>
      </c>
      <c r="I1661" t="s">
        <v>18</v>
      </c>
    </row>
    <row r="1662" spans="1:9" x14ac:dyDescent="0.25">
      <c r="A1662">
        <v>1804</v>
      </c>
      <c r="B1662">
        <f>A1662+1</f>
        <v>1805</v>
      </c>
      <c r="C1662" t="s">
        <v>512</v>
      </c>
      <c r="D1662" t="s">
        <v>27</v>
      </c>
      <c r="E1662" s="208" t="s">
        <v>149</v>
      </c>
      <c r="F1662" t="s">
        <v>8</v>
      </c>
      <c r="G1662" s="18">
        <v>0</v>
      </c>
      <c r="H1662" t="s">
        <v>17</v>
      </c>
      <c r="I1662" t="s">
        <v>18</v>
      </c>
    </row>
    <row r="1663" spans="1:9" x14ac:dyDescent="0.25">
      <c r="A1663">
        <v>1804</v>
      </c>
      <c r="B1663">
        <f>A1663+1</f>
        <v>1805</v>
      </c>
      <c r="C1663" t="s">
        <v>512</v>
      </c>
      <c r="D1663" t="s">
        <v>27</v>
      </c>
      <c r="E1663" s="208" t="s">
        <v>139</v>
      </c>
      <c r="F1663" t="s">
        <v>8</v>
      </c>
      <c r="G1663" s="18">
        <v>12</v>
      </c>
      <c r="H1663" t="s">
        <v>17</v>
      </c>
      <c r="I1663" t="s">
        <v>18</v>
      </c>
    </row>
    <row r="1664" spans="1:9" x14ac:dyDescent="0.25">
      <c r="A1664">
        <v>1804</v>
      </c>
      <c r="B1664">
        <f>A1664+1</f>
        <v>1805</v>
      </c>
      <c r="C1664" t="s">
        <v>512</v>
      </c>
      <c r="D1664" t="s">
        <v>27</v>
      </c>
      <c r="E1664" s="208" t="s">
        <v>130</v>
      </c>
      <c r="F1664" t="s">
        <v>8</v>
      </c>
      <c r="G1664" s="18">
        <v>1309</v>
      </c>
      <c r="H1664" t="s">
        <v>17</v>
      </c>
      <c r="I1664" t="s">
        <v>18</v>
      </c>
    </row>
    <row r="1665" spans="1:9" x14ac:dyDescent="0.25">
      <c r="A1665">
        <v>1804</v>
      </c>
      <c r="B1665">
        <f>A1665+1</f>
        <v>1805</v>
      </c>
      <c r="C1665" t="s">
        <v>512</v>
      </c>
      <c r="D1665" t="s">
        <v>27</v>
      </c>
      <c r="E1665" s="208" t="s">
        <v>132</v>
      </c>
      <c r="F1665" t="s">
        <v>8</v>
      </c>
      <c r="G1665" s="18">
        <v>55</v>
      </c>
      <c r="H1665" t="s">
        <v>17</v>
      </c>
      <c r="I1665" t="s">
        <v>18</v>
      </c>
    </row>
    <row r="1666" spans="1:9" x14ac:dyDescent="0.25">
      <c r="A1666">
        <v>1804</v>
      </c>
      <c r="B1666">
        <f>A1666+1</f>
        <v>1805</v>
      </c>
      <c r="C1666" t="s">
        <v>512</v>
      </c>
      <c r="D1666" t="s">
        <v>27</v>
      </c>
      <c r="E1666" s="208" t="s">
        <v>142</v>
      </c>
      <c r="F1666" t="s">
        <v>8</v>
      </c>
      <c r="G1666" s="18">
        <v>4734</v>
      </c>
      <c r="H1666" t="s">
        <v>17</v>
      </c>
      <c r="I1666" t="s">
        <v>18</v>
      </c>
    </row>
    <row r="1667" spans="1:9" x14ac:dyDescent="0.25">
      <c r="A1667">
        <v>1804</v>
      </c>
      <c r="B1667">
        <f>A1667+1</f>
        <v>1805</v>
      </c>
      <c r="C1667" t="s">
        <v>512</v>
      </c>
      <c r="D1667" t="s">
        <v>27</v>
      </c>
      <c r="E1667" s="208" t="s">
        <v>144</v>
      </c>
      <c r="F1667" t="s">
        <v>8</v>
      </c>
      <c r="G1667" s="18">
        <v>141</v>
      </c>
      <c r="H1667" t="s">
        <v>17</v>
      </c>
      <c r="I1667" t="s">
        <v>18</v>
      </c>
    </row>
    <row r="1668" spans="1:9" x14ac:dyDescent="0.25">
      <c r="A1668">
        <v>1804</v>
      </c>
      <c r="B1668">
        <f>A1668+1</f>
        <v>1805</v>
      </c>
      <c r="C1668" t="s">
        <v>512</v>
      </c>
      <c r="D1668" t="s">
        <v>27</v>
      </c>
      <c r="E1668" s="208" t="s">
        <v>124</v>
      </c>
      <c r="F1668" t="s">
        <v>8</v>
      </c>
      <c r="G1668" s="18">
        <v>6644209</v>
      </c>
      <c r="H1668" t="s">
        <v>17</v>
      </c>
      <c r="I1668" t="s">
        <v>18</v>
      </c>
    </row>
    <row r="1669" spans="1:9" x14ac:dyDescent="0.25">
      <c r="A1669">
        <v>1804</v>
      </c>
      <c r="B1669">
        <f>A1669+1</f>
        <v>1805</v>
      </c>
      <c r="C1669" t="s">
        <v>512</v>
      </c>
      <c r="D1669" t="s">
        <v>26</v>
      </c>
      <c r="E1669" s="208" t="s">
        <v>65</v>
      </c>
      <c r="F1669" t="s">
        <v>164</v>
      </c>
      <c r="G1669" s="18">
        <v>17522</v>
      </c>
      <c r="H1669" t="s">
        <v>160</v>
      </c>
      <c r="I1669" t="s">
        <v>17</v>
      </c>
    </row>
    <row r="1670" spans="1:9" x14ac:dyDescent="0.25">
      <c r="A1670">
        <v>1804</v>
      </c>
      <c r="B1670">
        <f>A1670+1</f>
        <v>1805</v>
      </c>
      <c r="C1670" t="s">
        <v>512</v>
      </c>
      <c r="D1670" t="s">
        <v>27</v>
      </c>
      <c r="E1670" s="208" t="s">
        <v>155</v>
      </c>
      <c r="F1670" t="s">
        <v>9</v>
      </c>
      <c r="G1670" s="18">
        <v>0</v>
      </c>
      <c r="H1670" t="s">
        <v>17</v>
      </c>
      <c r="I1670" t="s">
        <v>21</v>
      </c>
    </row>
    <row r="1671" spans="1:9" x14ac:dyDescent="0.25">
      <c r="A1671">
        <v>1804</v>
      </c>
      <c r="B1671">
        <f>A1671+1</f>
        <v>1805</v>
      </c>
      <c r="C1671" t="s">
        <v>512</v>
      </c>
      <c r="D1671" t="s">
        <v>27</v>
      </c>
      <c r="E1671" s="208" t="s">
        <v>156</v>
      </c>
      <c r="F1671" t="s">
        <v>9</v>
      </c>
      <c r="G1671" s="18">
        <v>0</v>
      </c>
      <c r="H1671" t="s">
        <v>17</v>
      </c>
      <c r="I1671" t="s">
        <v>21</v>
      </c>
    </row>
    <row r="1672" spans="1:9" x14ac:dyDescent="0.25">
      <c r="A1672">
        <v>1804</v>
      </c>
      <c r="B1672">
        <f>A1672+1</f>
        <v>1805</v>
      </c>
      <c r="C1672" t="s">
        <v>512</v>
      </c>
      <c r="D1672" t="s">
        <v>27</v>
      </c>
      <c r="E1672" s="208" t="s">
        <v>154</v>
      </c>
      <c r="F1672" t="s">
        <v>9</v>
      </c>
      <c r="G1672" s="18">
        <v>0</v>
      </c>
      <c r="H1672" t="s">
        <v>17</v>
      </c>
      <c r="I1672" t="s">
        <v>21</v>
      </c>
    </row>
    <row r="1673" spans="1:9" x14ac:dyDescent="0.25">
      <c r="A1673">
        <v>1804</v>
      </c>
      <c r="B1673">
        <f>A1673+1</f>
        <v>1805</v>
      </c>
      <c r="C1673" t="s">
        <v>512</v>
      </c>
      <c r="D1673" t="s">
        <v>27</v>
      </c>
      <c r="E1673" s="208" t="s">
        <v>150</v>
      </c>
      <c r="F1673" t="s">
        <v>9</v>
      </c>
      <c r="G1673" s="18">
        <v>159</v>
      </c>
      <c r="H1673" t="s">
        <v>17</v>
      </c>
      <c r="I1673" t="s">
        <v>21</v>
      </c>
    </row>
    <row r="1674" spans="1:9" x14ac:dyDescent="0.25">
      <c r="A1674">
        <v>1804</v>
      </c>
      <c r="B1674">
        <f>A1674+1</f>
        <v>1805</v>
      </c>
      <c r="C1674" t="s">
        <v>512</v>
      </c>
      <c r="D1674" t="s">
        <v>27</v>
      </c>
      <c r="E1674" s="208" t="s">
        <v>148</v>
      </c>
      <c r="F1674" t="s">
        <v>9</v>
      </c>
      <c r="G1674" s="18">
        <v>2</v>
      </c>
      <c r="H1674" t="s">
        <v>17</v>
      </c>
      <c r="I1674" t="s">
        <v>21</v>
      </c>
    </row>
    <row r="1675" spans="1:9" x14ac:dyDescent="0.25">
      <c r="A1675">
        <v>1804</v>
      </c>
      <c r="B1675">
        <f>A1675+1</f>
        <v>1805</v>
      </c>
      <c r="C1675" t="s">
        <v>512</v>
      </c>
      <c r="D1675" t="s">
        <v>27</v>
      </c>
      <c r="E1675" s="208" t="s">
        <v>314</v>
      </c>
      <c r="F1675" t="s">
        <v>9</v>
      </c>
      <c r="G1675" s="18">
        <v>0</v>
      </c>
      <c r="H1675" t="s">
        <v>17</v>
      </c>
      <c r="I1675" t="s">
        <v>21</v>
      </c>
    </row>
    <row r="1676" spans="1:9" x14ac:dyDescent="0.25">
      <c r="A1676">
        <v>1804</v>
      </c>
      <c r="B1676">
        <f>A1676+1</f>
        <v>1805</v>
      </c>
      <c r="C1676" t="s">
        <v>512</v>
      </c>
      <c r="D1676" t="s">
        <v>27</v>
      </c>
      <c r="E1676" s="208" t="s">
        <v>149</v>
      </c>
      <c r="F1676" t="s">
        <v>9</v>
      </c>
      <c r="G1676" s="18">
        <v>0</v>
      </c>
      <c r="H1676" t="s">
        <v>17</v>
      </c>
      <c r="I1676" t="s">
        <v>21</v>
      </c>
    </row>
    <row r="1677" spans="1:9" x14ac:dyDescent="0.25">
      <c r="A1677">
        <v>1804</v>
      </c>
      <c r="B1677">
        <f>A1677+1</f>
        <v>1805</v>
      </c>
      <c r="C1677" t="s">
        <v>512</v>
      </c>
      <c r="D1677" t="s">
        <v>27</v>
      </c>
      <c r="E1677" s="208" t="s">
        <v>139</v>
      </c>
      <c r="F1677" t="s">
        <v>9</v>
      </c>
      <c r="G1677" s="18">
        <v>0</v>
      </c>
      <c r="H1677" t="s">
        <v>17</v>
      </c>
      <c r="I1677" t="s">
        <v>21</v>
      </c>
    </row>
    <row r="1678" spans="1:9" x14ac:dyDescent="0.25">
      <c r="A1678">
        <v>1804</v>
      </c>
      <c r="B1678">
        <f>A1678+1</f>
        <v>1805</v>
      </c>
      <c r="C1678" t="s">
        <v>512</v>
      </c>
      <c r="D1678" t="s">
        <v>27</v>
      </c>
      <c r="E1678" s="208" t="s">
        <v>130</v>
      </c>
      <c r="F1678" t="s">
        <v>9</v>
      </c>
      <c r="G1678" s="18">
        <v>0</v>
      </c>
      <c r="H1678" t="s">
        <v>17</v>
      </c>
      <c r="I1678" t="s">
        <v>21</v>
      </c>
    </row>
    <row r="1679" spans="1:9" x14ac:dyDescent="0.25">
      <c r="A1679">
        <v>1804</v>
      </c>
      <c r="B1679">
        <f>A1679+1</f>
        <v>1805</v>
      </c>
      <c r="C1679" t="s">
        <v>512</v>
      </c>
      <c r="D1679" t="s">
        <v>27</v>
      </c>
      <c r="E1679" s="208" t="s">
        <v>132</v>
      </c>
      <c r="F1679" t="s">
        <v>9</v>
      </c>
      <c r="G1679" s="18">
        <v>0</v>
      </c>
      <c r="H1679" t="s">
        <v>17</v>
      </c>
      <c r="I1679" t="s">
        <v>21</v>
      </c>
    </row>
    <row r="1680" spans="1:9" x14ac:dyDescent="0.25">
      <c r="A1680">
        <v>1804</v>
      </c>
      <c r="B1680">
        <f>A1680+1</f>
        <v>1805</v>
      </c>
      <c r="C1680" t="s">
        <v>512</v>
      </c>
      <c r="D1680" t="s">
        <v>27</v>
      </c>
      <c r="E1680" s="208" t="s">
        <v>142</v>
      </c>
      <c r="F1680" t="s">
        <v>9</v>
      </c>
      <c r="G1680" s="18">
        <v>0</v>
      </c>
      <c r="H1680" t="s">
        <v>17</v>
      </c>
      <c r="I1680" t="s">
        <v>21</v>
      </c>
    </row>
    <row r="1681" spans="1:9" x14ac:dyDescent="0.25">
      <c r="A1681">
        <v>1804</v>
      </c>
      <c r="B1681">
        <f>A1681+1</f>
        <v>1805</v>
      </c>
      <c r="C1681" t="s">
        <v>512</v>
      </c>
      <c r="D1681" t="s">
        <v>27</v>
      </c>
      <c r="E1681" s="208" t="s">
        <v>144</v>
      </c>
      <c r="F1681" t="s">
        <v>9</v>
      </c>
      <c r="G1681" s="18">
        <v>0</v>
      </c>
      <c r="H1681" t="s">
        <v>17</v>
      </c>
      <c r="I1681" t="s">
        <v>21</v>
      </c>
    </row>
    <row r="1682" spans="1:9" x14ac:dyDescent="0.25">
      <c r="A1682">
        <v>1804</v>
      </c>
      <c r="B1682">
        <f>A1682+1</f>
        <v>1805</v>
      </c>
      <c r="C1682" t="s">
        <v>512</v>
      </c>
      <c r="D1682" t="s">
        <v>27</v>
      </c>
      <c r="E1682" s="208" t="s">
        <v>124</v>
      </c>
      <c r="F1682" t="s">
        <v>9</v>
      </c>
      <c r="G1682" s="18">
        <v>17147</v>
      </c>
      <c r="H1682" t="s">
        <v>17</v>
      </c>
      <c r="I1682" t="s">
        <v>21</v>
      </c>
    </row>
    <row r="1683" spans="1:9" x14ac:dyDescent="0.25">
      <c r="A1683">
        <v>1804</v>
      </c>
      <c r="B1683">
        <f>A1683+1</f>
        <v>1805</v>
      </c>
      <c r="C1683" t="s">
        <v>512</v>
      </c>
      <c r="D1683" t="s">
        <v>27</v>
      </c>
      <c r="E1683" s="208" t="s">
        <v>155</v>
      </c>
      <c r="F1683" t="s">
        <v>11</v>
      </c>
      <c r="G1683" s="18">
        <v>58</v>
      </c>
      <c r="H1683" t="s">
        <v>17</v>
      </c>
      <c r="I1683" t="s">
        <v>23</v>
      </c>
    </row>
    <row r="1684" spans="1:9" x14ac:dyDescent="0.25">
      <c r="A1684">
        <v>1804</v>
      </c>
      <c r="B1684">
        <f>A1684+1</f>
        <v>1805</v>
      </c>
      <c r="C1684" t="s">
        <v>512</v>
      </c>
      <c r="D1684" t="s">
        <v>27</v>
      </c>
      <c r="E1684" s="208" t="s">
        <v>156</v>
      </c>
      <c r="F1684" t="s">
        <v>11</v>
      </c>
      <c r="G1684" s="18">
        <v>23</v>
      </c>
      <c r="H1684" t="s">
        <v>17</v>
      </c>
      <c r="I1684" t="s">
        <v>23</v>
      </c>
    </row>
    <row r="1685" spans="1:9" x14ac:dyDescent="0.25">
      <c r="A1685">
        <v>1804</v>
      </c>
      <c r="B1685">
        <f>A1685+1</f>
        <v>1805</v>
      </c>
      <c r="C1685" t="s">
        <v>512</v>
      </c>
      <c r="D1685" t="s">
        <v>27</v>
      </c>
      <c r="E1685" s="208" t="s">
        <v>154</v>
      </c>
      <c r="F1685" t="s">
        <v>11</v>
      </c>
      <c r="G1685" s="18">
        <v>9</v>
      </c>
      <c r="H1685" t="s">
        <v>17</v>
      </c>
      <c r="I1685" t="s">
        <v>23</v>
      </c>
    </row>
    <row r="1686" spans="1:9" x14ac:dyDescent="0.25">
      <c r="A1686">
        <v>1804</v>
      </c>
      <c r="B1686">
        <f>A1686+1</f>
        <v>1805</v>
      </c>
      <c r="C1686" t="s">
        <v>512</v>
      </c>
      <c r="D1686" t="s">
        <v>27</v>
      </c>
      <c r="E1686" s="208" t="s">
        <v>150</v>
      </c>
      <c r="F1686" t="s">
        <v>11</v>
      </c>
      <c r="G1686" s="18">
        <v>14405</v>
      </c>
      <c r="H1686" t="s">
        <v>17</v>
      </c>
      <c r="I1686" t="s">
        <v>23</v>
      </c>
    </row>
    <row r="1687" spans="1:9" x14ac:dyDescent="0.25">
      <c r="A1687">
        <v>1804</v>
      </c>
      <c r="B1687">
        <f>A1687+1</f>
        <v>1805</v>
      </c>
      <c r="C1687" t="s">
        <v>512</v>
      </c>
      <c r="D1687" t="s">
        <v>27</v>
      </c>
      <c r="E1687" s="208" t="s">
        <v>148</v>
      </c>
      <c r="F1687" t="s">
        <v>11</v>
      </c>
      <c r="G1687" s="18">
        <v>0</v>
      </c>
      <c r="H1687" t="s">
        <v>17</v>
      </c>
      <c r="I1687" t="s">
        <v>23</v>
      </c>
    </row>
    <row r="1688" spans="1:9" x14ac:dyDescent="0.25">
      <c r="A1688">
        <v>1804</v>
      </c>
      <c r="B1688">
        <f>A1688+1</f>
        <v>1805</v>
      </c>
      <c r="C1688" t="s">
        <v>512</v>
      </c>
      <c r="D1688" t="s">
        <v>27</v>
      </c>
      <c r="E1688" s="208" t="s">
        <v>314</v>
      </c>
      <c r="F1688" t="s">
        <v>11</v>
      </c>
      <c r="G1688" s="18">
        <v>0</v>
      </c>
      <c r="H1688" t="s">
        <v>17</v>
      </c>
      <c r="I1688" t="s">
        <v>23</v>
      </c>
    </row>
    <row r="1689" spans="1:9" x14ac:dyDescent="0.25">
      <c r="A1689">
        <v>1804</v>
      </c>
      <c r="B1689">
        <f>A1689+1</f>
        <v>1805</v>
      </c>
      <c r="C1689" t="s">
        <v>512</v>
      </c>
      <c r="D1689" t="s">
        <v>27</v>
      </c>
      <c r="E1689" s="208" t="s">
        <v>149</v>
      </c>
      <c r="F1689" t="s">
        <v>11</v>
      </c>
      <c r="G1689" s="18">
        <v>0</v>
      </c>
      <c r="H1689" t="s">
        <v>17</v>
      </c>
      <c r="I1689" t="s">
        <v>23</v>
      </c>
    </row>
    <row r="1690" spans="1:9" x14ac:dyDescent="0.25">
      <c r="A1690">
        <v>1804</v>
      </c>
      <c r="B1690">
        <f>A1690+1</f>
        <v>1805</v>
      </c>
      <c r="C1690" t="s">
        <v>512</v>
      </c>
      <c r="D1690" t="s">
        <v>27</v>
      </c>
      <c r="E1690" s="208" t="s">
        <v>139</v>
      </c>
      <c r="F1690" t="s">
        <v>11</v>
      </c>
      <c r="G1690" s="18">
        <v>329</v>
      </c>
      <c r="H1690" t="s">
        <v>17</v>
      </c>
      <c r="I1690" t="s">
        <v>23</v>
      </c>
    </row>
    <row r="1691" spans="1:9" x14ac:dyDescent="0.25">
      <c r="A1691">
        <v>1804</v>
      </c>
      <c r="B1691">
        <f>A1691+1</f>
        <v>1805</v>
      </c>
      <c r="C1691" t="s">
        <v>512</v>
      </c>
      <c r="D1691" t="s">
        <v>27</v>
      </c>
      <c r="E1691" s="208" t="s">
        <v>130</v>
      </c>
      <c r="F1691" t="s">
        <v>11</v>
      </c>
      <c r="G1691" s="18">
        <v>46</v>
      </c>
      <c r="H1691" t="s">
        <v>17</v>
      </c>
      <c r="I1691" t="s">
        <v>23</v>
      </c>
    </row>
    <row r="1692" spans="1:9" x14ac:dyDescent="0.25">
      <c r="A1692">
        <v>1804</v>
      </c>
      <c r="B1692">
        <f>A1692+1</f>
        <v>1805</v>
      </c>
      <c r="C1692" t="s">
        <v>512</v>
      </c>
      <c r="D1692" t="s">
        <v>27</v>
      </c>
      <c r="E1692" s="208" t="s">
        <v>132</v>
      </c>
      <c r="F1692" t="s">
        <v>11</v>
      </c>
      <c r="G1692" s="18">
        <v>0</v>
      </c>
      <c r="H1692" t="s">
        <v>17</v>
      </c>
      <c r="I1692" t="s">
        <v>23</v>
      </c>
    </row>
    <row r="1693" spans="1:9" x14ac:dyDescent="0.25">
      <c r="A1693">
        <v>1804</v>
      </c>
      <c r="B1693">
        <f>A1693+1</f>
        <v>1805</v>
      </c>
      <c r="C1693" t="s">
        <v>512</v>
      </c>
      <c r="D1693" t="s">
        <v>27</v>
      </c>
      <c r="E1693" s="208" t="s">
        <v>142</v>
      </c>
      <c r="F1693" t="s">
        <v>11</v>
      </c>
      <c r="G1693" s="18">
        <v>0</v>
      </c>
      <c r="H1693" t="s">
        <v>17</v>
      </c>
      <c r="I1693" t="s">
        <v>23</v>
      </c>
    </row>
    <row r="1694" spans="1:9" x14ac:dyDescent="0.25">
      <c r="A1694">
        <v>1804</v>
      </c>
      <c r="B1694">
        <f>A1694+1</f>
        <v>1805</v>
      </c>
      <c r="C1694" t="s">
        <v>512</v>
      </c>
      <c r="D1694" t="s">
        <v>27</v>
      </c>
      <c r="E1694" s="208" t="s">
        <v>144</v>
      </c>
      <c r="F1694" t="s">
        <v>11</v>
      </c>
      <c r="G1694" s="18">
        <v>15</v>
      </c>
      <c r="H1694" t="s">
        <v>17</v>
      </c>
      <c r="I1694" t="s">
        <v>23</v>
      </c>
    </row>
    <row r="1695" spans="1:9" x14ac:dyDescent="0.25">
      <c r="A1695">
        <v>1804</v>
      </c>
      <c r="B1695">
        <f>A1695+1</f>
        <v>1805</v>
      </c>
      <c r="C1695" t="s">
        <v>512</v>
      </c>
      <c r="D1695" t="s">
        <v>27</v>
      </c>
      <c r="E1695" s="208" t="s">
        <v>124</v>
      </c>
      <c r="F1695" t="s">
        <v>11</v>
      </c>
      <c r="G1695" s="18">
        <v>6416</v>
      </c>
      <c r="H1695" t="s">
        <v>17</v>
      </c>
      <c r="I1695" t="s">
        <v>23</v>
      </c>
    </row>
    <row r="1696" spans="1:9" x14ac:dyDescent="0.25">
      <c r="A1696">
        <v>1804</v>
      </c>
      <c r="B1696">
        <f>A1696+1</f>
        <v>1805</v>
      </c>
      <c r="C1696" t="s">
        <v>512</v>
      </c>
      <c r="D1696" t="s">
        <v>26</v>
      </c>
      <c r="E1696" s="208" t="s">
        <v>57</v>
      </c>
      <c r="F1696" t="s">
        <v>11</v>
      </c>
      <c r="G1696" s="18">
        <v>3914</v>
      </c>
      <c r="H1696" t="s">
        <v>23</v>
      </c>
      <c r="I1696" t="s">
        <v>17</v>
      </c>
    </row>
    <row r="1697" spans="1:9" x14ac:dyDescent="0.25">
      <c r="A1697">
        <v>1804</v>
      </c>
      <c r="B1697">
        <f>A1697+1</f>
        <v>1805</v>
      </c>
      <c r="C1697" t="s">
        <v>512</v>
      </c>
      <c r="D1697" t="s">
        <v>26</v>
      </c>
      <c r="E1697" s="208" t="s">
        <v>35</v>
      </c>
      <c r="F1697" t="s">
        <v>11</v>
      </c>
      <c r="G1697" s="18">
        <v>0</v>
      </c>
      <c r="H1697" t="s">
        <v>23</v>
      </c>
      <c r="I1697" t="s">
        <v>17</v>
      </c>
    </row>
    <row r="1698" spans="1:9" x14ac:dyDescent="0.25">
      <c r="A1698">
        <v>1804</v>
      </c>
      <c r="B1698">
        <f>A1698+1</f>
        <v>1805</v>
      </c>
      <c r="C1698" t="s">
        <v>512</v>
      </c>
      <c r="D1698" t="s">
        <v>26</v>
      </c>
      <c r="E1698" s="208" t="s">
        <v>36</v>
      </c>
      <c r="F1698" t="s">
        <v>11</v>
      </c>
      <c r="G1698" s="18">
        <v>1592</v>
      </c>
      <c r="H1698" t="s">
        <v>23</v>
      </c>
      <c r="I1698" t="s">
        <v>17</v>
      </c>
    </row>
    <row r="1699" spans="1:9" x14ac:dyDescent="0.25">
      <c r="A1699">
        <v>1804</v>
      </c>
      <c r="B1699">
        <f>A1699+1</f>
        <v>1805</v>
      </c>
      <c r="C1699" t="s">
        <v>512</v>
      </c>
      <c r="D1699" t="s">
        <v>26</v>
      </c>
      <c r="E1699" s="208" t="s">
        <v>39</v>
      </c>
      <c r="F1699" t="s">
        <v>11</v>
      </c>
      <c r="G1699" s="18">
        <v>0</v>
      </c>
      <c r="H1699" t="s">
        <v>23</v>
      </c>
      <c r="I1699" t="s">
        <v>17</v>
      </c>
    </row>
    <row r="1700" spans="1:9" x14ac:dyDescent="0.25">
      <c r="A1700">
        <v>1804</v>
      </c>
      <c r="B1700">
        <f>A1700+1</f>
        <v>1805</v>
      </c>
      <c r="C1700" t="s">
        <v>512</v>
      </c>
      <c r="D1700" t="s">
        <v>26</v>
      </c>
      <c r="E1700" s="208" t="s">
        <v>99</v>
      </c>
      <c r="F1700" t="s">
        <v>11</v>
      </c>
      <c r="G1700" s="18">
        <v>267</v>
      </c>
      <c r="H1700" t="s">
        <v>23</v>
      </c>
      <c r="I1700" t="s">
        <v>17</v>
      </c>
    </row>
    <row r="1701" spans="1:9" x14ac:dyDescent="0.25">
      <c r="A1701">
        <v>1804</v>
      </c>
      <c r="B1701">
        <f>A1701+1</f>
        <v>1805</v>
      </c>
      <c r="C1701" t="s">
        <v>512</v>
      </c>
      <c r="D1701" t="s">
        <v>26</v>
      </c>
      <c r="E1701" s="208" t="s">
        <v>28</v>
      </c>
      <c r="F1701" t="s">
        <v>11</v>
      </c>
      <c r="G1701" s="18">
        <v>2199</v>
      </c>
      <c r="H1701" t="s">
        <v>23</v>
      </c>
      <c r="I1701" t="s">
        <v>17</v>
      </c>
    </row>
    <row r="1702" spans="1:9" x14ac:dyDescent="0.25">
      <c r="A1702">
        <v>1804</v>
      </c>
      <c r="B1702">
        <f>A1702+1</f>
        <v>1805</v>
      </c>
      <c r="C1702" t="s">
        <v>512</v>
      </c>
      <c r="D1702" t="s">
        <v>26</v>
      </c>
      <c r="E1702" s="208" t="s">
        <v>89</v>
      </c>
      <c r="F1702" t="s">
        <v>11</v>
      </c>
      <c r="G1702" s="18">
        <v>2692</v>
      </c>
      <c r="H1702" t="s">
        <v>23</v>
      </c>
      <c r="I1702" t="s">
        <v>17</v>
      </c>
    </row>
    <row r="1703" spans="1:9" x14ac:dyDescent="0.25">
      <c r="A1703">
        <v>1804</v>
      </c>
      <c r="B1703">
        <f>A1703+1</f>
        <v>1805</v>
      </c>
      <c r="C1703" t="s">
        <v>512</v>
      </c>
      <c r="D1703" t="s">
        <v>26</v>
      </c>
      <c r="E1703" s="208" t="s">
        <v>45</v>
      </c>
      <c r="F1703" t="s">
        <v>11</v>
      </c>
      <c r="G1703" s="18">
        <v>788</v>
      </c>
      <c r="H1703" t="s">
        <v>23</v>
      </c>
      <c r="I1703" t="s">
        <v>17</v>
      </c>
    </row>
    <row r="1704" spans="1:9" x14ac:dyDescent="0.25">
      <c r="A1704">
        <v>1804</v>
      </c>
      <c r="B1704">
        <f>A1704+1</f>
        <v>1805</v>
      </c>
      <c r="C1704" t="s">
        <v>512</v>
      </c>
      <c r="D1704" t="s">
        <v>26</v>
      </c>
      <c r="E1704" s="208" t="s">
        <v>335</v>
      </c>
      <c r="F1704" t="s">
        <v>11</v>
      </c>
      <c r="G1704" s="18">
        <v>0</v>
      </c>
      <c r="H1704" t="s">
        <v>23</v>
      </c>
      <c r="I1704" t="s">
        <v>17</v>
      </c>
    </row>
    <row r="1705" spans="1:9" x14ac:dyDescent="0.25">
      <c r="A1705">
        <v>1804</v>
      </c>
      <c r="B1705">
        <f>A1705+1</f>
        <v>1805</v>
      </c>
      <c r="C1705" t="s">
        <v>512</v>
      </c>
      <c r="D1705" t="s">
        <v>26</v>
      </c>
      <c r="E1705" s="208" t="s">
        <v>336</v>
      </c>
      <c r="F1705" t="s">
        <v>11</v>
      </c>
      <c r="G1705" s="18">
        <v>12053</v>
      </c>
      <c r="H1705" t="s">
        <v>23</v>
      </c>
      <c r="I1705" t="s">
        <v>17</v>
      </c>
    </row>
    <row r="1706" spans="1:9" x14ac:dyDescent="0.25">
      <c r="A1706">
        <v>1804</v>
      </c>
      <c r="B1706">
        <f>A1706+1</f>
        <v>1805</v>
      </c>
      <c r="C1706" t="s">
        <v>512</v>
      </c>
      <c r="D1706" t="s">
        <v>26</v>
      </c>
      <c r="E1706" s="208" t="s">
        <v>75</v>
      </c>
      <c r="F1706" t="s">
        <v>11</v>
      </c>
      <c r="G1706" s="18">
        <v>3632000</v>
      </c>
      <c r="H1706" t="s">
        <v>23</v>
      </c>
      <c r="I1706" t="s">
        <v>17</v>
      </c>
    </row>
    <row r="1707" spans="1:9" x14ac:dyDescent="0.25">
      <c r="A1707">
        <v>1804</v>
      </c>
      <c r="B1707">
        <f>A1707+1</f>
        <v>1805</v>
      </c>
      <c r="C1707" t="s">
        <v>512</v>
      </c>
      <c r="D1707" t="s">
        <v>26</v>
      </c>
      <c r="E1707" s="208" t="s">
        <v>107</v>
      </c>
      <c r="F1707" t="s">
        <v>11</v>
      </c>
      <c r="G1707" s="18">
        <v>6033500</v>
      </c>
      <c r="H1707" t="s">
        <v>23</v>
      </c>
      <c r="I1707" t="s">
        <v>17</v>
      </c>
    </row>
    <row r="1708" spans="1:9" x14ac:dyDescent="0.25">
      <c r="A1708">
        <v>1804</v>
      </c>
      <c r="B1708">
        <f>A1708+1</f>
        <v>1805</v>
      </c>
      <c r="C1708" t="s">
        <v>512</v>
      </c>
      <c r="D1708" t="s">
        <v>26</v>
      </c>
      <c r="E1708" s="208" t="s">
        <v>101</v>
      </c>
      <c r="F1708" t="s">
        <v>11</v>
      </c>
      <c r="G1708" s="18">
        <v>3849500</v>
      </c>
      <c r="H1708" t="s">
        <v>23</v>
      </c>
      <c r="I1708" t="s">
        <v>17</v>
      </c>
    </row>
    <row r="1709" spans="1:9" x14ac:dyDescent="0.25">
      <c r="A1709">
        <v>1804</v>
      </c>
      <c r="B1709">
        <f>A1709+1</f>
        <v>1805</v>
      </c>
      <c r="C1709" t="s">
        <v>512</v>
      </c>
      <c r="D1709" t="s">
        <v>27</v>
      </c>
      <c r="E1709" s="208" t="s">
        <v>155</v>
      </c>
      <c r="F1709" t="s">
        <v>14</v>
      </c>
      <c r="G1709" s="18">
        <v>81115</v>
      </c>
      <c r="H1709" t="s">
        <v>17</v>
      </c>
      <c r="I1709" s="151" t="s">
        <v>562</v>
      </c>
    </row>
    <row r="1710" spans="1:9" x14ac:dyDescent="0.25">
      <c r="A1710">
        <v>1804</v>
      </c>
      <c r="B1710">
        <f>A1710+1</f>
        <v>1805</v>
      </c>
      <c r="C1710" t="s">
        <v>512</v>
      </c>
      <c r="D1710" t="s">
        <v>27</v>
      </c>
      <c r="E1710" s="208" t="s">
        <v>156</v>
      </c>
      <c r="F1710" t="s">
        <v>14</v>
      </c>
      <c r="G1710" s="18">
        <v>11607</v>
      </c>
      <c r="H1710" t="s">
        <v>17</v>
      </c>
      <c r="I1710" s="151" t="s">
        <v>562</v>
      </c>
    </row>
    <row r="1711" spans="1:9" x14ac:dyDescent="0.25">
      <c r="A1711">
        <v>1804</v>
      </c>
      <c r="B1711">
        <f>A1711+1</f>
        <v>1805</v>
      </c>
      <c r="C1711" t="s">
        <v>512</v>
      </c>
      <c r="D1711" t="s">
        <v>27</v>
      </c>
      <c r="E1711" s="208" t="s">
        <v>154</v>
      </c>
      <c r="F1711" t="s">
        <v>14</v>
      </c>
      <c r="G1711" s="18">
        <v>1428</v>
      </c>
      <c r="H1711" t="s">
        <v>17</v>
      </c>
      <c r="I1711" s="151" t="s">
        <v>562</v>
      </c>
    </row>
    <row r="1712" spans="1:9" x14ac:dyDescent="0.25">
      <c r="A1712">
        <v>1804</v>
      </c>
      <c r="B1712">
        <f>A1712+1</f>
        <v>1805</v>
      </c>
      <c r="C1712" t="s">
        <v>512</v>
      </c>
      <c r="D1712" t="s">
        <v>27</v>
      </c>
      <c r="E1712" s="208" t="s">
        <v>150</v>
      </c>
      <c r="F1712" t="s">
        <v>14</v>
      </c>
      <c r="G1712" s="18">
        <v>35341</v>
      </c>
      <c r="H1712" t="s">
        <v>17</v>
      </c>
      <c r="I1712" s="151" t="s">
        <v>562</v>
      </c>
    </row>
    <row r="1713" spans="1:9" x14ac:dyDescent="0.25">
      <c r="A1713">
        <v>1804</v>
      </c>
      <c r="B1713">
        <f>A1713+1</f>
        <v>1805</v>
      </c>
      <c r="C1713" t="s">
        <v>512</v>
      </c>
      <c r="D1713" t="s">
        <v>27</v>
      </c>
      <c r="E1713" s="208" t="s">
        <v>148</v>
      </c>
      <c r="F1713" t="s">
        <v>14</v>
      </c>
      <c r="G1713" s="18">
        <v>406</v>
      </c>
      <c r="H1713" t="s">
        <v>17</v>
      </c>
      <c r="I1713" s="151" t="s">
        <v>562</v>
      </c>
    </row>
    <row r="1714" spans="1:9" x14ac:dyDescent="0.25">
      <c r="A1714">
        <v>1804</v>
      </c>
      <c r="B1714">
        <f>A1714+1</f>
        <v>1805</v>
      </c>
      <c r="C1714" t="s">
        <v>512</v>
      </c>
      <c r="D1714" t="s">
        <v>27</v>
      </c>
      <c r="E1714" s="208" t="s">
        <v>314</v>
      </c>
      <c r="F1714" t="s">
        <v>14</v>
      </c>
      <c r="G1714" s="18">
        <v>0</v>
      </c>
      <c r="H1714" t="s">
        <v>17</v>
      </c>
      <c r="I1714" s="151" t="s">
        <v>562</v>
      </c>
    </row>
    <row r="1715" spans="1:9" x14ac:dyDescent="0.25">
      <c r="A1715">
        <v>1804</v>
      </c>
      <c r="B1715">
        <f>A1715+1</f>
        <v>1805</v>
      </c>
      <c r="C1715" t="s">
        <v>512</v>
      </c>
      <c r="D1715" t="s">
        <v>27</v>
      </c>
      <c r="E1715" s="208" t="s">
        <v>149</v>
      </c>
      <c r="F1715" t="s">
        <v>14</v>
      </c>
      <c r="G1715" s="18">
        <v>0</v>
      </c>
      <c r="H1715" t="s">
        <v>17</v>
      </c>
      <c r="I1715" s="151" t="s">
        <v>562</v>
      </c>
    </row>
    <row r="1716" spans="1:9" x14ac:dyDescent="0.25">
      <c r="A1716">
        <v>1804</v>
      </c>
      <c r="B1716">
        <f>A1716+1</f>
        <v>1805</v>
      </c>
      <c r="C1716" t="s">
        <v>512</v>
      </c>
      <c r="D1716" t="s">
        <v>27</v>
      </c>
      <c r="E1716" s="208" t="s">
        <v>139</v>
      </c>
      <c r="F1716" t="s">
        <v>14</v>
      </c>
      <c r="G1716" s="18">
        <v>356</v>
      </c>
      <c r="H1716" t="s">
        <v>17</v>
      </c>
      <c r="I1716" s="151" t="s">
        <v>562</v>
      </c>
    </row>
    <row r="1717" spans="1:9" x14ac:dyDescent="0.25">
      <c r="A1717">
        <v>1804</v>
      </c>
      <c r="B1717">
        <f>A1717+1</f>
        <v>1805</v>
      </c>
      <c r="C1717" t="s">
        <v>512</v>
      </c>
      <c r="D1717" t="s">
        <v>27</v>
      </c>
      <c r="E1717" s="208" t="s">
        <v>130</v>
      </c>
      <c r="F1717" t="s">
        <v>14</v>
      </c>
      <c r="G1717" s="18">
        <v>1355</v>
      </c>
      <c r="H1717" t="s">
        <v>17</v>
      </c>
      <c r="I1717" s="151" t="s">
        <v>562</v>
      </c>
    </row>
    <row r="1718" spans="1:9" x14ac:dyDescent="0.25">
      <c r="A1718">
        <v>1804</v>
      </c>
      <c r="B1718">
        <f>A1718+1</f>
        <v>1805</v>
      </c>
      <c r="C1718" t="s">
        <v>512</v>
      </c>
      <c r="D1718" t="s">
        <v>27</v>
      </c>
      <c r="E1718" s="208" t="s">
        <v>132</v>
      </c>
      <c r="F1718" t="s">
        <v>14</v>
      </c>
      <c r="G1718" s="18">
        <v>55</v>
      </c>
      <c r="H1718" t="s">
        <v>17</v>
      </c>
      <c r="I1718" s="151" t="s">
        <v>562</v>
      </c>
    </row>
    <row r="1719" spans="1:9" x14ac:dyDescent="0.25">
      <c r="A1719">
        <v>1804</v>
      </c>
      <c r="B1719">
        <f>A1719+1</f>
        <v>1805</v>
      </c>
      <c r="C1719" t="s">
        <v>512</v>
      </c>
      <c r="D1719" t="s">
        <v>27</v>
      </c>
      <c r="E1719" s="208" t="s">
        <v>142</v>
      </c>
      <c r="F1719" t="s">
        <v>14</v>
      </c>
      <c r="G1719" s="18">
        <v>4734</v>
      </c>
      <c r="H1719" t="s">
        <v>17</v>
      </c>
      <c r="I1719" s="151" t="s">
        <v>562</v>
      </c>
    </row>
    <row r="1720" spans="1:9" x14ac:dyDescent="0.25">
      <c r="A1720">
        <v>1804</v>
      </c>
      <c r="B1720">
        <f>A1720+1</f>
        <v>1805</v>
      </c>
      <c r="C1720" t="s">
        <v>512</v>
      </c>
      <c r="D1720" t="s">
        <v>27</v>
      </c>
      <c r="E1720" s="208" t="s">
        <v>144</v>
      </c>
      <c r="F1720" t="s">
        <v>14</v>
      </c>
      <c r="G1720" s="18">
        <v>156</v>
      </c>
      <c r="H1720" t="s">
        <v>17</v>
      </c>
      <c r="I1720" s="151" t="s">
        <v>562</v>
      </c>
    </row>
    <row r="1721" spans="1:9" x14ac:dyDescent="0.25">
      <c r="A1721">
        <v>1804</v>
      </c>
      <c r="B1721">
        <f>A1721+1</f>
        <v>1805</v>
      </c>
      <c r="C1721" t="s">
        <v>512</v>
      </c>
      <c r="D1721" t="s">
        <v>27</v>
      </c>
      <c r="E1721" s="208" t="s">
        <v>124</v>
      </c>
      <c r="F1721" t="s">
        <v>14</v>
      </c>
      <c r="G1721" s="18">
        <v>6672353</v>
      </c>
      <c r="H1721" t="s">
        <v>17</v>
      </c>
      <c r="I1721" s="151" t="s">
        <v>562</v>
      </c>
    </row>
    <row r="1722" spans="1:9" x14ac:dyDescent="0.25">
      <c r="A1722">
        <v>1804</v>
      </c>
      <c r="B1722">
        <f>A1722+1</f>
        <v>1805</v>
      </c>
      <c r="C1722" t="s">
        <v>512</v>
      </c>
      <c r="D1722" t="s">
        <v>26</v>
      </c>
      <c r="E1722" s="208" t="s">
        <v>62</v>
      </c>
      <c r="F1722" t="s">
        <v>14</v>
      </c>
      <c r="G1722" s="18">
        <v>0</v>
      </c>
      <c r="H1722" s="151" t="s">
        <v>563</v>
      </c>
      <c r="I1722" t="s">
        <v>17</v>
      </c>
    </row>
    <row r="1723" spans="1:9" x14ac:dyDescent="0.25">
      <c r="A1723">
        <v>1804</v>
      </c>
      <c r="B1723">
        <f>A1723+1</f>
        <v>1805</v>
      </c>
      <c r="C1723" t="s">
        <v>512</v>
      </c>
      <c r="D1723" t="s">
        <v>26</v>
      </c>
      <c r="E1723" s="208" t="s">
        <v>57</v>
      </c>
      <c r="F1723" t="s">
        <v>14</v>
      </c>
      <c r="G1723" s="18">
        <v>3914</v>
      </c>
      <c r="H1723" s="151" t="s">
        <v>563</v>
      </c>
      <c r="I1723" t="s">
        <v>17</v>
      </c>
    </row>
    <row r="1724" spans="1:9" x14ac:dyDescent="0.25">
      <c r="A1724">
        <v>1804</v>
      </c>
      <c r="B1724">
        <f>A1724+1</f>
        <v>1805</v>
      </c>
      <c r="C1724" t="s">
        <v>512</v>
      </c>
      <c r="D1724" t="s">
        <v>26</v>
      </c>
      <c r="E1724" s="208" t="s">
        <v>35</v>
      </c>
      <c r="F1724" t="s">
        <v>14</v>
      </c>
      <c r="G1724" s="18">
        <v>0</v>
      </c>
      <c r="H1724" s="151" t="s">
        <v>563</v>
      </c>
      <c r="I1724" t="s">
        <v>17</v>
      </c>
    </row>
    <row r="1725" spans="1:9" x14ac:dyDescent="0.25">
      <c r="A1725">
        <v>1804</v>
      </c>
      <c r="B1725">
        <f>A1725+1</f>
        <v>1805</v>
      </c>
      <c r="C1725" t="s">
        <v>512</v>
      </c>
      <c r="D1725" t="s">
        <v>26</v>
      </c>
      <c r="E1725" s="208" t="s">
        <v>36</v>
      </c>
      <c r="F1725" t="s">
        <v>14</v>
      </c>
      <c r="G1725" s="18">
        <v>1592</v>
      </c>
      <c r="H1725" s="151" t="s">
        <v>563</v>
      </c>
      <c r="I1725" t="s">
        <v>17</v>
      </c>
    </row>
    <row r="1726" spans="1:9" x14ac:dyDescent="0.25">
      <c r="A1726">
        <v>1804</v>
      </c>
      <c r="B1726">
        <f>A1726+1</f>
        <v>1805</v>
      </c>
      <c r="C1726" t="s">
        <v>512</v>
      </c>
      <c r="D1726" t="s">
        <v>26</v>
      </c>
      <c r="E1726" s="208" t="s">
        <v>39</v>
      </c>
      <c r="F1726" t="s">
        <v>14</v>
      </c>
      <c r="G1726" s="18">
        <v>0</v>
      </c>
      <c r="H1726" s="151" t="s">
        <v>563</v>
      </c>
      <c r="I1726" t="s">
        <v>17</v>
      </c>
    </row>
    <row r="1727" spans="1:9" x14ac:dyDescent="0.25">
      <c r="A1727">
        <v>1804</v>
      </c>
      <c r="B1727">
        <f>A1727+1</f>
        <v>1805</v>
      </c>
      <c r="C1727" t="s">
        <v>512</v>
      </c>
      <c r="D1727" t="s">
        <v>26</v>
      </c>
      <c r="E1727" s="208" t="s">
        <v>99</v>
      </c>
      <c r="F1727" t="s">
        <v>14</v>
      </c>
      <c r="G1727" s="18">
        <v>267</v>
      </c>
      <c r="H1727" s="151" t="s">
        <v>563</v>
      </c>
      <c r="I1727" t="s">
        <v>17</v>
      </c>
    </row>
    <row r="1728" spans="1:9" x14ac:dyDescent="0.25">
      <c r="A1728">
        <v>1804</v>
      </c>
      <c r="B1728">
        <f>A1728+1</f>
        <v>1805</v>
      </c>
      <c r="C1728" t="s">
        <v>512</v>
      </c>
      <c r="D1728" t="s">
        <v>26</v>
      </c>
      <c r="E1728" s="208" t="s">
        <v>28</v>
      </c>
      <c r="F1728" t="s">
        <v>14</v>
      </c>
      <c r="G1728" s="18">
        <v>2214</v>
      </c>
      <c r="H1728" s="151" t="s">
        <v>563</v>
      </c>
      <c r="I1728" t="s">
        <v>17</v>
      </c>
    </row>
    <row r="1729" spans="1:9" x14ac:dyDescent="0.25">
      <c r="A1729">
        <v>1804</v>
      </c>
      <c r="B1729">
        <f>A1729+1</f>
        <v>1805</v>
      </c>
      <c r="C1729" t="s">
        <v>512</v>
      </c>
      <c r="D1729" t="s">
        <v>26</v>
      </c>
      <c r="E1729" s="208" t="s">
        <v>89</v>
      </c>
      <c r="F1729" t="s">
        <v>14</v>
      </c>
      <c r="G1729" s="18">
        <v>2702</v>
      </c>
      <c r="H1729" s="151" t="s">
        <v>563</v>
      </c>
      <c r="I1729" t="s">
        <v>17</v>
      </c>
    </row>
    <row r="1730" spans="1:9" x14ac:dyDescent="0.25">
      <c r="A1730">
        <v>1804</v>
      </c>
      <c r="B1730">
        <f>A1730+1</f>
        <v>1805</v>
      </c>
      <c r="C1730" t="s">
        <v>512</v>
      </c>
      <c r="D1730" t="s">
        <v>26</v>
      </c>
      <c r="E1730" s="208" t="s">
        <v>45</v>
      </c>
      <c r="F1730" t="s">
        <v>14</v>
      </c>
      <c r="G1730" s="18">
        <v>788</v>
      </c>
      <c r="H1730" s="151" t="s">
        <v>563</v>
      </c>
      <c r="I1730" t="s">
        <v>17</v>
      </c>
    </row>
    <row r="1731" spans="1:9" x14ac:dyDescent="0.25">
      <c r="A1731">
        <v>1804</v>
      </c>
      <c r="B1731">
        <f>A1731+1</f>
        <v>1805</v>
      </c>
      <c r="C1731" t="s">
        <v>512</v>
      </c>
      <c r="D1731" t="s">
        <v>26</v>
      </c>
      <c r="E1731" s="208" t="s">
        <v>54</v>
      </c>
      <c r="F1731" t="s">
        <v>14</v>
      </c>
      <c r="G1731" s="18">
        <v>0</v>
      </c>
      <c r="H1731" s="151" t="s">
        <v>563</v>
      </c>
      <c r="I1731" t="s">
        <v>17</v>
      </c>
    </row>
    <row r="1732" spans="1:9" x14ac:dyDescent="0.25">
      <c r="A1732">
        <v>1804</v>
      </c>
      <c r="B1732">
        <f>A1732+1</f>
        <v>1805</v>
      </c>
      <c r="C1732" t="s">
        <v>512</v>
      </c>
      <c r="D1732" t="s">
        <v>26</v>
      </c>
      <c r="E1732" s="208" t="s">
        <v>53</v>
      </c>
      <c r="F1732" t="s">
        <v>14</v>
      </c>
      <c r="G1732" s="18">
        <v>0</v>
      </c>
      <c r="H1732" s="151" t="s">
        <v>563</v>
      </c>
      <c r="I1732" t="s">
        <v>17</v>
      </c>
    </row>
    <row r="1733" spans="1:9" x14ac:dyDescent="0.25">
      <c r="A1733">
        <v>1804</v>
      </c>
      <c r="B1733">
        <f>A1733+1</f>
        <v>1805</v>
      </c>
      <c r="C1733" t="s">
        <v>512</v>
      </c>
      <c r="D1733" t="s">
        <v>26</v>
      </c>
      <c r="E1733" s="208" t="s">
        <v>335</v>
      </c>
      <c r="F1733" t="s">
        <v>14</v>
      </c>
      <c r="G1733" s="18">
        <v>0</v>
      </c>
      <c r="H1733" s="151" t="s">
        <v>563</v>
      </c>
      <c r="I1733" t="s">
        <v>17</v>
      </c>
    </row>
    <row r="1734" spans="1:9" x14ac:dyDescent="0.25">
      <c r="A1734">
        <v>1804</v>
      </c>
      <c r="B1734">
        <f>A1734+1</f>
        <v>1805</v>
      </c>
      <c r="C1734" t="s">
        <v>512</v>
      </c>
      <c r="D1734" t="s">
        <v>26</v>
      </c>
      <c r="E1734" s="208" t="s">
        <v>336</v>
      </c>
      <c r="F1734" t="s">
        <v>14</v>
      </c>
      <c r="G1734" s="18">
        <v>12053</v>
      </c>
      <c r="H1734" s="151" t="s">
        <v>563</v>
      </c>
      <c r="I1734" t="s">
        <v>17</v>
      </c>
    </row>
    <row r="1735" spans="1:9" x14ac:dyDescent="0.25">
      <c r="A1735">
        <v>1804</v>
      </c>
      <c r="B1735">
        <f>A1735+1</f>
        <v>1805</v>
      </c>
      <c r="C1735" t="s">
        <v>512</v>
      </c>
      <c r="D1735" t="s">
        <v>26</v>
      </c>
      <c r="E1735" s="208" t="s">
        <v>75</v>
      </c>
      <c r="F1735" t="s">
        <v>14</v>
      </c>
      <c r="G1735" s="18">
        <v>3888000</v>
      </c>
      <c r="H1735" s="151" t="s">
        <v>563</v>
      </c>
      <c r="I1735" t="s">
        <v>17</v>
      </c>
    </row>
    <row r="1736" spans="1:9" x14ac:dyDescent="0.25">
      <c r="A1736">
        <v>1804</v>
      </c>
      <c r="B1736">
        <f>A1736+1</f>
        <v>1805</v>
      </c>
      <c r="C1736" t="s">
        <v>512</v>
      </c>
      <c r="D1736" t="s">
        <v>26</v>
      </c>
      <c r="E1736" s="208" t="s">
        <v>107</v>
      </c>
      <c r="F1736" t="s">
        <v>14</v>
      </c>
      <c r="G1736" s="18">
        <v>6047100</v>
      </c>
      <c r="H1736" s="151" t="s">
        <v>563</v>
      </c>
      <c r="I1736" t="s">
        <v>17</v>
      </c>
    </row>
    <row r="1737" spans="1:9" x14ac:dyDescent="0.25">
      <c r="A1737">
        <v>1804</v>
      </c>
      <c r="B1737">
        <f>A1737+1</f>
        <v>1805</v>
      </c>
      <c r="C1737" t="s">
        <v>512</v>
      </c>
      <c r="D1737" t="s">
        <v>26</v>
      </c>
      <c r="E1737" s="208" t="s">
        <v>101</v>
      </c>
      <c r="F1737" t="s">
        <v>14</v>
      </c>
      <c r="G1737" s="18">
        <v>3888500</v>
      </c>
      <c r="H1737" s="151" t="s">
        <v>563</v>
      </c>
      <c r="I1737" t="s">
        <v>17</v>
      </c>
    </row>
    <row r="1738" spans="1:9" x14ac:dyDescent="0.25">
      <c r="A1738">
        <v>1804</v>
      </c>
      <c r="B1738">
        <f>A1738+1</f>
        <v>1805</v>
      </c>
      <c r="C1738" t="s">
        <v>512</v>
      </c>
      <c r="D1738" t="s">
        <v>26</v>
      </c>
      <c r="E1738" s="208" t="s">
        <v>65</v>
      </c>
      <c r="F1738" t="s">
        <v>14</v>
      </c>
      <c r="G1738" s="18">
        <v>17522</v>
      </c>
      <c r="H1738" s="151" t="s">
        <v>563</v>
      </c>
      <c r="I1738" t="s">
        <v>17</v>
      </c>
    </row>
    <row r="1739" spans="1:9" x14ac:dyDescent="0.25">
      <c r="A1739">
        <v>1804</v>
      </c>
      <c r="B1739">
        <f>A1739+1</f>
        <v>1805</v>
      </c>
      <c r="C1739" t="s">
        <v>512</v>
      </c>
      <c r="D1739" t="s">
        <v>26</v>
      </c>
      <c r="E1739" s="208" t="s">
        <v>330</v>
      </c>
      <c r="F1739" t="s">
        <v>14</v>
      </c>
      <c r="G1739" s="18">
        <v>355</v>
      </c>
      <c r="H1739" s="151" t="s">
        <v>563</v>
      </c>
      <c r="I1739" t="s">
        <v>17</v>
      </c>
    </row>
    <row r="1740" spans="1:9" x14ac:dyDescent="0.25">
      <c r="A1740">
        <v>1804</v>
      </c>
      <c r="B1740">
        <f>A1740+1</f>
        <v>1805</v>
      </c>
      <c r="C1740" t="s">
        <v>512</v>
      </c>
      <c r="D1740" t="s">
        <v>26</v>
      </c>
      <c r="E1740" s="208" t="s">
        <v>331</v>
      </c>
      <c r="F1740" t="s">
        <v>14</v>
      </c>
      <c r="G1740" s="18">
        <v>807</v>
      </c>
      <c r="H1740" s="151" t="s">
        <v>563</v>
      </c>
      <c r="I1740" t="s">
        <v>17</v>
      </c>
    </row>
    <row r="1741" spans="1:9" x14ac:dyDescent="0.25">
      <c r="A1741">
        <v>1804</v>
      </c>
      <c r="B1741">
        <f>A1741+1</f>
        <v>1805</v>
      </c>
      <c r="C1741" t="s">
        <v>512</v>
      </c>
      <c r="D1741" t="s">
        <v>26</v>
      </c>
      <c r="E1741" s="208" t="s">
        <v>332</v>
      </c>
      <c r="F1741" t="s">
        <v>14</v>
      </c>
      <c r="G1741" s="18">
        <v>0</v>
      </c>
      <c r="H1741" s="151" t="s">
        <v>563</v>
      </c>
      <c r="I1741" t="s">
        <v>17</v>
      </c>
    </row>
    <row r="1742" spans="1:9" x14ac:dyDescent="0.25">
      <c r="A1742">
        <v>1804</v>
      </c>
      <c r="B1742">
        <f>A1742+1</f>
        <v>1805</v>
      </c>
      <c r="C1742" t="s">
        <v>512</v>
      </c>
      <c r="D1742" t="s">
        <v>26</v>
      </c>
      <c r="E1742" s="208" t="s">
        <v>333</v>
      </c>
      <c r="F1742" t="s">
        <v>14</v>
      </c>
      <c r="G1742" s="18">
        <v>1117</v>
      </c>
      <c r="H1742" s="151" t="s">
        <v>563</v>
      </c>
      <c r="I1742" t="s">
        <v>17</v>
      </c>
    </row>
    <row r="1743" spans="1:9" x14ac:dyDescent="0.25">
      <c r="A1743">
        <v>1804</v>
      </c>
      <c r="B1743">
        <f>A1743+1</f>
        <v>1805</v>
      </c>
      <c r="C1743" t="s">
        <v>512</v>
      </c>
      <c r="D1743" t="s">
        <v>27</v>
      </c>
      <c r="E1743" s="208" t="s">
        <v>155</v>
      </c>
      <c r="F1743" t="s">
        <v>15</v>
      </c>
      <c r="G1743" s="18">
        <v>137906</v>
      </c>
      <c r="H1743" t="s">
        <v>561</v>
      </c>
      <c r="I1743" s="151" t="s">
        <v>562</v>
      </c>
    </row>
    <row r="1744" spans="1:9" x14ac:dyDescent="0.25">
      <c r="A1744">
        <v>1804</v>
      </c>
      <c r="B1744">
        <f>A1744+1</f>
        <v>1805</v>
      </c>
      <c r="C1744" t="s">
        <v>512</v>
      </c>
      <c r="D1744" t="s">
        <v>27</v>
      </c>
      <c r="E1744" s="208" t="s">
        <v>156</v>
      </c>
      <c r="F1744" t="s">
        <v>15</v>
      </c>
      <c r="G1744" s="18">
        <v>17977</v>
      </c>
      <c r="H1744" t="s">
        <v>561</v>
      </c>
      <c r="I1744" s="151" t="s">
        <v>562</v>
      </c>
    </row>
    <row r="1745" spans="1:9" x14ac:dyDescent="0.25">
      <c r="A1745">
        <v>1804</v>
      </c>
      <c r="B1745">
        <f>A1745+1</f>
        <v>1805</v>
      </c>
      <c r="C1745" t="s">
        <v>512</v>
      </c>
      <c r="D1745" t="s">
        <v>27</v>
      </c>
      <c r="E1745" s="208" t="s">
        <v>154</v>
      </c>
      <c r="F1745" t="s">
        <v>15</v>
      </c>
      <c r="G1745" s="18">
        <v>3689</v>
      </c>
      <c r="H1745" t="s">
        <v>561</v>
      </c>
      <c r="I1745" s="151" t="s">
        <v>562</v>
      </c>
    </row>
    <row r="1746" spans="1:9" x14ac:dyDescent="0.25">
      <c r="A1746">
        <v>1804</v>
      </c>
      <c r="B1746">
        <f>A1746+1</f>
        <v>1805</v>
      </c>
      <c r="C1746" t="s">
        <v>512</v>
      </c>
      <c r="D1746" t="s">
        <v>27</v>
      </c>
      <c r="E1746" s="208" t="s">
        <v>150</v>
      </c>
      <c r="F1746" t="s">
        <v>15</v>
      </c>
      <c r="G1746" s="18">
        <v>53211</v>
      </c>
      <c r="H1746" t="s">
        <v>561</v>
      </c>
      <c r="I1746" s="151" t="s">
        <v>562</v>
      </c>
    </row>
    <row r="1747" spans="1:9" x14ac:dyDescent="0.25">
      <c r="A1747">
        <v>1804</v>
      </c>
      <c r="B1747">
        <f>A1747+1</f>
        <v>1805</v>
      </c>
      <c r="C1747" t="s">
        <v>512</v>
      </c>
      <c r="D1747" t="s">
        <v>27</v>
      </c>
      <c r="E1747" s="208" t="s">
        <v>148</v>
      </c>
      <c r="F1747" t="s">
        <v>15</v>
      </c>
      <c r="G1747" s="18">
        <v>1328</v>
      </c>
      <c r="H1747" t="s">
        <v>561</v>
      </c>
      <c r="I1747" s="151" t="s">
        <v>562</v>
      </c>
    </row>
    <row r="1748" spans="1:9" x14ac:dyDescent="0.25">
      <c r="A1748">
        <v>1804</v>
      </c>
      <c r="B1748">
        <f>A1748+1</f>
        <v>1805</v>
      </c>
      <c r="C1748" t="s">
        <v>512</v>
      </c>
      <c r="D1748" t="s">
        <v>27</v>
      </c>
      <c r="E1748" s="208" t="s">
        <v>314</v>
      </c>
      <c r="F1748" t="s">
        <v>15</v>
      </c>
      <c r="G1748" s="18">
        <v>133</v>
      </c>
      <c r="H1748" t="s">
        <v>561</v>
      </c>
      <c r="I1748" s="151" t="s">
        <v>562</v>
      </c>
    </row>
    <row r="1749" spans="1:9" x14ac:dyDescent="0.25">
      <c r="A1749">
        <v>1804</v>
      </c>
      <c r="B1749">
        <f>A1749+1</f>
        <v>1805</v>
      </c>
      <c r="C1749" t="s">
        <v>512</v>
      </c>
      <c r="D1749" t="s">
        <v>27</v>
      </c>
      <c r="E1749" s="208" t="s">
        <v>149</v>
      </c>
      <c r="F1749" t="s">
        <v>15</v>
      </c>
      <c r="G1749" s="18">
        <v>167</v>
      </c>
      <c r="H1749" t="s">
        <v>561</v>
      </c>
      <c r="I1749" s="151" t="s">
        <v>562</v>
      </c>
    </row>
    <row r="1750" spans="1:9" x14ac:dyDescent="0.25">
      <c r="A1750">
        <v>1804</v>
      </c>
      <c r="B1750">
        <f>A1750+1</f>
        <v>1805</v>
      </c>
      <c r="C1750" t="s">
        <v>512</v>
      </c>
      <c r="D1750" t="s">
        <v>27</v>
      </c>
      <c r="E1750" s="208" t="s">
        <v>139</v>
      </c>
      <c r="F1750" t="s">
        <v>15</v>
      </c>
      <c r="G1750" s="18">
        <v>471</v>
      </c>
      <c r="H1750" t="s">
        <v>561</v>
      </c>
      <c r="I1750" s="151" t="s">
        <v>562</v>
      </c>
    </row>
    <row r="1751" spans="1:9" x14ac:dyDescent="0.25">
      <c r="A1751">
        <v>1804</v>
      </c>
      <c r="B1751">
        <f>A1751+1</f>
        <v>1805</v>
      </c>
      <c r="C1751" t="s">
        <v>512</v>
      </c>
      <c r="D1751" t="s">
        <v>27</v>
      </c>
      <c r="E1751" s="208" t="s">
        <v>130</v>
      </c>
      <c r="F1751" t="s">
        <v>15</v>
      </c>
      <c r="G1751" s="18">
        <v>2128</v>
      </c>
      <c r="H1751" t="s">
        <v>561</v>
      </c>
      <c r="I1751" s="151" t="s">
        <v>562</v>
      </c>
    </row>
    <row r="1752" spans="1:9" x14ac:dyDescent="0.25">
      <c r="A1752">
        <v>1804</v>
      </c>
      <c r="B1752">
        <f>A1752+1</f>
        <v>1805</v>
      </c>
      <c r="C1752" t="s">
        <v>512</v>
      </c>
      <c r="D1752" t="s">
        <v>27</v>
      </c>
      <c r="E1752" s="208" t="s">
        <v>132</v>
      </c>
      <c r="F1752" t="s">
        <v>15</v>
      </c>
      <c r="G1752" s="18">
        <v>315</v>
      </c>
      <c r="H1752" t="s">
        <v>561</v>
      </c>
      <c r="I1752" s="151" t="s">
        <v>562</v>
      </c>
    </row>
    <row r="1753" spans="1:9" x14ac:dyDescent="0.25">
      <c r="A1753">
        <v>1804</v>
      </c>
      <c r="B1753">
        <f>A1753+1</f>
        <v>1805</v>
      </c>
      <c r="C1753" t="s">
        <v>512</v>
      </c>
      <c r="D1753" t="s">
        <v>27</v>
      </c>
      <c r="E1753" s="208" t="s">
        <v>142</v>
      </c>
      <c r="F1753" t="s">
        <v>15</v>
      </c>
      <c r="G1753" s="18">
        <v>7157</v>
      </c>
      <c r="H1753" t="s">
        <v>561</v>
      </c>
      <c r="I1753" s="151" t="s">
        <v>562</v>
      </c>
    </row>
    <row r="1754" spans="1:9" x14ac:dyDescent="0.25">
      <c r="A1754">
        <v>1804</v>
      </c>
      <c r="B1754">
        <f>A1754+1</f>
        <v>1805</v>
      </c>
      <c r="C1754" t="s">
        <v>512</v>
      </c>
      <c r="D1754" t="s">
        <v>27</v>
      </c>
      <c r="E1754" s="208" t="s">
        <v>144</v>
      </c>
      <c r="F1754" t="s">
        <v>15</v>
      </c>
      <c r="G1754" s="18">
        <v>288</v>
      </c>
      <c r="H1754" t="s">
        <v>561</v>
      </c>
      <c r="I1754" s="151" t="s">
        <v>562</v>
      </c>
    </row>
    <row r="1755" spans="1:9" x14ac:dyDescent="0.25">
      <c r="A1755">
        <v>1804</v>
      </c>
      <c r="B1755">
        <f>A1755+1</f>
        <v>1805</v>
      </c>
      <c r="C1755" t="s">
        <v>512</v>
      </c>
      <c r="D1755" t="s">
        <v>27</v>
      </c>
      <c r="E1755" s="208" t="s">
        <v>124</v>
      </c>
      <c r="F1755" t="s">
        <v>15</v>
      </c>
      <c r="G1755" s="18">
        <v>24137393</v>
      </c>
      <c r="H1755" t="s">
        <v>561</v>
      </c>
      <c r="I1755" s="151" t="s">
        <v>562</v>
      </c>
    </row>
    <row r="1756" spans="1:9" x14ac:dyDescent="0.25">
      <c r="A1756">
        <v>1804</v>
      </c>
      <c r="B1756">
        <f>A1756+1</f>
        <v>1805</v>
      </c>
      <c r="C1756" t="s">
        <v>512</v>
      </c>
      <c r="D1756" t="s">
        <v>26</v>
      </c>
      <c r="E1756" s="208" t="s">
        <v>62</v>
      </c>
      <c r="F1756" t="s">
        <v>15</v>
      </c>
      <c r="G1756" s="18">
        <v>58</v>
      </c>
      <c r="H1756" s="151" t="s">
        <v>563</v>
      </c>
      <c r="I1756" t="s">
        <v>561</v>
      </c>
    </row>
    <row r="1757" spans="1:9" x14ac:dyDescent="0.25">
      <c r="A1757">
        <v>1804</v>
      </c>
      <c r="B1757">
        <f>A1757+1</f>
        <v>1805</v>
      </c>
      <c r="C1757" t="s">
        <v>512</v>
      </c>
      <c r="D1757" t="s">
        <v>26</v>
      </c>
      <c r="E1757" s="208" t="s">
        <v>57</v>
      </c>
      <c r="F1757" t="s">
        <v>15</v>
      </c>
      <c r="G1757" s="18">
        <v>55987</v>
      </c>
      <c r="H1757" s="151" t="s">
        <v>563</v>
      </c>
      <c r="I1757" t="s">
        <v>561</v>
      </c>
    </row>
    <row r="1758" spans="1:9" x14ac:dyDescent="0.25">
      <c r="A1758">
        <v>1804</v>
      </c>
      <c r="B1758">
        <f>A1758+1</f>
        <v>1805</v>
      </c>
      <c r="C1758" t="s">
        <v>512</v>
      </c>
      <c r="D1758" t="s">
        <v>26</v>
      </c>
      <c r="E1758" s="208" t="s">
        <v>35</v>
      </c>
      <c r="F1758" t="s">
        <v>15</v>
      </c>
      <c r="G1758" s="18">
        <v>15451</v>
      </c>
      <c r="H1758" s="151" t="s">
        <v>563</v>
      </c>
      <c r="I1758" t="s">
        <v>561</v>
      </c>
    </row>
    <row r="1759" spans="1:9" x14ac:dyDescent="0.25">
      <c r="A1759">
        <v>1804</v>
      </c>
      <c r="B1759">
        <f>A1759+1</f>
        <v>1805</v>
      </c>
      <c r="C1759" t="s">
        <v>512</v>
      </c>
      <c r="D1759" t="s">
        <v>26</v>
      </c>
      <c r="E1759" s="208" t="s">
        <v>36</v>
      </c>
      <c r="F1759" t="s">
        <v>15</v>
      </c>
      <c r="G1759" s="18">
        <v>4868</v>
      </c>
      <c r="H1759" s="151" t="s">
        <v>563</v>
      </c>
      <c r="I1759" t="s">
        <v>561</v>
      </c>
    </row>
    <row r="1760" spans="1:9" x14ac:dyDescent="0.25">
      <c r="A1760">
        <v>1804</v>
      </c>
      <c r="B1760">
        <f>A1760+1</f>
        <v>1805</v>
      </c>
      <c r="C1760" t="s">
        <v>512</v>
      </c>
      <c r="D1760" t="s">
        <v>26</v>
      </c>
      <c r="E1760" s="208" t="s">
        <v>39</v>
      </c>
      <c r="F1760" t="s">
        <v>15</v>
      </c>
      <c r="G1760" s="18">
        <v>2301</v>
      </c>
      <c r="H1760" s="151" t="s">
        <v>563</v>
      </c>
      <c r="I1760" t="s">
        <v>561</v>
      </c>
    </row>
    <row r="1761" spans="1:9" x14ac:dyDescent="0.25">
      <c r="A1761">
        <v>1804</v>
      </c>
      <c r="B1761">
        <f>A1761+1</f>
        <v>1805</v>
      </c>
      <c r="C1761" t="s">
        <v>512</v>
      </c>
      <c r="D1761" t="s">
        <v>26</v>
      </c>
      <c r="E1761" s="208" t="s">
        <v>99</v>
      </c>
      <c r="F1761" t="s">
        <v>15</v>
      </c>
      <c r="G1761" s="18">
        <v>1191</v>
      </c>
      <c r="H1761" s="151" t="s">
        <v>563</v>
      </c>
      <c r="I1761" t="s">
        <v>561</v>
      </c>
    </row>
    <row r="1762" spans="1:9" x14ac:dyDescent="0.25">
      <c r="A1762">
        <v>1804</v>
      </c>
      <c r="B1762">
        <f>A1762+1</f>
        <v>1805</v>
      </c>
      <c r="C1762" t="s">
        <v>512</v>
      </c>
      <c r="D1762" t="s">
        <v>26</v>
      </c>
      <c r="E1762" s="208" t="s">
        <v>28</v>
      </c>
      <c r="F1762" t="s">
        <v>15</v>
      </c>
      <c r="G1762" s="18">
        <v>4594</v>
      </c>
      <c r="H1762" s="151" t="s">
        <v>563</v>
      </c>
      <c r="I1762" t="s">
        <v>561</v>
      </c>
    </row>
    <row r="1763" spans="1:9" x14ac:dyDescent="0.25">
      <c r="A1763">
        <v>1804</v>
      </c>
      <c r="B1763">
        <f>A1763+1</f>
        <v>1805</v>
      </c>
      <c r="C1763" t="s">
        <v>512</v>
      </c>
      <c r="D1763" t="s">
        <v>26</v>
      </c>
      <c r="E1763" s="208" t="s">
        <v>89</v>
      </c>
      <c r="F1763" t="s">
        <v>15</v>
      </c>
      <c r="G1763" s="18">
        <v>6149</v>
      </c>
      <c r="H1763" s="151" t="s">
        <v>563</v>
      </c>
      <c r="I1763" t="s">
        <v>561</v>
      </c>
    </row>
    <row r="1764" spans="1:9" x14ac:dyDescent="0.25">
      <c r="A1764">
        <v>1804</v>
      </c>
      <c r="B1764">
        <f>A1764+1</f>
        <v>1805</v>
      </c>
      <c r="C1764" t="s">
        <v>512</v>
      </c>
      <c r="D1764" t="s">
        <v>26</v>
      </c>
      <c r="E1764" s="208" t="s">
        <v>45</v>
      </c>
      <c r="F1764" t="s">
        <v>15</v>
      </c>
      <c r="G1764" s="18">
        <v>1273</v>
      </c>
      <c r="H1764" s="151" t="s">
        <v>563</v>
      </c>
      <c r="I1764" t="s">
        <v>561</v>
      </c>
    </row>
    <row r="1765" spans="1:9" x14ac:dyDescent="0.25">
      <c r="A1765">
        <v>1804</v>
      </c>
      <c r="B1765">
        <f>A1765+1</f>
        <v>1805</v>
      </c>
      <c r="C1765" t="s">
        <v>512</v>
      </c>
      <c r="D1765" t="s">
        <v>26</v>
      </c>
      <c r="E1765" s="208" t="s">
        <v>54</v>
      </c>
      <c r="F1765" t="s">
        <v>15</v>
      </c>
      <c r="G1765" s="18">
        <v>0</v>
      </c>
      <c r="H1765" s="151" t="s">
        <v>563</v>
      </c>
      <c r="I1765" t="s">
        <v>561</v>
      </c>
    </row>
    <row r="1766" spans="1:9" x14ac:dyDescent="0.25">
      <c r="A1766">
        <v>1804</v>
      </c>
      <c r="B1766">
        <f>A1766+1</f>
        <v>1805</v>
      </c>
      <c r="C1766" t="s">
        <v>512</v>
      </c>
      <c r="D1766" t="s">
        <v>26</v>
      </c>
      <c r="E1766" s="208" t="s">
        <v>53</v>
      </c>
      <c r="F1766" t="s">
        <v>15</v>
      </c>
      <c r="G1766" s="18">
        <v>1346</v>
      </c>
      <c r="H1766" s="151" t="s">
        <v>563</v>
      </c>
      <c r="I1766" t="s">
        <v>561</v>
      </c>
    </row>
    <row r="1767" spans="1:9" x14ac:dyDescent="0.25">
      <c r="A1767">
        <v>1804</v>
      </c>
      <c r="B1767">
        <f>A1767+1</f>
        <v>1805</v>
      </c>
      <c r="C1767" t="s">
        <v>512</v>
      </c>
      <c r="D1767" t="s">
        <v>26</v>
      </c>
      <c r="E1767" s="208" t="s">
        <v>335</v>
      </c>
      <c r="F1767" t="s">
        <v>15</v>
      </c>
      <c r="G1767" s="18">
        <v>606</v>
      </c>
      <c r="H1767" s="151" t="s">
        <v>563</v>
      </c>
      <c r="I1767" t="s">
        <v>561</v>
      </c>
    </row>
    <row r="1768" spans="1:9" x14ac:dyDescent="0.25">
      <c r="A1768">
        <v>1804</v>
      </c>
      <c r="B1768">
        <f>A1768+1</f>
        <v>1805</v>
      </c>
      <c r="C1768" t="s">
        <v>512</v>
      </c>
      <c r="D1768" t="s">
        <v>26</v>
      </c>
      <c r="E1768" s="208" t="s">
        <v>336</v>
      </c>
      <c r="F1768" t="s">
        <v>15</v>
      </c>
      <c r="G1768" s="18">
        <v>28132</v>
      </c>
      <c r="H1768" s="151" t="s">
        <v>563</v>
      </c>
      <c r="I1768" t="s">
        <v>561</v>
      </c>
    </row>
    <row r="1769" spans="1:9" x14ac:dyDescent="0.25">
      <c r="A1769">
        <v>1804</v>
      </c>
      <c r="B1769">
        <f>A1769+1</f>
        <v>1805</v>
      </c>
      <c r="C1769" t="s">
        <v>512</v>
      </c>
      <c r="D1769" t="s">
        <v>26</v>
      </c>
      <c r="E1769" s="208" t="s">
        <v>75</v>
      </c>
      <c r="F1769" t="s">
        <v>15</v>
      </c>
      <c r="G1769" s="18">
        <v>7037114</v>
      </c>
      <c r="H1769" s="151" t="s">
        <v>563</v>
      </c>
      <c r="I1769" t="s">
        <v>561</v>
      </c>
    </row>
    <row r="1770" spans="1:9" x14ac:dyDescent="0.25">
      <c r="A1770">
        <v>1804</v>
      </c>
      <c r="B1770">
        <f>A1770+1</f>
        <v>1805</v>
      </c>
      <c r="C1770" t="s">
        <v>512</v>
      </c>
      <c r="D1770" t="s">
        <v>26</v>
      </c>
      <c r="E1770" s="208" t="s">
        <v>107</v>
      </c>
      <c r="F1770" t="s">
        <v>15</v>
      </c>
      <c r="G1770" s="18">
        <v>9706478</v>
      </c>
      <c r="H1770" s="151" t="s">
        <v>563</v>
      </c>
      <c r="I1770" t="s">
        <v>561</v>
      </c>
    </row>
    <row r="1771" spans="1:9" x14ac:dyDescent="0.25">
      <c r="A1771">
        <v>1804</v>
      </c>
      <c r="B1771">
        <f>A1771+1</f>
        <v>1805</v>
      </c>
      <c r="C1771" t="s">
        <v>512</v>
      </c>
      <c r="D1771" t="s">
        <v>26</v>
      </c>
      <c r="E1771" s="208" t="s">
        <v>101</v>
      </c>
      <c r="F1771" t="s">
        <v>15</v>
      </c>
      <c r="G1771" s="18">
        <v>8840885</v>
      </c>
      <c r="H1771" s="151" t="s">
        <v>563</v>
      </c>
      <c r="I1771" t="s">
        <v>561</v>
      </c>
    </row>
    <row r="1772" spans="1:9" x14ac:dyDescent="0.25">
      <c r="A1772">
        <v>1804</v>
      </c>
      <c r="B1772">
        <f>A1772+1</f>
        <v>1805</v>
      </c>
      <c r="C1772" t="s">
        <v>512</v>
      </c>
      <c r="D1772" t="s">
        <v>26</v>
      </c>
      <c r="E1772" s="208" t="s">
        <v>65</v>
      </c>
      <c r="F1772" t="s">
        <v>15</v>
      </c>
      <c r="G1772" s="18">
        <v>24730</v>
      </c>
      <c r="H1772" s="151" t="s">
        <v>563</v>
      </c>
      <c r="I1772" t="s">
        <v>561</v>
      </c>
    </row>
    <row r="1773" spans="1:9" x14ac:dyDescent="0.25">
      <c r="A1773">
        <v>1804</v>
      </c>
      <c r="B1773">
        <f>A1773+1</f>
        <v>1805</v>
      </c>
      <c r="C1773" t="s">
        <v>512</v>
      </c>
      <c r="D1773" t="s">
        <v>26</v>
      </c>
      <c r="E1773" s="208" t="s">
        <v>330</v>
      </c>
      <c r="F1773" t="s">
        <v>15</v>
      </c>
      <c r="G1773" s="18">
        <v>1498</v>
      </c>
      <c r="H1773" s="151" t="s">
        <v>563</v>
      </c>
      <c r="I1773" t="s">
        <v>561</v>
      </c>
    </row>
    <row r="1774" spans="1:9" x14ac:dyDescent="0.25">
      <c r="A1774">
        <v>1804</v>
      </c>
      <c r="B1774">
        <f>A1774+1</f>
        <v>1805</v>
      </c>
      <c r="C1774" t="s">
        <v>512</v>
      </c>
      <c r="D1774" t="s">
        <v>26</v>
      </c>
      <c r="E1774" s="208" t="s">
        <v>331</v>
      </c>
      <c r="F1774" t="s">
        <v>15</v>
      </c>
      <c r="G1774" s="18">
        <v>1953</v>
      </c>
      <c r="H1774" s="151" t="s">
        <v>563</v>
      </c>
      <c r="I1774" t="s">
        <v>561</v>
      </c>
    </row>
    <row r="1775" spans="1:9" x14ac:dyDescent="0.25">
      <c r="A1775">
        <v>1804</v>
      </c>
      <c r="B1775">
        <f>A1775+1</f>
        <v>1805</v>
      </c>
      <c r="C1775" t="s">
        <v>512</v>
      </c>
      <c r="D1775" t="s">
        <v>26</v>
      </c>
      <c r="E1775" s="208" t="s">
        <v>332</v>
      </c>
      <c r="F1775" t="s">
        <v>15</v>
      </c>
      <c r="G1775" s="18">
        <v>476</v>
      </c>
      <c r="H1775" s="151" t="s">
        <v>563</v>
      </c>
      <c r="I1775" t="s">
        <v>561</v>
      </c>
    </row>
    <row r="1776" spans="1:9" x14ac:dyDescent="0.25">
      <c r="A1776">
        <v>1804</v>
      </c>
      <c r="B1776">
        <f>A1776+1</f>
        <v>1805</v>
      </c>
      <c r="C1776" t="s">
        <v>512</v>
      </c>
      <c r="D1776" t="s">
        <v>26</v>
      </c>
      <c r="E1776" s="208" t="s">
        <v>333</v>
      </c>
      <c r="F1776" t="s">
        <v>15</v>
      </c>
      <c r="G1776" s="18">
        <v>1344</v>
      </c>
      <c r="H1776" s="151" t="s">
        <v>563</v>
      </c>
      <c r="I1776" t="s">
        <v>561</v>
      </c>
    </row>
    <row r="1777" spans="1:9" x14ac:dyDescent="0.25">
      <c r="A1777">
        <v>1804</v>
      </c>
      <c r="B1777">
        <f>A1777+1</f>
        <v>1805</v>
      </c>
      <c r="C1777" t="s">
        <v>512</v>
      </c>
      <c r="D1777" t="s">
        <v>26</v>
      </c>
      <c r="E1777" s="208" t="s">
        <v>567</v>
      </c>
      <c r="F1777" t="s">
        <v>3</v>
      </c>
      <c r="G1777" s="18">
        <v>14982</v>
      </c>
      <c r="H1777" t="s">
        <v>24</v>
      </c>
      <c r="I1777" t="s">
        <v>16</v>
      </c>
    </row>
    <row r="1778" spans="1:9" x14ac:dyDescent="0.25">
      <c r="A1778">
        <v>1804</v>
      </c>
      <c r="B1778">
        <f>A1778+1</f>
        <v>1805</v>
      </c>
      <c r="C1778" t="s">
        <v>512</v>
      </c>
      <c r="D1778" t="s">
        <v>26</v>
      </c>
      <c r="E1778" s="208" t="s">
        <v>567</v>
      </c>
      <c r="F1778" t="s">
        <v>4</v>
      </c>
      <c r="G1778" s="18">
        <v>4999</v>
      </c>
      <c r="H1778" t="s">
        <v>23</v>
      </c>
      <c r="I1778" t="s">
        <v>16</v>
      </c>
    </row>
    <row r="1779" spans="1:9" x14ac:dyDescent="0.25">
      <c r="A1779">
        <v>1804</v>
      </c>
      <c r="B1779">
        <f>A1779+1</f>
        <v>1805</v>
      </c>
      <c r="C1779" t="s">
        <v>512</v>
      </c>
      <c r="D1779" t="s">
        <v>26</v>
      </c>
      <c r="E1779" s="208" t="s">
        <v>567</v>
      </c>
      <c r="F1779" t="s">
        <v>7</v>
      </c>
      <c r="G1779" s="18">
        <v>19981</v>
      </c>
      <c r="H1779" s="151" t="s">
        <v>563</v>
      </c>
      <c r="I1779" t="s">
        <v>16</v>
      </c>
    </row>
    <row r="1780" spans="1:9" x14ac:dyDescent="0.25">
      <c r="A1780">
        <v>1804</v>
      </c>
      <c r="B1780">
        <f>A1780+1</f>
        <v>1805</v>
      </c>
      <c r="C1780" t="s">
        <v>512</v>
      </c>
      <c r="D1780" t="s">
        <v>26</v>
      </c>
      <c r="E1780" s="208" t="s">
        <v>567</v>
      </c>
      <c r="F1780" t="s">
        <v>10</v>
      </c>
      <c r="G1780" s="18">
        <v>1382</v>
      </c>
      <c r="H1780" t="s">
        <v>24</v>
      </c>
      <c r="I1780" t="s">
        <v>17</v>
      </c>
    </row>
    <row r="1781" spans="1:9" x14ac:dyDescent="0.25">
      <c r="A1781">
        <v>1804</v>
      </c>
      <c r="B1781">
        <f>A1781+1</f>
        <v>1805</v>
      </c>
      <c r="C1781" t="s">
        <v>512</v>
      </c>
      <c r="D1781" t="s">
        <v>26</v>
      </c>
      <c r="E1781" s="208" t="s">
        <v>567</v>
      </c>
      <c r="F1781" t="s">
        <v>11</v>
      </c>
      <c r="G1781" s="18">
        <v>5248</v>
      </c>
      <c r="H1781" t="s">
        <v>23</v>
      </c>
      <c r="I1781" t="s">
        <v>17</v>
      </c>
    </row>
    <row r="1782" spans="1:9" x14ac:dyDescent="0.25">
      <c r="A1782">
        <v>1804</v>
      </c>
      <c r="B1782">
        <f>A1782+1</f>
        <v>1805</v>
      </c>
      <c r="C1782" t="s">
        <v>512</v>
      </c>
      <c r="D1782" t="s">
        <v>26</v>
      </c>
      <c r="E1782" s="208" t="s">
        <v>567</v>
      </c>
      <c r="F1782" t="s">
        <v>14</v>
      </c>
      <c r="G1782" s="18">
        <v>6630</v>
      </c>
      <c r="H1782" s="151" t="s">
        <v>563</v>
      </c>
      <c r="I1782" t="s">
        <v>17</v>
      </c>
    </row>
    <row r="1783" spans="1:9" x14ac:dyDescent="0.25">
      <c r="A1783">
        <v>1804</v>
      </c>
      <c r="B1783">
        <f>A1783+1</f>
        <v>1805</v>
      </c>
      <c r="C1783" t="s">
        <v>512</v>
      </c>
      <c r="D1783" t="s">
        <v>26</v>
      </c>
      <c r="E1783" s="208" t="s">
        <v>567</v>
      </c>
      <c r="F1783" t="s">
        <v>15</v>
      </c>
      <c r="G1783" s="18">
        <v>26611</v>
      </c>
      <c r="H1783" s="151" t="s">
        <v>563</v>
      </c>
      <c r="I1783" t="s">
        <v>561</v>
      </c>
    </row>
    <row r="1784" spans="1:9" x14ac:dyDescent="0.25">
      <c r="A1784">
        <v>1804</v>
      </c>
      <c r="B1784">
        <f>A1784+1</f>
        <v>1805</v>
      </c>
      <c r="C1784" t="s">
        <v>512</v>
      </c>
      <c r="D1784" t="s">
        <v>26</v>
      </c>
      <c r="E1784" s="208" t="s">
        <v>572</v>
      </c>
      <c r="F1784" t="s">
        <v>3</v>
      </c>
      <c r="G1784" s="18">
        <v>687</v>
      </c>
      <c r="H1784" t="s">
        <v>24</v>
      </c>
      <c r="I1784" t="s">
        <v>16</v>
      </c>
    </row>
    <row r="1785" spans="1:9" x14ac:dyDescent="0.25">
      <c r="A1785">
        <v>1804</v>
      </c>
      <c r="B1785">
        <f>A1785+1</f>
        <v>1805</v>
      </c>
      <c r="C1785" t="s">
        <v>512</v>
      </c>
      <c r="D1785" t="s">
        <v>26</v>
      </c>
      <c r="E1785" s="208" t="s">
        <v>572</v>
      </c>
      <c r="F1785" t="s">
        <v>4</v>
      </c>
      <c r="G1785" s="18">
        <v>1227</v>
      </c>
      <c r="H1785" t="s">
        <v>23</v>
      </c>
      <c r="I1785" t="s">
        <v>16</v>
      </c>
    </row>
    <row r="1786" spans="1:9" x14ac:dyDescent="0.25">
      <c r="A1786">
        <v>1804</v>
      </c>
      <c r="B1786">
        <f>A1786+1</f>
        <v>1805</v>
      </c>
      <c r="C1786" t="s">
        <v>512</v>
      </c>
      <c r="D1786" t="s">
        <v>26</v>
      </c>
      <c r="E1786" s="208" t="s">
        <v>572</v>
      </c>
      <c r="F1786" t="s">
        <v>7</v>
      </c>
      <c r="G1786" s="18">
        <v>1914</v>
      </c>
      <c r="H1786" s="151" t="s">
        <v>563</v>
      </c>
      <c r="I1786" t="s">
        <v>16</v>
      </c>
    </row>
    <row r="1787" spans="1:9" x14ac:dyDescent="0.25">
      <c r="A1787">
        <v>1804</v>
      </c>
      <c r="B1787">
        <f>A1787+1</f>
        <v>1805</v>
      </c>
      <c r="C1787" t="s">
        <v>512</v>
      </c>
      <c r="D1787" t="s">
        <v>26</v>
      </c>
      <c r="E1787" s="208" t="s">
        <v>572</v>
      </c>
      <c r="F1787" t="s">
        <v>10</v>
      </c>
      <c r="G1787" s="18">
        <v>75</v>
      </c>
      <c r="H1787" t="s">
        <v>24</v>
      </c>
      <c r="I1787" t="s">
        <v>17</v>
      </c>
    </row>
    <row r="1788" spans="1:9" x14ac:dyDescent="0.25">
      <c r="A1788">
        <v>1804</v>
      </c>
      <c r="B1788">
        <f>A1788+1</f>
        <v>1805</v>
      </c>
      <c r="C1788" t="s">
        <v>512</v>
      </c>
      <c r="D1788" t="s">
        <v>26</v>
      </c>
      <c r="E1788" s="208" t="s">
        <v>572</v>
      </c>
      <c r="F1788" t="s">
        <v>11</v>
      </c>
      <c r="G1788" s="18">
        <v>1192</v>
      </c>
      <c r="H1788" t="s">
        <v>23</v>
      </c>
      <c r="I1788" t="s">
        <v>17</v>
      </c>
    </row>
    <row r="1789" spans="1:9" x14ac:dyDescent="0.25">
      <c r="A1789">
        <v>1804</v>
      </c>
      <c r="B1789">
        <f>A1789+1</f>
        <v>1805</v>
      </c>
      <c r="C1789" t="s">
        <v>512</v>
      </c>
      <c r="D1789" t="s">
        <v>26</v>
      </c>
      <c r="E1789" s="208" t="s">
        <v>572</v>
      </c>
      <c r="F1789" t="s">
        <v>14</v>
      </c>
      <c r="G1789" s="18">
        <v>1267</v>
      </c>
      <c r="H1789" s="151" t="s">
        <v>563</v>
      </c>
      <c r="I1789" t="s">
        <v>17</v>
      </c>
    </row>
    <row r="1790" spans="1:9" x14ac:dyDescent="0.25">
      <c r="A1790">
        <v>1804</v>
      </c>
      <c r="B1790">
        <f>A1790+1</f>
        <v>1805</v>
      </c>
      <c r="C1790" t="s">
        <v>512</v>
      </c>
      <c r="D1790" t="s">
        <v>26</v>
      </c>
      <c r="E1790" s="208" t="s">
        <v>572</v>
      </c>
      <c r="F1790" t="s">
        <v>15</v>
      </c>
      <c r="G1790" s="18">
        <v>3181</v>
      </c>
      <c r="H1790" s="151" t="s">
        <v>563</v>
      </c>
      <c r="I1790" t="s">
        <v>561</v>
      </c>
    </row>
    <row r="1791" spans="1:9" x14ac:dyDescent="0.25">
      <c r="A1791">
        <v>1804</v>
      </c>
      <c r="B1791">
        <f>A1791+1</f>
        <v>1805</v>
      </c>
      <c r="C1791" t="s">
        <v>512</v>
      </c>
      <c r="D1791" t="s">
        <v>26</v>
      </c>
      <c r="E1791" s="208" t="s">
        <v>571</v>
      </c>
      <c r="F1791" t="s">
        <v>7</v>
      </c>
      <c r="G1791" s="18">
        <v>0</v>
      </c>
      <c r="H1791" s="151" t="s">
        <v>563</v>
      </c>
      <c r="I1791" t="s">
        <v>16</v>
      </c>
    </row>
    <row r="1792" spans="1:9" x14ac:dyDescent="0.25">
      <c r="A1792">
        <v>1804</v>
      </c>
      <c r="B1792">
        <f>A1792+1</f>
        <v>1805</v>
      </c>
      <c r="C1792" t="s">
        <v>512</v>
      </c>
      <c r="D1792" t="s">
        <v>26</v>
      </c>
      <c r="E1792" s="208" t="s">
        <v>571</v>
      </c>
      <c r="F1792" t="s">
        <v>14</v>
      </c>
      <c r="G1792" s="18">
        <v>0</v>
      </c>
      <c r="H1792" s="151" t="s">
        <v>563</v>
      </c>
      <c r="I1792" t="s">
        <v>17</v>
      </c>
    </row>
    <row r="1793" spans="1:9" x14ac:dyDescent="0.25">
      <c r="A1793">
        <v>1804</v>
      </c>
      <c r="B1793">
        <f>A1793+1</f>
        <v>1805</v>
      </c>
      <c r="C1793" t="s">
        <v>512</v>
      </c>
      <c r="D1793" t="s">
        <v>26</v>
      </c>
      <c r="E1793" s="208" t="s">
        <v>571</v>
      </c>
      <c r="F1793" t="s">
        <v>15</v>
      </c>
      <c r="G1793" s="18">
        <v>0</v>
      </c>
      <c r="H1793" s="151" t="s">
        <v>563</v>
      </c>
      <c r="I1793" t="s">
        <v>561</v>
      </c>
    </row>
    <row r="1794" spans="1:9" x14ac:dyDescent="0.25">
      <c r="A1794">
        <v>1804</v>
      </c>
      <c r="B1794">
        <f>A1794+1</f>
        <v>1805</v>
      </c>
      <c r="C1794" t="s">
        <v>512</v>
      </c>
      <c r="D1794" t="s">
        <v>26</v>
      </c>
      <c r="E1794" s="208" t="s">
        <v>570</v>
      </c>
      <c r="F1794" t="s">
        <v>3</v>
      </c>
      <c r="G1794" s="18">
        <v>1938</v>
      </c>
      <c r="H1794" t="s">
        <v>24</v>
      </c>
      <c r="I1794" t="s">
        <v>16</v>
      </c>
    </row>
    <row r="1795" spans="1:9" x14ac:dyDescent="0.25">
      <c r="A1795">
        <v>1804</v>
      </c>
      <c r="B1795">
        <f>A1795+1</f>
        <v>1805</v>
      </c>
      <c r="C1795" t="s">
        <v>512</v>
      </c>
      <c r="D1795" t="s">
        <v>26</v>
      </c>
      <c r="E1795" s="208" t="s">
        <v>570</v>
      </c>
      <c r="F1795" t="s">
        <v>4</v>
      </c>
      <c r="G1795" s="18">
        <v>495</v>
      </c>
      <c r="H1795" t="s">
        <v>23</v>
      </c>
      <c r="I1795" t="s">
        <v>16</v>
      </c>
    </row>
    <row r="1796" spans="1:9" x14ac:dyDescent="0.25">
      <c r="A1796">
        <v>1804</v>
      </c>
      <c r="B1796">
        <f>A1796+1</f>
        <v>1805</v>
      </c>
      <c r="C1796" t="s">
        <v>512</v>
      </c>
      <c r="D1796" t="s">
        <v>26</v>
      </c>
      <c r="E1796" s="208" t="s">
        <v>570</v>
      </c>
      <c r="F1796" t="s">
        <v>7</v>
      </c>
      <c r="G1796" s="18">
        <v>2433</v>
      </c>
      <c r="H1796" s="151" t="s">
        <v>563</v>
      </c>
      <c r="I1796" t="s">
        <v>16</v>
      </c>
    </row>
    <row r="1797" spans="1:9" x14ac:dyDescent="0.25">
      <c r="A1797">
        <v>1804</v>
      </c>
      <c r="B1797">
        <f>A1797+1</f>
        <v>1805</v>
      </c>
      <c r="C1797" t="s">
        <v>512</v>
      </c>
      <c r="D1797" t="s">
        <v>26</v>
      </c>
      <c r="E1797" s="208" t="s">
        <v>570</v>
      </c>
      <c r="F1797" t="s">
        <v>10</v>
      </c>
      <c r="G1797" s="18">
        <v>625</v>
      </c>
      <c r="H1797" t="s">
        <v>24</v>
      </c>
      <c r="I1797" t="s">
        <v>17</v>
      </c>
    </row>
    <row r="1798" spans="1:9" x14ac:dyDescent="0.25">
      <c r="A1798">
        <v>1804</v>
      </c>
      <c r="B1798">
        <f>A1798+1</f>
        <v>1805</v>
      </c>
      <c r="C1798" t="s">
        <v>512</v>
      </c>
      <c r="D1798" t="s">
        <v>26</v>
      </c>
      <c r="E1798" s="208" t="s">
        <v>570</v>
      </c>
      <c r="F1798" t="s">
        <v>11</v>
      </c>
      <c r="G1798" s="18">
        <v>1038</v>
      </c>
      <c r="H1798" t="s">
        <v>23</v>
      </c>
      <c r="I1798" t="s">
        <v>17</v>
      </c>
    </row>
    <row r="1799" spans="1:9" x14ac:dyDescent="0.25">
      <c r="A1799">
        <v>1804</v>
      </c>
      <c r="B1799">
        <f>A1799+1</f>
        <v>1805</v>
      </c>
      <c r="C1799" t="s">
        <v>512</v>
      </c>
      <c r="D1799" t="s">
        <v>26</v>
      </c>
      <c r="E1799" s="208" t="s">
        <v>570</v>
      </c>
      <c r="F1799" t="s">
        <v>14</v>
      </c>
      <c r="G1799" s="18">
        <v>1663</v>
      </c>
      <c r="H1799" s="151" t="s">
        <v>563</v>
      </c>
      <c r="I1799" t="s">
        <v>17</v>
      </c>
    </row>
    <row r="1800" spans="1:9" x14ac:dyDescent="0.25">
      <c r="A1800">
        <v>1804</v>
      </c>
      <c r="B1800">
        <f>A1800+1</f>
        <v>1805</v>
      </c>
      <c r="C1800" t="s">
        <v>512</v>
      </c>
      <c r="D1800" t="s">
        <v>26</v>
      </c>
      <c r="E1800" s="208" t="s">
        <v>570</v>
      </c>
      <c r="F1800" t="s">
        <v>15</v>
      </c>
      <c r="G1800" s="18">
        <v>4096</v>
      </c>
      <c r="H1800" s="151" t="s">
        <v>563</v>
      </c>
      <c r="I1800" t="s">
        <v>561</v>
      </c>
    </row>
    <row r="1801" spans="1:9" x14ac:dyDescent="0.25">
      <c r="A1801">
        <v>1804</v>
      </c>
      <c r="B1801">
        <f>A1801+1</f>
        <v>1805</v>
      </c>
      <c r="C1801" t="s">
        <v>512</v>
      </c>
      <c r="D1801" t="s">
        <v>26</v>
      </c>
      <c r="E1801" s="208" t="s">
        <v>569</v>
      </c>
      <c r="F1801" t="s">
        <v>3</v>
      </c>
      <c r="G1801" s="18">
        <v>224</v>
      </c>
      <c r="H1801" t="s">
        <v>24</v>
      </c>
      <c r="I1801" t="s">
        <v>16</v>
      </c>
    </row>
    <row r="1802" spans="1:9" x14ac:dyDescent="0.25">
      <c r="A1802">
        <v>1804</v>
      </c>
      <c r="B1802">
        <f>A1802+1</f>
        <v>1805</v>
      </c>
      <c r="C1802" t="s">
        <v>512</v>
      </c>
      <c r="D1802" t="s">
        <v>26</v>
      </c>
      <c r="E1802" s="208" t="s">
        <v>569</v>
      </c>
      <c r="F1802" t="s">
        <v>4</v>
      </c>
      <c r="G1802" s="18">
        <v>673</v>
      </c>
      <c r="H1802" t="s">
        <v>23</v>
      </c>
      <c r="I1802" t="s">
        <v>16</v>
      </c>
    </row>
    <row r="1803" spans="1:9" x14ac:dyDescent="0.25">
      <c r="A1803">
        <v>1804</v>
      </c>
      <c r="B1803">
        <f>A1803+1</f>
        <v>1805</v>
      </c>
      <c r="C1803" t="s">
        <v>512</v>
      </c>
      <c r="D1803" t="s">
        <v>26</v>
      </c>
      <c r="E1803" s="208" t="s">
        <v>569</v>
      </c>
      <c r="F1803" t="s">
        <v>7</v>
      </c>
      <c r="G1803" s="18">
        <v>897</v>
      </c>
      <c r="H1803" s="151" t="s">
        <v>563</v>
      </c>
      <c r="I1803" t="s">
        <v>16</v>
      </c>
    </row>
    <row r="1804" spans="1:9" x14ac:dyDescent="0.25">
      <c r="A1804">
        <v>1804</v>
      </c>
      <c r="B1804">
        <f>A1804+1</f>
        <v>1805</v>
      </c>
      <c r="C1804" t="s">
        <v>512</v>
      </c>
      <c r="D1804" t="s">
        <v>26</v>
      </c>
      <c r="E1804" s="208" t="s">
        <v>569</v>
      </c>
      <c r="F1804" t="s">
        <v>10</v>
      </c>
      <c r="G1804" s="18">
        <v>0</v>
      </c>
      <c r="H1804" t="s">
        <v>24</v>
      </c>
      <c r="I1804" t="s">
        <v>17</v>
      </c>
    </row>
    <row r="1805" spans="1:9" x14ac:dyDescent="0.25">
      <c r="A1805">
        <v>1804</v>
      </c>
      <c r="B1805">
        <f>A1805+1</f>
        <v>1805</v>
      </c>
      <c r="C1805" t="s">
        <v>512</v>
      </c>
      <c r="D1805" t="s">
        <v>26</v>
      </c>
      <c r="E1805" s="208" t="s">
        <v>569</v>
      </c>
      <c r="F1805" t="s">
        <v>11</v>
      </c>
      <c r="G1805" s="18">
        <v>82</v>
      </c>
      <c r="H1805" t="s">
        <v>23</v>
      </c>
      <c r="I1805" t="s">
        <v>17</v>
      </c>
    </row>
    <row r="1806" spans="1:9" x14ac:dyDescent="0.25">
      <c r="A1806">
        <v>1804</v>
      </c>
      <c r="B1806">
        <f>A1806+1</f>
        <v>1805</v>
      </c>
      <c r="C1806" t="s">
        <v>512</v>
      </c>
      <c r="D1806" t="s">
        <v>26</v>
      </c>
      <c r="E1806" s="208" t="s">
        <v>569</v>
      </c>
      <c r="F1806" t="s">
        <v>14</v>
      </c>
      <c r="G1806" s="18">
        <v>82</v>
      </c>
      <c r="H1806" s="151" t="s">
        <v>563</v>
      </c>
      <c r="I1806" t="s">
        <v>17</v>
      </c>
    </row>
    <row r="1807" spans="1:9" x14ac:dyDescent="0.25">
      <c r="A1807">
        <v>1804</v>
      </c>
      <c r="B1807">
        <f>A1807+1</f>
        <v>1805</v>
      </c>
      <c r="C1807" t="s">
        <v>512</v>
      </c>
      <c r="D1807" t="s">
        <v>26</v>
      </c>
      <c r="E1807" s="208" t="s">
        <v>569</v>
      </c>
      <c r="F1807" t="s">
        <v>15</v>
      </c>
      <c r="G1807" s="18">
        <v>979</v>
      </c>
      <c r="H1807" s="151" t="s">
        <v>563</v>
      </c>
      <c r="I1807" t="s">
        <v>561</v>
      </c>
    </row>
    <row r="1808" spans="1:9" x14ac:dyDescent="0.25">
      <c r="A1808">
        <v>1804</v>
      </c>
      <c r="B1808">
        <f>A1808+1</f>
        <v>1805</v>
      </c>
      <c r="C1808" t="s">
        <v>512</v>
      </c>
      <c r="D1808" t="s">
        <v>26</v>
      </c>
      <c r="E1808" s="208" t="s">
        <v>573</v>
      </c>
      <c r="F1808" t="s">
        <v>3</v>
      </c>
      <c r="G1808" s="18">
        <v>90</v>
      </c>
      <c r="H1808" t="s">
        <v>24</v>
      </c>
      <c r="I1808" t="s">
        <v>16</v>
      </c>
    </row>
    <row r="1809" spans="1:9" x14ac:dyDescent="0.25">
      <c r="A1809">
        <v>1804</v>
      </c>
      <c r="B1809">
        <f>A1809+1</f>
        <v>1805</v>
      </c>
      <c r="C1809" t="s">
        <v>512</v>
      </c>
      <c r="D1809" t="s">
        <v>26</v>
      </c>
      <c r="E1809" s="208" t="s">
        <v>573</v>
      </c>
      <c r="F1809" t="s">
        <v>4</v>
      </c>
      <c r="G1809" s="18">
        <v>93</v>
      </c>
      <c r="H1809" t="s">
        <v>23</v>
      </c>
      <c r="I1809" t="s">
        <v>16</v>
      </c>
    </row>
    <row r="1810" spans="1:9" x14ac:dyDescent="0.25">
      <c r="A1810">
        <v>1804</v>
      </c>
      <c r="B1810">
        <f>A1810+1</f>
        <v>1805</v>
      </c>
      <c r="C1810" t="s">
        <v>512</v>
      </c>
      <c r="D1810" t="s">
        <v>26</v>
      </c>
      <c r="E1810" s="208" t="s">
        <v>573</v>
      </c>
      <c r="F1810" t="s">
        <v>7</v>
      </c>
      <c r="G1810" s="18">
        <v>183</v>
      </c>
      <c r="H1810" s="151" t="s">
        <v>563</v>
      </c>
      <c r="I1810" t="s">
        <v>16</v>
      </c>
    </row>
    <row r="1811" spans="1:9" x14ac:dyDescent="0.25">
      <c r="A1811">
        <v>1804</v>
      </c>
      <c r="B1811">
        <f>A1811+1</f>
        <v>1805</v>
      </c>
      <c r="C1811" t="s">
        <v>512</v>
      </c>
      <c r="D1811" t="s">
        <v>26</v>
      </c>
      <c r="E1811" s="208" t="s">
        <v>573</v>
      </c>
      <c r="F1811" t="s">
        <v>10</v>
      </c>
      <c r="G1811" s="18">
        <v>0</v>
      </c>
      <c r="H1811" t="s">
        <v>24</v>
      </c>
      <c r="I1811" t="s">
        <v>17</v>
      </c>
    </row>
    <row r="1812" spans="1:9" x14ac:dyDescent="0.25">
      <c r="A1812">
        <v>1804</v>
      </c>
      <c r="B1812">
        <f>A1812+1</f>
        <v>1805</v>
      </c>
      <c r="C1812" t="s">
        <v>512</v>
      </c>
      <c r="D1812" t="s">
        <v>26</v>
      </c>
      <c r="E1812" s="208" t="s">
        <v>573</v>
      </c>
      <c r="F1812" t="s">
        <v>11</v>
      </c>
      <c r="G1812" s="18">
        <v>0</v>
      </c>
      <c r="H1812" t="s">
        <v>23</v>
      </c>
      <c r="I1812" t="s">
        <v>17</v>
      </c>
    </row>
    <row r="1813" spans="1:9" x14ac:dyDescent="0.25">
      <c r="A1813">
        <v>1804</v>
      </c>
      <c r="B1813">
        <f>A1813+1</f>
        <v>1805</v>
      </c>
      <c r="C1813" t="s">
        <v>512</v>
      </c>
      <c r="D1813" t="s">
        <v>26</v>
      </c>
      <c r="E1813" s="208" t="s">
        <v>573</v>
      </c>
      <c r="F1813" t="s">
        <v>14</v>
      </c>
      <c r="G1813" s="18">
        <v>0</v>
      </c>
      <c r="H1813" s="151" t="s">
        <v>563</v>
      </c>
      <c r="I1813" t="s">
        <v>17</v>
      </c>
    </row>
    <row r="1814" spans="1:9" x14ac:dyDescent="0.25">
      <c r="A1814">
        <v>1804</v>
      </c>
      <c r="B1814">
        <f>A1814+1</f>
        <v>1805</v>
      </c>
      <c r="C1814" t="s">
        <v>512</v>
      </c>
      <c r="D1814" t="s">
        <v>26</v>
      </c>
      <c r="E1814" s="208" t="s">
        <v>573</v>
      </c>
      <c r="F1814" t="s">
        <v>15</v>
      </c>
      <c r="G1814" s="18">
        <v>183</v>
      </c>
      <c r="H1814" s="151" t="s">
        <v>563</v>
      </c>
      <c r="I1814" t="s">
        <v>561</v>
      </c>
    </row>
    <row r="1815" spans="1:9" x14ac:dyDescent="0.25">
      <c r="A1815">
        <v>1805</v>
      </c>
      <c r="B1815">
        <f>A1815+1</f>
        <v>1806</v>
      </c>
      <c r="C1815" t="s">
        <v>511</v>
      </c>
      <c r="D1815" t="s">
        <v>27</v>
      </c>
      <c r="E1815" s="208" t="s">
        <v>155</v>
      </c>
      <c r="F1815" t="s">
        <v>3</v>
      </c>
      <c r="G1815" s="18">
        <v>107</v>
      </c>
      <c r="H1815" t="s">
        <v>16</v>
      </c>
      <c r="I1815" t="s">
        <v>24</v>
      </c>
    </row>
    <row r="1816" spans="1:9" x14ac:dyDescent="0.25">
      <c r="A1816">
        <v>1805</v>
      </c>
      <c r="B1816">
        <f>A1816+1</f>
        <v>1806</v>
      </c>
      <c r="C1816" t="s">
        <v>511</v>
      </c>
      <c r="D1816" t="s">
        <v>27</v>
      </c>
      <c r="E1816" s="208" t="s">
        <v>156</v>
      </c>
      <c r="F1816" t="s">
        <v>3</v>
      </c>
      <c r="G1816" s="18">
        <v>29</v>
      </c>
      <c r="H1816" t="s">
        <v>16</v>
      </c>
      <c r="I1816" t="s">
        <v>24</v>
      </c>
    </row>
    <row r="1817" spans="1:9" x14ac:dyDescent="0.25">
      <c r="A1817">
        <v>1805</v>
      </c>
      <c r="B1817">
        <f>A1817+1</f>
        <v>1806</v>
      </c>
      <c r="C1817" t="s">
        <v>511</v>
      </c>
      <c r="D1817" t="s">
        <v>27</v>
      </c>
      <c r="E1817" s="208" t="s">
        <v>154</v>
      </c>
      <c r="F1817" t="s">
        <v>3</v>
      </c>
      <c r="G1817" s="18">
        <v>458</v>
      </c>
      <c r="H1817" t="s">
        <v>16</v>
      </c>
      <c r="I1817" t="s">
        <v>24</v>
      </c>
    </row>
    <row r="1818" spans="1:9" x14ac:dyDescent="0.25">
      <c r="A1818">
        <v>1805</v>
      </c>
      <c r="B1818">
        <f>A1818+1</f>
        <v>1806</v>
      </c>
      <c r="C1818" t="s">
        <v>511</v>
      </c>
      <c r="D1818" t="s">
        <v>27</v>
      </c>
      <c r="E1818" s="208" t="s">
        <v>150</v>
      </c>
      <c r="F1818" t="s">
        <v>3</v>
      </c>
      <c r="G1818" s="18">
        <v>2538</v>
      </c>
      <c r="H1818" t="s">
        <v>16</v>
      </c>
      <c r="I1818" t="s">
        <v>24</v>
      </c>
    </row>
    <row r="1819" spans="1:9" x14ac:dyDescent="0.25">
      <c r="A1819">
        <v>1805</v>
      </c>
      <c r="B1819">
        <f>A1819+1</f>
        <v>1806</v>
      </c>
      <c r="C1819" t="s">
        <v>511</v>
      </c>
      <c r="D1819" t="s">
        <v>27</v>
      </c>
      <c r="E1819" s="208" t="s">
        <v>148</v>
      </c>
      <c r="F1819" t="s">
        <v>3</v>
      </c>
      <c r="G1819" s="18">
        <v>141</v>
      </c>
      <c r="H1819" t="s">
        <v>16</v>
      </c>
      <c r="I1819" t="s">
        <v>24</v>
      </c>
    </row>
    <row r="1820" spans="1:9" x14ac:dyDescent="0.25">
      <c r="A1820">
        <v>1805</v>
      </c>
      <c r="B1820">
        <f>A1820+1</f>
        <v>1806</v>
      </c>
      <c r="C1820" t="s">
        <v>511</v>
      </c>
      <c r="D1820" t="s">
        <v>27</v>
      </c>
      <c r="E1820" s="208" t="s">
        <v>139</v>
      </c>
      <c r="F1820" t="s">
        <v>3</v>
      </c>
      <c r="G1820" s="18">
        <v>69</v>
      </c>
      <c r="H1820" t="s">
        <v>16</v>
      </c>
      <c r="I1820" t="s">
        <v>24</v>
      </c>
    </row>
    <row r="1821" spans="1:9" x14ac:dyDescent="0.25">
      <c r="A1821">
        <v>1805</v>
      </c>
      <c r="B1821">
        <f>A1821+1</f>
        <v>1806</v>
      </c>
      <c r="C1821" t="s">
        <v>511</v>
      </c>
      <c r="D1821" t="s">
        <v>27</v>
      </c>
      <c r="E1821" s="208" t="s">
        <v>130</v>
      </c>
      <c r="F1821" t="s">
        <v>3</v>
      </c>
      <c r="G1821" s="18">
        <v>1</v>
      </c>
      <c r="H1821" t="s">
        <v>16</v>
      </c>
      <c r="I1821" t="s">
        <v>24</v>
      </c>
    </row>
    <row r="1822" spans="1:9" x14ac:dyDescent="0.25">
      <c r="A1822">
        <v>1805</v>
      </c>
      <c r="B1822">
        <f>A1822+1</f>
        <v>1806</v>
      </c>
      <c r="C1822" t="s">
        <v>511</v>
      </c>
      <c r="D1822" t="s">
        <v>27</v>
      </c>
      <c r="E1822" s="208" t="s">
        <v>132</v>
      </c>
      <c r="F1822" t="s">
        <v>3</v>
      </c>
      <c r="G1822" s="18">
        <v>0</v>
      </c>
      <c r="H1822" t="s">
        <v>16</v>
      </c>
      <c r="I1822" t="s">
        <v>24</v>
      </c>
    </row>
    <row r="1823" spans="1:9" x14ac:dyDescent="0.25">
      <c r="A1823">
        <v>1805</v>
      </c>
      <c r="B1823">
        <f>A1823+1</f>
        <v>1806</v>
      </c>
      <c r="C1823" t="s">
        <v>511</v>
      </c>
      <c r="D1823" t="s">
        <v>27</v>
      </c>
      <c r="E1823" s="208" t="s">
        <v>142</v>
      </c>
      <c r="F1823" t="s">
        <v>3</v>
      </c>
      <c r="G1823" s="18">
        <v>0</v>
      </c>
      <c r="H1823" t="s">
        <v>16</v>
      </c>
      <c r="I1823" t="s">
        <v>24</v>
      </c>
    </row>
    <row r="1824" spans="1:9" x14ac:dyDescent="0.25">
      <c r="A1824">
        <v>1805</v>
      </c>
      <c r="B1824">
        <f>A1824+1</f>
        <v>1806</v>
      </c>
      <c r="C1824" t="s">
        <v>511</v>
      </c>
      <c r="D1824" t="s">
        <v>27</v>
      </c>
      <c r="E1824" s="208" t="s">
        <v>144</v>
      </c>
      <c r="F1824" t="s">
        <v>3</v>
      </c>
      <c r="G1824" s="18">
        <v>2</v>
      </c>
      <c r="H1824" t="s">
        <v>16</v>
      </c>
      <c r="I1824" t="s">
        <v>24</v>
      </c>
    </row>
    <row r="1825" spans="1:9" x14ac:dyDescent="0.25">
      <c r="A1825">
        <v>1805</v>
      </c>
      <c r="B1825">
        <f>A1825+1</f>
        <v>1806</v>
      </c>
      <c r="C1825" t="s">
        <v>511</v>
      </c>
      <c r="D1825" t="s">
        <v>27</v>
      </c>
      <c r="E1825" s="208" t="s">
        <v>124</v>
      </c>
      <c r="F1825" t="s">
        <v>3</v>
      </c>
      <c r="G1825" s="18">
        <v>58332</v>
      </c>
      <c r="H1825" t="s">
        <v>16</v>
      </c>
      <c r="I1825" t="s">
        <v>24</v>
      </c>
    </row>
    <row r="1826" spans="1:9" x14ac:dyDescent="0.25">
      <c r="A1826">
        <v>1805</v>
      </c>
      <c r="B1826">
        <f>A1826+1</f>
        <v>1806</v>
      </c>
      <c r="C1826" t="s">
        <v>511</v>
      </c>
      <c r="D1826" t="s">
        <v>26</v>
      </c>
      <c r="E1826" s="208" t="s">
        <v>62</v>
      </c>
      <c r="F1826" t="s">
        <v>3</v>
      </c>
      <c r="G1826" s="18">
        <v>43</v>
      </c>
      <c r="H1826" t="s">
        <v>24</v>
      </c>
      <c r="I1826" t="s">
        <v>16</v>
      </c>
    </row>
    <row r="1827" spans="1:9" x14ac:dyDescent="0.25">
      <c r="A1827">
        <v>1805</v>
      </c>
      <c r="B1827">
        <f>A1827+1</f>
        <v>1806</v>
      </c>
      <c r="C1827" t="s">
        <v>511</v>
      </c>
      <c r="D1827" t="s">
        <v>26</v>
      </c>
      <c r="E1827" s="208" t="s">
        <v>36</v>
      </c>
      <c r="F1827" t="s">
        <v>3</v>
      </c>
      <c r="G1827" s="18">
        <v>0</v>
      </c>
      <c r="H1827" t="s">
        <v>24</v>
      </c>
      <c r="I1827" t="s">
        <v>16</v>
      </c>
    </row>
    <row r="1828" spans="1:9" x14ac:dyDescent="0.25">
      <c r="A1828">
        <v>1805</v>
      </c>
      <c r="B1828">
        <f>A1828+1</f>
        <v>1806</v>
      </c>
      <c r="C1828" t="s">
        <v>511</v>
      </c>
      <c r="D1828" t="s">
        <v>26</v>
      </c>
      <c r="E1828" s="208" t="s">
        <v>28</v>
      </c>
      <c r="F1828" t="s">
        <v>3</v>
      </c>
      <c r="G1828" s="18">
        <v>164</v>
      </c>
      <c r="H1828" t="s">
        <v>24</v>
      </c>
      <c r="I1828" t="s">
        <v>16</v>
      </c>
    </row>
    <row r="1829" spans="1:9" x14ac:dyDescent="0.25">
      <c r="A1829">
        <v>1805</v>
      </c>
      <c r="B1829">
        <f>A1829+1</f>
        <v>1806</v>
      </c>
      <c r="C1829" t="s">
        <v>511</v>
      </c>
      <c r="D1829" t="s">
        <v>26</v>
      </c>
      <c r="E1829" s="208" t="s">
        <v>89</v>
      </c>
      <c r="F1829" t="s">
        <v>3</v>
      </c>
      <c r="G1829" s="18">
        <v>13</v>
      </c>
      <c r="H1829" t="s">
        <v>24</v>
      </c>
      <c r="I1829" t="s">
        <v>16</v>
      </c>
    </row>
    <row r="1830" spans="1:9" x14ac:dyDescent="0.25">
      <c r="A1830">
        <v>1805</v>
      </c>
      <c r="B1830">
        <f>A1830+1</f>
        <v>1806</v>
      </c>
      <c r="C1830" t="s">
        <v>511</v>
      </c>
      <c r="D1830" t="s">
        <v>26</v>
      </c>
      <c r="E1830" s="208" t="s">
        <v>45</v>
      </c>
      <c r="F1830" t="s">
        <v>3</v>
      </c>
      <c r="G1830" s="18">
        <v>117</v>
      </c>
      <c r="H1830" t="s">
        <v>24</v>
      </c>
      <c r="I1830" t="s">
        <v>16</v>
      </c>
    </row>
    <row r="1831" spans="1:9" x14ac:dyDescent="0.25">
      <c r="A1831">
        <v>1805</v>
      </c>
      <c r="B1831">
        <f>A1831+1</f>
        <v>1806</v>
      </c>
      <c r="C1831" t="s">
        <v>511</v>
      </c>
      <c r="D1831" t="s">
        <v>26</v>
      </c>
      <c r="E1831" s="208" t="s">
        <v>53</v>
      </c>
      <c r="F1831" t="s">
        <v>3</v>
      </c>
      <c r="G1831" s="18">
        <v>156</v>
      </c>
      <c r="H1831" t="s">
        <v>24</v>
      </c>
      <c r="I1831" t="s">
        <v>16</v>
      </c>
    </row>
    <row r="1832" spans="1:9" x14ac:dyDescent="0.25">
      <c r="A1832">
        <v>1805</v>
      </c>
      <c r="B1832">
        <f>A1832+1</f>
        <v>1806</v>
      </c>
      <c r="C1832" t="s">
        <v>511</v>
      </c>
      <c r="D1832" t="s">
        <v>26</v>
      </c>
      <c r="E1832" s="208" t="s">
        <v>75</v>
      </c>
      <c r="F1832" t="s">
        <v>3</v>
      </c>
      <c r="G1832" s="18">
        <v>471858</v>
      </c>
      <c r="H1832" t="s">
        <v>24</v>
      </c>
      <c r="I1832" t="s">
        <v>16</v>
      </c>
    </row>
    <row r="1833" spans="1:9" x14ac:dyDescent="0.25">
      <c r="A1833">
        <v>1805</v>
      </c>
      <c r="B1833">
        <f>A1833+1</f>
        <v>1806</v>
      </c>
      <c r="C1833" t="s">
        <v>511</v>
      </c>
      <c r="D1833" t="s">
        <v>26</v>
      </c>
      <c r="E1833" s="208" t="s">
        <v>107</v>
      </c>
      <c r="F1833" t="s">
        <v>3</v>
      </c>
      <c r="G1833" s="18">
        <v>175260</v>
      </c>
      <c r="H1833" t="s">
        <v>24</v>
      </c>
      <c r="I1833" t="s">
        <v>16</v>
      </c>
    </row>
    <row r="1834" spans="1:9" x14ac:dyDescent="0.25">
      <c r="A1834">
        <v>1805</v>
      </c>
      <c r="B1834">
        <f>A1834+1</f>
        <v>1806</v>
      </c>
      <c r="C1834" t="s">
        <v>511</v>
      </c>
      <c r="D1834" t="s">
        <v>26</v>
      </c>
      <c r="E1834" s="208" t="s">
        <v>101</v>
      </c>
      <c r="F1834" t="s">
        <v>3</v>
      </c>
      <c r="G1834" s="18">
        <v>89456</v>
      </c>
      <c r="H1834" t="s">
        <v>24</v>
      </c>
      <c r="I1834" t="s">
        <v>16</v>
      </c>
    </row>
    <row r="1835" spans="1:9" x14ac:dyDescent="0.25">
      <c r="A1835">
        <v>1805</v>
      </c>
      <c r="B1835">
        <f>A1835+1</f>
        <v>1806</v>
      </c>
      <c r="C1835" t="s">
        <v>511</v>
      </c>
      <c r="D1835" t="s">
        <v>26</v>
      </c>
      <c r="E1835" s="208" t="s">
        <v>330</v>
      </c>
      <c r="F1835" t="s">
        <v>6</v>
      </c>
      <c r="G1835" s="18">
        <v>1281</v>
      </c>
      <c r="H1835" t="s">
        <v>25</v>
      </c>
      <c r="I1835" t="s">
        <v>16</v>
      </c>
    </row>
    <row r="1836" spans="1:9" x14ac:dyDescent="0.25">
      <c r="A1836">
        <v>1805</v>
      </c>
      <c r="B1836">
        <f>A1836+1</f>
        <v>1806</v>
      </c>
      <c r="C1836" t="s">
        <v>511</v>
      </c>
      <c r="D1836" t="s">
        <v>26</v>
      </c>
      <c r="E1836" s="208" t="s">
        <v>331</v>
      </c>
      <c r="F1836" t="s">
        <v>6</v>
      </c>
      <c r="G1836" s="18">
        <v>2890</v>
      </c>
      <c r="H1836" t="s">
        <v>25</v>
      </c>
      <c r="I1836" t="s">
        <v>16</v>
      </c>
    </row>
    <row r="1837" spans="1:9" x14ac:dyDescent="0.25">
      <c r="A1837">
        <v>1805</v>
      </c>
      <c r="B1837">
        <f>A1837+1</f>
        <v>1806</v>
      </c>
      <c r="C1837" t="s">
        <v>511</v>
      </c>
      <c r="D1837" t="s">
        <v>26</v>
      </c>
      <c r="E1837" s="208" t="s">
        <v>332</v>
      </c>
      <c r="F1837" t="s">
        <v>6</v>
      </c>
      <c r="G1837" s="18">
        <v>221</v>
      </c>
      <c r="H1837" t="s">
        <v>25</v>
      </c>
      <c r="I1837" t="s">
        <v>16</v>
      </c>
    </row>
    <row r="1838" spans="1:9" x14ac:dyDescent="0.25">
      <c r="A1838">
        <v>1805</v>
      </c>
      <c r="B1838">
        <f>A1838+1</f>
        <v>1806</v>
      </c>
      <c r="C1838" t="s">
        <v>511</v>
      </c>
      <c r="D1838" t="s">
        <v>26</v>
      </c>
      <c r="E1838" s="208" t="s">
        <v>333</v>
      </c>
      <c r="F1838" t="s">
        <v>6</v>
      </c>
      <c r="G1838" s="18">
        <v>471</v>
      </c>
      <c r="H1838" t="s">
        <v>25</v>
      </c>
      <c r="I1838" t="s">
        <v>16</v>
      </c>
    </row>
    <row r="1839" spans="1:9" x14ac:dyDescent="0.25">
      <c r="A1839">
        <v>1805</v>
      </c>
      <c r="B1839">
        <f>A1839+1</f>
        <v>1806</v>
      </c>
      <c r="C1839" t="s">
        <v>511</v>
      </c>
      <c r="D1839" t="s">
        <v>27</v>
      </c>
      <c r="E1839" s="208" t="s">
        <v>155</v>
      </c>
      <c r="F1839" t="s">
        <v>0</v>
      </c>
      <c r="G1839" s="18">
        <v>53850</v>
      </c>
      <c r="H1839" t="s">
        <v>16</v>
      </c>
      <c r="I1839" t="s">
        <v>18</v>
      </c>
    </row>
    <row r="1840" spans="1:9" x14ac:dyDescent="0.25">
      <c r="A1840">
        <v>1805</v>
      </c>
      <c r="B1840">
        <f>A1840+1</f>
        <v>1806</v>
      </c>
      <c r="C1840" t="s">
        <v>511</v>
      </c>
      <c r="D1840" t="s">
        <v>27</v>
      </c>
      <c r="E1840" s="208" t="s">
        <v>156</v>
      </c>
      <c r="F1840" t="s">
        <v>0</v>
      </c>
      <c r="G1840" s="18">
        <v>6031</v>
      </c>
      <c r="H1840" t="s">
        <v>16</v>
      </c>
      <c r="I1840" t="s">
        <v>18</v>
      </c>
    </row>
    <row r="1841" spans="1:9" x14ac:dyDescent="0.25">
      <c r="A1841">
        <v>1805</v>
      </c>
      <c r="B1841">
        <f>A1841+1</f>
        <v>1806</v>
      </c>
      <c r="C1841" t="s">
        <v>511</v>
      </c>
      <c r="D1841" t="s">
        <v>27</v>
      </c>
      <c r="E1841" s="208" t="s">
        <v>154</v>
      </c>
      <c r="F1841" t="s">
        <v>0</v>
      </c>
      <c r="G1841" s="18">
        <v>851</v>
      </c>
      <c r="H1841" t="s">
        <v>16</v>
      </c>
      <c r="I1841" t="s">
        <v>18</v>
      </c>
    </row>
    <row r="1842" spans="1:9" x14ac:dyDescent="0.25">
      <c r="A1842">
        <v>1805</v>
      </c>
      <c r="B1842">
        <f>A1842+1</f>
        <v>1806</v>
      </c>
      <c r="C1842" t="s">
        <v>511</v>
      </c>
      <c r="D1842" t="s">
        <v>27</v>
      </c>
      <c r="E1842" s="208" t="s">
        <v>150</v>
      </c>
      <c r="F1842" t="s">
        <v>0</v>
      </c>
      <c r="G1842" s="18">
        <v>7572</v>
      </c>
      <c r="H1842" t="s">
        <v>16</v>
      </c>
      <c r="I1842" t="s">
        <v>18</v>
      </c>
    </row>
    <row r="1843" spans="1:9" x14ac:dyDescent="0.25">
      <c r="A1843">
        <v>1805</v>
      </c>
      <c r="B1843">
        <f>A1843+1</f>
        <v>1806</v>
      </c>
      <c r="C1843" t="s">
        <v>511</v>
      </c>
      <c r="D1843" t="s">
        <v>27</v>
      </c>
      <c r="E1843" s="208" t="s">
        <v>148</v>
      </c>
      <c r="F1843" t="s">
        <v>0</v>
      </c>
      <c r="G1843" s="18">
        <v>352</v>
      </c>
      <c r="H1843" t="s">
        <v>16</v>
      </c>
      <c r="I1843" t="s">
        <v>18</v>
      </c>
    </row>
    <row r="1844" spans="1:9" x14ac:dyDescent="0.25">
      <c r="A1844">
        <v>1805</v>
      </c>
      <c r="B1844">
        <f>A1844+1</f>
        <v>1806</v>
      </c>
      <c r="C1844" t="s">
        <v>511</v>
      </c>
      <c r="D1844" t="s">
        <v>27</v>
      </c>
      <c r="E1844" s="208" t="s">
        <v>139</v>
      </c>
      <c r="F1844" t="s">
        <v>0</v>
      </c>
      <c r="G1844" s="18">
        <v>0</v>
      </c>
      <c r="H1844" t="s">
        <v>16</v>
      </c>
      <c r="I1844" t="s">
        <v>18</v>
      </c>
    </row>
    <row r="1845" spans="1:9" x14ac:dyDescent="0.25">
      <c r="A1845">
        <v>1805</v>
      </c>
      <c r="B1845">
        <f>A1845+1</f>
        <v>1806</v>
      </c>
      <c r="C1845" t="s">
        <v>511</v>
      </c>
      <c r="D1845" t="s">
        <v>27</v>
      </c>
      <c r="E1845" s="208" t="s">
        <v>130</v>
      </c>
      <c r="F1845" t="s">
        <v>0</v>
      </c>
      <c r="G1845" s="18">
        <v>483</v>
      </c>
      <c r="H1845" t="s">
        <v>16</v>
      </c>
      <c r="I1845" t="s">
        <v>18</v>
      </c>
    </row>
    <row r="1846" spans="1:9" x14ac:dyDescent="0.25">
      <c r="A1846">
        <v>1805</v>
      </c>
      <c r="B1846">
        <f>A1846+1</f>
        <v>1806</v>
      </c>
      <c r="C1846" t="s">
        <v>511</v>
      </c>
      <c r="D1846" t="s">
        <v>27</v>
      </c>
      <c r="E1846" s="208" t="s">
        <v>132</v>
      </c>
      <c r="F1846" t="s">
        <v>0</v>
      </c>
      <c r="G1846" s="18">
        <v>279</v>
      </c>
      <c r="H1846" t="s">
        <v>16</v>
      </c>
      <c r="I1846" t="s">
        <v>18</v>
      </c>
    </row>
    <row r="1847" spans="1:9" x14ac:dyDescent="0.25">
      <c r="A1847">
        <v>1805</v>
      </c>
      <c r="B1847">
        <f>A1847+1</f>
        <v>1806</v>
      </c>
      <c r="C1847" t="s">
        <v>511</v>
      </c>
      <c r="D1847" t="s">
        <v>27</v>
      </c>
      <c r="E1847" s="208" t="s">
        <v>142</v>
      </c>
      <c r="F1847" t="s">
        <v>0</v>
      </c>
      <c r="G1847" s="18">
        <v>5126</v>
      </c>
      <c r="H1847" t="s">
        <v>16</v>
      </c>
      <c r="I1847" t="s">
        <v>18</v>
      </c>
    </row>
    <row r="1848" spans="1:9" x14ac:dyDescent="0.25">
      <c r="A1848">
        <v>1805</v>
      </c>
      <c r="B1848">
        <f>A1848+1</f>
        <v>1806</v>
      </c>
      <c r="C1848" t="s">
        <v>511</v>
      </c>
      <c r="D1848" t="s">
        <v>27</v>
      </c>
      <c r="E1848" s="208" t="s">
        <v>144</v>
      </c>
      <c r="F1848" t="s">
        <v>0</v>
      </c>
      <c r="G1848" s="18">
        <v>319</v>
      </c>
      <c r="H1848" t="s">
        <v>16</v>
      </c>
      <c r="I1848" t="s">
        <v>18</v>
      </c>
    </row>
    <row r="1849" spans="1:9" x14ac:dyDescent="0.25">
      <c r="A1849">
        <v>1805</v>
      </c>
      <c r="B1849">
        <f>A1849+1</f>
        <v>1806</v>
      </c>
      <c r="C1849" t="s">
        <v>511</v>
      </c>
      <c r="D1849" t="s">
        <v>27</v>
      </c>
      <c r="E1849" s="208" t="s">
        <v>124</v>
      </c>
      <c r="F1849" t="s">
        <v>0</v>
      </c>
      <c r="G1849" s="18">
        <v>21094536</v>
      </c>
      <c r="H1849" t="s">
        <v>16</v>
      </c>
      <c r="I1849" t="s">
        <v>18</v>
      </c>
    </row>
    <row r="1850" spans="1:9" x14ac:dyDescent="0.25">
      <c r="A1850">
        <v>1805</v>
      </c>
      <c r="B1850">
        <f>A1850+1</f>
        <v>1806</v>
      </c>
      <c r="C1850" t="s">
        <v>511</v>
      </c>
      <c r="D1850" t="s">
        <v>26</v>
      </c>
      <c r="E1850" s="208" t="s">
        <v>65</v>
      </c>
      <c r="F1850" t="s">
        <v>169</v>
      </c>
      <c r="G1850" s="18">
        <v>12827</v>
      </c>
      <c r="H1850" t="s">
        <v>160</v>
      </c>
      <c r="I1850" t="s">
        <v>16</v>
      </c>
    </row>
    <row r="1851" spans="1:9" x14ac:dyDescent="0.25">
      <c r="A1851">
        <v>1805</v>
      </c>
      <c r="B1851">
        <f>A1851+1</f>
        <v>1806</v>
      </c>
      <c r="C1851" t="s">
        <v>511</v>
      </c>
      <c r="D1851" t="s">
        <v>27</v>
      </c>
      <c r="E1851" s="208" t="s">
        <v>155</v>
      </c>
      <c r="F1851" t="s">
        <v>1</v>
      </c>
      <c r="G1851" s="18">
        <v>4218</v>
      </c>
      <c r="H1851" t="s">
        <v>16</v>
      </c>
      <c r="I1851" t="s">
        <v>21</v>
      </c>
    </row>
    <row r="1852" spans="1:9" x14ac:dyDescent="0.25">
      <c r="A1852">
        <v>1805</v>
      </c>
      <c r="B1852">
        <f>A1852+1</f>
        <v>1806</v>
      </c>
      <c r="C1852" t="s">
        <v>511</v>
      </c>
      <c r="D1852" t="s">
        <v>27</v>
      </c>
      <c r="E1852" s="208" t="s">
        <v>156</v>
      </c>
      <c r="F1852" t="s">
        <v>1</v>
      </c>
      <c r="G1852" s="18">
        <v>384</v>
      </c>
      <c r="H1852" t="s">
        <v>16</v>
      </c>
      <c r="I1852" t="s">
        <v>21</v>
      </c>
    </row>
    <row r="1853" spans="1:9" x14ac:dyDescent="0.25">
      <c r="A1853">
        <v>1805</v>
      </c>
      <c r="B1853">
        <f>A1853+1</f>
        <v>1806</v>
      </c>
      <c r="C1853" t="s">
        <v>511</v>
      </c>
      <c r="D1853" t="s">
        <v>27</v>
      </c>
      <c r="E1853" s="208" t="s">
        <v>154</v>
      </c>
      <c r="F1853" t="s">
        <v>1</v>
      </c>
      <c r="G1853" s="18">
        <v>990</v>
      </c>
      <c r="H1853" t="s">
        <v>16</v>
      </c>
      <c r="I1853" t="s">
        <v>21</v>
      </c>
    </row>
    <row r="1854" spans="1:9" x14ac:dyDescent="0.25">
      <c r="A1854">
        <v>1805</v>
      </c>
      <c r="B1854">
        <f>A1854+1</f>
        <v>1806</v>
      </c>
      <c r="C1854" t="s">
        <v>511</v>
      </c>
      <c r="D1854" t="s">
        <v>27</v>
      </c>
      <c r="E1854" s="208" t="s">
        <v>150</v>
      </c>
      <c r="F1854" t="s">
        <v>1</v>
      </c>
      <c r="G1854" s="18">
        <v>471</v>
      </c>
      <c r="H1854" t="s">
        <v>16</v>
      </c>
      <c r="I1854" t="s">
        <v>21</v>
      </c>
    </row>
    <row r="1855" spans="1:9" x14ac:dyDescent="0.25">
      <c r="A1855">
        <v>1805</v>
      </c>
      <c r="B1855">
        <f>A1855+1</f>
        <v>1806</v>
      </c>
      <c r="C1855" t="s">
        <v>511</v>
      </c>
      <c r="D1855" t="s">
        <v>27</v>
      </c>
      <c r="E1855" s="208" t="s">
        <v>148</v>
      </c>
      <c r="F1855" t="s">
        <v>1</v>
      </c>
      <c r="G1855" s="18">
        <v>249</v>
      </c>
      <c r="H1855" t="s">
        <v>16</v>
      </c>
      <c r="I1855" t="s">
        <v>21</v>
      </c>
    </row>
    <row r="1856" spans="1:9" x14ac:dyDescent="0.25">
      <c r="A1856">
        <v>1805</v>
      </c>
      <c r="B1856">
        <f>A1856+1</f>
        <v>1806</v>
      </c>
      <c r="C1856" t="s">
        <v>511</v>
      </c>
      <c r="D1856" t="s">
        <v>27</v>
      </c>
      <c r="E1856" s="208" t="s">
        <v>139</v>
      </c>
      <c r="F1856" t="s">
        <v>1</v>
      </c>
      <c r="G1856" s="18">
        <v>0</v>
      </c>
      <c r="H1856" t="s">
        <v>16</v>
      </c>
      <c r="I1856" t="s">
        <v>21</v>
      </c>
    </row>
    <row r="1857" spans="1:9" x14ac:dyDescent="0.25">
      <c r="A1857">
        <v>1805</v>
      </c>
      <c r="B1857">
        <f>A1857+1</f>
        <v>1806</v>
      </c>
      <c r="C1857" t="s">
        <v>511</v>
      </c>
      <c r="D1857" t="s">
        <v>27</v>
      </c>
      <c r="E1857" s="208" t="s">
        <v>130</v>
      </c>
      <c r="F1857" t="s">
        <v>1</v>
      </c>
      <c r="G1857" s="18">
        <v>118</v>
      </c>
      <c r="H1857" t="s">
        <v>16</v>
      </c>
      <c r="I1857" t="s">
        <v>21</v>
      </c>
    </row>
    <row r="1858" spans="1:9" x14ac:dyDescent="0.25">
      <c r="A1858">
        <v>1805</v>
      </c>
      <c r="B1858">
        <f>A1858+1</f>
        <v>1806</v>
      </c>
      <c r="C1858" t="s">
        <v>511</v>
      </c>
      <c r="D1858" t="s">
        <v>27</v>
      </c>
      <c r="E1858" s="208" t="s">
        <v>132</v>
      </c>
      <c r="F1858" t="s">
        <v>1</v>
      </c>
      <c r="G1858" s="18">
        <v>105</v>
      </c>
      <c r="H1858" t="s">
        <v>16</v>
      </c>
      <c r="I1858" t="s">
        <v>21</v>
      </c>
    </row>
    <row r="1859" spans="1:9" x14ac:dyDescent="0.25">
      <c r="A1859">
        <v>1805</v>
      </c>
      <c r="B1859">
        <f>A1859+1</f>
        <v>1806</v>
      </c>
      <c r="C1859" t="s">
        <v>511</v>
      </c>
      <c r="D1859" t="s">
        <v>27</v>
      </c>
      <c r="E1859" s="208" t="s">
        <v>142</v>
      </c>
      <c r="F1859" t="s">
        <v>1</v>
      </c>
      <c r="G1859" s="18">
        <v>131</v>
      </c>
      <c r="H1859" t="s">
        <v>16</v>
      </c>
      <c r="I1859" t="s">
        <v>21</v>
      </c>
    </row>
    <row r="1860" spans="1:9" x14ac:dyDescent="0.25">
      <c r="A1860">
        <v>1805</v>
      </c>
      <c r="B1860">
        <f>A1860+1</f>
        <v>1806</v>
      </c>
      <c r="C1860" t="s">
        <v>511</v>
      </c>
      <c r="D1860" t="s">
        <v>27</v>
      </c>
      <c r="E1860" s="208" t="s">
        <v>144</v>
      </c>
      <c r="F1860" t="s">
        <v>1</v>
      </c>
      <c r="G1860" s="18">
        <v>16</v>
      </c>
      <c r="H1860" t="s">
        <v>16</v>
      </c>
      <c r="I1860" t="s">
        <v>21</v>
      </c>
    </row>
    <row r="1861" spans="1:9" x14ac:dyDescent="0.25">
      <c r="A1861">
        <v>1805</v>
      </c>
      <c r="B1861">
        <f>A1861+1</f>
        <v>1806</v>
      </c>
      <c r="C1861" t="s">
        <v>511</v>
      </c>
      <c r="D1861" t="s">
        <v>27</v>
      </c>
      <c r="E1861" s="208" t="s">
        <v>124</v>
      </c>
      <c r="F1861" t="s">
        <v>1</v>
      </c>
      <c r="G1861" s="18">
        <v>79856</v>
      </c>
      <c r="H1861" t="s">
        <v>16</v>
      </c>
      <c r="I1861" t="s">
        <v>21</v>
      </c>
    </row>
    <row r="1862" spans="1:9" x14ac:dyDescent="0.25">
      <c r="A1862">
        <v>1805</v>
      </c>
      <c r="B1862">
        <f>A1862+1</f>
        <v>1806</v>
      </c>
      <c r="C1862" t="s">
        <v>511</v>
      </c>
      <c r="D1862" t="s">
        <v>27</v>
      </c>
      <c r="E1862" s="208" t="s">
        <v>155</v>
      </c>
      <c r="F1862" t="s">
        <v>6</v>
      </c>
      <c r="G1862" s="18">
        <v>0</v>
      </c>
      <c r="H1862" t="s">
        <v>16</v>
      </c>
      <c r="I1862" t="s">
        <v>25</v>
      </c>
    </row>
    <row r="1863" spans="1:9" x14ac:dyDescent="0.25">
      <c r="A1863">
        <v>1805</v>
      </c>
      <c r="B1863">
        <f>A1863+1</f>
        <v>1806</v>
      </c>
      <c r="C1863" t="s">
        <v>511</v>
      </c>
      <c r="D1863" t="s">
        <v>27</v>
      </c>
      <c r="E1863" s="208" t="s">
        <v>156</v>
      </c>
      <c r="F1863" t="s">
        <v>6</v>
      </c>
      <c r="G1863" s="18">
        <v>0</v>
      </c>
      <c r="H1863" t="s">
        <v>16</v>
      </c>
      <c r="I1863" t="s">
        <v>25</v>
      </c>
    </row>
    <row r="1864" spans="1:9" x14ac:dyDescent="0.25">
      <c r="A1864">
        <v>1805</v>
      </c>
      <c r="B1864">
        <f>A1864+1</f>
        <v>1806</v>
      </c>
      <c r="C1864" t="s">
        <v>511</v>
      </c>
      <c r="D1864" t="s">
        <v>27</v>
      </c>
      <c r="E1864" s="208" t="s">
        <v>154</v>
      </c>
      <c r="F1864" t="s">
        <v>6</v>
      </c>
      <c r="G1864" s="18">
        <v>0</v>
      </c>
      <c r="H1864" t="s">
        <v>16</v>
      </c>
      <c r="I1864" t="s">
        <v>25</v>
      </c>
    </row>
    <row r="1865" spans="1:9" x14ac:dyDescent="0.25">
      <c r="A1865">
        <v>1805</v>
      </c>
      <c r="B1865">
        <f>A1865+1</f>
        <v>1806</v>
      </c>
      <c r="C1865" t="s">
        <v>511</v>
      </c>
      <c r="D1865" t="s">
        <v>27</v>
      </c>
      <c r="E1865" s="208" t="s">
        <v>150</v>
      </c>
      <c r="F1865" t="s">
        <v>6</v>
      </c>
      <c r="G1865" s="18">
        <v>485</v>
      </c>
      <c r="H1865" t="s">
        <v>16</v>
      </c>
      <c r="I1865" t="s">
        <v>25</v>
      </c>
    </row>
    <row r="1866" spans="1:9" x14ac:dyDescent="0.25">
      <c r="A1866">
        <v>1805</v>
      </c>
      <c r="B1866">
        <f>A1866+1</f>
        <v>1806</v>
      </c>
      <c r="C1866" t="s">
        <v>511</v>
      </c>
      <c r="D1866" t="s">
        <v>27</v>
      </c>
      <c r="E1866" s="208" t="s">
        <v>148</v>
      </c>
      <c r="F1866" t="s">
        <v>6</v>
      </c>
      <c r="G1866" s="18">
        <v>0</v>
      </c>
      <c r="H1866" t="s">
        <v>16</v>
      </c>
      <c r="I1866" t="s">
        <v>25</v>
      </c>
    </row>
    <row r="1867" spans="1:9" x14ac:dyDescent="0.25">
      <c r="A1867">
        <v>1805</v>
      </c>
      <c r="B1867">
        <f>A1867+1</f>
        <v>1806</v>
      </c>
      <c r="C1867" t="s">
        <v>511</v>
      </c>
      <c r="D1867" t="s">
        <v>27</v>
      </c>
      <c r="E1867" s="208" t="s">
        <v>139</v>
      </c>
      <c r="F1867" t="s">
        <v>6</v>
      </c>
      <c r="G1867" s="18">
        <v>0</v>
      </c>
      <c r="H1867" t="s">
        <v>16</v>
      </c>
      <c r="I1867" t="s">
        <v>25</v>
      </c>
    </row>
    <row r="1868" spans="1:9" x14ac:dyDescent="0.25">
      <c r="A1868">
        <v>1805</v>
      </c>
      <c r="B1868">
        <f>A1868+1</f>
        <v>1806</v>
      </c>
      <c r="C1868" t="s">
        <v>511</v>
      </c>
      <c r="D1868" t="s">
        <v>27</v>
      </c>
      <c r="E1868" s="208" t="s">
        <v>130</v>
      </c>
      <c r="F1868" t="s">
        <v>6</v>
      </c>
      <c r="G1868" s="18">
        <v>0</v>
      </c>
      <c r="H1868" t="s">
        <v>16</v>
      </c>
      <c r="I1868" t="s">
        <v>25</v>
      </c>
    </row>
    <row r="1869" spans="1:9" x14ac:dyDescent="0.25">
      <c r="A1869">
        <v>1805</v>
      </c>
      <c r="B1869">
        <f>A1869+1</f>
        <v>1806</v>
      </c>
      <c r="C1869" t="s">
        <v>511</v>
      </c>
      <c r="D1869" t="s">
        <v>27</v>
      </c>
      <c r="E1869" s="208" t="s">
        <v>132</v>
      </c>
      <c r="F1869" t="s">
        <v>6</v>
      </c>
      <c r="G1869" s="18">
        <v>0</v>
      </c>
      <c r="H1869" t="s">
        <v>16</v>
      </c>
      <c r="I1869" t="s">
        <v>25</v>
      </c>
    </row>
    <row r="1870" spans="1:9" x14ac:dyDescent="0.25">
      <c r="A1870">
        <v>1805</v>
      </c>
      <c r="B1870">
        <f>A1870+1</f>
        <v>1806</v>
      </c>
      <c r="C1870" t="s">
        <v>511</v>
      </c>
      <c r="D1870" t="s">
        <v>27</v>
      </c>
      <c r="E1870" s="208" t="s">
        <v>142</v>
      </c>
      <c r="F1870" t="s">
        <v>6</v>
      </c>
      <c r="G1870" s="18">
        <v>0</v>
      </c>
      <c r="H1870" t="s">
        <v>16</v>
      </c>
      <c r="I1870" t="s">
        <v>25</v>
      </c>
    </row>
    <row r="1871" spans="1:9" x14ac:dyDescent="0.25">
      <c r="A1871">
        <v>1805</v>
      </c>
      <c r="B1871">
        <f>A1871+1</f>
        <v>1806</v>
      </c>
      <c r="C1871" t="s">
        <v>511</v>
      </c>
      <c r="D1871" t="s">
        <v>27</v>
      </c>
      <c r="E1871" s="208" t="s">
        <v>144</v>
      </c>
      <c r="F1871" t="s">
        <v>6</v>
      </c>
      <c r="G1871" s="18">
        <v>0</v>
      </c>
      <c r="H1871" t="s">
        <v>16</v>
      </c>
      <c r="I1871" t="s">
        <v>25</v>
      </c>
    </row>
    <row r="1872" spans="1:9" x14ac:dyDescent="0.25">
      <c r="A1872">
        <v>1805</v>
      </c>
      <c r="B1872">
        <f>A1872+1</f>
        <v>1806</v>
      </c>
      <c r="C1872" t="s">
        <v>511</v>
      </c>
      <c r="D1872" t="s">
        <v>27</v>
      </c>
      <c r="E1872" s="208" t="s">
        <v>124</v>
      </c>
      <c r="F1872" t="s">
        <v>6</v>
      </c>
      <c r="G1872" s="18">
        <v>0</v>
      </c>
      <c r="H1872" t="s">
        <v>16</v>
      </c>
      <c r="I1872" t="s">
        <v>25</v>
      </c>
    </row>
    <row r="1873" spans="1:9" x14ac:dyDescent="0.25">
      <c r="A1873">
        <v>1805</v>
      </c>
      <c r="B1873">
        <f>A1873+1</f>
        <v>1806</v>
      </c>
      <c r="C1873" t="s">
        <v>511</v>
      </c>
      <c r="D1873" t="s">
        <v>27</v>
      </c>
      <c r="E1873" s="208" t="s">
        <v>155</v>
      </c>
      <c r="F1873" t="s">
        <v>4</v>
      </c>
      <c r="G1873" s="18">
        <v>348</v>
      </c>
      <c r="H1873" t="s">
        <v>16</v>
      </c>
      <c r="I1873" t="s">
        <v>23</v>
      </c>
    </row>
    <row r="1874" spans="1:9" x14ac:dyDescent="0.25">
      <c r="A1874">
        <v>1805</v>
      </c>
      <c r="B1874">
        <f>A1874+1</f>
        <v>1806</v>
      </c>
      <c r="C1874" t="s">
        <v>511</v>
      </c>
      <c r="D1874" t="s">
        <v>27</v>
      </c>
      <c r="E1874" s="208" t="s">
        <v>156</v>
      </c>
      <c r="F1874" t="s">
        <v>4</v>
      </c>
      <c r="G1874" s="18">
        <v>37</v>
      </c>
      <c r="H1874" t="s">
        <v>16</v>
      </c>
      <c r="I1874" t="s">
        <v>23</v>
      </c>
    </row>
    <row r="1875" spans="1:9" x14ac:dyDescent="0.25">
      <c r="A1875">
        <v>1805</v>
      </c>
      <c r="B1875">
        <f>A1875+1</f>
        <v>1806</v>
      </c>
      <c r="C1875" t="s">
        <v>511</v>
      </c>
      <c r="D1875" t="s">
        <v>27</v>
      </c>
      <c r="E1875" s="208" t="s">
        <v>154</v>
      </c>
      <c r="F1875" t="s">
        <v>4</v>
      </c>
      <c r="G1875" s="18">
        <v>96</v>
      </c>
      <c r="H1875" t="s">
        <v>16</v>
      </c>
      <c r="I1875" t="s">
        <v>23</v>
      </c>
    </row>
    <row r="1876" spans="1:9" x14ac:dyDescent="0.25">
      <c r="A1876">
        <v>1805</v>
      </c>
      <c r="B1876">
        <f>A1876+1</f>
        <v>1806</v>
      </c>
      <c r="C1876" t="s">
        <v>511</v>
      </c>
      <c r="D1876" t="s">
        <v>27</v>
      </c>
      <c r="E1876" s="208" t="s">
        <v>150</v>
      </c>
      <c r="F1876" t="s">
        <v>4</v>
      </c>
      <c r="G1876" s="18">
        <v>4669</v>
      </c>
      <c r="H1876" t="s">
        <v>16</v>
      </c>
      <c r="I1876" t="s">
        <v>23</v>
      </c>
    </row>
    <row r="1877" spans="1:9" x14ac:dyDescent="0.25">
      <c r="A1877">
        <v>1805</v>
      </c>
      <c r="B1877">
        <f>A1877+1</f>
        <v>1806</v>
      </c>
      <c r="C1877" t="s">
        <v>511</v>
      </c>
      <c r="D1877" t="s">
        <v>27</v>
      </c>
      <c r="E1877" s="208" t="s">
        <v>148</v>
      </c>
      <c r="F1877" t="s">
        <v>4</v>
      </c>
      <c r="G1877" s="18">
        <v>2</v>
      </c>
      <c r="H1877" t="s">
        <v>16</v>
      </c>
      <c r="I1877" t="s">
        <v>23</v>
      </c>
    </row>
    <row r="1878" spans="1:9" x14ac:dyDescent="0.25">
      <c r="A1878">
        <v>1805</v>
      </c>
      <c r="B1878">
        <f>A1878+1</f>
        <v>1806</v>
      </c>
      <c r="C1878" t="s">
        <v>511</v>
      </c>
      <c r="D1878" t="s">
        <v>27</v>
      </c>
      <c r="E1878" s="208" t="s">
        <v>139</v>
      </c>
      <c r="F1878" t="s">
        <v>4</v>
      </c>
      <c r="G1878" s="18">
        <v>29</v>
      </c>
      <c r="H1878" t="s">
        <v>16</v>
      </c>
      <c r="I1878" t="s">
        <v>23</v>
      </c>
    </row>
    <row r="1879" spans="1:9" x14ac:dyDescent="0.25">
      <c r="A1879">
        <v>1805</v>
      </c>
      <c r="B1879">
        <f>A1879+1</f>
        <v>1806</v>
      </c>
      <c r="C1879" t="s">
        <v>511</v>
      </c>
      <c r="D1879" t="s">
        <v>27</v>
      </c>
      <c r="E1879" s="208" t="s">
        <v>130</v>
      </c>
      <c r="F1879" t="s">
        <v>4</v>
      </c>
      <c r="G1879" s="18">
        <v>24</v>
      </c>
      <c r="H1879" t="s">
        <v>16</v>
      </c>
      <c r="I1879" t="s">
        <v>23</v>
      </c>
    </row>
    <row r="1880" spans="1:9" x14ac:dyDescent="0.25">
      <c r="A1880">
        <v>1805</v>
      </c>
      <c r="B1880">
        <f>A1880+1</f>
        <v>1806</v>
      </c>
      <c r="C1880" t="s">
        <v>511</v>
      </c>
      <c r="D1880" t="s">
        <v>27</v>
      </c>
      <c r="E1880" s="208" t="s">
        <v>132</v>
      </c>
      <c r="F1880" t="s">
        <v>4</v>
      </c>
      <c r="G1880" s="18">
        <v>0</v>
      </c>
      <c r="H1880" t="s">
        <v>16</v>
      </c>
      <c r="I1880" t="s">
        <v>23</v>
      </c>
    </row>
    <row r="1881" spans="1:9" x14ac:dyDescent="0.25">
      <c r="A1881">
        <v>1805</v>
      </c>
      <c r="B1881">
        <f>A1881+1</f>
        <v>1806</v>
      </c>
      <c r="C1881" t="s">
        <v>511</v>
      </c>
      <c r="D1881" t="s">
        <v>27</v>
      </c>
      <c r="E1881" s="208" t="s">
        <v>142</v>
      </c>
      <c r="F1881" t="s">
        <v>4</v>
      </c>
      <c r="G1881" s="18">
        <v>248</v>
      </c>
      <c r="H1881" t="s">
        <v>16</v>
      </c>
      <c r="I1881" t="s">
        <v>23</v>
      </c>
    </row>
    <row r="1882" spans="1:9" x14ac:dyDescent="0.25">
      <c r="A1882">
        <v>1805</v>
      </c>
      <c r="B1882">
        <f>A1882+1</f>
        <v>1806</v>
      </c>
      <c r="C1882" t="s">
        <v>511</v>
      </c>
      <c r="D1882" t="s">
        <v>27</v>
      </c>
      <c r="E1882" s="208" t="s">
        <v>144</v>
      </c>
      <c r="F1882" t="s">
        <v>4</v>
      </c>
      <c r="G1882" s="18">
        <v>358</v>
      </c>
      <c r="H1882" t="s">
        <v>16</v>
      </c>
      <c r="I1882" t="s">
        <v>23</v>
      </c>
    </row>
    <row r="1883" spans="1:9" x14ac:dyDescent="0.25">
      <c r="A1883">
        <v>1805</v>
      </c>
      <c r="B1883">
        <f>A1883+1</f>
        <v>1806</v>
      </c>
      <c r="C1883" t="s">
        <v>511</v>
      </c>
      <c r="D1883" t="s">
        <v>27</v>
      </c>
      <c r="E1883" s="208" t="s">
        <v>124</v>
      </c>
      <c r="F1883" t="s">
        <v>4</v>
      </c>
      <c r="G1883" s="18">
        <v>644171</v>
      </c>
      <c r="H1883" t="s">
        <v>16</v>
      </c>
      <c r="I1883" t="s">
        <v>23</v>
      </c>
    </row>
    <row r="1884" spans="1:9" x14ac:dyDescent="0.25">
      <c r="A1884">
        <v>1805</v>
      </c>
      <c r="B1884">
        <f>A1884+1</f>
        <v>1806</v>
      </c>
      <c r="C1884" t="s">
        <v>511</v>
      </c>
      <c r="D1884" t="s">
        <v>26</v>
      </c>
      <c r="E1884" s="208" t="s">
        <v>58</v>
      </c>
      <c r="F1884" t="s">
        <v>4</v>
      </c>
      <c r="G1884" s="18">
        <v>86</v>
      </c>
      <c r="H1884" t="s">
        <v>23</v>
      </c>
      <c r="I1884" t="s">
        <v>16</v>
      </c>
    </row>
    <row r="1885" spans="1:9" x14ac:dyDescent="0.25">
      <c r="A1885">
        <v>1805</v>
      </c>
      <c r="B1885">
        <f>A1885+1</f>
        <v>1806</v>
      </c>
      <c r="C1885" t="s">
        <v>511</v>
      </c>
      <c r="D1885" t="s">
        <v>26</v>
      </c>
      <c r="E1885" s="208" t="s">
        <v>57</v>
      </c>
      <c r="F1885" t="s">
        <v>4</v>
      </c>
      <c r="G1885" s="18">
        <v>42826</v>
      </c>
      <c r="H1885" t="s">
        <v>23</v>
      </c>
      <c r="I1885" t="s">
        <v>16</v>
      </c>
    </row>
    <row r="1886" spans="1:9" x14ac:dyDescent="0.25">
      <c r="A1886">
        <v>1805</v>
      </c>
      <c r="B1886">
        <f>A1886+1</f>
        <v>1806</v>
      </c>
      <c r="C1886" t="s">
        <v>511</v>
      </c>
      <c r="D1886" t="s">
        <v>26</v>
      </c>
      <c r="E1886" s="208" t="s">
        <v>35</v>
      </c>
      <c r="F1886" t="s">
        <v>4</v>
      </c>
      <c r="G1886" s="18">
        <v>8348</v>
      </c>
      <c r="H1886" t="s">
        <v>23</v>
      </c>
      <c r="I1886" t="s">
        <v>16</v>
      </c>
    </row>
    <row r="1887" spans="1:9" x14ac:dyDescent="0.25">
      <c r="A1887">
        <v>1805</v>
      </c>
      <c r="B1887">
        <f>A1887+1</f>
        <v>1806</v>
      </c>
      <c r="C1887" t="s">
        <v>511</v>
      </c>
      <c r="D1887" t="s">
        <v>26</v>
      </c>
      <c r="E1887" s="208" t="s">
        <v>36</v>
      </c>
      <c r="F1887" t="s">
        <v>4</v>
      </c>
      <c r="G1887" s="18">
        <v>2629</v>
      </c>
      <c r="H1887" t="s">
        <v>23</v>
      </c>
      <c r="I1887" t="s">
        <v>16</v>
      </c>
    </row>
    <row r="1888" spans="1:9" x14ac:dyDescent="0.25">
      <c r="A1888">
        <v>1805</v>
      </c>
      <c r="B1888">
        <f>A1888+1</f>
        <v>1806</v>
      </c>
      <c r="C1888" t="s">
        <v>511</v>
      </c>
      <c r="D1888" t="s">
        <v>26</v>
      </c>
      <c r="E1888" s="208" t="s">
        <v>39</v>
      </c>
      <c r="F1888" t="s">
        <v>4</v>
      </c>
      <c r="G1888" s="18">
        <v>2877</v>
      </c>
      <c r="H1888" t="s">
        <v>23</v>
      </c>
      <c r="I1888" t="s">
        <v>16</v>
      </c>
    </row>
    <row r="1889" spans="1:9" x14ac:dyDescent="0.25">
      <c r="A1889">
        <v>1805</v>
      </c>
      <c r="B1889">
        <f>A1889+1</f>
        <v>1806</v>
      </c>
      <c r="C1889" t="s">
        <v>511</v>
      </c>
      <c r="D1889" t="s">
        <v>26</v>
      </c>
      <c r="E1889" s="208" t="s">
        <v>99</v>
      </c>
      <c r="F1889" t="s">
        <v>4</v>
      </c>
      <c r="G1889" s="18">
        <v>1696</v>
      </c>
      <c r="H1889" t="s">
        <v>23</v>
      </c>
      <c r="I1889" t="s">
        <v>16</v>
      </c>
    </row>
    <row r="1890" spans="1:9" x14ac:dyDescent="0.25">
      <c r="A1890">
        <v>1805</v>
      </c>
      <c r="B1890">
        <f>A1890+1</f>
        <v>1806</v>
      </c>
      <c r="C1890" t="s">
        <v>511</v>
      </c>
      <c r="D1890" t="s">
        <v>26</v>
      </c>
      <c r="E1890" s="208" t="s">
        <v>339</v>
      </c>
      <c r="F1890" t="s">
        <v>4</v>
      </c>
      <c r="G1890" s="18">
        <v>300</v>
      </c>
      <c r="H1890" t="s">
        <v>23</v>
      </c>
      <c r="I1890" t="s">
        <v>16</v>
      </c>
    </row>
    <row r="1891" spans="1:9" x14ac:dyDescent="0.25">
      <c r="A1891">
        <v>1805</v>
      </c>
      <c r="B1891">
        <f>A1891+1</f>
        <v>1806</v>
      </c>
      <c r="C1891" t="s">
        <v>511</v>
      </c>
      <c r="D1891" t="s">
        <v>26</v>
      </c>
      <c r="E1891" s="208" t="s">
        <v>340</v>
      </c>
      <c r="F1891" t="s">
        <v>4</v>
      </c>
      <c r="G1891" s="18">
        <v>45155</v>
      </c>
      <c r="H1891" t="s">
        <v>23</v>
      </c>
      <c r="I1891" t="s">
        <v>16</v>
      </c>
    </row>
    <row r="1892" spans="1:9" x14ac:dyDescent="0.25">
      <c r="A1892">
        <v>1805</v>
      </c>
      <c r="B1892">
        <f>A1892+1</f>
        <v>1806</v>
      </c>
      <c r="C1892" t="s">
        <v>511</v>
      </c>
      <c r="D1892" t="s">
        <v>26</v>
      </c>
      <c r="E1892" s="208" t="s">
        <v>75</v>
      </c>
      <c r="F1892" t="s">
        <v>4</v>
      </c>
      <c r="G1892" s="18">
        <v>5972042</v>
      </c>
      <c r="H1892" t="s">
        <v>23</v>
      </c>
      <c r="I1892" t="s">
        <v>16</v>
      </c>
    </row>
    <row r="1893" spans="1:9" x14ac:dyDescent="0.25">
      <c r="A1893">
        <v>1805</v>
      </c>
      <c r="B1893">
        <f>A1893+1</f>
        <v>1806</v>
      </c>
      <c r="C1893" t="s">
        <v>511</v>
      </c>
      <c r="D1893" t="s">
        <v>26</v>
      </c>
      <c r="E1893" s="208" t="s">
        <v>107</v>
      </c>
      <c r="F1893" t="s">
        <v>4</v>
      </c>
      <c r="G1893" s="18">
        <v>6426165</v>
      </c>
      <c r="H1893" t="s">
        <v>23</v>
      </c>
      <c r="I1893" t="s">
        <v>16</v>
      </c>
    </row>
    <row r="1894" spans="1:9" x14ac:dyDescent="0.25">
      <c r="A1894">
        <v>1805</v>
      </c>
      <c r="B1894">
        <f>A1894+1</f>
        <v>1806</v>
      </c>
      <c r="C1894" t="s">
        <v>511</v>
      </c>
      <c r="D1894" t="s">
        <v>26</v>
      </c>
      <c r="E1894" s="208" t="s">
        <v>101</v>
      </c>
      <c r="F1894" t="s">
        <v>4</v>
      </c>
      <c r="G1894" s="18">
        <v>10929411</v>
      </c>
      <c r="H1894" t="s">
        <v>23</v>
      </c>
      <c r="I1894" t="s">
        <v>16</v>
      </c>
    </row>
    <row r="1895" spans="1:9" x14ac:dyDescent="0.25">
      <c r="A1895">
        <v>1805</v>
      </c>
      <c r="B1895">
        <f>A1895+1</f>
        <v>1806</v>
      </c>
      <c r="C1895" t="s">
        <v>511</v>
      </c>
      <c r="D1895" t="s">
        <v>27</v>
      </c>
      <c r="E1895" s="208" t="s">
        <v>155</v>
      </c>
      <c r="F1895" t="s">
        <v>7</v>
      </c>
      <c r="G1895" s="18">
        <v>58523</v>
      </c>
      <c r="H1895" t="s">
        <v>16</v>
      </c>
      <c r="I1895" s="151" t="s">
        <v>562</v>
      </c>
    </row>
    <row r="1896" spans="1:9" x14ac:dyDescent="0.25">
      <c r="A1896">
        <v>1805</v>
      </c>
      <c r="B1896">
        <f>A1896+1</f>
        <v>1806</v>
      </c>
      <c r="C1896" t="s">
        <v>511</v>
      </c>
      <c r="D1896" t="s">
        <v>27</v>
      </c>
      <c r="E1896" s="208" t="s">
        <v>156</v>
      </c>
      <c r="F1896" t="s">
        <v>7</v>
      </c>
      <c r="G1896" s="18">
        <v>6481</v>
      </c>
      <c r="H1896" t="s">
        <v>16</v>
      </c>
      <c r="I1896" s="151" t="s">
        <v>562</v>
      </c>
    </row>
    <row r="1897" spans="1:9" x14ac:dyDescent="0.25">
      <c r="A1897">
        <v>1805</v>
      </c>
      <c r="B1897">
        <f>A1897+1</f>
        <v>1806</v>
      </c>
      <c r="C1897" t="s">
        <v>511</v>
      </c>
      <c r="D1897" t="s">
        <v>27</v>
      </c>
      <c r="E1897" s="208" t="s">
        <v>154</v>
      </c>
      <c r="F1897" t="s">
        <v>7</v>
      </c>
      <c r="G1897" s="18">
        <v>2395</v>
      </c>
      <c r="H1897" t="s">
        <v>16</v>
      </c>
      <c r="I1897" s="151" t="s">
        <v>562</v>
      </c>
    </row>
    <row r="1898" spans="1:9" x14ac:dyDescent="0.25">
      <c r="A1898">
        <v>1805</v>
      </c>
      <c r="B1898">
        <f>A1898+1</f>
        <v>1806</v>
      </c>
      <c r="C1898" t="s">
        <v>511</v>
      </c>
      <c r="D1898" t="s">
        <v>27</v>
      </c>
      <c r="E1898" s="208" t="s">
        <v>150</v>
      </c>
      <c r="F1898" t="s">
        <v>7</v>
      </c>
      <c r="G1898" s="18">
        <v>15735</v>
      </c>
      <c r="H1898" t="s">
        <v>16</v>
      </c>
      <c r="I1898" s="151" t="s">
        <v>562</v>
      </c>
    </row>
    <row r="1899" spans="1:9" x14ac:dyDescent="0.25">
      <c r="A1899">
        <v>1805</v>
      </c>
      <c r="B1899">
        <f>A1899+1</f>
        <v>1806</v>
      </c>
      <c r="C1899" t="s">
        <v>511</v>
      </c>
      <c r="D1899" t="s">
        <v>27</v>
      </c>
      <c r="E1899" s="208" t="s">
        <v>148</v>
      </c>
      <c r="F1899" t="s">
        <v>7</v>
      </c>
      <c r="G1899" s="18">
        <v>744</v>
      </c>
      <c r="H1899" t="s">
        <v>16</v>
      </c>
      <c r="I1899" s="151" t="s">
        <v>562</v>
      </c>
    </row>
    <row r="1900" spans="1:9" x14ac:dyDescent="0.25">
      <c r="A1900">
        <v>1805</v>
      </c>
      <c r="B1900">
        <f>A1900+1</f>
        <v>1806</v>
      </c>
      <c r="C1900" t="s">
        <v>511</v>
      </c>
      <c r="D1900" t="s">
        <v>27</v>
      </c>
      <c r="E1900" s="208" t="s">
        <v>139</v>
      </c>
      <c r="F1900" t="s">
        <v>7</v>
      </c>
      <c r="G1900" s="18">
        <v>98</v>
      </c>
      <c r="H1900" t="s">
        <v>16</v>
      </c>
      <c r="I1900" s="151" t="s">
        <v>562</v>
      </c>
    </row>
    <row r="1901" spans="1:9" x14ac:dyDescent="0.25">
      <c r="A1901">
        <v>1805</v>
      </c>
      <c r="B1901">
        <f>A1901+1</f>
        <v>1806</v>
      </c>
      <c r="C1901" t="s">
        <v>511</v>
      </c>
      <c r="D1901" t="s">
        <v>27</v>
      </c>
      <c r="E1901" s="208" t="s">
        <v>130</v>
      </c>
      <c r="F1901" t="s">
        <v>7</v>
      </c>
      <c r="G1901" s="18">
        <v>626</v>
      </c>
      <c r="H1901" t="s">
        <v>16</v>
      </c>
      <c r="I1901" s="151" t="s">
        <v>562</v>
      </c>
    </row>
    <row r="1902" spans="1:9" x14ac:dyDescent="0.25">
      <c r="A1902">
        <v>1805</v>
      </c>
      <c r="B1902">
        <f>A1902+1</f>
        <v>1806</v>
      </c>
      <c r="C1902" t="s">
        <v>511</v>
      </c>
      <c r="D1902" t="s">
        <v>27</v>
      </c>
      <c r="E1902" s="208" t="s">
        <v>132</v>
      </c>
      <c r="F1902" t="s">
        <v>7</v>
      </c>
      <c r="G1902" s="18">
        <v>384</v>
      </c>
      <c r="H1902" t="s">
        <v>16</v>
      </c>
      <c r="I1902" s="151" t="s">
        <v>562</v>
      </c>
    </row>
    <row r="1903" spans="1:9" x14ac:dyDescent="0.25">
      <c r="A1903">
        <v>1805</v>
      </c>
      <c r="B1903">
        <f>A1903+1</f>
        <v>1806</v>
      </c>
      <c r="C1903" t="s">
        <v>511</v>
      </c>
      <c r="D1903" t="s">
        <v>27</v>
      </c>
      <c r="E1903" s="208" t="s">
        <v>142</v>
      </c>
      <c r="F1903" t="s">
        <v>7</v>
      </c>
      <c r="G1903" s="18">
        <v>5505</v>
      </c>
      <c r="H1903" t="s">
        <v>16</v>
      </c>
      <c r="I1903" s="151" t="s">
        <v>562</v>
      </c>
    </row>
    <row r="1904" spans="1:9" x14ac:dyDescent="0.25">
      <c r="A1904">
        <v>1805</v>
      </c>
      <c r="B1904">
        <f>A1904+1</f>
        <v>1806</v>
      </c>
      <c r="C1904" t="s">
        <v>511</v>
      </c>
      <c r="D1904" t="s">
        <v>27</v>
      </c>
      <c r="E1904" s="208" t="s">
        <v>144</v>
      </c>
      <c r="F1904" t="s">
        <v>7</v>
      </c>
      <c r="G1904" s="18">
        <v>695</v>
      </c>
      <c r="H1904" t="s">
        <v>16</v>
      </c>
      <c r="I1904" s="151" t="s">
        <v>562</v>
      </c>
    </row>
    <row r="1905" spans="1:9" x14ac:dyDescent="0.25">
      <c r="A1905">
        <v>1805</v>
      </c>
      <c r="B1905">
        <f>A1905+1</f>
        <v>1806</v>
      </c>
      <c r="C1905" t="s">
        <v>511</v>
      </c>
      <c r="D1905" t="s">
        <v>27</v>
      </c>
      <c r="E1905" s="208" t="s">
        <v>124</v>
      </c>
      <c r="F1905" t="s">
        <v>7</v>
      </c>
      <c r="G1905" s="18">
        <v>21876895</v>
      </c>
      <c r="H1905" t="s">
        <v>16</v>
      </c>
      <c r="I1905" s="151" t="s">
        <v>562</v>
      </c>
    </row>
    <row r="1906" spans="1:9" x14ac:dyDescent="0.25">
      <c r="A1906">
        <v>1805</v>
      </c>
      <c r="B1906">
        <f>A1906+1</f>
        <v>1806</v>
      </c>
      <c r="C1906" t="s">
        <v>511</v>
      </c>
      <c r="D1906" t="s">
        <v>26</v>
      </c>
      <c r="E1906" s="208" t="s">
        <v>62</v>
      </c>
      <c r="F1906" t="s">
        <v>7</v>
      </c>
      <c r="G1906" s="18">
        <v>43</v>
      </c>
      <c r="H1906" s="151" t="s">
        <v>563</v>
      </c>
      <c r="I1906" t="s">
        <v>16</v>
      </c>
    </row>
    <row r="1907" spans="1:9" x14ac:dyDescent="0.25">
      <c r="A1907">
        <v>1805</v>
      </c>
      <c r="B1907">
        <f>A1907+1</f>
        <v>1806</v>
      </c>
      <c r="C1907" t="s">
        <v>511</v>
      </c>
      <c r="D1907" t="s">
        <v>26</v>
      </c>
      <c r="E1907" s="208" t="s">
        <v>58</v>
      </c>
      <c r="F1907" t="s">
        <v>7</v>
      </c>
      <c r="G1907" s="18">
        <v>86</v>
      </c>
      <c r="H1907" s="151" t="s">
        <v>563</v>
      </c>
      <c r="I1907" t="s">
        <v>16</v>
      </c>
    </row>
    <row r="1908" spans="1:9" x14ac:dyDescent="0.25">
      <c r="A1908">
        <v>1805</v>
      </c>
      <c r="B1908">
        <f>A1908+1</f>
        <v>1806</v>
      </c>
      <c r="C1908" t="s">
        <v>511</v>
      </c>
      <c r="D1908" t="s">
        <v>26</v>
      </c>
      <c r="E1908" s="208" t="s">
        <v>57</v>
      </c>
      <c r="F1908" t="s">
        <v>7</v>
      </c>
      <c r="G1908" s="18">
        <v>42826</v>
      </c>
      <c r="H1908" s="151" t="s">
        <v>563</v>
      </c>
      <c r="I1908" t="s">
        <v>16</v>
      </c>
    </row>
    <row r="1909" spans="1:9" x14ac:dyDescent="0.25">
      <c r="A1909">
        <v>1805</v>
      </c>
      <c r="B1909">
        <f>A1909+1</f>
        <v>1806</v>
      </c>
      <c r="C1909" t="s">
        <v>511</v>
      </c>
      <c r="D1909" t="s">
        <v>26</v>
      </c>
      <c r="E1909" s="208" t="s">
        <v>35</v>
      </c>
      <c r="F1909" t="s">
        <v>7</v>
      </c>
      <c r="G1909" s="18">
        <v>8348</v>
      </c>
      <c r="H1909" s="151" t="s">
        <v>563</v>
      </c>
      <c r="I1909" t="s">
        <v>16</v>
      </c>
    </row>
    <row r="1910" spans="1:9" x14ac:dyDescent="0.25">
      <c r="A1910">
        <v>1805</v>
      </c>
      <c r="B1910">
        <f>A1910+1</f>
        <v>1806</v>
      </c>
      <c r="C1910" t="s">
        <v>511</v>
      </c>
      <c r="D1910" t="s">
        <v>26</v>
      </c>
      <c r="E1910" s="208" t="s">
        <v>36</v>
      </c>
      <c r="F1910" t="s">
        <v>7</v>
      </c>
      <c r="G1910" s="18">
        <v>2629</v>
      </c>
      <c r="H1910" s="151" t="s">
        <v>563</v>
      </c>
      <c r="I1910" t="s">
        <v>16</v>
      </c>
    </row>
    <row r="1911" spans="1:9" x14ac:dyDescent="0.25">
      <c r="A1911">
        <v>1805</v>
      </c>
      <c r="B1911">
        <f>A1911+1</f>
        <v>1806</v>
      </c>
      <c r="C1911" t="s">
        <v>511</v>
      </c>
      <c r="D1911" t="s">
        <v>26</v>
      </c>
      <c r="E1911" s="208" t="s">
        <v>39</v>
      </c>
      <c r="F1911" t="s">
        <v>7</v>
      </c>
      <c r="G1911" s="18">
        <v>2877</v>
      </c>
      <c r="H1911" s="151" t="s">
        <v>563</v>
      </c>
      <c r="I1911" t="s">
        <v>16</v>
      </c>
    </row>
    <row r="1912" spans="1:9" x14ac:dyDescent="0.25">
      <c r="A1912">
        <v>1805</v>
      </c>
      <c r="B1912">
        <f>A1912+1</f>
        <v>1806</v>
      </c>
      <c r="C1912" t="s">
        <v>511</v>
      </c>
      <c r="D1912" t="s">
        <v>26</v>
      </c>
      <c r="E1912" s="208" t="s">
        <v>99</v>
      </c>
      <c r="F1912" t="s">
        <v>7</v>
      </c>
      <c r="G1912" s="18">
        <v>1696</v>
      </c>
      <c r="H1912" s="151" t="s">
        <v>563</v>
      </c>
      <c r="I1912" t="s">
        <v>16</v>
      </c>
    </row>
    <row r="1913" spans="1:9" x14ac:dyDescent="0.25">
      <c r="A1913">
        <v>1805</v>
      </c>
      <c r="B1913">
        <f>A1913+1</f>
        <v>1806</v>
      </c>
      <c r="C1913" t="s">
        <v>511</v>
      </c>
      <c r="D1913" t="s">
        <v>26</v>
      </c>
      <c r="E1913" s="208" t="s">
        <v>28</v>
      </c>
      <c r="F1913" t="s">
        <v>7</v>
      </c>
      <c r="G1913" s="18">
        <v>164</v>
      </c>
      <c r="H1913" s="151" t="s">
        <v>563</v>
      </c>
      <c r="I1913" t="s">
        <v>16</v>
      </c>
    </row>
    <row r="1914" spans="1:9" x14ac:dyDescent="0.25">
      <c r="A1914">
        <v>1805</v>
      </c>
      <c r="B1914">
        <f>A1914+1</f>
        <v>1806</v>
      </c>
      <c r="C1914" t="s">
        <v>511</v>
      </c>
      <c r="D1914" t="s">
        <v>26</v>
      </c>
      <c r="E1914" s="208" t="s">
        <v>89</v>
      </c>
      <c r="F1914" t="s">
        <v>7</v>
      </c>
      <c r="G1914" s="18">
        <v>13</v>
      </c>
      <c r="H1914" s="151" t="s">
        <v>563</v>
      </c>
      <c r="I1914" t="s">
        <v>16</v>
      </c>
    </row>
    <row r="1915" spans="1:9" x14ac:dyDescent="0.25">
      <c r="A1915">
        <v>1805</v>
      </c>
      <c r="B1915">
        <f>A1915+1</f>
        <v>1806</v>
      </c>
      <c r="C1915" t="s">
        <v>511</v>
      </c>
      <c r="D1915" t="s">
        <v>26</v>
      </c>
      <c r="E1915" s="208" t="s">
        <v>45</v>
      </c>
      <c r="F1915" t="s">
        <v>7</v>
      </c>
      <c r="G1915" s="18">
        <v>117</v>
      </c>
      <c r="H1915" s="151" t="s">
        <v>563</v>
      </c>
      <c r="I1915" t="s">
        <v>16</v>
      </c>
    </row>
    <row r="1916" spans="1:9" x14ac:dyDescent="0.25">
      <c r="A1916">
        <v>1805</v>
      </c>
      <c r="B1916">
        <f>A1916+1</f>
        <v>1806</v>
      </c>
      <c r="C1916" t="s">
        <v>511</v>
      </c>
      <c r="D1916" t="s">
        <v>26</v>
      </c>
      <c r="E1916" s="208" t="s">
        <v>53</v>
      </c>
      <c r="F1916" t="s">
        <v>7</v>
      </c>
      <c r="G1916" s="18">
        <v>156</v>
      </c>
      <c r="H1916" s="151" t="s">
        <v>563</v>
      </c>
      <c r="I1916" t="s">
        <v>16</v>
      </c>
    </row>
    <row r="1917" spans="1:9" x14ac:dyDescent="0.25">
      <c r="A1917">
        <v>1805</v>
      </c>
      <c r="B1917">
        <f>A1917+1</f>
        <v>1806</v>
      </c>
      <c r="C1917" t="s">
        <v>511</v>
      </c>
      <c r="D1917" t="s">
        <v>26</v>
      </c>
      <c r="E1917" s="208" t="s">
        <v>339</v>
      </c>
      <c r="F1917" t="s">
        <v>7</v>
      </c>
      <c r="G1917" s="18">
        <v>300</v>
      </c>
      <c r="H1917" s="151" t="s">
        <v>563</v>
      </c>
      <c r="I1917" t="s">
        <v>16</v>
      </c>
    </row>
    <row r="1918" spans="1:9" x14ac:dyDescent="0.25">
      <c r="A1918">
        <v>1805</v>
      </c>
      <c r="B1918">
        <f>A1918+1</f>
        <v>1806</v>
      </c>
      <c r="C1918" t="s">
        <v>511</v>
      </c>
      <c r="D1918" t="s">
        <v>26</v>
      </c>
      <c r="E1918" s="208" t="s">
        <v>340</v>
      </c>
      <c r="F1918" t="s">
        <v>7</v>
      </c>
      <c r="G1918" s="18">
        <v>45155</v>
      </c>
      <c r="H1918" s="151" t="s">
        <v>563</v>
      </c>
      <c r="I1918" t="s">
        <v>16</v>
      </c>
    </row>
    <row r="1919" spans="1:9" x14ac:dyDescent="0.25">
      <c r="A1919">
        <v>1805</v>
      </c>
      <c r="B1919">
        <f>A1919+1</f>
        <v>1806</v>
      </c>
      <c r="C1919" t="s">
        <v>511</v>
      </c>
      <c r="D1919" t="s">
        <v>26</v>
      </c>
      <c r="E1919" s="208" t="s">
        <v>75</v>
      </c>
      <c r="F1919" t="s">
        <v>7</v>
      </c>
      <c r="G1919" s="18">
        <v>6443900</v>
      </c>
      <c r="H1919" s="151" t="s">
        <v>563</v>
      </c>
      <c r="I1919" t="s">
        <v>16</v>
      </c>
    </row>
    <row r="1920" spans="1:9" x14ac:dyDescent="0.25">
      <c r="A1920">
        <v>1805</v>
      </c>
      <c r="B1920">
        <f>A1920+1</f>
        <v>1806</v>
      </c>
      <c r="C1920" t="s">
        <v>511</v>
      </c>
      <c r="D1920" t="s">
        <v>26</v>
      </c>
      <c r="E1920" s="208" t="s">
        <v>107</v>
      </c>
      <c r="F1920" t="s">
        <v>7</v>
      </c>
      <c r="G1920" s="18">
        <v>6601425</v>
      </c>
      <c r="H1920" s="151" t="s">
        <v>563</v>
      </c>
      <c r="I1920" t="s">
        <v>16</v>
      </c>
    </row>
    <row r="1921" spans="1:9" x14ac:dyDescent="0.25">
      <c r="A1921">
        <v>1805</v>
      </c>
      <c r="B1921">
        <f>A1921+1</f>
        <v>1806</v>
      </c>
      <c r="C1921" t="s">
        <v>511</v>
      </c>
      <c r="D1921" t="s">
        <v>26</v>
      </c>
      <c r="E1921" s="208" t="s">
        <v>101</v>
      </c>
      <c r="F1921" t="s">
        <v>7</v>
      </c>
      <c r="G1921" s="18">
        <v>11018867</v>
      </c>
      <c r="H1921" s="151" t="s">
        <v>563</v>
      </c>
      <c r="I1921" t="s">
        <v>16</v>
      </c>
    </row>
    <row r="1922" spans="1:9" x14ac:dyDescent="0.25">
      <c r="A1922">
        <v>1805</v>
      </c>
      <c r="B1922">
        <f>A1922+1</f>
        <v>1806</v>
      </c>
      <c r="C1922" t="s">
        <v>511</v>
      </c>
      <c r="D1922" t="s">
        <v>26</v>
      </c>
      <c r="E1922" s="208" t="s">
        <v>65</v>
      </c>
      <c r="F1922" t="s">
        <v>7</v>
      </c>
      <c r="G1922" s="18">
        <v>12827</v>
      </c>
      <c r="H1922" s="151" t="s">
        <v>563</v>
      </c>
      <c r="I1922" t="s">
        <v>16</v>
      </c>
    </row>
    <row r="1923" spans="1:9" x14ac:dyDescent="0.25">
      <c r="A1923">
        <v>1805</v>
      </c>
      <c r="B1923">
        <f>A1923+1</f>
        <v>1806</v>
      </c>
      <c r="C1923" t="s">
        <v>511</v>
      </c>
      <c r="D1923" t="s">
        <v>26</v>
      </c>
      <c r="E1923" s="208" t="s">
        <v>330</v>
      </c>
      <c r="F1923" t="s">
        <v>7</v>
      </c>
      <c r="G1923" s="18">
        <v>1281</v>
      </c>
      <c r="H1923" s="151" t="s">
        <v>563</v>
      </c>
      <c r="I1923" t="s">
        <v>16</v>
      </c>
    </row>
    <row r="1924" spans="1:9" x14ac:dyDescent="0.25">
      <c r="A1924">
        <v>1805</v>
      </c>
      <c r="B1924">
        <f>A1924+1</f>
        <v>1806</v>
      </c>
      <c r="C1924" t="s">
        <v>511</v>
      </c>
      <c r="D1924" t="s">
        <v>26</v>
      </c>
      <c r="E1924" s="208" t="s">
        <v>331</v>
      </c>
      <c r="F1924" t="s">
        <v>7</v>
      </c>
      <c r="G1924" s="18">
        <v>2890</v>
      </c>
      <c r="H1924" s="151" t="s">
        <v>563</v>
      </c>
      <c r="I1924" t="s">
        <v>16</v>
      </c>
    </row>
    <row r="1925" spans="1:9" x14ac:dyDescent="0.25">
      <c r="A1925">
        <v>1805</v>
      </c>
      <c r="B1925">
        <f>A1925+1</f>
        <v>1806</v>
      </c>
      <c r="C1925" t="s">
        <v>511</v>
      </c>
      <c r="D1925" t="s">
        <v>26</v>
      </c>
      <c r="E1925" s="208" t="s">
        <v>332</v>
      </c>
      <c r="F1925" t="s">
        <v>7</v>
      </c>
      <c r="G1925" s="18">
        <v>221</v>
      </c>
      <c r="H1925" s="151" t="s">
        <v>563</v>
      </c>
      <c r="I1925" t="s">
        <v>16</v>
      </c>
    </row>
    <row r="1926" spans="1:9" x14ac:dyDescent="0.25">
      <c r="A1926">
        <v>1805</v>
      </c>
      <c r="B1926">
        <f>A1926+1</f>
        <v>1806</v>
      </c>
      <c r="C1926" t="s">
        <v>511</v>
      </c>
      <c r="D1926" t="s">
        <v>26</v>
      </c>
      <c r="E1926" s="208" t="s">
        <v>333</v>
      </c>
      <c r="F1926" t="s">
        <v>7</v>
      </c>
      <c r="G1926" s="18">
        <v>471</v>
      </c>
      <c r="H1926" s="151" t="s">
        <v>563</v>
      </c>
      <c r="I1926" t="s">
        <v>16</v>
      </c>
    </row>
    <row r="1927" spans="1:9" x14ac:dyDescent="0.25">
      <c r="A1927">
        <v>1805</v>
      </c>
      <c r="B1927">
        <f>A1927+1</f>
        <v>1806</v>
      </c>
      <c r="C1927" t="s">
        <v>511</v>
      </c>
      <c r="D1927" t="s">
        <v>27</v>
      </c>
      <c r="E1927" s="208" t="s">
        <v>155</v>
      </c>
      <c r="F1927" t="s">
        <v>10</v>
      </c>
      <c r="G1927" s="18">
        <v>73</v>
      </c>
      <c r="H1927" t="s">
        <v>17</v>
      </c>
      <c r="I1927" t="s">
        <v>24</v>
      </c>
    </row>
    <row r="1928" spans="1:9" x14ac:dyDescent="0.25">
      <c r="A1928">
        <v>1805</v>
      </c>
      <c r="B1928">
        <f>A1928+1</f>
        <v>1806</v>
      </c>
      <c r="C1928" t="s">
        <v>511</v>
      </c>
      <c r="D1928" t="s">
        <v>27</v>
      </c>
      <c r="E1928" s="208" t="s">
        <v>156</v>
      </c>
      <c r="F1928" t="s">
        <v>10</v>
      </c>
      <c r="G1928" s="18">
        <v>24</v>
      </c>
      <c r="H1928" t="s">
        <v>17</v>
      </c>
      <c r="I1928" t="s">
        <v>24</v>
      </c>
    </row>
    <row r="1929" spans="1:9" x14ac:dyDescent="0.25">
      <c r="A1929">
        <v>1805</v>
      </c>
      <c r="B1929">
        <f>A1929+1</f>
        <v>1806</v>
      </c>
      <c r="C1929" t="s">
        <v>511</v>
      </c>
      <c r="D1929" t="s">
        <v>27</v>
      </c>
      <c r="E1929" s="208" t="s">
        <v>154</v>
      </c>
      <c r="F1929" t="s">
        <v>10</v>
      </c>
      <c r="G1929" s="18">
        <v>77</v>
      </c>
      <c r="H1929" t="s">
        <v>17</v>
      </c>
      <c r="I1929" t="s">
        <v>24</v>
      </c>
    </row>
    <row r="1930" spans="1:9" x14ac:dyDescent="0.25">
      <c r="A1930">
        <v>1805</v>
      </c>
      <c r="B1930">
        <f>A1930+1</f>
        <v>1806</v>
      </c>
      <c r="C1930" t="s">
        <v>511</v>
      </c>
      <c r="D1930" t="s">
        <v>27</v>
      </c>
      <c r="E1930" s="208" t="s">
        <v>150</v>
      </c>
      <c r="F1930" t="s">
        <v>10</v>
      </c>
      <c r="G1930" s="18">
        <v>1828</v>
      </c>
      <c r="H1930" t="s">
        <v>17</v>
      </c>
      <c r="I1930" t="s">
        <v>24</v>
      </c>
    </row>
    <row r="1931" spans="1:9" x14ac:dyDescent="0.25">
      <c r="A1931">
        <v>1805</v>
      </c>
      <c r="B1931">
        <f>A1931+1</f>
        <v>1806</v>
      </c>
      <c r="C1931" t="s">
        <v>511</v>
      </c>
      <c r="D1931" t="s">
        <v>27</v>
      </c>
      <c r="E1931" s="208" t="s">
        <v>148</v>
      </c>
      <c r="F1931" t="s">
        <v>10</v>
      </c>
      <c r="G1931" s="18">
        <v>34</v>
      </c>
      <c r="H1931" t="s">
        <v>17</v>
      </c>
      <c r="I1931" t="s">
        <v>24</v>
      </c>
    </row>
    <row r="1932" spans="1:9" x14ac:dyDescent="0.25">
      <c r="A1932">
        <v>1805</v>
      </c>
      <c r="B1932">
        <f>A1932+1</f>
        <v>1806</v>
      </c>
      <c r="C1932" t="s">
        <v>511</v>
      </c>
      <c r="D1932" t="s">
        <v>27</v>
      </c>
      <c r="E1932" s="208" t="s">
        <v>139</v>
      </c>
      <c r="F1932" t="s">
        <v>10</v>
      </c>
      <c r="G1932" s="18">
        <v>24</v>
      </c>
      <c r="H1932" t="s">
        <v>17</v>
      </c>
      <c r="I1932" t="s">
        <v>24</v>
      </c>
    </row>
    <row r="1933" spans="1:9" x14ac:dyDescent="0.25">
      <c r="A1933">
        <v>1805</v>
      </c>
      <c r="B1933">
        <f>A1933+1</f>
        <v>1806</v>
      </c>
      <c r="C1933" t="s">
        <v>511</v>
      </c>
      <c r="D1933" t="s">
        <v>27</v>
      </c>
      <c r="E1933" s="208" t="s">
        <v>130</v>
      </c>
      <c r="F1933" t="s">
        <v>10</v>
      </c>
      <c r="G1933" s="18">
        <v>12</v>
      </c>
      <c r="H1933" t="s">
        <v>17</v>
      </c>
      <c r="I1933" t="s">
        <v>24</v>
      </c>
    </row>
    <row r="1934" spans="1:9" x14ac:dyDescent="0.25">
      <c r="A1934">
        <v>1805</v>
      </c>
      <c r="B1934">
        <f>A1934+1</f>
        <v>1806</v>
      </c>
      <c r="C1934" t="s">
        <v>511</v>
      </c>
      <c r="D1934" t="s">
        <v>27</v>
      </c>
      <c r="E1934" s="208" t="s">
        <v>132</v>
      </c>
      <c r="F1934" t="s">
        <v>10</v>
      </c>
      <c r="G1934" s="18">
        <v>0</v>
      </c>
      <c r="H1934" t="s">
        <v>17</v>
      </c>
      <c r="I1934" t="s">
        <v>24</v>
      </c>
    </row>
    <row r="1935" spans="1:9" x14ac:dyDescent="0.25">
      <c r="A1935">
        <v>1805</v>
      </c>
      <c r="B1935">
        <f>A1935+1</f>
        <v>1806</v>
      </c>
      <c r="C1935" t="s">
        <v>511</v>
      </c>
      <c r="D1935" t="s">
        <v>27</v>
      </c>
      <c r="E1935" s="208" t="s">
        <v>142</v>
      </c>
      <c r="F1935" t="s">
        <v>10</v>
      </c>
      <c r="G1935" s="18">
        <v>8</v>
      </c>
      <c r="H1935" t="s">
        <v>17</v>
      </c>
      <c r="I1935" t="s">
        <v>24</v>
      </c>
    </row>
    <row r="1936" spans="1:9" x14ac:dyDescent="0.25">
      <c r="A1936">
        <v>1805</v>
      </c>
      <c r="B1936">
        <f>A1936+1</f>
        <v>1806</v>
      </c>
      <c r="C1936" t="s">
        <v>511</v>
      </c>
      <c r="D1936" t="s">
        <v>27</v>
      </c>
      <c r="E1936" s="208" t="s">
        <v>144</v>
      </c>
      <c r="F1936" t="s">
        <v>10</v>
      </c>
      <c r="G1936" s="18">
        <v>3</v>
      </c>
      <c r="H1936" t="s">
        <v>17</v>
      </c>
      <c r="I1936" t="s">
        <v>24</v>
      </c>
    </row>
    <row r="1937" spans="1:9" x14ac:dyDescent="0.25">
      <c r="A1937">
        <v>1805</v>
      </c>
      <c r="B1937">
        <f>A1937+1</f>
        <v>1806</v>
      </c>
      <c r="C1937" t="s">
        <v>511</v>
      </c>
      <c r="D1937" t="s">
        <v>27</v>
      </c>
      <c r="E1937" s="208" t="s">
        <v>124</v>
      </c>
      <c r="F1937" t="s">
        <v>10</v>
      </c>
      <c r="G1937" s="18">
        <v>10215</v>
      </c>
      <c r="H1937" t="s">
        <v>17</v>
      </c>
      <c r="I1937" t="s">
        <v>24</v>
      </c>
    </row>
    <row r="1938" spans="1:9" x14ac:dyDescent="0.25">
      <c r="A1938">
        <v>1805</v>
      </c>
      <c r="B1938">
        <f>A1938+1</f>
        <v>1806</v>
      </c>
      <c r="C1938" t="s">
        <v>511</v>
      </c>
      <c r="D1938" t="s">
        <v>26</v>
      </c>
      <c r="E1938" s="208" t="s">
        <v>62</v>
      </c>
      <c r="F1938" t="s">
        <v>10</v>
      </c>
      <c r="G1938" s="18">
        <v>105</v>
      </c>
      <c r="H1938" t="s">
        <v>24</v>
      </c>
      <c r="I1938" t="s">
        <v>17</v>
      </c>
    </row>
    <row r="1939" spans="1:9" x14ac:dyDescent="0.25">
      <c r="A1939">
        <v>1805</v>
      </c>
      <c r="B1939">
        <f>A1939+1</f>
        <v>1806</v>
      </c>
      <c r="C1939" t="s">
        <v>511</v>
      </c>
      <c r="D1939" t="s">
        <v>26</v>
      </c>
      <c r="E1939" s="208" t="s">
        <v>36</v>
      </c>
      <c r="F1939" t="s">
        <v>10</v>
      </c>
      <c r="G1939" s="18">
        <v>62</v>
      </c>
      <c r="H1939" t="s">
        <v>24</v>
      </c>
      <c r="I1939" t="s">
        <v>17</v>
      </c>
    </row>
    <row r="1940" spans="1:9" x14ac:dyDescent="0.25">
      <c r="A1940">
        <v>1805</v>
      </c>
      <c r="B1940">
        <f>A1940+1</f>
        <v>1806</v>
      </c>
      <c r="C1940" t="s">
        <v>511</v>
      </c>
      <c r="D1940" t="s">
        <v>26</v>
      </c>
      <c r="E1940" s="208" t="s">
        <v>28</v>
      </c>
      <c r="F1940" t="s">
        <v>10</v>
      </c>
      <c r="G1940" s="18">
        <v>462</v>
      </c>
      <c r="H1940" t="s">
        <v>24</v>
      </c>
      <c r="I1940" t="s">
        <v>17</v>
      </c>
    </row>
    <row r="1941" spans="1:9" x14ac:dyDescent="0.25">
      <c r="A1941">
        <v>1805</v>
      </c>
      <c r="B1941">
        <f>A1941+1</f>
        <v>1806</v>
      </c>
      <c r="C1941" t="s">
        <v>511</v>
      </c>
      <c r="D1941" t="s">
        <v>26</v>
      </c>
      <c r="E1941" s="208" t="s">
        <v>89</v>
      </c>
      <c r="F1941" t="s">
        <v>10</v>
      </c>
      <c r="G1941" s="18">
        <v>28</v>
      </c>
      <c r="H1941" t="s">
        <v>24</v>
      </c>
      <c r="I1941" t="s">
        <v>17</v>
      </c>
    </row>
    <row r="1942" spans="1:9" x14ac:dyDescent="0.25">
      <c r="A1942">
        <v>1805</v>
      </c>
      <c r="B1942">
        <f>A1942+1</f>
        <v>1806</v>
      </c>
      <c r="C1942" t="s">
        <v>511</v>
      </c>
      <c r="D1942" t="s">
        <v>26</v>
      </c>
      <c r="E1942" s="208" t="s">
        <v>45</v>
      </c>
      <c r="F1942" t="s">
        <v>10</v>
      </c>
      <c r="G1942" s="18">
        <v>56</v>
      </c>
      <c r="H1942" t="s">
        <v>24</v>
      </c>
      <c r="I1942" t="s">
        <v>17</v>
      </c>
    </row>
    <row r="1943" spans="1:9" x14ac:dyDescent="0.25">
      <c r="A1943">
        <v>1805</v>
      </c>
      <c r="B1943">
        <f>A1943+1</f>
        <v>1806</v>
      </c>
      <c r="C1943" t="s">
        <v>511</v>
      </c>
      <c r="D1943" t="s">
        <v>26</v>
      </c>
      <c r="E1943" s="208" t="s">
        <v>53</v>
      </c>
      <c r="F1943" t="s">
        <v>10</v>
      </c>
      <c r="G1943" s="18">
        <v>772</v>
      </c>
      <c r="H1943" t="s">
        <v>24</v>
      </c>
      <c r="I1943" t="s">
        <v>17</v>
      </c>
    </row>
    <row r="1944" spans="1:9" x14ac:dyDescent="0.25">
      <c r="A1944">
        <v>1805</v>
      </c>
      <c r="B1944">
        <f>A1944+1</f>
        <v>1806</v>
      </c>
      <c r="C1944" t="s">
        <v>511</v>
      </c>
      <c r="D1944" t="s">
        <v>26</v>
      </c>
      <c r="E1944" s="208" t="s">
        <v>75</v>
      </c>
      <c r="F1944" t="s">
        <v>10</v>
      </c>
      <c r="G1944" s="18">
        <v>298851</v>
      </c>
      <c r="H1944" t="s">
        <v>24</v>
      </c>
      <c r="I1944" t="s">
        <v>17</v>
      </c>
    </row>
    <row r="1945" spans="1:9" x14ac:dyDescent="0.25">
      <c r="A1945">
        <v>1805</v>
      </c>
      <c r="B1945">
        <f>A1945+1</f>
        <v>1806</v>
      </c>
      <c r="C1945" t="s">
        <v>511</v>
      </c>
      <c r="D1945" t="s">
        <v>26</v>
      </c>
      <c r="E1945" s="208" t="s">
        <v>107</v>
      </c>
      <c r="F1945" t="s">
        <v>10</v>
      </c>
      <c r="G1945" s="18">
        <v>58700</v>
      </c>
      <c r="H1945" t="s">
        <v>24</v>
      </c>
      <c r="I1945" t="s">
        <v>17</v>
      </c>
    </row>
    <row r="1946" spans="1:9" x14ac:dyDescent="0.25">
      <c r="A1946">
        <v>1805</v>
      </c>
      <c r="B1946">
        <f>A1946+1</f>
        <v>1806</v>
      </c>
      <c r="C1946" t="s">
        <v>511</v>
      </c>
      <c r="D1946" t="s">
        <v>26</v>
      </c>
      <c r="E1946" s="208" t="s">
        <v>101</v>
      </c>
      <c r="F1946" t="s">
        <v>10</v>
      </c>
      <c r="G1946" s="18">
        <v>84000</v>
      </c>
      <c r="H1946" t="s">
        <v>24</v>
      </c>
      <c r="I1946" t="s">
        <v>17</v>
      </c>
    </row>
    <row r="1947" spans="1:9" x14ac:dyDescent="0.25">
      <c r="A1947">
        <v>1805</v>
      </c>
      <c r="B1947">
        <f>A1947+1</f>
        <v>1806</v>
      </c>
      <c r="C1947" t="s">
        <v>511</v>
      </c>
      <c r="D1947" t="s">
        <v>26</v>
      </c>
      <c r="E1947" s="208" t="s">
        <v>330</v>
      </c>
      <c r="F1947" t="s">
        <v>13</v>
      </c>
      <c r="G1947" s="18">
        <v>66</v>
      </c>
      <c r="H1947" t="s">
        <v>25</v>
      </c>
      <c r="I1947" t="s">
        <v>17</v>
      </c>
    </row>
    <row r="1948" spans="1:9" x14ac:dyDescent="0.25">
      <c r="A1948">
        <v>1805</v>
      </c>
      <c r="B1948">
        <f>A1948+1</f>
        <v>1806</v>
      </c>
      <c r="C1948" t="s">
        <v>511</v>
      </c>
      <c r="D1948" t="s">
        <v>26</v>
      </c>
      <c r="E1948" s="208" t="s">
        <v>331</v>
      </c>
      <c r="F1948" t="s">
        <v>13</v>
      </c>
      <c r="G1948" s="18">
        <v>192</v>
      </c>
      <c r="H1948" t="s">
        <v>25</v>
      </c>
      <c r="I1948" t="s">
        <v>17</v>
      </c>
    </row>
    <row r="1949" spans="1:9" x14ac:dyDescent="0.25">
      <c r="A1949">
        <v>1805</v>
      </c>
      <c r="B1949">
        <f>A1949+1</f>
        <v>1806</v>
      </c>
      <c r="C1949" t="s">
        <v>511</v>
      </c>
      <c r="D1949" t="s">
        <v>26</v>
      </c>
      <c r="E1949" s="208" t="s">
        <v>332</v>
      </c>
      <c r="F1949" t="s">
        <v>13</v>
      </c>
      <c r="G1949" s="18">
        <v>9</v>
      </c>
      <c r="H1949" t="s">
        <v>25</v>
      </c>
      <c r="I1949" t="s">
        <v>17</v>
      </c>
    </row>
    <row r="1950" spans="1:9" x14ac:dyDescent="0.25">
      <c r="A1950">
        <v>1805</v>
      </c>
      <c r="B1950">
        <f>A1950+1</f>
        <v>1806</v>
      </c>
      <c r="C1950" t="s">
        <v>511</v>
      </c>
      <c r="D1950" t="s">
        <v>26</v>
      </c>
      <c r="E1950" s="208" t="s">
        <v>333</v>
      </c>
      <c r="F1950" t="s">
        <v>13</v>
      </c>
      <c r="G1950" s="18">
        <v>327</v>
      </c>
      <c r="H1950" t="s">
        <v>25</v>
      </c>
      <c r="I1950" t="s">
        <v>17</v>
      </c>
    </row>
    <row r="1951" spans="1:9" x14ac:dyDescent="0.25">
      <c r="A1951">
        <v>1805</v>
      </c>
      <c r="B1951">
        <f>A1951+1</f>
        <v>1806</v>
      </c>
      <c r="C1951" t="s">
        <v>511</v>
      </c>
      <c r="D1951" t="s">
        <v>27</v>
      </c>
      <c r="E1951" s="208" t="s">
        <v>155</v>
      </c>
      <c r="F1951" t="s">
        <v>8</v>
      </c>
      <c r="G1951" s="18">
        <v>75331</v>
      </c>
      <c r="H1951" t="s">
        <v>17</v>
      </c>
      <c r="I1951" t="s">
        <v>18</v>
      </c>
    </row>
    <row r="1952" spans="1:9" x14ac:dyDescent="0.25">
      <c r="A1952">
        <v>1805</v>
      </c>
      <c r="B1952">
        <f>A1952+1</f>
        <v>1806</v>
      </c>
      <c r="C1952" t="s">
        <v>511</v>
      </c>
      <c r="D1952" t="s">
        <v>27</v>
      </c>
      <c r="E1952" s="208" t="s">
        <v>156</v>
      </c>
      <c r="F1952" t="s">
        <v>8</v>
      </c>
      <c r="G1952" s="18">
        <v>11305</v>
      </c>
      <c r="H1952" t="s">
        <v>17</v>
      </c>
      <c r="I1952" t="s">
        <v>18</v>
      </c>
    </row>
    <row r="1953" spans="1:9" x14ac:dyDescent="0.25">
      <c r="A1953">
        <v>1805</v>
      </c>
      <c r="B1953">
        <f>A1953+1</f>
        <v>1806</v>
      </c>
      <c r="C1953" t="s">
        <v>511</v>
      </c>
      <c r="D1953" t="s">
        <v>27</v>
      </c>
      <c r="E1953" s="208" t="s">
        <v>154</v>
      </c>
      <c r="F1953" t="s">
        <v>8</v>
      </c>
      <c r="G1953" s="18">
        <v>994</v>
      </c>
      <c r="H1953" t="s">
        <v>17</v>
      </c>
      <c r="I1953" t="s">
        <v>18</v>
      </c>
    </row>
    <row r="1954" spans="1:9" x14ac:dyDescent="0.25">
      <c r="A1954">
        <v>1805</v>
      </c>
      <c r="B1954">
        <f>A1954+1</f>
        <v>1806</v>
      </c>
      <c r="C1954" t="s">
        <v>511</v>
      </c>
      <c r="D1954" t="s">
        <v>27</v>
      </c>
      <c r="E1954" s="208" t="s">
        <v>150</v>
      </c>
      <c r="F1954" t="s">
        <v>8</v>
      </c>
      <c r="G1954" s="18">
        <v>21051</v>
      </c>
      <c r="H1954" t="s">
        <v>17</v>
      </c>
      <c r="I1954" t="s">
        <v>18</v>
      </c>
    </row>
    <row r="1955" spans="1:9" x14ac:dyDescent="0.25">
      <c r="A1955">
        <v>1805</v>
      </c>
      <c r="B1955">
        <f>A1955+1</f>
        <v>1806</v>
      </c>
      <c r="C1955" t="s">
        <v>511</v>
      </c>
      <c r="D1955" t="s">
        <v>27</v>
      </c>
      <c r="E1955" s="208" t="s">
        <v>148</v>
      </c>
      <c r="F1955" t="s">
        <v>8</v>
      </c>
      <c r="G1955" s="18">
        <v>391</v>
      </c>
      <c r="H1955" t="s">
        <v>17</v>
      </c>
      <c r="I1955" t="s">
        <v>18</v>
      </c>
    </row>
    <row r="1956" spans="1:9" x14ac:dyDescent="0.25">
      <c r="A1956">
        <v>1805</v>
      </c>
      <c r="B1956">
        <f>A1956+1</f>
        <v>1806</v>
      </c>
      <c r="C1956" t="s">
        <v>511</v>
      </c>
      <c r="D1956" t="s">
        <v>27</v>
      </c>
      <c r="E1956" s="208" t="s">
        <v>139</v>
      </c>
      <c r="F1956" t="s">
        <v>8</v>
      </c>
      <c r="G1956" s="18">
        <v>0</v>
      </c>
      <c r="H1956" t="s">
        <v>17</v>
      </c>
      <c r="I1956" t="s">
        <v>18</v>
      </c>
    </row>
    <row r="1957" spans="1:9" x14ac:dyDescent="0.25">
      <c r="A1957">
        <v>1805</v>
      </c>
      <c r="B1957">
        <f>A1957+1</f>
        <v>1806</v>
      </c>
      <c r="C1957" t="s">
        <v>511</v>
      </c>
      <c r="D1957" t="s">
        <v>27</v>
      </c>
      <c r="E1957" s="208" t="s">
        <v>130</v>
      </c>
      <c r="F1957" t="s">
        <v>8</v>
      </c>
      <c r="G1957" s="18">
        <v>1180</v>
      </c>
      <c r="H1957" t="s">
        <v>17</v>
      </c>
      <c r="I1957" t="s">
        <v>18</v>
      </c>
    </row>
    <row r="1958" spans="1:9" x14ac:dyDescent="0.25">
      <c r="A1958">
        <v>1805</v>
      </c>
      <c r="B1958">
        <f>A1958+1</f>
        <v>1806</v>
      </c>
      <c r="C1958" t="s">
        <v>511</v>
      </c>
      <c r="D1958" t="s">
        <v>27</v>
      </c>
      <c r="E1958" s="208" t="s">
        <v>132</v>
      </c>
      <c r="F1958" t="s">
        <v>8</v>
      </c>
      <c r="G1958" s="18">
        <v>101</v>
      </c>
      <c r="H1958" t="s">
        <v>17</v>
      </c>
      <c r="I1958" t="s">
        <v>18</v>
      </c>
    </row>
    <row r="1959" spans="1:9" x14ac:dyDescent="0.25">
      <c r="A1959">
        <v>1805</v>
      </c>
      <c r="B1959">
        <f>A1959+1</f>
        <v>1806</v>
      </c>
      <c r="C1959" t="s">
        <v>511</v>
      </c>
      <c r="D1959" t="s">
        <v>27</v>
      </c>
      <c r="E1959" s="208" t="s">
        <v>142</v>
      </c>
      <c r="F1959" t="s">
        <v>8</v>
      </c>
      <c r="G1959" s="18">
        <v>13064</v>
      </c>
      <c r="H1959" t="s">
        <v>17</v>
      </c>
      <c r="I1959" t="s">
        <v>18</v>
      </c>
    </row>
    <row r="1960" spans="1:9" x14ac:dyDescent="0.25">
      <c r="A1960">
        <v>1805</v>
      </c>
      <c r="B1960">
        <f>A1960+1</f>
        <v>1806</v>
      </c>
      <c r="C1960" t="s">
        <v>511</v>
      </c>
      <c r="D1960" t="s">
        <v>27</v>
      </c>
      <c r="E1960" s="208" t="s">
        <v>144</v>
      </c>
      <c r="F1960" t="s">
        <v>8</v>
      </c>
      <c r="G1960" s="18">
        <v>338</v>
      </c>
      <c r="H1960" t="s">
        <v>17</v>
      </c>
      <c r="I1960" t="s">
        <v>18</v>
      </c>
    </row>
    <row r="1961" spans="1:9" x14ac:dyDescent="0.25">
      <c r="A1961">
        <v>1805</v>
      </c>
      <c r="B1961">
        <f>A1961+1</f>
        <v>1806</v>
      </c>
      <c r="C1961" t="s">
        <v>511</v>
      </c>
      <c r="D1961" t="s">
        <v>27</v>
      </c>
      <c r="E1961" s="208" t="s">
        <v>124</v>
      </c>
      <c r="F1961" t="s">
        <v>8</v>
      </c>
      <c r="G1961" s="18">
        <v>7355906</v>
      </c>
      <c r="H1961" t="s">
        <v>17</v>
      </c>
      <c r="I1961" t="s">
        <v>18</v>
      </c>
    </row>
    <row r="1962" spans="1:9" x14ac:dyDescent="0.25">
      <c r="A1962">
        <v>1805</v>
      </c>
      <c r="B1962">
        <f>A1962+1</f>
        <v>1806</v>
      </c>
      <c r="C1962" t="s">
        <v>511</v>
      </c>
      <c r="D1962" t="s">
        <v>26</v>
      </c>
      <c r="E1962" s="208" t="s">
        <v>65</v>
      </c>
      <c r="F1962" t="s">
        <v>164</v>
      </c>
      <c r="G1962" s="18">
        <v>34264</v>
      </c>
      <c r="H1962" t="s">
        <v>160</v>
      </c>
      <c r="I1962" t="s">
        <v>17</v>
      </c>
    </row>
    <row r="1963" spans="1:9" x14ac:dyDescent="0.25">
      <c r="A1963">
        <v>1805</v>
      </c>
      <c r="B1963">
        <f>A1963+1</f>
        <v>1806</v>
      </c>
      <c r="C1963" t="s">
        <v>511</v>
      </c>
      <c r="D1963" t="s">
        <v>27</v>
      </c>
      <c r="E1963" s="208" t="s">
        <v>155</v>
      </c>
      <c r="F1963" t="s">
        <v>13</v>
      </c>
      <c r="G1963" s="18">
        <v>0</v>
      </c>
      <c r="H1963" t="s">
        <v>17</v>
      </c>
      <c r="I1963" t="s">
        <v>25</v>
      </c>
    </row>
    <row r="1964" spans="1:9" x14ac:dyDescent="0.25">
      <c r="A1964">
        <v>1805</v>
      </c>
      <c r="B1964">
        <f>A1964+1</f>
        <v>1806</v>
      </c>
      <c r="C1964" t="s">
        <v>511</v>
      </c>
      <c r="D1964" t="s">
        <v>27</v>
      </c>
      <c r="E1964" s="208" t="s">
        <v>156</v>
      </c>
      <c r="F1964" t="s">
        <v>13</v>
      </c>
      <c r="G1964" s="18">
        <v>0</v>
      </c>
      <c r="H1964" t="s">
        <v>17</v>
      </c>
      <c r="I1964" t="s">
        <v>25</v>
      </c>
    </row>
    <row r="1965" spans="1:9" x14ac:dyDescent="0.25">
      <c r="A1965">
        <v>1805</v>
      </c>
      <c r="B1965">
        <f>A1965+1</f>
        <v>1806</v>
      </c>
      <c r="C1965" t="s">
        <v>511</v>
      </c>
      <c r="D1965" t="s">
        <v>27</v>
      </c>
      <c r="E1965" s="208" t="s">
        <v>154</v>
      </c>
      <c r="F1965" t="s">
        <v>13</v>
      </c>
      <c r="G1965" s="18">
        <v>0</v>
      </c>
      <c r="H1965" t="s">
        <v>17</v>
      </c>
      <c r="I1965" t="s">
        <v>25</v>
      </c>
    </row>
    <row r="1966" spans="1:9" x14ac:dyDescent="0.25">
      <c r="A1966">
        <v>1805</v>
      </c>
      <c r="B1966">
        <f>A1966+1</f>
        <v>1806</v>
      </c>
      <c r="C1966" t="s">
        <v>511</v>
      </c>
      <c r="D1966" t="s">
        <v>27</v>
      </c>
      <c r="E1966" s="208" t="s">
        <v>150</v>
      </c>
      <c r="F1966" t="s">
        <v>13</v>
      </c>
      <c r="G1966" s="18">
        <v>38</v>
      </c>
      <c r="H1966" t="s">
        <v>17</v>
      </c>
      <c r="I1966" t="s">
        <v>25</v>
      </c>
    </row>
    <row r="1967" spans="1:9" x14ac:dyDescent="0.25">
      <c r="A1967">
        <v>1805</v>
      </c>
      <c r="B1967">
        <f>A1967+1</f>
        <v>1806</v>
      </c>
      <c r="C1967" t="s">
        <v>511</v>
      </c>
      <c r="D1967" t="s">
        <v>27</v>
      </c>
      <c r="E1967" s="208" t="s">
        <v>148</v>
      </c>
      <c r="F1967" t="s">
        <v>13</v>
      </c>
      <c r="G1967" s="18">
        <v>3</v>
      </c>
      <c r="H1967" t="s">
        <v>17</v>
      </c>
      <c r="I1967" t="s">
        <v>25</v>
      </c>
    </row>
    <row r="1968" spans="1:9" x14ac:dyDescent="0.25">
      <c r="A1968">
        <v>1805</v>
      </c>
      <c r="B1968">
        <f>A1968+1</f>
        <v>1806</v>
      </c>
      <c r="C1968" t="s">
        <v>511</v>
      </c>
      <c r="D1968" t="s">
        <v>27</v>
      </c>
      <c r="E1968" s="208" t="s">
        <v>139</v>
      </c>
      <c r="F1968" t="s">
        <v>13</v>
      </c>
      <c r="G1968" s="18">
        <v>0</v>
      </c>
      <c r="H1968" t="s">
        <v>17</v>
      </c>
      <c r="I1968" t="s">
        <v>25</v>
      </c>
    </row>
    <row r="1969" spans="1:9" x14ac:dyDescent="0.25">
      <c r="A1969">
        <v>1805</v>
      </c>
      <c r="B1969">
        <f>A1969+1</f>
        <v>1806</v>
      </c>
      <c r="C1969" t="s">
        <v>511</v>
      </c>
      <c r="D1969" t="s">
        <v>27</v>
      </c>
      <c r="E1969" s="208" t="s">
        <v>130</v>
      </c>
      <c r="F1969" t="s">
        <v>13</v>
      </c>
      <c r="G1969" s="18">
        <v>0</v>
      </c>
      <c r="H1969" t="s">
        <v>17</v>
      </c>
      <c r="I1969" t="s">
        <v>25</v>
      </c>
    </row>
    <row r="1970" spans="1:9" x14ac:dyDescent="0.25">
      <c r="A1970">
        <v>1805</v>
      </c>
      <c r="B1970">
        <f>A1970+1</f>
        <v>1806</v>
      </c>
      <c r="C1970" t="s">
        <v>511</v>
      </c>
      <c r="D1970" t="s">
        <v>27</v>
      </c>
      <c r="E1970" s="208" t="s">
        <v>132</v>
      </c>
      <c r="F1970" t="s">
        <v>13</v>
      </c>
      <c r="G1970" s="18">
        <v>0</v>
      </c>
      <c r="H1970" t="s">
        <v>17</v>
      </c>
      <c r="I1970" t="s">
        <v>25</v>
      </c>
    </row>
    <row r="1971" spans="1:9" x14ac:dyDescent="0.25">
      <c r="A1971">
        <v>1805</v>
      </c>
      <c r="B1971">
        <f>A1971+1</f>
        <v>1806</v>
      </c>
      <c r="C1971" t="s">
        <v>511</v>
      </c>
      <c r="D1971" t="s">
        <v>27</v>
      </c>
      <c r="E1971" s="208" t="s">
        <v>142</v>
      </c>
      <c r="F1971" t="s">
        <v>13</v>
      </c>
      <c r="G1971" s="18">
        <v>0</v>
      </c>
      <c r="H1971" t="s">
        <v>17</v>
      </c>
      <c r="I1971" t="s">
        <v>25</v>
      </c>
    </row>
    <row r="1972" spans="1:9" x14ac:dyDescent="0.25">
      <c r="A1972">
        <v>1805</v>
      </c>
      <c r="B1972">
        <f>A1972+1</f>
        <v>1806</v>
      </c>
      <c r="C1972" t="s">
        <v>511</v>
      </c>
      <c r="D1972" t="s">
        <v>27</v>
      </c>
      <c r="E1972" s="208" t="s">
        <v>144</v>
      </c>
      <c r="F1972" t="s">
        <v>13</v>
      </c>
      <c r="G1972" s="18">
        <v>0</v>
      </c>
      <c r="H1972" t="s">
        <v>17</v>
      </c>
      <c r="I1972" t="s">
        <v>25</v>
      </c>
    </row>
    <row r="1973" spans="1:9" x14ac:dyDescent="0.25">
      <c r="A1973">
        <v>1805</v>
      </c>
      <c r="B1973">
        <f>A1973+1</f>
        <v>1806</v>
      </c>
      <c r="C1973" t="s">
        <v>511</v>
      </c>
      <c r="D1973" t="s">
        <v>27</v>
      </c>
      <c r="E1973" s="208" t="s">
        <v>124</v>
      </c>
      <c r="F1973" t="s">
        <v>13</v>
      </c>
      <c r="G1973" s="18">
        <v>0</v>
      </c>
      <c r="H1973" t="s">
        <v>17</v>
      </c>
      <c r="I1973" t="s">
        <v>25</v>
      </c>
    </row>
    <row r="1974" spans="1:9" x14ac:dyDescent="0.25">
      <c r="A1974">
        <v>1805</v>
      </c>
      <c r="B1974">
        <f>A1974+1</f>
        <v>1806</v>
      </c>
      <c r="C1974" t="s">
        <v>511</v>
      </c>
      <c r="D1974" t="s">
        <v>27</v>
      </c>
      <c r="E1974" s="208" t="s">
        <v>155</v>
      </c>
      <c r="F1974" t="s">
        <v>11</v>
      </c>
      <c r="G1974" s="18">
        <v>69</v>
      </c>
      <c r="H1974" t="s">
        <v>17</v>
      </c>
      <c r="I1974" t="s">
        <v>23</v>
      </c>
    </row>
    <row r="1975" spans="1:9" x14ac:dyDescent="0.25">
      <c r="A1975">
        <v>1805</v>
      </c>
      <c r="B1975">
        <f>A1975+1</f>
        <v>1806</v>
      </c>
      <c r="C1975" t="s">
        <v>511</v>
      </c>
      <c r="D1975" t="s">
        <v>27</v>
      </c>
      <c r="E1975" s="208" t="s">
        <v>156</v>
      </c>
      <c r="F1975" t="s">
        <v>11</v>
      </c>
      <c r="G1975" s="18">
        <v>427</v>
      </c>
      <c r="H1975" t="s">
        <v>17</v>
      </c>
      <c r="I1975" t="s">
        <v>23</v>
      </c>
    </row>
    <row r="1976" spans="1:9" x14ac:dyDescent="0.25">
      <c r="A1976">
        <v>1805</v>
      </c>
      <c r="B1976">
        <f>A1976+1</f>
        <v>1806</v>
      </c>
      <c r="C1976" t="s">
        <v>511</v>
      </c>
      <c r="D1976" t="s">
        <v>27</v>
      </c>
      <c r="E1976" s="208" t="s">
        <v>154</v>
      </c>
      <c r="F1976" t="s">
        <v>11</v>
      </c>
      <c r="G1976" s="18">
        <v>113</v>
      </c>
      <c r="H1976" t="s">
        <v>17</v>
      </c>
      <c r="I1976" t="s">
        <v>23</v>
      </c>
    </row>
    <row r="1977" spans="1:9" x14ac:dyDescent="0.25">
      <c r="A1977">
        <v>1805</v>
      </c>
      <c r="B1977">
        <f>A1977+1</f>
        <v>1806</v>
      </c>
      <c r="C1977" t="s">
        <v>511</v>
      </c>
      <c r="D1977" t="s">
        <v>27</v>
      </c>
      <c r="E1977" s="208" t="s">
        <v>150</v>
      </c>
      <c r="F1977" t="s">
        <v>11</v>
      </c>
      <c r="G1977" s="18">
        <v>19539</v>
      </c>
      <c r="H1977" t="s">
        <v>17</v>
      </c>
      <c r="I1977" t="s">
        <v>23</v>
      </c>
    </row>
    <row r="1978" spans="1:9" x14ac:dyDescent="0.25">
      <c r="A1978">
        <v>1805</v>
      </c>
      <c r="B1978">
        <f>A1978+1</f>
        <v>1806</v>
      </c>
      <c r="C1978" t="s">
        <v>511</v>
      </c>
      <c r="D1978" t="s">
        <v>27</v>
      </c>
      <c r="E1978" s="208" t="s">
        <v>148</v>
      </c>
      <c r="F1978" t="s">
        <v>11</v>
      </c>
      <c r="G1978" s="18">
        <v>6</v>
      </c>
      <c r="H1978" t="s">
        <v>17</v>
      </c>
      <c r="I1978" t="s">
        <v>23</v>
      </c>
    </row>
    <row r="1979" spans="1:9" x14ac:dyDescent="0.25">
      <c r="A1979">
        <v>1805</v>
      </c>
      <c r="B1979">
        <f>A1979+1</f>
        <v>1806</v>
      </c>
      <c r="C1979" t="s">
        <v>511</v>
      </c>
      <c r="D1979" t="s">
        <v>27</v>
      </c>
      <c r="E1979" s="208" t="s">
        <v>139</v>
      </c>
      <c r="F1979" t="s">
        <v>11</v>
      </c>
      <c r="G1979" s="18">
        <v>377</v>
      </c>
      <c r="H1979" t="s">
        <v>17</v>
      </c>
      <c r="I1979" t="s">
        <v>23</v>
      </c>
    </row>
    <row r="1980" spans="1:9" x14ac:dyDescent="0.25">
      <c r="A1980">
        <v>1805</v>
      </c>
      <c r="B1980">
        <f>A1980+1</f>
        <v>1806</v>
      </c>
      <c r="C1980" t="s">
        <v>511</v>
      </c>
      <c r="D1980" t="s">
        <v>27</v>
      </c>
      <c r="E1980" s="208" t="s">
        <v>130</v>
      </c>
      <c r="F1980" t="s">
        <v>11</v>
      </c>
      <c r="G1980" s="18">
        <v>0</v>
      </c>
      <c r="H1980" t="s">
        <v>17</v>
      </c>
      <c r="I1980" t="s">
        <v>23</v>
      </c>
    </row>
    <row r="1981" spans="1:9" x14ac:dyDescent="0.25">
      <c r="A1981">
        <v>1805</v>
      </c>
      <c r="B1981">
        <f>A1981+1</f>
        <v>1806</v>
      </c>
      <c r="C1981" t="s">
        <v>511</v>
      </c>
      <c r="D1981" t="s">
        <v>27</v>
      </c>
      <c r="E1981" s="208" t="s">
        <v>132</v>
      </c>
      <c r="F1981" t="s">
        <v>11</v>
      </c>
      <c r="G1981" s="18">
        <v>0</v>
      </c>
      <c r="H1981" t="s">
        <v>17</v>
      </c>
      <c r="I1981" t="s">
        <v>23</v>
      </c>
    </row>
    <row r="1982" spans="1:9" x14ac:dyDescent="0.25">
      <c r="A1982">
        <v>1805</v>
      </c>
      <c r="B1982">
        <f>A1982+1</f>
        <v>1806</v>
      </c>
      <c r="C1982" t="s">
        <v>511</v>
      </c>
      <c r="D1982" t="s">
        <v>27</v>
      </c>
      <c r="E1982" s="208" t="s">
        <v>142</v>
      </c>
      <c r="F1982" t="s">
        <v>11</v>
      </c>
      <c r="G1982" s="18">
        <v>957</v>
      </c>
      <c r="H1982" t="s">
        <v>17</v>
      </c>
      <c r="I1982" t="s">
        <v>23</v>
      </c>
    </row>
    <row r="1983" spans="1:9" x14ac:dyDescent="0.25">
      <c r="A1983">
        <v>1805</v>
      </c>
      <c r="B1983">
        <f>A1983+1</f>
        <v>1806</v>
      </c>
      <c r="C1983" t="s">
        <v>511</v>
      </c>
      <c r="D1983" t="s">
        <v>27</v>
      </c>
      <c r="E1983" s="208" t="s">
        <v>144</v>
      </c>
      <c r="F1983" t="s">
        <v>11</v>
      </c>
      <c r="G1983" s="18">
        <v>58</v>
      </c>
      <c r="H1983" t="s">
        <v>17</v>
      </c>
      <c r="I1983" t="s">
        <v>23</v>
      </c>
    </row>
    <row r="1984" spans="1:9" x14ac:dyDescent="0.25">
      <c r="A1984">
        <v>1805</v>
      </c>
      <c r="B1984">
        <f>A1984+1</f>
        <v>1806</v>
      </c>
      <c r="C1984" t="s">
        <v>511</v>
      </c>
      <c r="D1984" t="s">
        <v>27</v>
      </c>
      <c r="E1984" s="208" t="s">
        <v>124</v>
      </c>
      <c r="F1984" t="s">
        <v>11</v>
      </c>
      <c r="G1984" s="18">
        <v>55020</v>
      </c>
      <c r="H1984" t="s">
        <v>17</v>
      </c>
      <c r="I1984" t="s">
        <v>23</v>
      </c>
    </row>
    <row r="1985" spans="1:9" x14ac:dyDescent="0.25">
      <c r="A1985">
        <v>1805</v>
      </c>
      <c r="B1985">
        <f>A1985+1</f>
        <v>1806</v>
      </c>
      <c r="C1985" t="s">
        <v>511</v>
      </c>
      <c r="D1985" t="s">
        <v>26</v>
      </c>
      <c r="E1985" s="208" t="s">
        <v>58</v>
      </c>
      <c r="F1985" t="s">
        <v>11</v>
      </c>
      <c r="G1985" s="18">
        <v>34</v>
      </c>
      <c r="H1985" t="s">
        <v>23</v>
      </c>
      <c r="I1985" t="s">
        <v>17</v>
      </c>
    </row>
    <row r="1986" spans="1:9" x14ac:dyDescent="0.25">
      <c r="A1986">
        <v>1805</v>
      </c>
      <c r="B1986">
        <f>A1986+1</f>
        <v>1806</v>
      </c>
      <c r="C1986" t="s">
        <v>511</v>
      </c>
      <c r="D1986" t="s">
        <v>26</v>
      </c>
      <c r="E1986" s="208" t="s">
        <v>57</v>
      </c>
      <c r="F1986" t="s">
        <v>11</v>
      </c>
      <c r="G1986" s="18">
        <v>9085</v>
      </c>
      <c r="H1986" t="s">
        <v>23</v>
      </c>
      <c r="I1986" t="s">
        <v>17</v>
      </c>
    </row>
    <row r="1987" spans="1:9" x14ac:dyDescent="0.25">
      <c r="A1987">
        <v>1805</v>
      </c>
      <c r="B1987">
        <f>A1987+1</f>
        <v>1806</v>
      </c>
      <c r="C1987" t="s">
        <v>511</v>
      </c>
      <c r="D1987" t="s">
        <v>26</v>
      </c>
      <c r="E1987" s="208" t="s">
        <v>35</v>
      </c>
      <c r="F1987" t="s">
        <v>11</v>
      </c>
      <c r="G1987" s="18">
        <v>75</v>
      </c>
      <c r="H1987" t="s">
        <v>23</v>
      </c>
      <c r="I1987" t="s">
        <v>17</v>
      </c>
    </row>
    <row r="1988" spans="1:9" x14ac:dyDescent="0.25">
      <c r="A1988">
        <v>1805</v>
      </c>
      <c r="B1988">
        <f>A1988+1</f>
        <v>1806</v>
      </c>
      <c r="C1988" t="s">
        <v>511</v>
      </c>
      <c r="D1988" t="s">
        <v>26</v>
      </c>
      <c r="E1988" s="208" t="s">
        <v>36</v>
      </c>
      <c r="F1988" t="s">
        <v>11</v>
      </c>
      <c r="G1988" s="18">
        <v>1919</v>
      </c>
      <c r="H1988" t="s">
        <v>23</v>
      </c>
      <c r="I1988" t="s">
        <v>17</v>
      </c>
    </row>
    <row r="1989" spans="1:9" x14ac:dyDescent="0.25">
      <c r="A1989">
        <v>1805</v>
      </c>
      <c r="B1989">
        <f>A1989+1</f>
        <v>1806</v>
      </c>
      <c r="C1989" t="s">
        <v>511</v>
      </c>
      <c r="D1989" t="s">
        <v>26</v>
      </c>
      <c r="E1989" s="208" t="s">
        <v>39</v>
      </c>
      <c r="F1989" t="s">
        <v>11</v>
      </c>
      <c r="G1989" s="18">
        <v>1172</v>
      </c>
      <c r="H1989" t="s">
        <v>23</v>
      </c>
      <c r="I1989" t="s">
        <v>17</v>
      </c>
    </row>
    <row r="1990" spans="1:9" x14ac:dyDescent="0.25">
      <c r="A1990">
        <v>1805</v>
      </c>
      <c r="B1990">
        <f>A1990+1</f>
        <v>1806</v>
      </c>
      <c r="C1990" t="s">
        <v>511</v>
      </c>
      <c r="D1990" t="s">
        <v>26</v>
      </c>
      <c r="E1990" s="208" t="s">
        <v>99</v>
      </c>
      <c r="F1990" t="s">
        <v>11</v>
      </c>
      <c r="G1990" s="18">
        <v>432</v>
      </c>
      <c r="H1990" t="s">
        <v>23</v>
      </c>
      <c r="I1990" t="s">
        <v>17</v>
      </c>
    </row>
    <row r="1991" spans="1:9" x14ac:dyDescent="0.25">
      <c r="A1991">
        <v>1805</v>
      </c>
      <c r="B1991">
        <f>A1991+1</f>
        <v>1806</v>
      </c>
      <c r="C1991" t="s">
        <v>511</v>
      </c>
      <c r="D1991" t="s">
        <v>26</v>
      </c>
      <c r="E1991" s="208" t="s">
        <v>339</v>
      </c>
      <c r="F1991" t="s">
        <v>11</v>
      </c>
      <c r="G1991" s="18">
        <v>120</v>
      </c>
      <c r="H1991" t="s">
        <v>23</v>
      </c>
      <c r="I1991" t="s">
        <v>17</v>
      </c>
    </row>
    <row r="1992" spans="1:9" x14ac:dyDescent="0.25">
      <c r="A1992">
        <v>1805</v>
      </c>
      <c r="B1992">
        <f>A1992+1</f>
        <v>1806</v>
      </c>
      <c r="C1992" t="s">
        <v>511</v>
      </c>
      <c r="D1992" t="s">
        <v>26</v>
      </c>
      <c r="E1992" s="208" t="s">
        <v>340</v>
      </c>
      <c r="F1992" t="s">
        <v>11</v>
      </c>
      <c r="G1992" s="18">
        <v>44954</v>
      </c>
      <c r="H1992" t="s">
        <v>23</v>
      </c>
      <c r="I1992" t="s">
        <v>17</v>
      </c>
    </row>
    <row r="1993" spans="1:9" x14ac:dyDescent="0.25">
      <c r="A1993">
        <v>1805</v>
      </c>
      <c r="B1993">
        <f>A1993+1</f>
        <v>1806</v>
      </c>
      <c r="C1993" t="s">
        <v>511</v>
      </c>
      <c r="D1993" t="s">
        <v>26</v>
      </c>
      <c r="E1993" s="208" t="s">
        <v>75</v>
      </c>
      <c r="F1993" t="s">
        <v>11</v>
      </c>
      <c r="G1993" s="18">
        <v>4392618</v>
      </c>
      <c r="H1993" t="s">
        <v>23</v>
      </c>
      <c r="I1993" t="s">
        <v>17</v>
      </c>
    </row>
    <row r="1994" spans="1:9" x14ac:dyDescent="0.25">
      <c r="A1994">
        <v>1805</v>
      </c>
      <c r="B1994">
        <f>A1994+1</f>
        <v>1806</v>
      </c>
      <c r="C1994" t="s">
        <v>511</v>
      </c>
      <c r="D1994" t="s">
        <v>26</v>
      </c>
      <c r="E1994" s="208" t="s">
        <v>107</v>
      </c>
      <c r="F1994" t="s">
        <v>11</v>
      </c>
      <c r="G1994" s="18">
        <v>8975491</v>
      </c>
      <c r="H1994" t="s">
        <v>23</v>
      </c>
      <c r="I1994" t="s">
        <v>17</v>
      </c>
    </row>
    <row r="1995" spans="1:9" x14ac:dyDescent="0.25">
      <c r="A1995">
        <v>1805</v>
      </c>
      <c r="B1995">
        <f>A1995+1</f>
        <v>1806</v>
      </c>
      <c r="C1995" t="s">
        <v>511</v>
      </c>
      <c r="D1995" t="s">
        <v>26</v>
      </c>
      <c r="E1995" s="208" t="s">
        <v>101</v>
      </c>
      <c r="F1995" t="s">
        <v>11</v>
      </c>
      <c r="G1995" s="18">
        <v>5904420</v>
      </c>
      <c r="H1995" t="s">
        <v>23</v>
      </c>
      <c r="I1995" t="s">
        <v>17</v>
      </c>
    </row>
    <row r="1996" spans="1:9" x14ac:dyDescent="0.25">
      <c r="A1996">
        <v>1805</v>
      </c>
      <c r="B1996">
        <f>A1996+1</f>
        <v>1806</v>
      </c>
      <c r="C1996" t="s">
        <v>511</v>
      </c>
      <c r="D1996" t="s">
        <v>27</v>
      </c>
      <c r="E1996" s="208" t="s">
        <v>155</v>
      </c>
      <c r="F1996" t="s">
        <v>14</v>
      </c>
      <c r="G1996" s="18">
        <v>75473</v>
      </c>
      <c r="H1996" t="s">
        <v>17</v>
      </c>
      <c r="I1996" s="151" t="s">
        <v>562</v>
      </c>
    </row>
    <row r="1997" spans="1:9" x14ac:dyDescent="0.25">
      <c r="A1997">
        <v>1805</v>
      </c>
      <c r="B1997">
        <f>A1997+1</f>
        <v>1806</v>
      </c>
      <c r="C1997" t="s">
        <v>511</v>
      </c>
      <c r="D1997" t="s">
        <v>27</v>
      </c>
      <c r="E1997" s="208" t="s">
        <v>156</v>
      </c>
      <c r="F1997" t="s">
        <v>14</v>
      </c>
      <c r="G1997" s="18">
        <v>11756</v>
      </c>
      <c r="H1997" t="s">
        <v>17</v>
      </c>
      <c r="I1997" s="151" t="s">
        <v>562</v>
      </c>
    </row>
    <row r="1998" spans="1:9" x14ac:dyDescent="0.25">
      <c r="A1998">
        <v>1805</v>
      </c>
      <c r="B1998">
        <f>A1998+1</f>
        <v>1806</v>
      </c>
      <c r="C1998" t="s">
        <v>511</v>
      </c>
      <c r="D1998" t="s">
        <v>27</v>
      </c>
      <c r="E1998" s="208" t="s">
        <v>154</v>
      </c>
      <c r="F1998" t="s">
        <v>14</v>
      </c>
      <c r="G1998" s="18">
        <v>1184</v>
      </c>
      <c r="H1998" t="s">
        <v>17</v>
      </c>
      <c r="I1998" s="151" t="s">
        <v>562</v>
      </c>
    </row>
    <row r="1999" spans="1:9" x14ac:dyDescent="0.25">
      <c r="A1999">
        <v>1805</v>
      </c>
      <c r="B1999">
        <f>A1999+1</f>
        <v>1806</v>
      </c>
      <c r="C1999" t="s">
        <v>511</v>
      </c>
      <c r="D1999" t="s">
        <v>27</v>
      </c>
      <c r="E1999" s="208" t="s">
        <v>150</v>
      </c>
      <c r="F1999" t="s">
        <v>14</v>
      </c>
      <c r="G1999" s="18">
        <v>42456</v>
      </c>
      <c r="H1999" t="s">
        <v>17</v>
      </c>
      <c r="I1999" s="151" t="s">
        <v>562</v>
      </c>
    </row>
    <row r="2000" spans="1:9" x14ac:dyDescent="0.25">
      <c r="A2000">
        <v>1805</v>
      </c>
      <c r="B2000">
        <f>A2000+1</f>
        <v>1806</v>
      </c>
      <c r="C2000" t="s">
        <v>511</v>
      </c>
      <c r="D2000" t="s">
        <v>27</v>
      </c>
      <c r="E2000" s="208" t="s">
        <v>148</v>
      </c>
      <c r="F2000" t="s">
        <v>14</v>
      </c>
      <c r="G2000" s="18">
        <v>434</v>
      </c>
      <c r="H2000" t="s">
        <v>17</v>
      </c>
      <c r="I2000" s="151" t="s">
        <v>562</v>
      </c>
    </row>
    <row r="2001" spans="1:9" x14ac:dyDescent="0.25">
      <c r="A2001">
        <v>1805</v>
      </c>
      <c r="B2001">
        <f>A2001+1</f>
        <v>1806</v>
      </c>
      <c r="C2001" t="s">
        <v>511</v>
      </c>
      <c r="D2001" t="s">
        <v>27</v>
      </c>
      <c r="E2001" s="208" t="s">
        <v>139</v>
      </c>
      <c r="F2001" t="s">
        <v>14</v>
      </c>
      <c r="G2001" s="18">
        <v>401</v>
      </c>
      <c r="H2001" t="s">
        <v>17</v>
      </c>
      <c r="I2001" s="151" t="s">
        <v>562</v>
      </c>
    </row>
    <row r="2002" spans="1:9" x14ac:dyDescent="0.25">
      <c r="A2002">
        <v>1805</v>
      </c>
      <c r="B2002">
        <f>A2002+1</f>
        <v>1806</v>
      </c>
      <c r="C2002" t="s">
        <v>511</v>
      </c>
      <c r="D2002" t="s">
        <v>27</v>
      </c>
      <c r="E2002" s="208" t="s">
        <v>130</v>
      </c>
      <c r="F2002" t="s">
        <v>14</v>
      </c>
      <c r="G2002" s="18">
        <v>1192</v>
      </c>
      <c r="H2002" t="s">
        <v>17</v>
      </c>
      <c r="I2002" s="151" t="s">
        <v>562</v>
      </c>
    </row>
    <row r="2003" spans="1:9" x14ac:dyDescent="0.25">
      <c r="A2003">
        <v>1805</v>
      </c>
      <c r="B2003">
        <f>A2003+1</f>
        <v>1806</v>
      </c>
      <c r="C2003" t="s">
        <v>511</v>
      </c>
      <c r="D2003" t="s">
        <v>27</v>
      </c>
      <c r="E2003" s="208" t="s">
        <v>132</v>
      </c>
      <c r="F2003" t="s">
        <v>14</v>
      </c>
      <c r="G2003" s="18">
        <v>101</v>
      </c>
      <c r="H2003" t="s">
        <v>17</v>
      </c>
      <c r="I2003" s="151" t="s">
        <v>562</v>
      </c>
    </row>
    <row r="2004" spans="1:9" x14ac:dyDescent="0.25">
      <c r="A2004">
        <v>1805</v>
      </c>
      <c r="B2004">
        <f>A2004+1</f>
        <v>1806</v>
      </c>
      <c r="C2004" t="s">
        <v>511</v>
      </c>
      <c r="D2004" t="s">
        <v>27</v>
      </c>
      <c r="E2004" s="208" t="s">
        <v>142</v>
      </c>
      <c r="F2004" t="s">
        <v>14</v>
      </c>
      <c r="G2004" s="18">
        <v>14029</v>
      </c>
      <c r="H2004" t="s">
        <v>17</v>
      </c>
      <c r="I2004" s="151" t="s">
        <v>562</v>
      </c>
    </row>
    <row r="2005" spans="1:9" x14ac:dyDescent="0.25">
      <c r="A2005">
        <v>1805</v>
      </c>
      <c r="B2005">
        <f>A2005+1</f>
        <v>1806</v>
      </c>
      <c r="C2005" t="s">
        <v>511</v>
      </c>
      <c r="D2005" t="s">
        <v>27</v>
      </c>
      <c r="E2005" s="208" t="s">
        <v>144</v>
      </c>
      <c r="F2005" t="s">
        <v>14</v>
      </c>
      <c r="G2005" s="18">
        <v>399</v>
      </c>
      <c r="H2005" t="s">
        <v>17</v>
      </c>
      <c r="I2005" s="151" t="s">
        <v>562</v>
      </c>
    </row>
    <row r="2006" spans="1:9" x14ac:dyDescent="0.25">
      <c r="A2006">
        <v>1805</v>
      </c>
      <c r="B2006">
        <f>A2006+1</f>
        <v>1806</v>
      </c>
      <c r="C2006" t="s">
        <v>511</v>
      </c>
      <c r="D2006" t="s">
        <v>27</v>
      </c>
      <c r="E2006" s="208" t="s">
        <v>124</v>
      </c>
      <c r="F2006" t="s">
        <v>14</v>
      </c>
      <c r="G2006" s="18">
        <v>7421141</v>
      </c>
      <c r="H2006" t="s">
        <v>17</v>
      </c>
      <c r="I2006" s="151" t="s">
        <v>562</v>
      </c>
    </row>
    <row r="2007" spans="1:9" x14ac:dyDescent="0.25">
      <c r="A2007">
        <v>1805</v>
      </c>
      <c r="B2007">
        <f>A2007+1</f>
        <v>1806</v>
      </c>
      <c r="C2007" t="s">
        <v>511</v>
      </c>
      <c r="D2007" t="s">
        <v>26</v>
      </c>
      <c r="E2007" s="208" t="s">
        <v>62</v>
      </c>
      <c r="F2007" t="s">
        <v>14</v>
      </c>
      <c r="G2007" s="18">
        <v>105</v>
      </c>
      <c r="H2007" s="151" t="s">
        <v>563</v>
      </c>
      <c r="I2007" t="s">
        <v>17</v>
      </c>
    </row>
    <row r="2008" spans="1:9" x14ac:dyDescent="0.25">
      <c r="A2008">
        <v>1805</v>
      </c>
      <c r="B2008">
        <f>A2008+1</f>
        <v>1806</v>
      </c>
      <c r="C2008" t="s">
        <v>511</v>
      </c>
      <c r="D2008" t="s">
        <v>26</v>
      </c>
      <c r="E2008" s="208" t="s">
        <v>58</v>
      </c>
      <c r="F2008" t="s">
        <v>14</v>
      </c>
      <c r="G2008" s="18">
        <v>34</v>
      </c>
      <c r="H2008" s="151" t="s">
        <v>563</v>
      </c>
      <c r="I2008" t="s">
        <v>17</v>
      </c>
    </row>
    <row r="2009" spans="1:9" x14ac:dyDescent="0.25">
      <c r="A2009">
        <v>1805</v>
      </c>
      <c r="B2009">
        <f>A2009+1</f>
        <v>1806</v>
      </c>
      <c r="C2009" t="s">
        <v>511</v>
      </c>
      <c r="D2009" t="s">
        <v>26</v>
      </c>
      <c r="E2009" s="208" t="s">
        <v>57</v>
      </c>
      <c r="F2009" t="s">
        <v>14</v>
      </c>
      <c r="G2009" s="18">
        <v>9085</v>
      </c>
      <c r="H2009" s="151" t="s">
        <v>563</v>
      </c>
      <c r="I2009" t="s">
        <v>17</v>
      </c>
    </row>
    <row r="2010" spans="1:9" x14ac:dyDescent="0.25">
      <c r="A2010">
        <v>1805</v>
      </c>
      <c r="B2010">
        <f>A2010+1</f>
        <v>1806</v>
      </c>
      <c r="C2010" t="s">
        <v>511</v>
      </c>
      <c r="D2010" t="s">
        <v>26</v>
      </c>
      <c r="E2010" s="208" t="s">
        <v>35</v>
      </c>
      <c r="F2010" t="s">
        <v>14</v>
      </c>
      <c r="G2010" s="18">
        <v>75</v>
      </c>
      <c r="H2010" s="151" t="s">
        <v>563</v>
      </c>
      <c r="I2010" t="s">
        <v>17</v>
      </c>
    </row>
    <row r="2011" spans="1:9" x14ac:dyDescent="0.25">
      <c r="A2011">
        <v>1805</v>
      </c>
      <c r="B2011">
        <f>A2011+1</f>
        <v>1806</v>
      </c>
      <c r="C2011" t="s">
        <v>511</v>
      </c>
      <c r="D2011" t="s">
        <v>26</v>
      </c>
      <c r="E2011" s="208" t="s">
        <v>36</v>
      </c>
      <c r="F2011" t="s">
        <v>14</v>
      </c>
      <c r="G2011" s="18">
        <v>1981</v>
      </c>
      <c r="H2011" s="151" t="s">
        <v>563</v>
      </c>
      <c r="I2011" t="s">
        <v>17</v>
      </c>
    </row>
    <row r="2012" spans="1:9" x14ac:dyDescent="0.25">
      <c r="A2012">
        <v>1805</v>
      </c>
      <c r="B2012">
        <f>A2012+1</f>
        <v>1806</v>
      </c>
      <c r="C2012" t="s">
        <v>511</v>
      </c>
      <c r="D2012" t="s">
        <v>26</v>
      </c>
      <c r="E2012" s="208" t="s">
        <v>39</v>
      </c>
      <c r="F2012" t="s">
        <v>14</v>
      </c>
      <c r="G2012" s="18">
        <v>1172</v>
      </c>
      <c r="H2012" s="151" t="s">
        <v>563</v>
      </c>
      <c r="I2012" t="s">
        <v>17</v>
      </c>
    </row>
    <row r="2013" spans="1:9" x14ac:dyDescent="0.25">
      <c r="A2013">
        <v>1805</v>
      </c>
      <c r="B2013">
        <f>A2013+1</f>
        <v>1806</v>
      </c>
      <c r="C2013" t="s">
        <v>511</v>
      </c>
      <c r="D2013" t="s">
        <v>26</v>
      </c>
      <c r="E2013" s="208" t="s">
        <v>99</v>
      </c>
      <c r="F2013" t="s">
        <v>14</v>
      </c>
      <c r="G2013" s="18">
        <v>432</v>
      </c>
      <c r="H2013" s="151" t="s">
        <v>563</v>
      </c>
      <c r="I2013" t="s">
        <v>17</v>
      </c>
    </row>
    <row r="2014" spans="1:9" x14ac:dyDescent="0.25">
      <c r="A2014">
        <v>1805</v>
      </c>
      <c r="B2014">
        <f>A2014+1</f>
        <v>1806</v>
      </c>
      <c r="C2014" t="s">
        <v>511</v>
      </c>
      <c r="D2014" t="s">
        <v>26</v>
      </c>
      <c r="E2014" s="208" t="s">
        <v>28</v>
      </c>
      <c r="F2014" t="s">
        <v>14</v>
      </c>
      <c r="G2014" s="18">
        <v>462</v>
      </c>
      <c r="H2014" s="151" t="s">
        <v>563</v>
      </c>
      <c r="I2014" t="s">
        <v>17</v>
      </c>
    </row>
    <row r="2015" spans="1:9" x14ac:dyDescent="0.25">
      <c r="A2015">
        <v>1805</v>
      </c>
      <c r="B2015">
        <f>A2015+1</f>
        <v>1806</v>
      </c>
      <c r="C2015" t="s">
        <v>511</v>
      </c>
      <c r="D2015" t="s">
        <v>26</v>
      </c>
      <c r="E2015" s="208" t="s">
        <v>89</v>
      </c>
      <c r="F2015" t="s">
        <v>14</v>
      </c>
      <c r="G2015" s="18">
        <v>28</v>
      </c>
      <c r="H2015" s="151" t="s">
        <v>563</v>
      </c>
      <c r="I2015" t="s">
        <v>17</v>
      </c>
    </row>
    <row r="2016" spans="1:9" x14ac:dyDescent="0.25">
      <c r="A2016">
        <v>1805</v>
      </c>
      <c r="B2016">
        <f>A2016+1</f>
        <v>1806</v>
      </c>
      <c r="C2016" t="s">
        <v>511</v>
      </c>
      <c r="D2016" t="s">
        <v>26</v>
      </c>
      <c r="E2016" s="208" t="s">
        <v>45</v>
      </c>
      <c r="F2016" t="s">
        <v>14</v>
      </c>
      <c r="G2016" s="18">
        <v>56</v>
      </c>
      <c r="H2016" s="151" t="s">
        <v>563</v>
      </c>
      <c r="I2016" t="s">
        <v>17</v>
      </c>
    </row>
    <row r="2017" spans="1:9" x14ac:dyDescent="0.25">
      <c r="A2017">
        <v>1805</v>
      </c>
      <c r="B2017">
        <f>A2017+1</f>
        <v>1806</v>
      </c>
      <c r="C2017" t="s">
        <v>511</v>
      </c>
      <c r="D2017" t="s">
        <v>26</v>
      </c>
      <c r="E2017" s="208" t="s">
        <v>53</v>
      </c>
      <c r="F2017" t="s">
        <v>14</v>
      </c>
      <c r="G2017" s="18">
        <v>772</v>
      </c>
      <c r="H2017" s="151" t="s">
        <v>563</v>
      </c>
      <c r="I2017" t="s">
        <v>17</v>
      </c>
    </row>
    <row r="2018" spans="1:9" x14ac:dyDescent="0.25">
      <c r="A2018">
        <v>1805</v>
      </c>
      <c r="B2018">
        <f>A2018+1</f>
        <v>1806</v>
      </c>
      <c r="C2018" t="s">
        <v>511</v>
      </c>
      <c r="D2018" t="s">
        <v>26</v>
      </c>
      <c r="E2018" s="208" t="s">
        <v>339</v>
      </c>
      <c r="F2018" t="s">
        <v>14</v>
      </c>
      <c r="G2018" s="18">
        <v>120</v>
      </c>
      <c r="H2018" s="151" t="s">
        <v>563</v>
      </c>
      <c r="I2018" t="s">
        <v>17</v>
      </c>
    </row>
    <row r="2019" spans="1:9" x14ac:dyDescent="0.25">
      <c r="A2019">
        <v>1805</v>
      </c>
      <c r="B2019">
        <f>A2019+1</f>
        <v>1806</v>
      </c>
      <c r="C2019" t="s">
        <v>511</v>
      </c>
      <c r="D2019" t="s">
        <v>26</v>
      </c>
      <c r="E2019" s="208" t="s">
        <v>340</v>
      </c>
      <c r="F2019" t="s">
        <v>14</v>
      </c>
      <c r="G2019" s="18">
        <v>44954</v>
      </c>
      <c r="H2019" s="151" t="s">
        <v>563</v>
      </c>
      <c r="I2019" t="s">
        <v>17</v>
      </c>
    </row>
    <row r="2020" spans="1:9" x14ac:dyDescent="0.25">
      <c r="A2020">
        <v>1805</v>
      </c>
      <c r="B2020">
        <f>A2020+1</f>
        <v>1806</v>
      </c>
      <c r="C2020" t="s">
        <v>511</v>
      </c>
      <c r="D2020" t="s">
        <v>26</v>
      </c>
      <c r="E2020" s="208" t="s">
        <v>75</v>
      </c>
      <c r="F2020" t="s">
        <v>14</v>
      </c>
      <c r="G2020" s="18">
        <v>4691469</v>
      </c>
      <c r="H2020" s="151" t="s">
        <v>563</v>
      </c>
      <c r="I2020" t="s">
        <v>17</v>
      </c>
    </row>
    <row r="2021" spans="1:9" x14ac:dyDescent="0.25">
      <c r="A2021">
        <v>1805</v>
      </c>
      <c r="B2021">
        <f>A2021+1</f>
        <v>1806</v>
      </c>
      <c r="C2021" t="s">
        <v>511</v>
      </c>
      <c r="D2021" t="s">
        <v>26</v>
      </c>
      <c r="E2021" s="208" t="s">
        <v>107</v>
      </c>
      <c r="F2021" t="s">
        <v>14</v>
      </c>
      <c r="G2021" s="18">
        <v>9034191</v>
      </c>
      <c r="H2021" s="151" t="s">
        <v>563</v>
      </c>
      <c r="I2021" t="s">
        <v>17</v>
      </c>
    </row>
    <row r="2022" spans="1:9" x14ac:dyDescent="0.25">
      <c r="A2022">
        <v>1805</v>
      </c>
      <c r="B2022">
        <f>A2022+1</f>
        <v>1806</v>
      </c>
      <c r="C2022" t="s">
        <v>511</v>
      </c>
      <c r="D2022" t="s">
        <v>26</v>
      </c>
      <c r="E2022" s="208" t="s">
        <v>101</v>
      </c>
      <c r="F2022" t="s">
        <v>14</v>
      </c>
      <c r="G2022" s="18">
        <v>5988420</v>
      </c>
      <c r="H2022" s="151" t="s">
        <v>563</v>
      </c>
      <c r="I2022" t="s">
        <v>17</v>
      </c>
    </row>
    <row r="2023" spans="1:9" x14ac:dyDescent="0.25">
      <c r="A2023">
        <v>1805</v>
      </c>
      <c r="B2023">
        <f>A2023+1</f>
        <v>1806</v>
      </c>
      <c r="C2023" t="s">
        <v>511</v>
      </c>
      <c r="D2023" t="s">
        <v>26</v>
      </c>
      <c r="E2023" s="208" t="s">
        <v>65</v>
      </c>
      <c r="F2023" t="s">
        <v>14</v>
      </c>
      <c r="G2023" s="18">
        <v>34264</v>
      </c>
      <c r="H2023" s="151" t="s">
        <v>563</v>
      </c>
      <c r="I2023" t="s">
        <v>17</v>
      </c>
    </row>
    <row r="2024" spans="1:9" x14ac:dyDescent="0.25">
      <c r="A2024">
        <v>1805</v>
      </c>
      <c r="B2024">
        <f>A2024+1</f>
        <v>1806</v>
      </c>
      <c r="C2024" t="s">
        <v>511</v>
      </c>
      <c r="D2024" t="s">
        <v>26</v>
      </c>
      <c r="E2024" s="208" t="s">
        <v>330</v>
      </c>
      <c r="F2024" t="s">
        <v>14</v>
      </c>
      <c r="G2024" s="18">
        <v>66</v>
      </c>
      <c r="H2024" s="151" t="s">
        <v>563</v>
      </c>
      <c r="I2024" t="s">
        <v>17</v>
      </c>
    </row>
    <row r="2025" spans="1:9" x14ac:dyDescent="0.25">
      <c r="A2025">
        <v>1805</v>
      </c>
      <c r="B2025">
        <f>A2025+1</f>
        <v>1806</v>
      </c>
      <c r="C2025" t="s">
        <v>511</v>
      </c>
      <c r="D2025" t="s">
        <v>26</v>
      </c>
      <c r="E2025" s="208" t="s">
        <v>331</v>
      </c>
      <c r="F2025" t="s">
        <v>14</v>
      </c>
      <c r="G2025" s="18">
        <v>192</v>
      </c>
      <c r="H2025" s="151" t="s">
        <v>563</v>
      </c>
      <c r="I2025" t="s">
        <v>17</v>
      </c>
    </row>
    <row r="2026" spans="1:9" x14ac:dyDescent="0.25">
      <c r="A2026">
        <v>1805</v>
      </c>
      <c r="B2026">
        <f>A2026+1</f>
        <v>1806</v>
      </c>
      <c r="C2026" t="s">
        <v>511</v>
      </c>
      <c r="D2026" t="s">
        <v>26</v>
      </c>
      <c r="E2026" s="208" t="s">
        <v>332</v>
      </c>
      <c r="F2026" t="s">
        <v>14</v>
      </c>
      <c r="G2026" s="18">
        <v>9</v>
      </c>
      <c r="H2026" s="151" t="s">
        <v>563</v>
      </c>
      <c r="I2026" t="s">
        <v>17</v>
      </c>
    </row>
    <row r="2027" spans="1:9" x14ac:dyDescent="0.25">
      <c r="A2027">
        <v>1805</v>
      </c>
      <c r="B2027">
        <f>A2027+1</f>
        <v>1806</v>
      </c>
      <c r="C2027" t="s">
        <v>511</v>
      </c>
      <c r="D2027" t="s">
        <v>26</v>
      </c>
      <c r="E2027" s="208" t="s">
        <v>333</v>
      </c>
      <c r="F2027" t="s">
        <v>14</v>
      </c>
      <c r="G2027" s="18">
        <v>327</v>
      </c>
      <c r="H2027" s="151" t="s">
        <v>563</v>
      </c>
      <c r="I2027" t="s">
        <v>17</v>
      </c>
    </row>
    <row r="2028" spans="1:9" x14ac:dyDescent="0.25">
      <c r="A2028">
        <v>1805</v>
      </c>
      <c r="B2028">
        <f>A2028+1</f>
        <v>1806</v>
      </c>
      <c r="C2028" t="s">
        <v>511</v>
      </c>
      <c r="D2028" t="s">
        <v>27</v>
      </c>
      <c r="E2028" s="208" t="s">
        <v>155</v>
      </c>
      <c r="F2028" t="s">
        <v>15</v>
      </c>
      <c r="G2028" s="18">
        <v>133996</v>
      </c>
      <c r="H2028" t="s">
        <v>561</v>
      </c>
      <c r="I2028" s="151" t="s">
        <v>562</v>
      </c>
    </row>
    <row r="2029" spans="1:9" x14ac:dyDescent="0.25">
      <c r="A2029">
        <v>1805</v>
      </c>
      <c r="B2029">
        <f>A2029+1</f>
        <v>1806</v>
      </c>
      <c r="C2029" t="s">
        <v>511</v>
      </c>
      <c r="D2029" t="s">
        <v>27</v>
      </c>
      <c r="E2029" s="208" t="s">
        <v>156</v>
      </c>
      <c r="F2029" t="s">
        <v>15</v>
      </c>
      <c r="G2029" s="18">
        <v>18237</v>
      </c>
      <c r="H2029" t="s">
        <v>561</v>
      </c>
      <c r="I2029" s="151" t="s">
        <v>562</v>
      </c>
    </row>
    <row r="2030" spans="1:9" x14ac:dyDescent="0.25">
      <c r="A2030">
        <v>1805</v>
      </c>
      <c r="B2030">
        <f>A2030+1</f>
        <v>1806</v>
      </c>
      <c r="C2030" t="s">
        <v>511</v>
      </c>
      <c r="D2030" t="s">
        <v>27</v>
      </c>
      <c r="E2030" s="208" t="s">
        <v>154</v>
      </c>
      <c r="F2030" t="s">
        <v>15</v>
      </c>
      <c r="G2030" s="18">
        <v>3579</v>
      </c>
      <c r="H2030" t="s">
        <v>561</v>
      </c>
      <c r="I2030" s="151" t="s">
        <v>562</v>
      </c>
    </row>
    <row r="2031" spans="1:9" x14ac:dyDescent="0.25">
      <c r="A2031">
        <v>1805</v>
      </c>
      <c r="B2031">
        <f>A2031+1</f>
        <v>1806</v>
      </c>
      <c r="C2031" t="s">
        <v>511</v>
      </c>
      <c r="D2031" t="s">
        <v>27</v>
      </c>
      <c r="E2031" s="208" t="s">
        <v>150</v>
      </c>
      <c r="F2031" t="s">
        <v>15</v>
      </c>
      <c r="G2031" s="18">
        <v>58191</v>
      </c>
      <c r="H2031" t="s">
        <v>561</v>
      </c>
      <c r="I2031" s="151" t="s">
        <v>562</v>
      </c>
    </row>
    <row r="2032" spans="1:9" x14ac:dyDescent="0.25">
      <c r="A2032">
        <v>1805</v>
      </c>
      <c r="B2032">
        <f>A2032+1</f>
        <v>1806</v>
      </c>
      <c r="C2032" t="s">
        <v>511</v>
      </c>
      <c r="D2032" t="s">
        <v>27</v>
      </c>
      <c r="E2032" s="208" t="s">
        <v>148</v>
      </c>
      <c r="F2032" t="s">
        <v>15</v>
      </c>
      <c r="G2032" s="18">
        <v>1178</v>
      </c>
      <c r="H2032" t="s">
        <v>561</v>
      </c>
      <c r="I2032" s="151" t="s">
        <v>562</v>
      </c>
    </row>
    <row r="2033" spans="1:9" x14ac:dyDescent="0.25">
      <c r="A2033">
        <v>1805</v>
      </c>
      <c r="B2033">
        <f>A2033+1</f>
        <v>1806</v>
      </c>
      <c r="C2033" t="s">
        <v>511</v>
      </c>
      <c r="D2033" t="s">
        <v>27</v>
      </c>
      <c r="E2033" s="208" t="s">
        <v>139</v>
      </c>
      <c r="F2033" t="s">
        <v>15</v>
      </c>
      <c r="G2033" s="18">
        <v>499</v>
      </c>
      <c r="H2033" t="s">
        <v>561</v>
      </c>
      <c r="I2033" s="151" t="s">
        <v>562</v>
      </c>
    </row>
    <row r="2034" spans="1:9" x14ac:dyDescent="0.25">
      <c r="A2034">
        <v>1805</v>
      </c>
      <c r="B2034">
        <f>A2034+1</f>
        <v>1806</v>
      </c>
      <c r="C2034" t="s">
        <v>511</v>
      </c>
      <c r="D2034" t="s">
        <v>27</v>
      </c>
      <c r="E2034" s="208" t="s">
        <v>130</v>
      </c>
      <c r="F2034" t="s">
        <v>15</v>
      </c>
      <c r="G2034" s="18">
        <v>1818</v>
      </c>
      <c r="H2034" t="s">
        <v>561</v>
      </c>
      <c r="I2034" s="151" t="s">
        <v>562</v>
      </c>
    </row>
    <row r="2035" spans="1:9" x14ac:dyDescent="0.25">
      <c r="A2035">
        <v>1805</v>
      </c>
      <c r="B2035">
        <f>A2035+1</f>
        <v>1806</v>
      </c>
      <c r="C2035" t="s">
        <v>511</v>
      </c>
      <c r="D2035" t="s">
        <v>27</v>
      </c>
      <c r="E2035" s="208" t="s">
        <v>132</v>
      </c>
      <c r="F2035" t="s">
        <v>15</v>
      </c>
      <c r="G2035" s="18">
        <v>485</v>
      </c>
      <c r="H2035" t="s">
        <v>561</v>
      </c>
      <c r="I2035" s="151" t="s">
        <v>562</v>
      </c>
    </row>
    <row r="2036" spans="1:9" x14ac:dyDescent="0.25">
      <c r="A2036">
        <v>1805</v>
      </c>
      <c r="B2036">
        <f>A2036+1</f>
        <v>1806</v>
      </c>
      <c r="C2036" t="s">
        <v>511</v>
      </c>
      <c r="D2036" t="s">
        <v>27</v>
      </c>
      <c r="E2036" s="208" t="s">
        <v>142</v>
      </c>
      <c r="F2036" t="s">
        <v>15</v>
      </c>
      <c r="G2036" s="18">
        <v>19534</v>
      </c>
      <c r="H2036" t="s">
        <v>561</v>
      </c>
      <c r="I2036" s="151" t="s">
        <v>562</v>
      </c>
    </row>
    <row r="2037" spans="1:9" x14ac:dyDescent="0.25">
      <c r="A2037">
        <v>1805</v>
      </c>
      <c r="B2037">
        <f>A2037+1</f>
        <v>1806</v>
      </c>
      <c r="C2037" t="s">
        <v>511</v>
      </c>
      <c r="D2037" t="s">
        <v>27</v>
      </c>
      <c r="E2037" s="208" t="s">
        <v>144</v>
      </c>
      <c r="F2037" t="s">
        <v>15</v>
      </c>
      <c r="G2037" s="18">
        <v>1094</v>
      </c>
      <c r="H2037" t="s">
        <v>561</v>
      </c>
      <c r="I2037" s="151" t="s">
        <v>562</v>
      </c>
    </row>
    <row r="2038" spans="1:9" x14ac:dyDescent="0.25">
      <c r="A2038">
        <v>1805</v>
      </c>
      <c r="B2038">
        <f>A2038+1</f>
        <v>1806</v>
      </c>
      <c r="C2038" t="s">
        <v>511</v>
      </c>
      <c r="D2038" t="s">
        <v>27</v>
      </c>
      <c r="E2038" s="208" t="s">
        <v>124</v>
      </c>
      <c r="F2038" t="s">
        <v>15</v>
      </c>
      <c r="G2038" s="18">
        <v>29298036</v>
      </c>
      <c r="H2038" t="s">
        <v>561</v>
      </c>
      <c r="I2038" s="151" t="s">
        <v>562</v>
      </c>
    </row>
    <row r="2039" spans="1:9" x14ac:dyDescent="0.25">
      <c r="A2039">
        <v>1805</v>
      </c>
      <c r="B2039">
        <f>A2039+1</f>
        <v>1806</v>
      </c>
      <c r="C2039" t="s">
        <v>511</v>
      </c>
      <c r="D2039" t="s">
        <v>26</v>
      </c>
      <c r="E2039" s="208" t="s">
        <v>62</v>
      </c>
      <c r="F2039" t="s">
        <v>15</v>
      </c>
      <c r="G2039" s="18">
        <v>148</v>
      </c>
      <c r="H2039" s="151" t="s">
        <v>563</v>
      </c>
      <c r="I2039" t="s">
        <v>561</v>
      </c>
    </row>
    <row r="2040" spans="1:9" x14ac:dyDescent="0.25">
      <c r="A2040">
        <v>1805</v>
      </c>
      <c r="B2040">
        <f>A2040+1</f>
        <v>1806</v>
      </c>
      <c r="C2040" t="s">
        <v>511</v>
      </c>
      <c r="D2040" t="s">
        <v>26</v>
      </c>
      <c r="E2040" s="208" t="s">
        <v>58</v>
      </c>
      <c r="F2040" t="s">
        <v>15</v>
      </c>
      <c r="G2040" s="18">
        <v>120</v>
      </c>
      <c r="H2040" s="151" t="s">
        <v>563</v>
      </c>
      <c r="I2040" t="s">
        <v>561</v>
      </c>
    </row>
    <row r="2041" spans="1:9" x14ac:dyDescent="0.25">
      <c r="A2041">
        <v>1805</v>
      </c>
      <c r="B2041">
        <f>A2041+1</f>
        <v>1806</v>
      </c>
      <c r="C2041" t="s">
        <v>511</v>
      </c>
      <c r="D2041" t="s">
        <v>26</v>
      </c>
      <c r="E2041" s="208" t="s">
        <v>57</v>
      </c>
      <c r="F2041" t="s">
        <v>15</v>
      </c>
      <c r="G2041" s="18">
        <v>51911</v>
      </c>
      <c r="H2041" s="151" t="s">
        <v>563</v>
      </c>
      <c r="I2041" t="s">
        <v>561</v>
      </c>
    </row>
    <row r="2042" spans="1:9" x14ac:dyDescent="0.25">
      <c r="A2042">
        <v>1805</v>
      </c>
      <c r="B2042">
        <f>A2042+1</f>
        <v>1806</v>
      </c>
      <c r="C2042" t="s">
        <v>511</v>
      </c>
      <c r="D2042" t="s">
        <v>26</v>
      </c>
      <c r="E2042" s="208" t="s">
        <v>35</v>
      </c>
      <c r="F2042" t="s">
        <v>15</v>
      </c>
      <c r="G2042" s="18">
        <v>8423</v>
      </c>
      <c r="H2042" s="151" t="s">
        <v>563</v>
      </c>
      <c r="I2042" t="s">
        <v>561</v>
      </c>
    </row>
    <row r="2043" spans="1:9" x14ac:dyDescent="0.25">
      <c r="A2043">
        <v>1805</v>
      </c>
      <c r="B2043">
        <f>A2043+1</f>
        <v>1806</v>
      </c>
      <c r="C2043" t="s">
        <v>511</v>
      </c>
      <c r="D2043" t="s">
        <v>26</v>
      </c>
      <c r="E2043" s="208" t="s">
        <v>36</v>
      </c>
      <c r="F2043" t="s">
        <v>15</v>
      </c>
      <c r="G2043" s="18">
        <v>4610</v>
      </c>
      <c r="H2043" s="151" t="s">
        <v>563</v>
      </c>
      <c r="I2043" t="s">
        <v>561</v>
      </c>
    </row>
    <row r="2044" spans="1:9" x14ac:dyDescent="0.25">
      <c r="A2044">
        <v>1805</v>
      </c>
      <c r="B2044">
        <f>A2044+1</f>
        <v>1806</v>
      </c>
      <c r="C2044" t="s">
        <v>511</v>
      </c>
      <c r="D2044" t="s">
        <v>26</v>
      </c>
      <c r="E2044" s="208" t="s">
        <v>39</v>
      </c>
      <c r="F2044" t="s">
        <v>15</v>
      </c>
      <c r="G2044" s="18">
        <v>4049</v>
      </c>
      <c r="H2044" s="151" t="s">
        <v>563</v>
      </c>
      <c r="I2044" t="s">
        <v>561</v>
      </c>
    </row>
    <row r="2045" spans="1:9" x14ac:dyDescent="0.25">
      <c r="A2045">
        <v>1805</v>
      </c>
      <c r="B2045">
        <f>A2045+1</f>
        <v>1806</v>
      </c>
      <c r="C2045" t="s">
        <v>511</v>
      </c>
      <c r="D2045" t="s">
        <v>26</v>
      </c>
      <c r="E2045" s="208" t="s">
        <v>99</v>
      </c>
      <c r="F2045" t="s">
        <v>15</v>
      </c>
      <c r="G2045" s="18">
        <v>2128</v>
      </c>
      <c r="H2045" s="151" t="s">
        <v>563</v>
      </c>
      <c r="I2045" t="s">
        <v>561</v>
      </c>
    </row>
    <row r="2046" spans="1:9" x14ac:dyDescent="0.25">
      <c r="A2046">
        <v>1805</v>
      </c>
      <c r="B2046">
        <f>A2046+1</f>
        <v>1806</v>
      </c>
      <c r="C2046" t="s">
        <v>511</v>
      </c>
      <c r="D2046" t="s">
        <v>26</v>
      </c>
      <c r="E2046" s="208" t="s">
        <v>28</v>
      </c>
      <c r="F2046" t="s">
        <v>15</v>
      </c>
      <c r="G2046" s="18">
        <v>626</v>
      </c>
      <c r="H2046" s="151" t="s">
        <v>563</v>
      </c>
      <c r="I2046" t="s">
        <v>561</v>
      </c>
    </row>
    <row r="2047" spans="1:9" x14ac:dyDescent="0.25">
      <c r="A2047">
        <v>1805</v>
      </c>
      <c r="B2047">
        <f>A2047+1</f>
        <v>1806</v>
      </c>
      <c r="C2047" t="s">
        <v>511</v>
      </c>
      <c r="D2047" t="s">
        <v>26</v>
      </c>
      <c r="E2047" s="208" t="s">
        <v>89</v>
      </c>
      <c r="F2047" t="s">
        <v>15</v>
      </c>
      <c r="G2047" s="18">
        <v>41</v>
      </c>
      <c r="H2047" s="151" t="s">
        <v>563</v>
      </c>
      <c r="I2047" t="s">
        <v>561</v>
      </c>
    </row>
    <row r="2048" spans="1:9" x14ac:dyDescent="0.25">
      <c r="A2048">
        <v>1805</v>
      </c>
      <c r="B2048">
        <f>A2048+1</f>
        <v>1806</v>
      </c>
      <c r="C2048" t="s">
        <v>511</v>
      </c>
      <c r="D2048" t="s">
        <v>26</v>
      </c>
      <c r="E2048" s="208" t="s">
        <v>45</v>
      </c>
      <c r="F2048" t="s">
        <v>15</v>
      </c>
      <c r="G2048" s="18">
        <v>173</v>
      </c>
      <c r="H2048" s="151" t="s">
        <v>563</v>
      </c>
      <c r="I2048" t="s">
        <v>561</v>
      </c>
    </row>
    <row r="2049" spans="1:9" x14ac:dyDescent="0.25">
      <c r="A2049">
        <v>1805</v>
      </c>
      <c r="B2049">
        <f>A2049+1</f>
        <v>1806</v>
      </c>
      <c r="C2049" t="s">
        <v>511</v>
      </c>
      <c r="D2049" t="s">
        <v>26</v>
      </c>
      <c r="E2049" s="208" t="s">
        <v>53</v>
      </c>
      <c r="F2049" t="s">
        <v>15</v>
      </c>
      <c r="G2049" s="18">
        <v>928</v>
      </c>
      <c r="H2049" s="151" t="s">
        <v>563</v>
      </c>
      <c r="I2049" t="s">
        <v>561</v>
      </c>
    </row>
    <row r="2050" spans="1:9" x14ac:dyDescent="0.25">
      <c r="A2050">
        <v>1805</v>
      </c>
      <c r="B2050">
        <f>A2050+1</f>
        <v>1806</v>
      </c>
      <c r="C2050" t="s">
        <v>511</v>
      </c>
      <c r="D2050" t="s">
        <v>26</v>
      </c>
      <c r="E2050" s="208" t="s">
        <v>339</v>
      </c>
      <c r="F2050" t="s">
        <v>15</v>
      </c>
      <c r="G2050" s="18">
        <v>420</v>
      </c>
      <c r="H2050" s="151" t="s">
        <v>563</v>
      </c>
      <c r="I2050" t="s">
        <v>561</v>
      </c>
    </row>
    <row r="2051" spans="1:9" x14ac:dyDescent="0.25">
      <c r="A2051">
        <v>1805</v>
      </c>
      <c r="B2051">
        <f>A2051+1</f>
        <v>1806</v>
      </c>
      <c r="C2051" t="s">
        <v>511</v>
      </c>
      <c r="D2051" t="s">
        <v>26</v>
      </c>
      <c r="E2051" s="208" t="s">
        <v>340</v>
      </c>
      <c r="F2051" t="s">
        <v>15</v>
      </c>
      <c r="G2051" s="18">
        <v>90109</v>
      </c>
      <c r="H2051" s="151" t="s">
        <v>563</v>
      </c>
      <c r="I2051" t="s">
        <v>561</v>
      </c>
    </row>
    <row r="2052" spans="1:9" x14ac:dyDescent="0.25">
      <c r="A2052">
        <v>1805</v>
      </c>
      <c r="B2052">
        <f>A2052+1</f>
        <v>1806</v>
      </c>
      <c r="C2052" t="s">
        <v>511</v>
      </c>
      <c r="D2052" t="s">
        <v>26</v>
      </c>
      <c r="E2052" s="208" t="s">
        <v>75</v>
      </c>
      <c r="F2052" t="s">
        <v>15</v>
      </c>
      <c r="G2052" s="18">
        <v>11135369</v>
      </c>
      <c r="H2052" s="151" t="s">
        <v>563</v>
      </c>
      <c r="I2052" t="s">
        <v>561</v>
      </c>
    </row>
    <row r="2053" spans="1:9" x14ac:dyDescent="0.25">
      <c r="A2053">
        <v>1805</v>
      </c>
      <c r="B2053">
        <f>A2053+1</f>
        <v>1806</v>
      </c>
      <c r="C2053" t="s">
        <v>511</v>
      </c>
      <c r="D2053" t="s">
        <v>26</v>
      </c>
      <c r="E2053" s="208" t="s">
        <v>107</v>
      </c>
      <c r="F2053" t="s">
        <v>15</v>
      </c>
      <c r="G2053" s="18">
        <v>15635616</v>
      </c>
      <c r="H2053" s="151" t="s">
        <v>563</v>
      </c>
      <c r="I2053" t="s">
        <v>561</v>
      </c>
    </row>
    <row r="2054" spans="1:9" x14ac:dyDescent="0.25">
      <c r="A2054">
        <v>1805</v>
      </c>
      <c r="B2054">
        <f>A2054+1</f>
        <v>1806</v>
      </c>
      <c r="C2054" t="s">
        <v>511</v>
      </c>
      <c r="D2054" t="s">
        <v>26</v>
      </c>
      <c r="E2054" s="208" t="s">
        <v>101</v>
      </c>
      <c r="F2054" t="s">
        <v>15</v>
      </c>
      <c r="G2054" s="18">
        <v>17007287</v>
      </c>
      <c r="H2054" s="151" t="s">
        <v>563</v>
      </c>
      <c r="I2054" t="s">
        <v>561</v>
      </c>
    </row>
    <row r="2055" spans="1:9" x14ac:dyDescent="0.25">
      <c r="A2055">
        <v>1805</v>
      </c>
      <c r="B2055">
        <f>A2055+1</f>
        <v>1806</v>
      </c>
      <c r="C2055" t="s">
        <v>511</v>
      </c>
      <c r="D2055" t="s">
        <v>26</v>
      </c>
      <c r="E2055" s="208" t="s">
        <v>65</v>
      </c>
      <c r="F2055" t="s">
        <v>15</v>
      </c>
      <c r="G2055" s="18">
        <v>47091</v>
      </c>
      <c r="H2055" s="151" t="s">
        <v>563</v>
      </c>
      <c r="I2055" t="s">
        <v>561</v>
      </c>
    </row>
    <row r="2056" spans="1:9" x14ac:dyDescent="0.25">
      <c r="A2056">
        <v>1805</v>
      </c>
      <c r="B2056">
        <f>A2056+1</f>
        <v>1806</v>
      </c>
      <c r="C2056" t="s">
        <v>511</v>
      </c>
      <c r="D2056" t="s">
        <v>26</v>
      </c>
      <c r="E2056" s="208" t="s">
        <v>330</v>
      </c>
      <c r="F2056" t="s">
        <v>15</v>
      </c>
      <c r="G2056" s="18">
        <v>1347</v>
      </c>
      <c r="H2056" s="151" t="s">
        <v>563</v>
      </c>
      <c r="I2056" t="s">
        <v>561</v>
      </c>
    </row>
    <row r="2057" spans="1:9" x14ac:dyDescent="0.25">
      <c r="A2057">
        <v>1805</v>
      </c>
      <c r="B2057">
        <f>A2057+1</f>
        <v>1806</v>
      </c>
      <c r="C2057" t="s">
        <v>511</v>
      </c>
      <c r="D2057" t="s">
        <v>26</v>
      </c>
      <c r="E2057" s="208" t="s">
        <v>331</v>
      </c>
      <c r="F2057" t="s">
        <v>15</v>
      </c>
      <c r="G2057" s="18">
        <v>3082</v>
      </c>
      <c r="H2057" s="151" t="s">
        <v>563</v>
      </c>
      <c r="I2057" t="s">
        <v>561</v>
      </c>
    </row>
    <row r="2058" spans="1:9" x14ac:dyDescent="0.25">
      <c r="A2058">
        <v>1805</v>
      </c>
      <c r="B2058">
        <f>A2058+1</f>
        <v>1806</v>
      </c>
      <c r="C2058" t="s">
        <v>511</v>
      </c>
      <c r="D2058" t="s">
        <v>26</v>
      </c>
      <c r="E2058" s="208" t="s">
        <v>332</v>
      </c>
      <c r="F2058" t="s">
        <v>15</v>
      </c>
      <c r="G2058" s="18">
        <v>230</v>
      </c>
      <c r="H2058" s="151" t="s">
        <v>563</v>
      </c>
      <c r="I2058" t="s">
        <v>561</v>
      </c>
    </row>
    <row r="2059" spans="1:9" x14ac:dyDescent="0.25">
      <c r="A2059">
        <v>1805</v>
      </c>
      <c r="B2059">
        <f>A2059+1</f>
        <v>1806</v>
      </c>
      <c r="C2059" t="s">
        <v>511</v>
      </c>
      <c r="D2059" t="s">
        <v>26</v>
      </c>
      <c r="E2059" s="208" t="s">
        <v>333</v>
      </c>
      <c r="F2059" t="s">
        <v>15</v>
      </c>
      <c r="G2059" s="18">
        <v>798</v>
      </c>
      <c r="H2059" s="151" t="s">
        <v>563</v>
      </c>
      <c r="I2059" t="s">
        <v>561</v>
      </c>
    </row>
    <row r="2060" spans="1:9" x14ac:dyDescent="0.25">
      <c r="A2060">
        <v>1805</v>
      </c>
      <c r="B2060">
        <f>A2060+1</f>
        <v>1806</v>
      </c>
      <c r="C2060" t="s">
        <v>511</v>
      </c>
      <c r="D2060" t="s">
        <v>26</v>
      </c>
      <c r="E2060" s="208" t="s">
        <v>567</v>
      </c>
      <c r="F2060" t="s">
        <v>3</v>
      </c>
      <c r="G2060" s="18">
        <v>15421</v>
      </c>
      <c r="H2060" t="s">
        <v>24</v>
      </c>
      <c r="I2060" t="s">
        <v>16</v>
      </c>
    </row>
    <row r="2061" spans="1:9" x14ac:dyDescent="0.25">
      <c r="A2061">
        <v>1805</v>
      </c>
      <c r="B2061">
        <f>A2061+1</f>
        <v>1806</v>
      </c>
      <c r="C2061" t="s">
        <v>511</v>
      </c>
      <c r="D2061" t="s">
        <v>26</v>
      </c>
      <c r="E2061" s="208" t="s">
        <v>567</v>
      </c>
      <c r="F2061" t="s">
        <v>7</v>
      </c>
      <c r="G2061" s="18">
        <v>15421</v>
      </c>
      <c r="H2061" s="151" t="s">
        <v>563</v>
      </c>
      <c r="I2061" t="s">
        <v>16</v>
      </c>
    </row>
    <row r="2062" spans="1:9" x14ac:dyDescent="0.25">
      <c r="A2062">
        <v>1805</v>
      </c>
      <c r="B2062">
        <f>A2062+1</f>
        <v>1806</v>
      </c>
      <c r="C2062" t="s">
        <v>511</v>
      </c>
      <c r="D2062" t="s">
        <v>26</v>
      </c>
      <c r="E2062" s="208" t="s">
        <v>567</v>
      </c>
      <c r="F2062" t="s">
        <v>10</v>
      </c>
      <c r="G2062" s="18">
        <v>6941</v>
      </c>
      <c r="H2062" t="s">
        <v>24</v>
      </c>
      <c r="I2062" t="s">
        <v>17</v>
      </c>
    </row>
    <row r="2063" spans="1:9" x14ac:dyDescent="0.25">
      <c r="A2063">
        <v>1805</v>
      </c>
      <c r="B2063">
        <f>A2063+1</f>
        <v>1806</v>
      </c>
      <c r="C2063" t="s">
        <v>511</v>
      </c>
      <c r="D2063" t="s">
        <v>26</v>
      </c>
      <c r="E2063" s="208" t="s">
        <v>567</v>
      </c>
      <c r="F2063" t="s">
        <v>14</v>
      </c>
      <c r="G2063" s="18">
        <v>6941</v>
      </c>
      <c r="H2063" s="151" t="s">
        <v>563</v>
      </c>
      <c r="I2063" t="s">
        <v>17</v>
      </c>
    </row>
    <row r="2064" spans="1:9" x14ac:dyDescent="0.25">
      <c r="A2064">
        <v>1805</v>
      </c>
      <c r="B2064">
        <f>A2064+1</f>
        <v>1806</v>
      </c>
      <c r="C2064" t="s">
        <v>511</v>
      </c>
      <c r="D2064" t="s">
        <v>26</v>
      </c>
      <c r="E2064" s="208" t="s">
        <v>567</v>
      </c>
      <c r="F2064" t="s">
        <v>15</v>
      </c>
      <c r="G2064" s="18">
        <v>22362</v>
      </c>
      <c r="H2064" s="151" t="s">
        <v>563</v>
      </c>
      <c r="I2064" t="s">
        <v>561</v>
      </c>
    </row>
    <row r="2065" spans="1:9" x14ac:dyDescent="0.25">
      <c r="A2065">
        <v>1805</v>
      </c>
      <c r="B2065">
        <f>A2065+1</f>
        <v>1806</v>
      </c>
      <c r="C2065" t="s">
        <v>511</v>
      </c>
      <c r="D2065" t="s">
        <v>26</v>
      </c>
      <c r="E2065" s="208" t="s">
        <v>572</v>
      </c>
      <c r="F2065" t="s">
        <v>3</v>
      </c>
      <c r="G2065" s="18">
        <v>917</v>
      </c>
      <c r="H2065" t="s">
        <v>24</v>
      </c>
      <c r="I2065" t="s">
        <v>16</v>
      </c>
    </row>
    <row r="2066" spans="1:9" x14ac:dyDescent="0.25">
      <c r="A2066">
        <v>1805</v>
      </c>
      <c r="B2066">
        <f>A2066+1</f>
        <v>1806</v>
      </c>
      <c r="C2066" t="s">
        <v>511</v>
      </c>
      <c r="D2066" t="s">
        <v>26</v>
      </c>
      <c r="E2066" s="208" t="s">
        <v>572</v>
      </c>
      <c r="F2066" t="s">
        <v>4</v>
      </c>
      <c r="G2066" s="18">
        <v>3359</v>
      </c>
      <c r="H2066" t="s">
        <v>23</v>
      </c>
      <c r="I2066" t="s">
        <v>16</v>
      </c>
    </row>
    <row r="2067" spans="1:9" x14ac:dyDescent="0.25">
      <c r="A2067">
        <v>1805</v>
      </c>
      <c r="B2067">
        <f>A2067+1</f>
        <v>1806</v>
      </c>
      <c r="C2067" t="s">
        <v>511</v>
      </c>
      <c r="D2067" t="s">
        <v>26</v>
      </c>
      <c r="E2067" s="208" t="s">
        <v>572</v>
      </c>
      <c r="F2067" t="s">
        <v>7</v>
      </c>
      <c r="G2067" s="18">
        <v>4276</v>
      </c>
      <c r="H2067" s="151" t="s">
        <v>563</v>
      </c>
      <c r="I2067" t="s">
        <v>16</v>
      </c>
    </row>
    <row r="2068" spans="1:9" x14ac:dyDescent="0.25">
      <c r="A2068">
        <v>1805</v>
      </c>
      <c r="B2068">
        <f>A2068+1</f>
        <v>1806</v>
      </c>
      <c r="C2068" t="s">
        <v>511</v>
      </c>
      <c r="D2068" t="s">
        <v>26</v>
      </c>
      <c r="E2068" s="208" t="s">
        <v>572</v>
      </c>
      <c r="F2068" t="s">
        <v>10</v>
      </c>
      <c r="G2068" s="18">
        <v>1009</v>
      </c>
      <c r="H2068" t="s">
        <v>24</v>
      </c>
      <c r="I2068" t="s">
        <v>17</v>
      </c>
    </row>
    <row r="2069" spans="1:9" x14ac:dyDescent="0.25">
      <c r="A2069">
        <v>1805</v>
      </c>
      <c r="B2069">
        <f>A2069+1</f>
        <v>1806</v>
      </c>
      <c r="C2069" t="s">
        <v>511</v>
      </c>
      <c r="D2069" t="s">
        <v>26</v>
      </c>
      <c r="E2069" s="208" t="s">
        <v>572</v>
      </c>
      <c r="F2069" t="s">
        <v>11</v>
      </c>
      <c r="G2069" s="18">
        <v>2305</v>
      </c>
      <c r="H2069" t="s">
        <v>23</v>
      </c>
      <c r="I2069" t="s">
        <v>17</v>
      </c>
    </row>
    <row r="2070" spans="1:9" x14ac:dyDescent="0.25">
      <c r="A2070">
        <v>1805</v>
      </c>
      <c r="B2070">
        <f>A2070+1</f>
        <v>1806</v>
      </c>
      <c r="C2070" t="s">
        <v>511</v>
      </c>
      <c r="D2070" t="s">
        <v>26</v>
      </c>
      <c r="E2070" s="208" t="s">
        <v>572</v>
      </c>
      <c r="F2070" t="s">
        <v>14</v>
      </c>
      <c r="G2070" s="18">
        <v>3314</v>
      </c>
      <c r="H2070" s="151" t="s">
        <v>563</v>
      </c>
      <c r="I2070" t="s">
        <v>17</v>
      </c>
    </row>
    <row r="2071" spans="1:9" x14ac:dyDescent="0.25">
      <c r="A2071">
        <v>1805</v>
      </c>
      <c r="B2071">
        <f>A2071+1</f>
        <v>1806</v>
      </c>
      <c r="C2071" t="s">
        <v>511</v>
      </c>
      <c r="D2071" t="s">
        <v>26</v>
      </c>
      <c r="E2071" s="208" t="s">
        <v>572</v>
      </c>
      <c r="F2071" t="s">
        <v>15</v>
      </c>
      <c r="G2071" s="18">
        <v>7590</v>
      </c>
      <c r="H2071" s="151" t="s">
        <v>563</v>
      </c>
      <c r="I2071" t="s">
        <v>561</v>
      </c>
    </row>
    <row r="2072" spans="1:9" x14ac:dyDescent="0.25">
      <c r="A2072">
        <v>1805</v>
      </c>
      <c r="B2072">
        <f>A2072+1</f>
        <v>1806</v>
      </c>
      <c r="C2072" t="s">
        <v>511</v>
      </c>
      <c r="D2072" t="s">
        <v>26</v>
      </c>
      <c r="E2072" s="208" t="s">
        <v>571</v>
      </c>
      <c r="F2072" t="s">
        <v>4</v>
      </c>
      <c r="G2072" s="18">
        <v>11238</v>
      </c>
      <c r="H2072" t="s">
        <v>23</v>
      </c>
      <c r="I2072" t="s">
        <v>16</v>
      </c>
    </row>
    <row r="2073" spans="1:9" x14ac:dyDescent="0.25">
      <c r="A2073">
        <v>1805</v>
      </c>
      <c r="B2073">
        <f>A2073+1</f>
        <v>1806</v>
      </c>
      <c r="C2073" t="s">
        <v>511</v>
      </c>
      <c r="D2073" t="s">
        <v>26</v>
      </c>
      <c r="E2073" s="208" t="s">
        <v>571</v>
      </c>
      <c r="F2073" t="s">
        <v>7</v>
      </c>
      <c r="G2073" s="18">
        <v>11238</v>
      </c>
      <c r="H2073" s="151" t="s">
        <v>563</v>
      </c>
      <c r="I2073" t="s">
        <v>16</v>
      </c>
    </row>
    <row r="2074" spans="1:9" x14ac:dyDescent="0.25">
      <c r="A2074">
        <v>1805</v>
      </c>
      <c r="B2074">
        <f>A2074+1</f>
        <v>1806</v>
      </c>
      <c r="C2074" t="s">
        <v>511</v>
      </c>
      <c r="D2074" t="s">
        <v>26</v>
      </c>
      <c r="E2074" s="208" t="s">
        <v>571</v>
      </c>
      <c r="F2074" t="s">
        <v>11</v>
      </c>
      <c r="G2074" s="18">
        <v>14277</v>
      </c>
      <c r="H2074" t="s">
        <v>23</v>
      </c>
      <c r="I2074" t="s">
        <v>17</v>
      </c>
    </row>
    <row r="2075" spans="1:9" x14ac:dyDescent="0.25">
      <c r="A2075">
        <v>1805</v>
      </c>
      <c r="B2075">
        <f>A2075+1</f>
        <v>1806</v>
      </c>
      <c r="C2075" t="s">
        <v>511</v>
      </c>
      <c r="D2075" t="s">
        <v>26</v>
      </c>
      <c r="E2075" s="208" t="s">
        <v>571</v>
      </c>
      <c r="F2075" t="s">
        <v>14</v>
      </c>
      <c r="G2075" s="18">
        <v>14277</v>
      </c>
      <c r="H2075" s="151" t="s">
        <v>563</v>
      </c>
      <c r="I2075" t="s">
        <v>17</v>
      </c>
    </row>
    <row r="2076" spans="1:9" x14ac:dyDescent="0.25">
      <c r="A2076">
        <v>1805</v>
      </c>
      <c r="B2076">
        <f>A2076+1</f>
        <v>1806</v>
      </c>
      <c r="C2076" t="s">
        <v>511</v>
      </c>
      <c r="D2076" t="s">
        <v>26</v>
      </c>
      <c r="E2076" s="208" t="s">
        <v>571</v>
      </c>
      <c r="F2076" t="s">
        <v>15</v>
      </c>
      <c r="G2076" s="18">
        <v>25515</v>
      </c>
      <c r="H2076" s="151" t="s">
        <v>563</v>
      </c>
      <c r="I2076" t="s">
        <v>561</v>
      </c>
    </row>
    <row r="2077" spans="1:9" x14ac:dyDescent="0.25">
      <c r="A2077">
        <v>1805</v>
      </c>
      <c r="B2077">
        <f>A2077+1</f>
        <v>1806</v>
      </c>
      <c r="C2077" t="s">
        <v>511</v>
      </c>
      <c r="D2077" t="s">
        <v>26</v>
      </c>
      <c r="E2077" s="208" t="s">
        <v>570</v>
      </c>
      <c r="F2077" t="s">
        <v>3</v>
      </c>
      <c r="G2077" s="18">
        <v>5630</v>
      </c>
      <c r="H2077" t="s">
        <v>24</v>
      </c>
      <c r="I2077" t="s">
        <v>16</v>
      </c>
    </row>
    <row r="2078" spans="1:9" x14ac:dyDescent="0.25">
      <c r="A2078">
        <v>1805</v>
      </c>
      <c r="B2078">
        <f>A2078+1</f>
        <v>1806</v>
      </c>
      <c r="C2078" t="s">
        <v>511</v>
      </c>
      <c r="D2078" t="s">
        <v>26</v>
      </c>
      <c r="E2078" s="208" t="s">
        <v>570</v>
      </c>
      <c r="F2078" t="s">
        <v>4</v>
      </c>
      <c r="G2078" s="18">
        <v>1141</v>
      </c>
      <c r="H2078" t="s">
        <v>23</v>
      </c>
      <c r="I2078" t="s">
        <v>16</v>
      </c>
    </row>
    <row r="2079" spans="1:9" x14ac:dyDescent="0.25">
      <c r="A2079">
        <v>1805</v>
      </c>
      <c r="B2079">
        <f>A2079+1</f>
        <v>1806</v>
      </c>
      <c r="C2079" t="s">
        <v>511</v>
      </c>
      <c r="D2079" t="s">
        <v>26</v>
      </c>
      <c r="E2079" s="208" t="s">
        <v>570</v>
      </c>
      <c r="F2079" t="s">
        <v>7</v>
      </c>
      <c r="G2079" s="18">
        <v>6771</v>
      </c>
      <c r="H2079" s="151" t="s">
        <v>563</v>
      </c>
      <c r="I2079" t="s">
        <v>16</v>
      </c>
    </row>
    <row r="2080" spans="1:9" x14ac:dyDescent="0.25">
      <c r="A2080">
        <v>1805</v>
      </c>
      <c r="B2080">
        <f>A2080+1</f>
        <v>1806</v>
      </c>
      <c r="C2080" t="s">
        <v>511</v>
      </c>
      <c r="D2080" t="s">
        <v>26</v>
      </c>
      <c r="E2080" s="208" t="s">
        <v>570</v>
      </c>
      <c r="F2080" t="s">
        <v>10</v>
      </c>
      <c r="G2080" s="18">
        <v>635</v>
      </c>
      <c r="H2080" t="s">
        <v>24</v>
      </c>
      <c r="I2080" t="s">
        <v>17</v>
      </c>
    </row>
    <row r="2081" spans="1:9" x14ac:dyDescent="0.25">
      <c r="A2081">
        <v>1805</v>
      </c>
      <c r="B2081">
        <f>A2081+1</f>
        <v>1806</v>
      </c>
      <c r="C2081" t="s">
        <v>511</v>
      </c>
      <c r="D2081" t="s">
        <v>26</v>
      </c>
      <c r="E2081" s="208" t="s">
        <v>570</v>
      </c>
      <c r="F2081" t="s">
        <v>11</v>
      </c>
      <c r="G2081" s="18">
        <v>600</v>
      </c>
      <c r="H2081" t="s">
        <v>23</v>
      </c>
      <c r="I2081" t="s">
        <v>17</v>
      </c>
    </row>
    <row r="2082" spans="1:9" x14ac:dyDescent="0.25">
      <c r="A2082">
        <v>1805</v>
      </c>
      <c r="B2082">
        <f>A2082+1</f>
        <v>1806</v>
      </c>
      <c r="C2082" t="s">
        <v>511</v>
      </c>
      <c r="D2082" t="s">
        <v>26</v>
      </c>
      <c r="E2082" s="208" t="s">
        <v>570</v>
      </c>
      <c r="F2082" t="s">
        <v>14</v>
      </c>
      <c r="G2082" s="18">
        <v>1235</v>
      </c>
      <c r="H2082" s="151" t="s">
        <v>563</v>
      </c>
      <c r="I2082" t="s">
        <v>17</v>
      </c>
    </row>
    <row r="2083" spans="1:9" x14ac:dyDescent="0.25">
      <c r="A2083">
        <v>1805</v>
      </c>
      <c r="B2083">
        <f>A2083+1</f>
        <v>1806</v>
      </c>
      <c r="C2083" t="s">
        <v>511</v>
      </c>
      <c r="D2083" t="s">
        <v>26</v>
      </c>
      <c r="E2083" s="208" t="s">
        <v>570</v>
      </c>
      <c r="F2083" t="s">
        <v>15</v>
      </c>
      <c r="G2083" s="18">
        <v>8006</v>
      </c>
      <c r="H2083" s="151" t="s">
        <v>563</v>
      </c>
      <c r="I2083" t="s">
        <v>561</v>
      </c>
    </row>
    <row r="2084" spans="1:9" x14ac:dyDescent="0.25">
      <c r="A2084">
        <v>1805</v>
      </c>
      <c r="B2084">
        <f>A2084+1</f>
        <v>1806</v>
      </c>
      <c r="C2084" t="s">
        <v>511</v>
      </c>
      <c r="D2084" t="s">
        <v>26</v>
      </c>
      <c r="E2084" s="208" t="s">
        <v>569</v>
      </c>
      <c r="F2084" t="s">
        <v>3</v>
      </c>
      <c r="G2084" s="18">
        <v>523</v>
      </c>
      <c r="H2084" t="s">
        <v>24</v>
      </c>
      <c r="I2084" t="s">
        <v>16</v>
      </c>
    </row>
    <row r="2085" spans="1:9" x14ac:dyDescent="0.25">
      <c r="A2085">
        <v>1805</v>
      </c>
      <c r="B2085">
        <f>A2085+1</f>
        <v>1806</v>
      </c>
      <c r="C2085" t="s">
        <v>511</v>
      </c>
      <c r="D2085" t="s">
        <v>26</v>
      </c>
      <c r="E2085" s="208" t="s">
        <v>569</v>
      </c>
      <c r="F2085" t="s">
        <v>4</v>
      </c>
      <c r="G2085" s="18">
        <v>367</v>
      </c>
      <c r="H2085" t="s">
        <v>23</v>
      </c>
      <c r="I2085" t="s">
        <v>16</v>
      </c>
    </row>
    <row r="2086" spans="1:9" x14ac:dyDescent="0.25">
      <c r="A2086">
        <v>1805</v>
      </c>
      <c r="B2086">
        <f>A2086+1</f>
        <v>1806</v>
      </c>
      <c r="C2086" t="s">
        <v>511</v>
      </c>
      <c r="D2086" t="s">
        <v>26</v>
      </c>
      <c r="E2086" s="208" t="s">
        <v>569</v>
      </c>
      <c r="F2086" t="s">
        <v>7</v>
      </c>
      <c r="G2086" s="18">
        <v>890</v>
      </c>
      <c r="H2086" s="151" t="s">
        <v>563</v>
      </c>
      <c r="I2086" t="s">
        <v>16</v>
      </c>
    </row>
    <row r="2087" spans="1:9" x14ac:dyDescent="0.25">
      <c r="A2087">
        <v>1805</v>
      </c>
      <c r="B2087">
        <f>A2087+1</f>
        <v>1806</v>
      </c>
      <c r="C2087" t="s">
        <v>511</v>
      </c>
      <c r="D2087" t="s">
        <v>26</v>
      </c>
      <c r="E2087" s="208" t="s">
        <v>569</v>
      </c>
      <c r="F2087" t="s">
        <v>10</v>
      </c>
      <c r="G2087" s="18">
        <v>316</v>
      </c>
      <c r="H2087" t="s">
        <v>24</v>
      </c>
      <c r="I2087" t="s">
        <v>17</v>
      </c>
    </row>
    <row r="2088" spans="1:9" x14ac:dyDescent="0.25">
      <c r="A2088">
        <v>1805</v>
      </c>
      <c r="B2088">
        <f>A2088+1</f>
        <v>1806</v>
      </c>
      <c r="C2088" t="s">
        <v>511</v>
      </c>
      <c r="D2088" t="s">
        <v>26</v>
      </c>
      <c r="E2088" s="208" t="s">
        <v>569</v>
      </c>
      <c r="F2088" t="s">
        <v>11</v>
      </c>
      <c r="G2088" s="18">
        <v>247</v>
      </c>
      <c r="H2088" t="s">
        <v>23</v>
      </c>
      <c r="I2088" t="s">
        <v>17</v>
      </c>
    </row>
    <row r="2089" spans="1:9" x14ac:dyDescent="0.25">
      <c r="A2089">
        <v>1805</v>
      </c>
      <c r="B2089">
        <f>A2089+1</f>
        <v>1806</v>
      </c>
      <c r="C2089" t="s">
        <v>511</v>
      </c>
      <c r="D2089" t="s">
        <v>26</v>
      </c>
      <c r="E2089" s="208" t="s">
        <v>569</v>
      </c>
      <c r="F2089" t="s">
        <v>14</v>
      </c>
      <c r="G2089" s="18">
        <v>563</v>
      </c>
      <c r="H2089" s="151" t="s">
        <v>563</v>
      </c>
      <c r="I2089" t="s">
        <v>17</v>
      </c>
    </row>
    <row r="2090" spans="1:9" x14ac:dyDescent="0.25">
      <c r="A2090">
        <v>1805</v>
      </c>
      <c r="B2090">
        <f>A2090+1</f>
        <v>1806</v>
      </c>
      <c r="C2090" t="s">
        <v>511</v>
      </c>
      <c r="D2090" t="s">
        <v>26</v>
      </c>
      <c r="E2090" s="208" t="s">
        <v>569</v>
      </c>
      <c r="F2090" t="s">
        <v>15</v>
      </c>
      <c r="G2090" s="18">
        <v>1453</v>
      </c>
      <c r="H2090" s="151" t="s">
        <v>563</v>
      </c>
      <c r="I2090" t="s">
        <v>561</v>
      </c>
    </row>
    <row r="2091" spans="1:9" x14ac:dyDescent="0.25">
      <c r="A2091">
        <v>1805</v>
      </c>
      <c r="B2091">
        <f>A2091+1</f>
        <v>1806</v>
      </c>
      <c r="C2091" t="s">
        <v>511</v>
      </c>
      <c r="D2091" t="s">
        <v>26</v>
      </c>
      <c r="E2091" s="208" t="s">
        <v>573</v>
      </c>
      <c r="F2091" t="s">
        <v>3</v>
      </c>
      <c r="G2091" s="18">
        <v>104</v>
      </c>
      <c r="H2091" t="s">
        <v>24</v>
      </c>
      <c r="I2091" t="s">
        <v>16</v>
      </c>
    </row>
    <row r="2092" spans="1:9" x14ac:dyDescent="0.25">
      <c r="A2092">
        <v>1805</v>
      </c>
      <c r="B2092">
        <f>A2092+1</f>
        <v>1806</v>
      </c>
      <c r="C2092" t="s">
        <v>511</v>
      </c>
      <c r="D2092" t="s">
        <v>26</v>
      </c>
      <c r="E2092" s="208" t="s">
        <v>573</v>
      </c>
      <c r="F2092" t="s">
        <v>4</v>
      </c>
      <c r="G2092" s="18">
        <v>499</v>
      </c>
      <c r="H2092" t="s">
        <v>23</v>
      </c>
      <c r="I2092" t="s">
        <v>16</v>
      </c>
    </row>
    <row r="2093" spans="1:9" x14ac:dyDescent="0.25">
      <c r="A2093">
        <v>1805</v>
      </c>
      <c r="B2093">
        <f>A2093+1</f>
        <v>1806</v>
      </c>
      <c r="C2093" t="s">
        <v>511</v>
      </c>
      <c r="D2093" t="s">
        <v>26</v>
      </c>
      <c r="E2093" s="208" t="s">
        <v>573</v>
      </c>
      <c r="F2093" t="s">
        <v>7</v>
      </c>
      <c r="G2093" s="18">
        <v>603</v>
      </c>
      <c r="H2093" s="151" t="s">
        <v>563</v>
      </c>
      <c r="I2093" t="s">
        <v>16</v>
      </c>
    </row>
    <row r="2094" spans="1:9" x14ac:dyDescent="0.25">
      <c r="A2094">
        <v>1805</v>
      </c>
      <c r="B2094">
        <f>A2094+1</f>
        <v>1806</v>
      </c>
      <c r="C2094" t="s">
        <v>511</v>
      </c>
      <c r="D2094" t="s">
        <v>26</v>
      </c>
      <c r="E2094" s="208" t="s">
        <v>573</v>
      </c>
      <c r="F2094" t="s">
        <v>10</v>
      </c>
      <c r="G2094" s="18">
        <v>166</v>
      </c>
      <c r="H2094" t="s">
        <v>24</v>
      </c>
      <c r="I2094" t="s">
        <v>17</v>
      </c>
    </row>
    <row r="2095" spans="1:9" x14ac:dyDescent="0.25">
      <c r="A2095">
        <v>1805</v>
      </c>
      <c r="B2095">
        <f>A2095+1</f>
        <v>1806</v>
      </c>
      <c r="C2095" t="s">
        <v>511</v>
      </c>
      <c r="D2095" t="s">
        <v>26</v>
      </c>
      <c r="E2095" s="208" t="s">
        <v>573</v>
      </c>
      <c r="F2095" t="s">
        <v>11</v>
      </c>
      <c r="G2095" s="18">
        <v>0</v>
      </c>
      <c r="H2095" t="s">
        <v>23</v>
      </c>
      <c r="I2095" t="s">
        <v>17</v>
      </c>
    </row>
    <row r="2096" spans="1:9" x14ac:dyDescent="0.25">
      <c r="A2096">
        <v>1805</v>
      </c>
      <c r="B2096">
        <f>A2096+1</f>
        <v>1806</v>
      </c>
      <c r="C2096" t="s">
        <v>511</v>
      </c>
      <c r="D2096" t="s">
        <v>26</v>
      </c>
      <c r="E2096" s="208" t="s">
        <v>573</v>
      </c>
      <c r="F2096" t="s">
        <v>14</v>
      </c>
      <c r="G2096" s="18">
        <v>166</v>
      </c>
      <c r="H2096" s="151" t="s">
        <v>563</v>
      </c>
      <c r="I2096" t="s">
        <v>17</v>
      </c>
    </row>
    <row r="2097" spans="1:9" x14ac:dyDescent="0.25">
      <c r="A2097">
        <v>1805</v>
      </c>
      <c r="B2097">
        <f>A2097+1</f>
        <v>1806</v>
      </c>
      <c r="C2097" t="s">
        <v>511</v>
      </c>
      <c r="D2097" t="s">
        <v>26</v>
      </c>
      <c r="E2097" s="208" t="s">
        <v>573</v>
      </c>
      <c r="F2097" t="s">
        <v>15</v>
      </c>
      <c r="G2097" s="18">
        <v>769</v>
      </c>
      <c r="H2097" s="151" t="s">
        <v>563</v>
      </c>
      <c r="I2097" t="s">
        <v>561</v>
      </c>
    </row>
    <row r="2098" spans="1:9" x14ac:dyDescent="0.25">
      <c r="A2098">
        <v>1806</v>
      </c>
      <c r="B2098">
        <f>A2098+1</f>
        <v>1807</v>
      </c>
      <c r="C2098" t="s">
        <v>513</v>
      </c>
      <c r="D2098" t="s">
        <v>27</v>
      </c>
      <c r="E2098" s="208" t="s">
        <v>155</v>
      </c>
      <c r="F2098" t="s">
        <v>3</v>
      </c>
      <c r="G2098" s="18">
        <v>95</v>
      </c>
      <c r="H2098" t="s">
        <v>16</v>
      </c>
      <c r="I2098" t="s">
        <v>24</v>
      </c>
    </row>
    <row r="2099" spans="1:9" x14ac:dyDescent="0.25">
      <c r="A2099">
        <v>1806</v>
      </c>
      <c r="B2099">
        <f>A2099+1</f>
        <v>1807</v>
      </c>
      <c r="C2099" t="s">
        <v>513</v>
      </c>
      <c r="D2099" t="s">
        <v>27</v>
      </c>
      <c r="E2099" s="208" t="s">
        <v>156</v>
      </c>
      <c r="F2099" t="s">
        <v>3</v>
      </c>
      <c r="G2099" s="18">
        <v>20</v>
      </c>
      <c r="H2099" t="s">
        <v>16</v>
      </c>
      <c r="I2099" t="s">
        <v>24</v>
      </c>
    </row>
    <row r="2100" spans="1:9" x14ac:dyDescent="0.25">
      <c r="A2100">
        <v>1806</v>
      </c>
      <c r="B2100">
        <f>A2100+1</f>
        <v>1807</v>
      </c>
      <c r="C2100" t="s">
        <v>513</v>
      </c>
      <c r="D2100" t="s">
        <v>27</v>
      </c>
      <c r="E2100" s="208" t="s">
        <v>154</v>
      </c>
      <c r="F2100" t="s">
        <v>3</v>
      </c>
      <c r="G2100" s="18">
        <v>803</v>
      </c>
      <c r="H2100" t="s">
        <v>16</v>
      </c>
      <c r="I2100" t="s">
        <v>24</v>
      </c>
    </row>
    <row r="2101" spans="1:9" x14ac:dyDescent="0.25">
      <c r="A2101">
        <v>1806</v>
      </c>
      <c r="B2101">
        <f>A2101+1</f>
        <v>1807</v>
      </c>
      <c r="C2101" t="s">
        <v>513</v>
      </c>
      <c r="D2101" t="s">
        <v>27</v>
      </c>
      <c r="E2101" s="208" t="s">
        <v>150</v>
      </c>
      <c r="F2101" t="s">
        <v>3</v>
      </c>
      <c r="G2101" s="18">
        <v>1823</v>
      </c>
      <c r="H2101" t="s">
        <v>16</v>
      </c>
      <c r="I2101" t="s">
        <v>24</v>
      </c>
    </row>
    <row r="2102" spans="1:9" x14ac:dyDescent="0.25">
      <c r="A2102">
        <v>1806</v>
      </c>
      <c r="B2102">
        <f>A2102+1</f>
        <v>1807</v>
      </c>
      <c r="C2102" t="s">
        <v>513</v>
      </c>
      <c r="D2102" t="s">
        <v>27</v>
      </c>
      <c r="E2102" s="208" t="s">
        <v>148</v>
      </c>
      <c r="F2102" t="s">
        <v>3</v>
      </c>
      <c r="G2102" s="18">
        <v>75</v>
      </c>
      <c r="H2102" t="s">
        <v>16</v>
      </c>
      <c r="I2102" t="s">
        <v>24</v>
      </c>
    </row>
    <row r="2103" spans="1:9" x14ac:dyDescent="0.25">
      <c r="A2103">
        <v>1806</v>
      </c>
      <c r="B2103">
        <f>A2103+1</f>
        <v>1807</v>
      </c>
      <c r="C2103" t="s">
        <v>513</v>
      </c>
      <c r="D2103" t="s">
        <v>27</v>
      </c>
      <c r="E2103" s="208" t="s">
        <v>139</v>
      </c>
      <c r="F2103" t="s">
        <v>3</v>
      </c>
      <c r="G2103" s="18">
        <v>17</v>
      </c>
      <c r="H2103" t="s">
        <v>16</v>
      </c>
      <c r="I2103" t="s">
        <v>24</v>
      </c>
    </row>
    <row r="2104" spans="1:9" x14ac:dyDescent="0.25">
      <c r="A2104">
        <v>1806</v>
      </c>
      <c r="B2104">
        <f>A2104+1</f>
        <v>1807</v>
      </c>
      <c r="C2104" t="s">
        <v>513</v>
      </c>
      <c r="D2104" t="s">
        <v>27</v>
      </c>
      <c r="E2104" s="208" t="s">
        <v>130</v>
      </c>
      <c r="F2104" t="s">
        <v>3</v>
      </c>
      <c r="G2104" s="18">
        <v>0</v>
      </c>
      <c r="H2104" t="s">
        <v>16</v>
      </c>
      <c r="I2104" t="s">
        <v>24</v>
      </c>
    </row>
    <row r="2105" spans="1:9" x14ac:dyDescent="0.25">
      <c r="A2105">
        <v>1806</v>
      </c>
      <c r="B2105">
        <f>A2105+1</f>
        <v>1807</v>
      </c>
      <c r="C2105" t="s">
        <v>513</v>
      </c>
      <c r="D2105" t="s">
        <v>27</v>
      </c>
      <c r="E2105" s="208" t="s">
        <v>132</v>
      </c>
      <c r="F2105" t="s">
        <v>3</v>
      </c>
      <c r="G2105" s="18">
        <v>0</v>
      </c>
      <c r="H2105" t="s">
        <v>16</v>
      </c>
      <c r="I2105" t="s">
        <v>24</v>
      </c>
    </row>
    <row r="2106" spans="1:9" x14ac:dyDescent="0.25">
      <c r="A2106">
        <v>1806</v>
      </c>
      <c r="B2106">
        <f>A2106+1</f>
        <v>1807</v>
      </c>
      <c r="C2106" t="s">
        <v>513</v>
      </c>
      <c r="D2106" t="s">
        <v>27</v>
      </c>
      <c r="E2106" s="208" t="s">
        <v>142</v>
      </c>
      <c r="F2106" t="s">
        <v>3</v>
      </c>
      <c r="G2106" s="18">
        <v>10</v>
      </c>
      <c r="H2106" t="s">
        <v>16</v>
      </c>
      <c r="I2106" t="s">
        <v>24</v>
      </c>
    </row>
    <row r="2107" spans="1:9" x14ac:dyDescent="0.25">
      <c r="A2107">
        <v>1806</v>
      </c>
      <c r="B2107">
        <f>A2107+1</f>
        <v>1807</v>
      </c>
      <c r="C2107" t="s">
        <v>513</v>
      </c>
      <c r="D2107" t="s">
        <v>27</v>
      </c>
      <c r="E2107" s="208" t="s">
        <v>144</v>
      </c>
      <c r="F2107" t="s">
        <v>3</v>
      </c>
      <c r="G2107" s="18">
        <v>0</v>
      </c>
      <c r="H2107" t="s">
        <v>16</v>
      </c>
      <c r="I2107" t="s">
        <v>24</v>
      </c>
    </row>
    <row r="2108" spans="1:9" x14ac:dyDescent="0.25">
      <c r="A2108">
        <v>1806</v>
      </c>
      <c r="B2108">
        <f>A2108+1</f>
        <v>1807</v>
      </c>
      <c r="C2108" t="s">
        <v>513</v>
      </c>
      <c r="D2108" t="s">
        <v>27</v>
      </c>
      <c r="E2108" s="208" t="s">
        <v>124</v>
      </c>
      <c r="F2108" t="s">
        <v>3</v>
      </c>
      <c r="G2108" s="18">
        <v>95752</v>
      </c>
      <c r="H2108" t="s">
        <v>16</v>
      </c>
      <c r="I2108" t="s">
        <v>24</v>
      </c>
    </row>
    <row r="2109" spans="1:9" x14ac:dyDescent="0.25">
      <c r="A2109">
        <v>1806</v>
      </c>
      <c r="B2109">
        <f>A2109+1</f>
        <v>1807</v>
      </c>
      <c r="C2109" t="s">
        <v>513</v>
      </c>
      <c r="D2109" t="s">
        <v>26</v>
      </c>
      <c r="E2109" s="208" t="s">
        <v>62</v>
      </c>
      <c r="F2109" t="s">
        <v>3</v>
      </c>
      <c r="G2109" s="18">
        <v>156</v>
      </c>
      <c r="H2109" t="s">
        <v>24</v>
      </c>
      <c r="I2109" t="s">
        <v>16</v>
      </c>
    </row>
    <row r="2110" spans="1:9" x14ac:dyDescent="0.25">
      <c r="A2110">
        <v>1806</v>
      </c>
      <c r="B2110">
        <f>A2110+1</f>
        <v>1807</v>
      </c>
      <c r="C2110" t="s">
        <v>513</v>
      </c>
      <c r="D2110" t="s">
        <v>26</v>
      </c>
      <c r="E2110" s="208" t="s">
        <v>36</v>
      </c>
      <c r="F2110" t="s">
        <v>3</v>
      </c>
      <c r="G2110" s="18">
        <v>78</v>
      </c>
      <c r="H2110" t="s">
        <v>24</v>
      </c>
      <c r="I2110" t="s">
        <v>16</v>
      </c>
    </row>
    <row r="2111" spans="1:9" x14ac:dyDescent="0.25">
      <c r="A2111">
        <v>1806</v>
      </c>
      <c r="B2111">
        <f>A2111+1</f>
        <v>1807</v>
      </c>
      <c r="C2111" t="s">
        <v>513</v>
      </c>
      <c r="D2111" t="s">
        <v>26</v>
      </c>
      <c r="E2111" s="208" t="s">
        <v>28</v>
      </c>
      <c r="F2111" t="s">
        <v>3</v>
      </c>
      <c r="G2111" s="18">
        <v>312</v>
      </c>
      <c r="H2111" t="s">
        <v>24</v>
      </c>
      <c r="I2111" t="s">
        <v>16</v>
      </c>
    </row>
    <row r="2112" spans="1:9" x14ac:dyDescent="0.25">
      <c r="A2112">
        <v>1806</v>
      </c>
      <c r="B2112">
        <f>A2112+1</f>
        <v>1807</v>
      </c>
      <c r="C2112" t="s">
        <v>513</v>
      </c>
      <c r="D2112" t="s">
        <v>26</v>
      </c>
      <c r="E2112" s="208" t="s">
        <v>89</v>
      </c>
      <c r="F2112" t="s">
        <v>3</v>
      </c>
      <c r="G2112" s="18">
        <v>50</v>
      </c>
      <c r="H2112" t="s">
        <v>24</v>
      </c>
      <c r="I2112" t="s">
        <v>16</v>
      </c>
    </row>
    <row r="2113" spans="1:9" x14ac:dyDescent="0.25">
      <c r="A2113">
        <v>1806</v>
      </c>
      <c r="B2113">
        <f>A2113+1</f>
        <v>1807</v>
      </c>
      <c r="C2113" t="s">
        <v>513</v>
      </c>
      <c r="D2113" t="s">
        <v>26</v>
      </c>
      <c r="E2113" s="208" t="s">
        <v>45</v>
      </c>
      <c r="F2113" t="s">
        <v>3</v>
      </c>
      <c r="G2113" s="18">
        <v>87</v>
      </c>
      <c r="H2113" t="s">
        <v>24</v>
      </c>
      <c r="I2113" t="s">
        <v>16</v>
      </c>
    </row>
    <row r="2114" spans="1:9" x14ac:dyDescent="0.25">
      <c r="A2114">
        <v>1806</v>
      </c>
      <c r="B2114">
        <f>A2114+1</f>
        <v>1807</v>
      </c>
      <c r="C2114" t="s">
        <v>513</v>
      </c>
      <c r="D2114" t="s">
        <v>26</v>
      </c>
      <c r="E2114" s="208" t="s">
        <v>53</v>
      </c>
      <c r="F2114" t="s">
        <v>3</v>
      </c>
      <c r="G2114" s="18">
        <v>1620</v>
      </c>
      <c r="H2114" t="s">
        <v>24</v>
      </c>
      <c r="I2114" t="s">
        <v>16</v>
      </c>
    </row>
    <row r="2115" spans="1:9" x14ac:dyDescent="0.25">
      <c r="A2115">
        <v>1806</v>
      </c>
      <c r="B2115">
        <f>A2115+1</f>
        <v>1807</v>
      </c>
      <c r="C2115" t="s">
        <v>513</v>
      </c>
      <c r="D2115" t="s">
        <v>26</v>
      </c>
      <c r="E2115" s="208" t="s">
        <v>75</v>
      </c>
      <c r="F2115" t="s">
        <v>3</v>
      </c>
      <c r="G2115" s="18">
        <v>304810</v>
      </c>
      <c r="H2115" t="s">
        <v>24</v>
      </c>
      <c r="I2115" t="s">
        <v>16</v>
      </c>
    </row>
    <row r="2116" spans="1:9" x14ac:dyDescent="0.25">
      <c r="A2116">
        <v>1806</v>
      </c>
      <c r="B2116">
        <f>A2116+1</f>
        <v>1807</v>
      </c>
      <c r="C2116" t="s">
        <v>513</v>
      </c>
      <c r="D2116" t="s">
        <v>26</v>
      </c>
      <c r="E2116" s="208" t="s">
        <v>107</v>
      </c>
      <c r="F2116" t="s">
        <v>3</v>
      </c>
      <c r="G2116" s="18">
        <v>88510</v>
      </c>
      <c r="H2116" t="s">
        <v>24</v>
      </c>
      <c r="I2116" t="s">
        <v>16</v>
      </c>
    </row>
    <row r="2117" spans="1:9" x14ac:dyDescent="0.25">
      <c r="A2117">
        <v>1806</v>
      </c>
      <c r="B2117">
        <f>A2117+1</f>
        <v>1807</v>
      </c>
      <c r="C2117" t="s">
        <v>513</v>
      </c>
      <c r="D2117" t="s">
        <v>26</v>
      </c>
      <c r="E2117" s="208" t="s">
        <v>101</v>
      </c>
      <c r="F2117" t="s">
        <v>3</v>
      </c>
      <c r="G2117" s="18">
        <v>106700</v>
      </c>
      <c r="H2117" t="s">
        <v>24</v>
      </c>
      <c r="I2117" t="s">
        <v>16</v>
      </c>
    </row>
    <row r="2118" spans="1:9" x14ac:dyDescent="0.25">
      <c r="A2118">
        <v>1806</v>
      </c>
      <c r="B2118">
        <f>A2118+1</f>
        <v>1807</v>
      </c>
      <c r="C2118" t="s">
        <v>513</v>
      </c>
      <c r="D2118" t="s">
        <v>26</v>
      </c>
      <c r="E2118" s="208" t="s">
        <v>330</v>
      </c>
      <c r="F2118" t="s">
        <v>6</v>
      </c>
      <c r="G2118" s="18">
        <v>1664</v>
      </c>
      <c r="H2118" t="s">
        <v>25</v>
      </c>
      <c r="I2118" t="s">
        <v>16</v>
      </c>
    </row>
    <row r="2119" spans="1:9" x14ac:dyDescent="0.25">
      <c r="A2119">
        <v>1806</v>
      </c>
      <c r="B2119">
        <f>A2119+1</f>
        <v>1807</v>
      </c>
      <c r="C2119" t="s">
        <v>513</v>
      </c>
      <c r="D2119" t="s">
        <v>26</v>
      </c>
      <c r="E2119" s="208" t="s">
        <v>331</v>
      </c>
      <c r="F2119" t="s">
        <v>6</v>
      </c>
      <c r="G2119" s="18">
        <v>1766</v>
      </c>
      <c r="H2119" t="s">
        <v>25</v>
      </c>
      <c r="I2119" t="s">
        <v>16</v>
      </c>
    </row>
    <row r="2120" spans="1:9" x14ac:dyDescent="0.25">
      <c r="A2120">
        <v>1806</v>
      </c>
      <c r="B2120">
        <f>A2120+1</f>
        <v>1807</v>
      </c>
      <c r="C2120" t="s">
        <v>513</v>
      </c>
      <c r="D2120" t="s">
        <v>26</v>
      </c>
      <c r="E2120" s="208" t="s">
        <v>332</v>
      </c>
      <c r="F2120" t="s">
        <v>6</v>
      </c>
      <c r="G2120" s="18">
        <v>461</v>
      </c>
      <c r="H2120" t="s">
        <v>25</v>
      </c>
      <c r="I2120" t="s">
        <v>16</v>
      </c>
    </row>
    <row r="2121" spans="1:9" x14ac:dyDescent="0.25">
      <c r="A2121">
        <v>1806</v>
      </c>
      <c r="B2121">
        <f>A2121+1</f>
        <v>1807</v>
      </c>
      <c r="C2121" t="s">
        <v>513</v>
      </c>
      <c r="D2121" t="s">
        <v>26</v>
      </c>
      <c r="E2121" s="208" t="s">
        <v>333</v>
      </c>
      <c r="F2121" t="s">
        <v>6</v>
      </c>
      <c r="G2121" s="18">
        <v>1163</v>
      </c>
      <c r="H2121" t="s">
        <v>25</v>
      </c>
      <c r="I2121" t="s">
        <v>16</v>
      </c>
    </row>
    <row r="2122" spans="1:9" x14ac:dyDescent="0.25">
      <c r="A2122">
        <v>1806</v>
      </c>
      <c r="B2122">
        <f>A2122+1</f>
        <v>1807</v>
      </c>
      <c r="C2122" t="s">
        <v>513</v>
      </c>
      <c r="D2122" t="s">
        <v>27</v>
      </c>
      <c r="E2122" s="208" t="s">
        <v>155</v>
      </c>
      <c r="F2122" t="s">
        <v>0</v>
      </c>
      <c r="G2122" s="18">
        <v>42693</v>
      </c>
      <c r="H2122" t="s">
        <v>16</v>
      </c>
      <c r="I2122" t="s">
        <v>18</v>
      </c>
    </row>
    <row r="2123" spans="1:9" x14ac:dyDescent="0.25">
      <c r="A2123">
        <v>1806</v>
      </c>
      <c r="B2123">
        <f>A2123+1</f>
        <v>1807</v>
      </c>
      <c r="C2123" t="s">
        <v>513</v>
      </c>
      <c r="D2123" t="s">
        <v>27</v>
      </c>
      <c r="E2123" s="208" t="s">
        <v>156</v>
      </c>
      <c r="F2123" t="s">
        <v>0</v>
      </c>
      <c r="G2123" s="18">
        <v>5249</v>
      </c>
      <c r="H2123" t="s">
        <v>16</v>
      </c>
      <c r="I2123" t="s">
        <v>18</v>
      </c>
    </row>
    <row r="2124" spans="1:9" x14ac:dyDescent="0.25">
      <c r="A2124">
        <v>1806</v>
      </c>
      <c r="B2124">
        <f>A2124+1</f>
        <v>1807</v>
      </c>
      <c r="C2124" t="s">
        <v>513</v>
      </c>
      <c r="D2124" t="s">
        <v>27</v>
      </c>
      <c r="E2124" s="208" t="s">
        <v>154</v>
      </c>
      <c r="F2124" t="s">
        <v>0</v>
      </c>
      <c r="G2124" s="18">
        <v>1152</v>
      </c>
      <c r="H2124" t="s">
        <v>16</v>
      </c>
      <c r="I2124" t="s">
        <v>18</v>
      </c>
    </row>
    <row r="2125" spans="1:9" x14ac:dyDescent="0.25">
      <c r="A2125">
        <v>1806</v>
      </c>
      <c r="B2125">
        <f>A2125+1</f>
        <v>1807</v>
      </c>
      <c r="C2125" t="s">
        <v>513</v>
      </c>
      <c r="D2125" t="s">
        <v>27</v>
      </c>
      <c r="E2125" s="208" t="s">
        <v>150</v>
      </c>
      <c r="F2125" t="s">
        <v>0</v>
      </c>
      <c r="G2125" s="18">
        <v>8798</v>
      </c>
      <c r="H2125" t="s">
        <v>16</v>
      </c>
      <c r="I2125" t="s">
        <v>18</v>
      </c>
    </row>
    <row r="2126" spans="1:9" x14ac:dyDescent="0.25">
      <c r="A2126">
        <v>1806</v>
      </c>
      <c r="B2126">
        <f>A2126+1</f>
        <v>1807</v>
      </c>
      <c r="C2126" t="s">
        <v>513</v>
      </c>
      <c r="D2126" t="s">
        <v>27</v>
      </c>
      <c r="E2126" s="208" t="s">
        <v>148</v>
      </c>
      <c r="F2126" t="s">
        <v>0</v>
      </c>
      <c r="G2126" s="18">
        <v>519</v>
      </c>
      <c r="H2126" t="s">
        <v>16</v>
      </c>
      <c r="I2126" t="s">
        <v>18</v>
      </c>
    </row>
    <row r="2127" spans="1:9" x14ac:dyDescent="0.25">
      <c r="A2127">
        <v>1806</v>
      </c>
      <c r="B2127">
        <f>A2127+1</f>
        <v>1807</v>
      </c>
      <c r="C2127" t="s">
        <v>513</v>
      </c>
      <c r="D2127" t="s">
        <v>27</v>
      </c>
      <c r="E2127" s="208" t="s">
        <v>139</v>
      </c>
      <c r="F2127" t="s">
        <v>0</v>
      </c>
      <c r="G2127" s="18">
        <v>0</v>
      </c>
      <c r="H2127" t="s">
        <v>16</v>
      </c>
      <c r="I2127" t="s">
        <v>18</v>
      </c>
    </row>
    <row r="2128" spans="1:9" x14ac:dyDescent="0.25">
      <c r="A2128">
        <v>1806</v>
      </c>
      <c r="B2128">
        <f>A2128+1</f>
        <v>1807</v>
      </c>
      <c r="C2128" t="s">
        <v>513</v>
      </c>
      <c r="D2128" t="s">
        <v>27</v>
      </c>
      <c r="E2128" s="208" t="s">
        <v>130</v>
      </c>
      <c r="F2128" t="s">
        <v>0</v>
      </c>
      <c r="G2128" s="18">
        <v>321</v>
      </c>
      <c r="H2128" t="s">
        <v>16</v>
      </c>
      <c r="I2128" t="s">
        <v>18</v>
      </c>
    </row>
    <row r="2129" spans="1:9" x14ac:dyDescent="0.25">
      <c r="A2129">
        <v>1806</v>
      </c>
      <c r="B2129">
        <f>A2129+1</f>
        <v>1807</v>
      </c>
      <c r="C2129" t="s">
        <v>513</v>
      </c>
      <c r="D2129" t="s">
        <v>27</v>
      </c>
      <c r="E2129" s="208" t="s">
        <v>132</v>
      </c>
      <c r="F2129" t="s">
        <v>0</v>
      </c>
      <c r="G2129" s="18">
        <v>375</v>
      </c>
      <c r="H2129" t="s">
        <v>16</v>
      </c>
      <c r="I2129" t="s">
        <v>18</v>
      </c>
    </row>
    <row r="2130" spans="1:9" x14ac:dyDescent="0.25">
      <c r="A2130">
        <v>1806</v>
      </c>
      <c r="B2130">
        <f>A2130+1</f>
        <v>1807</v>
      </c>
      <c r="C2130" t="s">
        <v>513</v>
      </c>
      <c r="D2130" t="s">
        <v>27</v>
      </c>
      <c r="E2130" s="208" t="s">
        <v>142</v>
      </c>
      <c r="F2130" t="s">
        <v>0</v>
      </c>
      <c r="G2130" s="18">
        <v>1179</v>
      </c>
      <c r="H2130" t="s">
        <v>16</v>
      </c>
      <c r="I2130" t="s">
        <v>18</v>
      </c>
    </row>
    <row r="2131" spans="1:9" x14ac:dyDescent="0.25">
      <c r="A2131">
        <v>1806</v>
      </c>
      <c r="B2131">
        <f>A2131+1</f>
        <v>1807</v>
      </c>
      <c r="C2131" t="s">
        <v>513</v>
      </c>
      <c r="D2131" t="s">
        <v>27</v>
      </c>
      <c r="E2131" s="208" t="s">
        <v>144</v>
      </c>
      <c r="F2131" t="s">
        <v>0</v>
      </c>
      <c r="G2131" s="18">
        <v>192</v>
      </c>
      <c r="H2131" t="s">
        <v>16</v>
      </c>
      <c r="I2131" t="s">
        <v>18</v>
      </c>
    </row>
    <row r="2132" spans="1:9" x14ac:dyDescent="0.25">
      <c r="A2132">
        <v>1806</v>
      </c>
      <c r="B2132">
        <f>A2132+1</f>
        <v>1807</v>
      </c>
      <c r="C2132" t="s">
        <v>513</v>
      </c>
      <c r="D2132" t="s">
        <v>27</v>
      </c>
      <c r="E2132" s="208" t="s">
        <v>124</v>
      </c>
      <c r="F2132" t="s">
        <v>0</v>
      </c>
      <c r="G2132" s="18">
        <v>15385961</v>
      </c>
      <c r="H2132" t="s">
        <v>16</v>
      </c>
      <c r="I2132" t="s">
        <v>18</v>
      </c>
    </row>
    <row r="2133" spans="1:9" x14ac:dyDescent="0.25">
      <c r="A2133">
        <v>1806</v>
      </c>
      <c r="B2133">
        <f>A2133+1</f>
        <v>1807</v>
      </c>
      <c r="C2133" t="s">
        <v>513</v>
      </c>
      <c r="D2133" t="s">
        <v>26</v>
      </c>
      <c r="E2133" s="208" t="s">
        <v>65</v>
      </c>
      <c r="F2133" t="s">
        <v>169</v>
      </c>
      <c r="G2133" s="18">
        <v>9993</v>
      </c>
      <c r="H2133" t="s">
        <v>160</v>
      </c>
      <c r="I2133" t="s">
        <v>16</v>
      </c>
    </row>
    <row r="2134" spans="1:9" x14ac:dyDescent="0.25">
      <c r="A2134">
        <v>1806</v>
      </c>
      <c r="B2134">
        <f>A2134+1</f>
        <v>1807</v>
      </c>
      <c r="C2134" t="s">
        <v>513</v>
      </c>
      <c r="D2134" t="s">
        <v>27</v>
      </c>
      <c r="E2134" s="208" t="s">
        <v>155</v>
      </c>
      <c r="F2134" t="s">
        <v>1</v>
      </c>
      <c r="G2134" s="18">
        <v>2588</v>
      </c>
      <c r="H2134" t="s">
        <v>16</v>
      </c>
      <c r="I2134" t="s">
        <v>21</v>
      </c>
    </row>
    <row r="2135" spans="1:9" x14ac:dyDescent="0.25">
      <c r="A2135">
        <v>1806</v>
      </c>
      <c r="B2135">
        <f>A2135+1</f>
        <v>1807</v>
      </c>
      <c r="C2135" t="s">
        <v>513</v>
      </c>
      <c r="D2135" t="s">
        <v>27</v>
      </c>
      <c r="E2135" s="208" t="s">
        <v>156</v>
      </c>
      <c r="F2135" t="s">
        <v>1</v>
      </c>
      <c r="G2135" s="18">
        <v>460</v>
      </c>
      <c r="H2135" t="s">
        <v>16</v>
      </c>
      <c r="I2135" t="s">
        <v>21</v>
      </c>
    </row>
    <row r="2136" spans="1:9" x14ac:dyDescent="0.25">
      <c r="A2136">
        <v>1806</v>
      </c>
      <c r="B2136">
        <f>A2136+1</f>
        <v>1807</v>
      </c>
      <c r="C2136" t="s">
        <v>513</v>
      </c>
      <c r="D2136" t="s">
        <v>27</v>
      </c>
      <c r="E2136" s="208" t="s">
        <v>154</v>
      </c>
      <c r="F2136" t="s">
        <v>1</v>
      </c>
      <c r="G2136" s="18">
        <v>523</v>
      </c>
      <c r="H2136" t="s">
        <v>16</v>
      </c>
      <c r="I2136" t="s">
        <v>21</v>
      </c>
    </row>
    <row r="2137" spans="1:9" x14ac:dyDescent="0.25">
      <c r="A2137">
        <v>1806</v>
      </c>
      <c r="B2137">
        <f>A2137+1</f>
        <v>1807</v>
      </c>
      <c r="C2137" t="s">
        <v>513</v>
      </c>
      <c r="D2137" t="s">
        <v>27</v>
      </c>
      <c r="E2137" s="208" t="s">
        <v>150</v>
      </c>
      <c r="F2137" t="s">
        <v>1</v>
      </c>
      <c r="G2137" s="18">
        <v>1253</v>
      </c>
      <c r="H2137" t="s">
        <v>16</v>
      </c>
      <c r="I2137" t="s">
        <v>21</v>
      </c>
    </row>
    <row r="2138" spans="1:9" x14ac:dyDescent="0.25">
      <c r="A2138">
        <v>1806</v>
      </c>
      <c r="B2138">
        <f>A2138+1</f>
        <v>1807</v>
      </c>
      <c r="C2138" t="s">
        <v>513</v>
      </c>
      <c r="D2138" t="s">
        <v>27</v>
      </c>
      <c r="E2138" s="208" t="s">
        <v>148</v>
      </c>
      <c r="F2138" t="s">
        <v>1</v>
      </c>
      <c r="G2138" s="18">
        <v>210</v>
      </c>
      <c r="H2138" t="s">
        <v>16</v>
      </c>
      <c r="I2138" t="s">
        <v>21</v>
      </c>
    </row>
    <row r="2139" spans="1:9" x14ac:dyDescent="0.25">
      <c r="A2139">
        <v>1806</v>
      </c>
      <c r="B2139">
        <f>A2139+1</f>
        <v>1807</v>
      </c>
      <c r="C2139" t="s">
        <v>513</v>
      </c>
      <c r="D2139" t="s">
        <v>27</v>
      </c>
      <c r="E2139" s="208" t="s">
        <v>139</v>
      </c>
      <c r="F2139" t="s">
        <v>1</v>
      </c>
      <c r="G2139" s="18">
        <v>0</v>
      </c>
      <c r="H2139" t="s">
        <v>16</v>
      </c>
      <c r="I2139" t="s">
        <v>21</v>
      </c>
    </row>
    <row r="2140" spans="1:9" x14ac:dyDescent="0.25">
      <c r="A2140">
        <v>1806</v>
      </c>
      <c r="B2140">
        <f>A2140+1</f>
        <v>1807</v>
      </c>
      <c r="C2140" t="s">
        <v>513</v>
      </c>
      <c r="D2140" t="s">
        <v>27</v>
      </c>
      <c r="E2140" s="208" t="s">
        <v>130</v>
      </c>
      <c r="F2140" t="s">
        <v>1</v>
      </c>
      <c r="G2140" s="18">
        <v>160</v>
      </c>
      <c r="H2140" t="s">
        <v>16</v>
      </c>
      <c r="I2140" t="s">
        <v>21</v>
      </c>
    </row>
    <row r="2141" spans="1:9" x14ac:dyDescent="0.25">
      <c r="A2141">
        <v>1806</v>
      </c>
      <c r="B2141">
        <f>A2141+1</f>
        <v>1807</v>
      </c>
      <c r="C2141" t="s">
        <v>513</v>
      </c>
      <c r="D2141" t="s">
        <v>27</v>
      </c>
      <c r="E2141" s="208" t="s">
        <v>132</v>
      </c>
      <c r="F2141" t="s">
        <v>1</v>
      </c>
      <c r="G2141" s="18">
        <v>62</v>
      </c>
      <c r="H2141" t="s">
        <v>16</v>
      </c>
      <c r="I2141" t="s">
        <v>21</v>
      </c>
    </row>
    <row r="2142" spans="1:9" x14ac:dyDescent="0.25">
      <c r="A2142">
        <v>1806</v>
      </c>
      <c r="B2142">
        <f>A2142+1</f>
        <v>1807</v>
      </c>
      <c r="C2142" t="s">
        <v>513</v>
      </c>
      <c r="D2142" t="s">
        <v>27</v>
      </c>
      <c r="E2142" s="208" t="s">
        <v>142</v>
      </c>
      <c r="F2142" t="s">
        <v>1</v>
      </c>
      <c r="G2142" s="18">
        <v>65</v>
      </c>
      <c r="H2142" t="s">
        <v>16</v>
      </c>
      <c r="I2142" t="s">
        <v>21</v>
      </c>
    </row>
    <row r="2143" spans="1:9" x14ac:dyDescent="0.25">
      <c r="A2143">
        <v>1806</v>
      </c>
      <c r="B2143">
        <f>A2143+1</f>
        <v>1807</v>
      </c>
      <c r="C2143" t="s">
        <v>513</v>
      </c>
      <c r="D2143" t="s">
        <v>27</v>
      </c>
      <c r="E2143" s="208" t="s">
        <v>144</v>
      </c>
      <c r="F2143" t="s">
        <v>1</v>
      </c>
      <c r="G2143" s="18">
        <v>0</v>
      </c>
      <c r="H2143" t="s">
        <v>16</v>
      </c>
      <c r="I2143" t="s">
        <v>21</v>
      </c>
    </row>
    <row r="2144" spans="1:9" x14ac:dyDescent="0.25">
      <c r="A2144">
        <v>1806</v>
      </c>
      <c r="B2144">
        <f>A2144+1</f>
        <v>1807</v>
      </c>
      <c r="C2144" t="s">
        <v>513</v>
      </c>
      <c r="D2144" t="s">
        <v>27</v>
      </c>
      <c r="E2144" s="208" t="s">
        <v>124</v>
      </c>
      <c r="F2144" t="s">
        <v>1</v>
      </c>
      <c r="G2144" s="18">
        <v>158010</v>
      </c>
      <c r="H2144" t="s">
        <v>16</v>
      </c>
      <c r="I2144" t="s">
        <v>21</v>
      </c>
    </row>
    <row r="2145" spans="1:9" x14ac:dyDescent="0.25">
      <c r="A2145">
        <v>1806</v>
      </c>
      <c r="B2145">
        <f>A2145+1</f>
        <v>1807</v>
      </c>
      <c r="C2145" t="s">
        <v>513</v>
      </c>
      <c r="D2145" t="s">
        <v>27</v>
      </c>
      <c r="E2145" s="208" t="s">
        <v>155</v>
      </c>
      <c r="F2145" t="s">
        <v>6</v>
      </c>
      <c r="G2145" s="18">
        <v>0</v>
      </c>
      <c r="H2145" t="s">
        <v>16</v>
      </c>
      <c r="I2145" t="s">
        <v>25</v>
      </c>
    </row>
    <row r="2146" spans="1:9" x14ac:dyDescent="0.25">
      <c r="A2146">
        <v>1806</v>
      </c>
      <c r="B2146">
        <f>A2146+1</f>
        <v>1807</v>
      </c>
      <c r="C2146" t="s">
        <v>513</v>
      </c>
      <c r="D2146" t="s">
        <v>27</v>
      </c>
      <c r="E2146" s="208" t="s">
        <v>156</v>
      </c>
      <c r="F2146" t="s">
        <v>6</v>
      </c>
      <c r="G2146" s="18">
        <v>0</v>
      </c>
      <c r="H2146" t="s">
        <v>16</v>
      </c>
      <c r="I2146" t="s">
        <v>25</v>
      </c>
    </row>
    <row r="2147" spans="1:9" x14ac:dyDescent="0.25">
      <c r="A2147">
        <v>1806</v>
      </c>
      <c r="B2147">
        <f>A2147+1</f>
        <v>1807</v>
      </c>
      <c r="C2147" t="s">
        <v>513</v>
      </c>
      <c r="D2147" t="s">
        <v>27</v>
      </c>
      <c r="E2147" s="208" t="s">
        <v>154</v>
      </c>
      <c r="F2147" t="s">
        <v>6</v>
      </c>
      <c r="G2147" s="18">
        <v>0</v>
      </c>
      <c r="H2147" t="s">
        <v>16</v>
      </c>
      <c r="I2147" t="s">
        <v>25</v>
      </c>
    </row>
    <row r="2148" spans="1:9" x14ac:dyDescent="0.25">
      <c r="A2148">
        <v>1806</v>
      </c>
      <c r="B2148">
        <f>A2148+1</f>
        <v>1807</v>
      </c>
      <c r="C2148" t="s">
        <v>513</v>
      </c>
      <c r="D2148" t="s">
        <v>27</v>
      </c>
      <c r="E2148" s="208" t="s">
        <v>150</v>
      </c>
      <c r="F2148" t="s">
        <v>6</v>
      </c>
      <c r="G2148" s="18">
        <v>320</v>
      </c>
      <c r="H2148" t="s">
        <v>16</v>
      </c>
      <c r="I2148" t="s">
        <v>25</v>
      </c>
    </row>
    <row r="2149" spans="1:9" x14ac:dyDescent="0.25">
      <c r="A2149">
        <v>1806</v>
      </c>
      <c r="B2149">
        <f>A2149+1</f>
        <v>1807</v>
      </c>
      <c r="C2149" t="s">
        <v>513</v>
      </c>
      <c r="D2149" t="s">
        <v>27</v>
      </c>
      <c r="E2149" s="208" t="s">
        <v>148</v>
      </c>
      <c r="F2149" t="s">
        <v>6</v>
      </c>
      <c r="G2149" s="18">
        <v>125</v>
      </c>
      <c r="H2149" t="s">
        <v>16</v>
      </c>
      <c r="I2149" t="s">
        <v>25</v>
      </c>
    </row>
    <row r="2150" spans="1:9" x14ac:dyDescent="0.25">
      <c r="A2150">
        <v>1806</v>
      </c>
      <c r="B2150">
        <f>A2150+1</f>
        <v>1807</v>
      </c>
      <c r="C2150" t="s">
        <v>513</v>
      </c>
      <c r="D2150" t="s">
        <v>27</v>
      </c>
      <c r="E2150" s="208" t="s">
        <v>139</v>
      </c>
      <c r="F2150" t="s">
        <v>6</v>
      </c>
      <c r="G2150" s="18">
        <v>0</v>
      </c>
      <c r="H2150" t="s">
        <v>16</v>
      </c>
      <c r="I2150" t="s">
        <v>25</v>
      </c>
    </row>
    <row r="2151" spans="1:9" x14ac:dyDescent="0.25">
      <c r="A2151">
        <v>1806</v>
      </c>
      <c r="B2151">
        <f>A2151+1</f>
        <v>1807</v>
      </c>
      <c r="C2151" t="s">
        <v>513</v>
      </c>
      <c r="D2151" t="s">
        <v>27</v>
      </c>
      <c r="E2151" s="208" t="s">
        <v>130</v>
      </c>
      <c r="F2151" t="s">
        <v>6</v>
      </c>
      <c r="G2151" s="18">
        <v>0</v>
      </c>
      <c r="H2151" t="s">
        <v>16</v>
      </c>
      <c r="I2151" t="s">
        <v>25</v>
      </c>
    </row>
    <row r="2152" spans="1:9" x14ac:dyDescent="0.25">
      <c r="A2152">
        <v>1806</v>
      </c>
      <c r="B2152">
        <f>A2152+1</f>
        <v>1807</v>
      </c>
      <c r="C2152" t="s">
        <v>513</v>
      </c>
      <c r="D2152" t="s">
        <v>27</v>
      </c>
      <c r="E2152" s="208" t="s">
        <v>132</v>
      </c>
      <c r="F2152" t="s">
        <v>6</v>
      </c>
      <c r="G2152" s="18">
        <v>0</v>
      </c>
      <c r="H2152" t="s">
        <v>16</v>
      </c>
      <c r="I2152" t="s">
        <v>25</v>
      </c>
    </row>
    <row r="2153" spans="1:9" x14ac:dyDescent="0.25">
      <c r="A2153">
        <v>1806</v>
      </c>
      <c r="B2153">
        <f>A2153+1</f>
        <v>1807</v>
      </c>
      <c r="C2153" t="s">
        <v>513</v>
      </c>
      <c r="D2153" t="s">
        <v>27</v>
      </c>
      <c r="E2153" s="208" t="s">
        <v>142</v>
      </c>
      <c r="F2153" t="s">
        <v>6</v>
      </c>
      <c r="G2153" s="18">
        <v>0</v>
      </c>
      <c r="H2153" t="s">
        <v>16</v>
      </c>
      <c r="I2153" t="s">
        <v>25</v>
      </c>
    </row>
    <row r="2154" spans="1:9" x14ac:dyDescent="0.25">
      <c r="A2154">
        <v>1806</v>
      </c>
      <c r="B2154">
        <f>A2154+1</f>
        <v>1807</v>
      </c>
      <c r="C2154" t="s">
        <v>513</v>
      </c>
      <c r="D2154" t="s">
        <v>27</v>
      </c>
      <c r="E2154" s="208" t="s">
        <v>144</v>
      </c>
      <c r="F2154" t="s">
        <v>6</v>
      </c>
      <c r="G2154" s="18">
        <v>0</v>
      </c>
      <c r="H2154" t="s">
        <v>16</v>
      </c>
      <c r="I2154" t="s">
        <v>25</v>
      </c>
    </row>
    <row r="2155" spans="1:9" x14ac:dyDescent="0.25">
      <c r="A2155">
        <v>1806</v>
      </c>
      <c r="B2155">
        <f>A2155+1</f>
        <v>1807</v>
      </c>
      <c r="C2155" t="s">
        <v>513</v>
      </c>
      <c r="D2155" t="s">
        <v>27</v>
      </c>
      <c r="E2155" s="208" t="s">
        <v>124</v>
      </c>
      <c r="F2155" t="s">
        <v>6</v>
      </c>
      <c r="G2155" s="18">
        <v>0</v>
      </c>
      <c r="H2155" t="s">
        <v>16</v>
      </c>
      <c r="I2155" t="s">
        <v>25</v>
      </c>
    </row>
    <row r="2156" spans="1:9" x14ac:dyDescent="0.25">
      <c r="A2156">
        <v>1806</v>
      </c>
      <c r="B2156">
        <f>A2156+1</f>
        <v>1807</v>
      </c>
      <c r="C2156" t="s">
        <v>513</v>
      </c>
      <c r="D2156" t="s">
        <v>27</v>
      </c>
      <c r="E2156" s="208" t="s">
        <v>155</v>
      </c>
      <c r="F2156" t="s">
        <v>4</v>
      </c>
      <c r="G2156" s="18">
        <v>143</v>
      </c>
      <c r="H2156" t="s">
        <v>16</v>
      </c>
      <c r="I2156" t="s">
        <v>23</v>
      </c>
    </row>
    <row r="2157" spans="1:9" x14ac:dyDescent="0.25">
      <c r="A2157">
        <v>1806</v>
      </c>
      <c r="B2157">
        <f>A2157+1</f>
        <v>1807</v>
      </c>
      <c r="C2157" t="s">
        <v>513</v>
      </c>
      <c r="D2157" t="s">
        <v>27</v>
      </c>
      <c r="E2157" s="208" t="s">
        <v>156</v>
      </c>
      <c r="F2157" t="s">
        <v>4</v>
      </c>
      <c r="G2157" s="18">
        <v>5</v>
      </c>
      <c r="H2157" t="s">
        <v>16</v>
      </c>
      <c r="I2157" t="s">
        <v>23</v>
      </c>
    </row>
    <row r="2158" spans="1:9" x14ac:dyDescent="0.25">
      <c r="A2158">
        <v>1806</v>
      </c>
      <c r="B2158">
        <f>A2158+1</f>
        <v>1807</v>
      </c>
      <c r="C2158" t="s">
        <v>513</v>
      </c>
      <c r="D2158" t="s">
        <v>27</v>
      </c>
      <c r="E2158" s="208" t="s">
        <v>154</v>
      </c>
      <c r="F2158" t="s">
        <v>4</v>
      </c>
      <c r="G2158" s="18">
        <v>43</v>
      </c>
      <c r="H2158" t="s">
        <v>16</v>
      </c>
      <c r="I2158" t="s">
        <v>23</v>
      </c>
    </row>
    <row r="2159" spans="1:9" x14ac:dyDescent="0.25">
      <c r="A2159">
        <v>1806</v>
      </c>
      <c r="B2159">
        <f>A2159+1</f>
        <v>1807</v>
      </c>
      <c r="C2159" t="s">
        <v>513</v>
      </c>
      <c r="D2159" t="s">
        <v>27</v>
      </c>
      <c r="E2159" s="208" t="s">
        <v>150</v>
      </c>
      <c r="F2159" t="s">
        <v>4</v>
      </c>
      <c r="G2159" s="18">
        <v>2940</v>
      </c>
      <c r="H2159" t="s">
        <v>16</v>
      </c>
      <c r="I2159" t="s">
        <v>23</v>
      </c>
    </row>
    <row r="2160" spans="1:9" x14ac:dyDescent="0.25">
      <c r="A2160">
        <v>1806</v>
      </c>
      <c r="B2160">
        <f>A2160+1</f>
        <v>1807</v>
      </c>
      <c r="C2160" t="s">
        <v>513</v>
      </c>
      <c r="D2160" t="s">
        <v>27</v>
      </c>
      <c r="E2160" s="208" t="s">
        <v>148</v>
      </c>
      <c r="F2160" t="s">
        <v>4</v>
      </c>
      <c r="G2160" s="18">
        <v>431</v>
      </c>
      <c r="H2160" t="s">
        <v>16</v>
      </c>
      <c r="I2160" t="s">
        <v>23</v>
      </c>
    </row>
    <row r="2161" spans="1:9" x14ac:dyDescent="0.25">
      <c r="A2161">
        <v>1806</v>
      </c>
      <c r="B2161">
        <f>A2161+1</f>
        <v>1807</v>
      </c>
      <c r="C2161" t="s">
        <v>513</v>
      </c>
      <c r="D2161" t="s">
        <v>27</v>
      </c>
      <c r="E2161" s="208" t="s">
        <v>139</v>
      </c>
      <c r="F2161" t="s">
        <v>4</v>
      </c>
      <c r="G2161" s="18">
        <v>170</v>
      </c>
      <c r="H2161" t="s">
        <v>16</v>
      </c>
      <c r="I2161" t="s">
        <v>23</v>
      </c>
    </row>
    <row r="2162" spans="1:9" x14ac:dyDescent="0.25">
      <c r="A2162">
        <v>1806</v>
      </c>
      <c r="B2162">
        <f>A2162+1</f>
        <v>1807</v>
      </c>
      <c r="C2162" t="s">
        <v>513</v>
      </c>
      <c r="D2162" t="s">
        <v>27</v>
      </c>
      <c r="E2162" s="208" t="s">
        <v>130</v>
      </c>
      <c r="F2162" t="s">
        <v>4</v>
      </c>
      <c r="G2162" s="18">
        <v>36</v>
      </c>
      <c r="H2162" t="s">
        <v>16</v>
      </c>
      <c r="I2162" t="s">
        <v>23</v>
      </c>
    </row>
    <row r="2163" spans="1:9" x14ac:dyDescent="0.25">
      <c r="A2163">
        <v>1806</v>
      </c>
      <c r="B2163">
        <f>A2163+1</f>
        <v>1807</v>
      </c>
      <c r="C2163" t="s">
        <v>513</v>
      </c>
      <c r="D2163" t="s">
        <v>27</v>
      </c>
      <c r="E2163" s="208" t="s">
        <v>132</v>
      </c>
      <c r="F2163" t="s">
        <v>4</v>
      </c>
      <c r="G2163" s="18">
        <v>7</v>
      </c>
      <c r="H2163" t="s">
        <v>16</v>
      </c>
      <c r="I2163" t="s">
        <v>23</v>
      </c>
    </row>
    <row r="2164" spans="1:9" x14ac:dyDescent="0.25">
      <c r="A2164">
        <v>1806</v>
      </c>
      <c r="B2164">
        <f>A2164+1</f>
        <v>1807</v>
      </c>
      <c r="C2164" t="s">
        <v>513</v>
      </c>
      <c r="D2164" t="s">
        <v>27</v>
      </c>
      <c r="E2164" s="208" t="s">
        <v>142</v>
      </c>
      <c r="F2164" t="s">
        <v>4</v>
      </c>
      <c r="G2164" s="18">
        <v>1481</v>
      </c>
      <c r="H2164" t="s">
        <v>16</v>
      </c>
      <c r="I2164" t="s">
        <v>23</v>
      </c>
    </row>
    <row r="2165" spans="1:9" x14ac:dyDescent="0.25">
      <c r="A2165">
        <v>1806</v>
      </c>
      <c r="B2165">
        <f>A2165+1</f>
        <v>1807</v>
      </c>
      <c r="C2165" t="s">
        <v>513</v>
      </c>
      <c r="D2165" t="s">
        <v>27</v>
      </c>
      <c r="E2165" s="208" t="s">
        <v>144</v>
      </c>
      <c r="F2165" t="s">
        <v>4</v>
      </c>
      <c r="G2165" s="18">
        <v>209</v>
      </c>
      <c r="H2165" t="s">
        <v>16</v>
      </c>
      <c r="I2165" t="s">
        <v>23</v>
      </c>
    </row>
    <row r="2166" spans="1:9" x14ac:dyDescent="0.25">
      <c r="A2166">
        <v>1806</v>
      </c>
      <c r="B2166">
        <f>A2166+1</f>
        <v>1807</v>
      </c>
      <c r="C2166" t="s">
        <v>513</v>
      </c>
      <c r="D2166" t="s">
        <v>27</v>
      </c>
      <c r="E2166" s="208" t="s">
        <v>124</v>
      </c>
      <c r="F2166" t="s">
        <v>4</v>
      </c>
      <c r="G2166" s="18">
        <v>1550528</v>
      </c>
      <c r="H2166" t="s">
        <v>16</v>
      </c>
      <c r="I2166" t="s">
        <v>23</v>
      </c>
    </row>
    <row r="2167" spans="1:9" x14ac:dyDescent="0.25">
      <c r="A2167">
        <v>1806</v>
      </c>
      <c r="B2167">
        <f>A2167+1</f>
        <v>1807</v>
      </c>
      <c r="C2167" t="s">
        <v>513</v>
      </c>
      <c r="D2167" t="s">
        <v>26</v>
      </c>
      <c r="E2167" s="208" t="s">
        <v>57</v>
      </c>
      <c r="F2167" t="s">
        <v>4</v>
      </c>
      <c r="G2167" s="18">
        <v>91731</v>
      </c>
      <c r="H2167" t="s">
        <v>23</v>
      </c>
      <c r="I2167" t="s">
        <v>16</v>
      </c>
    </row>
    <row r="2168" spans="1:9" x14ac:dyDescent="0.25">
      <c r="A2168">
        <v>1806</v>
      </c>
      <c r="B2168">
        <f>A2168+1</f>
        <v>1807</v>
      </c>
      <c r="C2168" t="s">
        <v>513</v>
      </c>
      <c r="D2168" t="s">
        <v>26</v>
      </c>
      <c r="E2168" s="208" t="s">
        <v>35</v>
      </c>
      <c r="F2168" t="s">
        <v>4</v>
      </c>
      <c r="G2168" s="18">
        <v>13348</v>
      </c>
      <c r="H2168" t="s">
        <v>23</v>
      </c>
      <c r="I2168" t="s">
        <v>16</v>
      </c>
    </row>
    <row r="2169" spans="1:9" x14ac:dyDescent="0.25">
      <c r="A2169">
        <v>1806</v>
      </c>
      <c r="B2169">
        <f>A2169+1</f>
        <v>1807</v>
      </c>
      <c r="C2169" t="s">
        <v>513</v>
      </c>
      <c r="D2169" t="s">
        <v>26</v>
      </c>
      <c r="E2169" s="208" t="s">
        <v>36</v>
      </c>
      <c r="F2169" t="s">
        <v>4</v>
      </c>
      <c r="G2169" s="18">
        <v>4925</v>
      </c>
      <c r="H2169" t="s">
        <v>23</v>
      </c>
      <c r="I2169" t="s">
        <v>16</v>
      </c>
    </row>
    <row r="2170" spans="1:9" x14ac:dyDescent="0.25">
      <c r="A2170">
        <v>1806</v>
      </c>
      <c r="B2170">
        <f>A2170+1</f>
        <v>1807</v>
      </c>
      <c r="C2170" t="s">
        <v>513</v>
      </c>
      <c r="D2170" t="s">
        <v>26</v>
      </c>
      <c r="E2170" s="208" t="s">
        <v>39</v>
      </c>
      <c r="F2170" t="s">
        <v>4</v>
      </c>
      <c r="G2170" s="18">
        <v>5826</v>
      </c>
      <c r="H2170" t="s">
        <v>23</v>
      </c>
      <c r="I2170" t="s">
        <v>16</v>
      </c>
    </row>
    <row r="2171" spans="1:9" x14ac:dyDescent="0.25">
      <c r="A2171">
        <v>1806</v>
      </c>
      <c r="B2171">
        <f>A2171+1</f>
        <v>1807</v>
      </c>
      <c r="C2171" t="s">
        <v>513</v>
      </c>
      <c r="D2171" t="s">
        <v>26</v>
      </c>
      <c r="E2171" s="208" t="s">
        <v>99</v>
      </c>
      <c r="F2171" t="s">
        <v>4</v>
      </c>
      <c r="G2171" s="18">
        <v>3178</v>
      </c>
      <c r="H2171" t="s">
        <v>23</v>
      </c>
      <c r="I2171" t="s">
        <v>16</v>
      </c>
    </row>
    <row r="2172" spans="1:9" x14ac:dyDescent="0.25">
      <c r="A2172">
        <v>1806</v>
      </c>
      <c r="B2172">
        <f>A2172+1</f>
        <v>1807</v>
      </c>
      <c r="C2172" t="s">
        <v>513</v>
      </c>
      <c r="D2172" t="s">
        <v>26</v>
      </c>
      <c r="E2172" s="208" t="s">
        <v>351</v>
      </c>
      <c r="F2172" t="s">
        <v>4</v>
      </c>
      <c r="G2172" s="18">
        <v>1176</v>
      </c>
      <c r="H2172" t="s">
        <v>23</v>
      </c>
      <c r="I2172" t="s">
        <v>16</v>
      </c>
    </row>
    <row r="2173" spans="1:9" x14ac:dyDescent="0.25">
      <c r="A2173">
        <v>1806</v>
      </c>
      <c r="B2173">
        <f>A2173+1</f>
        <v>1807</v>
      </c>
      <c r="C2173" t="s">
        <v>513</v>
      </c>
      <c r="D2173" t="s">
        <v>26</v>
      </c>
      <c r="E2173" s="208" t="s">
        <v>352</v>
      </c>
      <c r="F2173" t="s">
        <v>4</v>
      </c>
      <c r="G2173" s="18">
        <v>22667</v>
      </c>
      <c r="H2173" t="s">
        <v>23</v>
      </c>
      <c r="I2173" t="s">
        <v>16</v>
      </c>
    </row>
    <row r="2174" spans="1:9" x14ac:dyDescent="0.25">
      <c r="A2174">
        <v>1806</v>
      </c>
      <c r="B2174">
        <f>A2174+1</f>
        <v>1807</v>
      </c>
      <c r="C2174" t="s">
        <v>513</v>
      </c>
      <c r="D2174" t="s">
        <v>26</v>
      </c>
      <c r="E2174" s="208" t="s">
        <v>75</v>
      </c>
      <c r="F2174" t="s">
        <v>4</v>
      </c>
      <c r="G2174" s="18">
        <v>6109869</v>
      </c>
      <c r="H2174" t="s">
        <v>23</v>
      </c>
      <c r="I2174" t="s">
        <v>16</v>
      </c>
    </row>
    <row r="2175" spans="1:9" x14ac:dyDescent="0.25">
      <c r="A2175">
        <v>1806</v>
      </c>
      <c r="B2175">
        <f>A2175+1</f>
        <v>1807</v>
      </c>
      <c r="C2175" t="s">
        <v>513</v>
      </c>
      <c r="D2175" t="s">
        <v>26</v>
      </c>
      <c r="E2175" s="208" t="s">
        <v>107</v>
      </c>
      <c r="F2175" t="s">
        <v>4</v>
      </c>
      <c r="G2175" s="18">
        <v>3610097</v>
      </c>
      <c r="H2175" t="s">
        <v>23</v>
      </c>
      <c r="I2175" t="s">
        <v>16</v>
      </c>
    </row>
    <row r="2176" spans="1:9" x14ac:dyDescent="0.25">
      <c r="A2176">
        <v>1806</v>
      </c>
      <c r="B2176">
        <f>A2176+1</f>
        <v>1807</v>
      </c>
      <c r="C2176" t="s">
        <v>513</v>
      </c>
      <c r="D2176" t="s">
        <v>26</v>
      </c>
      <c r="E2176" s="208" t="s">
        <v>101</v>
      </c>
      <c r="F2176" t="s">
        <v>4</v>
      </c>
      <c r="G2176" s="18">
        <v>8798261</v>
      </c>
      <c r="H2176" t="s">
        <v>23</v>
      </c>
      <c r="I2176" t="s">
        <v>16</v>
      </c>
    </row>
    <row r="2177" spans="1:9" x14ac:dyDescent="0.25">
      <c r="A2177">
        <v>1806</v>
      </c>
      <c r="B2177">
        <f>A2177+1</f>
        <v>1807</v>
      </c>
      <c r="C2177" t="s">
        <v>513</v>
      </c>
      <c r="D2177" t="s">
        <v>27</v>
      </c>
      <c r="E2177" s="208" t="s">
        <v>155</v>
      </c>
      <c r="F2177" t="s">
        <v>7</v>
      </c>
      <c r="G2177" s="18">
        <v>45519</v>
      </c>
      <c r="H2177" t="s">
        <v>16</v>
      </c>
      <c r="I2177" s="151" t="s">
        <v>562</v>
      </c>
    </row>
    <row r="2178" spans="1:9" x14ac:dyDescent="0.25">
      <c r="A2178">
        <v>1806</v>
      </c>
      <c r="B2178">
        <f>A2178+1</f>
        <v>1807</v>
      </c>
      <c r="C2178" t="s">
        <v>513</v>
      </c>
      <c r="D2178" t="s">
        <v>27</v>
      </c>
      <c r="E2178" s="208" t="s">
        <v>156</v>
      </c>
      <c r="F2178" t="s">
        <v>7</v>
      </c>
      <c r="G2178" s="18">
        <v>5734</v>
      </c>
      <c r="H2178" t="s">
        <v>16</v>
      </c>
      <c r="I2178" s="151" t="s">
        <v>562</v>
      </c>
    </row>
    <row r="2179" spans="1:9" x14ac:dyDescent="0.25">
      <c r="A2179">
        <v>1806</v>
      </c>
      <c r="B2179">
        <f>A2179+1</f>
        <v>1807</v>
      </c>
      <c r="C2179" t="s">
        <v>513</v>
      </c>
      <c r="D2179" t="s">
        <v>27</v>
      </c>
      <c r="E2179" s="208" t="s">
        <v>154</v>
      </c>
      <c r="F2179" t="s">
        <v>7</v>
      </c>
      <c r="G2179" s="18">
        <v>2521</v>
      </c>
      <c r="H2179" t="s">
        <v>16</v>
      </c>
      <c r="I2179" s="151" t="s">
        <v>562</v>
      </c>
    </row>
    <row r="2180" spans="1:9" x14ac:dyDescent="0.25">
      <c r="A2180">
        <v>1806</v>
      </c>
      <c r="B2180">
        <f>A2180+1</f>
        <v>1807</v>
      </c>
      <c r="C2180" t="s">
        <v>513</v>
      </c>
      <c r="D2180" t="s">
        <v>27</v>
      </c>
      <c r="E2180" s="208" t="s">
        <v>150</v>
      </c>
      <c r="F2180" t="s">
        <v>7</v>
      </c>
      <c r="G2180" s="18">
        <v>15134</v>
      </c>
      <c r="H2180" t="s">
        <v>16</v>
      </c>
      <c r="I2180" s="151" t="s">
        <v>562</v>
      </c>
    </row>
    <row r="2181" spans="1:9" x14ac:dyDescent="0.25">
      <c r="A2181">
        <v>1806</v>
      </c>
      <c r="B2181">
        <f>A2181+1</f>
        <v>1807</v>
      </c>
      <c r="C2181" t="s">
        <v>513</v>
      </c>
      <c r="D2181" t="s">
        <v>27</v>
      </c>
      <c r="E2181" s="208" t="s">
        <v>148</v>
      </c>
      <c r="F2181" t="s">
        <v>7</v>
      </c>
      <c r="G2181" s="18">
        <v>1360</v>
      </c>
      <c r="H2181" t="s">
        <v>16</v>
      </c>
      <c r="I2181" s="151" t="s">
        <v>562</v>
      </c>
    </row>
    <row r="2182" spans="1:9" x14ac:dyDescent="0.25">
      <c r="A2182">
        <v>1806</v>
      </c>
      <c r="B2182">
        <f>A2182+1</f>
        <v>1807</v>
      </c>
      <c r="C2182" t="s">
        <v>513</v>
      </c>
      <c r="D2182" t="s">
        <v>27</v>
      </c>
      <c r="E2182" s="208" t="s">
        <v>139</v>
      </c>
      <c r="F2182" t="s">
        <v>7</v>
      </c>
      <c r="G2182" s="18">
        <v>187</v>
      </c>
      <c r="H2182" t="s">
        <v>16</v>
      </c>
      <c r="I2182" s="151" t="s">
        <v>562</v>
      </c>
    </row>
    <row r="2183" spans="1:9" x14ac:dyDescent="0.25">
      <c r="A2183">
        <v>1806</v>
      </c>
      <c r="B2183">
        <f>A2183+1</f>
        <v>1807</v>
      </c>
      <c r="C2183" t="s">
        <v>513</v>
      </c>
      <c r="D2183" t="s">
        <v>27</v>
      </c>
      <c r="E2183" s="208" t="s">
        <v>130</v>
      </c>
      <c r="F2183" t="s">
        <v>7</v>
      </c>
      <c r="G2183" s="18">
        <v>517</v>
      </c>
      <c r="H2183" t="s">
        <v>16</v>
      </c>
      <c r="I2183" s="151" t="s">
        <v>562</v>
      </c>
    </row>
    <row r="2184" spans="1:9" x14ac:dyDescent="0.25">
      <c r="A2184">
        <v>1806</v>
      </c>
      <c r="B2184">
        <f>A2184+1</f>
        <v>1807</v>
      </c>
      <c r="C2184" t="s">
        <v>513</v>
      </c>
      <c r="D2184" t="s">
        <v>27</v>
      </c>
      <c r="E2184" s="208" t="s">
        <v>132</v>
      </c>
      <c r="F2184" t="s">
        <v>7</v>
      </c>
      <c r="G2184" s="18">
        <v>444</v>
      </c>
      <c r="H2184" t="s">
        <v>16</v>
      </c>
      <c r="I2184" s="151" t="s">
        <v>562</v>
      </c>
    </row>
    <row r="2185" spans="1:9" x14ac:dyDescent="0.25">
      <c r="A2185">
        <v>1806</v>
      </c>
      <c r="B2185">
        <f>A2185+1</f>
        <v>1807</v>
      </c>
      <c r="C2185" t="s">
        <v>513</v>
      </c>
      <c r="D2185" t="s">
        <v>27</v>
      </c>
      <c r="E2185" s="208" t="s">
        <v>142</v>
      </c>
      <c r="F2185" t="s">
        <v>7</v>
      </c>
      <c r="G2185" s="18">
        <v>2735</v>
      </c>
      <c r="H2185" t="s">
        <v>16</v>
      </c>
      <c r="I2185" s="151" t="s">
        <v>562</v>
      </c>
    </row>
    <row r="2186" spans="1:9" x14ac:dyDescent="0.25">
      <c r="A2186">
        <v>1806</v>
      </c>
      <c r="B2186">
        <f>A2186+1</f>
        <v>1807</v>
      </c>
      <c r="C2186" t="s">
        <v>513</v>
      </c>
      <c r="D2186" t="s">
        <v>27</v>
      </c>
      <c r="E2186" s="208" t="s">
        <v>144</v>
      </c>
      <c r="F2186" t="s">
        <v>7</v>
      </c>
      <c r="G2186" s="18">
        <v>401</v>
      </c>
      <c r="H2186" t="s">
        <v>16</v>
      </c>
      <c r="I2186" s="151" t="s">
        <v>562</v>
      </c>
    </row>
    <row r="2187" spans="1:9" x14ac:dyDescent="0.25">
      <c r="A2187">
        <v>1806</v>
      </c>
      <c r="B2187">
        <f>A2187+1</f>
        <v>1807</v>
      </c>
      <c r="C2187" t="s">
        <v>513</v>
      </c>
      <c r="D2187" t="s">
        <v>27</v>
      </c>
      <c r="E2187" s="208" t="s">
        <v>124</v>
      </c>
      <c r="F2187" t="s">
        <v>7</v>
      </c>
      <c r="G2187" s="18">
        <v>17190251</v>
      </c>
      <c r="H2187" t="s">
        <v>16</v>
      </c>
      <c r="I2187" s="151" t="s">
        <v>562</v>
      </c>
    </row>
    <row r="2188" spans="1:9" x14ac:dyDescent="0.25">
      <c r="A2188">
        <v>1806</v>
      </c>
      <c r="B2188">
        <f>A2188+1</f>
        <v>1807</v>
      </c>
      <c r="C2188" t="s">
        <v>513</v>
      </c>
      <c r="D2188" t="s">
        <v>26</v>
      </c>
      <c r="E2188" s="208" t="s">
        <v>62</v>
      </c>
      <c r="F2188" t="s">
        <v>7</v>
      </c>
      <c r="G2188" s="18">
        <v>156</v>
      </c>
      <c r="H2188" s="151" t="s">
        <v>563</v>
      </c>
      <c r="I2188" t="s">
        <v>16</v>
      </c>
    </row>
    <row r="2189" spans="1:9" x14ac:dyDescent="0.25">
      <c r="A2189">
        <v>1806</v>
      </c>
      <c r="B2189">
        <f>A2189+1</f>
        <v>1807</v>
      </c>
      <c r="C2189" t="s">
        <v>513</v>
      </c>
      <c r="D2189" t="s">
        <v>26</v>
      </c>
      <c r="E2189" s="208" t="s">
        <v>57</v>
      </c>
      <c r="F2189" t="s">
        <v>7</v>
      </c>
      <c r="G2189" s="18">
        <v>91731</v>
      </c>
      <c r="H2189" s="151" t="s">
        <v>563</v>
      </c>
      <c r="I2189" t="s">
        <v>16</v>
      </c>
    </row>
    <row r="2190" spans="1:9" x14ac:dyDescent="0.25">
      <c r="A2190">
        <v>1806</v>
      </c>
      <c r="B2190">
        <f>A2190+1</f>
        <v>1807</v>
      </c>
      <c r="C2190" t="s">
        <v>513</v>
      </c>
      <c r="D2190" t="s">
        <v>26</v>
      </c>
      <c r="E2190" s="208" t="s">
        <v>35</v>
      </c>
      <c r="F2190" t="s">
        <v>7</v>
      </c>
      <c r="G2190" s="18">
        <v>13348</v>
      </c>
      <c r="H2190" s="151" t="s">
        <v>563</v>
      </c>
      <c r="I2190" t="s">
        <v>16</v>
      </c>
    </row>
    <row r="2191" spans="1:9" x14ac:dyDescent="0.25">
      <c r="A2191">
        <v>1806</v>
      </c>
      <c r="B2191">
        <f>A2191+1</f>
        <v>1807</v>
      </c>
      <c r="C2191" t="s">
        <v>513</v>
      </c>
      <c r="D2191" t="s">
        <v>26</v>
      </c>
      <c r="E2191" s="208" t="s">
        <v>36</v>
      </c>
      <c r="F2191" t="s">
        <v>7</v>
      </c>
      <c r="G2191" s="18">
        <v>5003</v>
      </c>
      <c r="H2191" s="151" t="s">
        <v>563</v>
      </c>
      <c r="I2191" t="s">
        <v>16</v>
      </c>
    </row>
    <row r="2192" spans="1:9" x14ac:dyDescent="0.25">
      <c r="A2192">
        <v>1806</v>
      </c>
      <c r="B2192">
        <f>A2192+1</f>
        <v>1807</v>
      </c>
      <c r="C2192" t="s">
        <v>513</v>
      </c>
      <c r="D2192" t="s">
        <v>26</v>
      </c>
      <c r="E2192" s="208" t="s">
        <v>39</v>
      </c>
      <c r="F2192" t="s">
        <v>7</v>
      </c>
      <c r="G2192" s="18">
        <v>5826</v>
      </c>
      <c r="H2192" s="151" t="s">
        <v>563</v>
      </c>
      <c r="I2192" t="s">
        <v>16</v>
      </c>
    </row>
    <row r="2193" spans="1:9" x14ac:dyDescent="0.25">
      <c r="A2193">
        <v>1806</v>
      </c>
      <c r="B2193">
        <f>A2193+1</f>
        <v>1807</v>
      </c>
      <c r="C2193" t="s">
        <v>513</v>
      </c>
      <c r="D2193" t="s">
        <v>26</v>
      </c>
      <c r="E2193" s="208" t="s">
        <v>99</v>
      </c>
      <c r="F2193" t="s">
        <v>7</v>
      </c>
      <c r="G2193" s="18">
        <v>3178</v>
      </c>
      <c r="H2193" s="151" t="s">
        <v>563</v>
      </c>
      <c r="I2193" t="s">
        <v>16</v>
      </c>
    </row>
    <row r="2194" spans="1:9" x14ac:dyDescent="0.25">
      <c r="A2194">
        <v>1806</v>
      </c>
      <c r="B2194">
        <f>A2194+1</f>
        <v>1807</v>
      </c>
      <c r="C2194" t="s">
        <v>513</v>
      </c>
      <c r="D2194" t="s">
        <v>26</v>
      </c>
      <c r="E2194" s="208" t="s">
        <v>28</v>
      </c>
      <c r="F2194" t="s">
        <v>7</v>
      </c>
      <c r="G2194" s="18">
        <v>312</v>
      </c>
      <c r="H2194" s="151" t="s">
        <v>563</v>
      </c>
      <c r="I2194" t="s">
        <v>16</v>
      </c>
    </row>
    <row r="2195" spans="1:9" x14ac:dyDescent="0.25">
      <c r="A2195">
        <v>1806</v>
      </c>
      <c r="B2195">
        <f>A2195+1</f>
        <v>1807</v>
      </c>
      <c r="C2195" t="s">
        <v>513</v>
      </c>
      <c r="D2195" t="s">
        <v>26</v>
      </c>
      <c r="E2195" s="208" t="s">
        <v>89</v>
      </c>
      <c r="F2195" t="s">
        <v>7</v>
      </c>
      <c r="G2195" s="18">
        <v>50</v>
      </c>
      <c r="H2195" s="151" t="s">
        <v>563</v>
      </c>
      <c r="I2195" t="s">
        <v>16</v>
      </c>
    </row>
    <row r="2196" spans="1:9" x14ac:dyDescent="0.25">
      <c r="A2196">
        <v>1806</v>
      </c>
      <c r="B2196">
        <f>A2196+1</f>
        <v>1807</v>
      </c>
      <c r="C2196" t="s">
        <v>513</v>
      </c>
      <c r="D2196" t="s">
        <v>26</v>
      </c>
      <c r="E2196" s="208" t="s">
        <v>45</v>
      </c>
      <c r="F2196" t="s">
        <v>7</v>
      </c>
      <c r="G2196" s="18">
        <v>87</v>
      </c>
      <c r="H2196" s="151" t="s">
        <v>563</v>
      </c>
      <c r="I2196" t="s">
        <v>16</v>
      </c>
    </row>
    <row r="2197" spans="1:9" x14ac:dyDescent="0.25">
      <c r="A2197">
        <v>1806</v>
      </c>
      <c r="B2197">
        <f>A2197+1</f>
        <v>1807</v>
      </c>
      <c r="C2197" t="s">
        <v>513</v>
      </c>
      <c r="D2197" t="s">
        <v>26</v>
      </c>
      <c r="E2197" s="208" t="s">
        <v>53</v>
      </c>
      <c r="F2197" t="s">
        <v>7</v>
      </c>
      <c r="G2197" s="18">
        <v>1620</v>
      </c>
      <c r="H2197" s="151" t="s">
        <v>563</v>
      </c>
      <c r="I2197" t="s">
        <v>16</v>
      </c>
    </row>
    <row r="2198" spans="1:9" x14ac:dyDescent="0.25">
      <c r="A2198">
        <v>1806</v>
      </c>
      <c r="B2198">
        <f>A2198+1</f>
        <v>1807</v>
      </c>
      <c r="C2198" t="s">
        <v>513</v>
      </c>
      <c r="D2198" t="s">
        <v>26</v>
      </c>
      <c r="E2198" s="208" t="s">
        <v>351</v>
      </c>
      <c r="F2198" t="s">
        <v>7</v>
      </c>
      <c r="G2198" s="18">
        <v>1176</v>
      </c>
      <c r="H2198" s="151" t="s">
        <v>563</v>
      </c>
      <c r="I2198" t="s">
        <v>16</v>
      </c>
    </row>
    <row r="2199" spans="1:9" x14ac:dyDescent="0.25">
      <c r="A2199">
        <v>1806</v>
      </c>
      <c r="B2199">
        <f>A2199+1</f>
        <v>1807</v>
      </c>
      <c r="C2199" t="s">
        <v>513</v>
      </c>
      <c r="D2199" t="s">
        <v>26</v>
      </c>
      <c r="E2199" s="208" t="s">
        <v>352</v>
      </c>
      <c r="F2199" t="s">
        <v>7</v>
      </c>
      <c r="G2199" s="18">
        <v>22667</v>
      </c>
      <c r="H2199" s="151" t="s">
        <v>563</v>
      </c>
      <c r="I2199" t="s">
        <v>16</v>
      </c>
    </row>
    <row r="2200" spans="1:9" x14ac:dyDescent="0.25">
      <c r="A2200">
        <v>1806</v>
      </c>
      <c r="B2200">
        <f>A2200+1</f>
        <v>1807</v>
      </c>
      <c r="C2200" t="s">
        <v>513</v>
      </c>
      <c r="D2200" t="s">
        <v>26</v>
      </c>
      <c r="E2200" s="208" t="s">
        <v>75</v>
      </c>
      <c r="F2200" t="s">
        <v>7</v>
      </c>
      <c r="G2200" s="18">
        <v>6414679</v>
      </c>
      <c r="H2200" s="151" t="s">
        <v>563</v>
      </c>
      <c r="I2200" t="s">
        <v>16</v>
      </c>
    </row>
    <row r="2201" spans="1:9" x14ac:dyDescent="0.25">
      <c r="A2201">
        <v>1806</v>
      </c>
      <c r="B2201">
        <f>A2201+1</f>
        <v>1807</v>
      </c>
      <c r="C2201" t="s">
        <v>513</v>
      </c>
      <c r="D2201" t="s">
        <v>26</v>
      </c>
      <c r="E2201" s="208" t="s">
        <v>107</v>
      </c>
      <c r="F2201" t="s">
        <v>7</v>
      </c>
      <c r="G2201" s="18">
        <v>3698607</v>
      </c>
      <c r="H2201" s="151" t="s">
        <v>563</v>
      </c>
      <c r="I2201" t="s">
        <v>16</v>
      </c>
    </row>
    <row r="2202" spans="1:9" x14ac:dyDescent="0.25">
      <c r="A2202">
        <v>1806</v>
      </c>
      <c r="B2202">
        <f>A2202+1</f>
        <v>1807</v>
      </c>
      <c r="C2202" t="s">
        <v>513</v>
      </c>
      <c r="D2202" t="s">
        <v>26</v>
      </c>
      <c r="E2202" s="208" t="s">
        <v>101</v>
      </c>
      <c r="F2202" t="s">
        <v>7</v>
      </c>
      <c r="G2202" s="18">
        <v>8904961</v>
      </c>
      <c r="H2202" s="151" t="s">
        <v>563</v>
      </c>
      <c r="I2202" t="s">
        <v>16</v>
      </c>
    </row>
    <row r="2203" spans="1:9" x14ac:dyDescent="0.25">
      <c r="A2203">
        <v>1806</v>
      </c>
      <c r="B2203">
        <f>A2203+1</f>
        <v>1807</v>
      </c>
      <c r="C2203" t="s">
        <v>513</v>
      </c>
      <c r="D2203" t="s">
        <v>26</v>
      </c>
      <c r="E2203" s="208" t="s">
        <v>65</v>
      </c>
      <c r="F2203" t="s">
        <v>7</v>
      </c>
      <c r="G2203" s="18">
        <v>9993</v>
      </c>
      <c r="H2203" s="151" t="s">
        <v>563</v>
      </c>
      <c r="I2203" t="s">
        <v>16</v>
      </c>
    </row>
    <row r="2204" spans="1:9" x14ac:dyDescent="0.25">
      <c r="A2204">
        <v>1806</v>
      </c>
      <c r="B2204">
        <f>A2204+1</f>
        <v>1807</v>
      </c>
      <c r="C2204" t="s">
        <v>513</v>
      </c>
      <c r="D2204" t="s">
        <v>26</v>
      </c>
      <c r="E2204" s="208" t="s">
        <v>330</v>
      </c>
      <c r="F2204" t="s">
        <v>7</v>
      </c>
      <c r="G2204" s="18">
        <v>1664</v>
      </c>
      <c r="H2204" s="151" t="s">
        <v>563</v>
      </c>
      <c r="I2204" t="s">
        <v>16</v>
      </c>
    </row>
    <row r="2205" spans="1:9" x14ac:dyDescent="0.25">
      <c r="A2205">
        <v>1806</v>
      </c>
      <c r="B2205">
        <f>A2205+1</f>
        <v>1807</v>
      </c>
      <c r="C2205" t="s">
        <v>513</v>
      </c>
      <c r="D2205" t="s">
        <v>26</v>
      </c>
      <c r="E2205" s="208" t="s">
        <v>331</v>
      </c>
      <c r="F2205" t="s">
        <v>7</v>
      </c>
      <c r="G2205" s="18">
        <v>1766</v>
      </c>
      <c r="H2205" s="151" t="s">
        <v>563</v>
      </c>
      <c r="I2205" t="s">
        <v>16</v>
      </c>
    </row>
    <row r="2206" spans="1:9" x14ac:dyDescent="0.25">
      <c r="A2206">
        <v>1806</v>
      </c>
      <c r="B2206">
        <f>A2206+1</f>
        <v>1807</v>
      </c>
      <c r="C2206" t="s">
        <v>513</v>
      </c>
      <c r="D2206" t="s">
        <v>26</v>
      </c>
      <c r="E2206" s="208" t="s">
        <v>332</v>
      </c>
      <c r="F2206" t="s">
        <v>7</v>
      </c>
      <c r="G2206" s="18">
        <v>461</v>
      </c>
      <c r="H2206" s="151" t="s">
        <v>563</v>
      </c>
      <c r="I2206" t="s">
        <v>16</v>
      </c>
    </row>
    <row r="2207" spans="1:9" x14ac:dyDescent="0.25">
      <c r="A2207">
        <v>1806</v>
      </c>
      <c r="B2207">
        <f>A2207+1</f>
        <v>1807</v>
      </c>
      <c r="C2207" t="s">
        <v>513</v>
      </c>
      <c r="D2207" t="s">
        <v>26</v>
      </c>
      <c r="E2207" s="208" t="s">
        <v>333</v>
      </c>
      <c r="F2207" t="s">
        <v>7</v>
      </c>
      <c r="G2207" s="18">
        <v>1163</v>
      </c>
      <c r="H2207" s="151" t="s">
        <v>563</v>
      </c>
      <c r="I2207" t="s">
        <v>16</v>
      </c>
    </row>
    <row r="2208" spans="1:9" x14ac:dyDescent="0.25">
      <c r="A2208">
        <v>1806</v>
      </c>
      <c r="B2208">
        <f>A2208+1</f>
        <v>1807</v>
      </c>
      <c r="C2208" t="s">
        <v>513</v>
      </c>
      <c r="D2208" t="s">
        <v>27</v>
      </c>
      <c r="E2208" s="208" t="s">
        <v>155</v>
      </c>
      <c r="F2208" t="s">
        <v>10</v>
      </c>
      <c r="G2208" s="18">
        <v>28</v>
      </c>
      <c r="H2208" t="s">
        <v>17</v>
      </c>
      <c r="I2208" t="s">
        <v>24</v>
      </c>
    </row>
    <row r="2209" spans="1:9" x14ac:dyDescent="0.25">
      <c r="A2209">
        <v>1806</v>
      </c>
      <c r="B2209">
        <f>A2209+1</f>
        <v>1807</v>
      </c>
      <c r="C2209" t="s">
        <v>513</v>
      </c>
      <c r="D2209" t="s">
        <v>27</v>
      </c>
      <c r="E2209" s="208" t="s">
        <v>156</v>
      </c>
      <c r="F2209" t="s">
        <v>10</v>
      </c>
      <c r="G2209" s="18">
        <v>59</v>
      </c>
      <c r="H2209" t="s">
        <v>17</v>
      </c>
      <c r="I2209" t="s">
        <v>24</v>
      </c>
    </row>
    <row r="2210" spans="1:9" x14ac:dyDescent="0.25">
      <c r="A2210">
        <v>1806</v>
      </c>
      <c r="B2210">
        <f>A2210+1</f>
        <v>1807</v>
      </c>
      <c r="C2210" t="s">
        <v>513</v>
      </c>
      <c r="D2210" t="s">
        <v>27</v>
      </c>
      <c r="E2210" s="208" t="s">
        <v>154</v>
      </c>
      <c r="F2210" t="s">
        <v>10</v>
      </c>
      <c r="G2210" s="18">
        <v>74</v>
      </c>
      <c r="H2210" t="s">
        <v>17</v>
      </c>
      <c r="I2210" t="s">
        <v>24</v>
      </c>
    </row>
    <row r="2211" spans="1:9" x14ac:dyDescent="0.25">
      <c r="A2211">
        <v>1806</v>
      </c>
      <c r="B2211">
        <f>A2211+1</f>
        <v>1807</v>
      </c>
      <c r="C2211" t="s">
        <v>513</v>
      </c>
      <c r="D2211" t="s">
        <v>27</v>
      </c>
      <c r="E2211" s="208" t="s">
        <v>150</v>
      </c>
      <c r="F2211" t="s">
        <v>10</v>
      </c>
      <c r="G2211" s="18">
        <v>1793</v>
      </c>
      <c r="H2211" t="s">
        <v>17</v>
      </c>
      <c r="I2211" t="s">
        <v>24</v>
      </c>
    </row>
    <row r="2212" spans="1:9" x14ac:dyDescent="0.25">
      <c r="A2212">
        <v>1806</v>
      </c>
      <c r="B2212">
        <f>A2212+1</f>
        <v>1807</v>
      </c>
      <c r="C2212" t="s">
        <v>513</v>
      </c>
      <c r="D2212" t="s">
        <v>27</v>
      </c>
      <c r="E2212" s="208" t="s">
        <v>148</v>
      </c>
      <c r="F2212" t="s">
        <v>10</v>
      </c>
      <c r="G2212" s="18">
        <v>77</v>
      </c>
      <c r="H2212" t="s">
        <v>17</v>
      </c>
      <c r="I2212" t="s">
        <v>24</v>
      </c>
    </row>
    <row r="2213" spans="1:9" x14ac:dyDescent="0.25">
      <c r="A2213">
        <v>1806</v>
      </c>
      <c r="B2213">
        <f>A2213+1</f>
        <v>1807</v>
      </c>
      <c r="C2213" t="s">
        <v>513</v>
      </c>
      <c r="D2213" t="s">
        <v>27</v>
      </c>
      <c r="E2213" s="208" t="s">
        <v>139</v>
      </c>
      <c r="F2213" t="s">
        <v>10</v>
      </c>
      <c r="G2213" s="18">
        <v>20</v>
      </c>
      <c r="H2213" t="s">
        <v>17</v>
      </c>
      <c r="I2213" t="s">
        <v>24</v>
      </c>
    </row>
    <row r="2214" spans="1:9" x14ac:dyDescent="0.25">
      <c r="A2214">
        <v>1806</v>
      </c>
      <c r="B2214">
        <f>A2214+1</f>
        <v>1807</v>
      </c>
      <c r="C2214" t="s">
        <v>513</v>
      </c>
      <c r="D2214" t="s">
        <v>27</v>
      </c>
      <c r="E2214" s="208" t="s">
        <v>130</v>
      </c>
      <c r="F2214" t="s">
        <v>10</v>
      </c>
      <c r="G2214" s="18">
        <v>24</v>
      </c>
      <c r="H2214" t="s">
        <v>17</v>
      </c>
      <c r="I2214" t="s">
        <v>24</v>
      </c>
    </row>
    <row r="2215" spans="1:9" x14ac:dyDescent="0.25">
      <c r="A2215">
        <v>1806</v>
      </c>
      <c r="B2215">
        <f>A2215+1</f>
        <v>1807</v>
      </c>
      <c r="C2215" t="s">
        <v>513</v>
      </c>
      <c r="D2215" t="s">
        <v>27</v>
      </c>
      <c r="E2215" s="208" t="s">
        <v>132</v>
      </c>
      <c r="F2215" t="s">
        <v>10</v>
      </c>
      <c r="G2215" s="18">
        <v>0</v>
      </c>
      <c r="H2215" t="s">
        <v>17</v>
      </c>
      <c r="I2215" t="s">
        <v>24</v>
      </c>
    </row>
    <row r="2216" spans="1:9" x14ac:dyDescent="0.25">
      <c r="A2216">
        <v>1806</v>
      </c>
      <c r="B2216">
        <f>A2216+1</f>
        <v>1807</v>
      </c>
      <c r="C2216" t="s">
        <v>513</v>
      </c>
      <c r="D2216" t="s">
        <v>27</v>
      </c>
      <c r="E2216" s="208" t="s">
        <v>142</v>
      </c>
      <c r="F2216" t="s">
        <v>10</v>
      </c>
      <c r="G2216" s="18">
        <v>2</v>
      </c>
      <c r="H2216" t="s">
        <v>17</v>
      </c>
      <c r="I2216" t="s">
        <v>24</v>
      </c>
    </row>
    <row r="2217" spans="1:9" x14ac:dyDescent="0.25">
      <c r="A2217">
        <v>1806</v>
      </c>
      <c r="B2217">
        <f>A2217+1</f>
        <v>1807</v>
      </c>
      <c r="C2217" t="s">
        <v>513</v>
      </c>
      <c r="D2217" t="s">
        <v>27</v>
      </c>
      <c r="E2217" s="208" t="s">
        <v>144</v>
      </c>
      <c r="F2217" t="s">
        <v>10</v>
      </c>
      <c r="G2217" s="18">
        <v>0</v>
      </c>
      <c r="H2217" t="s">
        <v>17</v>
      </c>
      <c r="I2217" t="s">
        <v>24</v>
      </c>
    </row>
    <row r="2218" spans="1:9" x14ac:dyDescent="0.25">
      <c r="A2218">
        <v>1806</v>
      </c>
      <c r="B2218">
        <f>A2218+1</f>
        <v>1807</v>
      </c>
      <c r="C2218" t="s">
        <v>513</v>
      </c>
      <c r="D2218" t="s">
        <v>27</v>
      </c>
      <c r="E2218" s="208" t="s">
        <v>124</v>
      </c>
      <c r="F2218" t="s">
        <v>10</v>
      </c>
      <c r="G2218" s="18">
        <v>19507</v>
      </c>
      <c r="H2218" t="s">
        <v>17</v>
      </c>
      <c r="I2218" t="s">
        <v>24</v>
      </c>
    </row>
    <row r="2219" spans="1:9" x14ac:dyDescent="0.25">
      <c r="A2219">
        <v>1806</v>
      </c>
      <c r="B2219">
        <f>A2219+1</f>
        <v>1807</v>
      </c>
      <c r="C2219" t="s">
        <v>513</v>
      </c>
      <c r="D2219" t="s">
        <v>26</v>
      </c>
      <c r="E2219" s="208" t="s">
        <v>62</v>
      </c>
      <c r="F2219" t="s">
        <v>10</v>
      </c>
      <c r="G2219" s="18">
        <v>28</v>
      </c>
      <c r="H2219" t="s">
        <v>24</v>
      </c>
      <c r="I2219" t="s">
        <v>17</v>
      </c>
    </row>
    <row r="2220" spans="1:9" x14ac:dyDescent="0.25">
      <c r="A2220">
        <v>1806</v>
      </c>
      <c r="B2220">
        <f>A2220+1</f>
        <v>1807</v>
      </c>
      <c r="C2220" t="s">
        <v>513</v>
      </c>
      <c r="D2220" t="s">
        <v>26</v>
      </c>
      <c r="E2220" s="208" t="s">
        <v>36</v>
      </c>
      <c r="F2220" t="s">
        <v>10</v>
      </c>
      <c r="G2220" s="18">
        <v>25</v>
      </c>
      <c r="H2220" t="s">
        <v>24</v>
      </c>
      <c r="I2220" t="s">
        <v>17</v>
      </c>
    </row>
    <row r="2221" spans="1:9" x14ac:dyDescent="0.25">
      <c r="A2221">
        <v>1806</v>
      </c>
      <c r="B2221">
        <f>A2221+1</f>
        <v>1807</v>
      </c>
      <c r="C2221" t="s">
        <v>513</v>
      </c>
      <c r="D2221" t="s">
        <v>26</v>
      </c>
      <c r="E2221" s="208" t="s">
        <v>28</v>
      </c>
      <c r="F2221" t="s">
        <v>10</v>
      </c>
      <c r="G2221" s="18">
        <v>87</v>
      </c>
      <c r="H2221" t="s">
        <v>24</v>
      </c>
      <c r="I2221" t="s">
        <v>17</v>
      </c>
    </row>
    <row r="2222" spans="1:9" x14ac:dyDescent="0.25">
      <c r="A2222">
        <v>1806</v>
      </c>
      <c r="B2222">
        <f>A2222+1</f>
        <v>1807</v>
      </c>
      <c r="C2222" t="s">
        <v>513</v>
      </c>
      <c r="D2222" t="s">
        <v>26</v>
      </c>
      <c r="E2222" s="208" t="s">
        <v>89</v>
      </c>
      <c r="F2222" t="s">
        <v>10</v>
      </c>
      <c r="G2222" s="18">
        <v>46</v>
      </c>
      <c r="H2222" t="s">
        <v>24</v>
      </c>
      <c r="I2222" t="s">
        <v>17</v>
      </c>
    </row>
    <row r="2223" spans="1:9" x14ac:dyDescent="0.25">
      <c r="A2223">
        <v>1806</v>
      </c>
      <c r="B2223">
        <f>A2223+1</f>
        <v>1807</v>
      </c>
      <c r="C2223" t="s">
        <v>513</v>
      </c>
      <c r="D2223" t="s">
        <v>26</v>
      </c>
      <c r="E2223" s="208" t="s">
        <v>45</v>
      </c>
      <c r="F2223" t="s">
        <v>10</v>
      </c>
      <c r="G2223" s="18">
        <v>34</v>
      </c>
      <c r="H2223" t="s">
        <v>24</v>
      </c>
      <c r="I2223" t="s">
        <v>17</v>
      </c>
    </row>
    <row r="2224" spans="1:9" x14ac:dyDescent="0.25">
      <c r="A2224">
        <v>1806</v>
      </c>
      <c r="B2224">
        <f>A2224+1</f>
        <v>1807</v>
      </c>
      <c r="C2224" t="s">
        <v>513</v>
      </c>
      <c r="D2224" t="s">
        <v>26</v>
      </c>
      <c r="E2224" s="208" t="s">
        <v>53</v>
      </c>
      <c r="F2224" t="s">
        <v>10</v>
      </c>
      <c r="G2224" s="18">
        <v>0</v>
      </c>
      <c r="H2224" t="s">
        <v>24</v>
      </c>
      <c r="I2224" t="s">
        <v>17</v>
      </c>
    </row>
    <row r="2225" spans="1:9" x14ac:dyDescent="0.25">
      <c r="A2225">
        <v>1806</v>
      </c>
      <c r="B2225">
        <f>A2225+1</f>
        <v>1807</v>
      </c>
      <c r="C2225" t="s">
        <v>513</v>
      </c>
      <c r="D2225" t="s">
        <v>26</v>
      </c>
      <c r="E2225" s="208" t="s">
        <v>75</v>
      </c>
      <c r="F2225" t="s">
        <v>10</v>
      </c>
      <c r="G2225" s="18">
        <v>205360</v>
      </c>
      <c r="H2225" t="s">
        <v>24</v>
      </c>
      <c r="I2225" t="s">
        <v>17</v>
      </c>
    </row>
    <row r="2226" spans="1:9" x14ac:dyDescent="0.25">
      <c r="A2226">
        <v>1806</v>
      </c>
      <c r="B2226">
        <f>A2226+1</f>
        <v>1807</v>
      </c>
      <c r="C2226" t="s">
        <v>513</v>
      </c>
      <c r="D2226" t="s">
        <v>26</v>
      </c>
      <c r="E2226" s="208" t="s">
        <v>107</v>
      </c>
      <c r="F2226" t="s">
        <v>10</v>
      </c>
      <c r="G2226" s="18">
        <v>44360</v>
      </c>
      <c r="H2226" t="s">
        <v>24</v>
      </c>
      <c r="I2226" t="s">
        <v>17</v>
      </c>
    </row>
    <row r="2227" spans="1:9" x14ac:dyDescent="0.25">
      <c r="A2227">
        <v>1806</v>
      </c>
      <c r="B2227">
        <f>A2227+1</f>
        <v>1807</v>
      </c>
      <c r="C2227" t="s">
        <v>513</v>
      </c>
      <c r="D2227" t="s">
        <v>26</v>
      </c>
      <c r="E2227" s="208" t="s">
        <v>101</v>
      </c>
      <c r="F2227" t="s">
        <v>10</v>
      </c>
      <c r="G2227" s="18">
        <v>34000</v>
      </c>
      <c r="H2227" t="s">
        <v>24</v>
      </c>
      <c r="I2227" t="s">
        <v>17</v>
      </c>
    </row>
    <row r="2228" spans="1:9" x14ac:dyDescent="0.25">
      <c r="A2228">
        <v>1806</v>
      </c>
      <c r="B2228">
        <f>A2228+1</f>
        <v>1807</v>
      </c>
      <c r="C2228" t="s">
        <v>513</v>
      </c>
      <c r="D2228" t="s">
        <v>26</v>
      </c>
      <c r="E2228" s="208" t="s">
        <v>330</v>
      </c>
      <c r="F2228" t="s">
        <v>13</v>
      </c>
      <c r="G2228" s="18">
        <v>143</v>
      </c>
      <c r="H2228" t="s">
        <v>25</v>
      </c>
      <c r="I2228" t="s">
        <v>17</v>
      </c>
    </row>
    <row r="2229" spans="1:9" x14ac:dyDescent="0.25">
      <c r="A2229">
        <v>1806</v>
      </c>
      <c r="B2229">
        <f>A2229+1</f>
        <v>1807</v>
      </c>
      <c r="C2229" t="s">
        <v>513</v>
      </c>
      <c r="D2229" t="s">
        <v>26</v>
      </c>
      <c r="E2229" s="208" t="s">
        <v>331</v>
      </c>
      <c r="F2229" t="s">
        <v>13</v>
      </c>
      <c r="G2229" s="18">
        <v>76</v>
      </c>
      <c r="H2229" t="s">
        <v>25</v>
      </c>
      <c r="I2229" t="s">
        <v>17</v>
      </c>
    </row>
    <row r="2230" spans="1:9" x14ac:dyDescent="0.25">
      <c r="A2230">
        <v>1806</v>
      </c>
      <c r="B2230">
        <f>A2230+1</f>
        <v>1807</v>
      </c>
      <c r="C2230" t="s">
        <v>513</v>
      </c>
      <c r="D2230" t="s">
        <v>26</v>
      </c>
      <c r="E2230" s="208" t="s">
        <v>332</v>
      </c>
      <c r="F2230" t="s">
        <v>13</v>
      </c>
      <c r="G2230" s="18">
        <v>3</v>
      </c>
      <c r="H2230" t="s">
        <v>25</v>
      </c>
      <c r="I2230" t="s">
        <v>17</v>
      </c>
    </row>
    <row r="2231" spans="1:9" x14ac:dyDescent="0.25">
      <c r="A2231">
        <v>1806</v>
      </c>
      <c r="B2231">
        <f>A2231+1</f>
        <v>1807</v>
      </c>
      <c r="C2231" t="s">
        <v>513</v>
      </c>
      <c r="D2231" t="s">
        <v>26</v>
      </c>
      <c r="E2231" s="208" t="s">
        <v>333</v>
      </c>
      <c r="F2231" t="s">
        <v>13</v>
      </c>
      <c r="G2231" s="18">
        <v>240</v>
      </c>
      <c r="H2231" t="s">
        <v>25</v>
      </c>
      <c r="I2231" t="s">
        <v>17</v>
      </c>
    </row>
    <row r="2232" spans="1:9" x14ac:dyDescent="0.25">
      <c r="A2232">
        <v>1806</v>
      </c>
      <c r="B2232">
        <f>A2232+1</f>
        <v>1807</v>
      </c>
      <c r="C2232" t="s">
        <v>513</v>
      </c>
      <c r="D2232" t="s">
        <v>27</v>
      </c>
      <c r="E2232" s="208" t="s">
        <v>155</v>
      </c>
      <c r="F2232" t="s">
        <v>8</v>
      </c>
      <c r="G2232" s="18">
        <v>77314</v>
      </c>
      <c r="H2232" t="s">
        <v>17</v>
      </c>
      <c r="I2232" t="s">
        <v>18</v>
      </c>
    </row>
    <row r="2233" spans="1:9" x14ac:dyDescent="0.25">
      <c r="A2233">
        <v>1806</v>
      </c>
      <c r="B2233">
        <f>A2233+1</f>
        <v>1807</v>
      </c>
      <c r="C2233" t="s">
        <v>513</v>
      </c>
      <c r="D2233" t="s">
        <v>27</v>
      </c>
      <c r="E2233" s="208" t="s">
        <v>156</v>
      </c>
      <c r="F2233" t="s">
        <v>8</v>
      </c>
      <c r="G2233" s="18">
        <v>11542</v>
      </c>
      <c r="H2233" t="s">
        <v>17</v>
      </c>
      <c r="I2233" t="s">
        <v>18</v>
      </c>
    </row>
    <row r="2234" spans="1:9" x14ac:dyDescent="0.25">
      <c r="A2234">
        <v>1806</v>
      </c>
      <c r="B2234">
        <f>A2234+1</f>
        <v>1807</v>
      </c>
      <c r="C2234" t="s">
        <v>513</v>
      </c>
      <c r="D2234" t="s">
        <v>27</v>
      </c>
      <c r="E2234" s="208" t="s">
        <v>154</v>
      </c>
      <c r="F2234" t="s">
        <v>8</v>
      </c>
      <c r="G2234" s="18">
        <v>1105</v>
      </c>
      <c r="H2234" t="s">
        <v>17</v>
      </c>
      <c r="I2234" t="s">
        <v>18</v>
      </c>
    </row>
    <row r="2235" spans="1:9" x14ac:dyDescent="0.25">
      <c r="A2235">
        <v>1806</v>
      </c>
      <c r="B2235">
        <f>A2235+1</f>
        <v>1807</v>
      </c>
      <c r="C2235" t="s">
        <v>513</v>
      </c>
      <c r="D2235" t="s">
        <v>27</v>
      </c>
      <c r="E2235" s="208" t="s">
        <v>150</v>
      </c>
      <c r="F2235" t="s">
        <v>8</v>
      </c>
      <c r="G2235" s="18">
        <v>21547</v>
      </c>
      <c r="H2235" t="s">
        <v>17</v>
      </c>
      <c r="I2235" t="s">
        <v>18</v>
      </c>
    </row>
    <row r="2236" spans="1:9" x14ac:dyDescent="0.25">
      <c r="A2236">
        <v>1806</v>
      </c>
      <c r="B2236">
        <f>A2236+1</f>
        <v>1807</v>
      </c>
      <c r="C2236" t="s">
        <v>513</v>
      </c>
      <c r="D2236" t="s">
        <v>27</v>
      </c>
      <c r="E2236" s="208" t="s">
        <v>148</v>
      </c>
      <c r="F2236" t="s">
        <v>8</v>
      </c>
      <c r="G2236" s="18">
        <v>557</v>
      </c>
      <c r="H2236" t="s">
        <v>17</v>
      </c>
      <c r="I2236" t="s">
        <v>18</v>
      </c>
    </row>
    <row r="2237" spans="1:9" x14ac:dyDescent="0.25">
      <c r="A2237">
        <v>1806</v>
      </c>
      <c r="B2237">
        <f>A2237+1</f>
        <v>1807</v>
      </c>
      <c r="C2237" t="s">
        <v>513</v>
      </c>
      <c r="D2237" t="s">
        <v>27</v>
      </c>
      <c r="E2237" s="208" t="s">
        <v>139</v>
      </c>
      <c r="F2237" t="s">
        <v>8</v>
      </c>
      <c r="G2237" s="18">
        <v>18</v>
      </c>
      <c r="H2237" t="s">
        <v>17</v>
      </c>
      <c r="I2237" t="s">
        <v>18</v>
      </c>
    </row>
    <row r="2238" spans="1:9" x14ac:dyDescent="0.25">
      <c r="A2238">
        <v>1806</v>
      </c>
      <c r="B2238">
        <f>A2238+1</f>
        <v>1807</v>
      </c>
      <c r="C2238" t="s">
        <v>513</v>
      </c>
      <c r="D2238" t="s">
        <v>27</v>
      </c>
      <c r="E2238" s="208" t="s">
        <v>130</v>
      </c>
      <c r="F2238" t="s">
        <v>8</v>
      </c>
      <c r="G2238" s="18">
        <v>870</v>
      </c>
      <c r="H2238" t="s">
        <v>17</v>
      </c>
      <c r="I2238" t="s">
        <v>18</v>
      </c>
    </row>
    <row r="2239" spans="1:9" x14ac:dyDescent="0.25">
      <c r="A2239">
        <v>1806</v>
      </c>
      <c r="B2239">
        <f>A2239+1</f>
        <v>1807</v>
      </c>
      <c r="C2239" t="s">
        <v>513</v>
      </c>
      <c r="D2239" t="s">
        <v>27</v>
      </c>
      <c r="E2239" s="208" t="s">
        <v>132</v>
      </c>
      <c r="F2239" t="s">
        <v>8</v>
      </c>
      <c r="G2239" s="18">
        <v>68</v>
      </c>
      <c r="H2239" t="s">
        <v>17</v>
      </c>
      <c r="I2239" t="s">
        <v>18</v>
      </c>
    </row>
    <row r="2240" spans="1:9" x14ac:dyDescent="0.25">
      <c r="A2240">
        <v>1806</v>
      </c>
      <c r="B2240">
        <f>A2240+1</f>
        <v>1807</v>
      </c>
      <c r="C2240" t="s">
        <v>513</v>
      </c>
      <c r="D2240" t="s">
        <v>27</v>
      </c>
      <c r="E2240" s="208" t="s">
        <v>142</v>
      </c>
      <c r="F2240" t="s">
        <v>8</v>
      </c>
      <c r="G2240" s="18">
        <v>16487</v>
      </c>
      <c r="H2240" t="s">
        <v>17</v>
      </c>
      <c r="I2240" t="s">
        <v>18</v>
      </c>
    </row>
    <row r="2241" spans="1:9" x14ac:dyDescent="0.25">
      <c r="A2241">
        <v>1806</v>
      </c>
      <c r="B2241">
        <f>A2241+1</f>
        <v>1807</v>
      </c>
      <c r="C2241" t="s">
        <v>513</v>
      </c>
      <c r="D2241" t="s">
        <v>27</v>
      </c>
      <c r="E2241" s="208" t="s">
        <v>144</v>
      </c>
      <c r="F2241" t="s">
        <v>8</v>
      </c>
      <c r="G2241" s="18">
        <v>124</v>
      </c>
      <c r="H2241" t="s">
        <v>17</v>
      </c>
      <c r="I2241" t="s">
        <v>18</v>
      </c>
    </row>
    <row r="2242" spans="1:9" x14ac:dyDescent="0.25">
      <c r="A2242">
        <v>1806</v>
      </c>
      <c r="B2242">
        <f>A2242+1</f>
        <v>1807</v>
      </c>
      <c r="C2242" t="s">
        <v>513</v>
      </c>
      <c r="D2242" t="s">
        <v>27</v>
      </c>
      <c r="E2242" s="208" t="s">
        <v>124</v>
      </c>
      <c r="F2242" t="s">
        <v>8</v>
      </c>
      <c r="G2242" s="18">
        <v>9545255</v>
      </c>
      <c r="H2242" t="s">
        <v>17</v>
      </c>
      <c r="I2242" t="s">
        <v>18</v>
      </c>
    </row>
    <row r="2243" spans="1:9" x14ac:dyDescent="0.25">
      <c r="A2243">
        <v>1806</v>
      </c>
      <c r="B2243">
        <f>A2243+1</f>
        <v>1807</v>
      </c>
      <c r="C2243" t="s">
        <v>513</v>
      </c>
      <c r="D2243" t="s">
        <v>26</v>
      </c>
      <c r="E2243" s="208" t="s">
        <v>65</v>
      </c>
      <c r="F2243" t="s">
        <v>164</v>
      </c>
      <c r="G2243" s="18">
        <v>29570</v>
      </c>
      <c r="H2243" t="s">
        <v>160</v>
      </c>
      <c r="I2243" t="s">
        <v>17</v>
      </c>
    </row>
    <row r="2244" spans="1:9" x14ac:dyDescent="0.25">
      <c r="A2244">
        <v>1806</v>
      </c>
      <c r="B2244">
        <f>A2244+1</f>
        <v>1807</v>
      </c>
      <c r="C2244" t="s">
        <v>513</v>
      </c>
      <c r="D2244" t="s">
        <v>27</v>
      </c>
      <c r="E2244" s="208" t="s">
        <v>155</v>
      </c>
      <c r="F2244" t="s">
        <v>13</v>
      </c>
      <c r="G2244" s="18">
        <v>0</v>
      </c>
      <c r="H2244" t="s">
        <v>17</v>
      </c>
      <c r="I2244" t="s">
        <v>25</v>
      </c>
    </row>
    <row r="2245" spans="1:9" x14ac:dyDescent="0.25">
      <c r="A2245">
        <v>1806</v>
      </c>
      <c r="B2245">
        <f>A2245+1</f>
        <v>1807</v>
      </c>
      <c r="C2245" t="s">
        <v>513</v>
      </c>
      <c r="D2245" t="s">
        <v>27</v>
      </c>
      <c r="E2245" s="208" t="s">
        <v>156</v>
      </c>
      <c r="F2245" t="s">
        <v>13</v>
      </c>
      <c r="G2245" s="18">
        <v>0</v>
      </c>
      <c r="H2245" t="s">
        <v>17</v>
      </c>
      <c r="I2245" t="s">
        <v>25</v>
      </c>
    </row>
    <row r="2246" spans="1:9" x14ac:dyDescent="0.25">
      <c r="A2246">
        <v>1806</v>
      </c>
      <c r="B2246">
        <f>A2246+1</f>
        <v>1807</v>
      </c>
      <c r="C2246" t="s">
        <v>513</v>
      </c>
      <c r="D2246" t="s">
        <v>27</v>
      </c>
      <c r="E2246" s="208" t="s">
        <v>154</v>
      </c>
      <c r="F2246" t="s">
        <v>13</v>
      </c>
      <c r="G2246" s="18">
        <v>0</v>
      </c>
      <c r="H2246" t="s">
        <v>17</v>
      </c>
      <c r="I2246" t="s">
        <v>25</v>
      </c>
    </row>
    <row r="2247" spans="1:9" x14ac:dyDescent="0.25">
      <c r="A2247">
        <v>1806</v>
      </c>
      <c r="B2247">
        <f>A2247+1</f>
        <v>1807</v>
      </c>
      <c r="C2247" t="s">
        <v>513</v>
      </c>
      <c r="D2247" t="s">
        <v>27</v>
      </c>
      <c r="E2247" s="208" t="s">
        <v>150</v>
      </c>
      <c r="F2247" t="s">
        <v>13</v>
      </c>
      <c r="G2247" s="18">
        <v>0</v>
      </c>
      <c r="H2247" t="s">
        <v>17</v>
      </c>
      <c r="I2247" t="s">
        <v>25</v>
      </c>
    </row>
    <row r="2248" spans="1:9" x14ac:dyDescent="0.25">
      <c r="A2248">
        <v>1806</v>
      </c>
      <c r="B2248">
        <f>A2248+1</f>
        <v>1807</v>
      </c>
      <c r="C2248" t="s">
        <v>513</v>
      </c>
      <c r="D2248" t="s">
        <v>27</v>
      </c>
      <c r="E2248" s="208" t="s">
        <v>148</v>
      </c>
      <c r="F2248" t="s">
        <v>13</v>
      </c>
      <c r="G2248" s="18">
        <v>0</v>
      </c>
      <c r="H2248" t="s">
        <v>17</v>
      </c>
      <c r="I2248" t="s">
        <v>25</v>
      </c>
    </row>
    <row r="2249" spans="1:9" x14ac:dyDescent="0.25">
      <c r="A2249">
        <v>1806</v>
      </c>
      <c r="B2249">
        <f>A2249+1</f>
        <v>1807</v>
      </c>
      <c r="C2249" t="s">
        <v>513</v>
      </c>
      <c r="D2249" t="s">
        <v>27</v>
      </c>
      <c r="E2249" s="208" t="s">
        <v>139</v>
      </c>
      <c r="F2249" t="s">
        <v>13</v>
      </c>
      <c r="G2249" s="18">
        <v>0</v>
      </c>
      <c r="H2249" t="s">
        <v>17</v>
      </c>
      <c r="I2249" t="s">
        <v>25</v>
      </c>
    </row>
    <row r="2250" spans="1:9" x14ac:dyDescent="0.25">
      <c r="A2250">
        <v>1806</v>
      </c>
      <c r="B2250">
        <f>A2250+1</f>
        <v>1807</v>
      </c>
      <c r="C2250" t="s">
        <v>513</v>
      </c>
      <c r="D2250" t="s">
        <v>27</v>
      </c>
      <c r="E2250" s="208" t="s">
        <v>130</v>
      </c>
      <c r="F2250" t="s">
        <v>13</v>
      </c>
      <c r="G2250" s="18">
        <v>0</v>
      </c>
      <c r="H2250" t="s">
        <v>17</v>
      </c>
      <c r="I2250" t="s">
        <v>25</v>
      </c>
    </row>
    <row r="2251" spans="1:9" x14ac:dyDescent="0.25">
      <c r="A2251">
        <v>1806</v>
      </c>
      <c r="B2251">
        <f>A2251+1</f>
        <v>1807</v>
      </c>
      <c r="C2251" t="s">
        <v>513</v>
      </c>
      <c r="D2251" t="s">
        <v>27</v>
      </c>
      <c r="E2251" s="208" t="s">
        <v>132</v>
      </c>
      <c r="F2251" t="s">
        <v>13</v>
      </c>
      <c r="G2251" s="18">
        <v>0</v>
      </c>
      <c r="H2251" t="s">
        <v>17</v>
      </c>
      <c r="I2251" t="s">
        <v>25</v>
      </c>
    </row>
    <row r="2252" spans="1:9" x14ac:dyDescent="0.25">
      <c r="A2252">
        <v>1806</v>
      </c>
      <c r="B2252">
        <f>A2252+1</f>
        <v>1807</v>
      </c>
      <c r="C2252" t="s">
        <v>513</v>
      </c>
      <c r="D2252" t="s">
        <v>27</v>
      </c>
      <c r="E2252" s="208" t="s">
        <v>142</v>
      </c>
      <c r="F2252" t="s">
        <v>13</v>
      </c>
      <c r="G2252" s="18">
        <v>0</v>
      </c>
      <c r="H2252" t="s">
        <v>17</v>
      </c>
      <c r="I2252" t="s">
        <v>25</v>
      </c>
    </row>
    <row r="2253" spans="1:9" x14ac:dyDescent="0.25">
      <c r="A2253">
        <v>1806</v>
      </c>
      <c r="B2253">
        <f>A2253+1</f>
        <v>1807</v>
      </c>
      <c r="C2253" t="s">
        <v>513</v>
      </c>
      <c r="D2253" t="s">
        <v>27</v>
      </c>
      <c r="E2253" s="208" t="s">
        <v>144</v>
      </c>
      <c r="F2253" t="s">
        <v>13</v>
      </c>
      <c r="G2253" s="18">
        <v>0</v>
      </c>
      <c r="H2253" t="s">
        <v>17</v>
      </c>
      <c r="I2253" t="s">
        <v>25</v>
      </c>
    </row>
    <row r="2254" spans="1:9" x14ac:dyDescent="0.25">
      <c r="A2254">
        <v>1806</v>
      </c>
      <c r="B2254">
        <f>A2254+1</f>
        <v>1807</v>
      </c>
      <c r="C2254" t="s">
        <v>513</v>
      </c>
      <c r="D2254" t="s">
        <v>27</v>
      </c>
      <c r="E2254" s="208" t="s">
        <v>124</v>
      </c>
      <c r="F2254" t="s">
        <v>13</v>
      </c>
      <c r="G2254" s="18">
        <v>0</v>
      </c>
      <c r="H2254" t="s">
        <v>17</v>
      </c>
      <c r="I2254" t="s">
        <v>25</v>
      </c>
    </row>
    <row r="2255" spans="1:9" x14ac:dyDescent="0.25">
      <c r="A2255">
        <v>1806</v>
      </c>
      <c r="B2255">
        <f>A2255+1</f>
        <v>1807</v>
      </c>
      <c r="C2255" t="s">
        <v>513</v>
      </c>
      <c r="D2255" t="s">
        <v>27</v>
      </c>
      <c r="E2255" s="208" t="s">
        <v>155</v>
      </c>
      <c r="F2255" t="s">
        <v>11</v>
      </c>
      <c r="G2255" s="18">
        <v>314</v>
      </c>
      <c r="H2255" t="s">
        <v>17</v>
      </c>
      <c r="I2255" t="s">
        <v>23</v>
      </c>
    </row>
    <row r="2256" spans="1:9" x14ac:dyDescent="0.25">
      <c r="A2256">
        <v>1806</v>
      </c>
      <c r="B2256">
        <f>A2256+1</f>
        <v>1807</v>
      </c>
      <c r="C2256" t="s">
        <v>513</v>
      </c>
      <c r="D2256" t="s">
        <v>27</v>
      </c>
      <c r="E2256" s="208" t="s">
        <v>156</v>
      </c>
      <c r="F2256" t="s">
        <v>11</v>
      </c>
      <c r="G2256" s="18">
        <v>9</v>
      </c>
      <c r="H2256" t="s">
        <v>17</v>
      </c>
      <c r="I2256" t="s">
        <v>23</v>
      </c>
    </row>
    <row r="2257" spans="1:9" x14ac:dyDescent="0.25">
      <c r="A2257">
        <v>1806</v>
      </c>
      <c r="B2257">
        <f>A2257+1</f>
        <v>1807</v>
      </c>
      <c r="C2257" t="s">
        <v>513</v>
      </c>
      <c r="D2257" t="s">
        <v>27</v>
      </c>
      <c r="E2257" s="208" t="s">
        <v>154</v>
      </c>
      <c r="F2257" t="s">
        <v>11</v>
      </c>
      <c r="G2257" s="18">
        <v>16</v>
      </c>
      <c r="H2257" t="s">
        <v>17</v>
      </c>
      <c r="I2257" t="s">
        <v>23</v>
      </c>
    </row>
    <row r="2258" spans="1:9" x14ac:dyDescent="0.25">
      <c r="A2258">
        <v>1806</v>
      </c>
      <c r="B2258">
        <f>A2258+1</f>
        <v>1807</v>
      </c>
      <c r="C2258" t="s">
        <v>513</v>
      </c>
      <c r="D2258" t="s">
        <v>27</v>
      </c>
      <c r="E2258" s="208" t="s">
        <v>150</v>
      </c>
      <c r="F2258" t="s">
        <v>11</v>
      </c>
      <c r="G2258" s="18">
        <v>13338</v>
      </c>
      <c r="H2258" t="s">
        <v>17</v>
      </c>
      <c r="I2258" t="s">
        <v>23</v>
      </c>
    </row>
    <row r="2259" spans="1:9" x14ac:dyDescent="0.25">
      <c r="A2259">
        <v>1806</v>
      </c>
      <c r="B2259">
        <f>A2259+1</f>
        <v>1807</v>
      </c>
      <c r="C2259" t="s">
        <v>513</v>
      </c>
      <c r="D2259" t="s">
        <v>27</v>
      </c>
      <c r="E2259" s="208" t="s">
        <v>148</v>
      </c>
      <c r="F2259" t="s">
        <v>11</v>
      </c>
      <c r="G2259" s="18">
        <v>4</v>
      </c>
      <c r="H2259" t="s">
        <v>17</v>
      </c>
      <c r="I2259" t="s">
        <v>23</v>
      </c>
    </row>
    <row r="2260" spans="1:9" x14ac:dyDescent="0.25">
      <c r="A2260">
        <v>1806</v>
      </c>
      <c r="B2260">
        <f>A2260+1</f>
        <v>1807</v>
      </c>
      <c r="C2260" t="s">
        <v>513</v>
      </c>
      <c r="D2260" t="s">
        <v>27</v>
      </c>
      <c r="E2260" s="208" t="s">
        <v>139</v>
      </c>
      <c r="F2260" t="s">
        <v>11</v>
      </c>
      <c r="G2260" s="18">
        <v>474</v>
      </c>
      <c r="H2260" t="s">
        <v>17</v>
      </c>
      <c r="I2260" t="s">
        <v>23</v>
      </c>
    </row>
    <row r="2261" spans="1:9" x14ac:dyDescent="0.25">
      <c r="A2261">
        <v>1806</v>
      </c>
      <c r="B2261">
        <f>A2261+1</f>
        <v>1807</v>
      </c>
      <c r="C2261" t="s">
        <v>513</v>
      </c>
      <c r="D2261" t="s">
        <v>27</v>
      </c>
      <c r="E2261" s="208" t="s">
        <v>130</v>
      </c>
      <c r="F2261" t="s">
        <v>11</v>
      </c>
      <c r="G2261" s="18">
        <v>0</v>
      </c>
      <c r="H2261" t="s">
        <v>17</v>
      </c>
      <c r="I2261" t="s">
        <v>23</v>
      </c>
    </row>
    <row r="2262" spans="1:9" x14ac:dyDescent="0.25">
      <c r="A2262">
        <v>1806</v>
      </c>
      <c r="B2262">
        <f>A2262+1</f>
        <v>1807</v>
      </c>
      <c r="C2262" t="s">
        <v>513</v>
      </c>
      <c r="D2262" t="s">
        <v>27</v>
      </c>
      <c r="E2262" s="208" t="s">
        <v>132</v>
      </c>
      <c r="F2262" t="s">
        <v>11</v>
      </c>
      <c r="G2262" s="18">
        <v>0</v>
      </c>
      <c r="H2262" t="s">
        <v>17</v>
      </c>
      <c r="I2262" t="s">
        <v>23</v>
      </c>
    </row>
    <row r="2263" spans="1:9" x14ac:dyDescent="0.25">
      <c r="A2263">
        <v>1806</v>
      </c>
      <c r="B2263">
        <f>A2263+1</f>
        <v>1807</v>
      </c>
      <c r="C2263" t="s">
        <v>513</v>
      </c>
      <c r="D2263" t="s">
        <v>27</v>
      </c>
      <c r="E2263" s="208" t="s">
        <v>142</v>
      </c>
      <c r="F2263" t="s">
        <v>11</v>
      </c>
      <c r="G2263" s="18">
        <v>0</v>
      </c>
      <c r="H2263" t="s">
        <v>17</v>
      </c>
      <c r="I2263" t="s">
        <v>23</v>
      </c>
    </row>
    <row r="2264" spans="1:9" x14ac:dyDescent="0.25">
      <c r="A2264">
        <v>1806</v>
      </c>
      <c r="B2264">
        <f>A2264+1</f>
        <v>1807</v>
      </c>
      <c r="C2264" t="s">
        <v>513</v>
      </c>
      <c r="D2264" t="s">
        <v>27</v>
      </c>
      <c r="E2264" s="208" t="s">
        <v>144</v>
      </c>
      <c r="F2264" t="s">
        <v>11</v>
      </c>
      <c r="G2264" s="18">
        <v>0</v>
      </c>
      <c r="H2264" t="s">
        <v>17</v>
      </c>
      <c r="I2264" t="s">
        <v>23</v>
      </c>
    </row>
    <row r="2265" spans="1:9" x14ac:dyDescent="0.25">
      <c r="A2265">
        <v>1806</v>
      </c>
      <c r="B2265">
        <f>A2265+1</f>
        <v>1807</v>
      </c>
      <c r="C2265" t="s">
        <v>513</v>
      </c>
      <c r="D2265" t="s">
        <v>27</v>
      </c>
      <c r="E2265" s="208" t="s">
        <v>124</v>
      </c>
      <c r="F2265" t="s">
        <v>11</v>
      </c>
      <c r="G2265" s="18">
        <v>6175</v>
      </c>
      <c r="H2265" t="s">
        <v>17</v>
      </c>
      <c r="I2265" t="s">
        <v>23</v>
      </c>
    </row>
    <row r="2266" spans="1:9" x14ac:dyDescent="0.25">
      <c r="A2266">
        <v>1806</v>
      </c>
      <c r="B2266">
        <f>A2266+1</f>
        <v>1807</v>
      </c>
      <c r="C2266" t="s">
        <v>513</v>
      </c>
      <c r="D2266" t="s">
        <v>26</v>
      </c>
      <c r="E2266" s="208" t="s">
        <v>57</v>
      </c>
      <c r="F2266" t="s">
        <v>11</v>
      </c>
      <c r="G2266" s="18">
        <v>14842</v>
      </c>
      <c r="H2266" t="s">
        <v>23</v>
      </c>
      <c r="I2266" t="s">
        <v>17</v>
      </c>
    </row>
    <row r="2267" spans="1:9" x14ac:dyDescent="0.25">
      <c r="A2267">
        <v>1806</v>
      </c>
      <c r="B2267">
        <f>A2267+1</f>
        <v>1807</v>
      </c>
      <c r="C2267" t="s">
        <v>513</v>
      </c>
      <c r="D2267" t="s">
        <v>26</v>
      </c>
      <c r="E2267" s="208" t="s">
        <v>35</v>
      </c>
      <c r="F2267" t="s">
        <v>11</v>
      </c>
      <c r="G2267" s="18">
        <v>0</v>
      </c>
      <c r="H2267" t="s">
        <v>23</v>
      </c>
      <c r="I2267" t="s">
        <v>17</v>
      </c>
    </row>
    <row r="2268" spans="1:9" x14ac:dyDescent="0.25">
      <c r="A2268">
        <v>1806</v>
      </c>
      <c r="B2268">
        <f>A2268+1</f>
        <v>1807</v>
      </c>
      <c r="C2268" t="s">
        <v>513</v>
      </c>
      <c r="D2268" t="s">
        <v>26</v>
      </c>
      <c r="E2268" s="208" t="s">
        <v>36</v>
      </c>
      <c r="F2268" t="s">
        <v>11</v>
      </c>
      <c r="G2268" s="18">
        <v>2015</v>
      </c>
      <c r="H2268" t="s">
        <v>23</v>
      </c>
      <c r="I2268" t="s">
        <v>17</v>
      </c>
    </row>
    <row r="2269" spans="1:9" x14ac:dyDescent="0.25">
      <c r="A2269">
        <v>1806</v>
      </c>
      <c r="B2269">
        <f>A2269+1</f>
        <v>1807</v>
      </c>
      <c r="C2269" t="s">
        <v>513</v>
      </c>
      <c r="D2269" t="s">
        <v>26</v>
      </c>
      <c r="E2269" s="208" t="s">
        <v>39</v>
      </c>
      <c r="F2269" t="s">
        <v>11</v>
      </c>
      <c r="G2269" s="18">
        <v>1620</v>
      </c>
      <c r="H2269" t="s">
        <v>23</v>
      </c>
      <c r="I2269" t="s">
        <v>17</v>
      </c>
    </row>
    <row r="2270" spans="1:9" x14ac:dyDescent="0.25">
      <c r="A2270">
        <v>1806</v>
      </c>
      <c r="B2270">
        <f>A2270+1</f>
        <v>1807</v>
      </c>
      <c r="C2270" t="s">
        <v>513</v>
      </c>
      <c r="D2270" t="s">
        <v>26</v>
      </c>
      <c r="E2270" s="208" t="s">
        <v>99</v>
      </c>
      <c r="F2270" t="s">
        <v>11</v>
      </c>
      <c r="G2270" s="18">
        <v>1000</v>
      </c>
      <c r="H2270" t="s">
        <v>23</v>
      </c>
      <c r="I2270" t="s">
        <v>17</v>
      </c>
    </row>
    <row r="2271" spans="1:9" x14ac:dyDescent="0.25">
      <c r="A2271">
        <v>1806</v>
      </c>
      <c r="B2271">
        <f>A2271+1</f>
        <v>1807</v>
      </c>
      <c r="C2271" t="s">
        <v>513</v>
      </c>
      <c r="D2271" t="s">
        <v>26</v>
      </c>
      <c r="E2271" s="208" t="s">
        <v>351</v>
      </c>
      <c r="F2271" t="s">
        <v>11</v>
      </c>
      <c r="G2271" s="18">
        <v>393</v>
      </c>
      <c r="H2271" t="s">
        <v>23</v>
      </c>
      <c r="I2271" t="s">
        <v>17</v>
      </c>
    </row>
    <row r="2272" spans="1:9" x14ac:dyDescent="0.25">
      <c r="A2272">
        <v>1806</v>
      </c>
      <c r="B2272">
        <f>A2272+1</f>
        <v>1807</v>
      </c>
      <c r="C2272" t="s">
        <v>513</v>
      </c>
      <c r="D2272" t="s">
        <v>26</v>
      </c>
      <c r="E2272" s="208" t="s">
        <v>352</v>
      </c>
      <c r="F2272" t="s">
        <v>11</v>
      </c>
      <c r="G2272" s="18">
        <v>31779</v>
      </c>
      <c r="H2272" t="s">
        <v>23</v>
      </c>
      <c r="I2272" t="s">
        <v>17</v>
      </c>
    </row>
    <row r="2273" spans="1:9" x14ac:dyDescent="0.25">
      <c r="A2273">
        <v>1806</v>
      </c>
      <c r="B2273">
        <f>A2273+1</f>
        <v>1807</v>
      </c>
      <c r="C2273" t="s">
        <v>513</v>
      </c>
      <c r="D2273" t="s">
        <v>26</v>
      </c>
      <c r="E2273" s="208" t="s">
        <v>75</v>
      </c>
      <c r="F2273" t="s">
        <v>11</v>
      </c>
      <c r="G2273" s="18">
        <v>3364416</v>
      </c>
      <c r="H2273" t="s">
        <v>23</v>
      </c>
      <c r="I2273" t="s">
        <v>17</v>
      </c>
    </row>
    <row r="2274" spans="1:9" x14ac:dyDescent="0.25">
      <c r="A2274">
        <v>1806</v>
      </c>
      <c r="B2274">
        <f>A2274+1</f>
        <v>1807</v>
      </c>
      <c r="C2274" t="s">
        <v>513</v>
      </c>
      <c r="D2274" t="s">
        <v>26</v>
      </c>
      <c r="E2274" s="208" t="s">
        <v>107</v>
      </c>
      <c r="F2274" t="s">
        <v>11</v>
      </c>
      <c r="G2274" s="18">
        <v>5421181</v>
      </c>
      <c r="H2274" t="s">
        <v>23</v>
      </c>
      <c r="I2274" t="s">
        <v>17</v>
      </c>
    </row>
    <row r="2275" spans="1:9" x14ac:dyDescent="0.25">
      <c r="A2275">
        <v>1806</v>
      </c>
      <c r="B2275">
        <f>A2275+1</f>
        <v>1807</v>
      </c>
      <c r="C2275" t="s">
        <v>513</v>
      </c>
      <c r="D2275" t="s">
        <v>26</v>
      </c>
      <c r="E2275" s="208" t="s">
        <v>101</v>
      </c>
      <c r="F2275" t="s">
        <v>11</v>
      </c>
      <c r="G2275" s="18">
        <v>5888708</v>
      </c>
      <c r="H2275" t="s">
        <v>23</v>
      </c>
      <c r="I2275" t="s">
        <v>17</v>
      </c>
    </row>
    <row r="2276" spans="1:9" x14ac:dyDescent="0.25">
      <c r="A2276">
        <v>1806</v>
      </c>
      <c r="B2276">
        <f>A2276+1</f>
        <v>1807</v>
      </c>
      <c r="C2276" t="s">
        <v>513</v>
      </c>
      <c r="D2276" t="s">
        <v>27</v>
      </c>
      <c r="E2276" s="208" t="s">
        <v>155</v>
      </c>
      <c r="F2276" t="s">
        <v>14</v>
      </c>
      <c r="G2276" s="18">
        <v>77656</v>
      </c>
      <c r="H2276" t="s">
        <v>17</v>
      </c>
      <c r="I2276" s="151" t="s">
        <v>562</v>
      </c>
    </row>
    <row r="2277" spans="1:9" x14ac:dyDescent="0.25">
      <c r="A2277">
        <v>1806</v>
      </c>
      <c r="B2277">
        <f>A2277+1</f>
        <v>1807</v>
      </c>
      <c r="C2277" t="s">
        <v>513</v>
      </c>
      <c r="D2277" t="s">
        <v>27</v>
      </c>
      <c r="E2277" s="208" t="s">
        <v>156</v>
      </c>
      <c r="F2277" t="s">
        <v>14</v>
      </c>
      <c r="G2277" s="18">
        <v>11610</v>
      </c>
      <c r="H2277" t="s">
        <v>17</v>
      </c>
      <c r="I2277" s="151" t="s">
        <v>562</v>
      </c>
    </row>
    <row r="2278" spans="1:9" x14ac:dyDescent="0.25">
      <c r="A2278">
        <v>1806</v>
      </c>
      <c r="B2278">
        <f>A2278+1</f>
        <v>1807</v>
      </c>
      <c r="C2278" t="s">
        <v>513</v>
      </c>
      <c r="D2278" t="s">
        <v>27</v>
      </c>
      <c r="E2278" s="208" t="s">
        <v>154</v>
      </c>
      <c r="F2278" t="s">
        <v>14</v>
      </c>
      <c r="G2278" s="18">
        <v>1195</v>
      </c>
      <c r="H2278" t="s">
        <v>17</v>
      </c>
      <c r="I2278" s="151" t="s">
        <v>562</v>
      </c>
    </row>
    <row r="2279" spans="1:9" x14ac:dyDescent="0.25">
      <c r="A2279">
        <v>1806</v>
      </c>
      <c r="B2279">
        <f>A2279+1</f>
        <v>1807</v>
      </c>
      <c r="C2279" t="s">
        <v>513</v>
      </c>
      <c r="D2279" t="s">
        <v>27</v>
      </c>
      <c r="E2279" s="208" t="s">
        <v>150</v>
      </c>
      <c r="F2279" t="s">
        <v>14</v>
      </c>
      <c r="G2279" s="18">
        <v>36678</v>
      </c>
      <c r="H2279" t="s">
        <v>17</v>
      </c>
      <c r="I2279" s="151" t="s">
        <v>562</v>
      </c>
    </row>
    <row r="2280" spans="1:9" x14ac:dyDescent="0.25">
      <c r="A2280">
        <v>1806</v>
      </c>
      <c r="B2280">
        <f>A2280+1</f>
        <v>1807</v>
      </c>
      <c r="C2280" t="s">
        <v>513</v>
      </c>
      <c r="D2280" t="s">
        <v>27</v>
      </c>
      <c r="E2280" s="208" t="s">
        <v>148</v>
      </c>
      <c r="F2280" t="s">
        <v>14</v>
      </c>
      <c r="G2280" s="18">
        <v>638</v>
      </c>
      <c r="H2280" t="s">
        <v>17</v>
      </c>
      <c r="I2280" s="151" t="s">
        <v>562</v>
      </c>
    </row>
    <row r="2281" spans="1:9" x14ac:dyDescent="0.25">
      <c r="A2281">
        <v>1806</v>
      </c>
      <c r="B2281">
        <f>A2281+1</f>
        <v>1807</v>
      </c>
      <c r="C2281" t="s">
        <v>513</v>
      </c>
      <c r="D2281" t="s">
        <v>27</v>
      </c>
      <c r="E2281" s="208" t="s">
        <v>139</v>
      </c>
      <c r="F2281" t="s">
        <v>14</v>
      </c>
      <c r="G2281" s="18">
        <v>512</v>
      </c>
      <c r="H2281" t="s">
        <v>17</v>
      </c>
      <c r="I2281" s="151" t="s">
        <v>562</v>
      </c>
    </row>
    <row r="2282" spans="1:9" x14ac:dyDescent="0.25">
      <c r="A2282">
        <v>1806</v>
      </c>
      <c r="B2282">
        <f>A2282+1</f>
        <v>1807</v>
      </c>
      <c r="C2282" t="s">
        <v>513</v>
      </c>
      <c r="D2282" t="s">
        <v>27</v>
      </c>
      <c r="E2282" s="208" t="s">
        <v>130</v>
      </c>
      <c r="F2282" t="s">
        <v>14</v>
      </c>
      <c r="G2282" s="18">
        <v>894</v>
      </c>
      <c r="H2282" t="s">
        <v>17</v>
      </c>
      <c r="I2282" s="151" t="s">
        <v>562</v>
      </c>
    </row>
    <row r="2283" spans="1:9" x14ac:dyDescent="0.25">
      <c r="A2283">
        <v>1806</v>
      </c>
      <c r="B2283">
        <f>A2283+1</f>
        <v>1807</v>
      </c>
      <c r="C2283" t="s">
        <v>513</v>
      </c>
      <c r="D2283" t="s">
        <v>27</v>
      </c>
      <c r="E2283" s="208" t="s">
        <v>132</v>
      </c>
      <c r="F2283" t="s">
        <v>14</v>
      </c>
      <c r="G2283" s="18">
        <v>68</v>
      </c>
      <c r="H2283" t="s">
        <v>17</v>
      </c>
      <c r="I2283" s="151" t="s">
        <v>562</v>
      </c>
    </row>
    <row r="2284" spans="1:9" x14ac:dyDescent="0.25">
      <c r="A2284">
        <v>1806</v>
      </c>
      <c r="B2284">
        <f>A2284+1</f>
        <v>1807</v>
      </c>
      <c r="C2284" t="s">
        <v>513</v>
      </c>
      <c r="D2284" t="s">
        <v>27</v>
      </c>
      <c r="E2284" s="208" t="s">
        <v>142</v>
      </c>
      <c r="F2284" t="s">
        <v>14</v>
      </c>
      <c r="G2284" s="18">
        <v>16489</v>
      </c>
      <c r="H2284" t="s">
        <v>17</v>
      </c>
      <c r="I2284" s="151" t="s">
        <v>562</v>
      </c>
    </row>
    <row r="2285" spans="1:9" x14ac:dyDescent="0.25">
      <c r="A2285">
        <v>1806</v>
      </c>
      <c r="B2285">
        <f>A2285+1</f>
        <v>1807</v>
      </c>
      <c r="C2285" t="s">
        <v>513</v>
      </c>
      <c r="D2285" t="s">
        <v>27</v>
      </c>
      <c r="E2285" s="208" t="s">
        <v>144</v>
      </c>
      <c r="F2285" t="s">
        <v>14</v>
      </c>
      <c r="G2285" s="18">
        <v>124</v>
      </c>
      <c r="H2285" t="s">
        <v>17</v>
      </c>
      <c r="I2285" s="151" t="s">
        <v>562</v>
      </c>
    </row>
    <row r="2286" spans="1:9" x14ac:dyDescent="0.25">
      <c r="A2286">
        <v>1806</v>
      </c>
      <c r="B2286">
        <f>A2286+1</f>
        <v>1807</v>
      </c>
      <c r="C2286" t="s">
        <v>513</v>
      </c>
      <c r="D2286" t="s">
        <v>27</v>
      </c>
      <c r="E2286" s="208" t="s">
        <v>124</v>
      </c>
      <c r="F2286" t="s">
        <v>14</v>
      </c>
      <c r="G2286" s="18">
        <v>9570937</v>
      </c>
      <c r="H2286" t="s">
        <v>17</v>
      </c>
      <c r="I2286" s="151" t="s">
        <v>562</v>
      </c>
    </row>
    <row r="2287" spans="1:9" x14ac:dyDescent="0.25">
      <c r="A2287">
        <v>1806</v>
      </c>
      <c r="B2287">
        <f>A2287+1</f>
        <v>1807</v>
      </c>
      <c r="C2287" t="s">
        <v>513</v>
      </c>
      <c r="D2287" t="s">
        <v>26</v>
      </c>
      <c r="E2287" s="208" t="s">
        <v>62</v>
      </c>
      <c r="F2287" t="s">
        <v>14</v>
      </c>
      <c r="G2287" s="18">
        <v>28</v>
      </c>
      <c r="H2287" s="151" t="s">
        <v>563</v>
      </c>
      <c r="I2287" t="s">
        <v>17</v>
      </c>
    </row>
    <row r="2288" spans="1:9" x14ac:dyDescent="0.25">
      <c r="A2288">
        <v>1806</v>
      </c>
      <c r="B2288">
        <f>A2288+1</f>
        <v>1807</v>
      </c>
      <c r="C2288" t="s">
        <v>513</v>
      </c>
      <c r="D2288" t="s">
        <v>26</v>
      </c>
      <c r="E2288" s="208" t="s">
        <v>58</v>
      </c>
      <c r="F2288" t="s">
        <v>14</v>
      </c>
      <c r="G2288" s="18">
        <v>0</v>
      </c>
      <c r="H2288" s="151" t="s">
        <v>563</v>
      </c>
      <c r="I2288" t="s">
        <v>17</v>
      </c>
    </row>
    <row r="2289" spans="1:9" x14ac:dyDescent="0.25">
      <c r="A2289">
        <v>1806</v>
      </c>
      <c r="B2289">
        <f>A2289+1</f>
        <v>1807</v>
      </c>
      <c r="C2289" t="s">
        <v>513</v>
      </c>
      <c r="D2289" t="s">
        <v>26</v>
      </c>
      <c r="E2289" s="208" t="s">
        <v>57</v>
      </c>
      <c r="F2289" t="s">
        <v>14</v>
      </c>
      <c r="G2289" s="18">
        <v>14842</v>
      </c>
      <c r="H2289" s="151" t="s">
        <v>563</v>
      </c>
      <c r="I2289" t="s">
        <v>17</v>
      </c>
    </row>
    <row r="2290" spans="1:9" x14ac:dyDescent="0.25">
      <c r="A2290">
        <v>1806</v>
      </c>
      <c r="B2290">
        <f>A2290+1</f>
        <v>1807</v>
      </c>
      <c r="C2290" t="s">
        <v>513</v>
      </c>
      <c r="D2290" t="s">
        <v>26</v>
      </c>
      <c r="E2290" s="208" t="s">
        <v>35</v>
      </c>
      <c r="F2290" t="s">
        <v>14</v>
      </c>
      <c r="G2290" s="18">
        <v>0</v>
      </c>
      <c r="H2290" s="151" t="s">
        <v>563</v>
      </c>
      <c r="I2290" t="s">
        <v>17</v>
      </c>
    </row>
    <row r="2291" spans="1:9" x14ac:dyDescent="0.25">
      <c r="A2291">
        <v>1806</v>
      </c>
      <c r="B2291">
        <f>A2291+1</f>
        <v>1807</v>
      </c>
      <c r="C2291" t="s">
        <v>513</v>
      </c>
      <c r="D2291" t="s">
        <v>26</v>
      </c>
      <c r="E2291" s="208" t="s">
        <v>36</v>
      </c>
      <c r="F2291" t="s">
        <v>14</v>
      </c>
      <c r="G2291" s="18">
        <v>2040</v>
      </c>
      <c r="H2291" s="151" t="s">
        <v>563</v>
      </c>
      <c r="I2291" t="s">
        <v>17</v>
      </c>
    </row>
    <row r="2292" spans="1:9" x14ac:dyDescent="0.25">
      <c r="A2292">
        <v>1806</v>
      </c>
      <c r="B2292">
        <f>A2292+1</f>
        <v>1807</v>
      </c>
      <c r="C2292" t="s">
        <v>513</v>
      </c>
      <c r="D2292" t="s">
        <v>26</v>
      </c>
      <c r="E2292" s="208" t="s">
        <v>39</v>
      </c>
      <c r="F2292" t="s">
        <v>14</v>
      </c>
      <c r="G2292" s="18">
        <v>1620</v>
      </c>
      <c r="H2292" s="151" t="s">
        <v>563</v>
      </c>
      <c r="I2292" t="s">
        <v>17</v>
      </c>
    </row>
    <row r="2293" spans="1:9" x14ac:dyDescent="0.25">
      <c r="A2293">
        <v>1806</v>
      </c>
      <c r="B2293">
        <f>A2293+1</f>
        <v>1807</v>
      </c>
      <c r="C2293" t="s">
        <v>513</v>
      </c>
      <c r="D2293" t="s">
        <v>26</v>
      </c>
      <c r="E2293" s="208" t="s">
        <v>99</v>
      </c>
      <c r="F2293" t="s">
        <v>14</v>
      </c>
      <c r="G2293" s="18">
        <v>1000</v>
      </c>
      <c r="H2293" s="151" t="s">
        <v>563</v>
      </c>
      <c r="I2293" t="s">
        <v>17</v>
      </c>
    </row>
    <row r="2294" spans="1:9" x14ac:dyDescent="0.25">
      <c r="A2294">
        <v>1806</v>
      </c>
      <c r="B2294">
        <f>A2294+1</f>
        <v>1807</v>
      </c>
      <c r="C2294" t="s">
        <v>513</v>
      </c>
      <c r="D2294" t="s">
        <v>26</v>
      </c>
      <c r="E2294" s="208" t="s">
        <v>28</v>
      </c>
      <c r="F2294" t="s">
        <v>14</v>
      </c>
      <c r="G2294" s="18">
        <v>87</v>
      </c>
      <c r="H2294" s="151" t="s">
        <v>563</v>
      </c>
      <c r="I2294" t="s">
        <v>17</v>
      </c>
    </row>
    <row r="2295" spans="1:9" x14ac:dyDescent="0.25">
      <c r="A2295">
        <v>1806</v>
      </c>
      <c r="B2295">
        <f>A2295+1</f>
        <v>1807</v>
      </c>
      <c r="C2295" t="s">
        <v>513</v>
      </c>
      <c r="D2295" t="s">
        <v>26</v>
      </c>
      <c r="E2295" s="208" t="s">
        <v>89</v>
      </c>
      <c r="F2295" t="s">
        <v>14</v>
      </c>
      <c r="G2295" s="18">
        <v>46</v>
      </c>
      <c r="H2295" s="151" t="s">
        <v>563</v>
      </c>
      <c r="I2295" t="s">
        <v>17</v>
      </c>
    </row>
    <row r="2296" spans="1:9" x14ac:dyDescent="0.25">
      <c r="A2296">
        <v>1806</v>
      </c>
      <c r="B2296">
        <f>A2296+1</f>
        <v>1807</v>
      </c>
      <c r="C2296" t="s">
        <v>513</v>
      </c>
      <c r="D2296" t="s">
        <v>26</v>
      </c>
      <c r="E2296" s="208" t="s">
        <v>45</v>
      </c>
      <c r="F2296" t="s">
        <v>14</v>
      </c>
      <c r="G2296" s="18">
        <v>34</v>
      </c>
      <c r="H2296" s="151" t="s">
        <v>563</v>
      </c>
      <c r="I2296" t="s">
        <v>17</v>
      </c>
    </row>
    <row r="2297" spans="1:9" x14ac:dyDescent="0.25">
      <c r="A2297">
        <v>1806</v>
      </c>
      <c r="B2297">
        <f>A2297+1</f>
        <v>1807</v>
      </c>
      <c r="C2297" t="s">
        <v>513</v>
      </c>
      <c r="D2297" t="s">
        <v>26</v>
      </c>
      <c r="E2297" s="208" t="s">
        <v>53</v>
      </c>
      <c r="F2297" t="s">
        <v>14</v>
      </c>
      <c r="G2297" s="18">
        <v>0</v>
      </c>
      <c r="H2297" s="151" t="s">
        <v>563</v>
      </c>
      <c r="I2297" t="s">
        <v>17</v>
      </c>
    </row>
    <row r="2298" spans="1:9" x14ac:dyDescent="0.25">
      <c r="A2298">
        <v>1806</v>
      </c>
      <c r="B2298">
        <f>A2298+1</f>
        <v>1807</v>
      </c>
      <c r="C2298" t="s">
        <v>513</v>
      </c>
      <c r="D2298" t="s">
        <v>26</v>
      </c>
      <c r="E2298" s="208" t="s">
        <v>351</v>
      </c>
      <c r="F2298" t="s">
        <v>14</v>
      </c>
      <c r="G2298" s="18">
        <v>393</v>
      </c>
      <c r="H2298" s="151" t="s">
        <v>563</v>
      </c>
      <c r="I2298" t="s">
        <v>17</v>
      </c>
    </row>
    <row r="2299" spans="1:9" x14ac:dyDescent="0.25">
      <c r="A2299">
        <v>1806</v>
      </c>
      <c r="B2299">
        <f>A2299+1</f>
        <v>1807</v>
      </c>
      <c r="C2299" t="s">
        <v>513</v>
      </c>
      <c r="D2299" t="s">
        <v>26</v>
      </c>
      <c r="E2299" s="208" t="s">
        <v>352</v>
      </c>
      <c r="F2299" t="s">
        <v>14</v>
      </c>
      <c r="G2299" s="18">
        <v>31779</v>
      </c>
      <c r="H2299" s="151" t="s">
        <v>563</v>
      </c>
      <c r="I2299" t="s">
        <v>17</v>
      </c>
    </row>
    <row r="2300" spans="1:9" x14ac:dyDescent="0.25">
      <c r="A2300">
        <v>1806</v>
      </c>
      <c r="B2300">
        <f>A2300+1</f>
        <v>1807</v>
      </c>
      <c r="C2300" t="s">
        <v>513</v>
      </c>
      <c r="D2300" t="s">
        <v>26</v>
      </c>
      <c r="E2300" s="208" t="s">
        <v>75</v>
      </c>
      <c r="F2300" t="s">
        <v>14</v>
      </c>
      <c r="G2300" s="18">
        <v>3569776</v>
      </c>
      <c r="H2300" s="151" t="s">
        <v>563</v>
      </c>
      <c r="I2300" t="s">
        <v>17</v>
      </c>
    </row>
    <row r="2301" spans="1:9" x14ac:dyDescent="0.25">
      <c r="A2301">
        <v>1806</v>
      </c>
      <c r="B2301">
        <f>A2301+1</f>
        <v>1807</v>
      </c>
      <c r="C2301" t="s">
        <v>513</v>
      </c>
      <c r="D2301" t="s">
        <v>26</v>
      </c>
      <c r="E2301" s="208" t="s">
        <v>107</v>
      </c>
      <c r="F2301" t="s">
        <v>14</v>
      </c>
      <c r="G2301" s="18">
        <v>5465541</v>
      </c>
      <c r="H2301" s="151" t="s">
        <v>563</v>
      </c>
      <c r="I2301" t="s">
        <v>17</v>
      </c>
    </row>
    <row r="2302" spans="1:9" x14ac:dyDescent="0.25">
      <c r="A2302">
        <v>1806</v>
      </c>
      <c r="B2302">
        <f>A2302+1</f>
        <v>1807</v>
      </c>
      <c r="C2302" t="s">
        <v>513</v>
      </c>
      <c r="D2302" t="s">
        <v>26</v>
      </c>
      <c r="E2302" s="208" t="s">
        <v>101</v>
      </c>
      <c r="F2302" t="s">
        <v>14</v>
      </c>
      <c r="G2302" s="18">
        <v>5922708</v>
      </c>
      <c r="H2302" s="151" t="s">
        <v>563</v>
      </c>
      <c r="I2302" t="s">
        <v>17</v>
      </c>
    </row>
    <row r="2303" spans="1:9" x14ac:dyDescent="0.25">
      <c r="A2303">
        <v>1806</v>
      </c>
      <c r="B2303">
        <f>A2303+1</f>
        <v>1807</v>
      </c>
      <c r="C2303" t="s">
        <v>513</v>
      </c>
      <c r="D2303" t="s">
        <v>26</v>
      </c>
      <c r="E2303" s="208" t="s">
        <v>65</v>
      </c>
      <c r="F2303" t="s">
        <v>14</v>
      </c>
      <c r="G2303" s="18">
        <v>29570</v>
      </c>
      <c r="H2303" s="151" t="s">
        <v>563</v>
      </c>
      <c r="I2303" t="s">
        <v>17</v>
      </c>
    </row>
    <row r="2304" spans="1:9" x14ac:dyDescent="0.25">
      <c r="A2304">
        <v>1806</v>
      </c>
      <c r="B2304">
        <f>A2304+1</f>
        <v>1807</v>
      </c>
      <c r="C2304" t="s">
        <v>513</v>
      </c>
      <c r="D2304" t="s">
        <v>26</v>
      </c>
      <c r="E2304" s="208" t="s">
        <v>330</v>
      </c>
      <c r="F2304" t="s">
        <v>14</v>
      </c>
      <c r="G2304" s="18">
        <v>143</v>
      </c>
      <c r="H2304" s="151" t="s">
        <v>563</v>
      </c>
      <c r="I2304" t="s">
        <v>17</v>
      </c>
    </row>
    <row r="2305" spans="1:9" x14ac:dyDescent="0.25">
      <c r="A2305">
        <v>1806</v>
      </c>
      <c r="B2305">
        <f>A2305+1</f>
        <v>1807</v>
      </c>
      <c r="C2305" t="s">
        <v>513</v>
      </c>
      <c r="D2305" t="s">
        <v>26</v>
      </c>
      <c r="E2305" s="208" t="s">
        <v>331</v>
      </c>
      <c r="F2305" t="s">
        <v>14</v>
      </c>
      <c r="G2305" s="18">
        <v>76</v>
      </c>
      <c r="H2305" s="151" t="s">
        <v>563</v>
      </c>
      <c r="I2305" t="s">
        <v>17</v>
      </c>
    </row>
    <row r="2306" spans="1:9" x14ac:dyDescent="0.25">
      <c r="A2306">
        <v>1806</v>
      </c>
      <c r="B2306">
        <f>A2306+1</f>
        <v>1807</v>
      </c>
      <c r="C2306" t="s">
        <v>513</v>
      </c>
      <c r="D2306" t="s">
        <v>26</v>
      </c>
      <c r="E2306" s="208" t="s">
        <v>332</v>
      </c>
      <c r="F2306" t="s">
        <v>14</v>
      </c>
      <c r="G2306" s="18">
        <v>3</v>
      </c>
      <c r="H2306" s="151" t="s">
        <v>563</v>
      </c>
      <c r="I2306" t="s">
        <v>17</v>
      </c>
    </row>
    <row r="2307" spans="1:9" x14ac:dyDescent="0.25">
      <c r="A2307">
        <v>1806</v>
      </c>
      <c r="B2307">
        <f>A2307+1</f>
        <v>1807</v>
      </c>
      <c r="C2307" t="s">
        <v>513</v>
      </c>
      <c r="D2307" t="s">
        <v>26</v>
      </c>
      <c r="E2307" s="208" t="s">
        <v>333</v>
      </c>
      <c r="F2307" t="s">
        <v>14</v>
      </c>
      <c r="G2307" s="18">
        <v>240</v>
      </c>
      <c r="H2307" s="151" t="s">
        <v>563</v>
      </c>
      <c r="I2307" t="s">
        <v>17</v>
      </c>
    </row>
    <row r="2308" spans="1:9" x14ac:dyDescent="0.25">
      <c r="A2308">
        <v>1806</v>
      </c>
      <c r="B2308">
        <f>A2308+1</f>
        <v>1807</v>
      </c>
      <c r="C2308" t="s">
        <v>513</v>
      </c>
      <c r="D2308" t="s">
        <v>27</v>
      </c>
      <c r="E2308" s="208" t="s">
        <v>155</v>
      </c>
      <c r="F2308" t="s">
        <v>15</v>
      </c>
      <c r="G2308" s="18">
        <v>123175</v>
      </c>
      <c r="H2308" t="s">
        <v>561</v>
      </c>
      <c r="I2308" s="151" t="s">
        <v>562</v>
      </c>
    </row>
    <row r="2309" spans="1:9" x14ac:dyDescent="0.25">
      <c r="A2309">
        <v>1806</v>
      </c>
      <c r="B2309">
        <f>A2309+1</f>
        <v>1807</v>
      </c>
      <c r="C2309" t="s">
        <v>513</v>
      </c>
      <c r="D2309" t="s">
        <v>27</v>
      </c>
      <c r="E2309" s="208" t="s">
        <v>156</v>
      </c>
      <c r="F2309" t="s">
        <v>15</v>
      </c>
      <c r="G2309" s="18">
        <v>17344</v>
      </c>
      <c r="H2309" t="s">
        <v>561</v>
      </c>
      <c r="I2309" s="151" t="s">
        <v>562</v>
      </c>
    </row>
    <row r="2310" spans="1:9" x14ac:dyDescent="0.25">
      <c r="A2310">
        <v>1806</v>
      </c>
      <c r="B2310">
        <f>A2310+1</f>
        <v>1807</v>
      </c>
      <c r="C2310" t="s">
        <v>513</v>
      </c>
      <c r="D2310" t="s">
        <v>27</v>
      </c>
      <c r="E2310" s="208" t="s">
        <v>154</v>
      </c>
      <c r="F2310" t="s">
        <v>15</v>
      </c>
      <c r="G2310" s="18">
        <v>3716</v>
      </c>
      <c r="H2310" t="s">
        <v>561</v>
      </c>
      <c r="I2310" s="151" t="s">
        <v>562</v>
      </c>
    </row>
    <row r="2311" spans="1:9" x14ac:dyDescent="0.25">
      <c r="A2311">
        <v>1806</v>
      </c>
      <c r="B2311">
        <f>A2311+1</f>
        <v>1807</v>
      </c>
      <c r="C2311" t="s">
        <v>513</v>
      </c>
      <c r="D2311" t="s">
        <v>27</v>
      </c>
      <c r="E2311" s="208" t="s">
        <v>150</v>
      </c>
      <c r="F2311" t="s">
        <v>15</v>
      </c>
      <c r="G2311" s="18">
        <v>51812</v>
      </c>
      <c r="H2311" t="s">
        <v>561</v>
      </c>
      <c r="I2311" s="151" t="s">
        <v>562</v>
      </c>
    </row>
    <row r="2312" spans="1:9" x14ac:dyDescent="0.25">
      <c r="A2312">
        <v>1806</v>
      </c>
      <c r="B2312">
        <f>A2312+1</f>
        <v>1807</v>
      </c>
      <c r="C2312" t="s">
        <v>513</v>
      </c>
      <c r="D2312" t="s">
        <v>27</v>
      </c>
      <c r="E2312" s="208" t="s">
        <v>148</v>
      </c>
      <c r="F2312" t="s">
        <v>15</v>
      </c>
      <c r="G2312" s="18">
        <v>1998</v>
      </c>
      <c r="H2312" t="s">
        <v>561</v>
      </c>
      <c r="I2312" s="151" t="s">
        <v>562</v>
      </c>
    </row>
    <row r="2313" spans="1:9" x14ac:dyDescent="0.25">
      <c r="A2313">
        <v>1806</v>
      </c>
      <c r="B2313">
        <f>A2313+1</f>
        <v>1807</v>
      </c>
      <c r="C2313" t="s">
        <v>513</v>
      </c>
      <c r="D2313" t="s">
        <v>27</v>
      </c>
      <c r="E2313" s="208" t="s">
        <v>139</v>
      </c>
      <c r="F2313" t="s">
        <v>15</v>
      </c>
      <c r="G2313" s="18">
        <v>699</v>
      </c>
      <c r="H2313" t="s">
        <v>561</v>
      </c>
      <c r="I2313" s="151" t="s">
        <v>562</v>
      </c>
    </row>
    <row r="2314" spans="1:9" x14ac:dyDescent="0.25">
      <c r="A2314">
        <v>1806</v>
      </c>
      <c r="B2314">
        <f>A2314+1</f>
        <v>1807</v>
      </c>
      <c r="C2314" t="s">
        <v>513</v>
      </c>
      <c r="D2314" t="s">
        <v>27</v>
      </c>
      <c r="E2314" s="208" t="s">
        <v>130</v>
      </c>
      <c r="F2314" t="s">
        <v>15</v>
      </c>
      <c r="G2314" s="18">
        <v>1411</v>
      </c>
      <c r="H2314" t="s">
        <v>561</v>
      </c>
      <c r="I2314" s="151" t="s">
        <v>562</v>
      </c>
    </row>
    <row r="2315" spans="1:9" x14ac:dyDescent="0.25">
      <c r="A2315">
        <v>1806</v>
      </c>
      <c r="B2315">
        <f>A2315+1</f>
        <v>1807</v>
      </c>
      <c r="C2315" t="s">
        <v>513</v>
      </c>
      <c r="D2315" t="s">
        <v>27</v>
      </c>
      <c r="E2315" s="208" t="s">
        <v>132</v>
      </c>
      <c r="F2315" t="s">
        <v>15</v>
      </c>
      <c r="G2315" s="18">
        <v>512</v>
      </c>
      <c r="H2315" t="s">
        <v>561</v>
      </c>
      <c r="I2315" s="151" t="s">
        <v>562</v>
      </c>
    </row>
    <row r="2316" spans="1:9" x14ac:dyDescent="0.25">
      <c r="A2316">
        <v>1806</v>
      </c>
      <c r="B2316">
        <f>A2316+1</f>
        <v>1807</v>
      </c>
      <c r="C2316" t="s">
        <v>513</v>
      </c>
      <c r="D2316" t="s">
        <v>27</v>
      </c>
      <c r="E2316" s="208" t="s">
        <v>142</v>
      </c>
      <c r="F2316" t="s">
        <v>15</v>
      </c>
      <c r="G2316" s="18">
        <v>19224</v>
      </c>
      <c r="H2316" t="s">
        <v>561</v>
      </c>
      <c r="I2316" s="151" t="s">
        <v>562</v>
      </c>
    </row>
    <row r="2317" spans="1:9" x14ac:dyDescent="0.25">
      <c r="A2317">
        <v>1806</v>
      </c>
      <c r="B2317">
        <f>A2317+1</f>
        <v>1807</v>
      </c>
      <c r="C2317" t="s">
        <v>513</v>
      </c>
      <c r="D2317" t="s">
        <v>27</v>
      </c>
      <c r="E2317" s="208" t="s">
        <v>144</v>
      </c>
      <c r="F2317" t="s">
        <v>15</v>
      </c>
      <c r="G2317" s="18">
        <v>525</v>
      </c>
      <c r="H2317" t="s">
        <v>561</v>
      </c>
      <c r="I2317" s="151" t="s">
        <v>562</v>
      </c>
    </row>
    <row r="2318" spans="1:9" x14ac:dyDescent="0.25">
      <c r="A2318">
        <v>1806</v>
      </c>
      <c r="B2318">
        <f>A2318+1</f>
        <v>1807</v>
      </c>
      <c r="C2318" t="s">
        <v>513</v>
      </c>
      <c r="D2318" t="s">
        <v>27</v>
      </c>
      <c r="E2318" s="208" t="s">
        <v>124</v>
      </c>
      <c r="F2318" t="s">
        <v>15</v>
      </c>
      <c r="G2318" s="18">
        <v>26761188</v>
      </c>
      <c r="H2318" t="s">
        <v>561</v>
      </c>
      <c r="I2318" s="151" t="s">
        <v>562</v>
      </c>
    </row>
    <row r="2319" spans="1:9" x14ac:dyDescent="0.25">
      <c r="A2319">
        <v>1806</v>
      </c>
      <c r="B2319">
        <f>A2319+1</f>
        <v>1807</v>
      </c>
      <c r="C2319" t="s">
        <v>513</v>
      </c>
      <c r="D2319" t="s">
        <v>26</v>
      </c>
      <c r="E2319" s="208" t="s">
        <v>62</v>
      </c>
      <c r="F2319" t="s">
        <v>15</v>
      </c>
      <c r="G2319" s="18">
        <v>184</v>
      </c>
      <c r="H2319" s="151" t="s">
        <v>563</v>
      </c>
      <c r="I2319" t="s">
        <v>561</v>
      </c>
    </row>
    <row r="2320" spans="1:9" x14ac:dyDescent="0.25">
      <c r="A2320">
        <v>1806</v>
      </c>
      <c r="B2320">
        <f>A2320+1</f>
        <v>1807</v>
      </c>
      <c r="C2320" t="s">
        <v>513</v>
      </c>
      <c r="D2320" t="s">
        <v>26</v>
      </c>
      <c r="E2320" s="208" t="s">
        <v>58</v>
      </c>
      <c r="F2320" t="s">
        <v>15</v>
      </c>
      <c r="G2320" s="18">
        <v>0</v>
      </c>
      <c r="H2320" s="151" t="s">
        <v>563</v>
      </c>
      <c r="I2320" t="s">
        <v>561</v>
      </c>
    </row>
    <row r="2321" spans="1:9" x14ac:dyDescent="0.25">
      <c r="A2321">
        <v>1806</v>
      </c>
      <c r="B2321">
        <f>A2321+1</f>
        <v>1807</v>
      </c>
      <c r="C2321" t="s">
        <v>513</v>
      </c>
      <c r="D2321" t="s">
        <v>26</v>
      </c>
      <c r="E2321" s="208" t="s">
        <v>57</v>
      </c>
      <c r="F2321" t="s">
        <v>15</v>
      </c>
      <c r="G2321" s="18">
        <v>106573</v>
      </c>
      <c r="H2321" s="151" t="s">
        <v>563</v>
      </c>
      <c r="I2321" t="s">
        <v>561</v>
      </c>
    </row>
    <row r="2322" spans="1:9" x14ac:dyDescent="0.25">
      <c r="A2322">
        <v>1806</v>
      </c>
      <c r="B2322">
        <f>A2322+1</f>
        <v>1807</v>
      </c>
      <c r="C2322" t="s">
        <v>513</v>
      </c>
      <c r="D2322" t="s">
        <v>26</v>
      </c>
      <c r="E2322" s="208" t="s">
        <v>35</v>
      </c>
      <c r="F2322" t="s">
        <v>15</v>
      </c>
      <c r="G2322" s="18">
        <v>13348</v>
      </c>
      <c r="H2322" s="151" t="s">
        <v>563</v>
      </c>
      <c r="I2322" t="s">
        <v>561</v>
      </c>
    </row>
    <row r="2323" spans="1:9" x14ac:dyDescent="0.25">
      <c r="A2323">
        <v>1806</v>
      </c>
      <c r="B2323">
        <f>A2323+1</f>
        <v>1807</v>
      </c>
      <c r="C2323" t="s">
        <v>513</v>
      </c>
      <c r="D2323" t="s">
        <v>26</v>
      </c>
      <c r="E2323" s="208" t="s">
        <v>36</v>
      </c>
      <c r="F2323" t="s">
        <v>15</v>
      </c>
      <c r="G2323" s="18">
        <v>7043</v>
      </c>
      <c r="H2323" s="151" t="s">
        <v>563</v>
      </c>
      <c r="I2323" t="s">
        <v>561</v>
      </c>
    </row>
    <row r="2324" spans="1:9" x14ac:dyDescent="0.25">
      <c r="A2324">
        <v>1806</v>
      </c>
      <c r="B2324">
        <f>A2324+1</f>
        <v>1807</v>
      </c>
      <c r="C2324" t="s">
        <v>513</v>
      </c>
      <c r="D2324" t="s">
        <v>26</v>
      </c>
      <c r="E2324" s="208" t="s">
        <v>39</v>
      </c>
      <c r="F2324" t="s">
        <v>15</v>
      </c>
      <c r="G2324" s="18">
        <v>7446</v>
      </c>
      <c r="H2324" s="151" t="s">
        <v>563</v>
      </c>
      <c r="I2324" t="s">
        <v>561</v>
      </c>
    </row>
    <row r="2325" spans="1:9" x14ac:dyDescent="0.25">
      <c r="A2325">
        <v>1806</v>
      </c>
      <c r="B2325">
        <f>A2325+1</f>
        <v>1807</v>
      </c>
      <c r="C2325" t="s">
        <v>513</v>
      </c>
      <c r="D2325" t="s">
        <v>26</v>
      </c>
      <c r="E2325" s="208" t="s">
        <v>99</v>
      </c>
      <c r="F2325" t="s">
        <v>15</v>
      </c>
      <c r="G2325" s="18">
        <v>4178</v>
      </c>
      <c r="H2325" s="151" t="s">
        <v>563</v>
      </c>
      <c r="I2325" t="s">
        <v>561</v>
      </c>
    </row>
    <row r="2326" spans="1:9" x14ac:dyDescent="0.25">
      <c r="A2326">
        <v>1806</v>
      </c>
      <c r="B2326">
        <f>A2326+1</f>
        <v>1807</v>
      </c>
      <c r="C2326" t="s">
        <v>513</v>
      </c>
      <c r="D2326" t="s">
        <v>26</v>
      </c>
      <c r="E2326" s="208" t="s">
        <v>28</v>
      </c>
      <c r="F2326" t="s">
        <v>15</v>
      </c>
      <c r="G2326" s="18">
        <v>399</v>
      </c>
      <c r="H2326" s="151" t="s">
        <v>563</v>
      </c>
      <c r="I2326" t="s">
        <v>561</v>
      </c>
    </row>
    <row r="2327" spans="1:9" x14ac:dyDescent="0.25">
      <c r="A2327">
        <v>1806</v>
      </c>
      <c r="B2327">
        <f>A2327+1</f>
        <v>1807</v>
      </c>
      <c r="C2327" t="s">
        <v>513</v>
      </c>
      <c r="D2327" t="s">
        <v>26</v>
      </c>
      <c r="E2327" s="208" t="s">
        <v>89</v>
      </c>
      <c r="F2327" t="s">
        <v>15</v>
      </c>
      <c r="G2327" s="18">
        <v>96</v>
      </c>
      <c r="H2327" s="151" t="s">
        <v>563</v>
      </c>
      <c r="I2327" t="s">
        <v>561</v>
      </c>
    </row>
    <row r="2328" spans="1:9" x14ac:dyDescent="0.25">
      <c r="A2328">
        <v>1806</v>
      </c>
      <c r="B2328">
        <f>A2328+1</f>
        <v>1807</v>
      </c>
      <c r="C2328" t="s">
        <v>513</v>
      </c>
      <c r="D2328" t="s">
        <v>26</v>
      </c>
      <c r="E2328" s="208" t="s">
        <v>45</v>
      </c>
      <c r="F2328" t="s">
        <v>15</v>
      </c>
      <c r="G2328" s="18">
        <v>121</v>
      </c>
      <c r="H2328" s="151" t="s">
        <v>563</v>
      </c>
      <c r="I2328" t="s">
        <v>561</v>
      </c>
    </row>
    <row r="2329" spans="1:9" x14ac:dyDescent="0.25">
      <c r="A2329">
        <v>1806</v>
      </c>
      <c r="B2329">
        <f>A2329+1</f>
        <v>1807</v>
      </c>
      <c r="C2329" t="s">
        <v>513</v>
      </c>
      <c r="D2329" t="s">
        <v>26</v>
      </c>
      <c r="E2329" s="208" t="s">
        <v>53</v>
      </c>
      <c r="F2329" t="s">
        <v>15</v>
      </c>
      <c r="G2329" s="18">
        <v>1620</v>
      </c>
      <c r="H2329" s="151" t="s">
        <v>563</v>
      </c>
      <c r="I2329" t="s">
        <v>561</v>
      </c>
    </row>
    <row r="2330" spans="1:9" x14ac:dyDescent="0.25">
      <c r="A2330">
        <v>1806</v>
      </c>
      <c r="B2330">
        <f>A2330+1</f>
        <v>1807</v>
      </c>
      <c r="C2330" t="s">
        <v>513</v>
      </c>
      <c r="D2330" t="s">
        <v>26</v>
      </c>
      <c r="E2330" s="208" t="s">
        <v>351</v>
      </c>
      <c r="F2330" t="s">
        <v>15</v>
      </c>
      <c r="G2330" s="18">
        <v>1569</v>
      </c>
      <c r="H2330" s="151" t="s">
        <v>563</v>
      </c>
      <c r="I2330" t="s">
        <v>561</v>
      </c>
    </row>
    <row r="2331" spans="1:9" x14ac:dyDescent="0.25">
      <c r="A2331">
        <v>1806</v>
      </c>
      <c r="B2331">
        <f>A2331+1</f>
        <v>1807</v>
      </c>
      <c r="C2331" t="s">
        <v>513</v>
      </c>
      <c r="D2331" t="s">
        <v>26</v>
      </c>
      <c r="E2331" s="208" t="s">
        <v>352</v>
      </c>
      <c r="F2331" t="s">
        <v>15</v>
      </c>
      <c r="G2331" s="18">
        <v>54446</v>
      </c>
      <c r="H2331" s="151" t="s">
        <v>563</v>
      </c>
      <c r="I2331" t="s">
        <v>561</v>
      </c>
    </row>
    <row r="2332" spans="1:9" x14ac:dyDescent="0.25">
      <c r="A2332">
        <v>1806</v>
      </c>
      <c r="B2332">
        <f>A2332+1</f>
        <v>1807</v>
      </c>
      <c r="C2332" t="s">
        <v>513</v>
      </c>
      <c r="D2332" t="s">
        <v>26</v>
      </c>
      <c r="E2332" s="208" t="s">
        <v>75</v>
      </c>
      <c r="F2332" t="s">
        <v>15</v>
      </c>
      <c r="G2332" s="18">
        <v>9984455</v>
      </c>
      <c r="H2332" s="151" t="s">
        <v>563</v>
      </c>
      <c r="I2332" t="s">
        <v>561</v>
      </c>
    </row>
    <row r="2333" spans="1:9" x14ac:dyDescent="0.25">
      <c r="A2333">
        <v>1806</v>
      </c>
      <c r="B2333">
        <f>A2333+1</f>
        <v>1807</v>
      </c>
      <c r="C2333" t="s">
        <v>513</v>
      </c>
      <c r="D2333" t="s">
        <v>26</v>
      </c>
      <c r="E2333" s="208" t="s">
        <v>107</v>
      </c>
      <c r="F2333" t="s">
        <v>15</v>
      </c>
      <c r="G2333" s="18">
        <v>9164148</v>
      </c>
      <c r="H2333" s="151" t="s">
        <v>563</v>
      </c>
      <c r="I2333" t="s">
        <v>561</v>
      </c>
    </row>
    <row r="2334" spans="1:9" x14ac:dyDescent="0.25">
      <c r="A2334">
        <v>1806</v>
      </c>
      <c r="B2334">
        <f>A2334+1</f>
        <v>1807</v>
      </c>
      <c r="C2334" t="s">
        <v>513</v>
      </c>
      <c r="D2334" t="s">
        <v>26</v>
      </c>
      <c r="E2334" s="208" t="s">
        <v>101</v>
      </c>
      <c r="F2334" t="s">
        <v>15</v>
      </c>
      <c r="G2334" s="18">
        <v>14827669</v>
      </c>
      <c r="H2334" s="151" t="s">
        <v>563</v>
      </c>
      <c r="I2334" t="s">
        <v>561</v>
      </c>
    </row>
    <row r="2335" spans="1:9" x14ac:dyDescent="0.25">
      <c r="A2335">
        <v>1806</v>
      </c>
      <c r="B2335">
        <f>A2335+1</f>
        <v>1807</v>
      </c>
      <c r="C2335" t="s">
        <v>513</v>
      </c>
      <c r="D2335" t="s">
        <v>26</v>
      </c>
      <c r="E2335" s="208" t="s">
        <v>65</v>
      </c>
      <c r="F2335" t="s">
        <v>15</v>
      </c>
      <c r="G2335" s="18">
        <v>39563</v>
      </c>
      <c r="H2335" s="151" t="s">
        <v>563</v>
      </c>
      <c r="I2335" t="s">
        <v>561</v>
      </c>
    </row>
    <row r="2336" spans="1:9" x14ac:dyDescent="0.25">
      <c r="A2336">
        <v>1806</v>
      </c>
      <c r="B2336">
        <f>A2336+1</f>
        <v>1807</v>
      </c>
      <c r="C2336" t="s">
        <v>513</v>
      </c>
      <c r="D2336" t="s">
        <v>26</v>
      </c>
      <c r="E2336" s="208" t="s">
        <v>330</v>
      </c>
      <c r="F2336" t="s">
        <v>15</v>
      </c>
      <c r="G2336" s="18">
        <v>1807</v>
      </c>
      <c r="H2336" s="151" t="s">
        <v>563</v>
      </c>
      <c r="I2336" t="s">
        <v>561</v>
      </c>
    </row>
    <row r="2337" spans="1:9" x14ac:dyDescent="0.25">
      <c r="A2337">
        <v>1806</v>
      </c>
      <c r="B2337">
        <f>A2337+1</f>
        <v>1807</v>
      </c>
      <c r="C2337" t="s">
        <v>513</v>
      </c>
      <c r="D2337" t="s">
        <v>26</v>
      </c>
      <c r="E2337" s="208" t="s">
        <v>331</v>
      </c>
      <c r="F2337" t="s">
        <v>15</v>
      </c>
      <c r="G2337" s="18">
        <v>1842</v>
      </c>
      <c r="H2337" s="151" t="s">
        <v>563</v>
      </c>
      <c r="I2337" t="s">
        <v>561</v>
      </c>
    </row>
    <row r="2338" spans="1:9" x14ac:dyDescent="0.25">
      <c r="A2338">
        <v>1806</v>
      </c>
      <c r="B2338">
        <f>A2338+1</f>
        <v>1807</v>
      </c>
      <c r="C2338" t="s">
        <v>513</v>
      </c>
      <c r="D2338" t="s">
        <v>26</v>
      </c>
      <c r="E2338" s="208" t="s">
        <v>332</v>
      </c>
      <c r="F2338" t="s">
        <v>15</v>
      </c>
      <c r="G2338" s="18">
        <v>464</v>
      </c>
      <c r="H2338" s="151" t="s">
        <v>563</v>
      </c>
      <c r="I2338" t="s">
        <v>561</v>
      </c>
    </row>
    <row r="2339" spans="1:9" x14ac:dyDescent="0.25">
      <c r="A2339">
        <v>1806</v>
      </c>
      <c r="B2339">
        <f>A2339+1</f>
        <v>1807</v>
      </c>
      <c r="C2339" t="s">
        <v>513</v>
      </c>
      <c r="D2339" t="s">
        <v>26</v>
      </c>
      <c r="E2339" s="208" t="s">
        <v>333</v>
      </c>
      <c r="F2339" t="s">
        <v>15</v>
      </c>
      <c r="G2339" s="18">
        <v>1403</v>
      </c>
      <c r="H2339" s="151" t="s">
        <v>563</v>
      </c>
      <c r="I2339" t="s">
        <v>561</v>
      </c>
    </row>
    <row r="2340" spans="1:9" x14ac:dyDescent="0.25">
      <c r="A2340">
        <v>1806</v>
      </c>
      <c r="B2340">
        <f>A2340+1</f>
        <v>1807</v>
      </c>
      <c r="C2340" t="s">
        <v>513</v>
      </c>
      <c r="D2340" t="s">
        <v>26</v>
      </c>
      <c r="E2340" s="208" t="s">
        <v>567</v>
      </c>
      <c r="F2340" t="s">
        <v>3</v>
      </c>
      <c r="G2340" s="18">
        <v>11082</v>
      </c>
      <c r="H2340" t="s">
        <v>24</v>
      </c>
      <c r="I2340" t="s">
        <v>16</v>
      </c>
    </row>
    <row r="2341" spans="1:9" x14ac:dyDescent="0.25">
      <c r="A2341">
        <v>1806</v>
      </c>
      <c r="B2341">
        <f>A2341+1</f>
        <v>1807</v>
      </c>
      <c r="C2341" t="s">
        <v>513</v>
      </c>
      <c r="D2341" t="s">
        <v>26</v>
      </c>
      <c r="E2341" s="208" t="s">
        <v>567</v>
      </c>
      <c r="F2341" t="s">
        <v>4</v>
      </c>
      <c r="G2341" s="18">
        <v>8902</v>
      </c>
      <c r="H2341" t="s">
        <v>23</v>
      </c>
      <c r="I2341" t="s">
        <v>16</v>
      </c>
    </row>
    <row r="2342" spans="1:9" x14ac:dyDescent="0.25">
      <c r="A2342">
        <v>1806</v>
      </c>
      <c r="B2342">
        <f>A2342+1</f>
        <v>1807</v>
      </c>
      <c r="C2342" t="s">
        <v>513</v>
      </c>
      <c r="D2342" t="s">
        <v>26</v>
      </c>
      <c r="E2342" s="208" t="s">
        <v>567</v>
      </c>
      <c r="F2342" t="s">
        <v>7</v>
      </c>
      <c r="G2342" s="18">
        <v>19984</v>
      </c>
      <c r="H2342" s="151" t="s">
        <v>563</v>
      </c>
      <c r="I2342" t="s">
        <v>16</v>
      </c>
    </row>
    <row r="2343" spans="1:9" x14ac:dyDescent="0.25">
      <c r="A2343">
        <v>1806</v>
      </c>
      <c r="B2343">
        <f>A2343+1</f>
        <v>1807</v>
      </c>
      <c r="C2343" t="s">
        <v>513</v>
      </c>
      <c r="D2343" t="s">
        <v>26</v>
      </c>
      <c r="E2343" s="208" t="s">
        <v>567</v>
      </c>
      <c r="F2343" t="s">
        <v>10</v>
      </c>
      <c r="G2343" s="18">
        <v>6367</v>
      </c>
      <c r="H2343" t="s">
        <v>24</v>
      </c>
      <c r="I2343" t="s">
        <v>17</v>
      </c>
    </row>
    <row r="2344" spans="1:9" x14ac:dyDescent="0.25">
      <c r="A2344">
        <v>1806</v>
      </c>
      <c r="B2344">
        <f>A2344+1</f>
        <v>1807</v>
      </c>
      <c r="C2344" t="s">
        <v>513</v>
      </c>
      <c r="D2344" t="s">
        <v>26</v>
      </c>
      <c r="E2344" s="208" t="s">
        <v>567</v>
      </c>
      <c r="F2344" t="s">
        <v>11</v>
      </c>
      <c r="G2344" s="18">
        <v>9143</v>
      </c>
      <c r="H2344" t="s">
        <v>23</v>
      </c>
      <c r="I2344" t="s">
        <v>17</v>
      </c>
    </row>
    <row r="2345" spans="1:9" x14ac:dyDescent="0.25">
      <c r="A2345">
        <v>1806</v>
      </c>
      <c r="B2345">
        <f>A2345+1</f>
        <v>1807</v>
      </c>
      <c r="C2345" t="s">
        <v>513</v>
      </c>
      <c r="D2345" t="s">
        <v>26</v>
      </c>
      <c r="E2345" s="208" t="s">
        <v>567</v>
      </c>
      <c r="F2345" t="s">
        <v>14</v>
      </c>
      <c r="G2345" s="18">
        <v>15510</v>
      </c>
      <c r="H2345" s="151" t="s">
        <v>563</v>
      </c>
      <c r="I2345" t="s">
        <v>17</v>
      </c>
    </row>
    <row r="2346" spans="1:9" x14ac:dyDescent="0.25">
      <c r="A2346">
        <v>1806</v>
      </c>
      <c r="B2346">
        <f>A2346+1</f>
        <v>1807</v>
      </c>
      <c r="C2346" t="s">
        <v>513</v>
      </c>
      <c r="D2346" t="s">
        <v>26</v>
      </c>
      <c r="E2346" s="208" t="s">
        <v>567</v>
      </c>
      <c r="F2346" t="s">
        <v>15</v>
      </c>
      <c r="G2346" s="18">
        <v>35494</v>
      </c>
      <c r="H2346" s="151" t="s">
        <v>563</v>
      </c>
      <c r="I2346" t="s">
        <v>561</v>
      </c>
    </row>
    <row r="2347" spans="1:9" x14ac:dyDescent="0.25">
      <c r="A2347">
        <v>1806</v>
      </c>
      <c r="B2347">
        <f>A2347+1</f>
        <v>1807</v>
      </c>
      <c r="C2347" t="s">
        <v>513</v>
      </c>
      <c r="D2347" t="s">
        <v>26</v>
      </c>
      <c r="E2347" s="208" t="s">
        <v>572</v>
      </c>
      <c r="F2347" t="s">
        <v>3</v>
      </c>
      <c r="G2347" s="18">
        <v>1296</v>
      </c>
      <c r="H2347" t="s">
        <v>24</v>
      </c>
      <c r="I2347" t="s">
        <v>16</v>
      </c>
    </row>
    <row r="2348" spans="1:9" x14ac:dyDescent="0.25">
      <c r="A2348">
        <v>1806</v>
      </c>
      <c r="B2348">
        <f>A2348+1</f>
        <v>1807</v>
      </c>
      <c r="C2348" t="s">
        <v>513</v>
      </c>
      <c r="D2348" t="s">
        <v>26</v>
      </c>
      <c r="E2348" s="208" t="s">
        <v>572</v>
      </c>
      <c r="F2348" t="s">
        <v>4</v>
      </c>
      <c r="G2348" s="18">
        <v>5192</v>
      </c>
      <c r="H2348" t="s">
        <v>23</v>
      </c>
      <c r="I2348" t="s">
        <v>16</v>
      </c>
    </row>
    <row r="2349" spans="1:9" x14ac:dyDescent="0.25">
      <c r="A2349">
        <v>1806</v>
      </c>
      <c r="B2349">
        <f>A2349+1</f>
        <v>1807</v>
      </c>
      <c r="C2349" t="s">
        <v>513</v>
      </c>
      <c r="D2349" t="s">
        <v>26</v>
      </c>
      <c r="E2349" s="208" t="s">
        <v>572</v>
      </c>
      <c r="F2349" t="s">
        <v>7</v>
      </c>
      <c r="G2349" s="18">
        <v>6488</v>
      </c>
      <c r="H2349" s="151" t="s">
        <v>563</v>
      </c>
      <c r="I2349" t="s">
        <v>16</v>
      </c>
    </row>
    <row r="2350" spans="1:9" x14ac:dyDescent="0.25">
      <c r="A2350">
        <v>1806</v>
      </c>
      <c r="B2350">
        <f>A2350+1</f>
        <v>1807</v>
      </c>
      <c r="C2350" t="s">
        <v>513</v>
      </c>
      <c r="D2350" t="s">
        <v>26</v>
      </c>
      <c r="E2350" s="208" t="s">
        <v>572</v>
      </c>
      <c r="F2350" t="s">
        <v>10</v>
      </c>
      <c r="G2350" s="18">
        <v>347</v>
      </c>
      <c r="H2350" t="s">
        <v>24</v>
      </c>
      <c r="I2350" t="s">
        <v>17</v>
      </c>
    </row>
    <row r="2351" spans="1:9" x14ac:dyDescent="0.25">
      <c r="A2351">
        <v>1806</v>
      </c>
      <c r="B2351">
        <f>A2351+1</f>
        <v>1807</v>
      </c>
      <c r="C2351" t="s">
        <v>513</v>
      </c>
      <c r="D2351" t="s">
        <v>26</v>
      </c>
      <c r="E2351" s="208" t="s">
        <v>572</v>
      </c>
      <c r="F2351" t="s">
        <v>11</v>
      </c>
      <c r="G2351" s="18">
        <v>3063</v>
      </c>
      <c r="H2351" t="s">
        <v>23</v>
      </c>
      <c r="I2351" t="s">
        <v>17</v>
      </c>
    </row>
    <row r="2352" spans="1:9" x14ac:dyDescent="0.25">
      <c r="A2352">
        <v>1806</v>
      </c>
      <c r="B2352">
        <f>A2352+1</f>
        <v>1807</v>
      </c>
      <c r="C2352" t="s">
        <v>513</v>
      </c>
      <c r="D2352" t="s">
        <v>26</v>
      </c>
      <c r="E2352" s="208" t="s">
        <v>572</v>
      </c>
      <c r="F2352" t="s">
        <v>14</v>
      </c>
      <c r="G2352" s="18">
        <v>3410</v>
      </c>
      <c r="H2352" s="151" t="s">
        <v>563</v>
      </c>
      <c r="I2352" t="s">
        <v>17</v>
      </c>
    </row>
    <row r="2353" spans="1:9" x14ac:dyDescent="0.25">
      <c r="A2353">
        <v>1806</v>
      </c>
      <c r="B2353">
        <f>A2353+1</f>
        <v>1807</v>
      </c>
      <c r="C2353" t="s">
        <v>513</v>
      </c>
      <c r="D2353" t="s">
        <v>26</v>
      </c>
      <c r="E2353" s="208" t="s">
        <v>572</v>
      </c>
      <c r="F2353" t="s">
        <v>15</v>
      </c>
      <c r="G2353" s="18">
        <v>9898</v>
      </c>
      <c r="H2353" s="151" t="s">
        <v>563</v>
      </c>
      <c r="I2353" t="s">
        <v>561</v>
      </c>
    </row>
    <row r="2354" spans="1:9" x14ac:dyDescent="0.25">
      <c r="A2354">
        <v>1806</v>
      </c>
      <c r="B2354">
        <f>A2354+1</f>
        <v>1807</v>
      </c>
      <c r="C2354" t="s">
        <v>513</v>
      </c>
      <c r="D2354" t="s">
        <v>26</v>
      </c>
      <c r="E2354" s="208" t="s">
        <v>571</v>
      </c>
      <c r="F2354" t="s">
        <v>7</v>
      </c>
      <c r="G2354" s="18">
        <v>0</v>
      </c>
      <c r="H2354" s="151" t="s">
        <v>563</v>
      </c>
      <c r="I2354" t="s">
        <v>16</v>
      </c>
    </row>
    <row r="2355" spans="1:9" x14ac:dyDescent="0.25">
      <c r="A2355">
        <v>1806</v>
      </c>
      <c r="B2355">
        <f>A2355+1</f>
        <v>1807</v>
      </c>
      <c r="C2355" t="s">
        <v>513</v>
      </c>
      <c r="D2355" t="s">
        <v>26</v>
      </c>
      <c r="E2355" s="208" t="s">
        <v>571</v>
      </c>
      <c r="F2355" t="s">
        <v>14</v>
      </c>
      <c r="G2355" s="18">
        <v>0</v>
      </c>
      <c r="H2355" s="151" t="s">
        <v>563</v>
      </c>
      <c r="I2355" t="s">
        <v>17</v>
      </c>
    </row>
    <row r="2356" spans="1:9" x14ac:dyDescent="0.25">
      <c r="A2356">
        <v>1806</v>
      </c>
      <c r="B2356">
        <f>A2356+1</f>
        <v>1807</v>
      </c>
      <c r="C2356" t="s">
        <v>513</v>
      </c>
      <c r="D2356" t="s">
        <v>26</v>
      </c>
      <c r="E2356" s="208" t="s">
        <v>571</v>
      </c>
      <c r="F2356" t="s">
        <v>15</v>
      </c>
      <c r="G2356" s="18">
        <v>0</v>
      </c>
      <c r="H2356" s="151" t="s">
        <v>563</v>
      </c>
      <c r="I2356" t="s">
        <v>561</v>
      </c>
    </row>
    <row r="2357" spans="1:9" x14ac:dyDescent="0.25">
      <c r="A2357">
        <v>1806</v>
      </c>
      <c r="B2357">
        <f>A2357+1</f>
        <v>1807</v>
      </c>
      <c r="C2357" t="s">
        <v>513</v>
      </c>
      <c r="D2357" t="s">
        <v>26</v>
      </c>
      <c r="E2357" s="208" t="s">
        <v>570</v>
      </c>
      <c r="F2357" t="s">
        <v>3</v>
      </c>
      <c r="G2357" s="18">
        <v>542</v>
      </c>
      <c r="H2357" t="s">
        <v>24</v>
      </c>
      <c r="I2357" t="s">
        <v>16</v>
      </c>
    </row>
    <row r="2358" spans="1:9" x14ac:dyDescent="0.25">
      <c r="A2358">
        <v>1806</v>
      </c>
      <c r="B2358">
        <f>A2358+1</f>
        <v>1807</v>
      </c>
      <c r="C2358" t="s">
        <v>513</v>
      </c>
      <c r="D2358" t="s">
        <v>26</v>
      </c>
      <c r="E2358" s="208" t="s">
        <v>570</v>
      </c>
      <c r="F2358" t="s">
        <v>4</v>
      </c>
      <c r="G2358" s="18">
        <v>668</v>
      </c>
      <c r="H2358" t="s">
        <v>23</v>
      </c>
      <c r="I2358" t="s">
        <v>16</v>
      </c>
    </row>
    <row r="2359" spans="1:9" x14ac:dyDescent="0.25">
      <c r="A2359">
        <v>1806</v>
      </c>
      <c r="B2359">
        <f>A2359+1</f>
        <v>1807</v>
      </c>
      <c r="C2359" t="s">
        <v>513</v>
      </c>
      <c r="D2359" t="s">
        <v>26</v>
      </c>
      <c r="E2359" s="208" t="s">
        <v>570</v>
      </c>
      <c r="F2359" t="s">
        <v>7</v>
      </c>
      <c r="G2359" s="18">
        <v>1210</v>
      </c>
      <c r="H2359" s="151" t="s">
        <v>563</v>
      </c>
      <c r="I2359" t="s">
        <v>16</v>
      </c>
    </row>
    <row r="2360" spans="1:9" x14ac:dyDescent="0.25">
      <c r="A2360">
        <v>1806</v>
      </c>
      <c r="B2360">
        <f>A2360+1</f>
        <v>1807</v>
      </c>
      <c r="C2360" t="s">
        <v>513</v>
      </c>
      <c r="D2360" t="s">
        <v>26</v>
      </c>
      <c r="E2360" s="208" t="s">
        <v>570</v>
      </c>
      <c r="F2360" t="s">
        <v>10</v>
      </c>
      <c r="G2360" s="18">
        <v>328</v>
      </c>
      <c r="H2360" t="s">
        <v>24</v>
      </c>
      <c r="I2360" t="s">
        <v>17</v>
      </c>
    </row>
    <row r="2361" spans="1:9" x14ac:dyDescent="0.25">
      <c r="A2361">
        <v>1806</v>
      </c>
      <c r="B2361">
        <f>A2361+1</f>
        <v>1807</v>
      </c>
      <c r="C2361" t="s">
        <v>513</v>
      </c>
      <c r="D2361" t="s">
        <v>26</v>
      </c>
      <c r="E2361" s="208" t="s">
        <v>570</v>
      </c>
      <c r="F2361" t="s">
        <v>11</v>
      </c>
      <c r="G2361" s="18">
        <v>1123</v>
      </c>
      <c r="H2361" t="s">
        <v>23</v>
      </c>
      <c r="I2361" t="s">
        <v>17</v>
      </c>
    </row>
    <row r="2362" spans="1:9" x14ac:dyDescent="0.25">
      <c r="A2362">
        <v>1806</v>
      </c>
      <c r="B2362">
        <f>A2362+1</f>
        <v>1807</v>
      </c>
      <c r="C2362" t="s">
        <v>513</v>
      </c>
      <c r="D2362" t="s">
        <v>26</v>
      </c>
      <c r="E2362" s="208" t="s">
        <v>570</v>
      </c>
      <c r="F2362" t="s">
        <v>14</v>
      </c>
      <c r="G2362" s="18">
        <v>1451</v>
      </c>
      <c r="H2362" s="151" t="s">
        <v>563</v>
      </c>
      <c r="I2362" t="s">
        <v>17</v>
      </c>
    </row>
    <row r="2363" spans="1:9" x14ac:dyDescent="0.25">
      <c r="A2363">
        <v>1806</v>
      </c>
      <c r="B2363">
        <f>A2363+1</f>
        <v>1807</v>
      </c>
      <c r="C2363" t="s">
        <v>513</v>
      </c>
      <c r="D2363" t="s">
        <v>26</v>
      </c>
      <c r="E2363" s="208" t="s">
        <v>570</v>
      </c>
      <c r="F2363" t="s">
        <v>15</v>
      </c>
      <c r="G2363" s="18">
        <v>2661</v>
      </c>
      <c r="H2363" s="151" t="s">
        <v>563</v>
      </c>
      <c r="I2363" t="s">
        <v>561</v>
      </c>
    </row>
    <row r="2364" spans="1:9" x14ac:dyDescent="0.25">
      <c r="A2364">
        <v>1806</v>
      </c>
      <c r="B2364">
        <f>A2364+1</f>
        <v>1807</v>
      </c>
      <c r="C2364" t="s">
        <v>513</v>
      </c>
      <c r="D2364" t="s">
        <v>26</v>
      </c>
      <c r="E2364" s="208" t="s">
        <v>569</v>
      </c>
      <c r="F2364" t="s">
        <v>3</v>
      </c>
      <c r="G2364" s="18">
        <v>180</v>
      </c>
      <c r="H2364" t="s">
        <v>24</v>
      </c>
      <c r="I2364" t="s">
        <v>16</v>
      </c>
    </row>
    <row r="2365" spans="1:9" x14ac:dyDescent="0.25">
      <c r="A2365">
        <v>1806</v>
      </c>
      <c r="B2365">
        <f>A2365+1</f>
        <v>1807</v>
      </c>
      <c r="C2365" t="s">
        <v>513</v>
      </c>
      <c r="D2365" t="s">
        <v>26</v>
      </c>
      <c r="E2365" s="208" t="s">
        <v>569</v>
      </c>
      <c r="F2365" t="s">
        <v>4</v>
      </c>
      <c r="G2365" s="18">
        <v>1059</v>
      </c>
      <c r="H2365" t="s">
        <v>23</v>
      </c>
      <c r="I2365" t="s">
        <v>16</v>
      </c>
    </row>
    <row r="2366" spans="1:9" x14ac:dyDescent="0.25">
      <c r="A2366">
        <v>1806</v>
      </c>
      <c r="B2366">
        <f>A2366+1</f>
        <v>1807</v>
      </c>
      <c r="C2366" t="s">
        <v>513</v>
      </c>
      <c r="D2366" t="s">
        <v>26</v>
      </c>
      <c r="E2366" s="208" t="s">
        <v>569</v>
      </c>
      <c r="F2366" t="s">
        <v>7</v>
      </c>
      <c r="G2366" s="18">
        <v>1239</v>
      </c>
      <c r="H2366" s="151" t="s">
        <v>563</v>
      </c>
      <c r="I2366" t="s">
        <v>16</v>
      </c>
    </row>
    <row r="2367" spans="1:9" x14ac:dyDescent="0.25">
      <c r="A2367">
        <v>1806</v>
      </c>
      <c r="B2367">
        <f>A2367+1</f>
        <v>1807</v>
      </c>
      <c r="C2367" t="s">
        <v>513</v>
      </c>
      <c r="D2367" t="s">
        <v>26</v>
      </c>
      <c r="E2367" s="208" t="s">
        <v>569</v>
      </c>
      <c r="F2367" t="s">
        <v>10</v>
      </c>
      <c r="G2367" s="18">
        <v>102</v>
      </c>
      <c r="H2367" t="s">
        <v>24</v>
      </c>
      <c r="I2367" t="s">
        <v>17</v>
      </c>
    </row>
    <row r="2368" spans="1:9" x14ac:dyDescent="0.25">
      <c r="A2368">
        <v>1806</v>
      </c>
      <c r="B2368">
        <f>A2368+1</f>
        <v>1807</v>
      </c>
      <c r="C2368" t="s">
        <v>513</v>
      </c>
      <c r="D2368" t="s">
        <v>26</v>
      </c>
      <c r="E2368" s="208" t="s">
        <v>569</v>
      </c>
      <c r="F2368" t="s">
        <v>11</v>
      </c>
      <c r="G2368" s="18">
        <v>284</v>
      </c>
      <c r="H2368" t="s">
        <v>23</v>
      </c>
      <c r="I2368" t="s">
        <v>17</v>
      </c>
    </row>
    <row r="2369" spans="1:9" x14ac:dyDescent="0.25">
      <c r="A2369">
        <v>1806</v>
      </c>
      <c r="B2369">
        <f>A2369+1</f>
        <v>1807</v>
      </c>
      <c r="C2369" t="s">
        <v>513</v>
      </c>
      <c r="D2369" t="s">
        <v>26</v>
      </c>
      <c r="E2369" s="208" t="s">
        <v>569</v>
      </c>
      <c r="F2369" t="s">
        <v>14</v>
      </c>
      <c r="G2369" s="18">
        <v>386</v>
      </c>
      <c r="H2369" s="151" t="s">
        <v>563</v>
      </c>
      <c r="I2369" t="s">
        <v>17</v>
      </c>
    </row>
    <row r="2370" spans="1:9" x14ac:dyDescent="0.25">
      <c r="A2370">
        <v>1806</v>
      </c>
      <c r="B2370">
        <f>A2370+1</f>
        <v>1807</v>
      </c>
      <c r="C2370" t="s">
        <v>513</v>
      </c>
      <c r="D2370" t="s">
        <v>26</v>
      </c>
      <c r="E2370" s="208" t="s">
        <v>569</v>
      </c>
      <c r="F2370" t="s">
        <v>15</v>
      </c>
      <c r="G2370" s="18">
        <v>1625</v>
      </c>
      <c r="H2370" s="151" t="s">
        <v>563</v>
      </c>
      <c r="I2370" t="s">
        <v>561</v>
      </c>
    </row>
    <row r="2371" spans="1:9" x14ac:dyDescent="0.25">
      <c r="A2371">
        <v>1806</v>
      </c>
      <c r="B2371">
        <f>A2371+1</f>
        <v>1807</v>
      </c>
      <c r="C2371" t="s">
        <v>513</v>
      </c>
      <c r="D2371" t="s">
        <v>26</v>
      </c>
      <c r="E2371" s="208" t="s">
        <v>573</v>
      </c>
      <c r="F2371" t="s">
        <v>3</v>
      </c>
      <c r="G2371" s="18">
        <v>8112</v>
      </c>
      <c r="H2371" t="s">
        <v>24</v>
      </c>
      <c r="I2371" t="s">
        <v>16</v>
      </c>
    </row>
    <row r="2372" spans="1:9" x14ac:dyDescent="0.25">
      <c r="A2372">
        <v>1806</v>
      </c>
      <c r="B2372">
        <f>A2372+1</f>
        <v>1807</v>
      </c>
      <c r="C2372" t="s">
        <v>513</v>
      </c>
      <c r="D2372" t="s">
        <v>26</v>
      </c>
      <c r="E2372" s="208" t="s">
        <v>573</v>
      </c>
      <c r="F2372" t="s">
        <v>4</v>
      </c>
      <c r="G2372" s="18">
        <v>289</v>
      </c>
      <c r="H2372" t="s">
        <v>23</v>
      </c>
      <c r="I2372" t="s">
        <v>16</v>
      </c>
    </row>
    <row r="2373" spans="1:9" x14ac:dyDescent="0.25">
      <c r="A2373">
        <v>1806</v>
      </c>
      <c r="B2373">
        <f>A2373+1</f>
        <v>1807</v>
      </c>
      <c r="C2373" t="s">
        <v>513</v>
      </c>
      <c r="D2373" t="s">
        <v>26</v>
      </c>
      <c r="E2373" s="208" t="s">
        <v>573</v>
      </c>
      <c r="F2373" t="s">
        <v>7</v>
      </c>
      <c r="G2373" s="18">
        <v>8401</v>
      </c>
      <c r="H2373" s="151" t="s">
        <v>563</v>
      </c>
      <c r="I2373" t="s">
        <v>16</v>
      </c>
    </row>
    <row r="2374" spans="1:9" x14ac:dyDescent="0.25">
      <c r="A2374">
        <v>1806</v>
      </c>
      <c r="B2374">
        <f>A2374+1</f>
        <v>1807</v>
      </c>
      <c r="C2374" t="s">
        <v>513</v>
      </c>
      <c r="D2374" t="s">
        <v>26</v>
      </c>
      <c r="E2374" s="208" t="s">
        <v>573</v>
      </c>
      <c r="F2374" t="s">
        <v>10</v>
      </c>
      <c r="G2374" s="18">
        <v>323</v>
      </c>
      <c r="H2374" t="s">
        <v>24</v>
      </c>
      <c r="I2374" t="s">
        <v>17</v>
      </c>
    </row>
    <row r="2375" spans="1:9" x14ac:dyDescent="0.25">
      <c r="A2375">
        <v>1806</v>
      </c>
      <c r="B2375">
        <f>A2375+1</f>
        <v>1807</v>
      </c>
      <c r="C2375" t="s">
        <v>513</v>
      </c>
      <c r="D2375" t="s">
        <v>26</v>
      </c>
      <c r="E2375" s="208" t="s">
        <v>573</v>
      </c>
      <c r="F2375" t="s">
        <v>11</v>
      </c>
      <c r="G2375" s="18">
        <v>0</v>
      </c>
      <c r="H2375" t="s">
        <v>23</v>
      </c>
      <c r="I2375" t="s">
        <v>17</v>
      </c>
    </row>
    <row r="2376" spans="1:9" x14ac:dyDescent="0.25">
      <c r="A2376">
        <v>1806</v>
      </c>
      <c r="B2376">
        <f>A2376+1</f>
        <v>1807</v>
      </c>
      <c r="C2376" t="s">
        <v>513</v>
      </c>
      <c r="D2376" t="s">
        <v>26</v>
      </c>
      <c r="E2376" s="208" t="s">
        <v>573</v>
      </c>
      <c r="F2376" t="s">
        <v>14</v>
      </c>
      <c r="G2376" s="18">
        <v>323</v>
      </c>
      <c r="H2376" s="151" t="s">
        <v>563</v>
      </c>
      <c r="I2376" t="s">
        <v>17</v>
      </c>
    </row>
    <row r="2377" spans="1:9" x14ac:dyDescent="0.25">
      <c r="A2377">
        <v>1806</v>
      </c>
      <c r="B2377">
        <f>A2377+1</f>
        <v>1807</v>
      </c>
      <c r="C2377" t="s">
        <v>513</v>
      </c>
      <c r="D2377" t="s">
        <v>26</v>
      </c>
      <c r="E2377" s="208" t="s">
        <v>573</v>
      </c>
      <c r="F2377" t="s">
        <v>15</v>
      </c>
      <c r="G2377" s="18">
        <v>8724</v>
      </c>
      <c r="H2377" s="151" t="s">
        <v>563</v>
      </c>
      <c r="I2377" t="s">
        <v>561</v>
      </c>
    </row>
    <row r="2378" spans="1:9" x14ac:dyDescent="0.25">
      <c r="A2378">
        <v>1807</v>
      </c>
      <c r="B2378">
        <f>A2378+1</f>
        <v>1808</v>
      </c>
      <c r="C2378" t="s">
        <v>514</v>
      </c>
      <c r="D2378" t="s">
        <v>27</v>
      </c>
      <c r="E2378" s="208" t="s">
        <v>155</v>
      </c>
      <c r="F2378" t="s">
        <v>3</v>
      </c>
      <c r="G2378" s="18">
        <v>3</v>
      </c>
      <c r="H2378" t="s">
        <v>16</v>
      </c>
      <c r="I2378" t="s">
        <v>24</v>
      </c>
    </row>
    <row r="2379" spans="1:9" x14ac:dyDescent="0.25">
      <c r="A2379">
        <v>1807</v>
      </c>
      <c r="B2379">
        <f>A2379+1</f>
        <v>1808</v>
      </c>
      <c r="C2379" t="s">
        <v>514</v>
      </c>
      <c r="D2379" t="s">
        <v>27</v>
      </c>
      <c r="E2379" s="208" t="s">
        <v>156</v>
      </c>
      <c r="F2379" t="s">
        <v>3</v>
      </c>
      <c r="G2379" s="18">
        <v>0</v>
      </c>
      <c r="H2379" t="s">
        <v>16</v>
      </c>
      <c r="I2379" t="s">
        <v>24</v>
      </c>
    </row>
    <row r="2380" spans="1:9" x14ac:dyDescent="0.25">
      <c r="A2380">
        <v>1807</v>
      </c>
      <c r="B2380">
        <f>A2380+1</f>
        <v>1808</v>
      </c>
      <c r="C2380" t="s">
        <v>514</v>
      </c>
      <c r="D2380" t="s">
        <v>27</v>
      </c>
      <c r="E2380" s="208" t="s">
        <v>154</v>
      </c>
      <c r="F2380" t="s">
        <v>3</v>
      </c>
      <c r="G2380" s="18">
        <v>317</v>
      </c>
      <c r="H2380" t="s">
        <v>16</v>
      </c>
      <c r="I2380" t="s">
        <v>24</v>
      </c>
    </row>
    <row r="2381" spans="1:9" x14ac:dyDescent="0.25">
      <c r="A2381">
        <v>1807</v>
      </c>
      <c r="B2381">
        <f>A2381+1</f>
        <v>1808</v>
      </c>
      <c r="C2381" t="s">
        <v>514</v>
      </c>
      <c r="D2381" t="s">
        <v>27</v>
      </c>
      <c r="E2381" s="208" t="s">
        <v>150</v>
      </c>
      <c r="F2381" t="s">
        <v>3</v>
      </c>
      <c r="G2381" s="18">
        <v>2862</v>
      </c>
      <c r="H2381" t="s">
        <v>16</v>
      </c>
      <c r="I2381" t="s">
        <v>24</v>
      </c>
    </row>
    <row r="2382" spans="1:9" x14ac:dyDescent="0.25">
      <c r="A2382">
        <v>1807</v>
      </c>
      <c r="B2382">
        <f>A2382+1</f>
        <v>1808</v>
      </c>
      <c r="C2382" t="s">
        <v>514</v>
      </c>
      <c r="D2382" t="s">
        <v>27</v>
      </c>
      <c r="E2382" s="208" t="s">
        <v>148</v>
      </c>
      <c r="F2382" t="s">
        <v>3</v>
      </c>
      <c r="G2382" s="18">
        <v>120</v>
      </c>
      <c r="H2382" t="s">
        <v>16</v>
      </c>
      <c r="I2382" t="s">
        <v>24</v>
      </c>
    </row>
    <row r="2383" spans="1:9" x14ac:dyDescent="0.25">
      <c r="A2383">
        <v>1807</v>
      </c>
      <c r="B2383">
        <f>A2383+1</f>
        <v>1808</v>
      </c>
      <c r="C2383" t="s">
        <v>514</v>
      </c>
      <c r="D2383" t="s">
        <v>27</v>
      </c>
      <c r="E2383" s="208" t="s">
        <v>139</v>
      </c>
      <c r="F2383" t="s">
        <v>3</v>
      </c>
      <c r="G2383" s="18">
        <v>60</v>
      </c>
      <c r="H2383" t="s">
        <v>16</v>
      </c>
      <c r="I2383" t="s">
        <v>24</v>
      </c>
    </row>
    <row r="2384" spans="1:9" x14ac:dyDescent="0.25">
      <c r="A2384">
        <v>1807</v>
      </c>
      <c r="B2384">
        <f>A2384+1</f>
        <v>1808</v>
      </c>
      <c r="C2384" t="s">
        <v>514</v>
      </c>
      <c r="D2384" t="s">
        <v>27</v>
      </c>
      <c r="E2384" s="208" t="s">
        <v>130</v>
      </c>
      <c r="F2384" t="s">
        <v>3</v>
      </c>
      <c r="G2384" s="18">
        <v>3</v>
      </c>
      <c r="H2384" t="s">
        <v>16</v>
      </c>
      <c r="I2384" t="s">
        <v>24</v>
      </c>
    </row>
    <row r="2385" spans="1:9" x14ac:dyDescent="0.25">
      <c r="A2385">
        <v>1807</v>
      </c>
      <c r="B2385">
        <f>A2385+1</f>
        <v>1808</v>
      </c>
      <c r="C2385" t="s">
        <v>514</v>
      </c>
      <c r="D2385" t="s">
        <v>27</v>
      </c>
      <c r="E2385" s="208" t="s">
        <v>132</v>
      </c>
      <c r="F2385" t="s">
        <v>3</v>
      </c>
      <c r="G2385" s="18">
        <v>0</v>
      </c>
      <c r="H2385" t="s">
        <v>16</v>
      </c>
      <c r="I2385" t="s">
        <v>24</v>
      </c>
    </row>
    <row r="2386" spans="1:9" x14ac:dyDescent="0.25">
      <c r="A2386">
        <v>1807</v>
      </c>
      <c r="B2386">
        <f>A2386+1</f>
        <v>1808</v>
      </c>
      <c r="C2386" t="s">
        <v>514</v>
      </c>
      <c r="D2386" t="s">
        <v>27</v>
      </c>
      <c r="E2386" s="208" t="s">
        <v>142</v>
      </c>
      <c r="F2386" t="s">
        <v>3</v>
      </c>
      <c r="G2386" s="18">
        <v>69</v>
      </c>
      <c r="H2386" t="s">
        <v>16</v>
      </c>
      <c r="I2386" t="s">
        <v>24</v>
      </c>
    </row>
    <row r="2387" spans="1:9" x14ac:dyDescent="0.25">
      <c r="A2387">
        <v>1807</v>
      </c>
      <c r="B2387">
        <f>A2387+1</f>
        <v>1808</v>
      </c>
      <c r="C2387" t="s">
        <v>514</v>
      </c>
      <c r="D2387" t="s">
        <v>27</v>
      </c>
      <c r="E2387" s="208" t="s">
        <v>144</v>
      </c>
      <c r="F2387" t="s">
        <v>3</v>
      </c>
      <c r="G2387" s="18">
        <v>13</v>
      </c>
      <c r="H2387" t="s">
        <v>16</v>
      </c>
      <c r="I2387" t="s">
        <v>24</v>
      </c>
    </row>
    <row r="2388" spans="1:9" x14ac:dyDescent="0.25">
      <c r="A2388">
        <v>1807</v>
      </c>
      <c r="B2388">
        <f>A2388+1</f>
        <v>1808</v>
      </c>
      <c r="C2388" t="s">
        <v>514</v>
      </c>
      <c r="D2388" t="s">
        <v>27</v>
      </c>
      <c r="E2388" s="208" t="s">
        <v>124</v>
      </c>
      <c r="F2388" t="s">
        <v>3</v>
      </c>
      <c r="G2388" s="18">
        <v>87869</v>
      </c>
      <c r="H2388" t="s">
        <v>16</v>
      </c>
      <c r="I2388" t="s">
        <v>24</v>
      </c>
    </row>
    <row r="2389" spans="1:9" x14ac:dyDescent="0.25">
      <c r="A2389">
        <v>1807</v>
      </c>
      <c r="B2389">
        <f>A2389+1</f>
        <v>1808</v>
      </c>
      <c r="C2389" t="s">
        <v>514</v>
      </c>
      <c r="D2389" t="s">
        <v>26</v>
      </c>
      <c r="E2389" s="208" t="s">
        <v>62</v>
      </c>
      <c r="F2389" t="s">
        <v>3</v>
      </c>
      <c r="G2389" s="18">
        <v>6477</v>
      </c>
      <c r="H2389" t="s">
        <v>24</v>
      </c>
      <c r="I2389" t="s">
        <v>16</v>
      </c>
    </row>
    <row r="2390" spans="1:9" x14ac:dyDescent="0.25">
      <c r="A2390">
        <v>1807</v>
      </c>
      <c r="B2390">
        <f>A2390+1</f>
        <v>1808</v>
      </c>
      <c r="C2390" t="s">
        <v>514</v>
      </c>
      <c r="D2390" t="s">
        <v>26</v>
      </c>
      <c r="E2390" s="208" t="s">
        <v>36</v>
      </c>
      <c r="F2390" t="s">
        <v>3</v>
      </c>
      <c r="G2390" s="18">
        <v>538</v>
      </c>
      <c r="H2390" t="s">
        <v>24</v>
      </c>
      <c r="I2390" t="s">
        <v>16</v>
      </c>
    </row>
    <row r="2391" spans="1:9" x14ac:dyDescent="0.25">
      <c r="A2391">
        <v>1807</v>
      </c>
      <c r="B2391">
        <f>A2391+1</f>
        <v>1808</v>
      </c>
      <c r="C2391" t="s">
        <v>514</v>
      </c>
      <c r="D2391" t="s">
        <v>26</v>
      </c>
      <c r="E2391" s="208" t="s">
        <v>39</v>
      </c>
      <c r="F2391" t="s">
        <v>3</v>
      </c>
      <c r="G2391" s="18">
        <v>189</v>
      </c>
      <c r="H2391" t="s">
        <v>24</v>
      </c>
      <c r="I2391" t="s">
        <v>16</v>
      </c>
    </row>
    <row r="2392" spans="1:9" x14ac:dyDescent="0.25">
      <c r="A2392">
        <v>1807</v>
      </c>
      <c r="B2392">
        <f>A2392+1</f>
        <v>1808</v>
      </c>
      <c r="C2392" t="s">
        <v>514</v>
      </c>
      <c r="D2392" t="s">
        <v>26</v>
      </c>
      <c r="E2392" s="208" t="s">
        <v>94</v>
      </c>
      <c r="F2392" t="s">
        <v>3</v>
      </c>
      <c r="G2392" s="18">
        <v>47</v>
      </c>
      <c r="H2392" t="s">
        <v>24</v>
      </c>
      <c r="I2392" t="s">
        <v>16</v>
      </c>
    </row>
    <row r="2393" spans="1:9" x14ac:dyDescent="0.25">
      <c r="A2393">
        <v>1807</v>
      </c>
      <c r="B2393">
        <f>A2393+1</f>
        <v>1808</v>
      </c>
      <c r="C2393" t="s">
        <v>514</v>
      </c>
      <c r="D2393" t="s">
        <v>26</v>
      </c>
      <c r="E2393" s="208" t="s">
        <v>99</v>
      </c>
      <c r="F2393" t="s">
        <v>3</v>
      </c>
      <c r="G2393" s="18">
        <v>80</v>
      </c>
      <c r="H2393" t="s">
        <v>24</v>
      </c>
      <c r="I2393" t="s">
        <v>16</v>
      </c>
    </row>
    <row r="2394" spans="1:9" x14ac:dyDescent="0.25">
      <c r="A2394">
        <v>1807</v>
      </c>
      <c r="B2394">
        <f>A2394+1</f>
        <v>1808</v>
      </c>
      <c r="C2394" t="s">
        <v>514</v>
      </c>
      <c r="D2394" t="s">
        <v>26</v>
      </c>
      <c r="E2394" s="208" t="s">
        <v>28</v>
      </c>
      <c r="F2394" t="s">
        <v>3</v>
      </c>
      <c r="G2394" s="18">
        <v>281</v>
      </c>
      <c r="H2394" t="s">
        <v>24</v>
      </c>
      <c r="I2394" t="s">
        <v>16</v>
      </c>
    </row>
    <row r="2395" spans="1:9" x14ac:dyDescent="0.25">
      <c r="A2395">
        <v>1807</v>
      </c>
      <c r="B2395">
        <f>A2395+1</f>
        <v>1808</v>
      </c>
      <c r="C2395" t="s">
        <v>514</v>
      </c>
      <c r="D2395" t="s">
        <v>26</v>
      </c>
      <c r="E2395" s="208" t="s">
        <v>89</v>
      </c>
      <c r="F2395" t="s">
        <v>3</v>
      </c>
      <c r="G2395" s="18">
        <v>327</v>
      </c>
      <c r="H2395" t="s">
        <v>24</v>
      </c>
      <c r="I2395" t="s">
        <v>16</v>
      </c>
    </row>
    <row r="2396" spans="1:9" x14ac:dyDescent="0.25">
      <c r="A2396">
        <v>1807</v>
      </c>
      <c r="B2396">
        <f>A2396+1</f>
        <v>1808</v>
      </c>
      <c r="C2396" t="s">
        <v>514</v>
      </c>
      <c r="D2396" t="s">
        <v>26</v>
      </c>
      <c r="E2396" s="208" t="s">
        <v>45</v>
      </c>
      <c r="F2396" t="s">
        <v>3</v>
      </c>
      <c r="G2396" s="18">
        <v>473</v>
      </c>
      <c r="H2396" t="s">
        <v>24</v>
      </c>
      <c r="I2396" t="s">
        <v>16</v>
      </c>
    </row>
    <row r="2397" spans="1:9" x14ac:dyDescent="0.25">
      <c r="A2397">
        <v>1807</v>
      </c>
      <c r="B2397">
        <f>A2397+1</f>
        <v>1808</v>
      </c>
      <c r="C2397" t="s">
        <v>514</v>
      </c>
      <c r="D2397" t="s">
        <v>26</v>
      </c>
      <c r="E2397" s="208" t="s">
        <v>53</v>
      </c>
      <c r="F2397" t="s">
        <v>3</v>
      </c>
      <c r="G2397" s="18">
        <v>1595</v>
      </c>
      <c r="H2397" t="s">
        <v>24</v>
      </c>
      <c r="I2397" t="s">
        <v>16</v>
      </c>
    </row>
    <row r="2398" spans="1:9" x14ac:dyDescent="0.25">
      <c r="A2398">
        <v>1807</v>
      </c>
      <c r="B2398">
        <f>A2398+1</f>
        <v>1808</v>
      </c>
      <c r="C2398" t="s">
        <v>514</v>
      </c>
      <c r="D2398" t="s">
        <v>26</v>
      </c>
      <c r="E2398" s="208" t="s">
        <v>75</v>
      </c>
      <c r="F2398" t="s">
        <v>3</v>
      </c>
      <c r="G2398" s="18">
        <v>401664</v>
      </c>
      <c r="H2398" t="s">
        <v>24</v>
      </c>
      <c r="I2398" t="s">
        <v>16</v>
      </c>
    </row>
    <row r="2399" spans="1:9" x14ac:dyDescent="0.25">
      <c r="A2399">
        <v>1807</v>
      </c>
      <c r="B2399">
        <f>A2399+1</f>
        <v>1808</v>
      </c>
      <c r="C2399" t="s">
        <v>514</v>
      </c>
      <c r="D2399" t="s">
        <v>26</v>
      </c>
      <c r="E2399" s="208" t="s">
        <v>107</v>
      </c>
      <c r="F2399" t="s">
        <v>3</v>
      </c>
      <c r="G2399" s="18">
        <v>197716</v>
      </c>
      <c r="H2399" t="s">
        <v>24</v>
      </c>
      <c r="I2399" t="s">
        <v>16</v>
      </c>
    </row>
    <row r="2400" spans="1:9" x14ac:dyDescent="0.25">
      <c r="A2400">
        <v>1807</v>
      </c>
      <c r="B2400">
        <f>A2400+1</f>
        <v>1808</v>
      </c>
      <c r="C2400" t="s">
        <v>514</v>
      </c>
      <c r="D2400" t="s">
        <v>26</v>
      </c>
      <c r="E2400" s="208" t="s">
        <v>101</v>
      </c>
      <c r="F2400" t="s">
        <v>3</v>
      </c>
      <c r="G2400" s="18">
        <v>78320</v>
      </c>
      <c r="H2400" t="s">
        <v>24</v>
      </c>
      <c r="I2400" t="s">
        <v>16</v>
      </c>
    </row>
    <row r="2401" spans="1:9" x14ac:dyDescent="0.25">
      <c r="A2401">
        <v>1807</v>
      </c>
      <c r="B2401">
        <f>A2401+1</f>
        <v>1808</v>
      </c>
      <c r="C2401" t="s">
        <v>514</v>
      </c>
      <c r="D2401" t="s">
        <v>26</v>
      </c>
      <c r="E2401" s="208" t="s">
        <v>330</v>
      </c>
      <c r="F2401" t="s">
        <v>6</v>
      </c>
      <c r="G2401" s="18">
        <v>1239</v>
      </c>
      <c r="H2401" t="s">
        <v>25</v>
      </c>
      <c r="I2401" t="s">
        <v>16</v>
      </c>
    </row>
    <row r="2402" spans="1:9" x14ac:dyDescent="0.25">
      <c r="A2402">
        <v>1807</v>
      </c>
      <c r="B2402">
        <f>A2402+1</f>
        <v>1808</v>
      </c>
      <c r="C2402" t="s">
        <v>514</v>
      </c>
      <c r="D2402" t="s">
        <v>26</v>
      </c>
      <c r="E2402" s="208" t="s">
        <v>331</v>
      </c>
      <c r="F2402" t="s">
        <v>6</v>
      </c>
      <c r="G2402" s="18">
        <v>1637</v>
      </c>
      <c r="H2402" t="s">
        <v>25</v>
      </c>
      <c r="I2402" t="s">
        <v>16</v>
      </c>
    </row>
    <row r="2403" spans="1:9" x14ac:dyDescent="0.25">
      <c r="A2403">
        <v>1807</v>
      </c>
      <c r="B2403">
        <f>A2403+1</f>
        <v>1808</v>
      </c>
      <c r="C2403" t="s">
        <v>514</v>
      </c>
      <c r="D2403" t="s">
        <v>26</v>
      </c>
      <c r="E2403" s="208" t="s">
        <v>332</v>
      </c>
      <c r="F2403" t="s">
        <v>6</v>
      </c>
      <c r="G2403" s="18">
        <v>536</v>
      </c>
      <c r="H2403" t="s">
        <v>25</v>
      </c>
      <c r="I2403" t="s">
        <v>16</v>
      </c>
    </row>
    <row r="2404" spans="1:9" x14ac:dyDescent="0.25">
      <c r="A2404">
        <v>1807</v>
      </c>
      <c r="B2404">
        <f>A2404+1</f>
        <v>1808</v>
      </c>
      <c r="C2404" t="s">
        <v>514</v>
      </c>
      <c r="D2404" t="s">
        <v>26</v>
      </c>
      <c r="E2404" s="208" t="s">
        <v>333</v>
      </c>
      <c r="F2404" t="s">
        <v>6</v>
      </c>
      <c r="G2404" s="18">
        <v>1124</v>
      </c>
      <c r="H2404" t="s">
        <v>25</v>
      </c>
      <c r="I2404" t="s">
        <v>16</v>
      </c>
    </row>
    <row r="2405" spans="1:9" x14ac:dyDescent="0.25">
      <c r="A2405">
        <v>1807</v>
      </c>
      <c r="B2405">
        <f>A2405+1</f>
        <v>1808</v>
      </c>
      <c r="C2405" t="s">
        <v>514</v>
      </c>
      <c r="D2405" t="s">
        <v>27</v>
      </c>
      <c r="E2405" s="208" t="s">
        <v>155</v>
      </c>
      <c r="F2405" t="s">
        <v>0</v>
      </c>
      <c r="G2405" s="18">
        <v>24622</v>
      </c>
      <c r="H2405" t="s">
        <v>16</v>
      </c>
      <c r="I2405" t="s">
        <v>18</v>
      </c>
    </row>
    <row r="2406" spans="1:9" x14ac:dyDescent="0.25">
      <c r="A2406">
        <v>1807</v>
      </c>
      <c r="B2406">
        <f>A2406+1</f>
        <v>1808</v>
      </c>
      <c r="C2406" t="s">
        <v>514</v>
      </c>
      <c r="D2406" t="s">
        <v>27</v>
      </c>
      <c r="E2406" s="208" t="s">
        <v>156</v>
      </c>
      <c r="F2406" t="s">
        <v>0</v>
      </c>
      <c r="G2406" s="18">
        <v>3690</v>
      </c>
      <c r="H2406" t="s">
        <v>16</v>
      </c>
      <c r="I2406" t="s">
        <v>18</v>
      </c>
    </row>
    <row r="2407" spans="1:9" x14ac:dyDescent="0.25">
      <c r="A2407">
        <v>1807</v>
      </c>
      <c r="B2407">
        <f>A2407+1</f>
        <v>1808</v>
      </c>
      <c r="C2407" t="s">
        <v>514</v>
      </c>
      <c r="D2407" t="s">
        <v>27</v>
      </c>
      <c r="E2407" s="208" t="s">
        <v>154</v>
      </c>
      <c r="F2407" t="s">
        <v>0</v>
      </c>
      <c r="G2407" s="18">
        <v>450</v>
      </c>
      <c r="H2407" t="s">
        <v>16</v>
      </c>
      <c r="I2407" t="s">
        <v>18</v>
      </c>
    </row>
    <row r="2408" spans="1:9" x14ac:dyDescent="0.25">
      <c r="A2408">
        <v>1807</v>
      </c>
      <c r="B2408">
        <f>A2408+1</f>
        <v>1808</v>
      </c>
      <c r="C2408" t="s">
        <v>514</v>
      </c>
      <c r="D2408" t="s">
        <v>27</v>
      </c>
      <c r="E2408" s="208" t="s">
        <v>150</v>
      </c>
      <c r="F2408" t="s">
        <v>0</v>
      </c>
      <c r="G2408" s="18">
        <v>5606</v>
      </c>
      <c r="H2408" t="s">
        <v>16</v>
      </c>
      <c r="I2408" t="s">
        <v>18</v>
      </c>
    </row>
    <row r="2409" spans="1:9" x14ac:dyDescent="0.25">
      <c r="A2409">
        <v>1807</v>
      </c>
      <c r="B2409">
        <f>A2409+1</f>
        <v>1808</v>
      </c>
      <c r="C2409" t="s">
        <v>514</v>
      </c>
      <c r="D2409" t="s">
        <v>27</v>
      </c>
      <c r="E2409" s="208" t="s">
        <v>148</v>
      </c>
      <c r="F2409" t="s">
        <v>0</v>
      </c>
      <c r="G2409" s="18">
        <v>283</v>
      </c>
      <c r="H2409" t="s">
        <v>16</v>
      </c>
      <c r="I2409" t="s">
        <v>18</v>
      </c>
    </row>
    <row r="2410" spans="1:9" x14ac:dyDescent="0.25">
      <c r="A2410">
        <v>1807</v>
      </c>
      <c r="B2410">
        <f>A2410+1</f>
        <v>1808</v>
      </c>
      <c r="C2410" t="s">
        <v>514</v>
      </c>
      <c r="D2410" t="s">
        <v>27</v>
      </c>
      <c r="E2410" s="208" t="s">
        <v>139</v>
      </c>
      <c r="F2410" t="s">
        <v>0</v>
      </c>
      <c r="G2410" s="18">
        <v>44</v>
      </c>
      <c r="H2410" t="s">
        <v>16</v>
      </c>
      <c r="I2410" t="s">
        <v>18</v>
      </c>
    </row>
    <row r="2411" spans="1:9" x14ac:dyDescent="0.25">
      <c r="A2411">
        <v>1807</v>
      </c>
      <c r="B2411">
        <f>A2411+1</f>
        <v>1808</v>
      </c>
      <c r="C2411" t="s">
        <v>514</v>
      </c>
      <c r="D2411" t="s">
        <v>27</v>
      </c>
      <c r="E2411" s="208" t="s">
        <v>130</v>
      </c>
      <c r="F2411" t="s">
        <v>0</v>
      </c>
      <c r="G2411" s="18">
        <v>137</v>
      </c>
      <c r="H2411" t="s">
        <v>16</v>
      </c>
      <c r="I2411" t="s">
        <v>18</v>
      </c>
    </row>
    <row r="2412" spans="1:9" x14ac:dyDescent="0.25">
      <c r="A2412">
        <v>1807</v>
      </c>
      <c r="B2412">
        <f>A2412+1</f>
        <v>1808</v>
      </c>
      <c r="C2412" t="s">
        <v>514</v>
      </c>
      <c r="D2412" t="s">
        <v>27</v>
      </c>
      <c r="E2412" s="208" t="s">
        <v>132</v>
      </c>
      <c r="F2412" t="s">
        <v>0</v>
      </c>
      <c r="G2412" s="18">
        <v>208</v>
      </c>
      <c r="H2412" t="s">
        <v>16</v>
      </c>
      <c r="I2412" t="s">
        <v>18</v>
      </c>
    </row>
    <row r="2413" spans="1:9" x14ac:dyDescent="0.25">
      <c r="A2413">
        <v>1807</v>
      </c>
      <c r="B2413">
        <f>A2413+1</f>
        <v>1808</v>
      </c>
      <c r="C2413" t="s">
        <v>514</v>
      </c>
      <c r="D2413" t="s">
        <v>27</v>
      </c>
      <c r="E2413" s="208" t="s">
        <v>142</v>
      </c>
      <c r="F2413" t="s">
        <v>0</v>
      </c>
      <c r="G2413" s="18">
        <v>233</v>
      </c>
      <c r="H2413" t="s">
        <v>16</v>
      </c>
      <c r="I2413" t="s">
        <v>18</v>
      </c>
    </row>
    <row r="2414" spans="1:9" x14ac:dyDescent="0.25">
      <c r="A2414">
        <v>1807</v>
      </c>
      <c r="B2414">
        <f>A2414+1</f>
        <v>1808</v>
      </c>
      <c r="C2414" t="s">
        <v>514</v>
      </c>
      <c r="D2414" t="s">
        <v>27</v>
      </c>
      <c r="E2414" s="208" t="s">
        <v>144</v>
      </c>
      <c r="F2414" t="s">
        <v>0</v>
      </c>
      <c r="G2414" s="18">
        <v>44</v>
      </c>
      <c r="H2414" t="s">
        <v>16</v>
      </c>
      <c r="I2414" t="s">
        <v>18</v>
      </c>
    </row>
    <row r="2415" spans="1:9" x14ac:dyDescent="0.25">
      <c r="A2415">
        <v>1807</v>
      </c>
      <c r="B2415">
        <f>A2415+1</f>
        <v>1808</v>
      </c>
      <c r="C2415" t="s">
        <v>514</v>
      </c>
      <c r="D2415" t="s">
        <v>27</v>
      </c>
      <c r="E2415" s="208" t="s">
        <v>124</v>
      </c>
      <c r="F2415" t="s">
        <v>0</v>
      </c>
      <c r="G2415" s="18">
        <v>15228346</v>
      </c>
      <c r="H2415" t="s">
        <v>16</v>
      </c>
      <c r="I2415" t="s">
        <v>18</v>
      </c>
    </row>
    <row r="2416" spans="1:9" x14ac:dyDescent="0.25">
      <c r="A2416">
        <v>1807</v>
      </c>
      <c r="B2416">
        <f>A2416+1</f>
        <v>1808</v>
      </c>
      <c r="C2416" t="s">
        <v>514</v>
      </c>
      <c r="D2416" t="s">
        <v>26</v>
      </c>
      <c r="E2416" s="208" t="s">
        <v>109</v>
      </c>
      <c r="F2416" t="s">
        <v>0</v>
      </c>
      <c r="G2416" s="18">
        <v>19138</v>
      </c>
      <c r="H2416" t="s">
        <v>18</v>
      </c>
      <c r="I2416" t="s">
        <v>16</v>
      </c>
    </row>
    <row r="2417" spans="1:9" x14ac:dyDescent="0.25">
      <c r="A2417">
        <v>1807</v>
      </c>
      <c r="B2417">
        <f>A2417+1</f>
        <v>1808</v>
      </c>
      <c r="C2417" t="s">
        <v>514</v>
      </c>
      <c r="D2417" t="s">
        <v>26</v>
      </c>
      <c r="E2417" s="208" t="s">
        <v>65</v>
      </c>
      <c r="F2417" t="s">
        <v>169</v>
      </c>
      <c r="G2417" s="18">
        <v>4965</v>
      </c>
      <c r="H2417" t="s">
        <v>160</v>
      </c>
      <c r="I2417" t="s">
        <v>16</v>
      </c>
    </row>
    <row r="2418" spans="1:9" x14ac:dyDescent="0.25">
      <c r="A2418">
        <v>1807</v>
      </c>
      <c r="B2418">
        <f>A2418+1</f>
        <v>1808</v>
      </c>
      <c r="C2418" t="s">
        <v>514</v>
      </c>
      <c r="D2418" t="s">
        <v>27</v>
      </c>
      <c r="E2418" s="208" t="s">
        <v>155</v>
      </c>
      <c r="F2418" t="s">
        <v>1</v>
      </c>
      <c r="G2418" s="18">
        <v>2727</v>
      </c>
      <c r="H2418" t="s">
        <v>16</v>
      </c>
      <c r="I2418" t="s">
        <v>21</v>
      </c>
    </row>
    <row r="2419" spans="1:9" x14ac:dyDescent="0.25">
      <c r="A2419">
        <v>1807</v>
      </c>
      <c r="B2419">
        <f>A2419+1</f>
        <v>1808</v>
      </c>
      <c r="C2419" t="s">
        <v>514</v>
      </c>
      <c r="D2419" t="s">
        <v>27</v>
      </c>
      <c r="E2419" s="208" t="s">
        <v>156</v>
      </c>
      <c r="F2419" t="s">
        <v>1</v>
      </c>
      <c r="G2419" s="18">
        <v>513</v>
      </c>
      <c r="H2419" t="s">
        <v>16</v>
      </c>
      <c r="I2419" t="s">
        <v>21</v>
      </c>
    </row>
    <row r="2420" spans="1:9" x14ac:dyDescent="0.25">
      <c r="A2420">
        <v>1807</v>
      </c>
      <c r="B2420">
        <f>A2420+1</f>
        <v>1808</v>
      </c>
      <c r="C2420" t="s">
        <v>514</v>
      </c>
      <c r="D2420" t="s">
        <v>27</v>
      </c>
      <c r="E2420" s="208" t="s">
        <v>154</v>
      </c>
      <c r="F2420" t="s">
        <v>1</v>
      </c>
      <c r="G2420" s="18">
        <v>650</v>
      </c>
      <c r="H2420" t="s">
        <v>16</v>
      </c>
      <c r="I2420" t="s">
        <v>21</v>
      </c>
    </row>
    <row r="2421" spans="1:9" x14ac:dyDescent="0.25">
      <c r="A2421">
        <v>1807</v>
      </c>
      <c r="B2421">
        <f>A2421+1</f>
        <v>1808</v>
      </c>
      <c r="C2421" t="s">
        <v>514</v>
      </c>
      <c r="D2421" t="s">
        <v>27</v>
      </c>
      <c r="E2421" s="208" t="s">
        <v>150</v>
      </c>
      <c r="F2421" t="s">
        <v>1</v>
      </c>
      <c r="G2421" s="18">
        <v>1622</v>
      </c>
      <c r="H2421" t="s">
        <v>16</v>
      </c>
      <c r="I2421" t="s">
        <v>21</v>
      </c>
    </row>
    <row r="2422" spans="1:9" x14ac:dyDescent="0.25">
      <c r="A2422">
        <v>1807</v>
      </c>
      <c r="B2422">
        <f>A2422+1</f>
        <v>1808</v>
      </c>
      <c r="C2422" t="s">
        <v>514</v>
      </c>
      <c r="D2422" t="s">
        <v>27</v>
      </c>
      <c r="E2422" s="208" t="s">
        <v>148</v>
      </c>
      <c r="F2422" t="s">
        <v>1</v>
      </c>
      <c r="G2422" s="18">
        <v>520</v>
      </c>
      <c r="H2422" t="s">
        <v>16</v>
      </c>
      <c r="I2422" t="s">
        <v>21</v>
      </c>
    </row>
    <row r="2423" spans="1:9" x14ac:dyDescent="0.25">
      <c r="A2423">
        <v>1807</v>
      </c>
      <c r="B2423">
        <f>A2423+1</f>
        <v>1808</v>
      </c>
      <c r="C2423" t="s">
        <v>514</v>
      </c>
      <c r="D2423" t="s">
        <v>27</v>
      </c>
      <c r="E2423" s="208" t="s">
        <v>139</v>
      </c>
      <c r="F2423" t="s">
        <v>1</v>
      </c>
      <c r="G2423" s="18">
        <v>0</v>
      </c>
      <c r="H2423" t="s">
        <v>16</v>
      </c>
      <c r="I2423" t="s">
        <v>21</v>
      </c>
    </row>
    <row r="2424" spans="1:9" x14ac:dyDescent="0.25">
      <c r="A2424">
        <v>1807</v>
      </c>
      <c r="B2424">
        <f>A2424+1</f>
        <v>1808</v>
      </c>
      <c r="C2424" t="s">
        <v>514</v>
      </c>
      <c r="D2424" t="s">
        <v>27</v>
      </c>
      <c r="E2424" s="208" t="s">
        <v>130</v>
      </c>
      <c r="F2424" t="s">
        <v>1</v>
      </c>
      <c r="G2424" s="18">
        <v>132</v>
      </c>
      <c r="H2424" t="s">
        <v>16</v>
      </c>
      <c r="I2424" t="s">
        <v>21</v>
      </c>
    </row>
    <row r="2425" spans="1:9" x14ac:dyDescent="0.25">
      <c r="A2425">
        <v>1807</v>
      </c>
      <c r="B2425">
        <f>A2425+1</f>
        <v>1808</v>
      </c>
      <c r="C2425" t="s">
        <v>514</v>
      </c>
      <c r="D2425" t="s">
        <v>27</v>
      </c>
      <c r="E2425" s="208" t="s">
        <v>132</v>
      </c>
      <c r="F2425" t="s">
        <v>1</v>
      </c>
      <c r="G2425" s="18">
        <v>117</v>
      </c>
      <c r="H2425" t="s">
        <v>16</v>
      </c>
      <c r="I2425" t="s">
        <v>21</v>
      </c>
    </row>
    <row r="2426" spans="1:9" x14ac:dyDescent="0.25">
      <c r="A2426">
        <v>1807</v>
      </c>
      <c r="B2426">
        <f>A2426+1</f>
        <v>1808</v>
      </c>
      <c r="C2426" t="s">
        <v>514</v>
      </c>
      <c r="D2426" t="s">
        <v>27</v>
      </c>
      <c r="E2426" s="208" t="s">
        <v>142</v>
      </c>
      <c r="F2426" t="s">
        <v>1</v>
      </c>
      <c r="G2426" s="18">
        <v>33</v>
      </c>
      <c r="H2426" t="s">
        <v>16</v>
      </c>
      <c r="I2426" t="s">
        <v>21</v>
      </c>
    </row>
    <row r="2427" spans="1:9" x14ac:dyDescent="0.25">
      <c r="A2427">
        <v>1807</v>
      </c>
      <c r="B2427">
        <f>A2427+1</f>
        <v>1808</v>
      </c>
      <c r="C2427" t="s">
        <v>514</v>
      </c>
      <c r="D2427" t="s">
        <v>27</v>
      </c>
      <c r="E2427" s="208" t="s">
        <v>144</v>
      </c>
      <c r="F2427" t="s">
        <v>1</v>
      </c>
      <c r="G2427" s="18">
        <v>36</v>
      </c>
      <c r="H2427" t="s">
        <v>16</v>
      </c>
      <c r="I2427" t="s">
        <v>21</v>
      </c>
    </row>
    <row r="2428" spans="1:9" x14ac:dyDescent="0.25">
      <c r="A2428">
        <v>1807</v>
      </c>
      <c r="B2428">
        <f>A2428+1</f>
        <v>1808</v>
      </c>
      <c r="C2428" t="s">
        <v>514</v>
      </c>
      <c r="D2428" t="s">
        <v>27</v>
      </c>
      <c r="E2428" s="208" t="s">
        <v>124</v>
      </c>
      <c r="F2428" t="s">
        <v>1</v>
      </c>
      <c r="G2428" s="18">
        <v>142549</v>
      </c>
      <c r="H2428" t="s">
        <v>16</v>
      </c>
      <c r="I2428" t="s">
        <v>21</v>
      </c>
    </row>
    <row r="2429" spans="1:9" x14ac:dyDescent="0.25">
      <c r="A2429">
        <v>1807</v>
      </c>
      <c r="B2429">
        <f>A2429+1</f>
        <v>1808</v>
      </c>
      <c r="C2429" t="s">
        <v>514</v>
      </c>
      <c r="D2429" t="s">
        <v>27</v>
      </c>
      <c r="E2429" s="208" t="s">
        <v>155</v>
      </c>
      <c r="F2429" t="s">
        <v>6</v>
      </c>
      <c r="G2429" s="18">
        <v>0</v>
      </c>
      <c r="H2429" t="s">
        <v>16</v>
      </c>
      <c r="I2429" t="s">
        <v>25</v>
      </c>
    </row>
    <row r="2430" spans="1:9" x14ac:dyDescent="0.25">
      <c r="A2430">
        <v>1807</v>
      </c>
      <c r="B2430">
        <f>A2430+1</f>
        <v>1808</v>
      </c>
      <c r="C2430" t="s">
        <v>514</v>
      </c>
      <c r="D2430" t="s">
        <v>27</v>
      </c>
      <c r="E2430" s="208" t="s">
        <v>156</v>
      </c>
      <c r="F2430" t="s">
        <v>6</v>
      </c>
      <c r="G2430" s="18">
        <v>0</v>
      </c>
      <c r="H2430" t="s">
        <v>16</v>
      </c>
      <c r="I2430" t="s">
        <v>25</v>
      </c>
    </row>
    <row r="2431" spans="1:9" x14ac:dyDescent="0.25">
      <c r="A2431">
        <v>1807</v>
      </c>
      <c r="B2431">
        <f>A2431+1</f>
        <v>1808</v>
      </c>
      <c r="C2431" t="s">
        <v>514</v>
      </c>
      <c r="D2431" t="s">
        <v>27</v>
      </c>
      <c r="E2431" s="208" t="s">
        <v>154</v>
      </c>
      <c r="F2431" t="s">
        <v>6</v>
      </c>
      <c r="G2431" s="18">
        <v>0</v>
      </c>
      <c r="H2431" t="s">
        <v>16</v>
      </c>
      <c r="I2431" t="s">
        <v>25</v>
      </c>
    </row>
    <row r="2432" spans="1:9" x14ac:dyDescent="0.25">
      <c r="A2432">
        <v>1807</v>
      </c>
      <c r="B2432">
        <f>A2432+1</f>
        <v>1808</v>
      </c>
      <c r="C2432" t="s">
        <v>514</v>
      </c>
      <c r="D2432" t="s">
        <v>27</v>
      </c>
      <c r="E2432" s="208" t="s">
        <v>150</v>
      </c>
      <c r="F2432" t="s">
        <v>6</v>
      </c>
      <c r="G2432" s="18">
        <v>460</v>
      </c>
      <c r="H2432" t="s">
        <v>16</v>
      </c>
      <c r="I2432" t="s">
        <v>25</v>
      </c>
    </row>
    <row r="2433" spans="1:9" x14ac:dyDescent="0.25">
      <c r="A2433">
        <v>1807</v>
      </c>
      <c r="B2433">
        <f>A2433+1</f>
        <v>1808</v>
      </c>
      <c r="C2433" t="s">
        <v>514</v>
      </c>
      <c r="D2433" t="s">
        <v>27</v>
      </c>
      <c r="E2433" s="208" t="s">
        <v>148</v>
      </c>
      <c r="F2433" t="s">
        <v>6</v>
      </c>
      <c r="G2433" s="18">
        <v>165</v>
      </c>
      <c r="H2433" t="s">
        <v>16</v>
      </c>
      <c r="I2433" t="s">
        <v>25</v>
      </c>
    </row>
    <row r="2434" spans="1:9" x14ac:dyDescent="0.25">
      <c r="A2434">
        <v>1807</v>
      </c>
      <c r="B2434">
        <f>A2434+1</f>
        <v>1808</v>
      </c>
      <c r="C2434" t="s">
        <v>514</v>
      </c>
      <c r="D2434" t="s">
        <v>27</v>
      </c>
      <c r="E2434" s="208" t="s">
        <v>139</v>
      </c>
      <c r="F2434" t="s">
        <v>6</v>
      </c>
      <c r="G2434" s="18">
        <v>0</v>
      </c>
      <c r="H2434" t="s">
        <v>16</v>
      </c>
      <c r="I2434" t="s">
        <v>25</v>
      </c>
    </row>
    <row r="2435" spans="1:9" x14ac:dyDescent="0.25">
      <c r="A2435">
        <v>1807</v>
      </c>
      <c r="B2435">
        <f>A2435+1</f>
        <v>1808</v>
      </c>
      <c r="C2435" t="s">
        <v>514</v>
      </c>
      <c r="D2435" t="s">
        <v>27</v>
      </c>
      <c r="E2435" s="208" t="s">
        <v>130</v>
      </c>
      <c r="F2435" t="s">
        <v>6</v>
      </c>
      <c r="G2435" s="18">
        <v>0</v>
      </c>
      <c r="H2435" t="s">
        <v>16</v>
      </c>
      <c r="I2435" t="s">
        <v>25</v>
      </c>
    </row>
    <row r="2436" spans="1:9" x14ac:dyDescent="0.25">
      <c r="A2436">
        <v>1807</v>
      </c>
      <c r="B2436">
        <f>A2436+1</f>
        <v>1808</v>
      </c>
      <c r="C2436" t="s">
        <v>514</v>
      </c>
      <c r="D2436" t="s">
        <v>27</v>
      </c>
      <c r="E2436" s="208" t="s">
        <v>132</v>
      </c>
      <c r="F2436" t="s">
        <v>6</v>
      </c>
      <c r="G2436" s="18">
        <v>0</v>
      </c>
      <c r="H2436" t="s">
        <v>16</v>
      </c>
      <c r="I2436" t="s">
        <v>25</v>
      </c>
    </row>
    <row r="2437" spans="1:9" x14ac:dyDescent="0.25">
      <c r="A2437">
        <v>1807</v>
      </c>
      <c r="B2437">
        <f>A2437+1</f>
        <v>1808</v>
      </c>
      <c r="C2437" t="s">
        <v>514</v>
      </c>
      <c r="D2437" t="s">
        <v>27</v>
      </c>
      <c r="E2437" s="208" t="s">
        <v>142</v>
      </c>
      <c r="F2437" t="s">
        <v>6</v>
      </c>
      <c r="G2437" s="18">
        <v>0</v>
      </c>
      <c r="H2437" t="s">
        <v>16</v>
      </c>
      <c r="I2437" t="s">
        <v>25</v>
      </c>
    </row>
    <row r="2438" spans="1:9" x14ac:dyDescent="0.25">
      <c r="A2438">
        <v>1807</v>
      </c>
      <c r="B2438">
        <f>A2438+1</f>
        <v>1808</v>
      </c>
      <c r="C2438" t="s">
        <v>514</v>
      </c>
      <c r="D2438" t="s">
        <v>27</v>
      </c>
      <c r="E2438" s="208" t="s">
        <v>144</v>
      </c>
      <c r="F2438" t="s">
        <v>6</v>
      </c>
      <c r="G2438" s="18">
        <v>0</v>
      </c>
      <c r="H2438" t="s">
        <v>16</v>
      </c>
      <c r="I2438" t="s">
        <v>25</v>
      </c>
    </row>
    <row r="2439" spans="1:9" x14ac:dyDescent="0.25">
      <c r="A2439">
        <v>1807</v>
      </c>
      <c r="B2439">
        <f>A2439+1</f>
        <v>1808</v>
      </c>
      <c r="C2439" t="s">
        <v>514</v>
      </c>
      <c r="D2439" t="s">
        <v>27</v>
      </c>
      <c r="E2439" s="208" t="s">
        <v>124</v>
      </c>
      <c r="F2439" t="s">
        <v>6</v>
      </c>
      <c r="G2439" s="18">
        <v>0</v>
      </c>
      <c r="H2439" t="s">
        <v>16</v>
      </c>
      <c r="I2439" t="s">
        <v>25</v>
      </c>
    </row>
    <row r="2440" spans="1:9" x14ac:dyDescent="0.25">
      <c r="A2440">
        <v>1807</v>
      </c>
      <c r="B2440">
        <f>A2440+1</f>
        <v>1808</v>
      </c>
      <c r="C2440" t="s">
        <v>514</v>
      </c>
      <c r="D2440" t="s">
        <v>27</v>
      </c>
      <c r="E2440" s="208" t="s">
        <v>155</v>
      </c>
      <c r="F2440" t="s">
        <v>4</v>
      </c>
      <c r="G2440" s="18">
        <v>45</v>
      </c>
      <c r="H2440" t="s">
        <v>16</v>
      </c>
      <c r="I2440" t="s">
        <v>23</v>
      </c>
    </row>
    <row r="2441" spans="1:9" x14ac:dyDescent="0.25">
      <c r="A2441">
        <v>1807</v>
      </c>
      <c r="B2441">
        <f>A2441+1</f>
        <v>1808</v>
      </c>
      <c r="C2441" t="s">
        <v>514</v>
      </c>
      <c r="D2441" t="s">
        <v>27</v>
      </c>
      <c r="E2441" s="208" t="s">
        <v>156</v>
      </c>
      <c r="F2441" t="s">
        <v>4</v>
      </c>
      <c r="G2441" s="18">
        <v>0</v>
      </c>
      <c r="H2441" t="s">
        <v>16</v>
      </c>
      <c r="I2441" t="s">
        <v>23</v>
      </c>
    </row>
    <row r="2442" spans="1:9" x14ac:dyDescent="0.25">
      <c r="A2442">
        <v>1807</v>
      </c>
      <c r="B2442">
        <f>A2442+1</f>
        <v>1808</v>
      </c>
      <c r="C2442" t="s">
        <v>514</v>
      </c>
      <c r="D2442" t="s">
        <v>27</v>
      </c>
      <c r="E2442" s="208" t="s">
        <v>154</v>
      </c>
      <c r="F2442" t="s">
        <v>4</v>
      </c>
      <c r="G2442" s="18">
        <v>27</v>
      </c>
      <c r="H2442" t="s">
        <v>16</v>
      </c>
      <c r="I2442" t="s">
        <v>23</v>
      </c>
    </row>
    <row r="2443" spans="1:9" x14ac:dyDescent="0.25">
      <c r="A2443">
        <v>1807</v>
      </c>
      <c r="B2443">
        <f>A2443+1</f>
        <v>1808</v>
      </c>
      <c r="C2443" t="s">
        <v>514</v>
      </c>
      <c r="D2443" t="s">
        <v>27</v>
      </c>
      <c r="E2443" s="208" t="s">
        <v>150</v>
      </c>
      <c r="F2443" t="s">
        <v>4</v>
      </c>
      <c r="G2443" s="18">
        <v>1714</v>
      </c>
      <c r="H2443" t="s">
        <v>16</v>
      </c>
      <c r="I2443" t="s">
        <v>23</v>
      </c>
    </row>
    <row r="2444" spans="1:9" x14ac:dyDescent="0.25">
      <c r="A2444">
        <v>1807</v>
      </c>
      <c r="B2444">
        <f>A2444+1</f>
        <v>1808</v>
      </c>
      <c r="C2444" t="s">
        <v>514</v>
      </c>
      <c r="D2444" t="s">
        <v>27</v>
      </c>
      <c r="E2444" s="208" t="s">
        <v>148</v>
      </c>
      <c r="F2444" t="s">
        <v>4</v>
      </c>
      <c r="G2444" s="18">
        <v>1</v>
      </c>
      <c r="H2444" t="s">
        <v>16</v>
      </c>
      <c r="I2444" t="s">
        <v>23</v>
      </c>
    </row>
    <row r="2445" spans="1:9" x14ac:dyDescent="0.25">
      <c r="A2445">
        <v>1807</v>
      </c>
      <c r="B2445">
        <f>A2445+1</f>
        <v>1808</v>
      </c>
      <c r="C2445" t="s">
        <v>514</v>
      </c>
      <c r="D2445" t="s">
        <v>27</v>
      </c>
      <c r="E2445" s="208" t="s">
        <v>139</v>
      </c>
      <c r="F2445" t="s">
        <v>4</v>
      </c>
      <c r="G2445" s="18">
        <v>0</v>
      </c>
      <c r="H2445" t="s">
        <v>16</v>
      </c>
      <c r="I2445" t="s">
        <v>23</v>
      </c>
    </row>
    <row r="2446" spans="1:9" x14ac:dyDescent="0.25">
      <c r="A2446">
        <v>1807</v>
      </c>
      <c r="B2446">
        <f>A2446+1</f>
        <v>1808</v>
      </c>
      <c r="C2446" t="s">
        <v>514</v>
      </c>
      <c r="D2446" t="s">
        <v>27</v>
      </c>
      <c r="E2446" s="208" t="s">
        <v>130</v>
      </c>
      <c r="F2446" t="s">
        <v>4</v>
      </c>
      <c r="G2446" s="18">
        <v>68</v>
      </c>
      <c r="H2446" t="s">
        <v>16</v>
      </c>
      <c r="I2446" t="s">
        <v>23</v>
      </c>
    </row>
    <row r="2447" spans="1:9" x14ac:dyDescent="0.25">
      <c r="A2447">
        <v>1807</v>
      </c>
      <c r="B2447">
        <f>A2447+1</f>
        <v>1808</v>
      </c>
      <c r="C2447" t="s">
        <v>514</v>
      </c>
      <c r="D2447" t="s">
        <v>27</v>
      </c>
      <c r="E2447" s="208" t="s">
        <v>132</v>
      </c>
      <c r="F2447" t="s">
        <v>4</v>
      </c>
      <c r="G2447" s="18">
        <v>0</v>
      </c>
      <c r="H2447" t="s">
        <v>16</v>
      </c>
      <c r="I2447" t="s">
        <v>23</v>
      </c>
    </row>
    <row r="2448" spans="1:9" x14ac:dyDescent="0.25">
      <c r="A2448">
        <v>1807</v>
      </c>
      <c r="B2448">
        <f>A2448+1</f>
        <v>1808</v>
      </c>
      <c r="C2448" t="s">
        <v>514</v>
      </c>
      <c r="D2448" t="s">
        <v>27</v>
      </c>
      <c r="E2448" s="208" t="s">
        <v>142</v>
      </c>
      <c r="F2448" t="s">
        <v>4</v>
      </c>
      <c r="G2448" s="18">
        <v>707</v>
      </c>
      <c r="H2448" t="s">
        <v>16</v>
      </c>
      <c r="I2448" t="s">
        <v>23</v>
      </c>
    </row>
    <row r="2449" spans="1:9" x14ac:dyDescent="0.25">
      <c r="A2449">
        <v>1807</v>
      </c>
      <c r="B2449">
        <f>A2449+1</f>
        <v>1808</v>
      </c>
      <c r="C2449" t="s">
        <v>514</v>
      </c>
      <c r="D2449" t="s">
        <v>27</v>
      </c>
      <c r="E2449" s="208" t="s">
        <v>144</v>
      </c>
      <c r="F2449" t="s">
        <v>4</v>
      </c>
      <c r="G2449" s="18">
        <v>0</v>
      </c>
      <c r="H2449" t="s">
        <v>16</v>
      </c>
      <c r="I2449" t="s">
        <v>23</v>
      </c>
    </row>
    <row r="2450" spans="1:9" x14ac:dyDescent="0.25">
      <c r="A2450">
        <v>1807</v>
      </c>
      <c r="B2450">
        <f>A2450+1</f>
        <v>1808</v>
      </c>
      <c r="C2450" t="s">
        <v>514</v>
      </c>
      <c r="D2450" t="s">
        <v>27</v>
      </c>
      <c r="E2450" s="208" t="s">
        <v>124</v>
      </c>
      <c r="F2450" t="s">
        <v>4</v>
      </c>
      <c r="G2450" s="18">
        <v>987759</v>
      </c>
      <c r="H2450" t="s">
        <v>16</v>
      </c>
      <c r="I2450" t="s">
        <v>23</v>
      </c>
    </row>
    <row r="2451" spans="1:9" x14ac:dyDescent="0.25">
      <c r="A2451">
        <v>1807</v>
      </c>
      <c r="B2451">
        <f>A2451+1</f>
        <v>1808</v>
      </c>
      <c r="C2451" t="s">
        <v>514</v>
      </c>
      <c r="D2451" t="s">
        <v>26</v>
      </c>
      <c r="E2451" s="208" t="s">
        <v>58</v>
      </c>
      <c r="F2451" t="s">
        <v>4</v>
      </c>
      <c r="G2451" s="18">
        <v>21</v>
      </c>
      <c r="H2451" t="s">
        <v>23</v>
      </c>
      <c r="I2451" t="s">
        <v>16</v>
      </c>
    </row>
    <row r="2452" spans="1:9" x14ac:dyDescent="0.25">
      <c r="A2452">
        <v>1807</v>
      </c>
      <c r="B2452">
        <f>A2452+1</f>
        <v>1808</v>
      </c>
      <c r="C2452" t="s">
        <v>514</v>
      </c>
      <c r="D2452" t="s">
        <v>26</v>
      </c>
      <c r="E2452" s="208" t="s">
        <v>57</v>
      </c>
      <c r="F2452" t="s">
        <v>4</v>
      </c>
      <c r="G2452" s="18">
        <v>36615</v>
      </c>
      <c r="H2452" t="s">
        <v>23</v>
      </c>
      <c r="I2452" t="s">
        <v>16</v>
      </c>
    </row>
    <row r="2453" spans="1:9" x14ac:dyDescent="0.25">
      <c r="A2453">
        <v>1807</v>
      </c>
      <c r="B2453">
        <f>A2453+1</f>
        <v>1808</v>
      </c>
      <c r="C2453" t="s">
        <v>514</v>
      </c>
      <c r="D2453" t="s">
        <v>26</v>
      </c>
      <c r="E2453" s="208" t="s">
        <v>35</v>
      </c>
      <c r="F2453" t="s">
        <v>4</v>
      </c>
      <c r="G2453" s="18">
        <v>2810</v>
      </c>
      <c r="H2453" t="s">
        <v>23</v>
      </c>
      <c r="I2453" t="s">
        <v>16</v>
      </c>
    </row>
    <row r="2454" spans="1:9" x14ac:dyDescent="0.25">
      <c r="A2454">
        <v>1807</v>
      </c>
      <c r="B2454">
        <f>A2454+1</f>
        <v>1808</v>
      </c>
      <c r="C2454" t="s">
        <v>514</v>
      </c>
      <c r="D2454" t="s">
        <v>26</v>
      </c>
      <c r="E2454" s="208" t="s">
        <v>36</v>
      </c>
      <c r="F2454" t="s">
        <v>4</v>
      </c>
      <c r="G2454" s="18">
        <v>1749</v>
      </c>
      <c r="H2454" t="s">
        <v>23</v>
      </c>
      <c r="I2454" t="s">
        <v>16</v>
      </c>
    </row>
    <row r="2455" spans="1:9" x14ac:dyDescent="0.25">
      <c r="A2455">
        <v>1807</v>
      </c>
      <c r="B2455">
        <f>A2455+1</f>
        <v>1808</v>
      </c>
      <c r="C2455" t="s">
        <v>514</v>
      </c>
      <c r="D2455" t="s">
        <v>26</v>
      </c>
      <c r="E2455" s="208" t="s">
        <v>39</v>
      </c>
      <c r="F2455" t="s">
        <v>4</v>
      </c>
      <c r="G2455" s="18">
        <v>1676</v>
      </c>
      <c r="H2455" t="s">
        <v>23</v>
      </c>
      <c r="I2455" t="s">
        <v>16</v>
      </c>
    </row>
    <row r="2456" spans="1:9" x14ac:dyDescent="0.25">
      <c r="A2456">
        <v>1807</v>
      </c>
      <c r="B2456">
        <f>A2456+1</f>
        <v>1808</v>
      </c>
      <c r="C2456" t="s">
        <v>514</v>
      </c>
      <c r="D2456" t="s">
        <v>26</v>
      </c>
      <c r="E2456" s="208" t="s">
        <v>99</v>
      </c>
      <c r="F2456" t="s">
        <v>4</v>
      </c>
      <c r="G2456" s="18">
        <v>1373</v>
      </c>
      <c r="H2456" t="s">
        <v>23</v>
      </c>
      <c r="I2456" t="s">
        <v>16</v>
      </c>
    </row>
    <row r="2457" spans="1:9" x14ac:dyDescent="0.25">
      <c r="A2457">
        <v>1807</v>
      </c>
      <c r="B2457">
        <f>A2457+1</f>
        <v>1808</v>
      </c>
      <c r="C2457" t="s">
        <v>514</v>
      </c>
      <c r="D2457" t="s">
        <v>26</v>
      </c>
      <c r="E2457" s="208" t="s">
        <v>351</v>
      </c>
      <c r="F2457" t="s">
        <v>4</v>
      </c>
      <c r="G2457" s="18">
        <v>29</v>
      </c>
      <c r="H2457" t="s">
        <v>23</v>
      </c>
      <c r="I2457" t="s">
        <v>16</v>
      </c>
    </row>
    <row r="2458" spans="1:9" x14ac:dyDescent="0.25">
      <c r="A2458">
        <v>1807</v>
      </c>
      <c r="B2458">
        <f>A2458+1</f>
        <v>1808</v>
      </c>
      <c r="C2458" t="s">
        <v>514</v>
      </c>
      <c r="D2458" t="s">
        <v>26</v>
      </c>
      <c r="E2458" s="208" t="s">
        <v>352</v>
      </c>
      <c r="F2458" t="s">
        <v>4</v>
      </c>
      <c r="G2458" s="18">
        <v>34817</v>
      </c>
      <c r="H2458" t="s">
        <v>23</v>
      </c>
      <c r="I2458" t="s">
        <v>16</v>
      </c>
    </row>
    <row r="2459" spans="1:9" x14ac:dyDescent="0.25">
      <c r="A2459">
        <v>1807</v>
      </c>
      <c r="B2459">
        <f>A2459+1</f>
        <v>1808</v>
      </c>
      <c r="C2459" t="s">
        <v>514</v>
      </c>
      <c r="D2459" t="s">
        <v>26</v>
      </c>
      <c r="E2459" s="208" t="s">
        <v>75</v>
      </c>
      <c r="F2459" t="s">
        <v>4</v>
      </c>
      <c r="G2459" s="18">
        <v>1926064</v>
      </c>
      <c r="H2459" t="s">
        <v>23</v>
      </c>
      <c r="I2459" t="s">
        <v>16</v>
      </c>
    </row>
    <row r="2460" spans="1:9" x14ac:dyDescent="0.25">
      <c r="A2460">
        <v>1807</v>
      </c>
      <c r="B2460">
        <f>A2460+1</f>
        <v>1808</v>
      </c>
      <c r="C2460" t="s">
        <v>514</v>
      </c>
      <c r="D2460" t="s">
        <v>26</v>
      </c>
      <c r="E2460" s="208" t="s">
        <v>107</v>
      </c>
      <c r="F2460" t="s">
        <v>4</v>
      </c>
      <c r="G2460" s="18">
        <v>1363688</v>
      </c>
      <c r="H2460" t="s">
        <v>23</v>
      </c>
      <c r="I2460" t="s">
        <v>16</v>
      </c>
    </row>
    <row r="2461" spans="1:9" x14ac:dyDescent="0.25">
      <c r="A2461">
        <v>1807</v>
      </c>
      <c r="B2461">
        <f>A2461+1</f>
        <v>1808</v>
      </c>
      <c r="C2461" t="s">
        <v>514</v>
      </c>
      <c r="D2461" t="s">
        <v>26</v>
      </c>
      <c r="E2461" s="208" t="s">
        <v>101</v>
      </c>
      <c r="F2461" t="s">
        <v>4</v>
      </c>
      <c r="G2461" s="18">
        <v>2829800</v>
      </c>
      <c r="H2461" t="s">
        <v>23</v>
      </c>
      <c r="I2461" t="s">
        <v>16</v>
      </c>
    </row>
    <row r="2462" spans="1:9" x14ac:dyDescent="0.25">
      <c r="A2462">
        <v>1807</v>
      </c>
      <c r="B2462">
        <f>A2462+1</f>
        <v>1808</v>
      </c>
      <c r="C2462" t="s">
        <v>514</v>
      </c>
      <c r="D2462" t="s">
        <v>27</v>
      </c>
      <c r="E2462" s="208" t="s">
        <v>155</v>
      </c>
      <c r="F2462" t="s">
        <v>7</v>
      </c>
      <c r="G2462" s="18">
        <v>27397</v>
      </c>
      <c r="H2462" t="s">
        <v>16</v>
      </c>
      <c r="I2462" s="151" t="s">
        <v>562</v>
      </c>
    </row>
    <row r="2463" spans="1:9" x14ac:dyDescent="0.25">
      <c r="A2463">
        <v>1807</v>
      </c>
      <c r="B2463">
        <f>A2463+1</f>
        <v>1808</v>
      </c>
      <c r="C2463" t="s">
        <v>514</v>
      </c>
      <c r="D2463" t="s">
        <v>27</v>
      </c>
      <c r="E2463" s="208" t="s">
        <v>156</v>
      </c>
      <c r="F2463" t="s">
        <v>7</v>
      </c>
      <c r="G2463" s="18">
        <v>4203</v>
      </c>
      <c r="H2463" t="s">
        <v>16</v>
      </c>
      <c r="I2463" s="151" t="s">
        <v>562</v>
      </c>
    </row>
    <row r="2464" spans="1:9" x14ac:dyDescent="0.25">
      <c r="A2464">
        <v>1807</v>
      </c>
      <c r="B2464">
        <f>A2464+1</f>
        <v>1808</v>
      </c>
      <c r="C2464" t="s">
        <v>514</v>
      </c>
      <c r="D2464" t="s">
        <v>27</v>
      </c>
      <c r="E2464" s="208" t="s">
        <v>154</v>
      </c>
      <c r="F2464" t="s">
        <v>7</v>
      </c>
      <c r="G2464" s="18">
        <v>1444</v>
      </c>
      <c r="H2464" t="s">
        <v>16</v>
      </c>
      <c r="I2464" s="151" t="s">
        <v>562</v>
      </c>
    </row>
    <row r="2465" spans="1:9" x14ac:dyDescent="0.25">
      <c r="A2465">
        <v>1807</v>
      </c>
      <c r="B2465">
        <f>A2465+1</f>
        <v>1808</v>
      </c>
      <c r="C2465" t="s">
        <v>514</v>
      </c>
      <c r="D2465" t="s">
        <v>27</v>
      </c>
      <c r="E2465" s="208" t="s">
        <v>150</v>
      </c>
      <c r="F2465" t="s">
        <v>7</v>
      </c>
      <c r="G2465" s="18">
        <v>12264</v>
      </c>
      <c r="H2465" t="s">
        <v>16</v>
      </c>
      <c r="I2465" s="151" t="s">
        <v>562</v>
      </c>
    </row>
    <row r="2466" spans="1:9" x14ac:dyDescent="0.25">
      <c r="A2466">
        <v>1807</v>
      </c>
      <c r="B2466">
        <f>A2466+1</f>
        <v>1808</v>
      </c>
      <c r="C2466" t="s">
        <v>514</v>
      </c>
      <c r="D2466" t="s">
        <v>27</v>
      </c>
      <c r="E2466" s="208" t="s">
        <v>148</v>
      </c>
      <c r="F2466" t="s">
        <v>7</v>
      </c>
      <c r="G2466" s="18">
        <v>1089</v>
      </c>
      <c r="H2466" t="s">
        <v>16</v>
      </c>
      <c r="I2466" s="151" t="s">
        <v>562</v>
      </c>
    </row>
    <row r="2467" spans="1:9" x14ac:dyDescent="0.25">
      <c r="A2467">
        <v>1807</v>
      </c>
      <c r="B2467">
        <f>A2467+1</f>
        <v>1808</v>
      </c>
      <c r="C2467" t="s">
        <v>514</v>
      </c>
      <c r="D2467" t="s">
        <v>27</v>
      </c>
      <c r="E2467" s="208" t="s">
        <v>314</v>
      </c>
      <c r="F2467" t="s">
        <v>7</v>
      </c>
      <c r="G2467" s="18">
        <v>0</v>
      </c>
      <c r="H2467" t="s">
        <v>16</v>
      </c>
      <c r="I2467" s="151" t="s">
        <v>562</v>
      </c>
    </row>
    <row r="2468" spans="1:9" x14ac:dyDescent="0.25">
      <c r="A2468">
        <v>1807</v>
      </c>
      <c r="B2468">
        <f>A2468+1</f>
        <v>1808</v>
      </c>
      <c r="C2468" t="s">
        <v>514</v>
      </c>
      <c r="D2468" t="s">
        <v>27</v>
      </c>
      <c r="E2468" s="208" t="s">
        <v>149</v>
      </c>
      <c r="F2468" t="s">
        <v>7</v>
      </c>
      <c r="G2468" s="18">
        <v>0</v>
      </c>
      <c r="H2468" t="s">
        <v>16</v>
      </c>
      <c r="I2468" s="151" t="s">
        <v>562</v>
      </c>
    </row>
    <row r="2469" spans="1:9" x14ac:dyDescent="0.25">
      <c r="A2469">
        <v>1807</v>
      </c>
      <c r="B2469">
        <f>A2469+1</f>
        <v>1808</v>
      </c>
      <c r="C2469" t="s">
        <v>514</v>
      </c>
      <c r="D2469" t="s">
        <v>27</v>
      </c>
      <c r="E2469" s="208" t="s">
        <v>139</v>
      </c>
      <c r="F2469" t="s">
        <v>7</v>
      </c>
      <c r="G2469" s="18">
        <v>104</v>
      </c>
      <c r="H2469" t="s">
        <v>16</v>
      </c>
      <c r="I2469" s="151" t="s">
        <v>562</v>
      </c>
    </row>
    <row r="2470" spans="1:9" x14ac:dyDescent="0.25">
      <c r="A2470">
        <v>1807</v>
      </c>
      <c r="B2470">
        <f>A2470+1</f>
        <v>1808</v>
      </c>
      <c r="C2470" t="s">
        <v>514</v>
      </c>
      <c r="D2470" t="s">
        <v>27</v>
      </c>
      <c r="E2470" s="208" t="s">
        <v>130</v>
      </c>
      <c r="F2470" t="s">
        <v>7</v>
      </c>
      <c r="G2470" s="18">
        <v>340</v>
      </c>
      <c r="H2470" t="s">
        <v>16</v>
      </c>
      <c r="I2470" s="151" t="s">
        <v>562</v>
      </c>
    </row>
    <row r="2471" spans="1:9" x14ac:dyDescent="0.25">
      <c r="A2471">
        <v>1807</v>
      </c>
      <c r="B2471">
        <f>A2471+1</f>
        <v>1808</v>
      </c>
      <c r="C2471" t="s">
        <v>514</v>
      </c>
      <c r="D2471" t="s">
        <v>27</v>
      </c>
      <c r="E2471" s="208" t="s">
        <v>132</v>
      </c>
      <c r="F2471" t="s">
        <v>7</v>
      </c>
      <c r="G2471" s="18">
        <v>325</v>
      </c>
      <c r="H2471" t="s">
        <v>16</v>
      </c>
      <c r="I2471" s="151" t="s">
        <v>562</v>
      </c>
    </row>
    <row r="2472" spans="1:9" x14ac:dyDescent="0.25">
      <c r="A2472">
        <v>1807</v>
      </c>
      <c r="B2472">
        <f>A2472+1</f>
        <v>1808</v>
      </c>
      <c r="C2472" t="s">
        <v>514</v>
      </c>
      <c r="D2472" t="s">
        <v>27</v>
      </c>
      <c r="E2472" s="208" t="s">
        <v>142</v>
      </c>
      <c r="F2472" t="s">
        <v>7</v>
      </c>
      <c r="G2472" s="18">
        <v>1042</v>
      </c>
      <c r="H2472" t="s">
        <v>16</v>
      </c>
      <c r="I2472" s="151" t="s">
        <v>562</v>
      </c>
    </row>
    <row r="2473" spans="1:9" x14ac:dyDescent="0.25">
      <c r="A2473">
        <v>1807</v>
      </c>
      <c r="B2473">
        <f>A2473+1</f>
        <v>1808</v>
      </c>
      <c r="C2473" t="s">
        <v>514</v>
      </c>
      <c r="D2473" t="s">
        <v>27</v>
      </c>
      <c r="E2473" s="208" t="s">
        <v>144</v>
      </c>
      <c r="F2473" t="s">
        <v>7</v>
      </c>
      <c r="G2473" s="18">
        <v>93</v>
      </c>
      <c r="H2473" t="s">
        <v>16</v>
      </c>
      <c r="I2473" s="151" t="s">
        <v>562</v>
      </c>
    </row>
    <row r="2474" spans="1:9" x14ac:dyDescent="0.25">
      <c r="A2474">
        <v>1807</v>
      </c>
      <c r="B2474">
        <f>A2474+1</f>
        <v>1808</v>
      </c>
      <c r="C2474" t="s">
        <v>514</v>
      </c>
      <c r="D2474" t="s">
        <v>27</v>
      </c>
      <c r="E2474" s="208" t="s">
        <v>124</v>
      </c>
      <c r="F2474" t="s">
        <v>7</v>
      </c>
      <c r="G2474" s="18">
        <v>16446523</v>
      </c>
      <c r="H2474" t="s">
        <v>16</v>
      </c>
      <c r="I2474" s="151" t="s">
        <v>562</v>
      </c>
    </row>
    <row r="2475" spans="1:9" x14ac:dyDescent="0.25">
      <c r="A2475">
        <v>1807</v>
      </c>
      <c r="B2475">
        <f>A2475+1</f>
        <v>1808</v>
      </c>
      <c r="C2475" t="s">
        <v>514</v>
      </c>
      <c r="D2475" t="s">
        <v>26</v>
      </c>
      <c r="E2475" s="208" t="s">
        <v>62</v>
      </c>
      <c r="F2475" t="s">
        <v>7</v>
      </c>
      <c r="G2475" s="18">
        <v>6477</v>
      </c>
      <c r="H2475" s="151" t="s">
        <v>563</v>
      </c>
      <c r="I2475" t="s">
        <v>16</v>
      </c>
    </row>
    <row r="2476" spans="1:9" x14ac:dyDescent="0.25">
      <c r="A2476">
        <v>1807</v>
      </c>
      <c r="B2476">
        <f>A2476+1</f>
        <v>1808</v>
      </c>
      <c r="C2476" t="s">
        <v>514</v>
      </c>
      <c r="D2476" t="s">
        <v>26</v>
      </c>
      <c r="E2476" s="208" t="s">
        <v>58</v>
      </c>
      <c r="F2476" t="s">
        <v>7</v>
      </c>
      <c r="G2476" s="18">
        <v>21</v>
      </c>
      <c r="H2476" s="151" t="s">
        <v>563</v>
      </c>
      <c r="I2476" t="s">
        <v>16</v>
      </c>
    </row>
    <row r="2477" spans="1:9" x14ac:dyDescent="0.25">
      <c r="A2477">
        <v>1807</v>
      </c>
      <c r="B2477">
        <f>A2477+1</f>
        <v>1808</v>
      </c>
      <c r="C2477" t="s">
        <v>514</v>
      </c>
      <c r="D2477" t="s">
        <v>26</v>
      </c>
      <c r="E2477" s="208" t="s">
        <v>57</v>
      </c>
      <c r="F2477" t="s">
        <v>7</v>
      </c>
      <c r="G2477" s="18">
        <v>36615</v>
      </c>
      <c r="H2477" s="151" t="s">
        <v>563</v>
      </c>
      <c r="I2477" t="s">
        <v>16</v>
      </c>
    </row>
    <row r="2478" spans="1:9" x14ac:dyDescent="0.25">
      <c r="A2478">
        <v>1807</v>
      </c>
      <c r="B2478">
        <f>A2478+1</f>
        <v>1808</v>
      </c>
      <c r="C2478" t="s">
        <v>514</v>
      </c>
      <c r="D2478" t="s">
        <v>26</v>
      </c>
      <c r="E2478" s="208" t="s">
        <v>35</v>
      </c>
      <c r="F2478" t="s">
        <v>7</v>
      </c>
      <c r="G2478" s="18">
        <v>2810</v>
      </c>
      <c r="H2478" s="151" t="s">
        <v>563</v>
      </c>
      <c r="I2478" t="s">
        <v>16</v>
      </c>
    </row>
    <row r="2479" spans="1:9" x14ac:dyDescent="0.25">
      <c r="A2479">
        <v>1807</v>
      </c>
      <c r="B2479">
        <f>A2479+1</f>
        <v>1808</v>
      </c>
      <c r="C2479" t="s">
        <v>514</v>
      </c>
      <c r="D2479" t="s">
        <v>26</v>
      </c>
      <c r="E2479" s="208" t="s">
        <v>36</v>
      </c>
      <c r="F2479" t="s">
        <v>7</v>
      </c>
      <c r="G2479" s="18">
        <v>2287</v>
      </c>
      <c r="H2479" s="151" t="s">
        <v>563</v>
      </c>
      <c r="I2479" t="s">
        <v>16</v>
      </c>
    </row>
    <row r="2480" spans="1:9" x14ac:dyDescent="0.25">
      <c r="A2480">
        <v>1807</v>
      </c>
      <c r="B2480">
        <f>A2480+1</f>
        <v>1808</v>
      </c>
      <c r="C2480" t="s">
        <v>514</v>
      </c>
      <c r="D2480" t="s">
        <v>26</v>
      </c>
      <c r="E2480" s="208" t="s">
        <v>39</v>
      </c>
      <c r="F2480" t="s">
        <v>7</v>
      </c>
      <c r="G2480" s="18">
        <v>1865</v>
      </c>
      <c r="H2480" s="151" t="s">
        <v>563</v>
      </c>
      <c r="I2480" t="s">
        <v>16</v>
      </c>
    </row>
    <row r="2481" spans="1:9" x14ac:dyDescent="0.25">
      <c r="A2481">
        <v>1807</v>
      </c>
      <c r="B2481">
        <f>A2481+1</f>
        <v>1808</v>
      </c>
      <c r="C2481" t="s">
        <v>514</v>
      </c>
      <c r="D2481" t="s">
        <v>26</v>
      </c>
      <c r="E2481" s="208" t="s">
        <v>94</v>
      </c>
      <c r="F2481" t="s">
        <v>7</v>
      </c>
      <c r="G2481" s="18">
        <v>47</v>
      </c>
      <c r="H2481" s="151" t="s">
        <v>563</v>
      </c>
      <c r="I2481" t="s">
        <v>16</v>
      </c>
    </row>
    <row r="2482" spans="1:9" x14ac:dyDescent="0.25">
      <c r="A2482">
        <v>1807</v>
      </c>
      <c r="B2482">
        <f>A2482+1</f>
        <v>1808</v>
      </c>
      <c r="C2482" t="s">
        <v>514</v>
      </c>
      <c r="D2482" t="s">
        <v>26</v>
      </c>
      <c r="E2482" s="208" t="s">
        <v>99</v>
      </c>
      <c r="F2482" t="s">
        <v>7</v>
      </c>
      <c r="G2482" s="18">
        <v>1453</v>
      </c>
      <c r="H2482" s="151" t="s">
        <v>563</v>
      </c>
      <c r="I2482" t="s">
        <v>16</v>
      </c>
    </row>
    <row r="2483" spans="1:9" x14ac:dyDescent="0.25">
      <c r="A2483">
        <v>1807</v>
      </c>
      <c r="B2483">
        <f>A2483+1</f>
        <v>1808</v>
      </c>
      <c r="C2483" t="s">
        <v>514</v>
      </c>
      <c r="D2483" t="s">
        <v>26</v>
      </c>
      <c r="E2483" s="208" t="s">
        <v>28</v>
      </c>
      <c r="F2483" t="s">
        <v>7</v>
      </c>
      <c r="G2483" s="18">
        <v>281</v>
      </c>
      <c r="H2483" s="151" t="s">
        <v>563</v>
      </c>
      <c r="I2483" t="s">
        <v>16</v>
      </c>
    </row>
    <row r="2484" spans="1:9" x14ac:dyDescent="0.25">
      <c r="A2484">
        <v>1807</v>
      </c>
      <c r="B2484">
        <f>A2484+1</f>
        <v>1808</v>
      </c>
      <c r="C2484" t="s">
        <v>514</v>
      </c>
      <c r="D2484" t="s">
        <v>26</v>
      </c>
      <c r="E2484" s="208" t="s">
        <v>89</v>
      </c>
      <c r="F2484" t="s">
        <v>7</v>
      </c>
      <c r="G2484" s="18">
        <v>327</v>
      </c>
      <c r="H2484" s="151" t="s">
        <v>563</v>
      </c>
      <c r="I2484" t="s">
        <v>16</v>
      </c>
    </row>
    <row r="2485" spans="1:9" x14ac:dyDescent="0.25">
      <c r="A2485">
        <v>1807</v>
      </c>
      <c r="B2485">
        <f>A2485+1</f>
        <v>1808</v>
      </c>
      <c r="C2485" t="s">
        <v>514</v>
      </c>
      <c r="D2485" t="s">
        <v>26</v>
      </c>
      <c r="E2485" s="208" t="s">
        <v>45</v>
      </c>
      <c r="F2485" t="s">
        <v>7</v>
      </c>
      <c r="G2485" s="18">
        <v>473</v>
      </c>
      <c r="H2485" s="151" t="s">
        <v>563</v>
      </c>
      <c r="I2485" t="s">
        <v>16</v>
      </c>
    </row>
    <row r="2486" spans="1:9" x14ac:dyDescent="0.25">
      <c r="A2486">
        <v>1807</v>
      </c>
      <c r="B2486">
        <f>A2486+1</f>
        <v>1808</v>
      </c>
      <c r="C2486" t="s">
        <v>514</v>
      </c>
      <c r="D2486" t="s">
        <v>26</v>
      </c>
      <c r="E2486" s="208" t="s">
        <v>53</v>
      </c>
      <c r="F2486" t="s">
        <v>7</v>
      </c>
      <c r="G2486" s="18">
        <v>1595</v>
      </c>
      <c r="H2486" s="151" t="s">
        <v>563</v>
      </c>
      <c r="I2486" t="s">
        <v>16</v>
      </c>
    </row>
    <row r="2487" spans="1:9" x14ac:dyDescent="0.25">
      <c r="A2487">
        <v>1807</v>
      </c>
      <c r="B2487">
        <f>A2487+1</f>
        <v>1808</v>
      </c>
      <c r="C2487" t="s">
        <v>514</v>
      </c>
      <c r="D2487" t="s">
        <v>26</v>
      </c>
      <c r="E2487" s="208" t="s">
        <v>351</v>
      </c>
      <c r="F2487" t="s">
        <v>7</v>
      </c>
      <c r="G2487" s="18">
        <v>29</v>
      </c>
      <c r="H2487" s="151" t="s">
        <v>563</v>
      </c>
      <c r="I2487" t="s">
        <v>16</v>
      </c>
    </row>
    <row r="2488" spans="1:9" x14ac:dyDescent="0.25">
      <c r="A2488">
        <v>1807</v>
      </c>
      <c r="B2488">
        <f>A2488+1</f>
        <v>1808</v>
      </c>
      <c r="C2488" t="s">
        <v>514</v>
      </c>
      <c r="D2488" t="s">
        <v>26</v>
      </c>
      <c r="E2488" s="208" t="s">
        <v>352</v>
      </c>
      <c r="F2488" t="s">
        <v>7</v>
      </c>
      <c r="G2488" s="18">
        <v>34817</v>
      </c>
      <c r="H2488" s="151" t="s">
        <v>563</v>
      </c>
      <c r="I2488" t="s">
        <v>16</v>
      </c>
    </row>
    <row r="2489" spans="1:9" x14ac:dyDescent="0.25">
      <c r="A2489">
        <v>1807</v>
      </c>
      <c r="B2489">
        <f>A2489+1</f>
        <v>1808</v>
      </c>
      <c r="C2489" t="s">
        <v>514</v>
      </c>
      <c r="D2489" t="s">
        <v>26</v>
      </c>
      <c r="E2489" s="208" t="s">
        <v>75</v>
      </c>
      <c r="F2489" t="s">
        <v>7</v>
      </c>
      <c r="G2489" s="18">
        <v>2327728</v>
      </c>
      <c r="H2489" s="151" t="s">
        <v>563</v>
      </c>
      <c r="I2489" t="s">
        <v>16</v>
      </c>
    </row>
    <row r="2490" spans="1:9" x14ac:dyDescent="0.25">
      <c r="A2490">
        <v>1807</v>
      </c>
      <c r="B2490">
        <f>A2490+1</f>
        <v>1808</v>
      </c>
      <c r="C2490" t="s">
        <v>514</v>
      </c>
      <c r="D2490" t="s">
        <v>26</v>
      </c>
      <c r="E2490" s="208" t="s">
        <v>107</v>
      </c>
      <c r="F2490" t="s">
        <v>7</v>
      </c>
      <c r="G2490" s="18">
        <v>1561404</v>
      </c>
      <c r="H2490" s="151" t="s">
        <v>563</v>
      </c>
      <c r="I2490" t="s">
        <v>16</v>
      </c>
    </row>
    <row r="2491" spans="1:9" x14ac:dyDescent="0.25">
      <c r="A2491">
        <v>1807</v>
      </c>
      <c r="B2491">
        <f>A2491+1</f>
        <v>1808</v>
      </c>
      <c r="C2491" t="s">
        <v>514</v>
      </c>
      <c r="D2491" t="s">
        <v>26</v>
      </c>
      <c r="E2491" s="208" t="s">
        <v>101</v>
      </c>
      <c r="F2491" t="s">
        <v>7</v>
      </c>
      <c r="G2491" s="18">
        <v>2908120</v>
      </c>
      <c r="H2491" s="151" t="s">
        <v>563</v>
      </c>
      <c r="I2491" t="s">
        <v>16</v>
      </c>
    </row>
    <row r="2492" spans="1:9" x14ac:dyDescent="0.25">
      <c r="A2492">
        <v>1807</v>
      </c>
      <c r="B2492">
        <f>A2492+1</f>
        <v>1808</v>
      </c>
      <c r="C2492" t="s">
        <v>514</v>
      </c>
      <c r="D2492" t="s">
        <v>26</v>
      </c>
      <c r="E2492" s="208" t="s">
        <v>65</v>
      </c>
      <c r="F2492" t="s">
        <v>7</v>
      </c>
      <c r="G2492" s="18">
        <v>4965</v>
      </c>
      <c r="H2492" s="151" t="s">
        <v>563</v>
      </c>
      <c r="I2492" t="s">
        <v>16</v>
      </c>
    </row>
    <row r="2493" spans="1:9" x14ac:dyDescent="0.25">
      <c r="A2493">
        <v>1807</v>
      </c>
      <c r="B2493">
        <f>A2493+1</f>
        <v>1808</v>
      </c>
      <c r="C2493" t="s">
        <v>514</v>
      </c>
      <c r="D2493" t="s">
        <v>26</v>
      </c>
      <c r="E2493" s="208" t="s">
        <v>330</v>
      </c>
      <c r="F2493" t="s">
        <v>7</v>
      </c>
      <c r="G2493" s="18">
        <v>1239</v>
      </c>
      <c r="H2493" s="151" t="s">
        <v>563</v>
      </c>
      <c r="I2493" t="s">
        <v>16</v>
      </c>
    </row>
    <row r="2494" spans="1:9" x14ac:dyDescent="0.25">
      <c r="A2494">
        <v>1807</v>
      </c>
      <c r="B2494">
        <f>A2494+1</f>
        <v>1808</v>
      </c>
      <c r="C2494" t="s">
        <v>514</v>
      </c>
      <c r="D2494" t="s">
        <v>26</v>
      </c>
      <c r="E2494" s="208" t="s">
        <v>331</v>
      </c>
      <c r="F2494" t="s">
        <v>7</v>
      </c>
      <c r="G2494" s="18">
        <v>1637</v>
      </c>
      <c r="H2494" s="151" t="s">
        <v>563</v>
      </c>
      <c r="I2494" t="s">
        <v>16</v>
      </c>
    </row>
    <row r="2495" spans="1:9" x14ac:dyDescent="0.25">
      <c r="A2495">
        <v>1807</v>
      </c>
      <c r="B2495">
        <f>A2495+1</f>
        <v>1808</v>
      </c>
      <c r="C2495" t="s">
        <v>514</v>
      </c>
      <c r="D2495" t="s">
        <v>26</v>
      </c>
      <c r="E2495" s="208" t="s">
        <v>332</v>
      </c>
      <c r="F2495" t="s">
        <v>7</v>
      </c>
      <c r="G2495" s="18">
        <v>536</v>
      </c>
      <c r="H2495" s="151" t="s">
        <v>563</v>
      </c>
      <c r="I2495" t="s">
        <v>16</v>
      </c>
    </row>
    <row r="2496" spans="1:9" x14ac:dyDescent="0.25">
      <c r="A2496">
        <v>1807</v>
      </c>
      <c r="B2496">
        <f>A2496+1</f>
        <v>1808</v>
      </c>
      <c r="C2496" t="s">
        <v>514</v>
      </c>
      <c r="D2496" t="s">
        <v>26</v>
      </c>
      <c r="E2496" s="208" t="s">
        <v>333</v>
      </c>
      <c r="F2496" t="s">
        <v>7</v>
      </c>
      <c r="G2496" s="18">
        <v>1124</v>
      </c>
      <c r="H2496" s="151" t="s">
        <v>563</v>
      </c>
      <c r="I2496" t="s">
        <v>16</v>
      </c>
    </row>
    <row r="2497" spans="1:9" x14ac:dyDescent="0.25">
      <c r="A2497">
        <v>1807</v>
      </c>
      <c r="B2497">
        <f>A2497+1</f>
        <v>1808</v>
      </c>
      <c r="C2497" t="s">
        <v>514</v>
      </c>
      <c r="D2497" t="s">
        <v>26</v>
      </c>
      <c r="E2497" s="208" t="s">
        <v>109</v>
      </c>
      <c r="F2497" t="s">
        <v>7</v>
      </c>
      <c r="G2497" s="18">
        <v>19138</v>
      </c>
      <c r="H2497" s="151" t="s">
        <v>563</v>
      </c>
      <c r="I2497" t="s">
        <v>16</v>
      </c>
    </row>
    <row r="2498" spans="1:9" x14ac:dyDescent="0.25">
      <c r="A2498">
        <v>1807</v>
      </c>
      <c r="B2498">
        <f>A2498+1</f>
        <v>1808</v>
      </c>
      <c r="C2498" t="s">
        <v>514</v>
      </c>
      <c r="D2498" t="s">
        <v>27</v>
      </c>
      <c r="E2498" s="208" t="s">
        <v>155</v>
      </c>
      <c r="F2498" t="s">
        <v>10</v>
      </c>
      <c r="G2498" s="18">
        <v>84</v>
      </c>
      <c r="H2498" t="s">
        <v>17</v>
      </c>
      <c r="I2498" t="s">
        <v>24</v>
      </c>
    </row>
    <row r="2499" spans="1:9" x14ac:dyDescent="0.25">
      <c r="A2499">
        <v>1807</v>
      </c>
      <c r="B2499">
        <f>A2499+1</f>
        <v>1808</v>
      </c>
      <c r="C2499" t="s">
        <v>514</v>
      </c>
      <c r="D2499" t="s">
        <v>27</v>
      </c>
      <c r="E2499" s="208" t="s">
        <v>156</v>
      </c>
      <c r="F2499" t="s">
        <v>10</v>
      </c>
      <c r="G2499" s="18">
        <v>24</v>
      </c>
      <c r="H2499" t="s">
        <v>17</v>
      </c>
      <c r="I2499" t="s">
        <v>24</v>
      </c>
    </row>
    <row r="2500" spans="1:9" x14ac:dyDescent="0.25">
      <c r="A2500">
        <v>1807</v>
      </c>
      <c r="B2500">
        <f>A2500+1</f>
        <v>1808</v>
      </c>
      <c r="C2500" t="s">
        <v>514</v>
      </c>
      <c r="D2500" t="s">
        <v>27</v>
      </c>
      <c r="E2500" s="208" t="s">
        <v>154</v>
      </c>
      <c r="F2500" t="s">
        <v>10</v>
      </c>
      <c r="G2500" s="18">
        <v>157</v>
      </c>
      <c r="H2500" t="s">
        <v>17</v>
      </c>
      <c r="I2500" t="s">
        <v>24</v>
      </c>
    </row>
    <row r="2501" spans="1:9" x14ac:dyDescent="0.25">
      <c r="A2501">
        <v>1807</v>
      </c>
      <c r="B2501">
        <f>A2501+1</f>
        <v>1808</v>
      </c>
      <c r="C2501" t="s">
        <v>514</v>
      </c>
      <c r="D2501" t="s">
        <v>27</v>
      </c>
      <c r="E2501" s="208" t="s">
        <v>150</v>
      </c>
      <c r="F2501" t="s">
        <v>10</v>
      </c>
      <c r="G2501" s="18">
        <v>2492</v>
      </c>
      <c r="H2501" t="s">
        <v>17</v>
      </c>
      <c r="I2501" t="s">
        <v>24</v>
      </c>
    </row>
    <row r="2502" spans="1:9" x14ac:dyDescent="0.25">
      <c r="A2502">
        <v>1807</v>
      </c>
      <c r="B2502">
        <f>A2502+1</f>
        <v>1808</v>
      </c>
      <c r="C2502" t="s">
        <v>514</v>
      </c>
      <c r="D2502" t="s">
        <v>27</v>
      </c>
      <c r="E2502" s="208" t="s">
        <v>148</v>
      </c>
      <c r="F2502" t="s">
        <v>10</v>
      </c>
      <c r="G2502" s="18">
        <v>154</v>
      </c>
      <c r="H2502" t="s">
        <v>17</v>
      </c>
      <c r="I2502" t="s">
        <v>24</v>
      </c>
    </row>
    <row r="2503" spans="1:9" x14ac:dyDescent="0.25">
      <c r="A2503">
        <v>1807</v>
      </c>
      <c r="B2503">
        <f>A2503+1</f>
        <v>1808</v>
      </c>
      <c r="C2503" t="s">
        <v>514</v>
      </c>
      <c r="D2503" t="s">
        <v>27</v>
      </c>
      <c r="E2503" s="208" t="s">
        <v>139</v>
      </c>
      <c r="F2503" t="s">
        <v>10</v>
      </c>
      <c r="G2503" s="18">
        <v>26</v>
      </c>
      <c r="H2503" t="s">
        <v>17</v>
      </c>
      <c r="I2503" t="s">
        <v>24</v>
      </c>
    </row>
    <row r="2504" spans="1:9" x14ac:dyDescent="0.25">
      <c r="A2504">
        <v>1807</v>
      </c>
      <c r="B2504">
        <f>A2504+1</f>
        <v>1808</v>
      </c>
      <c r="C2504" t="s">
        <v>514</v>
      </c>
      <c r="D2504" t="s">
        <v>27</v>
      </c>
      <c r="E2504" s="208" t="s">
        <v>130</v>
      </c>
      <c r="F2504" t="s">
        <v>10</v>
      </c>
      <c r="G2504" s="18">
        <v>3</v>
      </c>
      <c r="H2504" t="s">
        <v>17</v>
      </c>
      <c r="I2504" t="s">
        <v>24</v>
      </c>
    </row>
    <row r="2505" spans="1:9" x14ac:dyDescent="0.25">
      <c r="A2505">
        <v>1807</v>
      </c>
      <c r="B2505">
        <f>A2505+1</f>
        <v>1808</v>
      </c>
      <c r="C2505" t="s">
        <v>514</v>
      </c>
      <c r="D2505" t="s">
        <v>27</v>
      </c>
      <c r="E2505" s="208" t="s">
        <v>132</v>
      </c>
      <c r="F2505" t="s">
        <v>10</v>
      </c>
      <c r="G2505" s="18">
        <v>0</v>
      </c>
      <c r="H2505" t="s">
        <v>17</v>
      </c>
      <c r="I2505" t="s">
        <v>24</v>
      </c>
    </row>
    <row r="2506" spans="1:9" x14ac:dyDescent="0.25">
      <c r="A2506">
        <v>1807</v>
      </c>
      <c r="B2506">
        <f>A2506+1</f>
        <v>1808</v>
      </c>
      <c r="C2506" t="s">
        <v>514</v>
      </c>
      <c r="D2506" t="s">
        <v>27</v>
      </c>
      <c r="E2506" s="208" t="s">
        <v>142</v>
      </c>
      <c r="F2506" t="s">
        <v>10</v>
      </c>
      <c r="G2506" s="18">
        <v>134</v>
      </c>
      <c r="H2506" t="s">
        <v>17</v>
      </c>
      <c r="I2506" t="s">
        <v>24</v>
      </c>
    </row>
    <row r="2507" spans="1:9" x14ac:dyDescent="0.25">
      <c r="A2507">
        <v>1807</v>
      </c>
      <c r="B2507">
        <f>A2507+1</f>
        <v>1808</v>
      </c>
      <c r="C2507" t="s">
        <v>514</v>
      </c>
      <c r="D2507" t="s">
        <v>27</v>
      </c>
      <c r="E2507" s="208" t="s">
        <v>144</v>
      </c>
      <c r="F2507" t="s">
        <v>10</v>
      </c>
      <c r="G2507" s="18">
        <v>6</v>
      </c>
      <c r="H2507" t="s">
        <v>17</v>
      </c>
      <c r="I2507" t="s">
        <v>24</v>
      </c>
    </row>
    <row r="2508" spans="1:9" x14ac:dyDescent="0.25">
      <c r="A2508">
        <v>1807</v>
      </c>
      <c r="B2508">
        <f>A2508+1</f>
        <v>1808</v>
      </c>
      <c r="C2508" t="s">
        <v>514</v>
      </c>
      <c r="D2508" t="s">
        <v>27</v>
      </c>
      <c r="E2508" s="208" t="s">
        <v>124</v>
      </c>
      <c r="F2508" t="s">
        <v>10</v>
      </c>
      <c r="G2508" s="18">
        <v>62450</v>
      </c>
      <c r="H2508" t="s">
        <v>17</v>
      </c>
      <c r="I2508" t="s">
        <v>24</v>
      </c>
    </row>
    <row r="2509" spans="1:9" x14ac:dyDescent="0.25">
      <c r="A2509">
        <v>1807</v>
      </c>
      <c r="B2509">
        <f>A2509+1</f>
        <v>1808</v>
      </c>
      <c r="C2509" t="s">
        <v>514</v>
      </c>
      <c r="D2509" t="s">
        <v>26</v>
      </c>
      <c r="E2509" s="208" t="s">
        <v>62</v>
      </c>
      <c r="F2509" t="s">
        <v>10</v>
      </c>
      <c r="G2509" s="18">
        <v>548</v>
      </c>
      <c r="H2509" t="s">
        <v>24</v>
      </c>
      <c r="I2509" t="s">
        <v>17</v>
      </c>
    </row>
    <row r="2510" spans="1:9" x14ac:dyDescent="0.25">
      <c r="A2510">
        <v>1807</v>
      </c>
      <c r="B2510">
        <f>A2510+1</f>
        <v>1808</v>
      </c>
      <c r="C2510" t="s">
        <v>514</v>
      </c>
      <c r="D2510" t="s">
        <v>26</v>
      </c>
      <c r="E2510" s="208" t="s">
        <v>36</v>
      </c>
      <c r="F2510" t="s">
        <v>10</v>
      </c>
      <c r="G2510" s="18">
        <v>190</v>
      </c>
      <c r="H2510" t="s">
        <v>24</v>
      </c>
      <c r="I2510" t="s">
        <v>17</v>
      </c>
    </row>
    <row r="2511" spans="1:9" x14ac:dyDescent="0.25">
      <c r="A2511">
        <v>1807</v>
      </c>
      <c r="B2511">
        <f>A2511+1</f>
        <v>1808</v>
      </c>
      <c r="C2511" t="s">
        <v>514</v>
      </c>
      <c r="D2511" t="s">
        <v>26</v>
      </c>
      <c r="E2511" s="208" t="s">
        <v>39</v>
      </c>
      <c r="F2511" t="s">
        <v>10</v>
      </c>
      <c r="G2511" s="18">
        <v>220</v>
      </c>
      <c r="H2511" t="s">
        <v>24</v>
      </c>
      <c r="I2511" t="s">
        <v>17</v>
      </c>
    </row>
    <row r="2512" spans="1:9" x14ac:dyDescent="0.25">
      <c r="A2512">
        <v>1807</v>
      </c>
      <c r="B2512">
        <f>A2512+1</f>
        <v>1808</v>
      </c>
      <c r="C2512" t="s">
        <v>514</v>
      </c>
      <c r="D2512" t="s">
        <v>26</v>
      </c>
      <c r="E2512" s="208" t="s">
        <v>94</v>
      </c>
      <c r="F2512" t="s">
        <v>10</v>
      </c>
      <c r="G2512" s="18">
        <v>0</v>
      </c>
      <c r="H2512" t="s">
        <v>24</v>
      </c>
      <c r="I2512" t="s">
        <v>17</v>
      </c>
    </row>
    <row r="2513" spans="1:9" x14ac:dyDescent="0.25">
      <c r="A2513">
        <v>1807</v>
      </c>
      <c r="B2513">
        <f>A2513+1</f>
        <v>1808</v>
      </c>
      <c r="C2513" t="s">
        <v>514</v>
      </c>
      <c r="D2513" t="s">
        <v>26</v>
      </c>
      <c r="E2513" s="208" t="s">
        <v>99</v>
      </c>
      <c r="F2513" t="s">
        <v>10</v>
      </c>
      <c r="G2513" s="18">
        <v>23</v>
      </c>
      <c r="H2513" t="s">
        <v>24</v>
      </c>
      <c r="I2513" t="s">
        <v>17</v>
      </c>
    </row>
    <row r="2514" spans="1:9" x14ac:dyDescent="0.25">
      <c r="A2514">
        <v>1807</v>
      </c>
      <c r="B2514">
        <f>A2514+1</f>
        <v>1808</v>
      </c>
      <c r="C2514" t="s">
        <v>514</v>
      </c>
      <c r="D2514" t="s">
        <v>26</v>
      </c>
      <c r="E2514" s="208" t="s">
        <v>28</v>
      </c>
      <c r="F2514" t="s">
        <v>10</v>
      </c>
      <c r="G2514" s="18">
        <v>301</v>
      </c>
      <c r="H2514" t="s">
        <v>24</v>
      </c>
      <c r="I2514" t="s">
        <v>17</v>
      </c>
    </row>
    <row r="2515" spans="1:9" x14ac:dyDescent="0.25">
      <c r="A2515">
        <v>1807</v>
      </c>
      <c r="B2515">
        <f>A2515+1</f>
        <v>1808</v>
      </c>
      <c r="C2515" t="s">
        <v>514</v>
      </c>
      <c r="D2515" t="s">
        <v>26</v>
      </c>
      <c r="E2515" s="208" t="s">
        <v>89</v>
      </c>
      <c r="F2515" t="s">
        <v>10</v>
      </c>
      <c r="G2515" s="18">
        <v>2</v>
      </c>
      <c r="H2515" t="s">
        <v>24</v>
      </c>
      <c r="I2515" t="s">
        <v>17</v>
      </c>
    </row>
    <row r="2516" spans="1:9" x14ac:dyDescent="0.25">
      <c r="A2516">
        <v>1807</v>
      </c>
      <c r="B2516">
        <f>A2516+1</f>
        <v>1808</v>
      </c>
      <c r="C2516" t="s">
        <v>514</v>
      </c>
      <c r="D2516" t="s">
        <v>26</v>
      </c>
      <c r="E2516" s="208" t="s">
        <v>45</v>
      </c>
      <c r="F2516" t="s">
        <v>10</v>
      </c>
      <c r="G2516" s="18">
        <v>79</v>
      </c>
      <c r="H2516" t="s">
        <v>24</v>
      </c>
      <c r="I2516" t="s">
        <v>17</v>
      </c>
    </row>
    <row r="2517" spans="1:9" x14ac:dyDescent="0.25">
      <c r="A2517">
        <v>1807</v>
      </c>
      <c r="B2517">
        <f>A2517+1</f>
        <v>1808</v>
      </c>
      <c r="C2517" t="s">
        <v>514</v>
      </c>
      <c r="D2517" t="s">
        <v>26</v>
      </c>
      <c r="E2517" s="208" t="s">
        <v>53</v>
      </c>
      <c r="F2517" t="s">
        <v>10</v>
      </c>
      <c r="G2517" s="18">
        <v>780</v>
      </c>
      <c r="H2517" t="s">
        <v>24</v>
      </c>
      <c r="I2517" t="s">
        <v>17</v>
      </c>
    </row>
    <row r="2518" spans="1:9" x14ac:dyDescent="0.25">
      <c r="A2518">
        <v>1807</v>
      </c>
      <c r="B2518">
        <f>A2518+1</f>
        <v>1808</v>
      </c>
      <c r="C2518" t="s">
        <v>514</v>
      </c>
      <c r="D2518" t="s">
        <v>26</v>
      </c>
      <c r="E2518" s="208" t="s">
        <v>75</v>
      </c>
      <c r="F2518" t="s">
        <v>10</v>
      </c>
      <c r="G2518" s="18">
        <v>342080</v>
      </c>
      <c r="H2518" t="s">
        <v>24</v>
      </c>
      <c r="I2518" t="s">
        <v>17</v>
      </c>
    </row>
    <row r="2519" spans="1:9" x14ac:dyDescent="0.25">
      <c r="A2519">
        <v>1807</v>
      </c>
      <c r="B2519">
        <f>A2519+1</f>
        <v>1808</v>
      </c>
      <c r="C2519" t="s">
        <v>514</v>
      </c>
      <c r="D2519" t="s">
        <v>26</v>
      </c>
      <c r="E2519" s="208" t="s">
        <v>107</v>
      </c>
      <c r="F2519" t="s">
        <v>10</v>
      </c>
      <c r="G2519" s="18">
        <v>78200</v>
      </c>
      <c r="H2519" t="s">
        <v>24</v>
      </c>
      <c r="I2519" t="s">
        <v>17</v>
      </c>
    </row>
    <row r="2520" spans="1:9" x14ac:dyDescent="0.25">
      <c r="A2520">
        <v>1807</v>
      </c>
      <c r="B2520">
        <f>A2520+1</f>
        <v>1808</v>
      </c>
      <c r="C2520" t="s">
        <v>514</v>
      </c>
      <c r="D2520" t="s">
        <v>26</v>
      </c>
      <c r="E2520" s="208" t="s">
        <v>101</v>
      </c>
      <c r="F2520" t="s">
        <v>10</v>
      </c>
      <c r="G2520" s="18">
        <v>37500</v>
      </c>
      <c r="H2520" t="s">
        <v>24</v>
      </c>
      <c r="I2520" t="s">
        <v>17</v>
      </c>
    </row>
    <row r="2521" spans="1:9" x14ac:dyDescent="0.25">
      <c r="A2521">
        <v>1807</v>
      </c>
      <c r="B2521">
        <f>A2521+1</f>
        <v>1808</v>
      </c>
      <c r="C2521" t="s">
        <v>514</v>
      </c>
      <c r="D2521" t="s">
        <v>26</v>
      </c>
      <c r="E2521" s="208" t="s">
        <v>330</v>
      </c>
      <c r="F2521" t="s">
        <v>13</v>
      </c>
      <c r="G2521" s="18">
        <v>182</v>
      </c>
      <c r="H2521" t="s">
        <v>25</v>
      </c>
      <c r="I2521" t="s">
        <v>17</v>
      </c>
    </row>
    <row r="2522" spans="1:9" x14ac:dyDescent="0.25">
      <c r="A2522">
        <v>1807</v>
      </c>
      <c r="B2522">
        <f>A2522+1</f>
        <v>1808</v>
      </c>
      <c r="C2522" t="s">
        <v>514</v>
      </c>
      <c r="D2522" t="s">
        <v>26</v>
      </c>
      <c r="E2522" s="208" t="s">
        <v>331</v>
      </c>
      <c r="F2522" t="s">
        <v>13</v>
      </c>
      <c r="G2522" s="18">
        <v>137</v>
      </c>
      <c r="H2522" t="s">
        <v>25</v>
      </c>
      <c r="I2522" t="s">
        <v>17</v>
      </c>
    </row>
    <row r="2523" spans="1:9" x14ac:dyDescent="0.25">
      <c r="A2523">
        <v>1807</v>
      </c>
      <c r="B2523">
        <f>A2523+1</f>
        <v>1808</v>
      </c>
      <c r="C2523" t="s">
        <v>514</v>
      </c>
      <c r="D2523" t="s">
        <v>26</v>
      </c>
      <c r="E2523" s="208" t="s">
        <v>332</v>
      </c>
      <c r="F2523" t="s">
        <v>13</v>
      </c>
      <c r="G2523" s="18">
        <v>23</v>
      </c>
      <c r="H2523" t="s">
        <v>25</v>
      </c>
      <c r="I2523" t="s">
        <v>17</v>
      </c>
    </row>
    <row r="2524" spans="1:9" x14ac:dyDescent="0.25">
      <c r="A2524">
        <v>1807</v>
      </c>
      <c r="B2524">
        <f>A2524+1</f>
        <v>1808</v>
      </c>
      <c r="C2524" t="s">
        <v>514</v>
      </c>
      <c r="D2524" t="s">
        <v>26</v>
      </c>
      <c r="E2524" s="208" t="s">
        <v>333</v>
      </c>
      <c r="F2524" t="s">
        <v>13</v>
      </c>
      <c r="G2524" s="18">
        <v>507</v>
      </c>
      <c r="H2524" t="s">
        <v>25</v>
      </c>
      <c r="I2524" t="s">
        <v>17</v>
      </c>
    </row>
    <row r="2525" spans="1:9" x14ac:dyDescent="0.25">
      <c r="A2525">
        <v>1807</v>
      </c>
      <c r="B2525">
        <f>A2525+1</f>
        <v>1808</v>
      </c>
      <c r="C2525" t="s">
        <v>514</v>
      </c>
      <c r="D2525" t="s">
        <v>27</v>
      </c>
      <c r="E2525" s="208" t="s">
        <v>155</v>
      </c>
      <c r="F2525" t="s">
        <v>8</v>
      </c>
      <c r="G2525" s="18">
        <v>93585</v>
      </c>
      <c r="H2525" t="s">
        <v>17</v>
      </c>
      <c r="I2525" t="s">
        <v>18</v>
      </c>
    </row>
    <row r="2526" spans="1:9" x14ac:dyDescent="0.25">
      <c r="A2526">
        <v>1807</v>
      </c>
      <c r="B2526">
        <f>A2526+1</f>
        <v>1808</v>
      </c>
      <c r="C2526" t="s">
        <v>514</v>
      </c>
      <c r="D2526" t="s">
        <v>27</v>
      </c>
      <c r="E2526" s="208" t="s">
        <v>156</v>
      </c>
      <c r="F2526" t="s">
        <v>8</v>
      </c>
      <c r="G2526" s="18">
        <v>11526</v>
      </c>
      <c r="H2526" t="s">
        <v>17</v>
      </c>
      <c r="I2526" t="s">
        <v>18</v>
      </c>
    </row>
    <row r="2527" spans="1:9" x14ac:dyDescent="0.25">
      <c r="A2527">
        <v>1807</v>
      </c>
      <c r="B2527">
        <f>A2527+1</f>
        <v>1808</v>
      </c>
      <c r="C2527" t="s">
        <v>514</v>
      </c>
      <c r="D2527" t="s">
        <v>27</v>
      </c>
      <c r="E2527" s="208" t="s">
        <v>154</v>
      </c>
      <c r="F2527" t="s">
        <v>8</v>
      </c>
      <c r="G2527" s="18">
        <v>958</v>
      </c>
      <c r="H2527" t="s">
        <v>17</v>
      </c>
      <c r="I2527" t="s">
        <v>18</v>
      </c>
    </row>
    <row r="2528" spans="1:9" x14ac:dyDescent="0.25">
      <c r="A2528">
        <v>1807</v>
      </c>
      <c r="B2528">
        <f>A2528+1</f>
        <v>1808</v>
      </c>
      <c r="C2528" t="s">
        <v>514</v>
      </c>
      <c r="D2528" t="s">
        <v>27</v>
      </c>
      <c r="E2528" s="208" t="s">
        <v>150</v>
      </c>
      <c r="F2528" t="s">
        <v>8</v>
      </c>
      <c r="G2528" s="18">
        <v>29336</v>
      </c>
      <c r="H2528" t="s">
        <v>17</v>
      </c>
      <c r="I2528" t="s">
        <v>18</v>
      </c>
    </row>
    <row r="2529" spans="1:9" x14ac:dyDescent="0.25">
      <c r="A2529">
        <v>1807</v>
      </c>
      <c r="B2529">
        <f>A2529+1</f>
        <v>1808</v>
      </c>
      <c r="C2529" t="s">
        <v>514</v>
      </c>
      <c r="D2529" t="s">
        <v>27</v>
      </c>
      <c r="E2529" s="208" t="s">
        <v>148</v>
      </c>
      <c r="F2529" t="s">
        <v>8</v>
      </c>
      <c r="G2529" s="18">
        <v>936</v>
      </c>
      <c r="H2529" t="s">
        <v>17</v>
      </c>
      <c r="I2529" t="s">
        <v>18</v>
      </c>
    </row>
    <row r="2530" spans="1:9" x14ac:dyDescent="0.25">
      <c r="A2530">
        <v>1807</v>
      </c>
      <c r="B2530">
        <f>A2530+1</f>
        <v>1808</v>
      </c>
      <c r="C2530" t="s">
        <v>514</v>
      </c>
      <c r="D2530" t="s">
        <v>27</v>
      </c>
      <c r="E2530" s="208" t="s">
        <v>139</v>
      </c>
      <c r="F2530" t="s">
        <v>8</v>
      </c>
      <c r="G2530" s="18">
        <v>10</v>
      </c>
      <c r="H2530" t="s">
        <v>17</v>
      </c>
      <c r="I2530" t="s">
        <v>18</v>
      </c>
    </row>
    <row r="2531" spans="1:9" x14ac:dyDescent="0.25">
      <c r="A2531">
        <v>1807</v>
      </c>
      <c r="B2531">
        <f>A2531+1</f>
        <v>1808</v>
      </c>
      <c r="C2531" t="s">
        <v>514</v>
      </c>
      <c r="D2531" t="s">
        <v>27</v>
      </c>
      <c r="E2531" s="208" t="s">
        <v>130</v>
      </c>
      <c r="F2531" t="s">
        <v>8</v>
      </c>
      <c r="G2531" s="18">
        <v>1129</v>
      </c>
      <c r="H2531" t="s">
        <v>17</v>
      </c>
      <c r="I2531" t="s">
        <v>18</v>
      </c>
    </row>
    <row r="2532" spans="1:9" x14ac:dyDescent="0.25">
      <c r="A2532">
        <v>1807</v>
      </c>
      <c r="B2532">
        <f>A2532+1</f>
        <v>1808</v>
      </c>
      <c r="C2532" t="s">
        <v>514</v>
      </c>
      <c r="D2532" t="s">
        <v>27</v>
      </c>
      <c r="E2532" s="208" t="s">
        <v>132</v>
      </c>
      <c r="F2532" t="s">
        <v>8</v>
      </c>
      <c r="G2532" s="18">
        <v>99</v>
      </c>
      <c r="H2532" t="s">
        <v>17</v>
      </c>
      <c r="I2532" t="s">
        <v>18</v>
      </c>
    </row>
    <row r="2533" spans="1:9" x14ac:dyDescent="0.25">
      <c r="A2533">
        <v>1807</v>
      </c>
      <c r="B2533">
        <f>A2533+1</f>
        <v>1808</v>
      </c>
      <c r="C2533" t="s">
        <v>514</v>
      </c>
      <c r="D2533" t="s">
        <v>27</v>
      </c>
      <c r="E2533" s="208" t="s">
        <v>142</v>
      </c>
      <c r="F2533" t="s">
        <v>8</v>
      </c>
      <c r="G2533" s="18">
        <v>2890</v>
      </c>
      <c r="H2533" t="s">
        <v>17</v>
      </c>
      <c r="I2533" t="s">
        <v>18</v>
      </c>
    </row>
    <row r="2534" spans="1:9" x14ac:dyDescent="0.25">
      <c r="A2534">
        <v>1807</v>
      </c>
      <c r="B2534">
        <f>A2534+1</f>
        <v>1808</v>
      </c>
      <c r="C2534" t="s">
        <v>514</v>
      </c>
      <c r="D2534" t="s">
        <v>27</v>
      </c>
      <c r="E2534" s="208" t="s">
        <v>144</v>
      </c>
      <c r="F2534" t="s">
        <v>8</v>
      </c>
      <c r="G2534" s="18">
        <v>28</v>
      </c>
      <c r="H2534" t="s">
        <v>17</v>
      </c>
      <c r="I2534" t="s">
        <v>18</v>
      </c>
    </row>
    <row r="2535" spans="1:9" x14ac:dyDescent="0.25">
      <c r="A2535">
        <v>1807</v>
      </c>
      <c r="B2535">
        <f>A2535+1</f>
        <v>1808</v>
      </c>
      <c r="C2535" t="s">
        <v>514</v>
      </c>
      <c r="D2535" t="s">
        <v>27</v>
      </c>
      <c r="E2535" s="208" t="s">
        <v>124</v>
      </c>
      <c r="F2535" t="s">
        <v>8</v>
      </c>
      <c r="G2535" s="18">
        <v>13003514</v>
      </c>
      <c r="H2535" t="s">
        <v>17</v>
      </c>
      <c r="I2535" t="s">
        <v>18</v>
      </c>
    </row>
    <row r="2536" spans="1:9" x14ac:dyDescent="0.25">
      <c r="A2536">
        <v>1807</v>
      </c>
      <c r="B2536">
        <f>A2536+1</f>
        <v>1808</v>
      </c>
      <c r="C2536" t="s">
        <v>514</v>
      </c>
      <c r="D2536" t="s">
        <v>26</v>
      </c>
      <c r="E2536" s="208" t="s">
        <v>109</v>
      </c>
      <c r="F2536" t="s">
        <v>8</v>
      </c>
      <c r="G2536" s="18">
        <v>3066</v>
      </c>
      <c r="H2536" t="s">
        <v>18</v>
      </c>
      <c r="I2536" t="s">
        <v>17</v>
      </c>
    </row>
    <row r="2537" spans="1:9" x14ac:dyDescent="0.25">
      <c r="A2537">
        <v>1807</v>
      </c>
      <c r="B2537">
        <f>A2537+1</f>
        <v>1808</v>
      </c>
      <c r="C2537" t="s">
        <v>514</v>
      </c>
      <c r="D2537" t="s">
        <v>26</v>
      </c>
      <c r="E2537" s="208" t="s">
        <v>65</v>
      </c>
      <c r="F2537" t="s">
        <v>164</v>
      </c>
      <c r="G2537" s="18">
        <v>22152</v>
      </c>
      <c r="H2537" t="s">
        <v>160</v>
      </c>
      <c r="I2537" t="s">
        <v>17</v>
      </c>
    </row>
    <row r="2538" spans="1:9" x14ac:dyDescent="0.25">
      <c r="A2538">
        <v>1807</v>
      </c>
      <c r="B2538">
        <f>A2538+1</f>
        <v>1808</v>
      </c>
      <c r="C2538" t="s">
        <v>514</v>
      </c>
      <c r="D2538" t="s">
        <v>27</v>
      </c>
      <c r="E2538" s="208" t="s">
        <v>155</v>
      </c>
      <c r="F2538" t="s">
        <v>9</v>
      </c>
      <c r="G2538" s="18">
        <v>249</v>
      </c>
      <c r="H2538" t="s">
        <v>17</v>
      </c>
      <c r="I2538" t="s">
        <v>21</v>
      </c>
    </row>
    <row r="2539" spans="1:9" x14ac:dyDescent="0.25">
      <c r="A2539">
        <v>1807</v>
      </c>
      <c r="B2539">
        <f>A2539+1</f>
        <v>1808</v>
      </c>
      <c r="C2539" t="s">
        <v>514</v>
      </c>
      <c r="D2539" t="s">
        <v>27</v>
      </c>
      <c r="E2539" s="208" t="s">
        <v>156</v>
      </c>
      <c r="F2539" t="s">
        <v>9</v>
      </c>
      <c r="G2539" s="18">
        <v>52</v>
      </c>
      <c r="H2539" t="s">
        <v>17</v>
      </c>
      <c r="I2539" t="s">
        <v>21</v>
      </c>
    </row>
    <row r="2540" spans="1:9" x14ac:dyDescent="0.25">
      <c r="A2540">
        <v>1807</v>
      </c>
      <c r="B2540">
        <f>A2540+1</f>
        <v>1808</v>
      </c>
      <c r="C2540" t="s">
        <v>514</v>
      </c>
      <c r="D2540" t="s">
        <v>27</v>
      </c>
      <c r="E2540" s="208" t="s">
        <v>154</v>
      </c>
      <c r="F2540" t="s">
        <v>9</v>
      </c>
      <c r="G2540" s="18">
        <v>31</v>
      </c>
      <c r="H2540" t="s">
        <v>17</v>
      </c>
      <c r="I2540" t="s">
        <v>21</v>
      </c>
    </row>
    <row r="2541" spans="1:9" x14ac:dyDescent="0.25">
      <c r="A2541">
        <v>1807</v>
      </c>
      <c r="B2541">
        <f>A2541+1</f>
        <v>1808</v>
      </c>
      <c r="C2541" t="s">
        <v>514</v>
      </c>
      <c r="D2541" t="s">
        <v>27</v>
      </c>
      <c r="E2541" s="208" t="s">
        <v>150</v>
      </c>
      <c r="F2541" t="s">
        <v>9</v>
      </c>
      <c r="G2541" s="18">
        <v>330</v>
      </c>
      <c r="H2541" t="s">
        <v>17</v>
      </c>
      <c r="I2541" t="s">
        <v>21</v>
      </c>
    </row>
    <row r="2542" spans="1:9" x14ac:dyDescent="0.25">
      <c r="A2542">
        <v>1807</v>
      </c>
      <c r="B2542">
        <f>A2542+1</f>
        <v>1808</v>
      </c>
      <c r="C2542" t="s">
        <v>514</v>
      </c>
      <c r="D2542" t="s">
        <v>27</v>
      </c>
      <c r="E2542" s="208" t="s">
        <v>148</v>
      </c>
      <c r="F2542" t="s">
        <v>9</v>
      </c>
      <c r="G2542" s="18">
        <v>17</v>
      </c>
      <c r="H2542" t="s">
        <v>17</v>
      </c>
      <c r="I2542" t="s">
        <v>21</v>
      </c>
    </row>
    <row r="2543" spans="1:9" x14ac:dyDescent="0.25">
      <c r="A2543">
        <v>1807</v>
      </c>
      <c r="B2543">
        <f>A2543+1</f>
        <v>1808</v>
      </c>
      <c r="C2543" t="s">
        <v>514</v>
      </c>
      <c r="D2543" t="s">
        <v>27</v>
      </c>
      <c r="E2543" s="208" t="s">
        <v>139</v>
      </c>
      <c r="F2543" t="s">
        <v>9</v>
      </c>
      <c r="G2543" s="18">
        <v>0</v>
      </c>
      <c r="H2543" t="s">
        <v>17</v>
      </c>
      <c r="I2543" t="s">
        <v>21</v>
      </c>
    </row>
    <row r="2544" spans="1:9" x14ac:dyDescent="0.25">
      <c r="A2544">
        <v>1807</v>
      </c>
      <c r="B2544">
        <f>A2544+1</f>
        <v>1808</v>
      </c>
      <c r="C2544" t="s">
        <v>514</v>
      </c>
      <c r="D2544" t="s">
        <v>27</v>
      </c>
      <c r="E2544" s="208" t="s">
        <v>130</v>
      </c>
      <c r="F2544" t="s">
        <v>9</v>
      </c>
      <c r="G2544" s="18">
        <v>4</v>
      </c>
      <c r="H2544" t="s">
        <v>17</v>
      </c>
      <c r="I2544" t="s">
        <v>21</v>
      </c>
    </row>
    <row r="2545" spans="1:9" x14ac:dyDescent="0.25">
      <c r="A2545">
        <v>1807</v>
      </c>
      <c r="B2545">
        <f>A2545+1</f>
        <v>1808</v>
      </c>
      <c r="C2545" t="s">
        <v>514</v>
      </c>
      <c r="D2545" t="s">
        <v>27</v>
      </c>
      <c r="E2545" s="208" t="s">
        <v>132</v>
      </c>
      <c r="F2545" t="s">
        <v>9</v>
      </c>
      <c r="G2545" s="18">
        <v>0</v>
      </c>
      <c r="H2545" t="s">
        <v>17</v>
      </c>
      <c r="I2545" t="s">
        <v>21</v>
      </c>
    </row>
    <row r="2546" spans="1:9" x14ac:dyDescent="0.25">
      <c r="A2546">
        <v>1807</v>
      </c>
      <c r="B2546">
        <f>A2546+1</f>
        <v>1808</v>
      </c>
      <c r="C2546" t="s">
        <v>514</v>
      </c>
      <c r="D2546" t="s">
        <v>27</v>
      </c>
      <c r="E2546" s="208" t="s">
        <v>142</v>
      </c>
      <c r="F2546" t="s">
        <v>9</v>
      </c>
      <c r="G2546" s="18">
        <v>106</v>
      </c>
      <c r="H2546" t="s">
        <v>17</v>
      </c>
      <c r="I2546" t="s">
        <v>21</v>
      </c>
    </row>
    <row r="2547" spans="1:9" x14ac:dyDescent="0.25">
      <c r="A2547">
        <v>1807</v>
      </c>
      <c r="B2547">
        <f>A2547+1</f>
        <v>1808</v>
      </c>
      <c r="C2547" t="s">
        <v>514</v>
      </c>
      <c r="D2547" t="s">
        <v>27</v>
      </c>
      <c r="E2547" s="208" t="s">
        <v>144</v>
      </c>
      <c r="F2547" t="s">
        <v>9</v>
      </c>
      <c r="G2547" s="18">
        <v>0</v>
      </c>
      <c r="H2547" t="s">
        <v>17</v>
      </c>
      <c r="I2547" t="s">
        <v>21</v>
      </c>
    </row>
    <row r="2548" spans="1:9" x14ac:dyDescent="0.25">
      <c r="A2548">
        <v>1807</v>
      </c>
      <c r="B2548">
        <f>A2548+1</f>
        <v>1808</v>
      </c>
      <c r="C2548" t="s">
        <v>514</v>
      </c>
      <c r="D2548" t="s">
        <v>27</v>
      </c>
      <c r="E2548" s="208" t="s">
        <v>124</v>
      </c>
      <c r="F2548" t="s">
        <v>9</v>
      </c>
      <c r="G2548" s="18">
        <v>10886</v>
      </c>
      <c r="H2548" t="s">
        <v>17</v>
      </c>
      <c r="I2548" t="s">
        <v>21</v>
      </c>
    </row>
    <row r="2549" spans="1:9" x14ac:dyDescent="0.25">
      <c r="A2549">
        <v>1807</v>
      </c>
      <c r="B2549">
        <f>A2549+1</f>
        <v>1808</v>
      </c>
      <c r="C2549" t="s">
        <v>514</v>
      </c>
      <c r="D2549" t="s">
        <v>27</v>
      </c>
      <c r="E2549" s="208" t="s">
        <v>155</v>
      </c>
      <c r="F2549" t="s">
        <v>13</v>
      </c>
      <c r="G2549" s="18">
        <v>0</v>
      </c>
      <c r="H2549" t="s">
        <v>17</v>
      </c>
      <c r="I2549" t="s">
        <v>25</v>
      </c>
    </row>
    <row r="2550" spans="1:9" x14ac:dyDescent="0.25">
      <c r="A2550">
        <v>1807</v>
      </c>
      <c r="B2550">
        <f>A2550+1</f>
        <v>1808</v>
      </c>
      <c r="C2550" t="s">
        <v>514</v>
      </c>
      <c r="D2550" t="s">
        <v>27</v>
      </c>
      <c r="E2550" s="208" t="s">
        <v>156</v>
      </c>
      <c r="F2550" t="s">
        <v>13</v>
      </c>
      <c r="G2550" s="18">
        <v>0</v>
      </c>
      <c r="H2550" t="s">
        <v>17</v>
      </c>
      <c r="I2550" t="s">
        <v>25</v>
      </c>
    </row>
    <row r="2551" spans="1:9" x14ac:dyDescent="0.25">
      <c r="A2551">
        <v>1807</v>
      </c>
      <c r="B2551">
        <f>A2551+1</f>
        <v>1808</v>
      </c>
      <c r="C2551" t="s">
        <v>514</v>
      </c>
      <c r="D2551" t="s">
        <v>27</v>
      </c>
      <c r="E2551" s="208" t="s">
        <v>154</v>
      </c>
      <c r="F2551" t="s">
        <v>13</v>
      </c>
      <c r="G2551" s="18">
        <v>0</v>
      </c>
      <c r="H2551" t="s">
        <v>17</v>
      </c>
      <c r="I2551" t="s">
        <v>25</v>
      </c>
    </row>
    <row r="2552" spans="1:9" x14ac:dyDescent="0.25">
      <c r="A2552">
        <v>1807</v>
      </c>
      <c r="B2552">
        <f>A2552+1</f>
        <v>1808</v>
      </c>
      <c r="C2552" t="s">
        <v>514</v>
      </c>
      <c r="D2552" t="s">
        <v>27</v>
      </c>
      <c r="E2552" s="208" t="s">
        <v>150</v>
      </c>
      <c r="F2552" t="s">
        <v>13</v>
      </c>
      <c r="G2552" s="18">
        <v>47</v>
      </c>
      <c r="H2552" t="s">
        <v>17</v>
      </c>
      <c r="I2552" t="s">
        <v>25</v>
      </c>
    </row>
    <row r="2553" spans="1:9" x14ac:dyDescent="0.25">
      <c r="A2553">
        <v>1807</v>
      </c>
      <c r="B2553">
        <f>A2553+1</f>
        <v>1808</v>
      </c>
      <c r="C2553" t="s">
        <v>514</v>
      </c>
      <c r="D2553" t="s">
        <v>27</v>
      </c>
      <c r="E2553" s="208" t="s">
        <v>148</v>
      </c>
      <c r="F2553" t="s">
        <v>13</v>
      </c>
      <c r="G2553" s="18">
        <v>0</v>
      </c>
      <c r="H2553" t="s">
        <v>17</v>
      </c>
      <c r="I2553" t="s">
        <v>25</v>
      </c>
    </row>
    <row r="2554" spans="1:9" x14ac:dyDescent="0.25">
      <c r="A2554">
        <v>1807</v>
      </c>
      <c r="B2554">
        <f>A2554+1</f>
        <v>1808</v>
      </c>
      <c r="C2554" t="s">
        <v>514</v>
      </c>
      <c r="D2554" t="s">
        <v>27</v>
      </c>
      <c r="E2554" s="208" t="s">
        <v>139</v>
      </c>
      <c r="F2554" t="s">
        <v>13</v>
      </c>
      <c r="G2554" s="18">
        <v>0</v>
      </c>
      <c r="H2554" t="s">
        <v>17</v>
      </c>
      <c r="I2554" t="s">
        <v>25</v>
      </c>
    </row>
    <row r="2555" spans="1:9" x14ac:dyDescent="0.25">
      <c r="A2555">
        <v>1807</v>
      </c>
      <c r="B2555">
        <f>A2555+1</f>
        <v>1808</v>
      </c>
      <c r="C2555" t="s">
        <v>514</v>
      </c>
      <c r="D2555" t="s">
        <v>27</v>
      </c>
      <c r="E2555" s="208" t="s">
        <v>130</v>
      </c>
      <c r="F2555" t="s">
        <v>13</v>
      </c>
      <c r="G2555" s="18">
        <v>0</v>
      </c>
      <c r="H2555" t="s">
        <v>17</v>
      </c>
      <c r="I2555" t="s">
        <v>25</v>
      </c>
    </row>
    <row r="2556" spans="1:9" x14ac:dyDescent="0.25">
      <c r="A2556">
        <v>1807</v>
      </c>
      <c r="B2556">
        <f>A2556+1</f>
        <v>1808</v>
      </c>
      <c r="C2556" t="s">
        <v>514</v>
      </c>
      <c r="D2556" t="s">
        <v>27</v>
      </c>
      <c r="E2556" s="208" t="s">
        <v>132</v>
      </c>
      <c r="F2556" t="s">
        <v>13</v>
      </c>
      <c r="G2556" s="18">
        <v>0</v>
      </c>
      <c r="H2556" t="s">
        <v>17</v>
      </c>
      <c r="I2556" t="s">
        <v>25</v>
      </c>
    </row>
    <row r="2557" spans="1:9" x14ac:dyDescent="0.25">
      <c r="A2557">
        <v>1807</v>
      </c>
      <c r="B2557">
        <f>A2557+1</f>
        <v>1808</v>
      </c>
      <c r="C2557" t="s">
        <v>514</v>
      </c>
      <c r="D2557" t="s">
        <v>27</v>
      </c>
      <c r="E2557" s="208" t="s">
        <v>142</v>
      </c>
      <c r="F2557" t="s">
        <v>13</v>
      </c>
      <c r="G2557" s="18">
        <v>0</v>
      </c>
      <c r="H2557" t="s">
        <v>17</v>
      </c>
      <c r="I2557" t="s">
        <v>25</v>
      </c>
    </row>
    <row r="2558" spans="1:9" x14ac:dyDescent="0.25">
      <c r="A2558">
        <v>1807</v>
      </c>
      <c r="B2558">
        <f>A2558+1</f>
        <v>1808</v>
      </c>
      <c r="C2558" t="s">
        <v>514</v>
      </c>
      <c r="D2558" t="s">
        <v>27</v>
      </c>
      <c r="E2558" s="208" t="s">
        <v>144</v>
      </c>
      <c r="F2558" t="s">
        <v>13</v>
      </c>
      <c r="G2558" s="18">
        <v>0</v>
      </c>
      <c r="H2558" t="s">
        <v>17</v>
      </c>
      <c r="I2558" t="s">
        <v>25</v>
      </c>
    </row>
    <row r="2559" spans="1:9" x14ac:dyDescent="0.25">
      <c r="A2559">
        <v>1807</v>
      </c>
      <c r="B2559">
        <f>A2559+1</f>
        <v>1808</v>
      </c>
      <c r="C2559" t="s">
        <v>514</v>
      </c>
      <c r="D2559" t="s">
        <v>27</v>
      </c>
      <c r="E2559" s="208" t="s">
        <v>124</v>
      </c>
      <c r="F2559" t="s">
        <v>13</v>
      </c>
      <c r="G2559" s="18">
        <v>0</v>
      </c>
      <c r="H2559" t="s">
        <v>17</v>
      </c>
      <c r="I2559" t="s">
        <v>25</v>
      </c>
    </row>
    <row r="2560" spans="1:9" x14ac:dyDescent="0.25">
      <c r="A2560">
        <v>1807</v>
      </c>
      <c r="B2560">
        <f>A2560+1</f>
        <v>1808</v>
      </c>
      <c r="C2560" t="s">
        <v>514</v>
      </c>
      <c r="D2560" t="s">
        <v>27</v>
      </c>
      <c r="E2560" s="208" t="s">
        <v>155</v>
      </c>
      <c r="F2560" t="s">
        <v>11</v>
      </c>
      <c r="G2560" s="18">
        <v>129</v>
      </c>
      <c r="H2560" t="s">
        <v>17</v>
      </c>
      <c r="I2560" t="s">
        <v>23</v>
      </c>
    </row>
    <row r="2561" spans="1:9" x14ac:dyDescent="0.25">
      <c r="A2561">
        <v>1807</v>
      </c>
      <c r="B2561">
        <f>A2561+1</f>
        <v>1808</v>
      </c>
      <c r="C2561" t="s">
        <v>514</v>
      </c>
      <c r="D2561" t="s">
        <v>27</v>
      </c>
      <c r="E2561" s="208" t="s">
        <v>156</v>
      </c>
      <c r="F2561" t="s">
        <v>11</v>
      </c>
      <c r="G2561" s="18">
        <v>31</v>
      </c>
      <c r="H2561" t="s">
        <v>17</v>
      </c>
      <c r="I2561" t="s">
        <v>23</v>
      </c>
    </row>
    <row r="2562" spans="1:9" x14ac:dyDescent="0.25">
      <c r="A2562">
        <v>1807</v>
      </c>
      <c r="B2562">
        <f>A2562+1</f>
        <v>1808</v>
      </c>
      <c r="C2562" t="s">
        <v>514</v>
      </c>
      <c r="D2562" t="s">
        <v>27</v>
      </c>
      <c r="E2562" s="208" t="s">
        <v>154</v>
      </c>
      <c r="F2562" t="s">
        <v>11</v>
      </c>
      <c r="G2562" s="18">
        <v>35</v>
      </c>
      <c r="H2562" t="s">
        <v>17</v>
      </c>
      <c r="I2562" t="s">
        <v>23</v>
      </c>
    </row>
    <row r="2563" spans="1:9" x14ac:dyDescent="0.25">
      <c r="A2563">
        <v>1807</v>
      </c>
      <c r="B2563">
        <f>A2563+1</f>
        <v>1808</v>
      </c>
      <c r="C2563" t="s">
        <v>514</v>
      </c>
      <c r="D2563" t="s">
        <v>27</v>
      </c>
      <c r="E2563" s="208" t="s">
        <v>150</v>
      </c>
      <c r="F2563" t="s">
        <v>11</v>
      </c>
      <c r="G2563" s="18">
        <v>7940</v>
      </c>
      <c r="H2563" t="s">
        <v>17</v>
      </c>
      <c r="I2563" t="s">
        <v>23</v>
      </c>
    </row>
    <row r="2564" spans="1:9" x14ac:dyDescent="0.25">
      <c r="A2564">
        <v>1807</v>
      </c>
      <c r="B2564">
        <f>A2564+1</f>
        <v>1808</v>
      </c>
      <c r="C2564" t="s">
        <v>514</v>
      </c>
      <c r="D2564" t="s">
        <v>27</v>
      </c>
      <c r="E2564" s="208" t="s">
        <v>148</v>
      </c>
      <c r="F2564" t="s">
        <v>11</v>
      </c>
      <c r="G2564" s="18">
        <v>0</v>
      </c>
      <c r="H2564" t="s">
        <v>17</v>
      </c>
      <c r="I2564" t="s">
        <v>23</v>
      </c>
    </row>
    <row r="2565" spans="1:9" x14ac:dyDescent="0.25">
      <c r="A2565">
        <v>1807</v>
      </c>
      <c r="B2565">
        <f>A2565+1</f>
        <v>1808</v>
      </c>
      <c r="C2565" t="s">
        <v>514</v>
      </c>
      <c r="D2565" t="s">
        <v>27</v>
      </c>
      <c r="E2565" s="208" t="s">
        <v>139</v>
      </c>
      <c r="F2565" t="s">
        <v>11</v>
      </c>
      <c r="G2565" s="18">
        <v>239</v>
      </c>
      <c r="H2565" t="s">
        <v>17</v>
      </c>
      <c r="I2565" t="s">
        <v>23</v>
      </c>
    </row>
    <row r="2566" spans="1:9" x14ac:dyDescent="0.25">
      <c r="A2566">
        <v>1807</v>
      </c>
      <c r="B2566">
        <f>A2566+1</f>
        <v>1808</v>
      </c>
      <c r="C2566" t="s">
        <v>514</v>
      </c>
      <c r="D2566" t="s">
        <v>27</v>
      </c>
      <c r="E2566" s="208" t="s">
        <v>130</v>
      </c>
      <c r="F2566" t="s">
        <v>11</v>
      </c>
      <c r="G2566" s="18">
        <v>94</v>
      </c>
      <c r="H2566" t="s">
        <v>17</v>
      </c>
      <c r="I2566" t="s">
        <v>23</v>
      </c>
    </row>
    <row r="2567" spans="1:9" x14ac:dyDescent="0.25">
      <c r="A2567">
        <v>1807</v>
      </c>
      <c r="B2567">
        <f>A2567+1</f>
        <v>1808</v>
      </c>
      <c r="C2567" t="s">
        <v>514</v>
      </c>
      <c r="D2567" t="s">
        <v>27</v>
      </c>
      <c r="E2567" s="208" t="s">
        <v>132</v>
      </c>
      <c r="F2567" t="s">
        <v>11</v>
      </c>
      <c r="G2567" s="18">
        <v>12</v>
      </c>
      <c r="H2567" t="s">
        <v>17</v>
      </c>
      <c r="I2567" t="s">
        <v>23</v>
      </c>
    </row>
    <row r="2568" spans="1:9" x14ac:dyDescent="0.25">
      <c r="A2568">
        <v>1807</v>
      </c>
      <c r="B2568">
        <f>A2568+1</f>
        <v>1808</v>
      </c>
      <c r="C2568" t="s">
        <v>514</v>
      </c>
      <c r="D2568" t="s">
        <v>27</v>
      </c>
      <c r="E2568" s="208" t="s">
        <v>142</v>
      </c>
      <c r="F2568" t="s">
        <v>11</v>
      </c>
      <c r="G2568" s="18">
        <v>2357</v>
      </c>
      <c r="H2568" t="s">
        <v>17</v>
      </c>
      <c r="I2568" t="s">
        <v>23</v>
      </c>
    </row>
    <row r="2569" spans="1:9" x14ac:dyDescent="0.25">
      <c r="A2569">
        <v>1807</v>
      </c>
      <c r="B2569">
        <f>A2569+1</f>
        <v>1808</v>
      </c>
      <c r="C2569" t="s">
        <v>514</v>
      </c>
      <c r="D2569" t="s">
        <v>27</v>
      </c>
      <c r="E2569" s="208" t="s">
        <v>144</v>
      </c>
      <c r="F2569" t="s">
        <v>11</v>
      </c>
      <c r="G2569" s="18">
        <v>98</v>
      </c>
      <c r="H2569" t="s">
        <v>17</v>
      </c>
      <c r="I2569" t="s">
        <v>23</v>
      </c>
    </row>
    <row r="2570" spans="1:9" x14ac:dyDescent="0.25">
      <c r="A2570">
        <v>1807</v>
      </c>
      <c r="B2570">
        <f>A2570+1</f>
        <v>1808</v>
      </c>
      <c r="C2570" t="s">
        <v>514</v>
      </c>
      <c r="D2570" t="s">
        <v>27</v>
      </c>
      <c r="E2570" s="208" t="s">
        <v>124</v>
      </c>
      <c r="F2570" t="s">
        <v>11</v>
      </c>
      <c r="G2570" s="18">
        <v>4900</v>
      </c>
      <c r="H2570" t="s">
        <v>17</v>
      </c>
      <c r="I2570" t="s">
        <v>23</v>
      </c>
    </row>
    <row r="2571" spans="1:9" x14ac:dyDescent="0.25">
      <c r="A2571">
        <v>1807</v>
      </c>
      <c r="B2571">
        <f>A2571+1</f>
        <v>1808</v>
      </c>
      <c r="C2571" t="s">
        <v>514</v>
      </c>
      <c r="D2571" t="s">
        <v>26</v>
      </c>
      <c r="E2571" s="208" t="s">
        <v>58</v>
      </c>
      <c r="F2571" t="s">
        <v>11</v>
      </c>
      <c r="G2571" s="18">
        <v>0</v>
      </c>
      <c r="H2571" t="s">
        <v>23</v>
      </c>
      <c r="I2571" t="s">
        <v>17</v>
      </c>
    </row>
    <row r="2572" spans="1:9" x14ac:dyDescent="0.25">
      <c r="A2572">
        <v>1807</v>
      </c>
      <c r="B2572">
        <f>A2572+1</f>
        <v>1808</v>
      </c>
      <c r="C2572" t="s">
        <v>514</v>
      </c>
      <c r="D2572" t="s">
        <v>26</v>
      </c>
      <c r="E2572" s="208" t="s">
        <v>57</v>
      </c>
      <c r="F2572" t="s">
        <v>11</v>
      </c>
      <c r="G2572" s="18">
        <v>6203</v>
      </c>
      <c r="H2572" t="s">
        <v>23</v>
      </c>
      <c r="I2572" t="s">
        <v>17</v>
      </c>
    </row>
    <row r="2573" spans="1:9" x14ac:dyDescent="0.25">
      <c r="A2573">
        <v>1807</v>
      </c>
      <c r="B2573">
        <f>A2573+1</f>
        <v>1808</v>
      </c>
      <c r="C2573" t="s">
        <v>514</v>
      </c>
      <c r="D2573" t="s">
        <v>26</v>
      </c>
      <c r="E2573" s="208" t="s">
        <v>35</v>
      </c>
      <c r="F2573" t="s">
        <v>11</v>
      </c>
      <c r="G2573" s="18">
        <v>25</v>
      </c>
      <c r="H2573" t="s">
        <v>23</v>
      </c>
      <c r="I2573" t="s">
        <v>17</v>
      </c>
    </row>
    <row r="2574" spans="1:9" x14ac:dyDescent="0.25">
      <c r="A2574">
        <v>1807</v>
      </c>
      <c r="B2574">
        <f>A2574+1</f>
        <v>1808</v>
      </c>
      <c r="C2574" t="s">
        <v>514</v>
      </c>
      <c r="D2574" t="s">
        <v>26</v>
      </c>
      <c r="E2574" s="208" t="s">
        <v>36</v>
      </c>
      <c r="F2574" t="s">
        <v>11</v>
      </c>
      <c r="G2574" s="18">
        <v>1178</v>
      </c>
      <c r="H2574" t="s">
        <v>23</v>
      </c>
      <c r="I2574" t="s">
        <v>17</v>
      </c>
    </row>
    <row r="2575" spans="1:9" x14ac:dyDescent="0.25">
      <c r="A2575">
        <v>1807</v>
      </c>
      <c r="B2575">
        <f>A2575+1</f>
        <v>1808</v>
      </c>
      <c r="C2575" t="s">
        <v>514</v>
      </c>
      <c r="D2575" t="s">
        <v>26</v>
      </c>
      <c r="E2575" s="208" t="s">
        <v>39</v>
      </c>
      <c r="F2575" t="s">
        <v>11</v>
      </c>
      <c r="G2575" s="18">
        <v>494</v>
      </c>
      <c r="H2575" t="s">
        <v>23</v>
      </c>
      <c r="I2575" t="s">
        <v>17</v>
      </c>
    </row>
    <row r="2576" spans="1:9" x14ac:dyDescent="0.25">
      <c r="A2576">
        <v>1807</v>
      </c>
      <c r="B2576">
        <f>A2576+1</f>
        <v>1808</v>
      </c>
      <c r="C2576" t="s">
        <v>514</v>
      </c>
      <c r="D2576" t="s">
        <v>26</v>
      </c>
      <c r="E2576" s="208" t="s">
        <v>99</v>
      </c>
      <c r="F2576" t="s">
        <v>11</v>
      </c>
      <c r="G2576" s="18">
        <v>283</v>
      </c>
      <c r="H2576" t="s">
        <v>23</v>
      </c>
      <c r="I2576" t="s">
        <v>17</v>
      </c>
    </row>
    <row r="2577" spans="1:9" x14ac:dyDescent="0.25">
      <c r="A2577">
        <v>1807</v>
      </c>
      <c r="B2577">
        <f>A2577+1</f>
        <v>1808</v>
      </c>
      <c r="C2577" t="s">
        <v>514</v>
      </c>
      <c r="D2577" t="s">
        <v>26</v>
      </c>
      <c r="E2577" s="208" t="s">
        <v>351</v>
      </c>
      <c r="F2577" t="s">
        <v>11</v>
      </c>
      <c r="G2577" s="18">
        <v>0</v>
      </c>
      <c r="H2577" t="s">
        <v>23</v>
      </c>
      <c r="I2577" t="s">
        <v>17</v>
      </c>
    </row>
    <row r="2578" spans="1:9" x14ac:dyDescent="0.25">
      <c r="A2578">
        <v>1807</v>
      </c>
      <c r="B2578">
        <f>A2578+1</f>
        <v>1808</v>
      </c>
      <c r="C2578" t="s">
        <v>514</v>
      </c>
      <c r="D2578" t="s">
        <v>26</v>
      </c>
      <c r="E2578" s="208" t="s">
        <v>352</v>
      </c>
      <c r="F2578" t="s">
        <v>11</v>
      </c>
      <c r="G2578" s="18">
        <v>9427</v>
      </c>
      <c r="H2578" t="s">
        <v>23</v>
      </c>
      <c r="I2578" t="s">
        <v>17</v>
      </c>
    </row>
    <row r="2579" spans="1:9" x14ac:dyDescent="0.25">
      <c r="A2579">
        <v>1807</v>
      </c>
      <c r="B2579">
        <f>A2579+1</f>
        <v>1808</v>
      </c>
      <c r="C2579" t="s">
        <v>514</v>
      </c>
      <c r="D2579" t="s">
        <v>26</v>
      </c>
      <c r="E2579" s="208" t="s">
        <v>75</v>
      </c>
      <c r="F2579" t="s">
        <v>11</v>
      </c>
      <c r="G2579" s="18">
        <v>1846159</v>
      </c>
      <c r="H2579" t="s">
        <v>23</v>
      </c>
      <c r="I2579" t="s">
        <v>17</v>
      </c>
    </row>
    <row r="2580" spans="1:9" x14ac:dyDescent="0.25">
      <c r="A2580">
        <v>1807</v>
      </c>
      <c r="B2580">
        <f>A2580+1</f>
        <v>1808</v>
      </c>
      <c r="C2580" t="s">
        <v>514</v>
      </c>
      <c r="D2580" t="s">
        <v>26</v>
      </c>
      <c r="E2580" s="208" t="s">
        <v>107</v>
      </c>
      <c r="F2580" t="s">
        <v>11</v>
      </c>
      <c r="G2580" s="18">
        <v>1693322</v>
      </c>
      <c r="H2580" t="s">
        <v>23</v>
      </c>
      <c r="I2580" t="s">
        <v>17</v>
      </c>
    </row>
    <row r="2581" spans="1:9" x14ac:dyDescent="0.25">
      <c r="A2581">
        <v>1807</v>
      </c>
      <c r="B2581">
        <f>A2581+1</f>
        <v>1808</v>
      </c>
      <c r="C2581" t="s">
        <v>514</v>
      </c>
      <c r="D2581" t="s">
        <v>26</v>
      </c>
      <c r="E2581" s="208" t="s">
        <v>101</v>
      </c>
      <c r="F2581" t="s">
        <v>11</v>
      </c>
      <c r="G2581" s="18">
        <v>1326400</v>
      </c>
      <c r="H2581" t="s">
        <v>23</v>
      </c>
      <c r="I2581" t="s">
        <v>17</v>
      </c>
    </row>
    <row r="2582" spans="1:9" x14ac:dyDescent="0.25">
      <c r="A2582">
        <v>1807</v>
      </c>
      <c r="B2582">
        <f>A2582+1</f>
        <v>1808</v>
      </c>
      <c r="C2582" t="s">
        <v>514</v>
      </c>
      <c r="D2582" t="s">
        <v>27</v>
      </c>
      <c r="E2582" s="208" t="s">
        <v>155</v>
      </c>
      <c r="F2582" t="s">
        <v>14</v>
      </c>
      <c r="G2582" s="18">
        <v>94047</v>
      </c>
      <c r="H2582" t="s">
        <v>17</v>
      </c>
      <c r="I2582" s="151" t="s">
        <v>562</v>
      </c>
    </row>
    <row r="2583" spans="1:9" x14ac:dyDescent="0.25">
      <c r="A2583">
        <v>1807</v>
      </c>
      <c r="B2583">
        <f>A2583+1</f>
        <v>1808</v>
      </c>
      <c r="C2583" t="s">
        <v>514</v>
      </c>
      <c r="D2583" t="s">
        <v>27</v>
      </c>
      <c r="E2583" s="208" t="s">
        <v>156</v>
      </c>
      <c r="F2583" t="s">
        <v>14</v>
      </c>
      <c r="G2583" s="18">
        <v>11633</v>
      </c>
      <c r="H2583" t="s">
        <v>17</v>
      </c>
      <c r="I2583" s="151" t="s">
        <v>562</v>
      </c>
    </row>
    <row r="2584" spans="1:9" x14ac:dyDescent="0.25">
      <c r="A2584">
        <v>1807</v>
      </c>
      <c r="B2584">
        <f>A2584+1</f>
        <v>1808</v>
      </c>
      <c r="C2584" t="s">
        <v>514</v>
      </c>
      <c r="D2584" t="s">
        <v>27</v>
      </c>
      <c r="E2584" s="208" t="s">
        <v>154</v>
      </c>
      <c r="F2584" t="s">
        <v>14</v>
      </c>
      <c r="G2584" s="18">
        <v>1181</v>
      </c>
      <c r="H2584" t="s">
        <v>17</v>
      </c>
      <c r="I2584" s="151" t="s">
        <v>562</v>
      </c>
    </row>
    <row r="2585" spans="1:9" x14ac:dyDescent="0.25">
      <c r="A2585">
        <v>1807</v>
      </c>
      <c r="B2585">
        <f>A2585+1</f>
        <v>1808</v>
      </c>
      <c r="C2585" t="s">
        <v>514</v>
      </c>
      <c r="D2585" t="s">
        <v>27</v>
      </c>
      <c r="E2585" s="208" t="s">
        <v>150</v>
      </c>
      <c r="F2585" t="s">
        <v>14</v>
      </c>
      <c r="G2585" s="18">
        <v>40145</v>
      </c>
      <c r="H2585" t="s">
        <v>17</v>
      </c>
      <c r="I2585" s="151" t="s">
        <v>562</v>
      </c>
    </row>
    <row r="2586" spans="1:9" x14ac:dyDescent="0.25">
      <c r="A2586">
        <v>1807</v>
      </c>
      <c r="B2586">
        <f>A2586+1</f>
        <v>1808</v>
      </c>
      <c r="C2586" t="s">
        <v>514</v>
      </c>
      <c r="D2586" t="s">
        <v>27</v>
      </c>
      <c r="E2586" s="208" t="s">
        <v>148</v>
      </c>
      <c r="F2586" t="s">
        <v>14</v>
      </c>
      <c r="G2586" s="18">
        <v>1107</v>
      </c>
      <c r="H2586" t="s">
        <v>17</v>
      </c>
      <c r="I2586" s="151" t="s">
        <v>562</v>
      </c>
    </row>
    <row r="2587" spans="1:9" x14ac:dyDescent="0.25">
      <c r="A2587">
        <v>1807</v>
      </c>
      <c r="B2587">
        <f>A2587+1</f>
        <v>1808</v>
      </c>
      <c r="C2587" t="s">
        <v>514</v>
      </c>
      <c r="D2587" t="s">
        <v>27</v>
      </c>
      <c r="E2587" s="208" t="s">
        <v>314</v>
      </c>
      <c r="F2587" t="s">
        <v>14</v>
      </c>
      <c r="G2587" s="18">
        <v>0</v>
      </c>
      <c r="H2587" t="s">
        <v>17</v>
      </c>
      <c r="I2587" s="151" t="s">
        <v>562</v>
      </c>
    </row>
    <row r="2588" spans="1:9" x14ac:dyDescent="0.25">
      <c r="A2588">
        <v>1807</v>
      </c>
      <c r="B2588">
        <f>A2588+1</f>
        <v>1808</v>
      </c>
      <c r="C2588" t="s">
        <v>514</v>
      </c>
      <c r="D2588" t="s">
        <v>27</v>
      </c>
      <c r="E2588" s="208" t="s">
        <v>149</v>
      </c>
      <c r="F2588" t="s">
        <v>14</v>
      </c>
      <c r="G2588" s="18">
        <v>0</v>
      </c>
      <c r="H2588" t="s">
        <v>17</v>
      </c>
      <c r="I2588" s="151" t="s">
        <v>562</v>
      </c>
    </row>
    <row r="2589" spans="1:9" x14ac:dyDescent="0.25">
      <c r="A2589">
        <v>1807</v>
      </c>
      <c r="B2589">
        <f>A2589+1</f>
        <v>1808</v>
      </c>
      <c r="C2589" t="s">
        <v>514</v>
      </c>
      <c r="D2589" t="s">
        <v>27</v>
      </c>
      <c r="E2589" s="208" t="s">
        <v>139</v>
      </c>
      <c r="F2589" t="s">
        <v>14</v>
      </c>
      <c r="G2589" s="18">
        <v>275</v>
      </c>
      <c r="H2589" t="s">
        <v>17</v>
      </c>
      <c r="I2589" s="151" t="s">
        <v>562</v>
      </c>
    </row>
    <row r="2590" spans="1:9" x14ac:dyDescent="0.25">
      <c r="A2590">
        <v>1807</v>
      </c>
      <c r="B2590">
        <f>A2590+1</f>
        <v>1808</v>
      </c>
      <c r="C2590" t="s">
        <v>514</v>
      </c>
      <c r="D2590" t="s">
        <v>27</v>
      </c>
      <c r="E2590" s="208" t="s">
        <v>130</v>
      </c>
      <c r="F2590" t="s">
        <v>14</v>
      </c>
      <c r="G2590" s="18">
        <v>1230</v>
      </c>
      <c r="H2590" t="s">
        <v>17</v>
      </c>
      <c r="I2590" s="151" t="s">
        <v>562</v>
      </c>
    </row>
    <row r="2591" spans="1:9" x14ac:dyDescent="0.25">
      <c r="A2591">
        <v>1807</v>
      </c>
      <c r="B2591">
        <f>A2591+1</f>
        <v>1808</v>
      </c>
      <c r="C2591" t="s">
        <v>514</v>
      </c>
      <c r="D2591" t="s">
        <v>27</v>
      </c>
      <c r="E2591" s="208" t="s">
        <v>132</v>
      </c>
      <c r="F2591" t="s">
        <v>14</v>
      </c>
      <c r="G2591" s="18">
        <v>111</v>
      </c>
      <c r="H2591" t="s">
        <v>17</v>
      </c>
      <c r="I2591" s="151" t="s">
        <v>562</v>
      </c>
    </row>
    <row r="2592" spans="1:9" x14ac:dyDescent="0.25">
      <c r="A2592">
        <v>1807</v>
      </c>
      <c r="B2592">
        <f>A2592+1</f>
        <v>1808</v>
      </c>
      <c r="C2592" t="s">
        <v>514</v>
      </c>
      <c r="D2592" t="s">
        <v>27</v>
      </c>
      <c r="E2592" s="208" t="s">
        <v>142</v>
      </c>
      <c r="F2592" t="s">
        <v>14</v>
      </c>
      <c r="G2592" s="18">
        <v>5487</v>
      </c>
      <c r="H2592" t="s">
        <v>17</v>
      </c>
      <c r="I2592" s="151" t="s">
        <v>562</v>
      </c>
    </row>
    <row r="2593" spans="1:9" x14ac:dyDescent="0.25">
      <c r="A2593">
        <v>1807</v>
      </c>
      <c r="B2593">
        <f>A2593+1</f>
        <v>1808</v>
      </c>
      <c r="C2593" t="s">
        <v>514</v>
      </c>
      <c r="D2593" t="s">
        <v>27</v>
      </c>
      <c r="E2593" s="208" t="s">
        <v>144</v>
      </c>
      <c r="F2593" t="s">
        <v>14</v>
      </c>
      <c r="G2593" s="18">
        <v>132</v>
      </c>
      <c r="H2593" t="s">
        <v>17</v>
      </c>
      <c r="I2593" s="151" t="s">
        <v>562</v>
      </c>
    </row>
    <row r="2594" spans="1:9" x14ac:dyDescent="0.25">
      <c r="A2594">
        <v>1807</v>
      </c>
      <c r="B2594">
        <f>A2594+1</f>
        <v>1808</v>
      </c>
      <c r="C2594" t="s">
        <v>514</v>
      </c>
      <c r="D2594" t="s">
        <v>27</v>
      </c>
      <c r="E2594" s="208" t="s">
        <v>124</v>
      </c>
      <c r="F2594" t="s">
        <v>14</v>
      </c>
      <c r="G2594" s="18">
        <v>13081750</v>
      </c>
      <c r="H2594" t="s">
        <v>17</v>
      </c>
      <c r="I2594" s="151" t="s">
        <v>562</v>
      </c>
    </row>
    <row r="2595" spans="1:9" x14ac:dyDescent="0.25">
      <c r="A2595">
        <v>1807</v>
      </c>
      <c r="B2595">
        <f>A2595+1</f>
        <v>1808</v>
      </c>
      <c r="C2595" t="s">
        <v>514</v>
      </c>
      <c r="D2595" t="s">
        <v>26</v>
      </c>
      <c r="E2595" s="208" t="s">
        <v>62</v>
      </c>
      <c r="F2595" t="s">
        <v>14</v>
      </c>
      <c r="G2595" s="18">
        <v>548</v>
      </c>
      <c r="H2595" s="151" t="s">
        <v>563</v>
      </c>
      <c r="I2595" t="s">
        <v>17</v>
      </c>
    </row>
    <row r="2596" spans="1:9" x14ac:dyDescent="0.25">
      <c r="A2596">
        <v>1807</v>
      </c>
      <c r="B2596">
        <f>A2596+1</f>
        <v>1808</v>
      </c>
      <c r="C2596" t="s">
        <v>514</v>
      </c>
      <c r="D2596" t="s">
        <v>26</v>
      </c>
      <c r="E2596" s="208" t="s">
        <v>58</v>
      </c>
      <c r="F2596" t="s">
        <v>14</v>
      </c>
      <c r="G2596" s="18">
        <v>0</v>
      </c>
      <c r="H2596" s="151" t="s">
        <v>563</v>
      </c>
      <c r="I2596" t="s">
        <v>17</v>
      </c>
    </row>
    <row r="2597" spans="1:9" x14ac:dyDescent="0.25">
      <c r="A2597">
        <v>1807</v>
      </c>
      <c r="B2597">
        <f>A2597+1</f>
        <v>1808</v>
      </c>
      <c r="C2597" t="s">
        <v>514</v>
      </c>
      <c r="D2597" t="s">
        <v>26</v>
      </c>
      <c r="E2597" s="208" t="s">
        <v>57</v>
      </c>
      <c r="F2597" t="s">
        <v>14</v>
      </c>
      <c r="G2597" s="18">
        <v>6203</v>
      </c>
      <c r="H2597" s="151" t="s">
        <v>563</v>
      </c>
      <c r="I2597" t="s">
        <v>17</v>
      </c>
    </row>
    <row r="2598" spans="1:9" x14ac:dyDescent="0.25">
      <c r="A2598">
        <v>1807</v>
      </c>
      <c r="B2598">
        <f>A2598+1</f>
        <v>1808</v>
      </c>
      <c r="C2598" t="s">
        <v>514</v>
      </c>
      <c r="D2598" t="s">
        <v>26</v>
      </c>
      <c r="E2598" s="208" t="s">
        <v>35</v>
      </c>
      <c r="F2598" t="s">
        <v>14</v>
      </c>
      <c r="G2598" s="18">
        <v>25</v>
      </c>
      <c r="H2598" s="151" t="s">
        <v>563</v>
      </c>
      <c r="I2598" t="s">
        <v>17</v>
      </c>
    </row>
    <row r="2599" spans="1:9" x14ac:dyDescent="0.25">
      <c r="A2599">
        <v>1807</v>
      </c>
      <c r="B2599">
        <f>A2599+1</f>
        <v>1808</v>
      </c>
      <c r="C2599" t="s">
        <v>514</v>
      </c>
      <c r="D2599" t="s">
        <v>26</v>
      </c>
      <c r="E2599" s="208" t="s">
        <v>36</v>
      </c>
      <c r="F2599" t="s">
        <v>14</v>
      </c>
      <c r="G2599" s="18">
        <v>1368</v>
      </c>
      <c r="H2599" s="151" t="s">
        <v>563</v>
      </c>
      <c r="I2599" t="s">
        <v>17</v>
      </c>
    </row>
    <row r="2600" spans="1:9" x14ac:dyDescent="0.25">
      <c r="A2600">
        <v>1807</v>
      </c>
      <c r="B2600">
        <f>A2600+1</f>
        <v>1808</v>
      </c>
      <c r="C2600" t="s">
        <v>514</v>
      </c>
      <c r="D2600" t="s">
        <v>26</v>
      </c>
      <c r="E2600" s="208" t="s">
        <v>39</v>
      </c>
      <c r="F2600" t="s">
        <v>14</v>
      </c>
      <c r="G2600" s="18">
        <v>714</v>
      </c>
      <c r="H2600" s="151" t="s">
        <v>563</v>
      </c>
      <c r="I2600" t="s">
        <v>17</v>
      </c>
    </row>
    <row r="2601" spans="1:9" x14ac:dyDescent="0.25">
      <c r="A2601">
        <v>1807</v>
      </c>
      <c r="B2601">
        <f>A2601+1</f>
        <v>1808</v>
      </c>
      <c r="C2601" t="s">
        <v>514</v>
      </c>
      <c r="D2601" t="s">
        <v>26</v>
      </c>
      <c r="E2601" s="208" t="s">
        <v>94</v>
      </c>
      <c r="F2601" t="s">
        <v>14</v>
      </c>
      <c r="G2601" s="18">
        <v>0</v>
      </c>
      <c r="H2601" s="151" t="s">
        <v>563</v>
      </c>
      <c r="I2601" t="s">
        <v>17</v>
      </c>
    </row>
    <row r="2602" spans="1:9" x14ac:dyDescent="0.25">
      <c r="A2602">
        <v>1807</v>
      </c>
      <c r="B2602">
        <f>A2602+1</f>
        <v>1808</v>
      </c>
      <c r="C2602" t="s">
        <v>514</v>
      </c>
      <c r="D2602" t="s">
        <v>26</v>
      </c>
      <c r="E2602" s="208" t="s">
        <v>99</v>
      </c>
      <c r="F2602" t="s">
        <v>14</v>
      </c>
      <c r="G2602" s="18">
        <v>306</v>
      </c>
      <c r="H2602" s="151" t="s">
        <v>563</v>
      </c>
      <c r="I2602" t="s">
        <v>17</v>
      </c>
    </row>
    <row r="2603" spans="1:9" x14ac:dyDescent="0.25">
      <c r="A2603">
        <v>1807</v>
      </c>
      <c r="B2603">
        <f>A2603+1</f>
        <v>1808</v>
      </c>
      <c r="C2603" t="s">
        <v>514</v>
      </c>
      <c r="D2603" t="s">
        <v>26</v>
      </c>
      <c r="E2603" s="208" t="s">
        <v>28</v>
      </c>
      <c r="F2603" t="s">
        <v>14</v>
      </c>
      <c r="G2603" s="18">
        <v>301</v>
      </c>
      <c r="H2603" s="151" t="s">
        <v>563</v>
      </c>
      <c r="I2603" t="s">
        <v>17</v>
      </c>
    </row>
    <row r="2604" spans="1:9" x14ac:dyDescent="0.25">
      <c r="A2604">
        <v>1807</v>
      </c>
      <c r="B2604">
        <f>A2604+1</f>
        <v>1808</v>
      </c>
      <c r="C2604" t="s">
        <v>514</v>
      </c>
      <c r="D2604" t="s">
        <v>26</v>
      </c>
      <c r="E2604" s="208" t="s">
        <v>89</v>
      </c>
      <c r="F2604" t="s">
        <v>14</v>
      </c>
      <c r="G2604" s="18">
        <v>2</v>
      </c>
      <c r="H2604" s="151" t="s">
        <v>563</v>
      </c>
      <c r="I2604" t="s">
        <v>17</v>
      </c>
    </row>
    <row r="2605" spans="1:9" x14ac:dyDescent="0.25">
      <c r="A2605">
        <v>1807</v>
      </c>
      <c r="B2605">
        <f>A2605+1</f>
        <v>1808</v>
      </c>
      <c r="C2605" t="s">
        <v>514</v>
      </c>
      <c r="D2605" t="s">
        <v>26</v>
      </c>
      <c r="E2605" s="208" t="s">
        <v>45</v>
      </c>
      <c r="F2605" t="s">
        <v>14</v>
      </c>
      <c r="G2605" s="18">
        <v>79</v>
      </c>
      <c r="H2605" s="151" t="s">
        <v>563</v>
      </c>
      <c r="I2605" t="s">
        <v>17</v>
      </c>
    </row>
    <row r="2606" spans="1:9" x14ac:dyDescent="0.25">
      <c r="A2606">
        <v>1807</v>
      </c>
      <c r="B2606">
        <f>A2606+1</f>
        <v>1808</v>
      </c>
      <c r="C2606" t="s">
        <v>514</v>
      </c>
      <c r="D2606" t="s">
        <v>26</v>
      </c>
      <c r="E2606" s="208" t="s">
        <v>53</v>
      </c>
      <c r="F2606" t="s">
        <v>14</v>
      </c>
      <c r="G2606" s="18">
        <v>780</v>
      </c>
      <c r="H2606" s="151" t="s">
        <v>563</v>
      </c>
      <c r="I2606" t="s">
        <v>17</v>
      </c>
    </row>
    <row r="2607" spans="1:9" x14ac:dyDescent="0.25">
      <c r="A2607">
        <v>1807</v>
      </c>
      <c r="B2607">
        <f>A2607+1</f>
        <v>1808</v>
      </c>
      <c r="C2607" t="s">
        <v>514</v>
      </c>
      <c r="D2607" t="s">
        <v>26</v>
      </c>
      <c r="E2607" s="208" t="s">
        <v>351</v>
      </c>
      <c r="F2607" t="s">
        <v>14</v>
      </c>
      <c r="G2607" s="18">
        <v>0</v>
      </c>
      <c r="H2607" s="151" t="s">
        <v>563</v>
      </c>
      <c r="I2607" t="s">
        <v>17</v>
      </c>
    </row>
    <row r="2608" spans="1:9" x14ac:dyDescent="0.25">
      <c r="A2608">
        <v>1807</v>
      </c>
      <c r="B2608">
        <f>A2608+1</f>
        <v>1808</v>
      </c>
      <c r="C2608" t="s">
        <v>514</v>
      </c>
      <c r="D2608" t="s">
        <v>26</v>
      </c>
      <c r="E2608" s="208" t="s">
        <v>352</v>
      </c>
      <c r="F2608" t="s">
        <v>14</v>
      </c>
      <c r="G2608" s="18">
        <v>9427</v>
      </c>
      <c r="H2608" s="151" t="s">
        <v>563</v>
      </c>
      <c r="I2608" t="s">
        <v>17</v>
      </c>
    </row>
    <row r="2609" spans="1:9" x14ac:dyDescent="0.25">
      <c r="A2609">
        <v>1807</v>
      </c>
      <c r="B2609">
        <f>A2609+1</f>
        <v>1808</v>
      </c>
      <c r="C2609" t="s">
        <v>514</v>
      </c>
      <c r="D2609" t="s">
        <v>26</v>
      </c>
      <c r="E2609" s="208" t="s">
        <v>75</v>
      </c>
      <c r="F2609" t="s">
        <v>14</v>
      </c>
      <c r="G2609" s="18">
        <v>2188239</v>
      </c>
      <c r="H2609" s="151" t="s">
        <v>563</v>
      </c>
      <c r="I2609" t="s">
        <v>17</v>
      </c>
    </row>
    <row r="2610" spans="1:9" x14ac:dyDescent="0.25">
      <c r="A2610">
        <v>1807</v>
      </c>
      <c r="B2610">
        <f>A2610+1</f>
        <v>1808</v>
      </c>
      <c r="C2610" t="s">
        <v>514</v>
      </c>
      <c r="D2610" t="s">
        <v>26</v>
      </c>
      <c r="E2610" s="208" t="s">
        <v>107</v>
      </c>
      <c r="F2610" t="s">
        <v>14</v>
      </c>
      <c r="G2610" s="18">
        <v>1771522</v>
      </c>
      <c r="H2610" s="151" t="s">
        <v>563</v>
      </c>
      <c r="I2610" t="s">
        <v>17</v>
      </c>
    </row>
    <row r="2611" spans="1:9" x14ac:dyDescent="0.25">
      <c r="A2611">
        <v>1807</v>
      </c>
      <c r="B2611">
        <f>A2611+1</f>
        <v>1808</v>
      </c>
      <c r="C2611" t="s">
        <v>514</v>
      </c>
      <c r="D2611" t="s">
        <v>26</v>
      </c>
      <c r="E2611" s="208" t="s">
        <v>101</v>
      </c>
      <c r="F2611" t="s">
        <v>14</v>
      </c>
      <c r="G2611" s="18">
        <v>1363900</v>
      </c>
      <c r="H2611" s="151" t="s">
        <v>563</v>
      </c>
      <c r="I2611" t="s">
        <v>17</v>
      </c>
    </row>
    <row r="2612" spans="1:9" x14ac:dyDescent="0.25">
      <c r="A2612">
        <v>1807</v>
      </c>
      <c r="B2612">
        <f>A2612+1</f>
        <v>1808</v>
      </c>
      <c r="C2612" t="s">
        <v>514</v>
      </c>
      <c r="D2612" t="s">
        <v>26</v>
      </c>
      <c r="E2612" s="208" t="s">
        <v>65</v>
      </c>
      <c r="F2612" t="s">
        <v>14</v>
      </c>
      <c r="G2612" s="18">
        <v>22152</v>
      </c>
      <c r="H2612" s="151" t="s">
        <v>563</v>
      </c>
      <c r="I2612" t="s">
        <v>17</v>
      </c>
    </row>
    <row r="2613" spans="1:9" x14ac:dyDescent="0.25">
      <c r="A2613">
        <v>1807</v>
      </c>
      <c r="B2613">
        <f>A2613+1</f>
        <v>1808</v>
      </c>
      <c r="C2613" t="s">
        <v>514</v>
      </c>
      <c r="D2613" t="s">
        <v>26</v>
      </c>
      <c r="E2613" s="208" t="s">
        <v>330</v>
      </c>
      <c r="F2613" t="s">
        <v>14</v>
      </c>
      <c r="G2613" s="18">
        <v>182</v>
      </c>
      <c r="H2613" s="151" t="s">
        <v>563</v>
      </c>
      <c r="I2613" t="s">
        <v>17</v>
      </c>
    </row>
    <row r="2614" spans="1:9" x14ac:dyDescent="0.25">
      <c r="A2614">
        <v>1807</v>
      </c>
      <c r="B2614">
        <f>A2614+1</f>
        <v>1808</v>
      </c>
      <c r="C2614" t="s">
        <v>514</v>
      </c>
      <c r="D2614" t="s">
        <v>26</v>
      </c>
      <c r="E2614" s="208" t="s">
        <v>331</v>
      </c>
      <c r="F2614" t="s">
        <v>14</v>
      </c>
      <c r="G2614" s="18">
        <v>137</v>
      </c>
      <c r="H2614" s="151" t="s">
        <v>563</v>
      </c>
      <c r="I2614" t="s">
        <v>17</v>
      </c>
    </row>
    <row r="2615" spans="1:9" x14ac:dyDescent="0.25">
      <c r="A2615">
        <v>1807</v>
      </c>
      <c r="B2615">
        <f>A2615+1</f>
        <v>1808</v>
      </c>
      <c r="C2615" t="s">
        <v>514</v>
      </c>
      <c r="D2615" t="s">
        <v>26</v>
      </c>
      <c r="E2615" s="208" t="s">
        <v>332</v>
      </c>
      <c r="F2615" t="s">
        <v>14</v>
      </c>
      <c r="G2615" s="18">
        <v>23</v>
      </c>
      <c r="H2615" s="151" t="s">
        <v>563</v>
      </c>
      <c r="I2615" t="s">
        <v>17</v>
      </c>
    </row>
    <row r="2616" spans="1:9" x14ac:dyDescent="0.25">
      <c r="A2616">
        <v>1807</v>
      </c>
      <c r="B2616">
        <f>A2616+1</f>
        <v>1808</v>
      </c>
      <c r="C2616" t="s">
        <v>514</v>
      </c>
      <c r="D2616" t="s">
        <v>26</v>
      </c>
      <c r="E2616" s="208" t="s">
        <v>333</v>
      </c>
      <c r="F2616" t="s">
        <v>14</v>
      </c>
      <c r="G2616" s="18">
        <v>507</v>
      </c>
      <c r="H2616" s="151" t="s">
        <v>563</v>
      </c>
      <c r="I2616" t="s">
        <v>17</v>
      </c>
    </row>
    <row r="2617" spans="1:9" x14ac:dyDescent="0.25">
      <c r="A2617">
        <v>1807</v>
      </c>
      <c r="B2617">
        <f>A2617+1</f>
        <v>1808</v>
      </c>
      <c r="C2617" t="s">
        <v>514</v>
      </c>
      <c r="D2617" t="s">
        <v>26</v>
      </c>
      <c r="E2617" s="208" t="s">
        <v>109</v>
      </c>
      <c r="F2617" t="s">
        <v>14</v>
      </c>
      <c r="G2617" s="18">
        <v>3066</v>
      </c>
      <c r="H2617" s="151" t="s">
        <v>563</v>
      </c>
      <c r="I2617" t="s">
        <v>17</v>
      </c>
    </row>
    <row r="2618" spans="1:9" x14ac:dyDescent="0.25">
      <c r="A2618">
        <v>1807</v>
      </c>
      <c r="B2618">
        <f>A2618+1</f>
        <v>1808</v>
      </c>
      <c r="C2618" t="s">
        <v>514</v>
      </c>
      <c r="D2618" t="s">
        <v>27</v>
      </c>
      <c r="E2618" s="208" t="s">
        <v>155</v>
      </c>
      <c r="F2618" t="s">
        <v>15</v>
      </c>
      <c r="G2618" s="18">
        <v>121444</v>
      </c>
      <c r="H2618" t="s">
        <v>561</v>
      </c>
      <c r="I2618" s="151" t="s">
        <v>562</v>
      </c>
    </row>
    <row r="2619" spans="1:9" x14ac:dyDescent="0.25">
      <c r="A2619">
        <v>1807</v>
      </c>
      <c r="B2619">
        <f>A2619+1</f>
        <v>1808</v>
      </c>
      <c r="C2619" t="s">
        <v>514</v>
      </c>
      <c r="D2619" t="s">
        <v>27</v>
      </c>
      <c r="E2619" s="208" t="s">
        <v>156</v>
      </c>
      <c r="F2619" t="s">
        <v>15</v>
      </c>
      <c r="G2619" s="18">
        <v>15836</v>
      </c>
      <c r="H2619" t="s">
        <v>561</v>
      </c>
      <c r="I2619" s="151" t="s">
        <v>562</v>
      </c>
    </row>
    <row r="2620" spans="1:9" x14ac:dyDescent="0.25">
      <c r="A2620">
        <v>1807</v>
      </c>
      <c r="B2620">
        <f>A2620+1</f>
        <v>1808</v>
      </c>
      <c r="C2620" t="s">
        <v>514</v>
      </c>
      <c r="D2620" t="s">
        <v>27</v>
      </c>
      <c r="E2620" s="208" t="s">
        <v>154</v>
      </c>
      <c r="F2620" t="s">
        <v>15</v>
      </c>
      <c r="G2620" s="18">
        <v>2625</v>
      </c>
      <c r="H2620" t="s">
        <v>561</v>
      </c>
      <c r="I2620" s="151" t="s">
        <v>562</v>
      </c>
    </row>
    <row r="2621" spans="1:9" x14ac:dyDescent="0.25">
      <c r="A2621">
        <v>1807</v>
      </c>
      <c r="B2621">
        <f>A2621+1</f>
        <v>1808</v>
      </c>
      <c r="C2621" t="s">
        <v>514</v>
      </c>
      <c r="D2621" t="s">
        <v>27</v>
      </c>
      <c r="E2621" s="208" t="s">
        <v>150</v>
      </c>
      <c r="F2621" t="s">
        <v>15</v>
      </c>
      <c r="G2621" s="18">
        <v>52409</v>
      </c>
      <c r="H2621" t="s">
        <v>561</v>
      </c>
      <c r="I2621" s="151" t="s">
        <v>562</v>
      </c>
    </row>
    <row r="2622" spans="1:9" x14ac:dyDescent="0.25">
      <c r="A2622">
        <v>1807</v>
      </c>
      <c r="B2622">
        <f>A2622+1</f>
        <v>1808</v>
      </c>
      <c r="C2622" t="s">
        <v>514</v>
      </c>
      <c r="D2622" t="s">
        <v>27</v>
      </c>
      <c r="E2622" s="208" t="s">
        <v>148</v>
      </c>
      <c r="F2622" t="s">
        <v>15</v>
      </c>
      <c r="G2622" s="18">
        <v>2196</v>
      </c>
      <c r="H2622" t="s">
        <v>561</v>
      </c>
      <c r="I2622" s="151" t="s">
        <v>562</v>
      </c>
    </row>
    <row r="2623" spans="1:9" x14ac:dyDescent="0.25">
      <c r="A2623">
        <v>1807</v>
      </c>
      <c r="B2623">
        <f>A2623+1</f>
        <v>1808</v>
      </c>
      <c r="C2623" t="s">
        <v>514</v>
      </c>
      <c r="D2623" t="s">
        <v>27</v>
      </c>
      <c r="E2623" s="208" t="s">
        <v>314</v>
      </c>
      <c r="F2623" t="s">
        <v>15</v>
      </c>
      <c r="G2623" s="18">
        <v>0</v>
      </c>
      <c r="H2623" t="s">
        <v>561</v>
      </c>
      <c r="I2623" s="151" t="s">
        <v>562</v>
      </c>
    </row>
    <row r="2624" spans="1:9" x14ac:dyDescent="0.25">
      <c r="A2624">
        <v>1807</v>
      </c>
      <c r="B2624">
        <f>A2624+1</f>
        <v>1808</v>
      </c>
      <c r="C2624" t="s">
        <v>514</v>
      </c>
      <c r="D2624" t="s">
        <v>27</v>
      </c>
      <c r="E2624" s="208" t="s">
        <v>149</v>
      </c>
      <c r="F2624" t="s">
        <v>15</v>
      </c>
      <c r="G2624" s="18">
        <v>0</v>
      </c>
      <c r="H2624" t="s">
        <v>561</v>
      </c>
      <c r="I2624" s="151" t="s">
        <v>562</v>
      </c>
    </row>
    <row r="2625" spans="1:9" x14ac:dyDescent="0.25">
      <c r="A2625">
        <v>1807</v>
      </c>
      <c r="B2625">
        <f>A2625+1</f>
        <v>1808</v>
      </c>
      <c r="C2625" t="s">
        <v>514</v>
      </c>
      <c r="D2625" t="s">
        <v>27</v>
      </c>
      <c r="E2625" s="208" t="s">
        <v>139</v>
      </c>
      <c r="F2625" t="s">
        <v>15</v>
      </c>
      <c r="G2625" s="18">
        <v>379</v>
      </c>
      <c r="H2625" t="s">
        <v>561</v>
      </c>
      <c r="I2625" s="151" t="s">
        <v>562</v>
      </c>
    </row>
    <row r="2626" spans="1:9" x14ac:dyDescent="0.25">
      <c r="A2626">
        <v>1807</v>
      </c>
      <c r="B2626">
        <f>A2626+1</f>
        <v>1808</v>
      </c>
      <c r="C2626" t="s">
        <v>514</v>
      </c>
      <c r="D2626" t="s">
        <v>27</v>
      </c>
      <c r="E2626" s="208" t="s">
        <v>130</v>
      </c>
      <c r="F2626" t="s">
        <v>15</v>
      </c>
      <c r="G2626" s="18">
        <v>1570</v>
      </c>
      <c r="H2626" t="s">
        <v>561</v>
      </c>
      <c r="I2626" s="151" t="s">
        <v>562</v>
      </c>
    </row>
    <row r="2627" spans="1:9" x14ac:dyDescent="0.25">
      <c r="A2627">
        <v>1807</v>
      </c>
      <c r="B2627">
        <f>A2627+1</f>
        <v>1808</v>
      </c>
      <c r="C2627" t="s">
        <v>514</v>
      </c>
      <c r="D2627" t="s">
        <v>27</v>
      </c>
      <c r="E2627" s="208" t="s">
        <v>132</v>
      </c>
      <c r="F2627" t="s">
        <v>15</v>
      </c>
      <c r="G2627" s="18">
        <v>436</v>
      </c>
      <c r="H2627" t="s">
        <v>561</v>
      </c>
      <c r="I2627" s="151" t="s">
        <v>562</v>
      </c>
    </row>
    <row r="2628" spans="1:9" x14ac:dyDescent="0.25">
      <c r="A2628">
        <v>1807</v>
      </c>
      <c r="B2628">
        <f>A2628+1</f>
        <v>1808</v>
      </c>
      <c r="C2628" t="s">
        <v>514</v>
      </c>
      <c r="D2628" t="s">
        <v>27</v>
      </c>
      <c r="E2628" s="208" t="s">
        <v>142</v>
      </c>
      <c r="F2628" t="s">
        <v>15</v>
      </c>
      <c r="G2628" s="18">
        <v>6529</v>
      </c>
      <c r="H2628" t="s">
        <v>561</v>
      </c>
      <c r="I2628" s="151" t="s">
        <v>562</v>
      </c>
    </row>
    <row r="2629" spans="1:9" x14ac:dyDescent="0.25">
      <c r="A2629">
        <v>1807</v>
      </c>
      <c r="B2629">
        <f>A2629+1</f>
        <v>1808</v>
      </c>
      <c r="C2629" t="s">
        <v>514</v>
      </c>
      <c r="D2629" t="s">
        <v>27</v>
      </c>
      <c r="E2629" s="208" t="s">
        <v>144</v>
      </c>
      <c r="F2629" t="s">
        <v>15</v>
      </c>
      <c r="G2629" s="18">
        <v>225</v>
      </c>
      <c r="H2629" t="s">
        <v>561</v>
      </c>
      <c r="I2629" s="151" t="s">
        <v>562</v>
      </c>
    </row>
    <row r="2630" spans="1:9" x14ac:dyDescent="0.25">
      <c r="A2630">
        <v>1807</v>
      </c>
      <c r="B2630">
        <f>A2630+1</f>
        <v>1808</v>
      </c>
      <c r="C2630" t="s">
        <v>514</v>
      </c>
      <c r="D2630" t="s">
        <v>27</v>
      </c>
      <c r="E2630" s="208" t="s">
        <v>124</v>
      </c>
      <c r="F2630" t="s">
        <v>15</v>
      </c>
      <c r="G2630" s="18">
        <v>29528273</v>
      </c>
      <c r="H2630" t="s">
        <v>561</v>
      </c>
      <c r="I2630" s="151" t="s">
        <v>562</v>
      </c>
    </row>
    <row r="2631" spans="1:9" x14ac:dyDescent="0.25">
      <c r="A2631">
        <v>1807</v>
      </c>
      <c r="B2631">
        <f>A2631+1</f>
        <v>1808</v>
      </c>
      <c r="C2631" t="s">
        <v>514</v>
      </c>
      <c r="D2631" t="s">
        <v>26</v>
      </c>
      <c r="E2631" s="208" t="s">
        <v>62</v>
      </c>
      <c r="F2631" t="s">
        <v>15</v>
      </c>
      <c r="G2631" s="18">
        <v>7025</v>
      </c>
      <c r="H2631" s="151" t="s">
        <v>563</v>
      </c>
      <c r="I2631" t="s">
        <v>561</v>
      </c>
    </row>
    <row r="2632" spans="1:9" x14ac:dyDescent="0.25">
      <c r="A2632">
        <v>1807</v>
      </c>
      <c r="B2632">
        <f>A2632+1</f>
        <v>1808</v>
      </c>
      <c r="C2632" t="s">
        <v>514</v>
      </c>
      <c r="D2632" t="s">
        <v>26</v>
      </c>
      <c r="E2632" s="208" t="s">
        <v>58</v>
      </c>
      <c r="F2632" t="s">
        <v>15</v>
      </c>
      <c r="G2632" s="18">
        <v>21</v>
      </c>
      <c r="H2632" s="151" t="s">
        <v>563</v>
      </c>
      <c r="I2632" t="s">
        <v>561</v>
      </c>
    </row>
    <row r="2633" spans="1:9" x14ac:dyDescent="0.25">
      <c r="A2633">
        <v>1807</v>
      </c>
      <c r="B2633">
        <f>A2633+1</f>
        <v>1808</v>
      </c>
      <c r="C2633" t="s">
        <v>514</v>
      </c>
      <c r="D2633" t="s">
        <v>26</v>
      </c>
      <c r="E2633" s="208" t="s">
        <v>57</v>
      </c>
      <c r="F2633" t="s">
        <v>15</v>
      </c>
      <c r="G2633" s="18">
        <v>42818</v>
      </c>
      <c r="H2633" s="151" t="s">
        <v>563</v>
      </c>
      <c r="I2633" t="s">
        <v>561</v>
      </c>
    </row>
    <row r="2634" spans="1:9" x14ac:dyDescent="0.25">
      <c r="A2634">
        <v>1807</v>
      </c>
      <c r="B2634">
        <f>A2634+1</f>
        <v>1808</v>
      </c>
      <c r="C2634" t="s">
        <v>514</v>
      </c>
      <c r="D2634" t="s">
        <v>26</v>
      </c>
      <c r="E2634" s="208" t="s">
        <v>35</v>
      </c>
      <c r="F2634" t="s">
        <v>15</v>
      </c>
      <c r="G2634" s="18">
        <v>2835</v>
      </c>
      <c r="H2634" s="151" t="s">
        <v>563</v>
      </c>
      <c r="I2634" t="s">
        <v>561</v>
      </c>
    </row>
    <row r="2635" spans="1:9" x14ac:dyDescent="0.25">
      <c r="A2635">
        <v>1807</v>
      </c>
      <c r="B2635">
        <f>A2635+1</f>
        <v>1808</v>
      </c>
      <c r="C2635" t="s">
        <v>514</v>
      </c>
      <c r="D2635" t="s">
        <v>26</v>
      </c>
      <c r="E2635" s="208" t="s">
        <v>36</v>
      </c>
      <c r="F2635" t="s">
        <v>15</v>
      </c>
      <c r="G2635" s="18">
        <v>3655</v>
      </c>
      <c r="H2635" s="151" t="s">
        <v>563</v>
      </c>
      <c r="I2635" t="s">
        <v>561</v>
      </c>
    </row>
    <row r="2636" spans="1:9" x14ac:dyDescent="0.25">
      <c r="A2636">
        <v>1807</v>
      </c>
      <c r="B2636">
        <f>A2636+1</f>
        <v>1808</v>
      </c>
      <c r="C2636" t="s">
        <v>514</v>
      </c>
      <c r="D2636" t="s">
        <v>26</v>
      </c>
      <c r="E2636" s="208" t="s">
        <v>39</v>
      </c>
      <c r="F2636" t="s">
        <v>15</v>
      </c>
      <c r="G2636" s="18">
        <v>2579</v>
      </c>
      <c r="H2636" s="151" t="s">
        <v>563</v>
      </c>
      <c r="I2636" t="s">
        <v>561</v>
      </c>
    </row>
    <row r="2637" spans="1:9" x14ac:dyDescent="0.25">
      <c r="A2637">
        <v>1807</v>
      </c>
      <c r="B2637">
        <f>A2637+1</f>
        <v>1808</v>
      </c>
      <c r="C2637" t="s">
        <v>514</v>
      </c>
      <c r="D2637" t="s">
        <v>26</v>
      </c>
      <c r="E2637" s="208" t="s">
        <v>94</v>
      </c>
      <c r="F2637" t="s">
        <v>15</v>
      </c>
      <c r="G2637" s="18">
        <v>47</v>
      </c>
      <c r="H2637" s="151" t="s">
        <v>563</v>
      </c>
      <c r="I2637" t="s">
        <v>561</v>
      </c>
    </row>
    <row r="2638" spans="1:9" x14ac:dyDescent="0.25">
      <c r="A2638">
        <v>1807</v>
      </c>
      <c r="B2638">
        <f>A2638+1</f>
        <v>1808</v>
      </c>
      <c r="C2638" t="s">
        <v>514</v>
      </c>
      <c r="D2638" t="s">
        <v>26</v>
      </c>
      <c r="E2638" s="208" t="s">
        <v>99</v>
      </c>
      <c r="F2638" t="s">
        <v>15</v>
      </c>
      <c r="G2638" s="18">
        <v>1759</v>
      </c>
      <c r="H2638" s="151" t="s">
        <v>563</v>
      </c>
      <c r="I2638" t="s">
        <v>561</v>
      </c>
    </row>
    <row r="2639" spans="1:9" x14ac:dyDescent="0.25">
      <c r="A2639">
        <v>1807</v>
      </c>
      <c r="B2639">
        <f>A2639+1</f>
        <v>1808</v>
      </c>
      <c r="C2639" t="s">
        <v>514</v>
      </c>
      <c r="D2639" t="s">
        <v>26</v>
      </c>
      <c r="E2639" s="208" t="s">
        <v>28</v>
      </c>
      <c r="F2639" t="s">
        <v>15</v>
      </c>
      <c r="G2639" s="18">
        <v>582</v>
      </c>
      <c r="H2639" s="151" t="s">
        <v>563</v>
      </c>
      <c r="I2639" t="s">
        <v>561</v>
      </c>
    </row>
    <row r="2640" spans="1:9" x14ac:dyDescent="0.25">
      <c r="A2640">
        <v>1807</v>
      </c>
      <c r="B2640">
        <f>A2640+1</f>
        <v>1808</v>
      </c>
      <c r="C2640" t="s">
        <v>514</v>
      </c>
      <c r="D2640" t="s">
        <v>26</v>
      </c>
      <c r="E2640" s="208" t="s">
        <v>89</v>
      </c>
      <c r="F2640" t="s">
        <v>15</v>
      </c>
      <c r="G2640" s="18">
        <v>329</v>
      </c>
      <c r="H2640" s="151" t="s">
        <v>563</v>
      </c>
      <c r="I2640" t="s">
        <v>561</v>
      </c>
    </row>
    <row r="2641" spans="1:9" x14ac:dyDescent="0.25">
      <c r="A2641">
        <v>1807</v>
      </c>
      <c r="B2641">
        <f>A2641+1</f>
        <v>1808</v>
      </c>
      <c r="C2641" t="s">
        <v>514</v>
      </c>
      <c r="D2641" t="s">
        <v>26</v>
      </c>
      <c r="E2641" s="208" t="s">
        <v>45</v>
      </c>
      <c r="F2641" t="s">
        <v>15</v>
      </c>
      <c r="G2641" s="18">
        <v>552</v>
      </c>
      <c r="H2641" s="151" t="s">
        <v>563</v>
      </c>
      <c r="I2641" t="s">
        <v>561</v>
      </c>
    </row>
    <row r="2642" spans="1:9" x14ac:dyDescent="0.25">
      <c r="A2642">
        <v>1807</v>
      </c>
      <c r="B2642">
        <f>A2642+1</f>
        <v>1808</v>
      </c>
      <c r="C2642" t="s">
        <v>514</v>
      </c>
      <c r="D2642" t="s">
        <v>26</v>
      </c>
      <c r="E2642" s="208" t="s">
        <v>53</v>
      </c>
      <c r="F2642" t="s">
        <v>15</v>
      </c>
      <c r="G2642" s="18">
        <v>2375</v>
      </c>
      <c r="H2642" s="151" t="s">
        <v>563</v>
      </c>
      <c r="I2642" t="s">
        <v>561</v>
      </c>
    </row>
    <row r="2643" spans="1:9" x14ac:dyDescent="0.25">
      <c r="A2643">
        <v>1807</v>
      </c>
      <c r="B2643">
        <f>A2643+1</f>
        <v>1808</v>
      </c>
      <c r="C2643" t="s">
        <v>514</v>
      </c>
      <c r="D2643" t="s">
        <v>26</v>
      </c>
      <c r="E2643" s="208" t="s">
        <v>351</v>
      </c>
      <c r="F2643" t="s">
        <v>15</v>
      </c>
      <c r="G2643" s="18">
        <v>29</v>
      </c>
      <c r="H2643" s="151" t="s">
        <v>563</v>
      </c>
      <c r="I2643" t="s">
        <v>561</v>
      </c>
    </row>
    <row r="2644" spans="1:9" x14ac:dyDescent="0.25">
      <c r="A2644">
        <v>1807</v>
      </c>
      <c r="B2644">
        <f>A2644+1</f>
        <v>1808</v>
      </c>
      <c r="C2644" t="s">
        <v>514</v>
      </c>
      <c r="D2644" t="s">
        <v>26</v>
      </c>
      <c r="E2644" s="208" t="s">
        <v>352</v>
      </c>
      <c r="F2644" t="s">
        <v>15</v>
      </c>
      <c r="G2644" s="18">
        <v>44244</v>
      </c>
      <c r="H2644" s="151" t="s">
        <v>563</v>
      </c>
      <c r="I2644" t="s">
        <v>561</v>
      </c>
    </row>
    <row r="2645" spans="1:9" x14ac:dyDescent="0.25">
      <c r="A2645">
        <v>1807</v>
      </c>
      <c r="B2645">
        <f>A2645+1</f>
        <v>1808</v>
      </c>
      <c r="C2645" t="s">
        <v>514</v>
      </c>
      <c r="D2645" t="s">
        <v>26</v>
      </c>
      <c r="E2645" s="208" t="s">
        <v>75</v>
      </c>
      <c r="F2645" t="s">
        <v>15</v>
      </c>
      <c r="G2645" s="18">
        <v>4515967</v>
      </c>
      <c r="H2645" s="151" t="s">
        <v>563</v>
      </c>
      <c r="I2645" t="s">
        <v>561</v>
      </c>
    </row>
    <row r="2646" spans="1:9" x14ac:dyDescent="0.25">
      <c r="A2646">
        <v>1807</v>
      </c>
      <c r="B2646">
        <f>A2646+1</f>
        <v>1808</v>
      </c>
      <c r="C2646" t="s">
        <v>514</v>
      </c>
      <c r="D2646" t="s">
        <v>26</v>
      </c>
      <c r="E2646" s="208" t="s">
        <v>107</v>
      </c>
      <c r="F2646" t="s">
        <v>15</v>
      </c>
      <c r="G2646" s="18">
        <v>3332926</v>
      </c>
      <c r="H2646" s="151" t="s">
        <v>563</v>
      </c>
      <c r="I2646" t="s">
        <v>561</v>
      </c>
    </row>
    <row r="2647" spans="1:9" x14ac:dyDescent="0.25">
      <c r="A2647">
        <v>1807</v>
      </c>
      <c r="B2647">
        <f>A2647+1</f>
        <v>1808</v>
      </c>
      <c r="C2647" t="s">
        <v>514</v>
      </c>
      <c r="D2647" t="s">
        <v>26</v>
      </c>
      <c r="E2647" s="208" t="s">
        <v>101</v>
      </c>
      <c r="F2647" t="s">
        <v>15</v>
      </c>
      <c r="G2647" s="18">
        <v>4272020</v>
      </c>
      <c r="H2647" s="151" t="s">
        <v>563</v>
      </c>
      <c r="I2647" t="s">
        <v>561</v>
      </c>
    </row>
    <row r="2648" spans="1:9" x14ac:dyDescent="0.25">
      <c r="A2648">
        <v>1807</v>
      </c>
      <c r="B2648">
        <f>A2648+1</f>
        <v>1808</v>
      </c>
      <c r="C2648" t="s">
        <v>514</v>
      </c>
      <c r="D2648" t="s">
        <v>26</v>
      </c>
      <c r="E2648" s="208" t="s">
        <v>65</v>
      </c>
      <c r="F2648" t="s">
        <v>15</v>
      </c>
      <c r="G2648" s="18">
        <v>27117</v>
      </c>
      <c r="H2648" s="151" t="s">
        <v>563</v>
      </c>
      <c r="I2648" t="s">
        <v>561</v>
      </c>
    </row>
    <row r="2649" spans="1:9" x14ac:dyDescent="0.25">
      <c r="A2649">
        <v>1807</v>
      </c>
      <c r="B2649">
        <f>A2649+1</f>
        <v>1808</v>
      </c>
      <c r="C2649" t="s">
        <v>514</v>
      </c>
      <c r="D2649" t="s">
        <v>26</v>
      </c>
      <c r="E2649" s="208" t="s">
        <v>330</v>
      </c>
      <c r="F2649" t="s">
        <v>15</v>
      </c>
      <c r="G2649" s="18">
        <v>1421</v>
      </c>
      <c r="H2649" s="151" t="s">
        <v>563</v>
      </c>
      <c r="I2649" t="s">
        <v>561</v>
      </c>
    </row>
    <row r="2650" spans="1:9" x14ac:dyDescent="0.25">
      <c r="A2650">
        <v>1807</v>
      </c>
      <c r="B2650">
        <f>A2650+1</f>
        <v>1808</v>
      </c>
      <c r="C2650" t="s">
        <v>514</v>
      </c>
      <c r="D2650" t="s">
        <v>26</v>
      </c>
      <c r="E2650" s="208" t="s">
        <v>331</v>
      </c>
      <c r="F2650" t="s">
        <v>15</v>
      </c>
      <c r="G2650" s="18">
        <v>1774</v>
      </c>
      <c r="H2650" s="151" t="s">
        <v>563</v>
      </c>
      <c r="I2650" t="s">
        <v>561</v>
      </c>
    </row>
    <row r="2651" spans="1:9" x14ac:dyDescent="0.25">
      <c r="A2651">
        <v>1807</v>
      </c>
      <c r="B2651">
        <f>A2651+1</f>
        <v>1808</v>
      </c>
      <c r="C2651" t="s">
        <v>514</v>
      </c>
      <c r="D2651" t="s">
        <v>26</v>
      </c>
      <c r="E2651" s="208" t="s">
        <v>332</v>
      </c>
      <c r="F2651" t="s">
        <v>15</v>
      </c>
      <c r="G2651" s="18">
        <v>559</v>
      </c>
      <c r="H2651" s="151" t="s">
        <v>563</v>
      </c>
      <c r="I2651" t="s">
        <v>561</v>
      </c>
    </row>
    <row r="2652" spans="1:9" x14ac:dyDescent="0.25">
      <c r="A2652">
        <v>1807</v>
      </c>
      <c r="B2652">
        <f>A2652+1</f>
        <v>1808</v>
      </c>
      <c r="C2652" t="s">
        <v>514</v>
      </c>
      <c r="D2652" t="s">
        <v>26</v>
      </c>
      <c r="E2652" s="208" t="s">
        <v>333</v>
      </c>
      <c r="F2652" t="s">
        <v>15</v>
      </c>
      <c r="G2652" s="18">
        <v>1631</v>
      </c>
      <c r="H2652" s="151" t="s">
        <v>563</v>
      </c>
      <c r="I2652" t="s">
        <v>561</v>
      </c>
    </row>
    <row r="2653" spans="1:9" x14ac:dyDescent="0.25">
      <c r="A2653">
        <v>1807</v>
      </c>
      <c r="B2653">
        <f>A2653+1</f>
        <v>1808</v>
      </c>
      <c r="C2653" t="s">
        <v>514</v>
      </c>
      <c r="D2653" t="s">
        <v>26</v>
      </c>
      <c r="E2653" s="208" t="s">
        <v>109</v>
      </c>
      <c r="F2653" t="s">
        <v>15</v>
      </c>
      <c r="G2653" s="18">
        <v>22204</v>
      </c>
      <c r="H2653" s="151" t="s">
        <v>563</v>
      </c>
      <c r="I2653" t="s">
        <v>561</v>
      </c>
    </row>
    <row r="2654" spans="1:9" x14ac:dyDescent="0.25">
      <c r="A2654">
        <v>1807</v>
      </c>
      <c r="B2654">
        <f>A2654+1</f>
        <v>1808</v>
      </c>
      <c r="C2654" t="s">
        <v>514</v>
      </c>
      <c r="D2654" t="s">
        <v>26</v>
      </c>
      <c r="E2654" s="208" t="s">
        <v>567</v>
      </c>
      <c r="F2654" t="s">
        <v>3</v>
      </c>
      <c r="G2654" s="18">
        <v>13707</v>
      </c>
      <c r="H2654" t="s">
        <v>24</v>
      </c>
      <c r="I2654" t="s">
        <v>16</v>
      </c>
    </row>
    <row r="2655" spans="1:9" x14ac:dyDescent="0.25">
      <c r="A2655">
        <v>1807</v>
      </c>
      <c r="B2655">
        <f>A2655+1</f>
        <v>1808</v>
      </c>
      <c r="C2655" t="s">
        <v>514</v>
      </c>
      <c r="D2655" t="s">
        <v>26</v>
      </c>
      <c r="E2655" s="208" t="s">
        <v>567</v>
      </c>
      <c r="F2655" t="s">
        <v>4</v>
      </c>
      <c r="G2655" s="18">
        <v>1969</v>
      </c>
      <c r="H2655" t="s">
        <v>23</v>
      </c>
      <c r="I2655" t="s">
        <v>16</v>
      </c>
    </row>
    <row r="2656" spans="1:9" x14ac:dyDescent="0.25">
      <c r="A2656">
        <v>1807</v>
      </c>
      <c r="B2656">
        <f>A2656+1</f>
        <v>1808</v>
      </c>
      <c r="C2656" t="s">
        <v>514</v>
      </c>
      <c r="D2656" t="s">
        <v>26</v>
      </c>
      <c r="E2656" s="208" t="s">
        <v>567</v>
      </c>
      <c r="F2656" t="s">
        <v>7</v>
      </c>
      <c r="G2656" s="18">
        <v>15676</v>
      </c>
      <c r="H2656" s="151" t="s">
        <v>563</v>
      </c>
      <c r="I2656" t="s">
        <v>16</v>
      </c>
    </row>
    <row r="2657" spans="1:9" x14ac:dyDescent="0.25">
      <c r="A2657">
        <v>1807</v>
      </c>
      <c r="B2657">
        <f>A2657+1</f>
        <v>1808</v>
      </c>
      <c r="C2657" t="s">
        <v>514</v>
      </c>
      <c r="D2657" t="s">
        <v>26</v>
      </c>
      <c r="E2657" s="208" t="s">
        <v>567</v>
      </c>
      <c r="F2657" t="s">
        <v>10</v>
      </c>
      <c r="G2657" s="18">
        <v>9108</v>
      </c>
      <c r="H2657" t="s">
        <v>24</v>
      </c>
      <c r="I2657" t="s">
        <v>17</v>
      </c>
    </row>
    <row r="2658" spans="1:9" x14ac:dyDescent="0.25">
      <c r="A2658">
        <v>1807</v>
      </c>
      <c r="B2658">
        <f>A2658+1</f>
        <v>1808</v>
      </c>
      <c r="C2658" t="s">
        <v>514</v>
      </c>
      <c r="D2658" t="s">
        <v>26</v>
      </c>
      <c r="E2658" s="208" t="s">
        <v>567</v>
      </c>
      <c r="F2658" t="s">
        <v>11</v>
      </c>
      <c r="G2658" s="18">
        <v>3403</v>
      </c>
      <c r="H2658" t="s">
        <v>23</v>
      </c>
      <c r="I2658" t="s">
        <v>17</v>
      </c>
    </row>
    <row r="2659" spans="1:9" x14ac:dyDescent="0.25">
      <c r="A2659">
        <v>1807</v>
      </c>
      <c r="B2659">
        <f>A2659+1</f>
        <v>1808</v>
      </c>
      <c r="C2659" t="s">
        <v>514</v>
      </c>
      <c r="D2659" t="s">
        <v>26</v>
      </c>
      <c r="E2659" s="208" t="s">
        <v>567</v>
      </c>
      <c r="F2659" t="s">
        <v>14</v>
      </c>
      <c r="G2659" s="18">
        <v>12511</v>
      </c>
      <c r="H2659" s="151" t="s">
        <v>563</v>
      </c>
      <c r="I2659" t="s">
        <v>17</v>
      </c>
    </row>
    <row r="2660" spans="1:9" x14ac:dyDescent="0.25">
      <c r="A2660">
        <v>1807</v>
      </c>
      <c r="B2660">
        <f>A2660+1</f>
        <v>1808</v>
      </c>
      <c r="C2660" t="s">
        <v>514</v>
      </c>
      <c r="D2660" t="s">
        <v>26</v>
      </c>
      <c r="E2660" s="208" t="s">
        <v>567</v>
      </c>
      <c r="F2660" t="s">
        <v>15</v>
      </c>
      <c r="G2660" s="18">
        <v>28187</v>
      </c>
      <c r="H2660" s="151" t="s">
        <v>563</v>
      </c>
      <c r="I2660" t="s">
        <v>561</v>
      </c>
    </row>
    <row r="2661" spans="1:9" x14ac:dyDescent="0.25">
      <c r="A2661">
        <v>1807</v>
      </c>
      <c r="B2661">
        <f>A2661+1</f>
        <v>1808</v>
      </c>
      <c r="C2661" t="s">
        <v>514</v>
      </c>
      <c r="D2661" t="s">
        <v>26</v>
      </c>
      <c r="E2661" s="208" t="s">
        <v>572</v>
      </c>
      <c r="F2661" t="s">
        <v>3</v>
      </c>
      <c r="G2661" s="18">
        <v>3528</v>
      </c>
      <c r="H2661" t="s">
        <v>24</v>
      </c>
      <c r="I2661" t="s">
        <v>16</v>
      </c>
    </row>
    <row r="2662" spans="1:9" x14ac:dyDescent="0.25">
      <c r="A2662">
        <v>1807</v>
      </c>
      <c r="B2662">
        <f>A2662+1</f>
        <v>1808</v>
      </c>
      <c r="C2662" t="s">
        <v>514</v>
      </c>
      <c r="D2662" t="s">
        <v>26</v>
      </c>
      <c r="E2662" s="208" t="s">
        <v>572</v>
      </c>
      <c r="F2662" t="s">
        <v>4</v>
      </c>
      <c r="G2662" s="18">
        <v>934</v>
      </c>
      <c r="H2662" t="s">
        <v>23</v>
      </c>
      <c r="I2662" t="s">
        <v>16</v>
      </c>
    </row>
    <row r="2663" spans="1:9" x14ac:dyDescent="0.25">
      <c r="A2663">
        <v>1807</v>
      </c>
      <c r="B2663">
        <f>A2663+1</f>
        <v>1808</v>
      </c>
      <c r="C2663" t="s">
        <v>514</v>
      </c>
      <c r="D2663" t="s">
        <v>26</v>
      </c>
      <c r="E2663" s="208" t="s">
        <v>572</v>
      </c>
      <c r="F2663" t="s">
        <v>7</v>
      </c>
      <c r="G2663" s="18">
        <v>4462</v>
      </c>
      <c r="H2663" s="151" t="s">
        <v>563</v>
      </c>
      <c r="I2663" t="s">
        <v>16</v>
      </c>
    </row>
    <row r="2664" spans="1:9" x14ac:dyDescent="0.25">
      <c r="A2664">
        <v>1807</v>
      </c>
      <c r="B2664">
        <f>A2664+1</f>
        <v>1808</v>
      </c>
      <c r="C2664" t="s">
        <v>514</v>
      </c>
      <c r="D2664" t="s">
        <v>26</v>
      </c>
      <c r="E2664" s="208" t="s">
        <v>572</v>
      </c>
      <c r="F2664" t="s">
        <v>10</v>
      </c>
      <c r="G2664" s="18">
        <v>918</v>
      </c>
      <c r="H2664" t="s">
        <v>24</v>
      </c>
      <c r="I2664" t="s">
        <v>17</v>
      </c>
    </row>
    <row r="2665" spans="1:9" x14ac:dyDescent="0.25">
      <c r="A2665">
        <v>1807</v>
      </c>
      <c r="B2665">
        <f>A2665+1</f>
        <v>1808</v>
      </c>
      <c r="C2665" t="s">
        <v>514</v>
      </c>
      <c r="D2665" t="s">
        <v>26</v>
      </c>
      <c r="E2665" s="208" t="s">
        <v>572</v>
      </c>
      <c r="F2665" t="s">
        <v>11</v>
      </c>
      <c r="G2665" s="18">
        <v>2028</v>
      </c>
      <c r="H2665" t="s">
        <v>23</v>
      </c>
      <c r="I2665" t="s">
        <v>17</v>
      </c>
    </row>
    <row r="2666" spans="1:9" x14ac:dyDescent="0.25">
      <c r="A2666">
        <v>1807</v>
      </c>
      <c r="B2666">
        <f>A2666+1</f>
        <v>1808</v>
      </c>
      <c r="C2666" t="s">
        <v>514</v>
      </c>
      <c r="D2666" t="s">
        <v>26</v>
      </c>
      <c r="E2666" s="208" t="s">
        <v>572</v>
      </c>
      <c r="F2666" t="s">
        <v>14</v>
      </c>
      <c r="G2666" s="18">
        <v>2946</v>
      </c>
      <c r="H2666" s="151" t="s">
        <v>563</v>
      </c>
      <c r="I2666" t="s">
        <v>17</v>
      </c>
    </row>
    <row r="2667" spans="1:9" x14ac:dyDescent="0.25">
      <c r="A2667">
        <v>1807</v>
      </c>
      <c r="B2667">
        <f>A2667+1</f>
        <v>1808</v>
      </c>
      <c r="C2667" t="s">
        <v>514</v>
      </c>
      <c r="D2667" t="s">
        <v>26</v>
      </c>
      <c r="E2667" s="208" t="s">
        <v>572</v>
      </c>
      <c r="F2667" t="s">
        <v>15</v>
      </c>
      <c r="G2667" s="18">
        <v>7408</v>
      </c>
      <c r="H2667" s="151" t="s">
        <v>563</v>
      </c>
      <c r="I2667" t="s">
        <v>561</v>
      </c>
    </row>
    <row r="2668" spans="1:9" x14ac:dyDescent="0.25">
      <c r="A2668">
        <v>1807</v>
      </c>
      <c r="B2668">
        <f>A2668+1</f>
        <v>1808</v>
      </c>
      <c r="C2668" t="s">
        <v>514</v>
      </c>
      <c r="D2668" t="s">
        <v>26</v>
      </c>
      <c r="E2668" s="208" t="s">
        <v>570</v>
      </c>
      <c r="F2668" t="s">
        <v>3</v>
      </c>
      <c r="G2668" s="18">
        <v>3443</v>
      </c>
      <c r="H2668" t="s">
        <v>24</v>
      </c>
      <c r="I2668" t="s">
        <v>16</v>
      </c>
    </row>
    <row r="2669" spans="1:9" x14ac:dyDescent="0.25">
      <c r="A2669">
        <v>1807</v>
      </c>
      <c r="B2669">
        <f>A2669+1</f>
        <v>1808</v>
      </c>
      <c r="C2669" t="s">
        <v>514</v>
      </c>
      <c r="D2669" t="s">
        <v>26</v>
      </c>
      <c r="E2669" s="208" t="s">
        <v>570</v>
      </c>
      <c r="F2669" t="s">
        <v>4</v>
      </c>
      <c r="G2669" s="18">
        <v>874</v>
      </c>
      <c r="H2669" t="s">
        <v>23</v>
      </c>
      <c r="I2669" t="s">
        <v>16</v>
      </c>
    </row>
    <row r="2670" spans="1:9" x14ac:dyDescent="0.25">
      <c r="A2670">
        <v>1807</v>
      </c>
      <c r="B2670">
        <f>A2670+1</f>
        <v>1808</v>
      </c>
      <c r="C2670" t="s">
        <v>514</v>
      </c>
      <c r="D2670" t="s">
        <v>26</v>
      </c>
      <c r="E2670" s="208" t="s">
        <v>570</v>
      </c>
      <c r="F2670" t="s">
        <v>7</v>
      </c>
      <c r="G2670" s="18">
        <v>4317</v>
      </c>
      <c r="H2670" s="151" t="s">
        <v>563</v>
      </c>
      <c r="I2670" t="s">
        <v>16</v>
      </c>
    </row>
    <row r="2671" spans="1:9" x14ac:dyDescent="0.25">
      <c r="A2671">
        <v>1807</v>
      </c>
      <c r="B2671">
        <f>A2671+1</f>
        <v>1808</v>
      </c>
      <c r="C2671" t="s">
        <v>514</v>
      </c>
      <c r="D2671" t="s">
        <v>26</v>
      </c>
      <c r="E2671" s="208" t="s">
        <v>570</v>
      </c>
      <c r="F2671" t="s">
        <v>10</v>
      </c>
      <c r="G2671" s="18">
        <v>963</v>
      </c>
      <c r="H2671" t="s">
        <v>24</v>
      </c>
      <c r="I2671" t="s">
        <v>17</v>
      </c>
    </row>
    <row r="2672" spans="1:9" x14ac:dyDescent="0.25">
      <c r="A2672">
        <v>1807</v>
      </c>
      <c r="B2672">
        <f>A2672+1</f>
        <v>1808</v>
      </c>
      <c r="C2672" t="s">
        <v>514</v>
      </c>
      <c r="D2672" t="s">
        <v>26</v>
      </c>
      <c r="E2672" s="208" t="s">
        <v>570</v>
      </c>
      <c r="F2672" t="s">
        <v>11</v>
      </c>
      <c r="G2672" s="18">
        <v>747</v>
      </c>
      <c r="H2672" t="s">
        <v>23</v>
      </c>
      <c r="I2672" t="s">
        <v>17</v>
      </c>
    </row>
    <row r="2673" spans="1:9" x14ac:dyDescent="0.25">
      <c r="A2673">
        <v>1807</v>
      </c>
      <c r="B2673">
        <f>A2673+1</f>
        <v>1808</v>
      </c>
      <c r="C2673" t="s">
        <v>514</v>
      </c>
      <c r="D2673" t="s">
        <v>26</v>
      </c>
      <c r="E2673" s="208" t="s">
        <v>570</v>
      </c>
      <c r="F2673" t="s">
        <v>14</v>
      </c>
      <c r="G2673" s="18">
        <v>1710</v>
      </c>
      <c r="H2673" s="151" t="s">
        <v>563</v>
      </c>
      <c r="I2673" t="s">
        <v>17</v>
      </c>
    </row>
    <row r="2674" spans="1:9" x14ac:dyDescent="0.25">
      <c r="A2674">
        <v>1807</v>
      </c>
      <c r="B2674">
        <f>A2674+1</f>
        <v>1808</v>
      </c>
      <c r="C2674" t="s">
        <v>514</v>
      </c>
      <c r="D2674" t="s">
        <v>26</v>
      </c>
      <c r="E2674" s="208" t="s">
        <v>570</v>
      </c>
      <c r="F2674" t="s">
        <v>15</v>
      </c>
      <c r="G2674" s="18">
        <v>6027</v>
      </c>
      <c r="H2674" s="151" t="s">
        <v>563</v>
      </c>
      <c r="I2674" t="s">
        <v>561</v>
      </c>
    </row>
    <row r="2675" spans="1:9" x14ac:dyDescent="0.25">
      <c r="A2675">
        <v>1807</v>
      </c>
      <c r="B2675">
        <f>A2675+1</f>
        <v>1808</v>
      </c>
      <c r="C2675" t="s">
        <v>514</v>
      </c>
      <c r="D2675" t="s">
        <v>26</v>
      </c>
      <c r="E2675" s="208" t="s">
        <v>569</v>
      </c>
      <c r="F2675" t="s">
        <v>3</v>
      </c>
      <c r="G2675" s="18">
        <v>1046</v>
      </c>
      <c r="H2675" t="s">
        <v>24</v>
      </c>
      <c r="I2675" t="s">
        <v>16</v>
      </c>
    </row>
    <row r="2676" spans="1:9" x14ac:dyDescent="0.25">
      <c r="A2676">
        <v>1807</v>
      </c>
      <c r="B2676">
        <f>A2676+1</f>
        <v>1808</v>
      </c>
      <c r="C2676" t="s">
        <v>514</v>
      </c>
      <c r="D2676" t="s">
        <v>26</v>
      </c>
      <c r="E2676" s="208" t="s">
        <v>569</v>
      </c>
      <c r="F2676" t="s">
        <v>4</v>
      </c>
      <c r="G2676" s="18">
        <v>365</v>
      </c>
      <c r="H2676" t="s">
        <v>23</v>
      </c>
      <c r="I2676" t="s">
        <v>16</v>
      </c>
    </row>
    <row r="2677" spans="1:9" x14ac:dyDescent="0.25">
      <c r="A2677">
        <v>1807</v>
      </c>
      <c r="B2677">
        <f>A2677+1</f>
        <v>1808</v>
      </c>
      <c r="C2677" t="s">
        <v>514</v>
      </c>
      <c r="D2677" t="s">
        <v>26</v>
      </c>
      <c r="E2677" s="208" t="s">
        <v>569</v>
      </c>
      <c r="F2677" t="s">
        <v>7</v>
      </c>
      <c r="G2677" s="18">
        <v>1411</v>
      </c>
      <c r="H2677" s="151" t="s">
        <v>563</v>
      </c>
      <c r="I2677" t="s">
        <v>16</v>
      </c>
    </row>
    <row r="2678" spans="1:9" x14ac:dyDescent="0.25">
      <c r="A2678">
        <v>1807</v>
      </c>
      <c r="B2678">
        <f>A2678+1</f>
        <v>1808</v>
      </c>
      <c r="C2678" t="s">
        <v>514</v>
      </c>
      <c r="D2678" t="s">
        <v>26</v>
      </c>
      <c r="E2678" s="208" t="s">
        <v>569</v>
      </c>
      <c r="F2678" t="s">
        <v>10</v>
      </c>
      <c r="G2678" s="18">
        <v>269</v>
      </c>
      <c r="H2678" t="s">
        <v>24</v>
      </c>
      <c r="I2678" t="s">
        <v>17</v>
      </c>
    </row>
    <row r="2679" spans="1:9" x14ac:dyDescent="0.25">
      <c r="A2679">
        <v>1807</v>
      </c>
      <c r="B2679">
        <f>A2679+1</f>
        <v>1808</v>
      </c>
      <c r="C2679" t="s">
        <v>514</v>
      </c>
      <c r="D2679" t="s">
        <v>26</v>
      </c>
      <c r="E2679" s="208" t="s">
        <v>569</v>
      </c>
      <c r="F2679" t="s">
        <v>11</v>
      </c>
      <c r="G2679" s="18">
        <v>94</v>
      </c>
      <c r="H2679" t="s">
        <v>23</v>
      </c>
      <c r="I2679" t="s">
        <v>17</v>
      </c>
    </row>
    <row r="2680" spans="1:9" x14ac:dyDescent="0.25">
      <c r="A2680">
        <v>1807</v>
      </c>
      <c r="B2680">
        <f>A2680+1</f>
        <v>1808</v>
      </c>
      <c r="C2680" t="s">
        <v>514</v>
      </c>
      <c r="D2680" t="s">
        <v>26</v>
      </c>
      <c r="E2680" s="208" t="s">
        <v>569</v>
      </c>
      <c r="F2680" t="s">
        <v>14</v>
      </c>
      <c r="G2680" s="18">
        <v>363</v>
      </c>
      <c r="H2680" s="151" t="s">
        <v>563</v>
      </c>
      <c r="I2680" t="s">
        <v>17</v>
      </c>
    </row>
    <row r="2681" spans="1:9" x14ac:dyDescent="0.25">
      <c r="A2681">
        <v>1807</v>
      </c>
      <c r="B2681">
        <f>A2681+1</f>
        <v>1808</v>
      </c>
      <c r="C2681" t="s">
        <v>514</v>
      </c>
      <c r="D2681" t="s">
        <v>26</v>
      </c>
      <c r="E2681" s="208" t="s">
        <v>569</v>
      </c>
      <c r="F2681" t="s">
        <v>15</v>
      </c>
      <c r="G2681" s="18">
        <v>1774</v>
      </c>
      <c r="H2681" s="151" t="s">
        <v>563</v>
      </c>
      <c r="I2681" t="s">
        <v>561</v>
      </c>
    </row>
    <row r="2682" spans="1:9" x14ac:dyDescent="0.25">
      <c r="A2682">
        <v>1807</v>
      </c>
      <c r="B2682">
        <f>A2682+1</f>
        <v>1808</v>
      </c>
      <c r="C2682" t="s">
        <v>514</v>
      </c>
      <c r="D2682" t="s">
        <v>26</v>
      </c>
      <c r="E2682" s="208" t="s">
        <v>573</v>
      </c>
      <c r="F2682" t="s">
        <v>3</v>
      </c>
      <c r="G2682" s="18">
        <v>1103</v>
      </c>
      <c r="H2682" t="s">
        <v>24</v>
      </c>
      <c r="I2682" t="s">
        <v>16</v>
      </c>
    </row>
    <row r="2683" spans="1:9" x14ac:dyDescent="0.25">
      <c r="A2683">
        <v>1807</v>
      </c>
      <c r="B2683">
        <f>A2683+1</f>
        <v>1808</v>
      </c>
      <c r="C2683" t="s">
        <v>514</v>
      </c>
      <c r="D2683" t="s">
        <v>26</v>
      </c>
      <c r="E2683" s="208" t="s">
        <v>573</v>
      </c>
      <c r="F2683" t="s">
        <v>4</v>
      </c>
      <c r="G2683" s="18">
        <v>100</v>
      </c>
      <c r="H2683" t="s">
        <v>23</v>
      </c>
      <c r="I2683" t="s">
        <v>16</v>
      </c>
    </row>
    <row r="2684" spans="1:9" x14ac:dyDescent="0.25">
      <c r="A2684">
        <v>1807</v>
      </c>
      <c r="B2684">
        <f>A2684+1</f>
        <v>1808</v>
      </c>
      <c r="C2684" t="s">
        <v>514</v>
      </c>
      <c r="D2684" t="s">
        <v>26</v>
      </c>
      <c r="E2684" s="208" t="s">
        <v>573</v>
      </c>
      <c r="F2684" t="s">
        <v>7</v>
      </c>
      <c r="G2684" s="18">
        <v>1203</v>
      </c>
      <c r="H2684" s="151" t="s">
        <v>563</v>
      </c>
      <c r="I2684" t="s">
        <v>16</v>
      </c>
    </row>
    <row r="2685" spans="1:9" x14ac:dyDescent="0.25">
      <c r="A2685">
        <v>1807</v>
      </c>
      <c r="B2685">
        <f>A2685+1</f>
        <v>1808</v>
      </c>
      <c r="C2685" t="s">
        <v>514</v>
      </c>
      <c r="D2685" t="s">
        <v>26</v>
      </c>
      <c r="E2685" s="208" t="s">
        <v>573</v>
      </c>
      <c r="F2685" t="s">
        <v>10</v>
      </c>
      <c r="G2685" s="18">
        <v>15</v>
      </c>
      <c r="H2685" t="s">
        <v>24</v>
      </c>
      <c r="I2685" t="s">
        <v>17</v>
      </c>
    </row>
    <row r="2686" spans="1:9" x14ac:dyDescent="0.25">
      <c r="A2686">
        <v>1807</v>
      </c>
      <c r="B2686">
        <f>A2686+1</f>
        <v>1808</v>
      </c>
      <c r="C2686" t="s">
        <v>514</v>
      </c>
      <c r="D2686" t="s">
        <v>26</v>
      </c>
      <c r="E2686" s="208" t="s">
        <v>573</v>
      </c>
      <c r="F2686" t="s">
        <v>11</v>
      </c>
      <c r="G2686" s="18">
        <v>0</v>
      </c>
      <c r="H2686" t="s">
        <v>23</v>
      </c>
      <c r="I2686" t="s">
        <v>17</v>
      </c>
    </row>
    <row r="2687" spans="1:9" x14ac:dyDescent="0.25">
      <c r="A2687">
        <v>1807</v>
      </c>
      <c r="B2687">
        <f>A2687+1</f>
        <v>1808</v>
      </c>
      <c r="C2687" t="s">
        <v>514</v>
      </c>
      <c r="D2687" t="s">
        <v>26</v>
      </c>
      <c r="E2687" s="208" t="s">
        <v>573</v>
      </c>
      <c r="F2687" t="s">
        <v>14</v>
      </c>
      <c r="G2687" s="18">
        <v>15</v>
      </c>
      <c r="H2687" s="151" t="s">
        <v>563</v>
      </c>
      <c r="I2687" t="s">
        <v>17</v>
      </c>
    </row>
    <row r="2688" spans="1:9" x14ac:dyDescent="0.25">
      <c r="A2688">
        <v>1807</v>
      </c>
      <c r="B2688">
        <f>A2688+1</f>
        <v>1808</v>
      </c>
      <c r="C2688" t="s">
        <v>514</v>
      </c>
      <c r="D2688" t="s">
        <v>26</v>
      </c>
      <c r="E2688" s="208" t="s">
        <v>573</v>
      </c>
      <c r="F2688" t="s">
        <v>15</v>
      </c>
      <c r="G2688" s="18">
        <v>1218</v>
      </c>
      <c r="H2688" s="151" t="s">
        <v>563</v>
      </c>
      <c r="I2688" t="s">
        <v>561</v>
      </c>
    </row>
    <row r="2689" spans="1:9" x14ac:dyDescent="0.25">
      <c r="A2689">
        <v>1808</v>
      </c>
      <c r="B2689">
        <f>A2689+1</f>
        <v>1809</v>
      </c>
      <c r="C2689" t="s">
        <v>515</v>
      </c>
      <c r="D2689" t="s">
        <v>27</v>
      </c>
      <c r="E2689" s="208" t="s">
        <v>155</v>
      </c>
      <c r="F2689" t="s">
        <v>3</v>
      </c>
      <c r="G2689" s="18">
        <v>117</v>
      </c>
      <c r="H2689" t="s">
        <v>16</v>
      </c>
      <c r="I2689" t="s">
        <v>24</v>
      </c>
    </row>
    <row r="2690" spans="1:9" x14ac:dyDescent="0.25">
      <c r="A2690">
        <v>1808</v>
      </c>
      <c r="B2690">
        <f>A2690+1</f>
        <v>1809</v>
      </c>
      <c r="C2690" t="s">
        <v>515</v>
      </c>
      <c r="D2690" t="s">
        <v>27</v>
      </c>
      <c r="E2690" s="208" t="s">
        <v>156</v>
      </c>
      <c r="F2690" t="s">
        <v>3</v>
      </c>
      <c r="G2690" s="18">
        <v>4</v>
      </c>
      <c r="H2690" t="s">
        <v>16</v>
      </c>
      <c r="I2690" t="s">
        <v>24</v>
      </c>
    </row>
    <row r="2691" spans="1:9" x14ac:dyDescent="0.25">
      <c r="A2691">
        <v>1808</v>
      </c>
      <c r="B2691">
        <f>A2691+1</f>
        <v>1809</v>
      </c>
      <c r="C2691" t="s">
        <v>515</v>
      </c>
      <c r="D2691" t="s">
        <v>27</v>
      </c>
      <c r="E2691" s="208" t="s">
        <v>154</v>
      </c>
      <c r="F2691" t="s">
        <v>3</v>
      </c>
      <c r="G2691" s="18">
        <v>901</v>
      </c>
      <c r="H2691" t="s">
        <v>16</v>
      </c>
      <c r="I2691" t="s">
        <v>24</v>
      </c>
    </row>
    <row r="2692" spans="1:9" x14ac:dyDescent="0.25">
      <c r="A2692">
        <v>1808</v>
      </c>
      <c r="B2692">
        <f>A2692+1</f>
        <v>1809</v>
      </c>
      <c r="C2692" t="s">
        <v>515</v>
      </c>
      <c r="D2692" t="s">
        <v>27</v>
      </c>
      <c r="E2692" s="208" t="s">
        <v>150</v>
      </c>
      <c r="F2692" t="s">
        <v>3</v>
      </c>
      <c r="G2692" s="18">
        <v>2764</v>
      </c>
      <c r="H2692" t="s">
        <v>16</v>
      </c>
      <c r="I2692" t="s">
        <v>24</v>
      </c>
    </row>
    <row r="2693" spans="1:9" x14ac:dyDescent="0.25">
      <c r="A2693">
        <v>1808</v>
      </c>
      <c r="B2693">
        <f>A2693+1</f>
        <v>1809</v>
      </c>
      <c r="C2693" t="s">
        <v>515</v>
      </c>
      <c r="D2693" t="s">
        <v>27</v>
      </c>
      <c r="E2693" s="208" t="s">
        <v>148</v>
      </c>
      <c r="F2693" t="s">
        <v>3</v>
      </c>
      <c r="G2693" s="18">
        <v>193</v>
      </c>
      <c r="H2693" t="s">
        <v>16</v>
      </c>
      <c r="I2693" t="s">
        <v>24</v>
      </c>
    </row>
    <row r="2694" spans="1:9" x14ac:dyDescent="0.25">
      <c r="A2694">
        <v>1808</v>
      </c>
      <c r="B2694">
        <f>A2694+1</f>
        <v>1809</v>
      </c>
      <c r="C2694" t="s">
        <v>515</v>
      </c>
      <c r="D2694" t="s">
        <v>27</v>
      </c>
      <c r="E2694" s="208" t="s">
        <v>139</v>
      </c>
      <c r="F2694" t="s">
        <v>3</v>
      </c>
      <c r="G2694" s="18">
        <v>55</v>
      </c>
      <c r="H2694" t="s">
        <v>16</v>
      </c>
      <c r="I2694" t="s">
        <v>24</v>
      </c>
    </row>
    <row r="2695" spans="1:9" x14ac:dyDescent="0.25">
      <c r="A2695">
        <v>1808</v>
      </c>
      <c r="B2695">
        <f>A2695+1</f>
        <v>1809</v>
      </c>
      <c r="C2695" t="s">
        <v>515</v>
      </c>
      <c r="D2695" t="s">
        <v>27</v>
      </c>
      <c r="E2695" s="208" t="s">
        <v>130</v>
      </c>
      <c r="F2695" t="s">
        <v>3</v>
      </c>
      <c r="G2695" s="18">
        <v>2</v>
      </c>
      <c r="H2695" t="s">
        <v>16</v>
      </c>
      <c r="I2695" t="s">
        <v>24</v>
      </c>
    </row>
    <row r="2696" spans="1:9" x14ac:dyDescent="0.25">
      <c r="A2696">
        <v>1808</v>
      </c>
      <c r="B2696">
        <f>A2696+1</f>
        <v>1809</v>
      </c>
      <c r="C2696" t="s">
        <v>515</v>
      </c>
      <c r="D2696" t="s">
        <v>27</v>
      </c>
      <c r="E2696" s="208" t="s">
        <v>132</v>
      </c>
      <c r="F2696" t="s">
        <v>3</v>
      </c>
      <c r="G2696" s="18">
        <v>233</v>
      </c>
      <c r="H2696" t="s">
        <v>16</v>
      </c>
      <c r="I2696" t="s">
        <v>24</v>
      </c>
    </row>
    <row r="2697" spans="1:9" x14ac:dyDescent="0.25">
      <c r="A2697">
        <v>1808</v>
      </c>
      <c r="B2697">
        <f>A2697+1</f>
        <v>1809</v>
      </c>
      <c r="C2697" t="s">
        <v>515</v>
      </c>
      <c r="D2697" t="s">
        <v>27</v>
      </c>
      <c r="E2697" s="208" t="s">
        <v>142</v>
      </c>
      <c r="F2697" t="s">
        <v>3</v>
      </c>
      <c r="G2697" s="18">
        <v>27</v>
      </c>
      <c r="H2697" t="s">
        <v>16</v>
      </c>
      <c r="I2697" t="s">
        <v>24</v>
      </c>
    </row>
    <row r="2698" spans="1:9" x14ac:dyDescent="0.25">
      <c r="A2698">
        <v>1808</v>
      </c>
      <c r="B2698">
        <f>A2698+1</f>
        <v>1809</v>
      </c>
      <c r="C2698" t="s">
        <v>515</v>
      </c>
      <c r="D2698" t="s">
        <v>27</v>
      </c>
      <c r="E2698" s="208" t="s">
        <v>144</v>
      </c>
      <c r="F2698" t="s">
        <v>3</v>
      </c>
      <c r="G2698" s="18">
        <v>304</v>
      </c>
      <c r="H2698" t="s">
        <v>16</v>
      </c>
      <c r="I2698" t="s">
        <v>24</v>
      </c>
    </row>
    <row r="2699" spans="1:9" x14ac:dyDescent="0.25">
      <c r="A2699">
        <v>1808</v>
      </c>
      <c r="B2699">
        <f>A2699+1</f>
        <v>1809</v>
      </c>
      <c r="C2699" t="s">
        <v>515</v>
      </c>
      <c r="D2699" t="s">
        <v>27</v>
      </c>
      <c r="E2699" s="208" t="s">
        <v>124</v>
      </c>
      <c r="F2699" t="s">
        <v>3</v>
      </c>
      <c r="G2699" s="18">
        <v>254151</v>
      </c>
      <c r="H2699" t="s">
        <v>16</v>
      </c>
      <c r="I2699" t="s">
        <v>24</v>
      </c>
    </row>
    <row r="2700" spans="1:9" x14ac:dyDescent="0.25">
      <c r="A2700">
        <v>1808</v>
      </c>
      <c r="B2700">
        <f>A2700+1</f>
        <v>1809</v>
      </c>
      <c r="C2700" t="s">
        <v>515</v>
      </c>
      <c r="D2700" t="s">
        <v>26</v>
      </c>
      <c r="E2700" s="208" t="s">
        <v>62</v>
      </c>
      <c r="F2700" t="s">
        <v>3</v>
      </c>
      <c r="G2700" s="18">
        <v>4412</v>
      </c>
      <c r="H2700" t="s">
        <v>24</v>
      </c>
      <c r="I2700" t="s">
        <v>16</v>
      </c>
    </row>
    <row r="2701" spans="1:9" x14ac:dyDescent="0.25">
      <c r="A2701">
        <v>1808</v>
      </c>
      <c r="B2701">
        <f>A2701+1</f>
        <v>1809</v>
      </c>
      <c r="C2701" t="s">
        <v>515</v>
      </c>
      <c r="D2701" t="s">
        <v>26</v>
      </c>
      <c r="E2701" s="208" t="s">
        <v>36</v>
      </c>
      <c r="F2701" t="s">
        <v>3</v>
      </c>
      <c r="G2701" s="18">
        <v>370</v>
      </c>
      <c r="H2701" t="s">
        <v>24</v>
      </c>
      <c r="I2701" t="s">
        <v>16</v>
      </c>
    </row>
    <row r="2702" spans="1:9" x14ac:dyDescent="0.25">
      <c r="A2702">
        <v>1808</v>
      </c>
      <c r="B2702">
        <f>A2702+1</f>
        <v>1809</v>
      </c>
      <c r="C2702" t="s">
        <v>515</v>
      </c>
      <c r="D2702" t="s">
        <v>26</v>
      </c>
      <c r="E2702" s="208" t="s">
        <v>39</v>
      </c>
      <c r="F2702" t="s">
        <v>3</v>
      </c>
      <c r="G2702" s="18">
        <v>20</v>
      </c>
      <c r="H2702" t="s">
        <v>24</v>
      </c>
      <c r="I2702" t="s">
        <v>16</v>
      </c>
    </row>
    <row r="2703" spans="1:9" x14ac:dyDescent="0.25">
      <c r="A2703">
        <v>1808</v>
      </c>
      <c r="B2703">
        <f>A2703+1</f>
        <v>1809</v>
      </c>
      <c r="C2703" t="s">
        <v>515</v>
      </c>
      <c r="D2703" t="s">
        <v>26</v>
      </c>
      <c r="E2703" s="208" t="s">
        <v>99</v>
      </c>
      <c r="F2703" t="s">
        <v>3</v>
      </c>
      <c r="G2703" s="18">
        <v>78</v>
      </c>
      <c r="H2703" t="s">
        <v>24</v>
      </c>
      <c r="I2703" t="s">
        <v>16</v>
      </c>
    </row>
    <row r="2704" spans="1:9" x14ac:dyDescent="0.25">
      <c r="A2704">
        <v>1808</v>
      </c>
      <c r="B2704">
        <f>A2704+1</f>
        <v>1809</v>
      </c>
      <c r="C2704" t="s">
        <v>515</v>
      </c>
      <c r="D2704" t="s">
        <v>26</v>
      </c>
      <c r="E2704" s="208" t="s">
        <v>28</v>
      </c>
      <c r="F2704" t="s">
        <v>3</v>
      </c>
      <c r="G2704" s="18">
        <v>422</v>
      </c>
      <c r="H2704" t="s">
        <v>24</v>
      </c>
      <c r="I2704" t="s">
        <v>16</v>
      </c>
    </row>
    <row r="2705" spans="1:9" x14ac:dyDescent="0.25">
      <c r="A2705">
        <v>1808</v>
      </c>
      <c r="B2705">
        <f>A2705+1</f>
        <v>1809</v>
      </c>
      <c r="C2705" t="s">
        <v>515</v>
      </c>
      <c r="D2705" t="s">
        <v>26</v>
      </c>
      <c r="E2705" s="208" t="s">
        <v>89</v>
      </c>
      <c r="F2705" t="s">
        <v>3</v>
      </c>
      <c r="G2705" s="18">
        <v>445</v>
      </c>
      <c r="H2705" t="s">
        <v>24</v>
      </c>
      <c r="I2705" t="s">
        <v>16</v>
      </c>
    </row>
    <row r="2706" spans="1:9" x14ac:dyDescent="0.25">
      <c r="A2706">
        <v>1808</v>
      </c>
      <c r="B2706">
        <f>A2706+1</f>
        <v>1809</v>
      </c>
      <c r="C2706" t="s">
        <v>515</v>
      </c>
      <c r="D2706" t="s">
        <v>26</v>
      </c>
      <c r="E2706" s="208" t="s">
        <v>45</v>
      </c>
      <c r="F2706" t="s">
        <v>3</v>
      </c>
      <c r="G2706" s="18">
        <v>613</v>
      </c>
      <c r="H2706" t="s">
        <v>24</v>
      </c>
      <c r="I2706" t="s">
        <v>16</v>
      </c>
    </row>
    <row r="2707" spans="1:9" x14ac:dyDescent="0.25">
      <c r="A2707">
        <v>1808</v>
      </c>
      <c r="B2707">
        <f>A2707+1</f>
        <v>1809</v>
      </c>
      <c r="C2707" t="s">
        <v>515</v>
      </c>
      <c r="D2707" t="s">
        <v>26</v>
      </c>
      <c r="E2707" s="208" t="s">
        <v>54</v>
      </c>
      <c r="F2707" t="s">
        <v>3</v>
      </c>
      <c r="G2707" s="18">
        <v>270</v>
      </c>
      <c r="H2707" t="s">
        <v>24</v>
      </c>
      <c r="I2707" t="s">
        <v>16</v>
      </c>
    </row>
    <row r="2708" spans="1:9" x14ac:dyDescent="0.25">
      <c r="A2708">
        <v>1808</v>
      </c>
      <c r="B2708">
        <f>A2708+1</f>
        <v>1809</v>
      </c>
      <c r="C2708" t="s">
        <v>515</v>
      </c>
      <c r="D2708" t="s">
        <v>26</v>
      </c>
      <c r="E2708" s="208" t="s">
        <v>53</v>
      </c>
      <c r="F2708" t="s">
        <v>3</v>
      </c>
      <c r="G2708" s="18">
        <v>337</v>
      </c>
      <c r="H2708" t="s">
        <v>24</v>
      </c>
      <c r="I2708" t="s">
        <v>16</v>
      </c>
    </row>
    <row r="2709" spans="1:9" x14ac:dyDescent="0.25">
      <c r="A2709">
        <v>1808</v>
      </c>
      <c r="B2709">
        <f>A2709+1</f>
        <v>1809</v>
      </c>
      <c r="C2709" t="s">
        <v>515</v>
      </c>
      <c r="D2709" t="s">
        <v>26</v>
      </c>
      <c r="E2709" s="208" t="s">
        <v>75</v>
      </c>
      <c r="F2709" t="s">
        <v>3</v>
      </c>
      <c r="G2709" s="18">
        <v>611395</v>
      </c>
      <c r="H2709" t="s">
        <v>24</v>
      </c>
      <c r="I2709" t="s">
        <v>16</v>
      </c>
    </row>
    <row r="2710" spans="1:9" x14ac:dyDescent="0.25">
      <c r="A2710">
        <v>1808</v>
      </c>
      <c r="B2710">
        <f>A2710+1</f>
        <v>1809</v>
      </c>
      <c r="C2710" t="s">
        <v>515</v>
      </c>
      <c r="D2710" t="s">
        <v>26</v>
      </c>
      <c r="E2710" s="208" t="s">
        <v>107</v>
      </c>
      <c r="F2710" t="s">
        <v>3</v>
      </c>
      <c r="G2710" s="18">
        <v>140305</v>
      </c>
      <c r="H2710" t="s">
        <v>24</v>
      </c>
      <c r="I2710" t="s">
        <v>16</v>
      </c>
    </row>
    <row r="2711" spans="1:9" x14ac:dyDescent="0.25">
      <c r="A2711">
        <v>1808</v>
      </c>
      <c r="B2711">
        <f>A2711+1</f>
        <v>1809</v>
      </c>
      <c r="C2711" t="s">
        <v>515</v>
      </c>
      <c r="D2711" t="s">
        <v>26</v>
      </c>
      <c r="E2711" s="208" t="s">
        <v>101</v>
      </c>
      <c r="F2711" t="s">
        <v>3</v>
      </c>
      <c r="G2711" s="18">
        <v>164000</v>
      </c>
      <c r="H2711" t="s">
        <v>24</v>
      </c>
      <c r="I2711" t="s">
        <v>16</v>
      </c>
    </row>
    <row r="2712" spans="1:9" x14ac:dyDescent="0.25">
      <c r="A2712">
        <v>1808</v>
      </c>
      <c r="B2712">
        <f>A2712+1</f>
        <v>1809</v>
      </c>
      <c r="C2712" t="s">
        <v>515</v>
      </c>
      <c r="D2712" t="s">
        <v>26</v>
      </c>
      <c r="E2712" s="208" t="s">
        <v>330</v>
      </c>
      <c r="F2712" t="s">
        <v>6</v>
      </c>
      <c r="G2712" s="18">
        <v>1096</v>
      </c>
      <c r="H2712" t="s">
        <v>25</v>
      </c>
      <c r="I2712" t="s">
        <v>16</v>
      </c>
    </row>
    <row r="2713" spans="1:9" x14ac:dyDescent="0.25">
      <c r="A2713">
        <v>1808</v>
      </c>
      <c r="B2713">
        <f>A2713+1</f>
        <v>1809</v>
      </c>
      <c r="C2713" t="s">
        <v>515</v>
      </c>
      <c r="D2713" t="s">
        <v>26</v>
      </c>
      <c r="E2713" s="208" t="s">
        <v>331</v>
      </c>
      <c r="F2713" t="s">
        <v>6</v>
      </c>
      <c r="G2713" s="18">
        <v>1719</v>
      </c>
      <c r="H2713" t="s">
        <v>25</v>
      </c>
      <c r="I2713" t="s">
        <v>16</v>
      </c>
    </row>
    <row r="2714" spans="1:9" x14ac:dyDescent="0.25">
      <c r="A2714">
        <v>1808</v>
      </c>
      <c r="B2714">
        <f>A2714+1</f>
        <v>1809</v>
      </c>
      <c r="C2714" t="s">
        <v>515</v>
      </c>
      <c r="D2714" t="s">
        <v>26</v>
      </c>
      <c r="E2714" s="208" t="s">
        <v>332</v>
      </c>
      <c r="F2714" t="s">
        <v>6</v>
      </c>
      <c r="G2714" s="18">
        <v>423</v>
      </c>
      <c r="H2714" t="s">
        <v>25</v>
      </c>
      <c r="I2714" t="s">
        <v>16</v>
      </c>
    </row>
    <row r="2715" spans="1:9" x14ac:dyDescent="0.25">
      <c r="A2715">
        <v>1808</v>
      </c>
      <c r="B2715">
        <f>A2715+1</f>
        <v>1809</v>
      </c>
      <c r="C2715" t="s">
        <v>515</v>
      </c>
      <c r="D2715" t="s">
        <v>26</v>
      </c>
      <c r="E2715" s="208" t="s">
        <v>333</v>
      </c>
      <c r="F2715" t="s">
        <v>6</v>
      </c>
      <c r="G2715" s="18">
        <v>427</v>
      </c>
      <c r="H2715" t="s">
        <v>25</v>
      </c>
      <c r="I2715" t="s">
        <v>16</v>
      </c>
    </row>
    <row r="2716" spans="1:9" x14ac:dyDescent="0.25">
      <c r="A2716">
        <v>1808</v>
      </c>
      <c r="B2716">
        <f>A2716+1</f>
        <v>1809</v>
      </c>
      <c r="C2716" t="s">
        <v>515</v>
      </c>
      <c r="D2716" t="s">
        <v>27</v>
      </c>
      <c r="E2716" s="208" t="s">
        <v>155</v>
      </c>
      <c r="F2716" t="s">
        <v>0</v>
      </c>
      <c r="G2716" s="18">
        <v>21236</v>
      </c>
      <c r="H2716" t="s">
        <v>16</v>
      </c>
      <c r="I2716" t="s">
        <v>18</v>
      </c>
    </row>
    <row r="2717" spans="1:9" x14ac:dyDescent="0.25">
      <c r="A2717">
        <v>1808</v>
      </c>
      <c r="B2717">
        <f>A2717+1</f>
        <v>1809</v>
      </c>
      <c r="C2717" t="s">
        <v>515</v>
      </c>
      <c r="D2717" t="s">
        <v>27</v>
      </c>
      <c r="E2717" s="208" t="s">
        <v>156</v>
      </c>
      <c r="F2717" t="s">
        <v>0</v>
      </c>
      <c r="G2717" s="18">
        <v>3077</v>
      </c>
      <c r="H2717" t="s">
        <v>16</v>
      </c>
      <c r="I2717" t="s">
        <v>18</v>
      </c>
    </row>
    <row r="2718" spans="1:9" x14ac:dyDescent="0.25">
      <c r="A2718">
        <v>1808</v>
      </c>
      <c r="B2718">
        <f>A2718+1</f>
        <v>1809</v>
      </c>
      <c r="C2718" t="s">
        <v>515</v>
      </c>
      <c r="D2718" t="s">
        <v>27</v>
      </c>
      <c r="E2718" s="208" t="s">
        <v>154</v>
      </c>
      <c r="F2718" t="s">
        <v>0</v>
      </c>
      <c r="G2718" s="18">
        <v>984</v>
      </c>
      <c r="H2718" t="s">
        <v>16</v>
      </c>
      <c r="I2718" t="s">
        <v>18</v>
      </c>
    </row>
    <row r="2719" spans="1:9" x14ac:dyDescent="0.25">
      <c r="A2719">
        <v>1808</v>
      </c>
      <c r="B2719">
        <f>A2719+1</f>
        <v>1809</v>
      </c>
      <c r="C2719" t="s">
        <v>515</v>
      </c>
      <c r="D2719" t="s">
        <v>27</v>
      </c>
      <c r="E2719" s="208" t="s">
        <v>150</v>
      </c>
      <c r="F2719" t="s">
        <v>0</v>
      </c>
      <c r="G2719" s="18">
        <v>5256</v>
      </c>
      <c r="H2719" t="s">
        <v>16</v>
      </c>
      <c r="I2719" t="s">
        <v>18</v>
      </c>
    </row>
    <row r="2720" spans="1:9" x14ac:dyDescent="0.25">
      <c r="A2720">
        <v>1808</v>
      </c>
      <c r="B2720">
        <f>A2720+1</f>
        <v>1809</v>
      </c>
      <c r="C2720" t="s">
        <v>515</v>
      </c>
      <c r="D2720" t="s">
        <v>27</v>
      </c>
      <c r="E2720" s="208" t="s">
        <v>148</v>
      </c>
      <c r="F2720" t="s">
        <v>0</v>
      </c>
      <c r="G2720" s="18">
        <v>392</v>
      </c>
      <c r="H2720" t="s">
        <v>16</v>
      </c>
      <c r="I2720" t="s">
        <v>18</v>
      </c>
    </row>
    <row r="2721" spans="1:9" x14ac:dyDescent="0.25">
      <c r="A2721">
        <v>1808</v>
      </c>
      <c r="B2721">
        <f>A2721+1</f>
        <v>1809</v>
      </c>
      <c r="C2721" t="s">
        <v>515</v>
      </c>
      <c r="D2721" t="s">
        <v>27</v>
      </c>
      <c r="E2721" s="208" t="s">
        <v>139</v>
      </c>
      <c r="F2721" t="s">
        <v>0</v>
      </c>
      <c r="G2721" s="18">
        <v>30</v>
      </c>
      <c r="H2721" t="s">
        <v>16</v>
      </c>
      <c r="I2721" t="s">
        <v>18</v>
      </c>
    </row>
    <row r="2722" spans="1:9" x14ac:dyDescent="0.25">
      <c r="A2722">
        <v>1808</v>
      </c>
      <c r="B2722">
        <f>A2722+1</f>
        <v>1809</v>
      </c>
      <c r="C2722" t="s">
        <v>515</v>
      </c>
      <c r="D2722" t="s">
        <v>27</v>
      </c>
      <c r="E2722" s="208" t="s">
        <v>130</v>
      </c>
      <c r="F2722" t="s">
        <v>0</v>
      </c>
      <c r="G2722" s="18">
        <v>292</v>
      </c>
      <c r="H2722" t="s">
        <v>16</v>
      </c>
      <c r="I2722" t="s">
        <v>18</v>
      </c>
    </row>
    <row r="2723" spans="1:9" x14ac:dyDescent="0.25">
      <c r="A2723">
        <v>1808</v>
      </c>
      <c r="B2723">
        <f>A2723+1</f>
        <v>1809</v>
      </c>
      <c r="C2723" t="s">
        <v>515</v>
      </c>
      <c r="D2723" t="s">
        <v>27</v>
      </c>
      <c r="E2723" s="208" t="s">
        <v>132</v>
      </c>
      <c r="F2723" t="s">
        <v>0</v>
      </c>
      <c r="G2723" s="18">
        <v>505</v>
      </c>
      <c r="H2723" t="s">
        <v>16</v>
      </c>
      <c r="I2723" t="s">
        <v>18</v>
      </c>
    </row>
    <row r="2724" spans="1:9" x14ac:dyDescent="0.25">
      <c r="A2724">
        <v>1808</v>
      </c>
      <c r="B2724">
        <f>A2724+1</f>
        <v>1809</v>
      </c>
      <c r="C2724" t="s">
        <v>515</v>
      </c>
      <c r="D2724" t="s">
        <v>27</v>
      </c>
      <c r="E2724" s="208" t="s">
        <v>142</v>
      </c>
      <c r="F2724" t="s">
        <v>0</v>
      </c>
      <c r="G2724" s="18">
        <v>485</v>
      </c>
      <c r="H2724" t="s">
        <v>16</v>
      </c>
      <c r="I2724" t="s">
        <v>18</v>
      </c>
    </row>
    <row r="2725" spans="1:9" x14ac:dyDescent="0.25">
      <c r="A2725">
        <v>1808</v>
      </c>
      <c r="B2725">
        <f>A2725+1</f>
        <v>1809</v>
      </c>
      <c r="C2725" t="s">
        <v>515</v>
      </c>
      <c r="D2725" t="s">
        <v>27</v>
      </c>
      <c r="E2725" s="208" t="s">
        <v>144</v>
      </c>
      <c r="F2725" t="s">
        <v>0</v>
      </c>
      <c r="G2725" s="18">
        <v>2926</v>
      </c>
      <c r="H2725" t="s">
        <v>16</v>
      </c>
      <c r="I2725" t="s">
        <v>18</v>
      </c>
    </row>
    <row r="2726" spans="1:9" x14ac:dyDescent="0.25">
      <c r="A2726">
        <v>1808</v>
      </c>
      <c r="B2726">
        <f>A2726+1</f>
        <v>1809</v>
      </c>
      <c r="C2726" t="s">
        <v>515</v>
      </c>
      <c r="D2726" t="s">
        <v>27</v>
      </c>
      <c r="E2726" s="208" t="s">
        <v>124</v>
      </c>
      <c r="F2726" t="s">
        <v>0</v>
      </c>
      <c r="G2726" s="18">
        <v>13185494</v>
      </c>
      <c r="H2726" t="s">
        <v>16</v>
      </c>
      <c r="I2726" t="s">
        <v>18</v>
      </c>
    </row>
    <row r="2727" spans="1:9" x14ac:dyDescent="0.25">
      <c r="A2727">
        <v>1808</v>
      </c>
      <c r="B2727">
        <f>A2727+1</f>
        <v>1809</v>
      </c>
      <c r="C2727" t="s">
        <v>515</v>
      </c>
      <c r="D2727" t="s">
        <v>26</v>
      </c>
      <c r="E2727" s="208" t="s">
        <v>65</v>
      </c>
      <c r="F2727" t="s">
        <v>169</v>
      </c>
      <c r="G2727" s="18">
        <v>4997</v>
      </c>
      <c r="H2727" t="s">
        <v>160</v>
      </c>
      <c r="I2727" t="s">
        <v>16</v>
      </c>
    </row>
    <row r="2728" spans="1:9" x14ac:dyDescent="0.25">
      <c r="A2728">
        <v>1808</v>
      </c>
      <c r="B2728">
        <f>A2728+1</f>
        <v>1809</v>
      </c>
      <c r="C2728" t="s">
        <v>515</v>
      </c>
      <c r="D2728" t="s">
        <v>26</v>
      </c>
      <c r="E2728" s="208" t="s">
        <v>88</v>
      </c>
      <c r="F2728" t="s">
        <v>169</v>
      </c>
      <c r="G2728" s="18">
        <v>842</v>
      </c>
      <c r="H2728" t="s">
        <v>160</v>
      </c>
      <c r="I2728" t="s">
        <v>16</v>
      </c>
    </row>
    <row r="2729" spans="1:9" x14ac:dyDescent="0.25">
      <c r="A2729">
        <v>1808</v>
      </c>
      <c r="B2729">
        <f>A2729+1</f>
        <v>1809</v>
      </c>
      <c r="C2729" t="s">
        <v>515</v>
      </c>
      <c r="D2729" t="s">
        <v>27</v>
      </c>
      <c r="E2729" s="208" t="s">
        <v>155</v>
      </c>
      <c r="F2729" t="s">
        <v>1</v>
      </c>
      <c r="G2729" s="18">
        <v>2256</v>
      </c>
      <c r="H2729" t="s">
        <v>16</v>
      </c>
      <c r="I2729" t="s">
        <v>21</v>
      </c>
    </row>
    <row r="2730" spans="1:9" x14ac:dyDescent="0.25">
      <c r="A2730">
        <v>1808</v>
      </c>
      <c r="B2730">
        <f>A2730+1</f>
        <v>1809</v>
      </c>
      <c r="C2730" t="s">
        <v>515</v>
      </c>
      <c r="D2730" t="s">
        <v>27</v>
      </c>
      <c r="E2730" s="208" t="s">
        <v>156</v>
      </c>
      <c r="F2730" t="s">
        <v>1</v>
      </c>
      <c r="G2730" s="18">
        <v>923</v>
      </c>
      <c r="H2730" t="s">
        <v>16</v>
      </c>
      <c r="I2730" t="s">
        <v>21</v>
      </c>
    </row>
    <row r="2731" spans="1:9" x14ac:dyDescent="0.25">
      <c r="A2731">
        <v>1808</v>
      </c>
      <c r="B2731">
        <f>A2731+1</f>
        <v>1809</v>
      </c>
      <c r="C2731" t="s">
        <v>515</v>
      </c>
      <c r="D2731" t="s">
        <v>27</v>
      </c>
      <c r="E2731" s="208" t="s">
        <v>154</v>
      </c>
      <c r="F2731" t="s">
        <v>1</v>
      </c>
      <c r="G2731" s="18">
        <v>990</v>
      </c>
      <c r="H2731" t="s">
        <v>16</v>
      </c>
      <c r="I2731" t="s">
        <v>21</v>
      </c>
    </row>
    <row r="2732" spans="1:9" x14ac:dyDescent="0.25">
      <c r="A2732">
        <v>1808</v>
      </c>
      <c r="B2732">
        <f>A2732+1</f>
        <v>1809</v>
      </c>
      <c r="C2732" t="s">
        <v>515</v>
      </c>
      <c r="D2732" t="s">
        <v>27</v>
      </c>
      <c r="E2732" s="208" t="s">
        <v>150</v>
      </c>
      <c r="F2732" t="s">
        <v>1</v>
      </c>
      <c r="G2732" s="18">
        <v>2859</v>
      </c>
      <c r="H2732" t="s">
        <v>16</v>
      </c>
      <c r="I2732" t="s">
        <v>21</v>
      </c>
    </row>
    <row r="2733" spans="1:9" x14ac:dyDescent="0.25">
      <c r="A2733">
        <v>1808</v>
      </c>
      <c r="B2733">
        <f>A2733+1</f>
        <v>1809</v>
      </c>
      <c r="C2733" t="s">
        <v>515</v>
      </c>
      <c r="D2733" t="s">
        <v>27</v>
      </c>
      <c r="E2733" s="208" t="s">
        <v>148</v>
      </c>
      <c r="F2733" t="s">
        <v>1</v>
      </c>
      <c r="G2733" s="18">
        <v>634</v>
      </c>
      <c r="H2733" t="s">
        <v>16</v>
      </c>
      <c r="I2733" t="s">
        <v>21</v>
      </c>
    </row>
    <row r="2734" spans="1:9" x14ac:dyDescent="0.25">
      <c r="A2734">
        <v>1808</v>
      </c>
      <c r="B2734">
        <f>A2734+1</f>
        <v>1809</v>
      </c>
      <c r="C2734" t="s">
        <v>515</v>
      </c>
      <c r="D2734" t="s">
        <v>27</v>
      </c>
      <c r="E2734" s="208" t="s">
        <v>139</v>
      </c>
      <c r="F2734" t="s">
        <v>1</v>
      </c>
      <c r="G2734" s="18">
        <v>0</v>
      </c>
      <c r="H2734" t="s">
        <v>16</v>
      </c>
      <c r="I2734" t="s">
        <v>21</v>
      </c>
    </row>
    <row r="2735" spans="1:9" x14ac:dyDescent="0.25">
      <c r="A2735">
        <v>1808</v>
      </c>
      <c r="B2735">
        <f>A2735+1</f>
        <v>1809</v>
      </c>
      <c r="C2735" t="s">
        <v>515</v>
      </c>
      <c r="D2735" t="s">
        <v>27</v>
      </c>
      <c r="E2735" s="208" t="s">
        <v>130</v>
      </c>
      <c r="F2735" t="s">
        <v>1</v>
      </c>
      <c r="G2735" s="18">
        <v>49</v>
      </c>
      <c r="H2735" t="s">
        <v>16</v>
      </c>
      <c r="I2735" t="s">
        <v>21</v>
      </c>
    </row>
    <row r="2736" spans="1:9" x14ac:dyDescent="0.25">
      <c r="A2736">
        <v>1808</v>
      </c>
      <c r="B2736">
        <f>A2736+1</f>
        <v>1809</v>
      </c>
      <c r="C2736" t="s">
        <v>515</v>
      </c>
      <c r="D2736" t="s">
        <v>27</v>
      </c>
      <c r="E2736" s="208" t="s">
        <v>132</v>
      </c>
      <c r="F2736" t="s">
        <v>1</v>
      </c>
      <c r="G2736" s="18">
        <v>48</v>
      </c>
      <c r="H2736" t="s">
        <v>16</v>
      </c>
      <c r="I2736" t="s">
        <v>21</v>
      </c>
    </row>
    <row r="2737" spans="1:9" x14ac:dyDescent="0.25">
      <c r="A2737">
        <v>1808</v>
      </c>
      <c r="B2737">
        <f>A2737+1</f>
        <v>1809</v>
      </c>
      <c r="C2737" t="s">
        <v>515</v>
      </c>
      <c r="D2737" t="s">
        <v>27</v>
      </c>
      <c r="E2737" s="208" t="s">
        <v>142</v>
      </c>
      <c r="F2737" t="s">
        <v>1</v>
      </c>
      <c r="G2737" s="18">
        <v>92</v>
      </c>
      <c r="H2737" t="s">
        <v>16</v>
      </c>
      <c r="I2737" t="s">
        <v>21</v>
      </c>
    </row>
    <row r="2738" spans="1:9" x14ac:dyDescent="0.25">
      <c r="A2738">
        <v>1808</v>
      </c>
      <c r="B2738">
        <f>A2738+1</f>
        <v>1809</v>
      </c>
      <c r="C2738" t="s">
        <v>515</v>
      </c>
      <c r="D2738" t="s">
        <v>27</v>
      </c>
      <c r="E2738" s="208" t="s">
        <v>144</v>
      </c>
      <c r="F2738" t="s">
        <v>1</v>
      </c>
      <c r="G2738" s="18">
        <v>298</v>
      </c>
      <c r="H2738" t="s">
        <v>16</v>
      </c>
      <c r="I2738" t="s">
        <v>21</v>
      </c>
    </row>
    <row r="2739" spans="1:9" x14ac:dyDescent="0.25">
      <c r="A2739">
        <v>1808</v>
      </c>
      <c r="B2739">
        <f>A2739+1</f>
        <v>1809</v>
      </c>
      <c r="C2739" t="s">
        <v>515</v>
      </c>
      <c r="D2739" t="s">
        <v>27</v>
      </c>
      <c r="E2739" s="208" t="s">
        <v>124</v>
      </c>
      <c r="F2739" t="s">
        <v>1</v>
      </c>
      <c r="G2739" s="18">
        <v>388430</v>
      </c>
      <c r="H2739" t="s">
        <v>16</v>
      </c>
      <c r="I2739" t="s">
        <v>21</v>
      </c>
    </row>
    <row r="2740" spans="1:9" x14ac:dyDescent="0.25">
      <c r="A2740">
        <v>1808</v>
      </c>
      <c r="B2740">
        <f>A2740+1</f>
        <v>1809</v>
      </c>
      <c r="C2740" t="s">
        <v>515</v>
      </c>
      <c r="D2740" t="s">
        <v>27</v>
      </c>
      <c r="E2740" s="208" t="s">
        <v>155</v>
      </c>
      <c r="F2740" t="s">
        <v>6</v>
      </c>
      <c r="G2740" s="18">
        <v>0</v>
      </c>
      <c r="H2740" t="s">
        <v>16</v>
      </c>
      <c r="I2740" t="s">
        <v>25</v>
      </c>
    </row>
    <row r="2741" spans="1:9" x14ac:dyDescent="0.25">
      <c r="A2741">
        <v>1808</v>
      </c>
      <c r="B2741">
        <f>A2741+1</f>
        <v>1809</v>
      </c>
      <c r="C2741" t="s">
        <v>515</v>
      </c>
      <c r="D2741" t="s">
        <v>27</v>
      </c>
      <c r="E2741" s="208" t="s">
        <v>156</v>
      </c>
      <c r="F2741" t="s">
        <v>6</v>
      </c>
      <c r="G2741" s="18">
        <v>0</v>
      </c>
      <c r="H2741" t="s">
        <v>16</v>
      </c>
      <c r="I2741" t="s">
        <v>25</v>
      </c>
    </row>
    <row r="2742" spans="1:9" x14ac:dyDescent="0.25">
      <c r="A2742">
        <v>1808</v>
      </c>
      <c r="B2742">
        <f>A2742+1</f>
        <v>1809</v>
      </c>
      <c r="C2742" t="s">
        <v>515</v>
      </c>
      <c r="D2742" t="s">
        <v>27</v>
      </c>
      <c r="E2742" s="208" t="s">
        <v>154</v>
      </c>
      <c r="F2742" t="s">
        <v>6</v>
      </c>
      <c r="G2742" s="18">
        <v>0</v>
      </c>
      <c r="H2742" t="s">
        <v>16</v>
      </c>
      <c r="I2742" t="s">
        <v>25</v>
      </c>
    </row>
    <row r="2743" spans="1:9" x14ac:dyDescent="0.25">
      <c r="A2743">
        <v>1808</v>
      </c>
      <c r="B2743">
        <f>A2743+1</f>
        <v>1809</v>
      </c>
      <c r="C2743" t="s">
        <v>515</v>
      </c>
      <c r="D2743" t="s">
        <v>27</v>
      </c>
      <c r="E2743" s="208" t="s">
        <v>150</v>
      </c>
      <c r="F2743" t="s">
        <v>6</v>
      </c>
      <c r="G2743" s="18">
        <v>313</v>
      </c>
      <c r="H2743" t="s">
        <v>16</v>
      </c>
      <c r="I2743" t="s">
        <v>25</v>
      </c>
    </row>
    <row r="2744" spans="1:9" x14ac:dyDescent="0.25">
      <c r="A2744">
        <v>1808</v>
      </c>
      <c r="B2744">
        <f>A2744+1</f>
        <v>1809</v>
      </c>
      <c r="C2744" t="s">
        <v>515</v>
      </c>
      <c r="D2744" t="s">
        <v>27</v>
      </c>
      <c r="E2744" s="208" t="s">
        <v>148</v>
      </c>
      <c r="F2744" t="s">
        <v>6</v>
      </c>
      <c r="G2744" s="18">
        <v>146</v>
      </c>
      <c r="H2744" t="s">
        <v>16</v>
      </c>
      <c r="I2744" t="s">
        <v>25</v>
      </c>
    </row>
    <row r="2745" spans="1:9" x14ac:dyDescent="0.25">
      <c r="A2745">
        <v>1808</v>
      </c>
      <c r="B2745">
        <f>A2745+1</f>
        <v>1809</v>
      </c>
      <c r="C2745" t="s">
        <v>515</v>
      </c>
      <c r="D2745" t="s">
        <v>27</v>
      </c>
      <c r="E2745" s="208" t="s">
        <v>139</v>
      </c>
      <c r="F2745" t="s">
        <v>6</v>
      </c>
      <c r="G2745" s="18">
        <v>0</v>
      </c>
      <c r="H2745" t="s">
        <v>16</v>
      </c>
      <c r="I2745" t="s">
        <v>25</v>
      </c>
    </row>
    <row r="2746" spans="1:9" x14ac:dyDescent="0.25">
      <c r="A2746">
        <v>1808</v>
      </c>
      <c r="B2746">
        <f>A2746+1</f>
        <v>1809</v>
      </c>
      <c r="C2746" t="s">
        <v>515</v>
      </c>
      <c r="D2746" t="s">
        <v>27</v>
      </c>
      <c r="E2746" s="208" t="s">
        <v>130</v>
      </c>
      <c r="F2746" t="s">
        <v>6</v>
      </c>
      <c r="G2746" s="18">
        <v>0</v>
      </c>
      <c r="H2746" t="s">
        <v>16</v>
      </c>
      <c r="I2746" t="s">
        <v>25</v>
      </c>
    </row>
    <row r="2747" spans="1:9" x14ac:dyDescent="0.25">
      <c r="A2747">
        <v>1808</v>
      </c>
      <c r="B2747">
        <f>A2747+1</f>
        <v>1809</v>
      </c>
      <c r="C2747" t="s">
        <v>515</v>
      </c>
      <c r="D2747" t="s">
        <v>27</v>
      </c>
      <c r="E2747" s="208" t="s">
        <v>132</v>
      </c>
      <c r="F2747" t="s">
        <v>6</v>
      </c>
      <c r="G2747" s="18">
        <v>0</v>
      </c>
      <c r="H2747" t="s">
        <v>16</v>
      </c>
      <c r="I2747" t="s">
        <v>25</v>
      </c>
    </row>
    <row r="2748" spans="1:9" x14ac:dyDescent="0.25">
      <c r="A2748">
        <v>1808</v>
      </c>
      <c r="B2748">
        <f>A2748+1</f>
        <v>1809</v>
      </c>
      <c r="C2748" t="s">
        <v>515</v>
      </c>
      <c r="D2748" t="s">
        <v>27</v>
      </c>
      <c r="E2748" s="208" t="s">
        <v>142</v>
      </c>
      <c r="F2748" t="s">
        <v>6</v>
      </c>
      <c r="G2748" s="18">
        <v>0</v>
      </c>
      <c r="H2748" t="s">
        <v>16</v>
      </c>
      <c r="I2748" t="s">
        <v>25</v>
      </c>
    </row>
    <row r="2749" spans="1:9" x14ac:dyDescent="0.25">
      <c r="A2749">
        <v>1808</v>
      </c>
      <c r="B2749">
        <f>A2749+1</f>
        <v>1809</v>
      </c>
      <c r="C2749" t="s">
        <v>515</v>
      </c>
      <c r="D2749" t="s">
        <v>27</v>
      </c>
      <c r="E2749" s="208" t="s">
        <v>144</v>
      </c>
      <c r="F2749" t="s">
        <v>6</v>
      </c>
      <c r="G2749" s="18">
        <v>0</v>
      </c>
      <c r="H2749" t="s">
        <v>16</v>
      </c>
      <c r="I2749" t="s">
        <v>25</v>
      </c>
    </row>
    <row r="2750" spans="1:9" x14ac:dyDescent="0.25">
      <c r="A2750">
        <v>1808</v>
      </c>
      <c r="B2750">
        <f>A2750+1</f>
        <v>1809</v>
      </c>
      <c r="C2750" t="s">
        <v>515</v>
      </c>
      <c r="D2750" t="s">
        <v>27</v>
      </c>
      <c r="E2750" s="208" t="s">
        <v>124</v>
      </c>
      <c r="F2750" t="s">
        <v>6</v>
      </c>
      <c r="G2750" s="18">
        <v>0</v>
      </c>
      <c r="H2750" t="s">
        <v>16</v>
      </c>
      <c r="I2750" t="s">
        <v>25</v>
      </c>
    </row>
    <row r="2751" spans="1:9" x14ac:dyDescent="0.25">
      <c r="A2751">
        <v>1808</v>
      </c>
      <c r="B2751">
        <f>A2751+1</f>
        <v>1809</v>
      </c>
      <c r="C2751" t="s">
        <v>515</v>
      </c>
      <c r="D2751" t="s">
        <v>27</v>
      </c>
      <c r="E2751" s="208" t="s">
        <v>155</v>
      </c>
      <c r="F2751" t="s">
        <v>4</v>
      </c>
      <c r="G2751" s="18">
        <v>73</v>
      </c>
      <c r="H2751" t="s">
        <v>16</v>
      </c>
      <c r="I2751" t="s">
        <v>23</v>
      </c>
    </row>
    <row r="2752" spans="1:9" x14ac:dyDescent="0.25">
      <c r="A2752">
        <v>1808</v>
      </c>
      <c r="B2752">
        <f>A2752+1</f>
        <v>1809</v>
      </c>
      <c r="C2752" t="s">
        <v>515</v>
      </c>
      <c r="D2752" t="s">
        <v>27</v>
      </c>
      <c r="E2752" s="208" t="s">
        <v>156</v>
      </c>
      <c r="F2752" t="s">
        <v>4</v>
      </c>
      <c r="G2752" s="18">
        <v>38</v>
      </c>
      <c r="H2752" t="s">
        <v>16</v>
      </c>
      <c r="I2752" t="s">
        <v>23</v>
      </c>
    </row>
    <row r="2753" spans="1:9" x14ac:dyDescent="0.25">
      <c r="A2753">
        <v>1808</v>
      </c>
      <c r="B2753">
        <f>A2753+1</f>
        <v>1809</v>
      </c>
      <c r="C2753" t="s">
        <v>515</v>
      </c>
      <c r="D2753" t="s">
        <v>27</v>
      </c>
      <c r="E2753" s="208" t="s">
        <v>154</v>
      </c>
      <c r="F2753" t="s">
        <v>4</v>
      </c>
      <c r="G2753" s="18">
        <v>8</v>
      </c>
      <c r="H2753" t="s">
        <v>16</v>
      </c>
      <c r="I2753" t="s">
        <v>23</v>
      </c>
    </row>
    <row r="2754" spans="1:9" x14ac:dyDescent="0.25">
      <c r="A2754">
        <v>1808</v>
      </c>
      <c r="B2754">
        <f>A2754+1</f>
        <v>1809</v>
      </c>
      <c r="C2754" t="s">
        <v>515</v>
      </c>
      <c r="D2754" t="s">
        <v>27</v>
      </c>
      <c r="E2754" s="208" t="s">
        <v>150</v>
      </c>
      <c r="F2754" t="s">
        <v>4</v>
      </c>
      <c r="G2754" s="18">
        <v>1180</v>
      </c>
      <c r="H2754" t="s">
        <v>16</v>
      </c>
      <c r="I2754" t="s">
        <v>23</v>
      </c>
    </row>
    <row r="2755" spans="1:9" x14ac:dyDescent="0.25">
      <c r="A2755">
        <v>1808</v>
      </c>
      <c r="B2755">
        <f>A2755+1</f>
        <v>1809</v>
      </c>
      <c r="C2755" t="s">
        <v>515</v>
      </c>
      <c r="D2755" t="s">
        <v>27</v>
      </c>
      <c r="E2755" s="208" t="s">
        <v>148</v>
      </c>
      <c r="F2755" t="s">
        <v>4</v>
      </c>
      <c r="G2755" s="18">
        <v>1</v>
      </c>
      <c r="H2755" t="s">
        <v>16</v>
      </c>
      <c r="I2755" t="s">
        <v>23</v>
      </c>
    </row>
    <row r="2756" spans="1:9" x14ac:dyDescent="0.25">
      <c r="A2756">
        <v>1808</v>
      </c>
      <c r="B2756">
        <f>A2756+1</f>
        <v>1809</v>
      </c>
      <c r="C2756" t="s">
        <v>515</v>
      </c>
      <c r="D2756" t="s">
        <v>27</v>
      </c>
      <c r="E2756" s="208" t="s">
        <v>139</v>
      </c>
      <c r="F2756" t="s">
        <v>4</v>
      </c>
      <c r="G2756" s="18">
        <v>3</v>
      </c>
      <c r="H2756" t="s">
        <v>16</v>
      </c>
      <c r="I2756" t="s">
        <v>23</v>
      </c>
    </row>
    <row r="2757" spans="1:9" x14ac:dyDescent="0.25">
      <c r="A2757">
        <v>1808</v>
      </c>
      <c r="B2757">
        <f>A2757+1</f>
        <v>1809</v>
      </c>
      <c r="C2757" t="s">
        <v>515</v>
      </c>
      <c r="D2757" t="s">
        <v>27</v>
      </c>
      <c r="E2757" s="208" t="s">
        <v>130</v>
      </c>
      <c r="F2757" t="s">
        <v>4</v>
      </c>
      <c r="G2757" s="18">
        <v>40</v>
      </c>
      <c r="H2757" t="s">
        <v>16</v>
      </c>
      <c r="I2757" t="s">
        <v>23</v>
      </c>
    </row>
    <row r="2758" spans="1:9" x14ac:dyDescent="0.25">
      <c r="A2758">
        <v>1808</v>
      </c>
      <c r="B2758">
        <f>A2758+1</f>
        <v>1809</v>
      </c>
      <c r="C2758" t="s">
        <v>515</v>
      </c>
      <c r="D2758" t="s">
        <v>27</v>
      </c>
      <c r="E2758" s="208" t="s">
        <v>132</v>
      </c>
      <c r="F2758" t="s">
        <v>4</v>
      </c>
      <c r="G2758" s="18">
        <v>208</v>
      </c>
      <c r="H2758" t="s">
        <v>16</v>
      </c>
      <c r="I2758" t="s">
        <v>23</v>
      </c>
    </row>
    <row r="2759" spans="1:9" x14ac:dyDescent="0.25">
      <c r="A2759">
        <v>1808</v>
      </c>
      <c r="B2759">
        <f>A2759+1</f>
        <v>1809</v>
      </c>
      <c r="C2759" t="s">
        <v>515</v>
      </c>
      <c r="D2759" t="s">
        <v>27</v>
      </c>
      <c r="E2759" s="208" t="s">
        <v>142</v>
      </c>
      <c r="F2759" t="s">
        <v>4</v>
      </c>
      <c r="G2759" s="18">
        <v>136</v>
      </c>
      <c r="H2759" t="s">
        <v>16</v>
      </c>
      <c r="I2759" t="s">
        <v>23</v>
      </c>
    </row>
    <row r="2760" spans="1:9" x14ac:dyDescent="0.25">
      <c r="A2760">
        <v>1808</v>
      </c>
      <c r="B2760">
        <f>A2760+1</f>
        <v>1809</v>
      </c>
      <c r="C2760" t="s">
        <v>515</v>
      </c>
      <c r="D2760" t="s">
        <v>27</v>
      </c>
      <c r="E2760" s="208" t="s">
        <v>144</v>
      </c>
      <c r="F2760" t="s">
        <v>4</v>
      </c>
      <c r="G2760" s="18">
        <v>1366</v>
      </c>
      <c r="H2760" t="s">
        <v>16</v>
      </c>
      <c r="I2760" t="s">
        <v>23</v>
      </c>
    </row>
    <row r="2761" spans="1:9" x14ac:dyDescent="0.25">
      <c r="A2761">
        <v>1808</v>
      </c>
      <c r="B2761">
        <f>A2761+1</f>
        <v>1809</v>
      </c>
      <c r="C2761" t="s">
        <v>515</v>
      </c>
      <c r="D2761" t="s">
        <v>27</v>
      </c>
      <c r="E2761" s="208" t="s">
        <v>124</v>
      </c>
      <c r="F2761" t="s">
        <v>4</v>
      </c>
      <c r="G2761" s="18">
        <v>1096665</v>
      </c>
      <c r="H2761" t="s">
        <v>16</v>
      </c>
      <c r="I2761" t="s">
        <v>23</v>
      </c>
    </row>
    <row r="2762" spans="1:9" x14ac:dyDescent="0.25">
      <c r="A2762">
        <v>1808</v>
      </c>
      <c r="B2762">
        <f>A2762+1</f>
        <v>1809</v>
      </c>
      <c r="C2762" t="s">
        <v>515</v>
      </c>
      <c r="D2762" t="s">
        <v>26</v>
      </c>
      <c r="E2762" s="208" t="s">
        <v>57</v>
      </c>
      <c r="F2762" t="s">
        <v>4</v>
      </c>
      <c r="G2762" s="18">
        <v>36645</v>
      </c>
      <c r="H2762" t="s">
        <v>23</v>
      </c>
      <c r="I2762" t="s">
        <v>16</v>
      </c>
    </row>
    <row r="2763" spans="1:9" x14ac:dyDescent="0.25">
      <c r="A2763">
        <v>1808</v>
      </c>
      <c r="B2763">
        <f>A2763+1</f>
        <v>1809</v>
      </c>
      <c r="C2763" t="s">
        <v>515</v>
      </c>
      <c r="D2763" t="s">
        <v>26</v>
      </c>
      <c r="E2763" s="208" t="s">
        <v>35</v>
      </c>
      <c r="F2763" t="s">
        <v>4</v>
      </c>
      <c r="G2763" s="18">
        <v>713</v>
      </c>
      <c r="H2763" t="s">
        <v>23</v>
      </c>
      <c r="I2763" t="s">
        <v>16</v>
      </c>
    </row>
    <row r="2764" spans="1:9" x14ac:dyDescent="0.25">
      <c r="A2764">
        <v>1808</v>
      </c>
      <c r="B2764">
        <f>A2764+1</f>
        <v>1809</v>
      </c>
      <c r="C2764" t="s">
        <v>515</v>
      </c>
      <c r="D2764" t="s">
        <v>26</v>
      </c>
      <c r="E2764" s="208" t="s">
        <v>36</v>
      </c>
      <c r="F2764" t="s">
        <v>4</v>
      </c>
      <c r="G2764" s="18">
        <v>2536</v>
      </c>
      <c r="H2764" t="s">
        <v>23</v>
      </c>
      <c r="I2764" t="s">
        <v>16</v>
      </c>
    </row>
    <row r="2765" spans="1:9" x14ac:dyDescent="0.25">
      <c r="A2765">
        <v>1808</v>
      </c>
      <c r="B2765">
        <f>A2765+1</f>
        <v>1809</v>
      </c>
      <c r="C2765" t="s">
        <v>515</v>
      </c>
      <c r="D2765" t="s">
        <v>26</v>
      </c>
      <c r="E2765" s="208" t="s">
        <v>39</v>
      </c>
      <c r="F2765" t="s">
        <v>4</v>
      </c>
      <c r="G2765" s="18">
        <v>1149</v>
      </c>
      <c r="H2765" t="s">
        <v>23</v>
      </c>
      <c r="I2765" t="s">
        <v>16</v>
      </c>
    </row>
    <row r="2766" spans="1:9" x14ac:dyDescent="0.25">
      <c r="A2766">
        <v>1808</v>
      </c>
      <c r="B2766">
        <f>A2766+1</f>
        <v>1809</v>
      </c>
      <c r="C2766" t="s">
        <v>515</v>
      </c>
      <c r="D2766" t="s">
        <v>26</v>
      </c>
      <c r="E2766" s="208" t="s">
        <v>99</v>
      </c>
      <c r="F2766" t="s">
        <v>4</v>
      </c>
      <c r="G2766" s="18">
        <v>1695</v>
      </c>
      <c r="H2766" t="s">
        <v>23</v>
      </c>
      <c r="I2766" t="s">
        <v>16</v>
      </c>
    </row>
    <row r="2767" spans="1:9" x14ac:dyDescent="0.25">
      <c r="A2767">
        <v>1808</v>
      </c>
      <c r="B2767">
        <f>A2767+1</f>
        <v>1809</v>
      </c>
      <c r="C2767" t="s">
        <v>515</v>
      </c>
      <c r="D2767" t="s">
        <v>26</v>
      </c>
      <c r="E2767" s="208" t="s">
        <v>351</v>
      </c>
      <c r="F2767" t="s">
        <v>4</v>
      </c>
      <c r="G2767" s="18">
        <v>1044</v>
      </c>
      <c r="H2767" t="s">
        <v>23</v>
      </c>
      <c r="I2767" t="s">
        <v>16</v>
      </c>
    </row>
    <row r="2768" spans="1:9" x14ac:dyDescent="0.25">
      <c r="A2768">
        <v>1808</v>
      </c>
      <c r="B2768">
        <f>A2768+1</f>
        <v>1809</v>
      </c>
      <c r="C2768" t="s">
        <v>515</v>
      </c>
      <c r="D2768" t="s">
        <v>26</v>
      </c>
      <c r="E2768" s="208" t="s">
        <v>352</v>
      </c>
      <c r="F2768" t="s">
        <v>4</v>
      </c>
      <c r="G2768" s="18">
        <v>15188</v>
      </c>
      <c r="H2768" t="s">
        <v>23</v>
      </c>
      <c r="I2768" t="s">
        <v>16</v>
      </c>
    </row>
    <row r="2769" spans="1:9" x14ac:dyDescent="0.25">
      <c r="A2769">
        <v>1808</v>
      </c>
      <c r="B2769">
        <f>A2769+1</f>
        <v>1809</v>
      </c>
      <c r="C2769" t="s">
        <v>515</v>
      </c>
      <c r="D2769" t="s">
        <v>26</v>
      </c>
      <c r="E2769" s="208" t="s">
        <v>75</v>
      </c>
      <c r="F2769" t="s">
        <v>4</v>
      </c>
      <c r="G2769" s="18">
        <v>2594537</v>
      </c>
      <c r="H2769" t="s">
        <v>23</v>
      </c>
      <c r="I2769" t="s">
        <v>16</v>
      </c>
    </row>
    <row r="2770" spans="1:9" x14ac:dyDescent="0.25">
      <c r="A2770">
        <v>1808</v>
      </c>
      <c r="B2770">
        <f>A2770+1</f>
        <v>1809</v>
      </c>
      <c r="C2770" t="s">
        <v>515</v>
      </c>
      <c r="D2770" t="s">
        <v>26</v>
      </c>
      <c r="E2770" s="208" t="s">
        <v>107</v>
      </c>
      <c r="F2770" t="s">
        <v>4</v>
      </c>
      <c r="G2770" s="18">
        <v>1416710</v>
      </c>
      <c r="H2770" t="s">
        <v>23</v>
      </c>
      <c r="I2770" t="s">
        <v>16</v>
      </c>
    </row>
    <row r="2771" spans="1:9" x14ac:dyDescent="0.25">
      <c r="A2771">
        <v>1808</v>
      </c>
      <c r="B2771">
        <f>A2771+1</f>
        <v>1809</v>
      </c>
      <c r="C2771" t="s">
        <v>515</v>
      </c>
      <c r="D2771" t="s">
        <v>26</v>
      </c>
      <c r="E2771" s="208" t="s">
        <v>101</v>
      </c>
      <c r="F2771" t="s">
        <v>4</v>
      </c>
      <c r="G2771" s="18">
        <v>4270995</v>
      </c>
      <c r="H2771" t="s">
        <v>23</v>
      </c>
      <c r="I2771" t="s">
        <v>16</v>
      </c>
    </row>
    <row r="2772" spans="1:9" x14ac:dyDescent="0.25">
      <c r="A2772">
        <v>1808</v>
      </c>
      <c r="B2772">
        <f>A2772+1</f>
        <v>1809</v>
      </c>
      <c r="C2772" t="s">
        <v>515</v>
      </c>
      <c r="D2772" t="s">
        <v>27</v>
      </c>
      <c r="E2772" s="208" t="s">
        <v>155</v>
      </c>
      <c r="F2772" t="s">
        <v>7</v>
      </c>
      <c r="G2772" s="18">
        <v>23682</v>
      </c>
      <c r="H2772" t="s">
        <v>16</v>
      </c>
      <c r="I2772" s="151" t="s">
        <v>562</v>
      </c>
    </row>
    <row r="2773" spans="1:9" x14ac:dyDescent="0.25">
      <c r="A2773">
        <v>1808</v>
      </c>
      <c r="B2773">
        <f>A2773+1</f>
        <v>1809</v>
      </c>
      <c r="C2773" t="s">
        <v>515</v>
      </c>
      <c r="D2773" t="s">
        <v>27</v>
      </c>
      <c r="E2773" s="208" t="s">
        <v>156</v>
      </c>
      <c r="F2773" t="s">
        <v>7</v>
      </c>
      <c r="G2773" s="18">
        <v>4042</v>
      </c>
      <c r="H2773" t="s">
        <v>16</v>
      </c>
      <c r="I2773" s="151" t="s">
        <v>562</v>
      </c>
    </row>
    <row r="2774" spans="1:9" x14ac:dyDescent="0.25">
      <c r="A2774">
        <v>1808</v>
      </c>
      <c r="B2774">
        <f>A2774+1</f>
        <v>1809</v>
      </c>
      <c r="C2774" t="s">
        <v>515</v>
      </c>
      <c r="D2774" t="s">
        <v>27</v>
      </c>
      <c r="E2774" s="208" t="s">
        <v>154</v>
      </c>
      <c r="F2774" t="s">
        <v>7</v>
      </c>
      <c r="G2774" s="18">
        <v>2883</v>
      </c>
      <c r="H2774" t="s">
        <v>16</v>
      </c>
      <c r="I2774" s="151" t="s">
        <v>562</v>
      </c>
    </row>
    <row r="2775" spans="1:9" x14ac:dyDescent="0.25">
      <c r="A2775">
        <v>1808</v>
      </c>
      <c r="B2775">
        <f>A2775+1</f>
        <v>1809</v>
      </c>
      <c r="C2775" t="s">
        <v>515</v>
      </c>
      <c r="D2775" t="s">
        <v>27</v>
      </c>
      <c r="E2775" s="208" t="s">
        <v>150</v>
      </c>
      <c r="F2775" t="s">
        <v>7</v>
      </c>
      <c r="G2775" s="18">
        <v>12372</v>
      </c>
      <c r="H2775" t="s">
        <v>16</v>
      </c>
      <c r="I2775" s="151" t="s">
        <v>562</v>
      </c>
    </row>
    <row r="2776" spans="1:9" x14ac:dyDescent="0.25">
      <c r="A2776">
        <v>1808</v>
      </c>
      <c r="B2776">
        <f>A2776+1</f>
        <v>1809</v>
      </c>
      <c r="C2776" t="s">
        <v>515</v>
      </c>
      <c r="D2776" t="s">
        <v>27</v>
      </c>
      <c r="E2776" s="208" t="s">
        <v>148</v>
      </c>
      <c r="F2776" t="s">
        <v>7</v>
      </c>
      <c r="G2776" s="18">
        <v>1366</v>
      </c>
      <c r="H2776" t="s">
        <v>16</v>
      </c>
      <c r="I2776" s="151" t="s">
        <v>562</v>
      </c>
    </row>
    <row r="2777" spans="1:9" x14ac:dyDescent="0.25">
      <c r="A2777">
        <v>1808</v>
      </c>
      <c r="B2777">
        <f>A2777+1</f>
        <v>1809</v>
      </c>
      <c r="C2777" t="s">
        <v>515</v>
      </c>
      <c r="D2777" t="s">
        <v>27</v>
      </c>
      <c r="E2777" s="208" t="s">
        <v>314</v>
      </c>
      <c r="F2777" t="s">
        <v>7</v>
      </c>
      <c r="G2777" s="18">
        <v>0</v>
      </c>
      <c r="H2777" t="s">
        <v>16</v>
      </c>
      <c r="I2777" s="151" t="s">
        <v>562</v>
      </c>
    </row>
    <row r="2778" spans="1:9" x14ac:dyDescent="0.25">
      <c r="A2778">
        <v>1808</v>
      </c>
      <c r="B2778">
        <f>A2778+1</f>
        <v>1809</v>
      </c>
      <c r="C2778" t="s">
        <v>515</v>
      </c>
      <c r="D2778" t="s">
        <v>27</v>
      </c>
      <c r="E2778" s="208" t="s">
        <v>149</v>
      </c>
      <c r="F2778" t="s">
        <v>7</v>
      </c>
      <c r="G2778" s="18">
        <v>0</v>
      </c>
      <c r="H2778" t="s">
        <v>16</v>
      </c>
      <c r="I2778" s="151" t="s">
        <v>562</v>
      </c>
    </row>
    <row r="2779" spans="1:9" x14ac:dyDescent="0.25">
      <c r="A2779">
        <v>1808</v>
      </c>
      <c r="B2779">
        <f>A2779+1</f>
        <v>1809</v>
      </c>
      <c r="C2779" t="s">
        <v>515</v>
      </c>
      <c r="D2779" t="s">
        <v>27</v>
      </c>
      <c r="E2779" s="208" t="s">
        <v>139</v>
      </c>
      <c r="F2779" t="s">
        <v>7</v>
      </c>
      <c r="G2779" s="18">
        <v>88</v>
      </c>
      <c r="H2779" t="s">
        <v>16</v>
      </c>
      <c r="I2779" s="151" t="s">
        <v>562</v>
      </c>
    </row>
    <row r="2780" spans="1:9" x14ac:dyDescent="0.25">
      <c r="A2780">
        <v>1808</v>
      </c>
      <c r="B2780">
        <f>A2780+1</f>
        <v>1809</v>
      </c>
      <c r="C2780" t="s">
        <v>515</v>
      </c>
      <c r="D2780" t="s">
        <v>27</v>
      </c>
      <c r="E2780" s="208" t="s">
        <v>130</v>
      </c>
      <c r="F2780" t="s">
        <v>7</v>
      </c>
      <c r="G2780" s="18">
        <v>383</v>
      </c>
      <c r="H2780" t="s">
        <v>16</v>
      </c>
      <c r="I2780" s="151" t="s">
        <v>562</v>
      </c>
    </row>
    <row r="2781" spans="1:9" x14ac:dyDescent="0.25">
      <c r="A2781">
        <v>1808</v>
      </c>
      <c r="B2781">
        <f>A2781+1</f>
        <v>1809</v>
      </c>
      <c r="C2781" t="s">
        <v>515</v>
      </c>
      <c r="D2781" t="s">
        <v>27</v>
      </c>
      <c r="E2781" s="208" t="s">
        <v>132</v>
      </c>
      <c r="F2781" t="s">
        <v>7</v>
      </c>
      <c r="G2781" s="18">
        <v>994</v>
      </c>
      <c r="H2781" t="s">
        <v>16</v>
      </c>
      <c r="I2781" s="151" t="s">
        <v>562</v>
      </c>
    </row>
    <row r="2782" spans="1:9" x14ac:dyDescent="0.25">
      <c r="A2782">
        <v>1808</v>
      </c>
      <c r="B2782">
        <f>A2782+1</f>
        <v>1809</v>
      </c>
      <c r="C2782" t="s">
        <v>515</v>
      </c>
      <c r="D2782" t="s">
        <v>27</v>
      </c>
      <c r="E2782" s="208" t="s">
        <v>142</v>
      </c>
      <c r="F2782" t="s">
        <v>7</v>
      </c>
      <c r="G2782" s="18">
        <v>740</v>
      </c>
      <c r="H2782" t="s">
        <v>16</v>
      </c>
      <c r="I2782" s="151" t="s">
        <v>562</v>
      </c>
    </row>
    <row r="2783" spans="1:9" x14ac:dyDescent="0.25">
      <c r="A2783">
        <v>1808</v>
      </c>
      <c r="B2783">
        <f>A2783+1</f>
        <v>1809</v>
      </c>
      <c r="C2783" t="s">
        <v>515</v>
      </c>
      <c r="D2783" t="s">
        <v>27</v>
      </c>
      <c r="E2783" s="208" t="s">
        <v>144</v>
      </c>
      <c r="F2783" t="s">
        <v>7</v>
      </c>
      <c r="G2783" s="18">
        <v>4894</v>
      </c>
      <c r="H2783" t="s">
        <v>16</v>
      </c>
      <c r="I2783" s="151" t="s">
        <v>562</v>
      </c>
    </row>
    <row r="2784" spans="1:9" x14ac:dyDescent="0.25">
      <c r="A2784">
        <v>1808</v>
      </c>
      <c r="B2784">
        <f>A2784+1</f>
        <v>1809</v>
      </c>
      <c r="C2784" t="s">
        <v>515</v>
      </c>
      <c r="D2784" t="s">
        <v>27</v>
      </c>
      <c r="E2784" s="208" t="s">
        <v>124</v>
      </c>
      <c r="F2784" t="s">
        <v>7</v>
      </c>
      <c r="G2784" s="18">
        <v>14924740</v>
      </c>
      <c r="H2784" t="s">
        <v>16</v>
      </c>
      <c r="I2784" s="151" t="s">
        <v>562</v>
      </c>
    </row>
    <row r="2785" spans="1:9" x14ac:dyDescent="0.25">
      <c r="A2785">
        <v>1808</v>
      </c>
      <c r="B2785">
        <f>A2785+1</f>
        <v>1809</v>
      </c>
      <c r="C2785" t="s">
        <v>515</v>
      </c>
      <c r="D2785" t="s">
        <v>26</v>
      </c>
      <c r="E2785" s="208" t="s">
        <v>62</v>
      </c>
      <c r="F2785" t="s">
        <v>7</v>
      </c>
      <c r="G2785" s="18">
        <v>4412</v>
      </c>
      <c r="H2785" s="151" t="s">
        <v>563</v>
      </c>
      <c r="I2785" t="s">
        <v>16</v>
      </c>
    </row>
    <row r="2786" spans="1:9" x14ac:dyDescent="0.25">
      <c r="A2786">
        <v>1808</v>
      </c>
      <c r="B2786">
        <f>A2786+1</f>
        <v>1809</v>
      </c>
      <c r="C2786" t="s">
        <v>515</v>
      </c>
      <c r="D2786" t="s">
        <v>26</v>
      </c>
      <c r="E2786" s="208" t="s">
        <v>58</v>
      </c>
      <c r="F2786" t="s">
        <v>7</v>
      </c>
      <c r="G2786" s="18">
        <v>0</v>
      </c>
      <c r="H2786" s="151" t="s">
        <v>563</v>
      </c>
      <c r="I2786" t="s">
        <v>16</v>
      </c>
    </row>
    <row r="2787" spans="1:9" x14ac:dyDescent="0.25">
      <c r="A2787">
        <v>1808</v>
      </c>
      <c r="B2787">
        <f>A2787+1</f>
        <v>1809</v>
      </c>
      <c r="C2787" t="s">
        <v>515</v>
      </c>
      <c r="D2787" t="s">
        <v>26</v>
      </c>
      <c r="E2787" s="208" t="s">
        <v>57</v>
      </c>
      <c r="F2787" t="s">
        <v>7</v>
      </c>
      <c r="G2787" s="18">
        <v>36645</v>
      </c>
      <c r="H2787" s="151" t="s">
        <v>563</v>
      </c>
      <c r="I2787" t="s">
        <v>16</v>
      </c>
    </row>
    <row r="2788" spans="1:9" x14ac:dyDescent="0.25">
      <c r="A2788">
        <v>1808</v>
      </c>
      <c r="B2788">
        <f>A2788+1</f>
        <v>1809</v>
      </c>
      <c r="C2788" t="s">
        <v>515</v>
      </c>
      <c r="D2788" t="s">
        <v>26</v>
      </c>
      <c r="E2788" s="208" t="s">
        <v>35</v>
      </c>
      <c r="F2788" t="s">
        <v>7</v>
      </c>
      <c r="G2788" s="18">
        <v>713</v>
      </c>
      <c r="H2788" s="151" t="s">
        <v>563</v>
      </c>
      <c r="I2788" t="s">
        <v>16</v>
      </c>
    </row>
    <row r="2789" spans="1:9" x14ac:dyDescent="0.25">
      <c r="A2789">
        <v>1808</v>
      </c>
      <c r="B2789">
        <f>A2789+1</f>
        <v>1809</v>
      </c>
      <c r="C2789" t="s">
        <v>515</v>
      </c>
      <c r="D2789" t="s">
        <v>26</v>
      </c>
      <c r="E2789" s="208" t="s">
        <v>36</v>
      </c>
      <c r="F2789" t="s">
        <v>7</v>
      </c>
      <c r="G2789" s="18">
        <v>2906</v>
      </c>
      <c r="H2789" s="151" t="s">
        <v>563</v>
      </c>
      <c r="I2789" t="s">
        <v>16</v>
      </c>
    </row>
    <row r="2790" spans="1:9" x14ac:dyDescent="0.25">
      <c r="A2790">
        <v>1808</v>
      </c>
      <c r="B2790">
        <f>A2790+1</f>
        <v>1809</v>
      </c>
      <c r="C2790" t="s">
        <v>515</v>
      </c>
      <c r="D2790" t="s">
        <v>26</v>
      </c>
      <c r="E2790" s="208" t="s">
        <v>39</v>
      </c>
      <c r="F2790" t="s">
        <v>7</v>
      </c>
      <c r="G2790" s="18">
        <v>1169</v>
      </c>
      <c r="H2790" s="151" t="s">
        <v>563</v>
      </c>
      <c r="I2790" t="s">
        <v>16</v>
      </c>
    </row>
    <row r="2791" spans="1:9" x14ac:dyDescent="0.25">
      <c r="A2791">
        <v>1808</v>
      </c>
      <c r="B2791">
        <f>A2791+1</f>
        <v>1809</v>
      </c>
      <c r="C2791" t="s">
        <v>515</v>
      </c>
      <c r="D2791" t="s">
        <v>26</v>
      </c>
      <c r="E2791" s="208" t="s">
        <v>94</v>
      </c>
      <c r="F2791" t="s">
        <v>7</v>
      </c>
      <c r="G2791" s="18">
        <v>0</v>
      </c>
      <c r="H2791" s="151" t="s">
        <v>563</v>
      </c>
      <c r="I2791" t="s">
        <v>16</v>
      </c>
    </row>
    <row r="2792" spans="1:9" x14ac:dyDescent="0.25">
      <c r="A2792">
        <v>1808</v>
      </c>
      <c r="B2792">
        <f>A2792+1</f>
        <v>1809</v>
      </c>
      <c r="C2792" t="s">
        <v>515</v>
      </c>
      <c r="D2792" t="s">
        <v>26</v>
      </c>
      <c r="E2792" s="208" t="s">
        <v>99</v>
      </c>
      <c r="F2792" t="s">
        <v>7</v>
      </c>
      <c r="G2792" s="18">
        <v>1773</v>
      </c>
      <c r="H2792" s="151" t="s">
        <v>563</v>
      </c>
      <c r="I2792" t="s">
        <v>16</v>
      </c>
    </row>
    <row r="2793" spans="1:9" x14ac:dyDescent="0.25">
      <c r="A2793">
        <v>1808</v>
      </c>
      <c r="B2793">
        <f>A2793+1</f>
        <v>1809</v>
      </c>
      <c r="C2793" t="s">
        <v>515</v>
      </c>
      <c r="D2793" t="s">
        <v>26</v>
      </c>
      <c r="E2793" s="208" t="s">
        <v>28</v>
      </c>
      <c r="F2793" t="s">
        <v>7</v>
      </c>
      <c r="G2793" s="18">
        <v>422</v>
      </c>
      <c r="H2793" s="151" t="s">
        <v>563</v>
      </c>
      <c r="I2793" t="s">
        <v>16</v>
      </c>
    </row>
    <row r="2794" spans="1:9" x14ac:dyDescent="0.25">
      <c r="A2794">
        <v>1808</v>
      </c>
      <c r="B2794">
        <f>A2794+1</f>
        <v>1809</v>
      </c>
      <c r="C2794" t="s">
        <v>515</v>
      </c>
      <c r="D2794" t="s">
        <v>26</v>
      </c>
      <c r="E2794" s="208" t="s">
        <v>89</v>
      </c>
      <c r="F2794" t="s">
        <v>7</v>
      </c>
      <c r="G2794" s="18">
        <v>445</v>
      </c>
      <c r="H2794" s="151" t="s">
        <v>563</v>
      </c>
      <c r="I2794" t="s">
        <v>16</v>
      </c>
    </row>
    <row r="2795" spans="1:9" x14ac:dyDescent="0.25">
      <c r="A2795">
        <v>1808</v>
      </c>
      <c r="B2795">
        <f>A2795+1</f>
        <v>1809</v>
      </c>
      <c r="C2795" t="s">
        <v>515</v>
      </c>
      <c r="D2795" t="s">
        <v>26</v>
      </c>
      <c r="E2795" s="208" t="s">
        <v>45</v>
      </c>
      <c r="F2795" t="s">
        <v>7</v>
      </c>
      <c r="G2795" s="18">
        <v>613</v>
      </c>
      <c r="H2795" s="151" t="s">
        <v>563</v>
      </c>
      <c r="I2795" t="s">
        <v>16</v>
      </c>
    </row>
    <row r="2796" spans="1:9" x14ac:dyDescent="0.25">
      <c r="A2796">
        <v>1808</v>
      </c>
      <c r="B2796">
        <f>A2796+1</f>
        <v>1809</v>
      </c>
      <c r="C2796" t="s">
        <v>515</v>
      </c>
      <c r="D2796" t="s">
        <v>26</v>
      </c>
      <c r="E2796" s="208" t="s">
        <v>54</v>
      </c>
      <c r="F2796" t="s">
        <v>7</v>
      </c>
      <c r="G2796" s="18">
        <v>270</v>
      </c>
      <c r="H2796" s="151" t="s">
        <v>563</v>
      </c>
      <c r="I2796" t="s">
        <v>16</v>
      </c>
    </row>
    <row r="2797" spans="1:9" x14ac:dyDescent="0.25">
      <c r="A2797">
        <v>1808</v>
      </c>
      <c r="B2797">
        <f>A2797+1</f>
        <v>1809</v>
      </c>
      <c r="C2797" t="s">
        <v>515</v>
      </c>
      <c r="D2797" t="s">
        <v>26</v>
      </c>
      <c r="E2797" s="208" t="s">
        <v>53</v>
      </c>
      <c r="F2797" t="s">
        <v>7</v>
      </c>
      <c r="G2797" s="18">
        <v>337</v>
      </c>
      <c r="H2797" s="151" t="s">
        <v>563</v>
      </c>
      <c r="I2797" t="s">
        <v>16</v>
      </c>
    </row>
    <row r="2798" spans="1:9" x14ac:dyDescent="0.25">
      <c r="A2798">
        <v>1808</v>
      </c>
      <c r="B2798">
        <f>A2798+1</f>
        <v>1809</v>
      </c>
      <c r="C2798" t="s">
        <v>515</v>
      </c>
      <c r="D2798" t="s">
        <v>26</v>
      </c>
      <c r="E2798" s="208" t="s">
        <v>351</v>
      </c>
      <c r="F2798" t="s">
        <v>7</v>
      </c>
      <c r="G2798" s="18">
        <v>1044</v>
      </c>
      <c r="H2798" s="151" t="s">
        <v>563</v>
      </c>
      <c r="I2798" t="s">
        <v>16</v>
      </c>
    </row>
    <row r="2799" spans="1:9" x14ac:dyDescent="0.25">
      <c r="A2799">
        <v>1808</v>
      </c>
      <c r="B2799">
        <f>A2799+1</f>
        <v>1809</v>
      </c>
      <c r="C2799" t="s">
        <v>515</v>
      </c>
      <c r="D2799" t="s">
        <v>26</v>
      </c>
      <c r="E2799" s="208" t="s">
        <v>352</v>
      </c>
      <c r="F2799" t="s">
        <v>7</v>
      </c>
      <c r="G2799" s="18">
        <v>15188</v>
      </c>
      <c r="H2799" s="151" t="s">
        <v>563</v>
      </c>
      <c r="I2799" t="s">
        <v>16</v>
      </c>
    </row>
    <row r="2800" spans="1:9" x14ac:dyDescent="0.25">
      <c r="A2800">
        <v>1808</v>
      </c>
      <c r="B2800">
        <f>A2800+1</f>
        <v>1809</v>
      </c>
      <c r="C2800" t="s">
        <v>515</v>
      </c>
      <c r="D2800" t="s">
        <v>26</v>
      </c>
      <c r="E2800" s="208" t="s">
        <v>75</v>
      </c>
      <c r="F2800" t="s">
        <v>7</v>
      </c>
      <c r="G2800" s="18">
        <v>3205932</v>
      </c>
      <c r="H2800" s="151" t="s">
        <v>563</v>
      </c>
      <c r="I2800" t="s">
        <v>16</v>
      </c>
    </row>
    <row r="2801" spans="1:9" x14ac:dyDescent="0.25">
      <c r="A2801">
        <v>1808</v>
      </c>
      <c r="B2801">
        <f>A2801+1</f>
        <v>1809</v>
      </c>
      <c r="C2801" t="s">
        <v>515</v>
      </c>
      <c r="D2801" t="s">
        <v>26</v>
      </c>
      <c r="E2801" s="208" t="s">
        <v>107</v>
      </c>
      <c r="F2801" t="s">
        <v>7</v>
      </c>
      <c r="G2801" s="18">
        <v>1557015</v>
      </c>
      <c r="H2801" s="151" t="s">
        <v>563</v>
      </c>
      <c r="I2801" t="s">
        <v>16</v>
      </c>
    </row>
    <row r="2802" spans="1:9" x14ac:dyDescent="0.25">
      <c r="A2802">
        <v>1808</v>
      </c>
      <c r="B2802">
        <f>A2802+1</f>
        <v>1809</v>
      </c>
      <c r="C2802" t="s">
        <v>515</v>
      </c>
      <c r="D2802" t="s">
        <v>26</v>
      </c>
      <c r="E2802" s="208" t="s">
        <v>101</v>
      </c>
      <c r="F2802" t="s">
        <v>7</v>
      </c>
      <c r="G2802" s="18">
        <v>4434995</v>
      </c>
      <c r="H2802" s="151" t="s">
        <v>563</v>
      </c>
      <c r="I2802" t="s">
        <v>16</v>
      </c>
    </row>
    <row r="2803" spans="1:9" x14ac:dyDescent="0.25">
      <c r="A2803">
        <v>1808</v>
      </c>
      <c r="B2803">
        <f>A2803+1</f>
        <v>1809</v>
      </c>
      <c r="C2803" t="s">
        <v>515</v>
      </c>
      <c r="D2803" t="s">
        <v>26</v>
      </c>
      <c r="E2803" s="208" t="s">
        <v>65</v>
      </c>
      <c r="F2803" t="s">
        <v>7</v>
      </c>
      <c r="G2803" s="18">
        <v>4997</v>
      </c>
      <c r="H2803" s="151" t="s">
        <v>563</v>
      </c>
      <c r="I2803" t="s">
        <v>16</v>
      </c>
    </row>
    <row r="2804" spans="1:9" x14ac:dyDescent="0.25">
      <c r="A2804">
        <v>1808</v>
      </c>
      <c r="B2804">
        <f>A2804+1</f>
        <v>1809</v>
      </c>
      <c r="C2804" t="s">
        <v>515</v>
      </c>
      <c r="D2804" t="s">
        <v>26</v>
      </c>
      <c r="E2804" s="208" t="s">
        <v>88</v>
      </c>
      <c r="F2804" t="s">
        <v>7</v>
      </c>
      <c r="G2804" s="18">
        <v>842</v>
      </c>
      <c r="H2804" s="151" t="s">
        <v>563</v>
      </c>
      <c r="I2804" t="s">
        <v>16</v>
      </c>
    </row>
    <row r="2805" spans="1:9" x14ac:dyDescent="0.25">
      <c r="A2805">
        <v>1808</v>
      </c>
      <c r="B2805">
        <f>A2805+1</f>
        <v>1809</v>
      </c>
      <c r="C2805" t="s">
        <v>515</v>
      </c>
      <c r="D2805" t="s">
        <v>26</v>
      </c>
      <c r="E2805" s="208" t="s">
        <v>330</v>
      </c>
      <c r="F2805" t="s">
        <v>7</v>
      </c>
      <c r="G2805" s="18">
        <v>1096</v>
      </c>
      <c r="H2805" s="151" t="s">
        <v>563</v>
      </c>
      <c r="I2805" t="s">
        <v>16</v>
      </c>
    </row>
    <row r="2806" spans="1:9" x14ac:dyDescent="0.25">
      <c r="A2806">
        <v>1808</v>
      </c>
      <c r="B2806">
        <f>A2806+1</f>
        <v>1809</v>
      </c>
      <c r="C2806" t="s">
        <v>515</v>
      </c>
      <c r="D2806" t="s">
        <v>26</v>
      </c>
      <c r="E2806" s="208" t="s">
        <v>331</v>
      </c>
      <c r="F2806" t="s">
        <v>7</v>
      </c>
      <c r="G2806" s="18">
        <v>1719</v>
      </c>
      <c r="H2806" s="151" t="s">
        <v>563</v>
      </c>
      <c r="I2806" t="s">
        <v>16</v>
      </c>
    </row>
    <row r="2807" spans="1:9" x14ac:dyDescent="0.25">
      <c r="A2807">
        <v>1808</v>
      </c>
      <c r="B2807">
        <f>A2807+1</f>
        <v>1809</v>
      </c>
      <c r="C2807" t="s">
        <v>515</v>
      </c>
      <c r="D2807" t="s">
        <v>26</v>
      </c>
      <c r="E2807" s="208" t="s">
        <v>332</v>
      </c>
      <c r="F2807" t="s">
        <v>7</v>
      </c>
      <c r="G2807" s="18">
        <v>423</v>
      </c>
      <c r="H2807" s="151" t="s">
        <v>563</v>
      </c>
      <c r="I2807" t="s">
        <v>16</v>
      </c>
    </row>
    <row r="2808" spans="1:9" x14ac:dyDescent="0.25">
      <c r="A2808">
        <v>1808</v>
      </c>
      <c r="B2808">
        <f>A2808+1</f>
        <v>1809</v>
      </c>
      <c r="C2808" t="s">
        <v>515</v>
      </c>
      <c r="D2808" t="s">
        <v>26</v>
      </c>
      <c r="E2808" s="208" t="s">
        <v>333</v>
      </c>
      <c r="F2808" t="s">
        <v>7</v>
      </c>
      <c r="G2808" s="18">
        <v>427</v>
      </c>
      <c r="H2808" s="151" t="s">
        <v>563</v>
      </c>
      <c r="I2808" t="s">
        <v>16</v>
      </c>
    </row>
    <row r="2809" spans="1:9" x14ac:dyDescent="0.25">
      <c r="A2809">
        <v>1808</v>
      </c>
      <c r="B2809">
        <f>A2809+1</f>
        <v>1809</v>
      </c>
      <c r="C2809" t="s">
        <v>515</v>
      </c>
      <c r="D2809" t="s">
        <v>27</v>
      </c>
      <c r="E2809" s="208" t="s">
        <v>155</v>
      </c>
      <c r="F2809" t="s">
        <v>10</v>
      </c>
      <c r="G2809" s="18">
        <v>101</v>
      </c>
      <c r="H2809" t="s">
        <v>17</v>
      </c>
      <c r="I2809" t="s">
        <v>24</v>
      </c>
    </row>
    <row r="2810" spans="1:9" x14ac:dyDescent="0.25">
      <c r="A2810">
        <v>1808</v>
      </c>
      <c r="B2810">
        <f>A2810+1</f>
        <v>1809</v>
      </c>
      <c r="C2810" t="s">
        <v>515</v>
      </c>
      <c r="D2810" t="s">
        <v>27</v>
      </c>
      <c r="E2810" s="208" t="s">
        <v>156</v>
      </c>
      <c r="F2810" t="s">
        <v>10</v>
      </c>
      <c r="G2810" s="18">
        <v>17</v>
      </c>
      <c r="H2810" t="s">
        <v>17</v>
      </c>
      <c r="I2810" t="s">
        <v>24</v>
      </c>
    </row>
    <row r="2811" spans="1:9" x14ac:dyDescent="0.25">
      <c r="A2811">
        <v>1808</v>
      </c>
      <c r="B2811">
        <f>A2811+1</f>
        <v>1809</v>
      </c>
      <c r="C2811" t="s">
        <v>515</v>
      </c>
      <c r="D2811" t="s">
        <v>27</v>
      </c>
      <c r="E2811" s="208" t="s">
        <v>154</v>
      </c>
      <c r="F2811" t="s">
        <v>10</v>
      </c>
      <c r="G2811" s="18">
        <v>87</v>
      </c>
      <c r="H2811" t="s">
        <v>17</v>
      </c>
      <c r="I2811" t="s">
        <v>24</v>
      </c>
    </row>
    <row r="2812" spans="1:9" x14ac:dyDescent="0.25">
      <c r="A2812">
        <v>1808</v>
      </c>
      <c r="B2812">
        <f>A2812+1</f>
        <v>1809</v>
      </c>
      <c r="C2812" t="s">
        <v>515</v>
      </c>
      <c r="D2812" t="s">
        <v>27</v>
      </c>
      <c r="E2812" s="208" t="s">
        <v>150</v>
      </c>
      <c r="F2812" t="s">
        <v>10</v>
      </c>
      <c r="G2812" s="18">
        <v>2597</v>
      </c>
      <c r="H2812" t="s">
        <v>17</v>
      </c>
      <c r="I2812" t="s">
        <v>24</v>
      </c>
    </row>
    <row r="2813" spans="1:9" x14ac:dyDescent="0.25">
      <c r="A2813">
        <v>1808</v>
      </c>
      <c r="B2813">
        <f>A2813+1</f>
        <v>1809</v>
      </c>
      <c r="C2813" t="s">
        <v>515</v>
      </c>
      <c r="D2813" t="s">
        <v>27</v>
      </c>
      <c r="E2813" s="208" t="s">
        <v>148</v>
      </c>
      <c r="F2813" t="s">
        <v>10</v>
      </c>
      <c r="G2813" s="18">
        <v>130</v>
      </c>
      <c r="H2813" t="s">
        <v>17</v>
      </c>
      <c r="I2813" t="s">
        <v>24</v>
      </c>
    </row>
    <row r="2814" spans="1:9" x14ac:dyDescent="0.25">
      <c r="A2814">
        <v>1808</v>
      </c>
      <c r="B2814">
        <f>A2814+1</f>
        <v>1809</v>
      </c>
      <c r="C2814" t="s">
        <v>515</v>
      </c>
      <c r="D2814" t="s">
        <v>27</v>
      </c>
      <c r="E2814" s="208" t="s">
        <v>139</v>
      </c>
      <c r="F2814" t="s">
        <v>10</v>
      </c>
      <c r="G2814" s="18">
        <v>25</v>
      </c>
      <c r="H2814" t="s">
        <v>17</v>
      </c>
      <c r="I2814" t="s">
        <v>24</v>
      </c>
    </row>
    <row r="2815" spans="1:9" x14ac:dyDescent="0.25">
      <c r="A2815">
        <v>1808</v>
      </c>
      <c r="B2815">
        <f>A2815+1</f>
        <v>1809</v>
      </c>
      <c r="C2815" t="s">
        <v>515</v>
      </c>
      <c r="D2815" t="s">
        <v>27</v>
      </c>
      <c r="E2815" s="208" t="s">
        <v>130</v>
      </c>
      <c r="F2815" t="s">
        <v>10</v>
      </c>
      <c r="G2815" s="18">
        <v>7</v>
      </c>
      <c r="H2815" t="s">
        <v>17</v>
      </c>
      <c r="I2815" t="s">
        <v>24</v>
      </c>
    </row>
    <row r="2816" spans="1:9" x14ac:dyDescent="0.25">
      <c r="A2816">
        <v>1808</v>
      </c>
      <c r="B2816">
        <f>A2816+1</f>
        <v>1809</v>
      </c>
      <c r="C2816" t="s">
        <v>515</v>
      </c>
      <c r="D2816" t="s">
        <v>27</v>
      </c>
      <c r="E2816" s="208" t="s">
        <v>132</v>
      </c>
      <c r="F2816" t="s">
        <v>10</v>
      </c>
      <c r="G2816" s="18">
        <v>3</v>
      </c>
      <c r="H2816" t="s">
        <v>17</v>
      </c>
      <c r="I2816" t="s">
        <v>24</v>
      </c>
    </row>
    <row r="2817" spans="1:9" x14ac:dyDescent="0.25">
      <c r="A2817">
        <v>1808</v>
      </c>
      <c r="B2817">
        <f>A2817+1</f>
        <v>1809</v>
      </c>
      <c r="C2817" t="s">
        <v>515</v>
      </c>
      <c r="D2817" t="s">
        <v>27</v>
      </c>
      <c r="E2817" s="208" t="s">
        <v>142</v>
      </c>
      <c r="F2817" t="s">
        <v>10</v>
      </c>
      <c r="G2817" s="18">
        <v>109</v>
      </c>
      <c r="H2817" t="s">
        <v>17</v>
      </c>
      <c r="I2817" t="s">
        <v>24</v>
      </c>
    </row>
    <row r="2818" spans="1:9" x14ac:dyDescent="0.25">
      <c r="A2818">
        <v>1808</v>
      </c>
      <c r="B2818">
        <f>A2818+1</f>
        <v>1809</v>
      </c>
      <c r="C2818" t="s">
        <v>515</v>
      </c>
      <c r="D2818" t="s">
        <v>27</v>
      </c>
      <c r="E2818" s="208" t="s">
        <v>144</v>
      </c>
      <c r="F2818" t="s">
        <v>10</v>
      </c>
      <c r="G2818" s="18">
        <v>189</v>
      </c>
      <c r="H2818" t="s">
        <v>17</v>
      </c>
      <c r="I2818" t="s">
        <v>24</v>
      </c>
    </row>
    <row r="2819" spans="1:9" x14ac:dyDescent="0.25">
      <c r="A2819">
        <v>1808</v>
      </c>
      <c r="B2819">
        <f>A2819+1</f>
        <v>1809</v>
      </c>
      <c r="C2819" t="s">
        <v>515</v>
      </c>
      <c r="D2819" t="s">
        <v>27</v>
      </c>
      <c r="E2819" s="208" t="s">
        <v>124</v>
      </c>
      <c r="F2819" t="s">
        <v>10</v>
      </c>
      <c r="G2819" s="18">
        <v>125617</v>
      </c>
      <c r="H2819" t="s">
        <v>17</v>
      </c>
      <c r="I2819" t="s">
        <v>24</v>
      </c>
    </row>
    <row r="2820" spans="1:9" x14ac:dyDescent="0.25">
      <c r="A2820">
        <v>1808</v>
      </c>
      <c r="B2820">
        <f>A2820+1</f>
        <v>1809</v>
      </c>
      <c r="C2820" t="s">
        <v>515</v>
      </c>
      <c r="D2820" t="s">
        <v>26</v>
      </c>
      <c r="E2820" s="208" t="s">
        <v>62</v>
      </c>
      <c r="F2820" t="s">
        <v>10</v>
      </c>
      <c r="G2820" s="18">
        <v>464</v>
      </c>
      <c r="H2820" t="s">
        <v>24</v>
      </c>
      <c r="I2820" t="s">
        <v>17</v>
      </c>
    </row>
    <row r="2821" spans="1:9" x14ac:dyDescent="0.25">
      <c r="A2821">
        <v>1808</v>
      </c>
      <c r="B2821">
        <f>A2821+1</f>
        <v>1809</v>
      </c>
      <c r="C2821" t="s">
        <v>515</v>
      </c>
      <c r="D2821" t="s">
        <v>26</v>
      </c>
      <c r="E2821" s="208" t="s">
        <v>36</v>
      </c>
      <c r="F2821" t="s">
        <v>10</v>
      </c>
      <c r="G2821" s="18">
        <v>70</v>
      </c>
      <c r="H2821" t="s">
        <v>24</v>
      </c>
      <c r="I2821" t="s">
        <v>17</v>
      </c>
    </row>
    <row r="2822" spans="1:9" x14ac:dyDescent="0.25">
      <c r="A2822">
        <v>1808</v>
      </c>
      <c r="B2822">
        <f>A2822+1</f>
        <v>1809</v>
      </c>
      <c r="C2822" t="s">
        <v>515</v>
      </c>
      <c r="D2822" t="s">
        <v>26</v>
      </c>
      <c r="E2822" s="208" t="s">
        <v>39</v>
      </c>
      <c r="F2822" t="s">
        <v>10</v>
      </c>
      <c r="G2822" s="18">
        <v>10</v>
      </c>
      <c r="H2822" t="s">
        <v>24</v>
      </c>
      <c r="I2822" t="s">
        <v>17</v>
      </c>
    </row>
    <row r="2823" spans="1:9" x14ac:dyDescent="0.25">
      <c r="A2823">
        <v>1808</v>
      </c>
      <c r="B2823">
        <f>A2823+1</f>
        <v>1809</v>
      </c>
      <c r="C2823" t="s">
        <v>515</v>
      </c>
      <c r="D2823" t="s">
        <v>26</v>
      </c>
      <c r="E2823" s="208" t="s">
        <v>99</v>
      </c>
      <c r="F2823" t="s">
        <v>10</v>
      </c>
      <c r="G2823" s="18">
        <v>0</v>
      </c>
      <c r="H2823" t="s">
        <v>24</v>
      </c>
      <c r="I2823" t="s">
        <v>17</v>
      </c>
    </row>
    <row r="2824" spans="1:9" x14ac:dyDescent="0.25">
      <c r="A2824">
        <v>1808</v>
      </c>
      <c r="B2824">
        <f>A2824+1</f>
        <v>1809</v>
      </c>
      <c r="C2824" t="s">
        <v>515</v>
      </c>
      <c r="D2824" t="s">
        <v>26</v>
      </c>
      <c r="E2824" s="208" t="s">
        <v>28</v>
      </c>
      <c r="F2824" t="s">
        <v>10</v>
      </c>
      <c r="G2824" s="18">
        <v>106</v>
      </c>
      <c r="H2824" t="s">
        <v>24</v>
      </c>
      <c r="I2824" t="s">
        <v>17</v>
      </c>
    </row>
    <row r="2825" spans="1:9" x14ac:dyDescent="0.25">
      <c r="A2825">
        <v>1808</v>
      </c>
      <c r="B2825">
        <f>A2825+1</f>
        <v>1809</v>
      </c>
      <c r="C2825" t="s">
        <v>515</v>
      </c>
      <c r="D2825" t="s">
        <v>26</v>
      </c>
      <c r="E2825" s="208" t="s">
        <v>89</v>
      </c>
      <c r="F2825" t="s">
        <v>10</v>
      </c>
      <c r="G2825" s="18">
        <v>95</v>
      </c>
      <c r="H2825" t="s">
        <v>24</v>
      </c>
      <c r="I2825" t="s">
        <v>17</v>
      </c>
    </row>
    <row r="2826" spans="1:9" x14ac:dyDescent="0.25">
      <c r="A2826">
        <v>1808</v>
      </c>
      <c r="B2826">
        <f>A2826+1</f>
        <v>1809</v>
      </c>
      <c r="C2826" t="s">
        <v>515</v>
      </c>
      <c r="D2826" t="s">
        <v>26</v>
      </c>
      <c r="E2826" s="208" t="s">
        <v>45</v>
      </c>
      <c r="F2826" t="s">
        <v>10</v>
      </c>
      <c r="G2826" s="18">
        <v>93</v>
      </c>
      <c r="H2826" t="s">
        <v>24</v>
      </c>
      <c r="I2826" t="s">
        <v>17</v>
      </c>
    </row>
    <row r="2827" spans="1:9" x14ac:dyDescent="0.25">
      <c r="A2827">
        <v>1808</v>
      </c>
      <c r="B2827">
        <f>A2827+1</f>
        <v>1809</v>
      </c>
      <c r="C2827" t="s">
        <v>515</v>
      </c>
      <c r="D2827" t="s">
        <v>26</v>
      </c>
      <c r="E2827" s="208" t="s">
        <v>54</v>
      </c>
      <c r="F2827" t="s">
        <v>10</v>
      </c>
      <c r="G2827" s="18">
        <v>0</v>
      </c>
      <c r="H2827" t="s">
        <v>24</v>
      </c>
      <c r="I2827" t="s">
        <v>17</v>
      </c>
    </row>
    <row r="2828" spans="1:9" x14ac:dyDescent="0.25">
      <c r="A2828">
        <v>1808</v>
      </c>
      <c r="B2828">
        <f>A2828+1</f>
        <v>1809</v>
      </c>
      <c r="C2828" t="s">
        <v>515</v>
      </c>
      <c r="D2828" t="s">
        <v>26</v>
      </c>
      <c r="E2828" s="208" t="s">
        <v>53</v>
      </c>
      <c r="F2828" t="s">
        <v>10</v>
      </c>
      <c r="G2828" s="18">
        <v>26</v>
      </c>
      <c r="H2828" t="s">
        <v>24</v>
      </c>
      <c r="I2828" t="s">
        <v>17</v>
      </c>
    </row>
    <row r="2829" spans="1:9" x14ac:dyDescent="0.25">
      <c r="A2829">
        <v>1808</v>
      </c>
      <c r="B2829">
        <f>A2829+1</f>
        <v>1809</v>
      </c>
      <c r="C2829" t="s">
        <v>515</v>
      </c>
      <c r="D2829" t="s">
        <v>26</v>
      </c>
      <c r="E2829" s="208" t="s">
        <v>75</v>
      </c>
      <c r="F2829" t="s">
        <v>10</v>
      </c>
      <c r="G2829" s="18">
        <v>359821</v>
      </c>
      <c r="H2829" t="s">
        <v>24</v>
      </c>
      <c r="I2829" t="s">
        <v>17</v>
      </c>
    </row>
    <row r="2830" spans="1:9" x14ac:dyDescent="0.25">
      <c r="A2830">
        <v>1808</v>
      </c>
      <c r="B2830">
        <f>A2830+1</f>
        <v>1809</v>
      </c>
      <c r="C2830" t="s">
        <v>515</v>
      </c>
      <c r="D2830" t="s">
        <v>26</v>
      </c>
      <c r="E2830" s="208" t="s">
        <v>107</v>
      </c>
      <c r="F2830" t="s">
        <v>10</v>
      </c>
      <c r="G2830" s="18">
        <v>184200</v>
      </c>
      <c r="H2830" t="s">
        <v>24</v>
      </c>
      <c r="I2830" t="s">
        <v>17</v>
      </c>
    </row>
    <row r="2831" spans="1:9" x14ac:dyDescent="0.25">
      <c r="A2831">
        <v>1808</v>
      </c>
      <c r="B2831">
        <f>A2831+1</f>
        <v>1809</v>
      </c>
      <c r="C2831" t="s">
        <v>515</v>
      </c>
      <c r="D2831" t="s">
        <v>26</v>
      </c>
      <c r="E2831" s="208" t="s">
        <v>101</v>
      </c>
      <c r="F2831" t="s">
        <v>10</v>
      </c>
      <c r="G2831" s="18">
        <v>97500</v>
      </c>
      <c r="H2831" t="s">
        <v>24</v>
      </c>
      <c r="I2831" t="s">
        <v>17</v>
      </c>
    </row>
    <row r="2832" spans="1:9" x14ac:dyDescent="0.25">
      <c r="A2832">
        <v>1808</v>
      </c>
      <c r="B2832">
        <f>A2832+1</f>
        <v>1809</v>
      </c>
      <c r="C2832" t="s">
        <v>515</v>
      </c>
      <c r="D2832" t="s">
        <v>26</v>
      </c>
      <c r="E2832" s="208" t="s">
        <v>330</v>
      </c>
      <c r="F2832" t="s">
        <v>13</v>
      </c>
      <c r="G2832" s="18">
        <v>316</v>
      </c>
      <c r="H2832" t="s">
        <v>25</v>
      </c>
      <c r="I2832" t="s">
        <v>17</v>
      </c>
    </row>
    <row r="2833" spans="1:9" x14ac:dyDescent="0.25">
      <c r="A2833">
        <v>1808</v>
      </c>
      <c r="B2833">
        <f>A2833+1</f>
        <v>1809</v>
      </c>
      <c r="C2833" t="s">
        <v>515</v>
      </c>
      <c r="D2833" t="s">
        <v>26</v>
      </c>
      <c r="E2833" s="208" t="s">
        <v>331</v>
      </c>
      <c r="F2833" t="s">
        <v>13</v>
      </c>
      <c r="G2833" s="18">
        <v>478</v>
      </c>
      <c r="H2833" t="s">
        <v>25</v>
      </c>
      <c r="I2833" t="s">
        <v>17</v>
      </c>
    </row>
    <row r="2834" spans="1:9" x14ac:dyDescent="0.25">
      <c r="A2834">
        <v>1808</v>
      </c>
      <c r="B2834">
        <f>A2834+1</f>
        <v>1809</v>
      </c>
      <c r="C2834" t="s">
        <v>515</v>
      </c>
      <c r="D2834" t="s">
        <v>26</v>
      </c>
      <c r="E2834" s="208" t="s">
        <v>332</v>
      </c>
      <c r="F2834" t="s">
        <v>13</v>
      </c>
      <c r="G2834" s="18">
        <v>0</v>
      </c>
      <c r="H2834" t="s">
        <v>25</v>
      </c>
      <c r="I2834" t="s">
        <v>17</v>
      </c>
    </row>
    <row r="2835" spans="1:9" x14ac:dyDescent="0.25">
      <c r="A2835">
        <v>1808</v>
      </c>
      <c r="B2835">
        <f>A2835+1</f>
        <v>1809</v>
      </c>
      <c r="C2835" t="s">
        <v>515</v>
      </c>
      <c r="D2835" t="s">
        <v>26</v>
      </c>
      <c r="E2835" s="208" t="s">
        <v>333</v>
      </c>
      <c r="F2835" t="s">
        <v>13</v>
      </c>
      <c r="G2835" s="18">
        <v>834</v>
      </c>
      <c r="H2835" t="s">
        <v>25</v>
      </c>
      <c r="I2835" t="s">
        <v>17</v>
      </c>
    </row>
    <row r="2836" spans="1:9" x14ac:dyDescent="0.25">
      <c r="A2836">
        <v>1808</v>
      </c>
      <c r="B2836">
        <f>A2836+1</f>
        <v>1809</v>
      </c>
      <c r="C2836" t="s">
        <v>515</v>
      </c>
      <c r="D2836" t="s">
        <v>27</v>
      </c>
      <c r="E2836" s="208" t="s">
        <v>155</v>
      </c>
      <c r="F2836" t="s">
        <v>8</v>
      </c>
      <c r="G2836" s="18">
        <v>80675</v>
      </c>
      <c r="H2836" t="s">
        <v>17</v>
      </c>
      <c r="I2836" t="s">
        <v>18</v>
      </c>
    </row>
    <row r="2837" spans="1:9" x14ac:dyDescent="0.25">
      <c r="A2837">
        <v>1808</v>
      </c>
      <c r="B2837">
        <f>A2837+1</f>
        <v>1809</v>
      </c>
      <c r="C2837" t="s">
        <v>515</v>
      </c>
      <c r="D2837" t="s">
        <v>27</v>
      </c>
      <c r="E2837" s="208" t="s">
        <v>156</v>
      </c>
      <c r="F2837" t="s">
        <v>8</v>
      </c>
      <c r="G2837" s="18">
        <v>10537</v>
      </c>
      <c r="H2837" t="s">
        <v>17</v>
      </c>
      <c r="I2837" t="s">
        <v>18</v>
      </c>
    </row>
    <row r="2838" spans="1:9" x14ac:dyDescent="0.25">
      <c r="A2838">
        <v>1808</v>
      </c>
      <c r="B2838">
        <f>A2838+1</f>
        <v>1809</v>
      </c>
      <c r="C2838" t="s">
        <v>515</v>
      </c>
      <c r="D2838" t="s">
        <v>27</v>
      </c>
      <c r="E2838" s="208" t="s">
        <v>154</v>
      </c>
      <c r="F2838" t="s">
        <v>8</v>
      </c>
      <c r="G2838" s="18">
        <v>564</v>
      </c>
      <c r="H2838" t="s">
        <v>17</v>
      </c>
      <c r="I2838" t="s">
        <v>18</v>
      </c>
    </row>
    <row r="2839" spans="1:9" x14ac:dyDescent="0.25">
      <c r="A2839">
        <v>1808</v>
      </c>
      <c r="B2839">
        <f>A2839+1</f>
        <v>1809</v>
      </c>
      <c r="C2839" t="s">
        <v>515</v>
      </c>
      <c r="D2839" t="s">
        <v>27</v>
      </c>
      <c r="E2839" s="208" t="s">
        <v>150</v>
      </c>
      <c r="F2839" t="s">
        <v>8</v>
      </c>
      <c r="G2839" s="18">
        <v>25905</v>
      </c>
      <c r="H2839" t="s">
        <v>17</v>
      </c>
      <c r="I2839" t="s">
        <v>18</v>
      </c>
    </row>
    <row r="2840" spans="1:9" x14ac:dyDescent="0.25">
      <c r="A2840">
        <v>1808</v>
      </c>
      <c r="B2840">
        <f>A2840+1</f>
        <v>1809</v>
      </c>
      <c r="C2840" t="s">
        <v>515</v>
      </c>
      <c r="D2840" t="s">
        <v>27</v>
      </c>
      <c r="E2840" s="208" t="s">
        <v>148</v>
      </c>
      <c r="F2840" t="s">
        <v>8</v>
      </c>
      <c r="G2840" s="18">
        <v>1220</v>
      </c>
      <c r="H2840" t="s">
        <v>17</v>
      </c>
      <c r="I2840" t="s">
        <v>18</v>
      </c>
    </row>
    <row r="2841" spans="1:9" x14ac:dyDescent="0.25">
      <c r="A2841">
        <v>1808</v>
      </c>
      <c r="B2841">
        <f>A2841+1</f>
        <v>1809</v>
      </c>
      <c r="C2841" t="s">
        <v>515</v>
      </c>
      <c r="D2841" t="s">
        <v>27</v>
      </c>
      <c r="E2841" s="208" t="s">
        <v>139</v>
      </c>
      <c r="F2841" t="s">
        <v>8</v>
      </c>
      <c r="G2841" s="18">
        <v>88</v>
      </c>
      <c r="H2841" t="s">
        <v>17</v>
      </c>
      <c r="I2841" t="s">
        <v>18</v>
      </c>
    </row>
    <row r="2842" spans="1:9" x14ac:dyDescent="0.25">
      <c r="A2842">
        <v>1808</v>
      </c>
      <c r="B2842">
        <f>A2842+1</f>
        <v>1809</v>
      </c>
      <c r="C2842" t="s">
        <v>515</v>
      </c>
      <c r="D2842" t="s">
        <v>27</v>
      </c>
      <c r="E2842" s="208" t="s">
        <v>130</v>
      </c>
      <c r="F2842" t="s">
        <v>8</v>
      </c>
      <c r="G2842" s="18">
        <v>176</v>
      </c>
      <c r="H2842" t="s">
        <v>17</v>
      </c>
      <c r="I2842" t="s">
        <v>18</v>
      </c>
    </row>
    <row r="2843" spans="1:9" x14ac:dyDescent="0.25">
      <c r="A2843">
        <v>1808</v>
      </c>
      <c r="B2843">
        <f>A2843+1</f>
        <v>1809</v>
      </c>
      <c r="C2843" t="s">
        <v>515</v>
      </c>
      <c r="D2843" t="s">
        <v>27</v>
      </c>
      <c r="E2843" s="208" t="s">
        <v>132</v>
      </c>
      <c r="F2843" t="s">
        <v>8</v>
      </c>
      <c r="G2843" s="18">
        <v>1324</v>
      </c>
      <c r="H2843" t="s">
        <v>17</v>
      </c>
      <c r="I2843" t="s">
        <v>18</v>
      </c>
    </row>
    <row r="2844" spans="1:9" x14ac:dyDescent="0.25">
      <c r="A2844">
        <v>1808</v>
      </c>
      <c r="B2844">
        <f>A2844+1</f>
        <v>1809</v>
      </c>
      <c r="C2844" t="s">
        <v>515</v>
      </c>
      <c r="D2844" t="s">
        <v>27</v>
      </c>
      <c r="E2844" s="208" t="s">
        <v>142</v>
      </c>
      <c r="F2844" t="s">
        <v>8</v>
      </c>
      <c r="G2844" s="18">
        <v>306</v>
      </c>
      <c r="H2844" t="s">
        <v>17</v>
      </c>
      <c r="I2844" t="s">
        <v>18</v>
      </c>
    </row>
    <row r="2845" spans="1:9" x14ac:dyDescent="0.25">
      <c r="A2845">
        <v>1808</v>
      </c>
      <c r="B2845">
        <f>A2845+1</f>
        <v>1809</v>
      </c>
      <c r="C2845" t="s">
        <v>515</v>
      </c>
      <c r="D2845" t="s">
        <v>27</v>
      </c>
      <c r="E2845" s="208" t="s">
        <v>144</v>
      </c>
      <c r="F2845" t="s">
        <v>8</v>
      </c>
      <c r="G2845" s="18">
        <v>17452</v>
      </c>
      <c r="H2845" t="s">
        <v>17</v>
      </c>
      <c r="I2845" t="s">
        <v>18</v>
      </c>
    </row>
    <row r="2846" spans="1:9" x14ac:dyDescent="0.25">
      <c r="A2846">
        <v>1808</v>
      </c>
      <c r="B2846">
        <f>A2846+1</f>
        <v>1809</v>
      </c>
      <c r="C2846" t="s">
        <v>515</v>
      </c>
      <c r="D2846" t="s">
        <v>27</v>
      </c>
      <c r="E2846" s="208" t="s">
        <v>124</v>
      </c>
      <c r="F2846" t="s">
        <v>8</v>
      </c>
      <c r="G2846" s="18">
        <v>10525811</v>
      </c>
      <c r="H2846" t="s">
        <v>17</v>
      </c>
      <c r="I2846" t="s">
        <v>18</v>
      </c>
    </row>
    <row r="2847" spans="1:9" x14ac:dyDescent="0.25">
      <c r="A2847">
        <v>1808</v>
      </c>
      <c r="B2847">
        <f>A2847+1</f>
        <v>1809</v>
      </c>
      <c r="C2847" t="s">
        <v>515</v>
      </c>
      <c r="D2847" t="s">
        <v>26</v>
      </c>
      <c r="E2847" s="208" t="s">
        <v>65</v>
      </c>
      <c r="F2847" t="s">
        <v>164</v>
      </c>
      <c r="G2847" s="18">
        <v>23075</v>
      </c>
      <c r="H2847" t="s">
        <v>160</v>
      </c>
      <c r="I2847" t="s">
        <v>17</v>
      </c>
    </row>
    <row r="2848" spans="1:9" x14ac:dyDescent="0.25">
      <c r="A2848">
        <v>1808</v>
      </c>
      <c r="B2848">
        <f>A2848+1</f>
        <v>1809</v>
      </c>
      <c r="C2848" t="s">
        <v>515</v>
      </c>
      <c r="D2848" t="s">
        <v>26</v>
      </c>
      <c r="E2848" s="208" t="s">
        <v>88</v>
      </c>
      <c r="F2848" t="s">
        <v>164</v>
      </c>
      <c r="G2848" s="18">
        <v>3182</v>
      </c>
      <c r="H2848" t="s">
        <v>160</v>
      </c>
      <c r="I2848" t="s">
        <v>17</v>
      </c>
    </row>
    <row r="2849" spans="1:9" x14ac:dyDescent="0.25">
      <c r="A2849">
        <v>1808</v>
      </c>
      <c r="B2849">
        <f>A2849+1</f>
        <v>1809</v>
      </c>
      <c r="C2849" t="s">
        <v>515</v>
      </c>
      <c r="D2849" t="s">
        <v>27</v>
      </c>
      <c r="E2849" s="208" t="s">
        <v>155</v>
      </c>
      <c r="F2849" t="s">
        <v>13</v>
      </c>
      <c r="G2849" s="18">
        <v>0</v>
      </c>
      <c r="H2849" t="s">
        <v>17</v>
      </c>
      <c r="I2849" t="s">
        <v>25</v>
      </c>
    </row>
    <row r="2850" spans="1:9" x14ac:dyDescent="0.25">
      <c r="A2850">
        <v>1808</v>
      </c>
      <c r="B2850">
        <f>A2850+1</f>
        <v>1809</v>
      </c>
      <c r="C2850" t="s">
        <v>515</v>
      </c>
      <c r="D2850" t="s">
        <v>27</v>
      </c>
      <c r="E2850" s="208" t="s">
        <v>156</v>
      </c>
      <c r="F2850" t="s">
        <v>13</v>
      </c>
      <c r="G2850" s="18">
        <v>0</v>
      </c>
      <c r="H2850" t="s">
        <v>17</v>
      </c>
      <c r="I2850" t="s">
        <v>25</v>
      </c>
    </row>
    <row r="2851" spans="1:9" x14ac:dyDescent="0.25">
      <c r="A2851">
        <v>1808</v>
      </c>
      <c r="B2851">
        <f>A2851+1</f>
        <v>1809</v>
      </c>
      <c r="C2851" t="s">
        <v>515</v>
      </c>
      <c r="D2851" t="s">
        <v>27</v>
      </c>
      <c r="E2851" s="208" t="s">
        <v>154</v>
      </c>
      <c r="F2851" t="s">
        <v>13</v>
      </c>
      <c r="G2851" s="18">
        <v>0</v>
      </c>
      <c r="H2851" t="s">
        <v>17</v>
      </c>
      <c r="I2851" t="s">
        <v>25</v>
      </c>
    </row>
    <row r="2852" spans="1:9" x14ac:dyDescent="0.25">
      <c r="A2852">
        <v>1808</v>
      </c>
      <c r="B2852">
        <f>A2852+1</f>
        <v>1809</v>
      </c>
      <c r="C2852" t="s">
        <v>515</v>
      </c>
      <c r="D2852" t="s">
        <v>27</v>
      </c>
      <c r="E2852" s="208" t="s">
        <v>150</v>
      </c>
      <c r="F2852" t="s">
        <v>13</v>
      </c>
      <c r="G2852" s="18">
        <v>195</v>
      </c>
      <c r="H2852" t="s">
        <v>17</v>
      </c>
      <c r="I2852" t="s">
        <v>25</v>
      </c>
    </row>
    <row r="2853" spans="1:9" x14ac:dyDescent="0.25">
      <c r="A2853">
        <v>1808</v>
      </c>
      <c r="B2853">
        <f>A2853+1</f>
        <v>1809</v>
      </c>
      <c r="C2853" t="s">
        <v>515</v>
      </c>
      <c r="D2853" t="s">
        <v>27</v>
      </c>
      <c r="E2853" s="208" t="s">
        <v>148</v>
      </c>
      <c r="F2853" t="s">
        <v>13</v>
      </c>
      <c r="G2853" s="18">
        <v>1</v>
      </c>
      <c r="H2853" t="s">
        <v>17</v>
      </c>
      <c r="I2853" t="s">
        <v>25</v>
      </c>
    </row>
    <row r="2854" spans="1:9" x14ac:dyDescent="0.25">
      <c r="A2854">
        <v>1808</v>
      </c>
      <c r="B2854">
        <f>A2854+1</f>
        <v>1809</v>
      </c>
      <c r="C2854" t="s">
        <v>515</v>
      </c>
      <c r="D2854" t="s">
        <v>27</v>
      </c>
      <c r="E2854" s="208" t="s">
        <v>139</v>
      </c>
      <c r="F2854" t="s">
        <v>13</v>
      </c>
      <c r="G2854" s="18">
        <v>0</v>
      </c>
      <c r="H2854" t="s">
        <v>17</v>
      </c>
      <c r="I2854" t="s">
        <v>25</v>
      </c>
    </row>
    <row r="2855" spans="1:9" x14ac:dyDescent="0.25">
      <c r="A2855">
        <v>1808</v>
      </c>
      <c r="B2855">
        <f>A2855+1</f>
        <v>1809</v>
      </c>
      <c r="C2855" t="s">
        <v>515</v>
      </c>
      <c r="D2855" t="s">
        <v>27</v>
      </c>
      <c r="E2855" s="208" t="s">
        <v>130</v>
      </c>
      <c r="F2855" t="s">
        <v>13</v>
      </c>
      <c r="G2855" s="18">
        <v>0</v>
      </c>
      <c r="H2855" t="s">
        <v>17</v>
      </c>
      <c r="I2855" t="s">
        <v>25</v>
      </c>
    </row>
    <row r="2856" spans="1:9" x14ac:dyDescent="0.25">
      <c r="A2856">
        <v>1808</v>
      </c>
      <c r="B2856">
        <f>A2856+1</f>
        <v>1809</v>
      </c>
      <c r="C2856" t="s">
        <v>515</v>
      </c>
      <c r="D2856" t="s">
        <v>27</v>
      </c>
      <c r="E2856" s="208" t="s">
        <v>132</v>
      </c>
      <c r="F2856" t="s">
        <v>13</v>
      </c>
      <c r="G2856" s="18">
        <v>0</v>
      </c>
      <c r="H2856" t="s">
        <v>17</v>
      </c>
      <c r="I2856" t="s">
        <v>25</v>
      </c>
    </row>
    <row r="2857" spans="1:9" x14ac:dyDescent="0.25">
      <c r="A2857">
        <v>1808</v>
      </c>
      <c r="B2857">
        <f>A2857+1</f>
        <v>1809</v>
      </c>
      <c r="C2857" t="s">
        <v>515</v>
      </c>
      <c r="D2857" t="s">
        <v>27</v>
      </c>
      <c r="E2857" s="208" t="s">
        <v>142</v>
      </c>
      <c r="F2857" t="s">
        <v>13</v>
      </c>
      <c r="G2857" s="18">
        <v>0</v>
      </c>
      <c r="H2857" t="s">
        <v>17</v>
      </c>
      <c r="I2857" t="s">
        <v>25</v>
      </c>
    </row>
    <row r="2858" spans="1:9" x14ac:dyDescent="0.25">
      <c r="A2858">
        <v>1808</v>
      </c>
      <c r="B2858">
        <f>A2858+1</f>
        <v>1809</v>
      </c>
      <c r="C2858" t="s">
        <v>515</v>
      </c>
      <c r="D2858" t="s">
        <v>27</v>
      </c>
      <c r="E2858" s="208" t="s">
        <v>144</v>
      </c>
      <c r="F2858" t="s">
        <v>13</v>
      </c>
      <c r="G2858" s="18">
        <v>0</v>
      </c>
      <c r="H2858" t="s">
        <v>17</v>
      </c>
      <c r="I2858" t="s">
        <v>25</v>
      </c>
    </row>
    <row r="2859" spans="1:9" x14ac:dyDescent="0.25">
      <c r="A2859">
        <v>1808</v>
      </c>
      <c r="B2859">
        <f>A2859+1</f>
        <v>1809</v>
      </c>
      <c r="C2859" t="s">
        <v>515</v>
      </c>
      <c r="D2859" t="s">
        <v>27</v>
      </c>
      <c r="E2859" s="208" t="s">
        <v>124</v>
      </c>
      <c r="F2859" t="s">
        <v>13</v>
      </c>
      <c r="G2859" s="18">
        <v>0</v>
      </c>
      <c r="H2859" t="s">
        <v>17</v>
      </c>
      <c r="I2859" t="s">
        <v>25</v>
      </c>
    </row>
    <row r="2860" spans="1:9" x14ac:dyDescent="0.25">
      <c r="A2860">
        <v>1808</v>
      </c>
      <c r="B2860">
        <f>A2860+1</f>
        <v>1809</v>
      </c>
      <c r="C2860" t="s">
        <v>515</v>
      </c>
      <c r="D2860" t="s">
        <v>27</v>
      </c>
      <c r="E2860" s="208" t="s">
        <v>155</v>
      </c>
      <c r="F2860" t="s">
        <v>11</v>
      </c>
      <c r="G2860" s="18">
        <v>5</v>
      </c>
      <c r="H2860" t="s">
        <v>17</v>
      </c>
      <c r="I2860" t="s">
        <v>23</v>
      </c>
    </row>
    <row r="2861" spans="1:9" x14ac:dyDescent="0.25">
      <c r="A2861">
        <v>1808</v>
      </c>
      <c r="B2861">
        <f>A2861+1</f>
        <v>1809</v>
      </c>
      <c r="C2861" t="s">
        <v>515</v>
      </c>
      <c r="D2861" t="s">
        <v>27</v>
      </c>
      <c r="E2861" s="208" t="s">
        <v>156</v>
      </c>
      <c r="F2861" t="s">
        <v>11</v>
      </c>
      <c r="G2861" s="18">
        <v>0</v>
      </c>
      <c r="H2861" t="s">
        <v>17</v>
      </c>
      <c r="I2861" t="s">
        <v>23</v>
      </c>
    </row>
    <row r="2862" spans="1:9" x14ac:dyDescent="0.25">
      <c r="A2862">
        <v>1808</v>
      </c>
      <c r="B2862">
        <f>A2862+1</f>
        <v>1809</v>
      </c>
      <c r="C2862" t="s">
        <v>515</v>
      </c>
      <c r="D2862" t="s">
        <v>27</v>
      </c>
      <c r="E2862" s="208" t="s">
        <v>154</v>
      </c>
      <c r="F2862" t="s">
        <v>11</v>
      </c>
      <c r="G2862" s="18">
        <v>0</v>
      </c>
      <c r="H2862" t="s">
        <v>17</v>
      </c>
      <c r="I2862" t="s">
        <v>23</v>
      </c>
    </row>
    <row r="2863" spans="1:9" x14ac:dyDescent="0.25">
      <c r="A2863">
        <v>1808</v>
      </c>
      <c r="B2863">
        <f>A2863+1</f>
        <v>1809</v>
      </c>
      <c r="C2863" t="s">
        <v>515</v>
      </c>
      <c r="D2863" t="s">
        <v>27</v>
      </c>
      <c r="E2863" s="208" t="s">
        <v>150</v>
      </c>
      <c r="F2863" t="s">
        <v>11</v>
      </c>
      <c r="G2863" s="18">
        <v>2423</v>
      </c>
      <c r="H2863" t="s">
        <v>17</v>
      </c>
      <c r="I2863" t="s">
        <v>23</v>
      </c>
    </row>
    <row r="2864" spans="1:9" x14ac:dyDescent="0.25">
      <c r="A2864">
        <v>1808</v>
      </c>
      <c r="B2864">
        <f>A2864+1</f>
        <v>1809</v>
      </c>
      <c r="C2864" t="s">
        <v>515</v>
      </c>
      <c r="D2864" t="s">
        <v>27</v>
      </c>
      <c r="E2864" s="208" t="s">
        <v>148</v>
      </c>
      <c r="F2864" t="s">
        <v>11</v>
      </c>
      <c r="G2864" s="18">
        <v>0</v>
      </c>
      <c r="H2864" t="s">
        <v>17</v>
      </c>
      <c r="I2864" t="s">
        <v>23</v>
      </c>
    </row>
    <row r="2865" spans="1:9" x14ac:dyDescent="0.25">
      <c r="A2865">
        <v>1808</v>
      </c>
      <c r="B2865">
        <f>A2865+1</f>
        <v>1809</v>
      </c>
      <c r="C2865" t="s">
        <v>515</v>
      </c>
      <c r="D2865" t="s">
        <v>27</v>
      </c>
      <c r="E2865" s="208" t="s">
        <v>139</v>
      </c>
      <c r="F2865" t="s">
        <v>11</v>
      </c>
      <c r="G2865" s="18">
        <v>29</v>
      </c>
      <c r="H2865" t="s">
        <v>17</v>
      </c>
      <c r="I2865" t="s">
        <v>23</v>
      </c>
    </row>
    <row r="2866" spans="1:9" x14ac:dyDescent="0.25">
      <c r="A2866">
        <v>1808</v>
      </c>
      <c r="B2866">
        <f>A2866+1</f>
        <v>1809</v>
      </c>
      <c r="C2866" t="s">
        <v>515</v>
      </c>
      <c r="D2866" t="s">
        <v>27</v>
      </c>
      <c r="E2866" s="208" t="s">
        <v>130</v>
      </c>
      <c r="F2866" t="s">
        <v>11</v>
      </c>
      <c r="G2866" s="18">
        <v>6</v>
      </c>
      <c r="H2866" t="s">
        <v>17</v>
      </c>
      <c r="I2866" t="s">
        <v>23</v>
      </c>
    </row>
    <row r="2867" spans="1:9" x14ac:dyDescent="0.25">
      <c r="A2867">
        <v>1808</v>
      </c>
      <c r="B2867">
        <f>A2867+1</f>
        <v>1809</v>
      </c>
      <c r="C2867" t="s">
        <v>515</v>
      </c>
      <c r="D2867" t="s">
        <v>27</v>
      </c>
      <c r="E2867" s="208" t="s">
        <v>132</v>
      </c>
      <c r="F2867" t="s">
        <v>11</v>
      </c>
      <c r="G2867" s="18">
        <v>0</v>
      </c>
      <c r="H2867" t="s">
        <v>17</v>
      </c>
      <c r="I2867" t="s">
        <v>23</v>
      </c>
    </row>
    <row r="2868" spans="1:9" x14ac:dyDescent="0.25">
      <c r="A2868">
        <v>1808</v>
      </c>
      <c r="B2868">
        <f>A2868+1</f>
        <v>1809</v>
      </c>
      <c r="C2868" t="s">
        <v>515</v>
      </c>
      <c r="D2868" t="s">
        <v>27</v>
      </c>
      <c r="E2868" s="208" t="s">
        <v>142</v>
      </c>
      <c r="F2868" t="s">
        <v>11</v>
      </c>
      <c r="G2868" s="18">
        <v>22</v>
      </c>
      <c r="H2868" t="s">
        <v>17</v>
      </c>
      <c r="I2868" t="s">
        <v>23</v>
      </c>
    </row>
    <row r="2869" spans="1:9" x14ac:dyDescent="0.25">
      <c r="A2869">
        <v>1808</v>
      </c>
      <c r="B2869">
        <f>A2869+1</f>
        <v>1809</v>
      </c>
      <c r="C2869" t="s">
        <v>515</v>
      </c>
      <c r="D2869" t="s">
        <v>27</v>
      </c>
      <c r="E2869" s="208" t="s">
        <v>144</v>
      </c>
      <c r="F2869" t="s">
        <v>11</v>
      </c>
      <c r="G2869" s="18">
        <v>1487</v>
      </c>
      <c r="H2869" t="s">
        <v>17</v>
      </c>
      <c r="I2869" t="s">
        <v>23</v>
      </c>
    </row>
    <row r="2870" spans="1:9" x14ac:dyDescent="0.25">
      <c r="A2870">
        <v>1808</v>
      </c>
      <c r="B2870">
        <f>A2870+1</f>
        <v>1809</v>
      </c>
      <c r="C2870" t="s">
        <v>515</v>
      </c>
      <c r="D2870" t="s">
        <v>27</v>
      </c>
      <c r="E2870" s="208" t="s">
        <v>124</v>
      </c>
      <c r="F2870" t="s">
        <v>11</v>
      </c>
      <c r="G2870" s="18">
        <v>10500</v>
      </c>
      <c r="H2870" t="s">
        <v>17</v>
      </c>
      <c r="I2870" t="s">
        <v>23</v>
      </c>
    </row>
    <row r="2871" spans="1:9" x14ac:dyDescent="0.25">
      <c r="A2871">
        <v>1808</v>
      </c>
      <c r="B2871">
        <f>A2871+1</f>
        <v>1809</v>
      </c>
      <c r="C2871" t="s">
        <v>515</v>
      </c>
      <c r="D2871" t="s">
        <v>26</v>
      </c>
      <c r="E2871" s="208" t="s">
        <v>57</v>
      </c>
      <c r="F2871" t="s">
        <v>11</v>
      </c>
      <c r="G2871" s="18">
        <v>3691</v>
      </c>
      <c r="H2871" t="s">
        <v>23</v>
      </c>
      <c r="I2871" t="s">
        <v>17</v>
      </c>
    </row>
    <row r="2872" spans="1:9" x14ac:dyDescent="0.25">
      <c r="A2872">
        <v>1808</v>
      </c>
      <c r="B2872">
        <f>A2872+1</f>
        <v>1809</v>
      </c>
      <c r="C2872" t="s">
        <v>515</v>
      </c>
      <c r="D2872" t="s">
        <v>26</v>
      </c>
      <c r="E2872" s="208" t="s">
        <v>35</v>
      </c>
      <c r="F2872" t="s">
        <v>11</v>
      </c>
      <c r="G2872" s="18">
        <v>0</v>
      </c>
      <c r="H2872" t="s">
        <v>23</v>
      </c>
      <c r="I2872" t="s">
        <v>17</v>
      </c>
    </row>
    <row r="2873" spans="1:9" x14ac:dyDescent="0.25">
      <c r="A2873">
        <v>1808</v>
      </c>
      <c r="B2873">
        <f>A2873+1</f>
        <v>1809</v>
      </c>
      <c r="C2873" t="s">
        <v>515</v>
      </c>
      <c r="D2873" t="s">
        <v>26</v>
      </c>
      <c r="E2873" s="208" t="s">
        <v>36</v>
      </c>
      <c r="F2873" t="s">
        <v>11</v>
      </c>
      <c r="G2873" s="18">
        <v>406</v>
      </c>
      <c r="H2873" t="s">
        <v>23</v>
      </c>
      <c r="I2873" t="s">
        <v>17</v>
      </c>
    </row>
    <row r="2874" spans="1:9" x14ac:dyDescent="0.25">
      <c r="A2874">
        <v>1808</v>
      </c>
      <c r="B2874">
        <f>A2874+1</f>
        <v>1809</v>
      </c>
      <c r="C2874" t="s">
        <v>515</v>
      </c>
      <c r="D2874" t="s">
        <v>26</v>
      </c>
      <c r="E2874" s="208" t="s">
        <v>39</v>
      </c>
      <c r="F2874" t="s">
        <v>11</v>
      </c>
      <c r="G2874" s="18">
        <v>45</v>
      </c>
      <c r="H2874" t="s">
        <v>23</v>
      </c>
      <c r="I2874" t="s">
        <v>17</v>
      </c>
    </row>
    <row r="2875" spans="1:9" x14ac:dyDescent="0.25">
      <c r="A2875">
        <v>1808</v>
      </c>
      <c r="B2875">
        <f>A2875+1</f>
        <v>1809</v>
      </c>
      <c r="C2875" t="s">
        <v>515</v>
      </c>
      <c r="D2875" t="s">
        <v>26</v>
      </c>
      <c r="E2875" s="208" t="s">
        <v>99</v>
      </c>
      <c r="F2875" t="s">
        <v>11</v>
      </c>
      <c r="G2875" s="18">
        <v>355</v>
      </c>
      <c r="H2875" t="s">
        <v>23</v>
      </c>
      <c r="I2875" t="s">
        <v>17</v>
      </c>
    </row>
    <row r="2876" spans="1:9" x14ac:dyDescent="0.25">
      <c r="A2876">
        <v>1808</v>
      </c>
      <c r="B2876">
        <f>A2876+1</f>
        <v>1809</v>
      </c>
      <c r="C2876" t="s">
        <v>515</v>
      </c>
      <c r="D2876" t="s">
        <v>26</v>
      </c>
      <c r="E2876" s="208" t="s">
        <v>351</v>
      </c>
      <c r="F2876" t="s">
        <v>11</v>
      </c>
      <c r="G2876" s="18">
        <v>40</v>
      </c>
      <c r="H2876" t="s">
        <v>23</v>
      </c>
      <c r="I2876" t="s">
        <v>17</v>
      </c>
    </row>
    <row r="2877" spans="1:9" x14ac:dyDescent="0.25">
      <c r="A2877">
        <v>1808</v>
      </c>
      <c r="B2877">
        <f>A2877+1</f>
        <v>1809</v>
      </c>
      <c r="C2877" t="s">
        <v>515</v>
      </c>
      <c r="D2877" t="s">
        <v>26</v>
      </c>
      <c r="E2877" s="208" t="s">
        <v>352</v>
      </c>
      <c r="F2877" t="s">
        <v>11</v>
      </c>
      <c r="G2877" s="18">
        <v>7931</v>
      </c>
      <c r="H2877" t="s">
        <v>23</v>
      </c>
      <c r="I2877" t="s">
        <v>17</v>
      </c>
    </row>
    <row r="2878" spans="1:9" x14ac:dyDescent="0.25">
      <c r="A2878">
        <v>1808</v>
      </c>
      <c r="B2878">
        <f>A2878+1</f>
        <v>1809</v>
      </c>
      <c r="C2878" t="s">
        <v>515</v>
      </c>
      <c r="D2878" t="s">
        <v>26</v>
      </c>
      <c r="E2878" s="208" t="s">
        <v>75</v>
      </c>
      <c r="F2878" t="s">
        <v>11</v>
      </c>
      <c r="G2878" s="18">
        <v>1176639</v>
      </c>
      <c r="H2878" t="s">
        <v>23</v>
      </c>
      <c r="I2878" t="s">
        <v>17</v>
      </c>
    </row>
    <row r="2879" spans="1:9" x14ac:dyDescent="0.25">
      <c r="A2879">
        <v>1808</v>
      </c>
      <c r="B2879">
        <f>A2879+1</f>
        <v>1809</v>
      </c>
      <c r="C2879" t="s">
        <v>515</v>
      </c>
      <c r="D2879" t="s">
        <v>26</v>
      </c>
      <c r="E2879" s="208" t="s">
        <v>107</v>
      </c>
      <c r="F2879" t="s">
        <v>11</v>
      </c>
      <c r="G2879" s="18">
        <v>1086010</v>
      </c>
      <c r="H2879" t="s">
        <v>23</v>
      </c>
      <c r="I2879" t="s">
        <v>17</v>
      </c>
    </row>
    <row r="2880" spans="1:9" x14ac:dyDescent="0.25">
      <c r="A2880">
        <v>1808</v>
      </c>
      <c r="B2880">
        <f>A2880+1</f>
        <v>1809</v>
      </c>
      <c r="C2880" t="s">
        <v>515</v>
      </c>
      <c r="D2880" t="s">
        <v>26</v>
      </c>
      <c r="E2880" s="208" t="s">
        <v>101</v>
      </c>
      <c r="F2880" t="s">
        <v>11</v>
      </c>
      <c r="G2880" s="18">
        <v>1959600</v>
      </c>
      <c r="H2880" t="s">
        <v>23</v>
      </c>
      <c r="I2880" t="s">
        <v>17</v>
      </c>
    </row>
    <row r="2881" spans="1:9" x14ac:dyDescent="0.25">
      <c r="A2881">
        <v>1808</v>
      </c>
      <c r="B2881">
        <f>A2881+1</f>
        <v>1809</v>
      </c>
      <c r="C2881" t="s">
        <v>515</v>
      </c>
      <c r="D2881" t="s">
        <v>27</v>
      </c>
      <c r="E2881" s="208" t="s">
        <v>155</v>
      </c>
      <c r="F2881" t="s">
        <v>14</v>
      </c>
      <c r="G2881" s="18">
        <v>80781</v>
      </c>
      <c r="H2881" t="s">
        <v>17</v>
      </c>
      <c r="I2881" s="151" t="s">
        <v>562</v>
      </c>
    </row>
    <row r="2882" spans="1:9" x14ac:dyDescent="0.25">
      <c r="A2882">
        <v>1808</v>
      </c>
      <c r="B2882">
        <f>A2882+1</f>
        <v>1809</v>
      </c>
      <c r="C2882" t="s">
        <v>515</v>
      </c>
      <c r="D2882" t="s">
        <v>27</v>
      </c>
      <c r="E2882" s="208" t="s">
        <v>156</v>
      </c>
      <c r="F2882" t="s">
        <v>14</v>
      </c>
      <c r="G2882" s="18">
        <v>10554</v>
      </c>
      <c r="H2882" t="s">
        <v>17</v>
      </c>
      <c r="I2882" s="151" t="s">
        <v>562</v>
      </c>
    </row>
    <row r="2883" spans="1:9" x14ac:dyDescent="0.25">
      <c r="A2883">
        <v>1808</v>
      </c>
      <c r="B2883">
        <f>A2883+1</f>
        <v>1809</v>
      </c>
      <c r="C2883" t="s">
        <v>515</v>
      </c>
      <c r="D2883" t="s">
        <v>27</v>
      </c>
      <c r="E2883" s="208" t="s">
        <v>154</v>
      </c>
      <c r="F2883" t="s">
        <v>14</v>
      </c>
      <c r="G2883" s="18">
        <v>651</v>
      </c>
      <c r="H2883" t="s">
        <v>17</v>
      </c>
      <c r="I2883" s="151" t="s">
        <v>562</v>
      </c>
    </row>
    <row r="2884" spans="1:9" x14ac:dyDescent="0.25">
      <c r="A2884">
        <v>1808</v>
      </c>
      <c r="B2884">
        <f>A2884+1</f>
        <v>1809</v>
      </c>
      <c r="C2884" t="s">
        <v>515</v>
      </c>
      <c r="D2884" t="s">
        <v>27</v>
      </c>
      <c r="E2884" s="208" t="s">
        <v>150</v>
      </c>
      <c r="F2884" t="s">
        <v>14</v>
      </c>
      <c r="G2884" s="18">
        <v>31120</v>
      </c>
      <c r="H2884" t="s">
        <v>17</v>
      </c>
      <c r="I2884" s="151" t="s">
        <v>562</v>
      </c>
    </row>
    <row r="2885" spans="1:9" x14ac:dyDescent="0.25">
      <c r="A2885">
        <v>1808</v>
      </c>
      <c r="B2885">
        <f>A2885+1</f>
        <v>1809</v>
      </c>
      <c r="C2885" t="s">
        <v>515</v>
      </c>
      <c r="D2885" t="s">
        <v>27</v>
      </c>
      <c r="E2885" s="208" t="s">
        <v>148</v>
      </c>
      <c r="F2885" t="s">
        <v>14</v>
      </c>
      <c r="G2885" s="18">
        <v>1351</v>
      </c>
      <c r="H2885" t="s">
        <v>17</v>
      </c>
      <c r="I2885" s="151" t="s">
        <v>562</v>
      </c>
    </row>
    <row r="2886" spans="1:9" x14ac:dyDescent="0.25">
      <c r="A2886">
        <v>1808</v>
      </c>
      <c r="B2886">
        <f>A2886+1</f>
        <v>1809</v>
      </c>
      <c r="C2886" t="s">
        <v>515</v>
      </c>
      <c r="D2886" t="s">
        <v>27</v>
      </c>
      <c r="E2886" s="208" t="s">
        <v>314</v>
      </c>
      <c r="F2886" t="s">
        <v>14</v>
      </c>
      <c r="G2886" s="18">
        <v>0</v>
      </c>
      <c r="H2886" t="s">
        <v>17</v>
      </c>
      <c r="I2886" s="151" t="s">
        <v>562</v>
      </c>
    </row>
    <row r="2887" spans="1:9" x14ac:dyDescent="0.25">
      <c r="A2887">
        <v>1808</v>
      </c>
      <c r="B2887">
        <f>A2887+1</f>
        <v>1809</v>
      </c>
      <c r="C2887" t="s">
        <v>515</v>
      </c>
      <c r="D2887" t="s">
        <v>27</v>
      </c>
      <c r="E2887" s="208" t="s">
        <v>149</v>
      </c>
      <c r="F2887" t="s">
        <v>14</v>
      </c>
      <c r="G2887" s="18">
        <v>0</v>
      </c>
      <c r="H2887" t="s">
        <v>17</v>
      </c>
      <c r="I2887" s="151" t="s">
        <v>562</v>
      </c>
    </row>
    <row r="2888" spans="1:9" x14ac:dyDescent="0.25">
      <c r="A2888">
        <v>1808</v>
      </c>
      <c r="B2888">
        <f>A2888+1</f>
        <v>1809</v>
      </c>
      <c r="C2888" t="s">
        <v>515</v>
      </c>
      <c r="D2888" t="s">
        <v>27</v>
      </c>
      <c r="E2888" s="208" t="s">
        <v>139</v>
      </c>
      <c r="F2888" t="s">
        <v>14</v>
      </c>
      <c r="G2888" s="18">
        <v>142</v>
      </c>
      <c r="H2888" t="s">
        <v>17</v>
      </c>
      <c r="I2888" s="151" t="s">
        <v>562</v>
      </c>
    </row>
    <row r="2889" spans="1:9" x14ac:dyDescent="0.25">
      <c r="A2889">
        <v>1808</v>
      </c>
      <c r="B2889">
        <f>A2889+1</f>
        <v>1809</v>
      </c>
      <c r="C2889" t="s">
        <v>515</v>
      </c>
      <c r="D2889" t="s">
        <v>27</v>
      </c>
      <c r="E2889" s="208" t="s">
        <v>130</v>
      </c>
      <c r="F2889" t="s">
        <v>14</v>
      </c>
      <c r="G2889" s="18">
        <v>189</v>
      </c>
      <c r="H2889" t="s">
        <v>17</v>
      </c>
      <c r="I2889" s="151" t="s">
        <v>562</v>
      </c>
    </row>
    <row r="2890" spans="1:9" x14ac:dyDescent="0.25">
      <c r="A2890">
        <v>1808</v>
      </c>
      <c r="B2890">
        <f>A2890+1</f>
        <v>1809</v>
      </c>
      <c r="C2890" t="s">
        <v>515</v>
      </c>
      <c r="D2890" t="s">
        <v>27</v>
      </c>
      <c r="E2890" s="208" t="s">
        <v>132</v>
      </c>
      <c r="F2890" t="s">
        <v>14</v>
      </c>
      <c r="G2890" s="18">
        <v>1327</v>
      </c>
      <c r="H2890" t="s">
        <v>17</v>
      </c>
      <c r="I2890" s="151" t="s">
        <v>562</v>
      </c>
    </row>
    <row r="2891" spans="1:9" x14ac:dyDescent="0.25">
      <c r="A2891">
        <v>1808</v>
      </c>
      <c r="B2891">
        <f>A2891+1</f>
        <v>1809</v>
      </c>
      <c r="C2891" t="s">
        <v>515</v>
      </c>
      <c r="D2891" t="s">
        <v>27</v>
      </c>
      <c r="E2891" s="208" t="s">
        <v>142</v>
      </c>
      <c r="F2891" t="s">
        <v>14</v>
      </c>
      <c r="G2891" s="18">
        <v>437</v>
      </c>
      <c r="H2891" t="s">
        <v>17</v>
      </c>
      <c r="I2891" s="151" t="s">
        <v>562</v>
      </c>
    </row>
    <row r="2892" spans="1:9" x14ac:dyDescent="0.25">
      <c r="A2892">
        <v>1808</v>
      </c>
      <c r="B2892">
        <f>A2892+1</f>
        <v>1809</v>
      </c>
      <c r="C2892" t="s">
        <v>515</v>
      </c>
      <c r="D2892" t="s">
        <v>27</v>
      </c>
      <c r="E2892" s="208" t="s">
        <v>144</v>
      </c>
      <c r="F2892" t="s">
        <v>14</v>
      </c>
      <c r="G2892" s="18">
        <v>19128</v>
      </c>
      <c r="H2892" t="s">
        <v>17</v>
      </c>
      <c r="I2892" s="151" t="s">
        <v>562</v>
      </c>
    </row>
    <row r="2893" spans="1:9" x14ac:dyDescent="0.25">
      <c r="A2893">
        <v>1808</v>
      </c>
      <c r="B2893">
        <f>A2893+1</f>
        <v>1809</v>
      </c>
      <c r="C2893" t="s">
        <v>515</v>
      </c>
      <c r="D2893" t="s">
        <v>27</v>
      </c>
      <c r="E2893" s="208" t="s">
        <v>124</v>
      </c>
      <c r="F2893" t="s">
        <v>14</v>
      </c>
      <c r="G2893" s="18">
        <v>10661928</v>
      </c>
      <c r="H2893" t="s">
        <v>17</v>
      </c>
      <c r="I2893" s="151" t="s">
        <v>562</v>
      </c>
    </row>
    <row r="2894" spans="1:9" x14ac:dyDescent="0.25">
      <c r="A2894">
        <v>1808</v>
      </c>
      <c r="B2894">
        <f>A2894+1</f>
        <v>1809</v>
      </c>
      <c r="C2894" t="s">
        <v>515</v>
      </c>
      <c r="D2894" t="s">
        <v>26</v>
      </c>
      <c r="E2894" s="208" t="s">
        <v>62</v>
      </c>
      <c r="F2894" t="s">
        <v>14</v>
      </c>
      <c r="G2894" s="18">
        <v>464</v>
      </c>
      <c r="H2894" s="151" t="s">
        <v>563</v>
      </c>
      <c r="I2894" t="s">
        <v>17</v>
      </c>
    </row>
    <row r="2895" spans="1:9" x14ac:dyDescent="0.25">
      <c r="A2895">
        <v>1808</v>
      </c>
      <c r="B2895">
        <f>A2895+1</f>
        <v>1809</v>
      </c>
      <c r="C2895" t="s">
        <v>515</v>
      </c>
      <c r="D2895" t="s">
        <v>26</v>
      </c>
      <c r="E2895" s="208" t="s">
        <v>58</v>
      </c>
      <c r="F2895" t="s">
        <v>14</v>
      </c>
      <c r="G2895" s="18">
        <v>0</v>
      </c>
      <c r="H2895" s="151" t="s">
        <v>563</v>
      </c>
      <c r="I2895" t="s">
        <v>17</v>
      </c>
    </row>
    <row r="2896" spans="1:9" x14ac:dyDescent="0.25">
      <c r="A2896">
        <v>1808</v>
      </c>
      <c r="B2896">
        <f>A2896+1</f>
        <v>1809</v>
      </c>
      <c r="C2896" t="s">
        <v>515</v>
      </c>
      <c r="D2896" t="s">
        <v>26</v>
      </c>
      <c r="E2896" s="208" t="s">
        <v>57</v>
      </c>
      <c r="F2896" t="s">
        <v>14</v>
      </c>
      <c r="G2896" s="18">
        <v>3691</v>
      </c>
      <c r="H2896" s="151" t="s">
        <v>563</v>
      </c>
      <c r="I2896" t="s">
        <v>17</v>
      </c>
    </row>
    <row r="2897" spans="1:9" x14ac:dyDescent="0.25">
      <c r="A2897">
        <v>1808</v>
      </c>
      <c r="B2897">
        <f>A2897+1</f>
        <v>1809</v>
      </c>
      <c r="C2897" t="s">
        <v>515</v>
      </c>
      <c r="D2897" t="s">
        <v>26</v>
      </c>
      <c r="E2897" s="208" t="s">
        <v>35</v>
      </c>
      <c r="F2897" t="s">
        <v>14</v>
      </c>
      <c r="G2897" s="18">
        <v>0</v>
      </c>
      <c r="H2897" s="151" t="s">
        <v>563</v>
      </c>
      <c r="I2897" t="s">
        <v>17</v>
      </c>
    </row>
    <row r="2898" spans="1:9" x14ac:dyDescent="0.25">
      <c r="A2898">
        <v>1808</v>
      </c>
      <c r="B2898">
        <f>A2898+1</f>
        <v>1809</v>
      </c>
      <c r="C2898" t="s">
        <v>515</v>
      </c>
      <c r="D2898" t="s">
        <v>26</v>
      </c>
      <c r="E2898" s="208" t="s">
        <v>36</v>
      </c>
      <c r="F2898" t="s">
        <v>14</v>
      </c>
      <c r="G2898" s="18">
        <v>476</v>
      </c>
      <c r="H2898" s="151" t="s">
        <v>563</v>
      </c>
      <c r="I2898" t="s">
        <v>17</v>
      </c>
    </row>
    <row r="2899" spans="1:9" x14ac:dyDescent="0.25">
      <c r="A2899">
        <v>1808</v>
      </c>
      <c r="B2899">
        <f>A2899+1</f>
        <v>1809</v>
      </c>
      <c r="C2899" t="s">
        <v>515</v>
      </c>
      <c r="D2899" t="s">
        <v>26</v>
      </c>
      <c r="E2899" s="208" t="s">
        <v>39</v>
      </c>
      <c r="F2899" t="s">
        <v>14</v>
      </c>
      <c r="G2899" s="18">
        <v>55</v>
      </c>
      <c r="H2899" s="151" t="s">
        <v>563</v>
      </c>
      <c r="I2899" t="s">
        <v>17</v>
      </c>
    </row>
    <row r="2900" spans="1:9" x14ac:dyDescent="0.25">
      <c r="A2900">
        <v>1808</v>
      </c>
      <c r="B2900">
        <f>A2900+1</f>
        <v>1809</v>
      </c>
      <c r="C2900" t="s">
        <v>515</v>
      </c>
      <c r="D2900" t="s">
        <v>26</v>
      </c>
      <c r="E2900" s="208" t="s">
        <v>94</v>
      </c>
      <c r="F2900" t="s">
        <v>14</v>
      </c>
      <c r="G2900" s="18">
        <v>0</v>
      </c>
      <c r="H2900" s="151" t="s">
        <v>563</v>
      </c>
      <c r="I2900" t="s">
        <v>17</v>
      </c>
    </row>
    <row r="2901" spans="1:9" x14ac:dyDescent="0.25">
      <c r="A2901">
        <v>1808</v>
      </c>
      <c r="B2901">
        <f>A2901+1</f>
        <v>1809</v>
      </c>
      <c r="C2901" t="s">
        <v>515</v>
      </c>
      <c r="D2901" t="s">
        <v>26</v>
      </c>
      <c r="E2901" s="208" t="s">
        <v>99</v>
      </c>
      <c r="F2901" t="s">
        <v>14</v>
      </c>
      <c r="G2901" s="18">
        <v>355</v>
      </c>
      <c r="H2901" s="151" t="s">
        <v>563</v>
      </c>
      <c r="I2901" t="s">
        <v>17</v>
      </c>
    </row>
    <row r="2902" spans="1:9" x14ac:dyDescent="0.25">
      <c r="A2902">
        <v>1808</v>
      </c>
      <c r="B2902">
        <f>A2902+1</f>
        <v>1809</v>
      </c>
      <c r="C2902" t="s">
        <v>515</v>
      </c>
      <c r="D2902" t="s">
        <v>26</v>
      </c>
      <c r="E2902" s="208" t="s">
        <v>28</v>
      </c>
      <c r="F2902" t="s">
        <v>14</v>
      </c>
      <c r="G2902" s="18">
        <v>106</v>
      </c>
      <c r="H2902" s="151" t="s">
        <v>563</v>
      </c>
      <c r="I2902" t="s">
        <v>17</v>
      </c>
    </row>
    <row r="2903" spans="1:9" x14ac:dyDescent="0.25">
      <c r="A2903">
        <v>1808</v>
      </c>
      <c r="B2903">
        <f>A2903+1</f>
        <v>1809</v>
      </c>
      <c r="C2903" t="s">
        <v>515</v>
      </c>
      <c r="D2903" t="s">
        <v>26</v>
      </c>
      <c r="E2903" s="208" t="s">
        <v>89</v>
      </c>
      <c r="F2903" t="s">
        <v>14</v>
      </c>
      <c r="G2903" s="18">
        <v>95</v>
      </c>
      <c r="H2903" s="151" t="s">
        <v>563</v>
      </c>
      <c r="I2903" t="s">
        <v>17</v>
      </c>
    </row>
    <row r="2904" spans="1:9" x14ac:dyDescent="0.25">
      <c r="A2904">
        <v>1808</v>
      </c>
      <c r="B2904">
        <f>A2904+1</f>
        <v>1809</v>
      </c>
      <c r="C2904" t="s">
        <v>515</v>
      </c>
      <c r="D2904" t="s">
        <v>26</v>
      </c>
      <c r="E2904" s="208" t="s">
        <v>45</v>
      </c>
      <c r="F2904" t="s">
        <v>14</v>
      </c>
      <c r="G2904" s="18">
        <v>93</v>
      </c>
      <c r="H2904" s="151" t="s">
        <v>563</v>
      </c>
      <c r="I2904" t="s">
        <v>17</v>
      </c>
    </row>
    <row r="2905" spans="1:9" x14ac:dyDescent="0.25">
      <c r="A2905">
        <v>1808</v>
      </c>
      <c r="B2905">
        <f>A2905+1</f>
        <v>1809</v>
      </c>
      <c r="C2905" t="s">
        <v>515</v>
      </c>
      <c r="D2905" t="s">
        <v>26</v>
      </c>
      <c r="E2905" s="208" t="s">
        <v>54</v>
      </c>
      <c r="F2905" t="s">
        <v>14</v>
      </c>
      <c r="G2905" s="18">
        <v>0</v>
      </c>
      <c r="H2905" s="151" t="s">
        <v>563</v>
      </c>
      <c r="I2905" t="s">
        <v>17</v>
      </c>
    </row>
    <row r="2906" spans="1:9" x14ac:dyDescent="0.25">
      <c r="A2906">
        <v>1808</v>
      </c>
      <c r="B2906">
        <f>A2906+1</f>
        <v>1809</v>
      </c>
      <c r="C2906" t="s">
        <v>515</v>
      </c>
      <c r="D2906" t="s">
        <v>26</v>
      </c>
      <c r="E2906" s="208" t="s">
        <v>53</v>
      </c>
      <c r="F2906" t="s">
        <v>14</v>
      </c>
      <c r="G2906" s="18">
        <v>26</v>
      </c>
      <c r="H2906" s="151" t="s">
        <v>563</v>
      </c>
      <c r="I2906" t="s">
        <v>17</v>
      </c>
    </row>
    <row r="2907" spans="1:9" x14ac:dyDescent="0.25">
      <c r="A2907">
        <v>1808</v>
      </c>
      <c r="B2907">
        <f>A2907+1</f>
        <v>1809</v>
      </c>
      <c r="C2907" t="s">
        <v>515</v>
      </c>
      <c r="D2907" t="s">
        <v>26</v>
      </c>
      <c r="E2907" s="208" t="s">
        <v>351</v>
      </c>
      <c r="F2907" t="s">
        <v>14</v>
      </c>
      <c r="G2907" s="18">
        <v>40</v>
      </c>
      <c r="H2907" s="151" t="s">
        <v>563</v>
      </c>
      <c r="I2907" t="s">
        <v>17</v>
      </c>
    </row>
    <row r="2908" spans="1:9" x14ac:dyDescent="0.25">
      <c r="A2908">
        <v>1808</v>
      </c>
      <c r="B2908">
        <f>A2908+1</f>
        <v>1809</v>
      </c>
      <c r="C2908" t="s">
        <v>515</v>
      </c>
      <c r="D2908" t="s">
        <v>26</v>
      </c>
      <c r="E2908" s="208" t="s">
        <v>352</v>
      </c>
      <c r="F2908" t="s">
        <v>14</v>
      </c>
      <c r="G2908" s="18">
        <v>7931</v>
      </c>
      <c r="H2908" s="151" t="s">
        <v>563</v>
      </c>
      <c r="I2908" t="s">
        <v>17</v>
      </c>
    </row>
    <row r="2909" spans="1:9" x14ac:dyDescent="0.25">
      <c r="A2909">
        <v>1808</v>
      </c>
      <c r="B2909">
        <f>A2909+1</f>
        <v>1809</v>
      </c>
      <c r="C2909" t="s">
        <v>515</v>
      </c>
      <c r="D2909" t="s">
        <v>26</v>
      </c>
      <c r="E2909" s="208" t="s">
        <v>75</v>
      </c>
      <c r="F2909" t="s">
        <v>14</v>
      </c>
      <c r="G2909" s="18">
        <v>1536460</v>
      </c>
      <c r="H2909" s="151" t="s">
        <v>563</v>
      </c>
      <c r="I2909" t="s">
        <v>17</v>
      </c>
    </row>
    <row r="2910" spans="1:9" x14ac:dyDescent="0.25">
      <c r="A2910">
        <v>1808</v>
      </c>
      <c r="B2910">
        <f>A2910+1</f>
        <v>1809</v>
      </c>
      <c r="C2910" t="s">
        <v>515</v>
      </c>
      <c r="D2910" t="s">
        <v>26</v>
      </c>
      <c r="E2910" s="208" t="s">
        <v>107</v>
      </c>
      <c r="F2910" t="s">
        <v>14</v>
      </c>
      <c r="G2910" s="18">
        <v>1270210</v>
      </c>
      <c r="H2910" s="151" t="s">
        <v>563</v>
      </c>
      <c r="I2910" t="s">
        <v>17</v>
      </c>
    </row>
    <row r="2911" spans="1:9" x14ac:dyDescent="0.25">
      <c r="A2911">
        <v>1808</v>
      </c>
      <c r="B2911">
        <f>A2911+1</f>
        <v>1809</v>
      </c>
      <c r="C2911" t="s">
        <v>515</v>
      </c>
      <c r="D2911" t="s">
        <v>26</v>
      </c>
      <c r="E2911" s="208" t="s">
        <v>101</v>
      </c>
      <c r="F2911" t="s">
        <v>14</v>
      </c>
      <c r="G2911" s="18">
        <v>2057100</v>
      </c>
      <c r="H2911" s="151" t="s">
        <v>563</v>
      </c>
      <c r="I2911" t="s">
        <v>17</v>
      </c>
    </row>
    <row r="2912" spans="1:9" x14ac:dyDescent="0.25">
      <c r="A2912">
        <v>1808</v>
      </c>
      <c r="B2912">
        <f>A2912+1</f>
        <v>1809</v>
      </c>
      <c r="C2912" t="s">
        <v>515</v>
      </c>
      <c r="D2912" t="s">
        <v>26</v>
      </c>
      <c r="E2912" s="208" t="s">
        <v>65</v>
      </c>
      <c r="F2912" t="s">
        <v>14</v>
      </c>
      <c r="G2912" s="18">
        <v>23075</v>
      </c>
      <c r="H2912" s="151" t="s">
        <v>563</v>
      </c>
      <c r="I2912" t="s">
        <v>17</v>
      </c>
    </row>
    <row r="2913" spans="1:9" x14ac:dyDescent="0.25">
      <c r="A2913">
        <v>1808</v>
      </c>
      <c r="B2913">
        <f>A2913+1</f>
        <v>1809</v>
      </c>
      <c r="C2913" t="s">
        <v>515</v>
      </c>
      <c r="D2913" t="s">
        <v>26</v>
      </c>
      <c r="E2913" s="208" t="s">
        <v>88</v>
      </c>
      <c r="F2913" t="s">
        <v>14</v>
      </c>
      <c r="G2913" s="18">
        <v>3182</v>
      </c>
      <c r="H2913" s="151" t="s">
        <v>563</v>
      </c>
      <c r="I2913" t="s">
        <v>17</v>
      </c>
    </row>
    <row r="2914" spans="1:9" x14ac:dyDescent="0.25">
      <c r="A2914">
        <v>1808</v>
      </c>
      <c r="B2914">
        <f>A2914+1</f>
        <v>1809</v>
      </c>
      <c r="C2914" t="s">
        <v>515</v>
      </c>
      <c r="D2914" t="s">
        <v>26</v>
      </c>
      <c r="E2914" s="208" t="s">
        <v>330</v>
      </c>
      <c r="F2914" t="s">
        <v>14</v>
      </c>
      <c r="G2914" s="18">
        <v>316</v>
      </c>
      <c r="H2914" s="151" t="s">
        <v>563</v>
      </c>
      <c r="I2914" t="s">
        <v>17</v>
      </c>
    </row>
    <row r="2915" spans="1:9" x14ac:dyDescent="0.25">
      <c r="A2915">
        <v>1808</v>
      </c>
      <c r="B2915">
        <f>A2915+1</f>
        <v>1809</v>
      </c>
      <c r="C2915" t="s">
        <v>515</v>
      </c>
      <c r="D2915" t="s">
        <v>26</v>
      </c>
      <c r="E2915" s="208" t="s">
        <v>331</v>
      </c>
      <c r="F2915" t="s">
        <v>14</v>
      </c>
      <c r="G2915" s="18">
        <v>478</v>
      </c>
      <c r="H2915" s="151" t="s">
        <v>563</v>
      </c>
      <c r="I2915" t="s">
        <v>17</v>
      </c>
    </row>
    <row r="2916" spans="1:9" x14ac:dyDescent="0.25">
      <c r="A2916">
        <v>1808</v>
      </c>
      <c r="B2916">
        <f>A2916+1</f>
        <v>1809</v>
      </c>
      <c r="C2916" t="s">
        <v>515</v>
      </c>
      <c r="D2916" t="s">
        <v>26</v>
      </c>
      <c r="E2916" s="208" t="s">
        <v>332</v>
      </c>
      <c r="F2916" t="s">
        <v>14</v>
      </c>
      <c r="G2916" s="18">
        <v>0</v>
      </c>
      <c r="H2916" s="151" t="s">
        <v>563</v>
      </c>
      <c r="I2916" t="s">
        <v>17</v>
      </c>
    </row>
    <row r="2917" spans="1:9" x14ac:dyDescent="0.25">
      <c r="A2917">
        <v>1808</v>
      </c>
      <c r="B2917">
        <f>A2917+1</f>
        <v>1809</v>
      </c>
      <c r="C2917" t="s">
        <v>515</v>
      </c>
      <c r="D2917" t="s">
        <v>26</v>
      </c>
      <c r="E2917" s="208" t="s">
        <v>333</v>
      </c>
      <c r="F2917" t="s">
        <v>14</v>
      </c>
      <c r="G2917" s="18">
        <v>834</v>
      </c>
      <c r="H2917" s="151" t="s">
        <v>563</v>
      </c>
      <c r="I2917" t="s">
        <v>17</v>
      </c>
    </row>
    <row r="2918" spans="1:9" x14ac:dyDescent="0.25">
      <c r="A2918">
        <v>1808</v>
      </c>
      <c r="B2918">
        <f>A2918+1</f>
        <v>1809</v>
      </c>
      <c r="C2918" t="s">
        <v>515</v>
      </c>
      <c r="D2918" t="s">
        <v>27</v>
      </c>
      <c r="E2918" s="208" t="s">
        <v>155</v>
      </c>
      <c r="F2918" t="s">
        <v>15</v>
      </c>
      <c r="G2918" s="18">
        <v>104463</v>
      </c>
      <c r="H2918" t="s">
        <v>561</v>
      </c>
      <c r="I2918" s="151" t="s">
        <v>562</v>
      </c>
    </row>
    <row r="2919" spans="1:9" x14ac:dyDescent="0.25">
      <c r="A2919">
        <v>1808</v>
      </c>
      <c r="B2919">
        <f>A2919+1</f>
        <v>1809</v>
      </c>
      <c r="C2919" t="s">
        <v>515</v>
      </c>
      <c r="D2919" t="s">
        <v>27</v>
      </c>
      <c r="E2919" s="208" t="s">
        <v>156</v>
      </c>
      <c r="F2919" t="s">
        <v>15</v>
      </c>
      <c r="G2919" s="18">
        <v>14596</v>
      </c>
      <c r="H2919" t="s">
        <v>561</v>
      </c>
      <c r="I2919" s="151" t="s">
        <v>562</v>
      </c>
    </row>
    <row r="2920" spans="1:9" x14ac:dyDescent="0.25">
      <c r="A2920">
        <v>1808</v>
      </c>
      <c r="B2920">
        <f>A2920+1</f>
        <v>1809</v>
      </c>
      <c r="C2920" t="s">
        <v>515</v>
      </c>
      <c r="D2920" t="s">
        <v>27</v>
      </c>
      <c r="E2920" s="208" t="s">
        <v>154</v>
      </c>
      <c r="F2920" t="s">
        <v>15</v>
      </c>
      <c r="G2920" s="18">
        <v>3534</v>
      </c>
      <c r="H2920" t="s">
        <v>561</v>
      </c>
      <c r="I2920" s="151" t="s">
        <v>562</v>
      </c>
    </row>
    <row r="2921" spans="1:9" x14ac:dyDescent="0.25">
      <c r="A2921">
        <v>1808</v>
      </c>
      <c r="B2921">
        <f>A2921+1</f>
        <v>1809</v>
      </c>
      <c r="C2921" t="s">
        <v>515</v>
      </c>
      <c r="D2921" t="s">
        <v>27</v>
      </c>
      <c r="E2921" s="208" t="s">
        <v>150</v>
      </c>
      <c r="F2921" t="s">
        <v>15</v>
      </c>
      <c r="G2921" s="18">
        <v>43492</v>
      </c>
      <c r="H2921" t="s">
        <v>561</v>
      </c>
      <c r="I2921" s="151" t="s">
        <v>562</v>
      </c>
    </row>
    <row r="2922" spans="1:9" x14ac:dyDescent="0.25">
      <c r="A2922">
        <v>1808</v>
      </c>
      <c r="B2922">
        <f>A2922+1</f>
        <v>1809</v>
      </c>
      <c r="C2922" t="s">
        <v>515</v>
      </c>
      <c r="D2922" t="s">
        <v>27</v>
      </c>
      <c r="E2922" s="208" t="s">
        <v>148</v>
      </c>
      <c r="F2922" t="s">
        <v>15</v>
      </c>
      <c r="G2922" s="18">
        <v>2717</v>
      </c>
      <c r="H2922" t="s">
        <v>561</v>
      </c>
      <c r="I2922" s="151" t="s">
        <v>562</v>
      </c>
    </row>
    <row r="2923" spans="1:9" x14ac:dyDescent="0.25">
      <c r="A2923">
        <v>1808</v>
      </c>
      <c r="B2923">
        <f>A2923+1</f>
        <v>1809</v>
      </c>
      <c r="C2923" t="s">
        <v>515</v>
      </c>
      <c r="D2923" t="s">
        <v>27</v>
      </c>
      <c r="E2923" s="208" t="s">
        <v>314</v>
      </c>
      <c r="F2923" t="s">
        <v>15</v>
      </c>
      <c r="G2923" s="18">
        <v>0</v>
      </c>
      <c r="H2923" t="s">
        <v>561</v>
      </c>
      <c r="I2923" s="151" t="s">
        <v>562</v>
      </c>
    </row>
    <row r="2924" spans="1:9" x14ac:dyDescent="0.25">
      <c r="A2924">
        <v>1808</v>
      </c>
      <c r="B2924">
        <f>A2924+1</f>
        <v>1809</v>
      </c>
      <c r="C2924" t="s">
        <v>515</v>
      </c>
      <c r="D2924" t="s">
        <v>27</v>
      </c>
      <c r="E2924" s="208" t="s">
        <v>149</v>
      </c>
      <c r="F2924" t="s">
        <v>15</v>
      </c>
      <c r="G2924" s="18">
        <v>0</v>
      </c>
      <c r="H2924" t="s">
        <v>561</v>
      </c>
      <c r="I2924" s="151" t="s">
        <v>562</v>
      </c>
    </row>
    <row r="2925" spans="1:9" x14ac:dyDescent="0.25">
      <c r="A2925">
        <v>1808</v>
      </c>
      <c r="B2925">
        <f>A2925+1</f>
        <v>1809</v>
      </c>
      <c r="C2925" t="s">
        <v>515</v>
      </c>
      <c r="D2925" t="s">
        <v>27</v>
      </c>
      <c r="E2925" s="208" t="s">
        <v>139</v>
      </c>
      <c r="F2925" t="s">
        <v>15</v>
      </c>
      <c r="G2925" s="18">
        <v>230</v>
      </c>
      <c r="H2925" t="s">
        <v>561</v>
      </c>
      <c r="I2925" s="151" t="s">
        <v>562</v>
      </c>
    </row>
    <row r="2926" spans="1:9" x14ac:dyDescent="0.25">
      <c r="A2926">
        <v>1808</v>
      </c>
      <c r="B2926">
        <f>A2926+1</f>
        <v>1809</v>
      </c>
      <c r="C2926" t="s">
        <v>515</v>
      </c>
      <c r="D2926" t="s">
        <v>27</v>
      </c>
      <c r="E2926" s="208" t="s">
        <v>130</v>
      </c>
      <c r="F2926" t="s">
        <v>15</v>
      </c>
      <c r="G2926" s="18">
        <v>572</v>
      </c>
      <c r="H2926" t="s">
        <v>561</v>
      </c>
      <c r="I2926" s="151" t="s">
        <v>562</v>
      </c>
    </row>
    <row r="2927" spans="1:9" x14ac:dyDescent="0.25">
      <c r="A2927">
        <v>1808</v>
      </c>
      <c r="B2927">
        <f>A2927+1</f>
        <v>1809</v>
      </c>
      <c r="C2927" t="s">
        <v>515</v>
      </c>
      <c r="D2927" t="s">
        <v>27</v>
      </c>
      <c r="E2927" s="208" t="s">
        <v>132</v>
      </c>
      <c r="F2927" t="s">
        <v>15</v>
      </c>
      <c r="G2927" s="18">
        <v>2321</v>
      </c>
      <c r="H2927" t="s">
        <v>561</v>
      </c>
      <c r="I2927" s="151" t="s">
        <v>562</v>
      </c>
    </row>
    <row r="2928" spans="1:9" x14ac:dyDescent="0.25">
      <c r="A2928">
        <v>1808</v>
      </c>
      <c r="B2928">
        <f>A2928+1</f>
        <v>1809</v>
      </c>
      <c r="C2928" t="s">
        <v>515</v>
      </c>
      <c r="D2928" t="s">
        <v>27</v>
      </c>
      <c r="E2928" s="208" t="s">
        <v>142</v>
      </c>
      <c r="F2928" t="s">
        <v>15</v>
      </c>
      <c r="G2928" s="18">
        <v>1177</v>
      </c>
      <c r="H2928" t="s">
        <v>561</v>
      </c>
      <c r="I2928" s="151" t="s">
        <v>562</v>
      </c>
    </row>
    <row r="2929" spans="1:9" x14ac:dyDescent="0.25">
      <c r="A2929">
        <v>1808</v>
      </c>
      <c r="B2929">
        <f>A2929+1</f>
        <v>1809</v>
      </c>
      <c r="C2929" t="s">
        <v>515</v>
      </c>
      <c r="D2929" t="s">
        <v>27</v>
      </c>
      <c r="E2929" s="208" t="s">
        <v>144</v>
      </c>
      <c r="F2929" t="s">
        <v>15</v>
      </c>
      <c r="G2929" s="18">
        <v>24022</v>
      </c>
      <c r="H2929" t="s">
        <v>561</v>
      </c>
      <c r="I2929" s="151" t="s">
        <v>562</v>
      </c>
    </row>
    <row r="2930" spans="1:9" x14ac:dyDescent="0.25">
      <c r="A2930">
        <v>1808</v>
      </c>
      <c r="B2930">
        <f>A2930+1</f>
        <v>1809</v>
      </c>
      <c r="C2930" t="s">
        <v>515</v>
      </c>
      <c r="D2930" t="s">
        <v>27</v>
      </c>
      <c r="E2930" s="208" t="s">
        <v>124</v>
      </c>
      <c r="F2930" t="s">
        <v>15</v>
      </c>
      <c r="G2930" s="18">
        <v>25586668</v>
      </c>
      <c r="H2930" t="s">
        <v>561</v>
      </c>
      <c r="I2930" s="151" t="s">
        <v>562</v>
      </c>
    </row>
    <row r="2931" spans="1:9" x14ac:dyDescent="0.25">
      <c r="A2931">
        <v>1808</v>
      </c>
      <c r="B2931">
        <f>A2931+1</f>
        <v>1809</v>
      </c>
      <c r="C2931" t="s">
        <v>515</v>
      </c>
      <c r="D2931" t="s">
        <v>26</v>
      </c>
      <c r="E2931" s="208" t="s">
        <v>62</v>
      </c>
      <c r="F2931" t="s">
        <v>15</v>
      </c>
      <c r="G2931" s="18">
        <v>4876</v>
      </c>
      <c r="H2931" s="151" t="s">
        <v>563</v>
      </c>
      <c r="I2931" t="s">
        <v>561</v>
      </c>
    </row>
    <row r="2932" spans="1:9" x14ac:dyDescent="0.25">
      <c r="A2932">
        <v>1808</v>
      </c>
      <c r="B2932">
        <f>A2932+1</f>
        <v>1809</v>
      </c>
      <c r="C2932" t="s">
        <v>515</v>
      </c>
      <c r="D2932" t="s">
        <v>26</v>
      </c>
      <c r="E2932" s="208" t="s">
        <v>58</v>
      </c>
      <c r="F2932" t="s">
        <v>15</v>
      </c>
      <c r="G2932" s="18">
        <v>0</v>
      </c>
      <c r="H2932" s="151" t="s">
        <v>563</v>
      </c>
      <c r="I2932" t="s">
        <v>561</v>
      </c>
    </row>
    <row r="2933" spans="1:9" x14ac:dyDescent="0.25">
      <c r="A2933">
        <v>1808</v>
      </c>
      <c r="B2933">
        <f>A2933+1</f>
        <v>1809</v>
      </c>
      <c r="C2933" t="s">
        <v>515</v>
      </c>
      <c r="D2933" t="s">
        <v>26</v>
      </c>
      <c r="E2933" s="208" t="s">
        <v>57</v>
      </c>
      <c r="F2933" t="s">
        <v>15</v>
      </c>
      <c r="G2933" s="18">
        <v>40336</v>
      </c>
      <c r="H2933" s="151" t="s">
        <v>563</v>
      </c>
      <c r="I2933" t="s">
        <v>561</v>
      </c>
    </row>
    <row r="2934" spans="1:9" x14ac:dyDescent="0.25">
      <c r="A2934">
        <v>1808</v>
      </c>
      <c r="B2934">
        <f>A2934+1</f>
        <v>1809</v>
      </c>
      <c r="C2934" t="s">
        <v>515</v>
      </c>
      <c r="D2934" t="s">
        <v>26</v>
      </c>
      <c r="E2934" s="208" t="s">
        <v>35</v>
      </c>
      <c r="F2934" t="s">
        <v>15</v>
      </c>
      <c r="G2934" s="18">
        <v>713</v>
      </c>
      <c r="H2934" s="151" t="s">
        <v>563</v>
      </c>
      <c r="I2934" t="s">
        <v>561</v>
      </c>
    </row>
    <row r="2935" spans="1:9" x14ac:dyDescent="0.25">
      <c r="A2935">
        <v>1808</v>
      </c>
      <c r="B2935">
        <f>A2935+1</f>
        <v>1809</v>
      </c>
      <c r="C2935" t="s">
        <v>515</v>
      </c>
      <c r="D2935" t="s">
        <v>26</v>
      </c>
      <c r="E2935" s="208" t="s">
        <v>36</v>
      </c>
      <c r="F2935" t="s">
        <v>15</v>
      </c>
      <c r="G2935" s="18">
        <v>3382</v>
      </c>
      <c r="H2935" s="151" t="s">
        <v>563</v>
      </c>
      <c r="I2935" t="s">
        <v>561</v>
      </c>
    </row>
    <row r="2936" spans="1:9" x14ac:dyDescent="0.25">
      <c r="A2936">
        <v>1808</v>
      </c>
      <c r="B2936">
        <f>A2936+1</f>
        <v>1809</v>
      </c>
      <c r="C2936" t="s">
        <v>515</v>
      </c>
      <c r="D2936" t="s">
        <v>26</v>
      </c>
      <c r="E2936" s="208" t="s">
        <v>39</v>
      </c>
      <c r="F2936" t="s">
        <v>15</v>
      </c>
      <c r="G2936" s="18">
        <v>1224</v>
      </c>
      <c r="H2936" s="151" t="s">
        <v>563</v>
      </c>
      <c r="I2936" t="s">
        <v>561</v>
      </c>
    </row>
    <row r="2937" spans="1:9" x14ac:dyDescent="0.25">
      <c r="A2937">
        <v>1808</v>
      </c>
      <c r="B2937">
        <f>A2937+1</f>
        <v>1809</v>
      </c>
      <c r="C2937" t="s">
        <v>515</v>
      </c>
      <c r="D2937" t="s">
        <v>26</v>
      </c>
      <c r="E2937" s="208" t="s">
        <v>94</v>
      </c>
      <c r="F2937" t="s">
        <v>15</v>
      </c>
      <c r="G2937" s="18">
        <v>0</v>
      </c>
      <c r="H2937" s="151" t="s">
        <v>563</v>
      </c>
      <c r="I2937" t="s">
        <v>561</v>
      </c>
    </row>
    <row r="2938" spans="1:9" x14ac:dyDescent="0.25">
      <c r="A2938">
        <v>1808</v>
      </c>
      <c r="B2938">
        <f>A2938+1</f>
        <v>1809</v>
      </c>
      <c r="C2938" t="s">
        <v>515</v>
      </c>
      <c r="D2938" t="s">
        <v>26</v>
      </c>
      <c r="E2938" s="208" t="s">
        <v>99</v>
      </c>
      <c r="F2938" t="s">
        <v>15</v>
      </c>
      <c r="G2938" s="18">
        <v>2128</v>
      </c>
      <c r="H2938" s="151" t="s">
        <v>563</v>
      </c>
      <c r="I2938" t="s">
        <v>561</v>
      </c>
    </row>
    <row r="2939" spans="1:9" x14ac:dyDescent="0.25">
      <c r="A2939">
        <v>1808</v>
      </c>
      <c r="B2939">
        <f>A2939+1</f>
        <v>1809</v>
      </c>
      <c r="C2939" t="s">
        <v>515</v>
      </c>
      <c r="D2939" t="s">
        <v>26</v>
      </c>
      <c r="E2939" s="208" t="s">
        <v>28</v>
      </c>
      <c r="F2939" t="s">
        <v>15</v>
      </c>
      <c r="G2939" s="18">
        <v>528</v>
      </c>
      <c r="H2939" s="151" t="s">
        <v>563</v>
      </c>
      <c r="I2939" t="s">
        <v>561</v>
      </c>
    </row>
    <row r="2940" spans="1:9" x14ac:dyDescent="0.25">
      <c r="A2940">
        <v>1808</v>
      </c>
      <c r="B2940">
        <f>A2940+1</f>
        <v>1809</v>
      </c>
      <c r="C2940" t="s">
        <v>515</v>
      </c>
      <c r="D2940" t="s">
        <v>26</v>
      </c>
      <c r="E2940" s="208" t="s">
        <v>89</v>
      </c>
      <c r="F2940" t="s">
        <v>15</v>
      </c>
      <c r="G2940" s="18">
        <v>540</v>
      </c>
      <c r="H2940" s="151" t="s">
        <v>563</v>
      </c>
      <c r="I2940" t="s">
        <v>561</v>
      </c>
    </row>
    <row r="2941" spans="1:9" x14ac:dyDescent="0.25">
      <c r="A2941">
        <v>1808</v>
      </c>
      <c r="B2941">
        <f>A2941+1</f>
        <v>1809</v>
      </c>
      <c r="C2941" t="s">
        <v>515</v>
      </c>
      <c r="D2941" t="s">
        <v>26</v>
      </c>
      <c r="E2941" s="208" t="s">
        <v>45</v>
      </c>
      <c r="F2941" t="s">
        <v>15</v>
      </c>
      <c r="G2941" s="18">
        <v>706</v>
      </c>
      <c r="H2941" s="151" t="s">
        <v>563</v>
      </c>
      <c r="I2941" t="s">
        <v>561</v>
      </c>
    </row>
    <row r="2942" spans="1:9" x14ac:dyDescent="0.25">
      <c r="A2942">
        <v>1808</v>
      </c>
      <c r="B2942">
        <f>A2942+1</f>
        <v>1809</v>
      </c>
      <c r="C2942" t="s">
        <v>515</v>
      </c>
      <c r="D2942" t="s">
        <v>26</v>
      </c>
      <c r="E2942" s="208" t="s">
        <v>54</v>
      </c>
      <c r="F2942" t="s">
        <v>15</v>
      </c>
      <c r="G2942" s="18">
        <v>270</v>
      </c>
      <c r="H2942" s="151" t="s">
        <v>563</v>
      </c>
      <c r="I2942" t="s">
        <v>561</v>
      </c>
    </row>
    <row r="2943" spans="1:9" x14ac:dyDescent="0.25">
      <c r="A2943">
        <v>1808</v>
      </c>
      <c r="B2943">
        <f>A2943+1</f>
        <v>1809</v>
      </c>
      <c r="C2943" t="s">
        <v>515</v>
      </c>
      <c r="D2943" t="s">
        <v>26</v>
      </c>
      <c r="E2943" s="208" t="s">
        <v>53</v>
      </c>
      <c r="F2943" t="s">
        <v>15</v>
      </c>
      <c r="G2943" s="18">
        <v>363</v>
      </c>
      <c r="H2943" s="151" t="s">
        <v>563</v>
      </c>
      <c r="I2943" t="s">
        <v>561</v>
      </c>
    </row>
    <row r="2944" spans="1:9" x14ac:dyDescent="0.25">
      <c r="A2944">
        <v>1808</v>
      </c>
      <c r="B2944">
        <f>A2944+1</f>
        <v>1809</v>
      </c>
      <c r="C2944" t="s">
        <v>515</v>
      </c>
      <c r="D2944" t="s">
        <v>26</v>
      </c>
      <c r="E2944" s="208" t="s">
        <v>351</v>
      </c>
      <c r="F2944" t="s">
        <v>15</v>
      </c>
      <c r="G2944" s="18">
        <v>1084</v>
      </c>
      <c r="H2944" s="151" t="s">
        <v>563</v>
      </c>
      <c r="I2944" t="s">
        <v>561</v>
      </c>
    </row>
    <row r="2945" spans="1:9" x14ac:dyDescent="0.25">
      <c r="A2945">
        <v>1808</v>
      </c>
      <c r="B2945">
        <f>A2945+1</f>
        <v>1809</v>
      </c>
      <c r="C2945" t="s">
        <v>515</v>
      </c>
      <c r="D2945" t="s">
        <v>26</v>
      </c>
      <c r="E2945" s="208" t="s">
        <v>352</v>
      </c>
      <c r="F2945" t="s">
        <v>15</v>
      </c>
      <c r="G2945" s="18">
        <v>23119</v>
      </c>
      <c r="H2945" s="151" t="s">
        <v>563</v>
      </c>
      <c r="I2945" t="s">
        <v>561</v>
      </c>
    </row>
    <row r="2946" spans="1:9" x14ac:dyDescent="0.25">
      <c r="A2946">
        <v>1808</v>
      </c>
      <c r="B2946">
        <f>A2946+1</f>
        <v>1809</v>
      </c>
      <c r="C2946" t="s">
        <v>515</v>
      </c>
      <c r="D2946" t="s">
        <v>26</v>
      </c>
      <c r="E2946" s="208" t="s">
        <v>75</v>
      </c>
      <c r="F2946" t="s">
        <v>15</v>
      </c>
      <c r="G2946" s="18">
        <v>4742392</v>
      </c>
      <c r="H2946" s="151" t="s">
        <v>563</v>
      </c>
      <c r="I2946" t="s">
        <v>561</v>
      </c>
    </row>
    <row r="2947" spans="1:9" x14ac:dyDescent="0.25">
      <c r="A2947">
        <v>1808</v>
      </c>
      <c r="B2947">
        <f>A2947+1</f>
        <v>1809</v>
      </c>
      <c r="C2947" t="s">
        <v>515</v>
      </c>
      <c r="D2947" t="s">
        <v>26</v>
      </c>
      <c r="E2947" s="208" t="s">
        <v>107</v>
      </c>
      <c r="F2947" t="s">
        <v>15</v>
      </c>
      <c r="G2947" s="18">
        <v>2827225</v>
      </c>
      <c r="H2947" s="151" t="s">
        <v>563</v>
      </c>
      <c r="I2947" t="s">
        <v>561</v>
      </c>
    </row>
    <row r="2948" spans="1:9" x14ac:dyDescent="0.25">
      <c r="A2948">
        <v>1808</v>
      </c>
      <c r="B2948">
        <f>A2948+1</f>
        <v>1809</v>
      </c>
      <c r="C2948" t="s">
        <v>515</v>
      </c>
      <c r="D2948" t="s">
        <v>26</v>
      </c>
      <c r="E2948" s="208" t="s">
        <v>101</v>
      </c>
      <c r="F2948" t="s">
        <v>15</v>
      </c>
      <c r="G2948" s="18">
        <v>6492095</v>
      </c>
      <c r="H2948" s="151" t="s">
        <v>563</v>
      </c>
      <c r="I2948" t="s">
        <v>561</v>
      </c>
    </row>
    <row r="2949" spans="1:9" x14ac:dyDescent="0.25">
      <c r="A2949">
        <v>1808</v>
      </c>
      <c r="B2949">
        <f>A2949+1</f>
        <v>1809</v>
      </c>
      <c r="C2949" t="s">
        <v>515</v>
      </c>
      <c r="D2949" t="s">
        <v>26</v>
      </c>
      <c r="E2949" s="208" t="s">
        <v>65</v>
      </c>
      <c r="F2949" t="s">
        <v>15</v>
      </c>
      <c r="G2949" s="18">
        <v>28072</v>
      </c>
      <c r="H2949" s="151" t="s">
        <v>563</v>
      </c>
      <c r="I2949" t="s">
        <v>561</v>
      </c>
    </row>
    <row r="2950" spans="1:9" x14ac:dyDescent="0.25">
      <c r="A2950">
        <v>1808</v>
      </c>
      <c r="B2950">
        <f>A2950+1</f>
        <v>1809</v>
      </c>
      <c r="C2950" t="s">
        <v>515</v>
      </c>
      <c r="D2950" t="s">
        <v>26</v>
      </c>
      <c r="E2950" s="208" t="s">
        <v>88</v>
      </c>
      <c r="F2950" t="s">
        <v>15</v>
      </c>
      <c r="G2950" s="18">
        <v>4024</v>
      </c>
      <c r="H2950" s="151" t="s">
        <v>563</v>
      </c>
      <c r="I2950" t="s">
        <v>561</v>
      </c>
    </row>
    <row r="2951" spans="1:9" x14ac:dyDescent="0.25">
      <c r="A2951">
        <v>1808</v>
      </c>
      <c r="B2951">
        <f>A2951+1</f>
        <v>1809</v>
      </c>
      <c r="C2951" t="s">
        <v>515</v>
      </c>
      <c r="D2951" t="s">
        <v>26</v>
      </c>
      <c r="E2951" s="208" t="s">
        <v>330</v>
      </c>
      <c r="F2951" t="s">
        <v>15</v>
      </c>
      <c r="G2951" s="18">
        <v>1412</v>
      </c>
      <c r="H2951" s="151" t="s">
        <v>563</v>
      </c>
      <c r="I2951" t="s">
        <v>561</v>
      </c>
    </row>
    <row r="2952" spans="1:9" x14ac:dyDescent="0.25">
      <c r="A2952">
        <v>1808</v>
      </c>
      <c r="B2952">
        <f>A2952+1</f>
        <v>1809</v>
      </c>
      <c r="C2952" t="s">
        <v>515</v>
      </c>
      <c r="D2952" t="s">
        <v>26</v>
      </c>
      <c r="E2952" s="208" t="s">
        <v>331</v>
      </c>
      <c r="F2952" t="s">
        <v>15</v>
      </c>
      <c r="G2952" s="18">
        <v>2197</v>
      </c>
      <c r="H2952" s="151" t="s">
        <v>563</v>
      </c>
      <c r="I2952" t="s">
        <v>561</v>
      </c>
    </row>
    <row r="2953" spans="1:9" x14ac:dyDescent="0.25">
      <c r="A2953">
        <v>1808</v>
      </c>
      <c r="B2953">
        <f>A2953+1</f>
        <v>1809</v>
      </c>
      <c r="C2953" t="s">
        <v>515</v>
      </c>
      <c r="D2953" t="s">
        <v>26</v>
      </c>
      <c r="E2953" s="208" t="s">
        <v>332</v>
      </c>
      <c r="F2953" t="s">
        <v>15</v>
      </c>
      <c r="G2953" s="18">
        <v>423</v>
      </c>
      <c r="H2953" s="151" t="s">
        <v>563</v>
      </c>
      <c r="I2953" t="s">
        <v>561</v>
      </c>
    </row>
    <row r="2954" spans="1:9" x14ac:dyDescent="0.25">
      <c r="A2954">
        <v>1808</v>
      </c>
      <c r="B2954">
        <f>A2954+1</f>
        <v>1809</v>
      </c>
      <c r="C2954" t="s">
        <v>515</v>
      </c>
      <c r="D2954" t="s">
        <v>26</v>
      </c>
      <c r="E2954" s="208" t="s">
        <v>333</v>
      </c>
      <c r="F2954" t="s">
        <v>15</v>
      </c>
      <c r="G2954" s="18">
        <v>1261</v>
      </c>
      <c r="H2954" s="151" t="s">
        <v>563</v>
      </c>
      <c r="I2954" t="s">
        <v>561</v>
      </c>
    </row>
    <row r="2955" spans="1:9" x14ac:dyDescent="0.25">
      <c r="A2955">
        <v>1808</v>
      </c>
      <c r="B2955">
        <f>A2955+1</f>
        <v>1809</v>
      </c>
      <c r="C2955" t="s">
        <v>515</v>
      </c>
      <c r="D2955" t="s">
        <v>26</v>
      </c>
      <c r="E2955" s="208" t="s">
        <v>567</v>
      </c>
      <c r="F2955" t="s">
        <v>3</v>
      </c>
      <c r="G2955" s="18">
        <v>19593</v>
      </c>
      <c r="H2955" t="s">
        <v>24</v>
      </c>
      <c r="I2955" t="s">
        <v>16</v>
      </c>
    </row>
    <row r="2956" spans="1:9" x14ac:dyDescent="0.25">
      <c r="A2956">
        <v>1808</v>
      </c>
      <c r="B2956">
        <f>A2956+1</f>
        <v>1809</v>
      </c>
      <c r="C2956" t="s">
        <v>515</v>
      </c>
      <c r="D2956" t="s">
        <v>26</v>
      </c>
      <c r="E2956" s="208" t="s">
        <v>567</v>
      </c>
      <c r="F2956" t="s">
        <v>4</v>
      </c>
      <c r="G2956" s="18">
        <v>3813</v>
      </c>
      <c r="H2956" t="s">
        <v>23</v>
      </c>
      <c r="I2956" t="s">
        <v>16</v>
      </c>
    </row>
    <row r="2957" spans="1:9" x14ac:dyDescent="0.25">
      <c r="A2957">
        <v>1808</v>
      </c>
      <c r="B2957">
        <f>A2957+1</f>
        <v>1809</v>
      </c>
      <c r="C2957" t="s">
        <v>515</v>
      </c>
      <c r="D2957" t="s">
        <v>26</v>
      </c>
      <c r="E2957" s="208" t="s">
        <v>567</v>
      </c>
      <c r="F2957" t="s">
        <v>7</v>
      </c>
      <c r="G2957" s="18">
        <v>23406</v>
      </c>
      <c r="H2957" s="151" t="s">
        <v>563</v>
      </c>
      <c r="I2957" t="s">
        <v>16</v>
      </c>
    </row>
    <row r="2958" spans="1:9" x14ac:dyDescent="0.25">
      <c r="A2958">
        <v>1808</v>
      </c>
      <c r="B2958">
        <f>A2958+1</f>
        <v>1809</v>
      </c>
      <c r="C2958" t="s">
        <v>515</v>
      </c>
      <c r="D2958" t="s">
        <v>26</v>
      </c>
      <c r="E2958" s="208" t="s">
        <v>567</v>
      </c>
      <c r="F2958" t="s">
        <v>10</v>
      </c>
      <c r="G2958" s="18">
        <v>7978</v>
      </c>
      <c r="H2958" t="s">
        <v>24</v>
      </c>
      <c r="I2958" t="s">
        <v>17</v>
      </c>
    </row>
    <row r="2959" spans="1:9" x14ac:dyDescent="0.25">
      <c r="A2959">
        <v>1808</v>
      </c>
      <c r="B2959">
        <f>A2959+1</f>
        <v>1809</v>
      </c>
      <c r="C2959" t="s">
        <v>515</v>
      </c>
      <c r="D2959" t="s">
        <v>26</v>
      </c>
      <c r="E2959" s="208" t="s">
        <v>567</v>
      </c>
      <c r="F2959" t="s">
        <v>11</v>
      </c>
      <c r="G2959" s="18">
        <v>2497</v>
      </c>
      <c r="H2959" t="s">
        <v>23</v>
      </c>
      <c r="I2959" t="s">
        <v>17</v>
      </c>
    </row>
    <row r="2960" spans="1:9" x14ac:dyDescent="0.25">
      <c r="A2960">
        <v>1808</v>
      </c>
      <c r="B2960">
        <f>A2960+1</f>
        <v>1809</v>
      </c>
      <c r="C2960" t="s">
        <v>515</v>
      </c>
      <c r="D2960" t="s">
        <v>26</v>
      </c>
      <c r="E2960" s="208" t="s">
        <v>567</v>
      </c>
      <c r="F2960" t="s">
        <v>14</v>
      </c>
      <c r="G2960" s="18">
        <v>10475</v>
      </c>
      <c r="H2960" s="151" t="s">
        <v>563</v>
      </c>
      <c r="I2960" t="s">
        <v>17</v>
      </c>
    </row>
    <row r="2961" spans="1:9" x14ac:dyDescent="0.25">
      <c r="A2961">
        <v>1808</v>
      </c>
      <c r="B2961">
        <f>A2961+1</f>
        <v>1809</v>
      </c>
      <c r="C2961" t="s">
        <v>515</v>
      </c>
      <c r="D2961" t="s">
        <v>26</v>
      </c>
      <c r="E2961" s="208" t="s">
        <v>567</v>
      </c>
      <c r="F2961" t="s">
        <v>15</v>
      </c>
      <c r="G2961" s="18">
        <v>33881</v>
      </c>
      <c r="H2961" s="151" t="s">
        <v>563</v>
      </c>
      <c r="I2961" t="s">
        <v>561</v>
      </c>
    </row>
    <row r="2962" spans="1:9" x14ac:dyDescent="0.25">
      <c r="A2962">
        <v>1808</v>
      </c>
      <c r="B2962">
        <f>A2962+1</f>
        <v>1809</v>
      </c>
      <c r="C2962" t="s">
        <v>515</v>
      </c>
      <c r="D2962" t="s">
        <v>26</v>
      </c>
      <c r="E2962" s="208" t="s">
        <v>572</v>
      </c>
      <c r="F2962" t="s">
        <v>3</v>
      </c>
      <c r="G2962" s="18">
        <v>3196</v>
      </c>
      <c r="H2962" t="s">
        <v>24</v>
      </c>
      <c r="I2962" t="s">
        <v>16</v>
      </c>
    </row>
    <row r="2963" spans="1:9" x14ac:dyDescent="0.25">
      <c r="A2963">
        <v>1808</v>
      </c>
      <c r="B2963">
        <f>A2963+1</f>
        <v>1809</v>
      </c>
      <c r="C2963" t="s">
        <v>515</v>
      </c>
      <c r="D2963" t="s">
        <v>26</v>
      </c>
      <c r="E2963" s="208" t="s">
        <v>572</v>
      </c>
      <c r="F2963" t="s">
        <v>4</v>
      </c>
      <c r="G2963" s="18">
        <v>580</v>
      </c>
      <c r="H2963" t="s">
        <v>23</v>
      </c>
      <c r="I2963" t="s">
        <v>16</v>
      </c>
    </row>
    <row r="2964" spans="1:9" x14ac:dyDescent="0.25">
      <c r="A2964">
        <v>1808</v>
      </c>
      <c r="B2964">
        <f>A2964+1</f>
        <v>1809</v>
      </c>
      <c r="C2964" t="s">
        <v>515</v>
      </c>
      <c r="D2964" t="s">
        <v>26</v>
      </c>
      <c r="E2964" s="208" t="s">
        <v>572</v>
      </c>
      <c r="F2964" t="s">
        <v>7</v>
      </c>
      <c r="G2964" s="18">
        <v>3776</v>
      </c>
      <c r="H2964" s="151" t="s">
        <v>563</v>
      </c>
      <c r="I2964" t="s">
        <v>16</v>
      </c>
    </row>
    <row r="2965" spans="1:9" x14ac:dyDescent="0.25">
      <c r="A2965">
        <v>1808</v>
      </c>
      <c r="B2965">
        <f>A2965+1</f>
        <v>1809</v>
      </c>
      <c r="C2965" t="s">
        <v>515</v>
      </c>
      <c r="D2965" t="s">
        <v>26</v>
      </c>
      <c r="E2965" s="208" t="s">
        <v>572</v>
      </c>
      <c r="F2965" t="s">
        <v>10</v>
      </c>
      <c r="G2965" s="18">
        <v>1802</v>
      </c>
      <c r="H2965" t="s">
        <v>24</v>
      </c>
      <c r="I2965" t="s">
        <v>17</v>
      </c>
    </row>
    <row r="2966" spans="1:9" x14ac:dyDescent="0.25">
      <c r="A2966">
        <v>1808</v>
      </c>
      <c r="B2966">
        <f>A2966+1</f>
        <v>1809</v>
      </c>
      <c r="C2966" t="s">
        <v>515</v>
      </c>
      <c r="D2966" t="s">
        <v>26</v>
      </c>
      <c r="E2966" s="208" t="s">
        <v>572</v>
      </c>
      <c r="F2966" t="s">
        <v>11</v>
      </c>
      <c r="G2966" s="18">
        <v>440</v>
      </c>
      <c r="H2966" t="s">
        <v>23</v>
      </c>
      <c r="I2966" t="s">
        <v>17</v>
      </c>
    </row>
    <row r="2967" spans="1:9" x14ac:dyDescent="0.25">
      <c r="A2967">
        <v>1808</v>
      </c>
      <c r="B2967">
        <f>A2967+1</f>
        <v>1809</v>
      </c>
      <c r="C2967" t="s">
        <v>515</v>
      </c>
      <c r="D2967" t="s">
        <v>26</v>
      </c>
      <c r="E2967" s="208" t="s">
        <v>572</v>
      </c>
      <c r="F2967" t="s">
        <v>14</v>
      </c>
      <c r="G2967" s="18">
        <v>2242</v>
      </c>
      <c r="H2967" s="151" t="s">
        <v>563</v>
      </c>
      <c r="I2967" t="s">
        <v>17</v>
      </c>
    </row>
    <row r="2968" spans="1:9" x14ac:dyDescent="0.25">
      <c r="A2968">
        <v>1808</v>
      </c>
      <c r="B2968">
        <f>A2968+1</f>
        <v>1809</v>
      </c>
      <c r="C2968" t="s">
        <v>515</v>
      </c>
      <c r="D2968" t="s">
        <v>26</v>
      </c>
      <c r="E2968" s="208" t="s">
        <v>572</v>
      </c>
      <c r="F2968" t="s">
        <v>15</v>
      </c>
      <c r="G2968" s="18">
        <v>6018</v>
      </c>
      <c r="H2968" s="151" t="s">
        <v>563</v>
      </c>
      <c r="I2968" t="s">
        <v>561</v>
      </c>
    </row>
    <row r="2969" spans="1:9" x14ac:dyDescent="0.25">
      <c r="A2969">
        <v>1808</v>
      </c>
      <c r="B2969">
        <f>A2969+1</f>
        <v>1809</v>
      </c>
      <c r="C2969" t="s">
        <v>515</v>
      </c>
      <c r="D2969" t="s">
        <v>26</v>
      </c>
      <c r="E2969" s="208" t="s">
        <v>571</v>
      </c>
      <c r="F2969" t="s">
        <v>7</v>
      </c>
      <c r="G2969" s="18">
        <v>0</v>
      </c>
      <c r="H2969" s="151" t="s">
        <v>563</v>
      </c>
      <c r="I2969" t="s">
        <v>16</v>
      </c>
    </row>
    <row r="2970" spans="1:9" x14ac:dyDescent="0.25">
      <c r="A2970">
        <v>1808</v>
      </c>
      <c r="B2970">
        <f>A2970+1</f>
        <v>1809</v>
      </c>
      <c r="C2970" t="s">
        <v>515</v>
      </c>
      <c r="D2970" t="s">
        <v>26</v>
      </c>
      <c r="E2970" s="208" t="s">
        <v>571</v>
      </c>
      <c r="F2970" t="s">
        <v>14</v>
      </c>
      <c r="G2970" s="18">
        <v>0</v>
      </c>
      <c r="H2970" s="151" t="s">
        <v>563</v>
      </c>
      <c r="I2970" t="s">
        <v>17</v>
      </c>
    </row>
    <row r="2971" spans="1:9" x14ac:dyDescent="0.25">
      <c r="A2971">
        <v>1808</v>
      </c>
      <c r="B2971">
        <f>A2971+1</f>
        <v>1809</v>
      </c>
      <c r="C2971" t="s">
        <v>515</v>
      </c>
      <c r="D2971" t="s">
        <v>26</v>
      </c>
      <c r="E2971" s="208" t="s">
        <v>571</v>
      </c>
      <c r="F2971" t="s">
        <v>15</v>
      </c>
      <c r="G2971" s="18">
        <v>0</v>
      </c>
      <c r="H2971" s="151" t="s">
        <v>563</v>
      </c>
      <c r="I2971" t="s">
        <v>561</v>
      </c>
    </row>
    <row r="2972" spans="1:9" x14ac:dyDescent="0.25">
      <c r="A2972">
        <v>1808</v>
      </c>
      <c r="B2972">
        <f>A2972+1</f>
        <v>1809</v>
      </c>
      <c r="C2972" t="s">
        <v>515</v>
      </c>
      <c r="D2972" t="s">
        <v>26</v>
      </c>
      <c r="E2972" s="208" t="s">
        <v>570</v>
      </c>
      <c r="F2972" t="s">
        <v>3</v>
      </c>
      <c r="G2972" s="18">
        <v>5556</v>
      </c>
      <c r="H2972" t="s">
        <v>24</v>
      </c>
      <c r="I2972" t="s">
        <v>16</v>
      </c>
    </row>
    <row r="2973" spans="1:9" x14ac:dyDescent="0.25">
      <c r="A2973">
        <v>1808</v>
      </c>
      <c r="B2973">
        <f>A2973+1</f>
        <v>1809</v>
      </c>
      <c r="C2973" t="s">
        <v>515</v>
      </c>
      <c r="D2973" t="s">
        <v>26</v>
      </c>
      <c r="E2973" s="208" t="s">
        <v>570</v>
      </c>
      <c r="F2973" t="s">
        <v>4</v>
      </c>
      <c r="G2973" s="18">
        <v>562</v>
      </c>
      <c r="H2973" t="s">
        <v>23</v>
      </c>
      <c r="I2973" t="s">
        <v>16</v>
      </c>
    </row>
    <row r="2974" spans="1:9" x14ac:dyDescent="0.25">
      <c r="A2974">
        <v>1808</v>
      </c>
      <c r="B2974">
        <f>A2974+1</f>
        <v>1809</v>
      </c>
      <c r="C2974" t="s">
        <v>515</v>
      </c>
      <c r="D2974" t="s">
        <v>26</v>
      </c>
      <c r="E2974" s="208" t="s">
        <v>570</v>
      </c>
      <c r="F2974" t="s">
        <v>7</v>
      </c>
      <c r="G2974" s="18">
        <v>6118</v>
      </c>
      <c r="H2974" s="151" t="s">
        <v>563</v>
      </c>
      <c r="I2974" t="s">
        <v>16</v>
      </c>
    </row>
    <row r="2975" spans="1:9" x14ac:dyDescent="0.25">
      <c r="A2975">
        <v>1808</v>
      </c>
      <c r="B2975">
        <f>A2975+1</f>
        <v>1809</v>
      </c>
      <c r="C2975" t="s">
        <v>515</v>
      </c>
      <c r="D2975" t="s">
        <v>26</v>
      </c>
      <c r="E2975" s="208" t="s">
        <v>570</v>
      </c>
      <c r="F2975" t="s">
        <v>10</v>
      </c>
      <c r="G2975" s="18">
        <v>1162</v>
      </c>
      <c r="H2975" t="s">
        <v>24</v>
      </c>
      <c r="I2975" t="s">
        <v>17</v>
      </c>
    </row>
    <row r="2976" spans="1:9" x14ac:dyDescent="0.25">
      <c r="A2976">
        <v>1808</v>
      </c>
      <c r="B2976">
        <f>A2976+1</f>
        <v>1809</v>
      </c>
      <c r="C2976" t="s">
        <v>515</v>
      </c>
      <c r="D2976" t="s">
        <v>26</v>
      </c>
      <c r="E2976" s="208" t="s">
        <v>570</v>
      </c>
      <c r="F2976" t="s">
        <v>11</v>
      </c>
      <c r="G2976" s="18">
        <v>145</v>
      </c>
      <c r="H2976" t="s">
        <v>23</v>
      </c>
      <c r="I2976" t="s">
        <v>17</v>
      </c>
    </row>
    <row r="2977" spans="1:9" x14ac:dyDescent="0.25">
      <c r="A2977">
        <v>1808</v>
      </c>
      <c r="B2977">
        <f>A2977+1</f>
        <v>1809</v>
      </c>
      <c r="C2977" t="s">
        <v>515</v>
      </c>
      <c r="D2977" t="s">
        <v>26</v>
      </c>
      <c r="E2977" s="208" t="s">
        <v>570</v>
      </c>
      <c r="F2977" t="s">
        <v>14</v>
      </c>
      <c r="G2977" s="18">
        <v>1307</v>
      </c>
      <c r="H2977" s="151" t="s">
        <v>563</v>
      </c>
      <c r="I2977" t="s">
        <v>17</v>
      </c>
    </row>
    <row r="2978" spans="1:9" x14ac:dyDescent="0.25">
      <c r="A2978">
        <v>1808</v>
      </c>
      <c r="B2978">
        <f>A2978+1</f>
        <v>1809</v>
      </c>
      <c r="C2978" t="s">
        <v>515</v>
      </c>
      <c r="D2978" t="s">
        <v>26</v>
      </c>
      <c r="E2978" s="208" t="s">
        <v>570</v>
      </c>
      <c r="F2978" t="s">
        <v>15</v>
      </c>
      <c r="G2978" s="18">
        <v>7425</v>
      </c>
      <c r="H2978" s="151" t="s">
        <v>563</v>
      </c>
      <c r="I2978" t="s">
        <v>561</v>
      </c>
    </row>
    <row r="2979" spans="1:9" x14ac:dyDescent="0.25">
      <c r="A2979">
        <v>1808</v>
      </c>
      <c r="B2979">
        <f>A2979+1</f>
        <v>1809</v>
      </c>
      <c r="C2979" t="s">
        <v>515</v>
      </c>
      <c r="D2979" t="s">
        <v>26</v>
      </c>
      <c r="E2979" s="208" t="s">
        <v>569</v>
      </c>
      <c r="F2979" t="s">
        <v>3</v>
      </c>
      <c r="G2979" s="18">
        <v>1688</v>
      </c>
      <c r="H2979" t="s">
        <v>24</v>
      </c>
      <c r="I2979" t="s">
        <v>16</v>
      </c>
    </row>
    <row r="2980" spans="1:9" x14ac:dyDescent="0.25">
      <c r="A2980">
        <v>1808</v>
      </c>
      <c r="B2980">
        <f>A2980+1</f>
        <v>1809</v>
      </c>
      <c r="C2980" t="s">
        <v>515</v>
      </c>
      <c r="D2980" t="s">
        <v>26</v>
      </c>
      <c r="E2980" s="208" t="s">
        <v>569</v>
      </c>
      <c r="F2980" t="s">
        <v>4</v>
      </c>
      <c r="G2980" s="18">
        <v>270</v>
      </c>
      <c r="H2980" t="s">
        <v>23</v>
      </c>
      <c r="I2980" t="s">
        <v>16</v>
      </c>
    </row>
    <row r="2981" spans="1:9" x14ac:dyDescent="0.25">
      <c r="A2981">
        <v>1808</v>
      </c>
      <c r="B2981">
        <f>A2981+1</f>
        <v>1809</v>
      </c>
      <c r="C2981" t="s">
        <v>515</v>
      </c>
      <c r="D2981" t="s">
        <v>26</v>
      </c>
      <c r="E2981" s="208" t="s">
        <v>569</v>
      </c>
      <c r="F2981" t="s">
        <v>7</v>
      </c>
      <c r="G2981" s="18">
        <v>1958</v>
      </c>
      <c r="H2981" s="151" t="s">
        <v>563</v>
      </c>
      <c r="I2981" t="s">
        <v>16</v>
      </c>
    </row>
    <row r="2982" spans="1:9" x14ac:dyDescent="0.25">
      <c r="A2982">
        <v>1808</v>
      </c>
      <c r="B2982">
        <f>A2982+1</f>
        <v>1809</v>
      </c>
      <c r="C2982" t="s">
        <v>515</v>
      </c>
      <c r="D2982" t="s">
        <v>26</v>
      </c>
      <c r="E2982" s="208" t="s">
        <v>569</v>
      </c>
      <c r="F2982" t="s">
        <v>10</v>
      </c>
      <c r="G2982" s="18">
        <v>822</v>
      </c>
      <c r="H2982" t="s">
        <v>24</v>
      </c>
      <c r="I2982" t="s">
        <v>17</v>
      </c>
    </row>
    <row r="2983" spans="1:9" x14ac:dyDescent="0.25">
      <c r="A2983">
        <v>1808</v>
      </c>
      <c r="B2983">
        <f>A2983+1</f>
        <v>1809</v>
      </c>
      <c r="C2983" t="s">
        <v>515</v>
      </c>
      <c r="D2983" t="s">
        <v>26</v>
      </c>
      <c r="E2983" s="208" t="s">
        <v>569</v>
      </c>
      <c r="F2983" t="s">
        <v>11</v>
      </c>
      <c r="G2983" s="18">
        <v>0</v>
      </c>
      <c r="H2983" t="s">
        <v>23</v>
      </c>
      <c r="I2983" t="s">
        <v>17</v>
      </c>
    </row>
    <row r="2984" spans="1:9" x14ac:dyDescent="0.25">
      <c r="A2984">
        <v>1808</v>
      </c>
      <c r="B2984">
        <f>A2984+1</f>
        <v>1809</v>
      </c>
      <c r="C2984" t="s">
        <v>515</v>
      </c>
      <c r="D2984" t="s">
        <v>26</v>
      </c>
      <c r="E2984" s="208" t="s">
        <v>569</v>
      </c>
      <c r="F2984" t="s">
        <v>14</v>
      </c>
      <c r="G2984" s="18">
        <v>822</v>
      </c>
      <c r="H2984" s="151" t="s">
        <v>563</v>
      </c>
      <c r="I2984" t="s">
        <v>17</v>
      </c>
    </row>
    <row r="2985" spans="1:9" x14ac:dyDescent="0.25">
      <c r="A2985">
        <v>1808</v>
      </c>
      <c r="B2985">
        <f>A2985+1</f>
        <v>1809</v>
      </c>
      <c r="C2985" t="s">
        <v>515</v>
      </c>
      <c r="D2985" t="s">
        <v>26</v>
      </c>
      <c r="E2985" s="208" t="s">
        <v>569</v>
      </c>
      <c r="F2985" t="s">
        <v>15</v>
      </c>
      <c r="G2985" s="18">
        <v>2780</v>
      </c>
      <c r="H2985" s="151" t="s">
        <v>563</v>
      </c>
      <c r="I2985" t="s">
        <v>561</v>
      </c>
    </row>
    <row r="2986" spans="1:9" x14ac:dyDescent="0.25">
      <c r="A2986">
        <v>1808</v>
      </c>
      <c r="B2986">
        <f>A2986+1</f>
        <v>1809</v>
      </c>
      <c r="C2986" t="s">
        <v>515</v>
      </c>
      <c r="D2986" t="s">
        <v>26</v>
      </c>
      <c r="E2986" s="208" t="s">
        <v>573</v>
      </c>
      <c r="F2986" t="s">
        <v>3</v>
      </c>
      <c r="G2986" s="18">
        <v>798</v>
      </c>
      <c r="H2986" t="s">
        <v>24</v>
      </c>
      <c r="I2986" t="s">
        <v>16</v>
      </c>
    </row>
    <row r="2987" spans="1:9" x14ac:dyDescent="0.25">
      <c r="A2987">
        <v>1808</v>
      </c>
      <c r="B2987">
        <f>A2987+1</f>
        <v>1809</v>
      </c>
      <c r="C2987" t="s">
        <v>515</v>
      </c>
      <c r="D2987" t="s">
        <v>26</v>
      </c>
      <c r="E2987" s="208" t="s">
        <v>573</v>
      </c>
      <c r="F2987" t="s">
        <v>4</v>
      </c>
      <c r="G2987" s="18">
        <v>804</v>
      </c>
      <c r="H2987" t="s">
        <v>23</v>
      </c>
      <c r="I2987" t="s">
        <v>16</v>
      </c>
    </row>
    <row r="2988" spans="1:9" x14ac:dyDescent="0.25">
      <c r="A2988">
        <v>1808</v>
      </c>
      <c r="B2988">
        <f>A2988+1</f>
        <v>1809</v>
      </c>
      <c r="C2988" t="s">
        <v>515</v>
      </c>
      <c r="D2988" t="s">
        <v>26</v>
      </c>
      <c r="E2988" s="208" t="s">
        <v>573</v>
      </c>
      <c r="F2988" t="s">
        <v>7</v>
      </c>
      <c r="G2988" s="18">
        <v>1602</v>
      </c>
      <c r="H2988" s="151" t="s">
        <v>563</v>
      </c>
      <c r="I2988" t="s">
        <v>16</v>
      </c>
    </row>
    <row r="2989" spans="1:9" x14ac:dyDescent="0.25">
      <c r="A2989">
        <v>1808</v>
      </c>
      <c r="B2989">
        <f>A2989+1</f>
        <v>1809</v>
      </c>
      <c r="C2989" t="s">
        <v>515</v>
      </c>
      <c r="D2989" t="s">
        <v>26</v>
      </c>
      <c r="E2989" s="208" t="s">
        <v>573</v>
      </c>
      <c r="F2989" t="s">
        <v>10</v>
      </c>
      <c r="G2989" s="18">
        <v>1226</v>
      </c>
      <c r="H2989" t="s">
        <v>24</v>
      </c>
      <c r="I2989" t="s">
        <v>17</v>
      </c>
    </row>
    <row r="2990" spans="1:9" x14ac:dyDescent="0.25">
      <c r="A2990">
        <v>1808</v>
      </c>
      <c r="B2990">
        <f>A2990+1</f>
        <v>1809</v>
      </c>
      <c r="C2990" t="s">
        <v>515</v>
      </c>
      <c r="D2990" t="s">
        <v>26</v>
      </c>
      <c r="E2990" s="208" t="s">
        <v>573</v>
      </c>
      <c r="F2990" t="s">
        <v>11</v>
      </c>
      <c r="G2990" s="18">
        <v>62</v>
      </c>
      <c r="H2990" t="s">
        <v>23</v>
      </c>
      <c r="I2990" t="s">
        <v>17</v>
      </c>
    </row>
    <row r="2991" spans="1:9" x14ac:dyDescent="0.25">
      <c r="A2991">
        <v>1808</v>
      </c>
      <c r="B2991">
        <f>A2991+1</f>
        <v>1809</v>
      </c>
      <c r="C2991" t="s">
        <v>515</v>
      </c>
      <c r="D2991" t="s">
        <v>26</v>
      </c>
      <c r="E2991" s="208" t="s">
        <v>573</v>
      </c>
      <c r="F2991" t="s">
        <v>14</v>
      </c>
      <c r="G2991" s="18">
        <v>1288</v>
      </c>
      <c r="H2991" s="151" t="s">
        <v>563</v>
      </c>
      <c r="I2991" t="s">
        <v>17</v>
      </c>
    </row>
    <row r="2992" spans="1:9" x14ac:dyDescent="0.25">
      <c r="A2992">
        <v>1808</v>
      </c>
      <c r="B2992">
        <f>A2992+1</f>
        <v>1809</v>
      </c>
      <c r="C2992" t="s">
        <v>515</v>
      </c>
      <c r="D2992" t="s">
        <v>26</v>
      </c>
      <c r="E2992" s="208" t="s">
        <v>573</v>
      </c>
      <c r="F2992" t="s">
        <v>15</v>
      </c>
      <c r="G2992" s="18">
        <v>2890</v>
      </c>
      <c r="H2992" s="151" t="s">
        <v>563</v>
      </c>
      <c r="I2992" t="s">
        <v>561</v>
      </c>
    </row>
    <row r="2993" spans="1:9" x14ac:dyDescent="0.25">
      <c r="A2993">
        <v>1809</v>
      </c>
      <c r="B2993">
        <f>A2993+1</f>
        <v>1810</v>
      </c>
      <c r="C2993" t="s">
        <v>589</v>
      </c>
      <c r="D2993" t="s">
        <v>27</v>
      </c>
      <c r="E2993" s="208" t="s">
        <v>155</v>
      </c>
      <c r="F2993" t="s">
        <v>3</v>
      </c>
      <c r="G2993" s="18">
        <v>297</v>
      </c>
      <c r="H2993" t="s">
        <v>16</v>
      </c>
      <c r="I2993" t="s">
        <v>24</v>
      </c>
    </row>
    <row r="2994" spans="1:9" x14ac:dyDescent="0.25">
      <c r="A2994">
        <v>1809</v>
      </c>
      <c r="B2994">
        <f>A2994+1</f>
        <v>1810</v>
      </c>
      <c r="C2994" t="s">
        <v>589</v>
      </c>
      <c r="D2994" t="s">
        <v>27</v>
      </c>
      <c r="E2994" s="208" t="s">
        <v>156</v>
      </c>
      <c r="F2994" t="s">
        <v>3</v>
      </c>
      <c r="G2994" s="18">
        <v>7</v>
      </c>
      <c r="H2994" t="s">
        <v>16</v>
      </c>
      <c r="I2994" t="s">
        <v>24</v>
      </c>
    </row>
    <row r="2995" spans="1:9" x14ac:dyDescent="0.25">
      <c r="A2995">
        <v>1809</v>
      </c>
      <c r="B2995">
        <f>A2995+1</f>
        <v>1810</v>
      </c>
      <c r="C2995" t="s">
        <v>589</v>
      </c>
      <c r="D2995" t="s">
        <v>27</v>
      </c>
      <c r="E2995" s="208" t="s">
        <v>154</v>
      </c>
      <c r="F2995" t="s">
        <v>3</v>
      </c>
      <c r="G2995" s="18">
        <v>1067</v>
      </c>
      <c r="H2995" t="s">
        <v>16</v>
      </c>
      <c r="I2995" t="s">
        <v>24</v>
      </c>
    </row>
    <row r="2996" spans="1:9" x14ac:dyDescent="0.25">
      <c r="A2996">
        <v>1809</v>
      </c>
      <c r="B2996">
        <f>A2996+1</f>
        <v>1810</v>
      </c>
      <c r="C2996" t="s">
        <v>589</v>
      </c>
      <c r="D2996" t="s">
        <v>27</v>
      </c>
      <c r="E2996" s="208" t="s">
        <v>150</v>
      </c>
      <c r="F2996" t="s">
        <v>3</v>
      </c>
      <c r="G2996" s="18">
        <v>3301</v>
      </c>
      <c r="H2996" t="s">
        <v>16</v>
      </c>
      <c r="I2996" t="s">
        <v>24</v>
      </c>
    </row>
    <row r="2997" spans="1:9" x14ac:dyDescent="0.25">
      <c r="A2997">
        <v>1809</v>
      </c>
      <c r="B2997">
        <f>A2997+1</f>
        <v>1810</v>
      </c>
      <c r="C2997" t="s">
        <v>589</v>
      </c>
      <c r="D2997" t="s">
        <v>27</v>
      </c>
      <c r="E2997" s="208" t="s">
        <v>148</v>
      </c>
      <c r="F2997" t="s">
        <v>3</v>
      </c>
      <c r="G2997" s="18">
        <v>168</v>
      </c>
      <c r="H2997" t="s">
        <v>16</v>
      </c>
      <c r="I2997" t="s">
        <v>24</v>
      </c>
    </row>
    <row r="2998" spans="1:9" x14ac:dyDescent="0.25">
      <c r="A2998">
        <v>1809</v>
      </c>
      <c r="B2998">
        <f>A2998+1</f>
        <v>1810</v>
      </c>
      <c r="C2998" t="s">
        <v>589</v>
      </c>
      <c r="D2998" t="s">
        <v>27</v>
      </c>
      <c r="E2998" s="208" t="s">
        <v>139</v>
      </c>
      <c r="F2998" t="s">
        <v>3</v>
      </c>
      <c r="G2998" s="18">
        <v>2</v>
      </c>
      <c r="H2998" t="s">
        <v>16</v>
      </c>
      <c r="I2998" t="s">
        <v>24</v>
      </c>
    </row>
    <row r="2999" spans="1:9" x14ac:dyDescent="0.25">
      <c r="A2999">
        <v>1809</v>
      </c>
      <c r="B2999">
        <f>A2999+1</f>
        <v>1810</v>
      </c>
      <c r="C2999" t="s">
        <v>589</v>
      </c>
      <c r="D2999" t="s">
        <v>27</v>
      </c>
      <c r="E2999" s="208" t="s">
        <v>130</v>
      </c>
      <c r="F2999" t="s">
        <v>3</v>
      </c>
      <c r="G2999" s="18">
        <v>0</v>
      </c>
      <c r="H2999" t="s">
        <v>16</v>
      </c>
      <c r="I2999" t="s">
        <v>24</v>
      </c>
    </row>
    <row r="3000" spans="1:9" x14ac:dyDescent="0.25">
      <c r="A3000">
        <v>1809</v>
      </c>
      <c r="B3000">
        <f>A3000+1</f>
        <v>1810</v>
      </c>
      <c r="C3000" t="s">
        <v>589</v>
      </c>
      <c r="D3000" t="s">
        <v>27</v>
      </c>
      <c r="E3000" s="208" t="s">
        <v>132</v>
      </c>
      <c r="F3000" t="s">
        <v>3</v>
      </c>
      <c r="G3000" s="18">
        <v>6</v>
      </c>
      <c r="H3000" t="s">
        <v>16</v>
      </c>
      <c r="I3000" t="s">
        <v>24</v>
      </c>
    </row>
    <row r="3001" spans="1:9" x14ac:dyDescent="0.25">
      <c r="A3001">
        <v>1809</v>
      </c>
      <c r="B3001">
        <f>A3001+1</f>
        <v>1810</v>
      </c>
      <c r="C3001" t="s">
        <v>589</v>
      </c>
      <c r="D3001" t="s">
        <v>27</v>
      </c>
      <c r="E3001" s="208" t="s">
        <v>142</v>
      </c>
      <c r="F3001" t="s">
        <v>3</v>
      </c>
      <c r="G3001" s="18">
        <v>220</v>
      </c>
      <c r="H3001" t="s">
        <v>16</v>
      </c>
      <c r="I3001" t="s">
        <v>24</v>
      </c>
    </row>
    <row r="3002" spans="1:9" x14ac:dyDescent="0.25">
      <c r="A3002">
        <v>1809</v>
      </c>
      <c r="B3002">
        <f>A3002+1</f>
        <v>1810</v>
      </c>
      <c r="C3002" t="s">
        <v>589</v>
      </c>
      <c r="D3002" t="s">
        <v>27</v>
      </c>
      <c r="E3002" s="208" t="s">
        <v>144</v>
      </c>
      <c r="F3002" t="s">
        <v>3</v>
      </c>
      <c r="G3002" s="18">
        <v>0</v>
      </c>
      <c r="H3002" t="s">
        <v>16</v>
      </c>
      <c r="I3002" t="s">
        <v>24</v>
      </c>
    </row>
    <row r="3003" spans="1:9" x14ac:dyDescent="0.25">
      <c r="A3003">
        <v>1809</v>
      </c>
      <c r="B3003">
        <f>A3003+1</f>
        <v>1810</v>
      </c>
      <c r="C3003" t="s">
        <v>589</v>
      </c>
      <c r="D3003" t="s">
        <v>27</v>
      </c>
      <c r="E3003" s="208" t="s">
        <v>124</v>
      </c>
      <c r="F3003" t="s">
        <v>3</v>
      </c>
      <c r="G3003" s="18">
        <v>74200</v>
      </c>
      <c r="H3003" t="s">
        <v>16</v>
      </c>
      <c r="I3003" t="s">
        <v>24</v>
      </c>
    </row>
    <row r="3004" spans="1:9" x14ac:dyDescent="0.25">
      <c r="A3004">
        <v>1809</v>
      </c>
      <c r="B3004">
        <f>A3004+1</f>
        <v>1810</v>
      </c>
      <c r="C3004" t="s">
        <v>589</v>
      </c>
      <c r="D3004" t="s">
        <v>26</v>
      </c>
      <c r="E3004" s="208" t="s">
        <v>57</v>
      </c>
      <c r="F3004" t="s">
        <v>3</v>
      </c>
      <c r="G3004" s="18">
        <v>1160</v>
      </c>
      <c r="H3004" t="s">
        <v>24</v>
      </c>
      <c r="I3004" t="s">
        <v>16</v>
      </c>
    </row>
    <row r="3005" spans="1:9" x14ac:dyDescent="0.25">
      <c r="A3005">
        <v>1809</v>
      </c>
      <c r="B3005">
        <f>A3005+1</f>
        <v>1810</v>
      </c>
      <c r="C3005" t="s">
        <v>589</v>
      </c>
      <c r="D3005" t="s">
        <v>26</v>
      </c>
      <c r="E3005" s="208" t="s">
        <v>36</v>
      </c>
      <c r="F3005" t="s">
        <v>3</v>
      </c>
      <c r="G3005" s="18">
        <v>273</v>
      </c>
      <c r="H3005" t="s">
        <v>24</v>
      </c>
      <c r="I3005" t="s">
        <v>16</v>
      </c>
    </row>
    <row r="3006" spans="1:9" x14ac:dyDescent="0.25">
      <c r="A3006">
        <v>1809</v>
      </c>
      <c r="B3006">
        <f>A3006+1</f>
        <v>1810</v>
      </c>
      <c r="C3006" t="s">
        <v>589</v>
      </c>
      <c r="D3006" t="s">
        <v>26</v>
      </c>
      <c r="E3006" s="208" t="s">
        <v>39</v>
      </c>
      <c r="F3006" t="s">
        <v>3</v>
      </c>
      <c r="G3006" s="18">
        <v>0</v>
      </c>
      <c r="H3006" t="s">
        <v>24</v>
      </c>
      <c r="I3006" t="s">
        <v>16</v>
      </c>
    </row>
    <row r="3007" spans="1:9" x14ac:dyDescent="0.25">
      <c r="A3007">
        <v>1809</v>
      </c>
      <c r="B3007">
        <f>A3007+1</f>
        <v>1810</v>
      </c>
      <c r="C3007" t="s">
        <v>589</v>
      </c>
      <c r="D3007" t="s">
        <v>26</v>
      </c>
      <c r="E3007" s="208" t="s">
        <v>99</v>
      </c>
      <c r="F3007" t="s">
        <v>3</v>
      </c>
      <c r="G3007" s="18">
        <v>34</v>
      </c>
      <c r="H3007" t="s">
        <v>24</v>
      </c>
      <c r="I3007" t="s">
        <v>16</v>
      </c>
    </row>
    <row r="3008" spans="1:9" x14ac:dyDescent="0.25">
      <c r="A3008">
        <v>1809</v>
      </c>
      <c r="B3008">
        <f>A3008+1</f>
        <v>1810</v>
      </c>
      <c r="C3008" t="s">
        <v>589</v>
      </c>
      <c r="D3008" t="s">
        <v>26</v>
      </c>
      <c r="E3008" s="208" t="s">
        <v>28</v>
      </c>
      <c r="F3008" t="s">
        <v>3</v>
      </c>
      <c r="G3008" s="18">
        <v>36</v>
      </c>
      <c r="H3008" t="s">
        <v>24</v>
      </c>
      <c r="I3008" t="s">
        <v>16</v>
      </c>
    </row>
    <row r="3009" spans="1:9" x14ac:dyDescent="0.25">
      <c r="A3009">
        <v>1809</v>
      </c>
      <c r="B3009">
        <f>A3009+1</f>
        <v>1810</v>
      </c>
      <c r="C3009" t="s">
        <v>589</v>
      </c>
      <c r="D3009" t="s">
        <v>26</v>
      </c>
      <c r="E3009" s="208" t="s">
        <v>89</v>
      </c>
      <c r="F3009" t="s">
        <v>3</v>
      </c>
      <c r="G3009" s="18">
        <v>214</v>
      </c>
      <c r="H3009" t="s">
        <v>24</v>
      </c>
      <c r="I3009" t="s">
        <v>16</v>
      </c>
    </row>
    <row r="3010" spans="1:9" x14ac:dyDescent="0.25">
      <c r="A3010">
        <v>1809</v>
      </c>
      <c r="B3010">
        <f>A3010+1</f>
        <v>1810</v>
      </c>
      <c r="C3010" t="s">
        <v>589</v>
      </c>
      <c r="D3010" t="s">
        <v>26</v>
      </c>
      <c r="E3010" s="208" t="s">
        <v>45</v>
      </c>
      <c r="F3010" t="s">
        <v>3</v>
      </c>
      <c r="G3010" s="18">
        <v>48</v>
      </c>
      <c r="H3010" t="s">
        <v>24</v>
      </c>
      <c r="I3010" t="s">
        <v>16</v>
      </c>
    </row>
    <row r="3011" spans="1:9" x14ac:dyDescent="0.25">
      <c r="A3011">
        <v>1809</v>
      </c>
      <c r="B3011">
        <f>A3011+1</f>
        <v>1810</v>
      </c>
      <c r="C3011" t="s">
        <v>589</v>
      </c>
      <c r="D3011" t="s">
        <v>26</v>
      </c>
      <c r="E3011" s="208" t="s">
        <v>54</v>
      </c>
      <c r="F3011" t="s">
        <v>3</v>
      </c>
      <c r="G3011" s="18">
        <v>0</v>
      </c>
      <c r="H3011" t="s">
        <v>24</v>
      </c>
      <c r="I3011" t="s">
        <v>16</v>
      </c>
    </row>
    <row r="3012" spans="1:9" x14ac:dyDescent="0.25">
      <c r="A3012">
        <v>1809</v>
      </c>
      <c r="B3012">
        <f>A3012+1</f>
        <v>1810</v>
      </c>
      <c r="C3012" t="s">
        <v>589</v>
      </c>
      <c r="D3012" t="s">
        <v>26</v>
      </c>
      <c r="E3012" s="208" t="s">
        <v>53</v>
      </c>
      <c r="F3012" t="s">
        <v>3</v>
      </c>
      <c r="G3012" s="18">
        <v>8</v>
      </c>
      <c r="H3012" t="s">
        <v>24</v>
      </c>
      <c r="I3012" t="s">
        <v>16</v>
      </c>
    </row>
    <row r="3013" spans="1:9" x14ac:dyDescent="0.25">
      <c r="A3013">
        <v>1809</v>
      </c>
      <c r="B3013">
        <f>A3013+1</f>
        <v>1810</v>
      </c>
      <c r="C3013" t="s">
        <v>589</v>
      </c>
      <c r="D3013" t="s">
        <v>26</v>
      </c>
      <c r="E3013" s="208" t="s">
        <v>75</v>
      </c>
      <c r="F3013" t="s">
        <v>3</v>
      </c>
      <c r="G3013" s="18">
        <v>359794</v>
      </c>
      <c r="H3013" t="s">
        <v>24</v>
      </c>
      <c r="I3013" t="s">
        <v>16</v>
      </c>
    </row>
    <row r="3014" spans="1:9" x14ac:dyDescent="0.25">
      <c r="A3014">
        <v>1809</v>
      </c>
      <c r="B3014">
        <f>A3014+1</f>
        <v>1810</v>
      </c>
      <c r="C3014" t="s">
        <v>589</v>
      </c>
      <c r="D3014" t="s">
        <v>26</v>
      </c>
      <c r="E3014" s="208" t="s">
        <v>107</v>
      </c>
      <c r="F3014" t="s">
        <v>3</v>
      </c>
      <c r="G3014" s="18">
        <v>455301</v>
      </c>
      <c r="H3014" t="s">
        <v>24</v>
      </c>
      <c r="I3014" t="s">
        <v>16</v>
      </c>
    </row>
    <row r="3015" spans="1:9" x14ac:dyDescent="0.25">
      <c r="A3015">
        <v>1809</v>
      </c>
      <c r="B3015">
        <f>A3015+1</f>
        <v>1810</v>
      </c>
      <c r="C3015" t="s">
        <v>589</v>
      </c>
      <c r="D3015" t="s">
        <v>26</v>
      </c>
      <c r="E3015" s="208" t="s">
        <v>101</v>
      </c>
      <c r="F3015" t="s">
        <v>3</v>
      </c>
      <c r="G3015" s="18">
        <v>104900</v>
      </c>
      <c r="H3015" t="s">
        <v>24</v>
      </c>
      <c r="I3015" t="s">
        <v>16</v>
      </c>
    </row>
    <row r="3016" spans="1:9" x14ac:dyDescent="0.25">
      <c r="A3016">
        <v>1809</v>
      </c>
      <c r="B3016">
        <f>A3016+1</f>
        <v>1810</v>
      </c>
      <c r="C3016" t="s">
        <v>589</v>
      </c>
      <c r="D3016" t="s">
        <v>26</v>
      </c>
      <c r="E3016" s="208" t="s">
        <v>330</v>
      </c>
      <c r="F3016" t="s">
        <v>6</v>
      </c>
      <c r="G3016" s="18">
        <v>1335</v>
      </c>
      <c r="H3016" t="s">
        <v>25</v>
      </c>
      <c r="I3016" t="s">
        <v>16</v>
      </c>
    </row>
    <row r="3017" spans="1:9" x14ac:dyDescent="0.25">
      <c r="A3017">
        <v>1809</v>
      </c>
      <c r="B3017">
        <f>A3017+1</f>
        <v>1810</v>
      </c>
      <c r="C3017" t="s">
        <v>589</v>
      </c>
      <c r="D3017" t="s">
        <v>26</v>
      </c>
      <c r="E3017" s="208" t="s">
        <v>331</v>
      </c>
      <c r="F3017" t="s">
        <v>6</v>
      </c>
      <c r="G3017" s="18">
        <v>1475</v>
      </c>
      <c r="H3017" t="s">
        <v>25</v>
      </c>
      <c r="I3017" t="s">
        <v>16</v>
      </c>
    </row>
    <row r="3018" spans="1:9" x14ac:dyDescent="0.25">
      <c r="A3018">
        <v>1809</v>
      </c>
      <c r="B3018">
        <f>A3018+1</f>
        <v>1810</v>
      </c>
      <c r="C3018" t="s">
        <v>589</v>
      </c>
      <c r="D3018" t="s">
        <v>26</v>
      </c>
      <c r="E3018" s="208" t="s">
        <v>332</v>
      </c>
      <c r="F3018" t="s">
        <v>6</v>
      </c>
      <c r="G3018" s="18">
        <v>523</v>
      </c>
      <c r="H3018" t="s">
        <v>25</v>
      </c>
      <c r="I3018" t="s">
        <v>16</v>
      </c>
    </row>
    <row r="3019" spans="1:9" x14ac:dyDescent="0.25">
      <c r="A3019">
        <v>1809</v>
      </c>
      <c r="B3019">
        <f>A3019+1</f>
        <v>1810</v>
      </c>
      <c r="C3019" t="s">
        <v>589</v>
      </c>
      <c r="D3019" t="s">
        <v>26</v>
      </c>
      <c r="E3019" s="208" t="s">
        <v>333</v>
      </c>
      <c r="F3019" t="s">
        <v>6</v>
      </c>
      <c r="G3019" s="18">
        <v>255</v>
      </c>
      <c r="H3019" t="s">
        <v>25</v>
      </c>
      <c r="I3019" t="s">
        <v>16</v>
      </c>
    </row>
    <row r="3020" spans="1:9" x14ac:dyDescent="0.25">
      <c r="A3020">
        <v>1809</v>
      </c>
      <c r="B3020">
        <f>A3020+1</f>
        <v>1810</v>
      </c>
      <c r="C3020" t="s">
        <v>589</v>
      </c>
      <c r="D3020" t="s">
        <v>27</v>
      </c>
      <c r="E3020" s="208" t="s">
        <v>155</v>
      </c>
      <c r="F3020" t="s">
        <v>0</v>
      </c>
      <c r="G3020" s="18">
        <v>21545</v>
      </c>
      <c r="H3020" t="s">
        <v>16</v>
      </c>
      <c r="I3020" t="s">
        <v>18</v>
      </c>
    </row>
    <row r="3021" spans="1:9" x14ac:dyDescent="0.25">
      <c r="A3021">
        <v>1809</v>
      </c>
      <c r="B3021">
        <f>A3021+1</f>
        <v>1810</v>
      </c>
      <c r="C3021" t="s">
        <v>589</v>
      </c>
      <c r="D3021" t="s">
        <v>27</v>
      </c>
      <c r="E3021" s="208" t="s">
        <v>156</v>
      </c>
      <c r="F3021" t="s">
        <v>0</v>
      </c>
      <c r="G3021" s="18">
        <v>3017</v>
      </c>
      <c r="H3021" t="s">
        <v>16</v>
      </c>
      <c r="I3021" t="s">
        <v>18</v>
      </c>
    </row>
    <row r="3022" spans="1:9" x14ac:dyDescent="0.25">
      <c r="A3022">
        <v>1809</v>
      </c>
      <c r="B3022">
        <f>A3022+1</f>
        <v>1810</v>
      </c>
      <c r="C3022" t="s">
        <v>589</v>
      </c>
      <c r="D3022" t="s">
        <v>27</v>
      </c>
      <c r="E3022" s="208" t="s">
        <v>154</v>
      </c>
      <c r="F3022" t="s">
        <v>0</v>
      </c>
      <c r="G3022" s="18">
        <v>381</v>
      </c>
      <c r="H3022" t="s">
        <v>16</v>
      </c>
      <c r="I3022" t="s">
        <v>18</v>
      </c>
    </row>
    <row r="3023" spans="1:9" x14ac:dyDescent="0.25">
      <c r="A3023">
        <v>1809</v>
      </c>
      <c r="B3023">
        <f>A3023+1</f>
        <v>1810</v>
      </c>
      <c r="C3023" t="s">
        <v>589</v>
      </c>
      <c r="D3023" t="s">
        <v>27</v>
      </c>
      <c r="E3023" s="208" t="s">
        <v>150</v>
      </c>
      <c r="F3023" t="s">
        <v>0</v>
      </c>
      <c r="G3023" s="18">
        <v>3729</v>
      </c>
      <c r="H3023" t="s">
        <v>16</v>
      </c>
      <c r="I3023" t="s">
        <v>18</v>
      </c>
    </row>
    <row r="3024" spans="1:9" x14ac:dyDescent="0.25">
      <c r="A3024">
        <v>1809</v>
      </c>
      <c r="B3024">
        <f>A3024+1</f>
        <v>1810</v>
      </c>
      <c r="C3024" t="s">
        <v>589</v>
      </c>
      <c r="D3024" t="s">
        <v>27</v>
      </c>
      <c r="E3024" s="208" t="s">
        <v>148</v>
      </c>
      <c r="F3024" t="s">
        <v>0</v>
      </c>
      <c r="G3024" s="18">
        <v>312</v>
      </c>
      <c r="H3024" t="s">
        <v>16</v>
      </c>
      <c r="I3024" t="s">
        <v>18</v>
      </c>
    </row>
    <row r="3025" spans="1:9" x14ac:dyDescent="0.25">
      <c r="A3025">
        <v>1809</v>
      </c>
      <c r="B3025">
        <f>A3025+1</f>
        <v>1810</v>
      </c>
      <c r="C3025" t="s">
        <v>589</v>
      </c>
      <c r="D3025" t="s">
        <v>27</v>
      </c>
      <c r="E3025" s="208" t="s">
        <v>139</v>
      </c>
      <c r="F3025" t="s">
        <v>0</v>
      </c>
      <c r="G3025" s="18">
        <v>10</v>
      </c>
      <c r="H3025" t="s">
        <v>16</v>
      </c>
      <c r="I3025" t="s">
        <v>18</v>
      </c>
    </row>
    <row r="3026" spans="1:9" x14ac:dyDescent="0.25">
      <c r="A3026">
        <v>1809</v>
      </c>
      <c r="B3026">
        <f>A3026+1</f>
        <v>1810</v>
      </c>
      <c r="C3026" t="s">
        <v>589</v>
      </c>
      <c r="D3026" t="s">
        <v>27</v>
      </c>
      <c r="E3026" s="208" t="s">
        <v>130</v>
      </c>
      <c r="F3026" t="s">
        <v>0</v>
      </c>
      <c r="G3026" s="18">
        <v>398</v>
      </c>
      <c r="H3026" t="s">
        <v>16</v>
      </c>
      <c r="I3026" t="s">
        <v>18</v>
      </c>
    </row>
    <row r="3027" spans="1:9" x14ac:dyDescent="0.25">
      <c r="A3027">
        <v>1809</v>
      </c>
      <c r="B3027">
        <f>A3027+1</f>
        <v>1810</v>
      </c>
      <c r="C3027" t="s">
        <v>589</v>
      </c>
      <c r="D3027" t="s">
        <v>27</v>
      </c>
      <c r="E3027" s="208" t="s">
        <v>132</v>
      </c>
      <c r="F3027" t="s">
        <v>0</v>
      </c>
      <c r="G3027" s="18">
        <v>211</v>
      </c>
      <c r="H3027" t="s">
        <v>16</v>
      </c>
      <c r="I3027" t="s">
        <v>18</v>
      </c>
    </row>
    <row r="3028" spans="1:9" x14ac:dyDescent="0.25">
      <c r="A3028">
        <v>1809</v>
      </c>
      <c r="B3028">
        <f>A3028+1</f>
        <v>1810</v>
      </c>
      <c r="C3028" t="s">
        <v>589</v>
      </c>
      <c r="D3028" t="s">
        <v>27</v>
      </c>
      <c r="E3028" s="208" t="s">
        <v>142</v>
      </c>
      <c r="F3028" t="s">
        <v>0</v>
      </c>
      <c r="G3028" s="18">
        <v>4806</v>
      </c>
      <c r="H3028" t="s">
        <v>16</v>
      </c>
      <c r="I3028" t="s">
        <v>18</v>
      </c>
    </row>
    <row r="3029" spans="1:9" x14ac:dyDescent="0.25">
      <c r="A3029">
        <v>1809</v>
      </c>
      <c r="B3029">
        <f>A3029+1</f>
        <v>1810</v>
      </c>
      <c r="C3029" t="s">
        <v>589</v>
      </c>
      <c r="D3029" t="s">
        <v>27</v>
      </c>
      <c r="E3029" s="208" t="s">
        <v>144</v>
      </c>
      <c r="F3029" t="s">
        <v>0</v>
      </c>
      <c r="G3029" s="18">
        <v>441</v>
      </c>
      <c r="H3029" t="s">
        <v>16</v>
      </c>
      <c r="I3029" t="s">
        <v>18</v>
      </c>
    </row>
    <row r="3030" spans="1:9" x14ac:dyDescent="0.25">
      <c r="A3030">
        <v>1809</v>
      </c>
      <c r="B3030">
        <f>A3030+1</f>
        <v>1810</v>
      </c>
      <c r="C3030" t="s">
        <v>589</v>
      </c>
      <c r="D3030" t="s">
        <v>27</v>
      </c>
      <c r="E3030" s="208" t="s">
        <v>124</v>
      </c>
      <c r="F3030" t="s">
        <v>0</v>
      </c>
      <c r="G3030" s="18">
        <v>14662910</v>
      </c>
      <c r="H3030" t="s">
        <v>16</v>
      </c>
      <c r="I3030" t="s">
        <v>18</v>
      </c>
    </row>
    <row r="3031" spans="1:9" x14ac:dyDescent="0.25">
      <c r="A3031">
        <v>1809</v>
      </c>
      <c r="B3031">
        <f>A3031+1</f>
        <v>1810</v>
      </c>
      <c r="C3031" t="s">
        <v>589</v>
      </c>
      <c r="D3031" t="s">
        <v>26</v>
      </c>
      <c r="E3031" s="208" t="s">
        <v>65</v>
      </c>
      <c r="F3031" t="s">
        <v>169</v>
      </c>
      <c r="G3031" s="18">
        <v>3334</v>
      </c>
      <c r="H3031" t="s">
        <v>160</v>
      </c>
      <c r="I3031" t="s">
        <v>16</v>
      </c>
    </row>
    <row r="3032" spans="1:9" x14ac:dyDescent="0.25">
      <c r="A3032">
        <v>1809</v>
      </c>
      <c r="B3032">
        <f>A3032+1</f>
        <v>1810</v>
      </c>
      <c r="C3032" t="s">
        <v>589</v>
      </c>
      <c r="D3032" t="s">
        <v>26</v>
      </c>
      <c r="E3032" s="208" t="s">
        <v>88</v>
      </c>
      <c r="F3032" t="s">
        <v>169</v>
      </c>
      <c r="G3032" s="18">
        <v>3849</v>
      </c>
      <c r="H3032" t="s">
        <v>160</v>
      </c>
      <c r="I3032" t="s">
        <v>16</v>
      </c>
    </row>
    <row r="3033" spans="1:9" x14ac:dyDescent="0.25">
      <c r="A3033">
        <v>1809</v>
      </c>
      <c r="B3033">
        <f>A3033+1</f>
        <v>1810</v>
      </c>
      <c r="C3033" t="s">
        <v>589</v>
      </c>
      <c r="D3033" t="s">
        <v>27</v>
      </c>
      <c r="E3033" s="208" t="s">
        <v>155</v>
      </c>
      <c r="F3033" t="s">
        <v>1</v>
      </c>
      <c r="G3033" s="18">
        <v>2171</v>
      </c>
      <c r="H3033" t="s">
        <v>16</v>
      </c>
      <c r="I3033" t="s">
        <v>21</v>
      </c>
    </row>
    <row r="3034" spans="1:9" x14ac:dyDescent="0.25">
      <c r="A3034">
        <v>1809</v>
      </c>
      <c r="B3034">
        <f>A3034+1</f>
        <v>1810</v>
      </c>
      <c r="C3034" t="s">
        <v>589</v>
      </c>
      <c r="D3034" t="s">
        <v>27</v>
      </c>
      <c r="E3034" s="208" t="s">
        <v>156</v>
      </c>
      <c r="F3034" t="s">
        <v>1</v>
      </c>
      <c r="G3034" s="18">
        <v>239</v>
      </c>
      <c r="H3034" t="s">
        <v>16</v>
      </c>
      <c r="I3034" t="s">
        <v>21</v>
      </c>
    </row>
    <row r="3035" spans="1:9" x14ac:dyDescent="0.25">
      <c r="A3035">
        <v>1809</v>
      </c>
      <c r="B3035">
        <f>A3035+1</f>
        <v>1810</v>
      </c>
      <c r="C3035" t="s">
        <v>589</v>
      </c>
      <c r="D3035" t="s">
        <v>27</v>
      </c>
      <c r="E3035" s="208" t="s">
        <v>154</v>
      </c>
      <c r="F3035" t="s">
        <v>1</v>
      </c>
      <c r="G3035" s="18">
        <v>911</v>
      </c>
      <c r="H3035" t="s">
        <v>16</v>
      </c>
      <c r="I3035" t="s">
        <v>21</v>
      </c>
    </row>
    <row r="3036" spans="1:9" x14ac:dyDescent="0.25">
      <c r="A3036">
        <v>1809</v>
      </c>
      <c r="B3036">
        <f>A3036+1</f>
        <v>1810</v>
      </c>
      <c r="C3036" t="s">
        <v>589</v>
      </c>
      <c r="D3036" t="s">
        <v>27</v>
      </c>
      <c r="E3036" s="208" t="s">
        <v>150</v>
      </c>
      <c r="F3036" t="s">
        <v>1</v>
      </c>
      <c r="G3036" s="18">
        <v>1594</v>
      </c>
      <c r="H3036" t="s">
        <v>16</v>
      </c>
      <c r="I3036" t="s">
        <v>21</v>
      </c>
    </row>
    <row r="3037" spans="1:9" x14ac:dyDescent="0.25">
      <c r="A3037">
        <v>1809</v>
      </c>
      <c r="B3037">
        <f>A3037+1</f>
        <v>1810</v>
      </c>
      <c r="C3037" t="s">
        <v>589</v>
      </c>
      <c r="D3037" t="s">
        <v>27</v>
      </c>
      <c r="E3037" s="208" t="s">
        <v>148</v>
      </c>
      <c r="F3037" t="s">
        <v>1</v>
      </c>
      <c r="G3037" s="18">
        <v>394</v>
      </c>
      <c r="H3037" t="s">
        <v>16</v>
      </c>
      <c r="I3037" t="s">
        <v>21</v>
      </c>
    </row>
    <row r="3038" spans="1:9" x14ac:dyDescent="0.25">
      <c r="A3038">
        <v>1809</v>
      </c>
      <c r="B3038">
        <f>A3038+1</f>
        <v>1810</v>
      </c>
      <c r="C3038" t="s">
        <v>589</v>
      </c>
      <c r="D3038" t="s">
        <v>27</v>
      </c>
      <c r="E3038" s="208" t="s">
        <v>139</v>
      </c>
      <c r="F3038" t="s">
        <v>1</v>
      </c>
      <c r="G3038" s="18">
        <v>0</v>
      </c>
      <c r="H3038" t="s">
        <v>16</v>
      </c>
      <c r="I3038" t="s">
        <v>21</v>
      </c>
    </row>
    <row r="3039" spans="1:9" x14ac:dyDescent="0.25">
      <c r="A3039">
        <v>1809</v>
      </c>
      <c r="B3039">
        <f>A3039+1</f>
        <v>1810</v>
      </c>
      <c r="C3039" t="s">
        <v>589</v>
      </c>
      <c r="D3039" t="s">
        <v>27</v>
      </c>
      <c r="E3039" s="208" t="s">
        <v>130</v>
      </c>
      <c r="F3039" t="s">
        <v>1</v>
      </c>
      <c r="G3039" s="18">
        <v>51</v>
      </c>
      <c r="H3039" t="s">
        <v>16</v>
      </c>
      <c r="I3039" t="s">
        <v>21</v>
      </c>
    </row>
    <row r="3040" spans="1:9" x14ac:dyDescent="0.25">
      <c r="A3040">
        <v>1809</v>
      </c>
      <c r="B3040">
        <f>A3040+1</f>
        <v>1810</v>
      </c>
      <c r="C3040" t="s">
        <v>589</v>
      </c>
      <c r="D3040" t="s">
        <v>27</v>
      </c>
      <c r="E3040" s="208" t="s">
        <v>132</v>
      </c>
      <c r="F3040" t="s">
        <v>1</v>
      </c>
      <c r="G3040" s="18">
        <v>34</v>
      </c>
      <c r="H3040" t="s">
        <v>16</v>
      </c>
      <c r="I3040" t="s">
        <v>21</v>
      </c>
    </row>
    <row r="3041" spans="1:9" x14ac:dyDescent="0.25">
      <c r="A3041">
        <v>1809</v>
      </c>
      <c r="B3041">
        <f>A3041+1</f>
        <v>1810</v>
      </c>
      <c r="C3041" t="s">
        <v>589</v>
      </c>
      <c r="D3041" t="s">
        <v>27</v>
      </c>
      <c r="E3041" s="208" t="s">
        <v>142</v>
      </c>
      <c r="F3041" t="s">
        <v>1</v>
      </c>
      <c r="G3041" s="18">
        <v>201</v>
      </c>
      <c r="H3041" t="s">
        <v>16</v>
      </c>
      <c r="I3041" t="s">
        <v>21</v>
      </c>
    </row>
    <row r="3042" spans="1:9" x14ac:dyDescent="0.25">
      <c r="A3042">
        <v>1809</v>
      </c>
      <c r="B3042">
        <f>A3042+1</f>
        <v>1810</v>
      </c>
      <c r="C3042" t="s">
        <v>589</v>
      </c>
      <c r="D3042" t="s">
        <v>27</v>
      </c>
      <c r="E3042" s="208" t="s">
        <v>144</v>
      </c>
      <c r="F3042" t="s">
        <v>1</v>
      </c>
      <c r="G3042" s="18">
        <v>63</v>
      </c>
      <c r="H3042" t="s">
        <v>16</v>
      </c>
      <c r="I3042" t="s">
        <v>21</v>
      </c>
    </row>
    <row r="3043" spans="1:9" x14ac:dyDescent="0.25">
      <c r="A3043">
        <v>1809</v>
      </c>
      <c r="B3043">
        <f>A3043+1</f>
        <v>1810</v>
      </c>
      <c r="C3043" t="s">
        <v>589</v>
      </c>
      <c r="D3043" t="s">
        <v>27</v>
      </c>
      <c r="E3043" s="208" t="s">
        <v>124</v>
      </c>
      <c r="F3043" t="s">
        <v>1</v>
      </c>
      <c r="G3043" s="18">
        <v>178004</v>
      </c>
      <c r="H3043" t="s">
        <v>16</v>
      </c>
      <c r="I3043" t="s">
        <v>21</v>
      </c>
    </row>
    <row r="3044" spans="1:9" x14ac:dyDescent="0.25">
      <c r="A3044">
        <v>1809</v>
      </c>
      <c r="B3044">
        <f>A3044+1</f>
        <v>1810</v>
      </c>
      <c r="C3044" t="s">
        <v>589</v>
      </c>
      <c r="D3044" t="s">
        <v>27</v>
      </c>
      <c r="E3044" s="208" t="s">
        <v>155</v>
      </c>
      <c r="F3044" t="s">
        <v>6</v>
      </c>
      <c r="G3044" s="18">
        <v>0</v>
      </c>
      <c r="H3044" t="s">
        <v>16</v>
      </c>
      <c r="I3044" t="s">
        <v>25</v>
      </c>
    </row>
    <row r="3045" spans="1:9" x14ac:dyDescent="0.25">
      <c r="A3045">
        <v>1809</v>
      </c>
      <c r="B3045">
        <f>A3045+1</f>
        <v>1810</v>
      </c>
      <c r="C3045" t="s">
        <v>589</v>
      </c>
      <c r="D3045" t="s">
        <v>27</v>
      </c>
      <c r="E3045" s="208" t="s">
        <v>154</v>
      </c>
      <c r="F3045" t="s">
        <v>6</v>
      </c>
      <c r="G3045" s="18">
        <v>0</v>
      </c>
      <c r="H3045" t="s">
        <v>16</v>
      </c>
      <c r="I3045" t="s">
        <v>25</v>
      </c>
    </row>
    <row r="3046" spans="1:9" x14ac:dyDescent="0.25">
      <c r="A3046">
        <v>1809</v>
      </c>
      <c r="B3046">
        <f>A3046+1</f>
        <v>1810</v>
      </c>
      <c r="C3046" t="s">
        <v>589</v>
      </c>
      <c r="D3046" t="s">
        <v>27</v>
      </c>
      <c r="E3046" s="208" t="s">
        <v>150</v>
      </c>
      <c r="F3046" t="s">
        <v>6</v>
      </c>
      <c r="G3046" s="18">
        <v>494</v>
      </c>
      <c r="H3046" t="s">
        <v>16</v>
      </c>
      <c r="I3046" t="s">
        <v>25</v>
      </c>
    </row>
    <row r="3047" spans="1:9" x14ac:dyDescent="0.25">
      <c r="A3047">
        <v>1809</v>
      </c>
      <c r="B3047">
        <f>A3047+1</f>
        <v>1810</v>
      </c>
      <c r="C3047" t="s">
        <v>589</v>
      </c>
      <c r="D3047" t="s">
        <v>27</v>
      </c>
      <c r="E3047" s="208" t="s">
        <v>148</v>
      </c>
      <c r="F3047" t="s">
        <v>6</v>
      </c>
      <c r="G3047" s="18">
        <v>177</v>
      </c>
      <c r="H3047" t="s">
        <v>16</v>
      </c>
      <c r="I3047" t="s">
        <v>25</v>
      </c>
    </row>
    <row r="3048" spans="1:9" x14ac:dyDescent="0.25">
      <c r="A3048">
        <v>1809</v>
      </c>
      <c r="B3048">
        <f>A3048+1</f>
        <v>1810</v>
      </c>
      <c r="C3048" t="s">
        <v>589</v>
      </c>
      <c r="D3048" t="s">
        <v>27</v>
      </c>
      <c r="E3048" s="208" t="s">
        <v>139</v>
      </c>
      <c r="F3048" t="s">
        <v>6</v>
      </c>
      <c r="G3048" s="18">
        <v>0</v>
      </c>
      <c r="H3048" t="s">
        <v>16</v>
      </c>
      <c r="I3048" t="s">
        <v>25</v>
      </c>
    </row>
    <row r="3049" spans="1:9" x14ac:dyDescent="0.25">
      <c r="A3049">
        <v>1809</v>
      </c>
      <c r="B3049">
        <f>A3049+1</f>
        <v>1810</v>
      </c>
      <c r="C3049" t="s">
        <v>589</v>
      </c>
      <c r="D3049" t="s">
        <v>27</v>
      </c>
      <c r="E3049" s="208" t="s">
        <v>130</v>
      </c>
      <c r="F3049" t="s">
        <v>6</v>
      </c>
      <c r="G3049" s="18">
        <v>0</v>
      </c>
      <c r="H3049" t="s">
        <v>16</v>
      </c>
      <c r="I3049" t="s">
        <v>25</v>
      </c>
    </row>
    <row r="3050" spans="1:9" x14ac:dyDescent="0.25">
      <c r="A3050">
        <v>1809</v>
      </c>
      <c r="B3050">
        <f>A3050+1</f>
        <v>1810</v>
      </c>
      <c r="C3050" t="s">
        <v>589</v>
      </c>
      <c r="D3050" t="s">
        <v>27</v>
      </c>
      <c r="E3050" s="208" t="s">
        <v>132</v>
      </c>
      <c r="F3050" t="s">
        <v>6</v>
      </c>
      <c r="G3050" s="18">
        <v>0</v>
      </c>
      <c r="H3050" t="s">
        <v>16</v>
      </c>
      <c r="I3050" t="s">
        <v>25</v>
      </c>
    </row>
    <row r="3051" spans="1:9" x14ac:dyDescent="0.25">
      <c r="A3051">
        <v>1809</v>
      </c>
      <c r="B3051">
        <f>A3051+1</f>
        <v>1810</v>
      </c>
      <c r="C3051" t="s">
        <v>589</v>
      </c>
      <c r="D3051" t="s">
        <v>27</v>
      </c>
      <c r="E3051" s="208" t="s">
        <v>142</v>
      </c>
      <c r="F3051" t="s">
        <v>6</v>
      </c>
      <c r="G3051" s="18">
        <v>4</v>
      </c>
      <c r="H3051" t="s">
        <v>16</v>
      </c>
      <c r="I3051" t="s">
        <v>25</v>
      </c>
    </row>
    <row r="3052" spans="1:9" x14ac:dyDescent="0.25">
      <c r="A3052">
        <v>1809</v>
      </c>
      <c r="B3052">
        <f>A3052+1</f>
        <v>1810</v>
      </c>
      <c r="C3052" t="s">
        <v>589</v>
      </c>
      <c r="D3052" t="s">
        <v>27</v>
      </c>
      <c r="E3052" s="208" t="s">
        <v>144</v>
      </c>
      <c r="F3052" t="s">
        <v>6</v>
      </c>
      <c r="G3052" s="18">
        <v>0</v>
      </c>
      <c r="H3052" t="s">
        <v>16</v>
      </c>
      <c r="I3052" t="s">
        <v>25</v>
      </c>
    </row>
    <row r="3053" spans="1:9" x14ac:dyDescent="0.25">
      <c r="A3053">
        <v>1809</v>
      </c>
      <c r="B3053">
        <f>A3053+1</f>
        <v>1810</v>
      </c>
      <c r="C3053" t="s">
        <v>589</v>
      </c>
      <c r="D3053" t="s">
        <v>27</v>
      </c>
      <c r="E3053" s="208" t="s">
        <v>124</v>
      </c>
      <c r="F3053" t="s">
        <v>6</v>
      </c>
      <c r="G3053" s="18">
        <v>0</v>
      </c>
      <c r="H3053" t="s">
        <v>16</v>
      </c>
      <c r="I3053" t="s">
        <v>25</v>
      </c>
    </row>
    <row r="3054" spans="1:9" x14ac:dyDescent="0.25">
      <c r="A3054">
        <v>1809</v>
      </c>
      <c r="B3054">
        <f>A3054+1</f>
        <v>1810</v>
      </c>
      <c r="C3054" t="s">
        <v>589</v>
      </c>
      <c r="D3054" t="s">
        <v>27</v>
      </c>
      <c r="E3054" s="208" t="s">
        <v>155</v>
      </c>
      <c r="F3054" t="s">
        <v>4</v>
      </c>
      <c r="G3054" s="18">
        <v>50</v>
      </c>
      <c r="H3054" t="s">
        <v>16</v>
      </c>
      <c r="I3054" t="s">
        <v>23</v>
      </c>
    </row>
    <row r="3055" spans="1:9" x14ac:dyDescent="0.25">
      <c r="A3055">
        <v>1809</v>
      </c>
      <c r="B3055">
        <f>A3055+1</f>
        <v>1810</v>
      </c>
      <c r="C3055" t="s">
        <v>589</v>
      </c>
      <c r="D3055" t="s">
        <v>27</v>
      </c>
      <c r="E3055" s="208" t="s">
        <v>156</v>
      </c>
      <c r="F3055" t="s">
        <v>4</v>
      </c>
      <c r="G3055" s="18">
        <v>39</v>
      </c>
      <c r="H3055" t="s">
        <v>16</v>
      </c>
      <c r="I3055" t="s">
        <v>23</v>
      </c>
    </row>
    <row r="3056" spans="1:9" x14ac:dyDescent="0.25">
      <c r="A3056">
        <v>1809</v>
      </c>
      <c r="B3056">
        <f>A3056+1</f>
        <v>1810</v>
      </c>
      <c r="C3056" t="s">
        <v>589</v>
      </c>
      <c r="D3056" t="s">
        <v>27</v>
      </c>
      <c r="E3056" s="208" t="s">
        <v>154</v>
      </c>
      <c r="F3056" t="s">
        <v>4</v>
      </c>
      <c r="G3056" s="18">
        <v>39</v>
      </c>
      <c r="H3056" t="s">
        <v>16</v>
      </c>
      <c r="I3056" t="s">
        <v>23</v>
      </c>
    </row>
    <row r="3057" spans="1:9" x14ac:dyDescent="0.25">
      <c r="A3057">
        <v>1809</v>
      </c>
      <c r="B3057">
        <f>A3057+1</f>
        <v>1810</v>
      </c>
      <c r="C3057" t="s">
        <v>589</v>
      </c>
      <c r="D3057" t="s">
        <v>27</v>
      </c>
      <c r="E3057" s="208" t="s">
        <v>150</v>
      </c>
      <c r="F3057" t="s">
        <v>4</v>
      </c>
      <c r="G3057" s="18">
        <v>1435</v>
      </c>
      <c r="H3057" t="s">
        <v>16</v>
      </c>
      <c r="I3057" t="s">
        <v>23</v>
      </c>
    </row>
    <row r="3058" spans="1:9" x14ac:dyDescent="0.25">
      <c r="A3058">
        <v>1809</v>
      </c>
      <c r="B3058">
        <f>A3058+1</f>
        <v>1810</v>
      </c>
      <c r="C3058" t="s">
        <v>589</v>
      </c>
      <c r="D3058" t="s">
        <v>27</v>
      </c>
      <c r="E3058" s="208" t="s">
        <v>148</v>
      </c>
      <c r="F3058" t="s">
        <v>4</v>
      </c>
      <c r="G3058" s="18">
        <v>12</v>
      </c>
      <c r="H3058" t="s">
        <v>16</v>
      </c>
      <c r="I3058" t="s">
        <v>23</v>
      </c>
    </row>
    <row r="3059" spans="1:9" x14ac:dyDescent="0.25">
      <c r="A3059">
        <v>1809</v>
      </c>
      <c r="B3059">
        <f>A3059+1</f>
        <v>1810</v>
      </c>
      <c r="C3059" t="s">
        <v>589</v>
      </c>
      <c r="D3059" t="s">
        <v>27</v>
      </c>
      <c r="E3059" s="208" t="s">
        <v>139</v>
      </c>
      <c r="F3059" t="s">
        <v>4</v>
      </c>
      <c r="G3059" s="18">
        <v>16</v>
      </c>
      <c r="H3059" t="s">
        <v>16</v>
      </c>
      <c r="I3059" t="s">
        <v>23</v>
      </c>
    </row>
    <row r="3060" spans="1:9" x14ac:dyDescent="0.25">
      <c r="A3060">
        <v>1809</v>
      </c>
      <c r="B3060">
        <f>A3060+1</f>
        <v>1810</v>
      </c>
      <c r="C3060" t="s">
        <v>589</v>
      </c>
      <c r="D3060" t="s">
        <v>27</v>
      </c>
      <c r="E3060" s="208" t="s">
        <v>130</v>
      </c>
      <c r="F3060" t="s">
        <v>4</v>
      </c>
      <c r="G3060" s="18">
        <v>10</v>
      </c>
      <c r="H3060" t="s">
        <v>16</v>
      </c>
      <c r="I3060" t="s">
        <v>23</v>
      </c>
    </row>
    <row r="3061" spans="1:9" x14ac:dyDescent="0.25">
      <c r="A3061">
        <v>1809</v>
      </c>
      <c r="B3061">
        <f>A3061+1</f>
        <v>1810</v>
      </c>
      <c r="C3061" t="s">
        <v>589</v>
      </c>
      <c r="D3061" t="s">
        <v>27</v>
      </c>
      <c r="E3061" s="208" t="s">
        <v>132</v>
      </c>
      <c r="F3061" t="s">
        <v>4</v>
      </c>
      <c r="G3061" s="18">
        <v>4</v>
      </c>
      <c r="H3061" t="s">
        <v>16</v>
      </c>
      <c r="I3061" t="s">
        <v>23</v>
      </c>
    </row>
    <row r="3062" spans="1:9" x14ac:dyDescent="0.25">
      <c r="A3062">
        <v>1809</v>
      </c>
      <c r="B3062">
        <f>A3062+1</f>
        <v>1810</v>
      </c>
      <c r="C3062" t="s">
        <v>589</v>
      </c>
      <c r="D3062" t="s">
        <v>27</v>
      </c>
      <c r="E3062" s="208" t="s">
        <v>142</v>
      </c>
      <c r="F3062" t="s">
        <v>4</v>
      </c>
      <c r="G3062" s="18">
        <v>1278</v>
      </c>
      <c r="H3062" t="s">
        <v>16</v>
      </c>
      <c r="I3062" t="s">
        <v>23</v>
      </c>
    </row>
    <row r="3063" spans="1:9" x14ac:dyDescent="0.25">
      <c r="A3063">
        <v>1809</v>
      </c>
      <c r="B3063">
        <f>A3063+1</f>
        <v>1810</v>
      </c>
      <c r="C3063" t="s">
        <v>589</v>
      </c>
      <c r="D3063" t="s">
        <v>27</v>
      </c>
      <c r="E3063" s="208" t="s">
        <v>144</v>
      </c>
      <c r="F3063" t="s">
        <v>4</v>
      </c>
      <c r="G3063" s="18">
        <v>43</v>
      </c>
      <c r="H3063" t="s">
        <v>16</v>
      </c>
      <c r="I3063" t="s">
        <v>23</v>
      </c>
    </row>
    <row r="3064" spans="1:9" x14ac:dyDescent="0.25">
      <c r="A3064">
        <v>1809</v>
      </c>
      <c r="B3064">
        <f>A3064+1</f>
        <v>1810</v>
      </c>
      <c r="C3064" t="s">
        <v>589</v>
      </c>
      <c r="D3064" t="s">
        <v>27</v>
      </c>
      <c r="E3064" s="208" t="s">
        <v>124</v>
      </c>
      <c r="F3064" t="s">
        <v>4</v>
      </c>
      <c r="G3064" s="18">
        <v>39138</v>
      </c>
      <c r="H3064" t="s">
        <v>16</v>
      </c>
      <c r="I3064" t="s">
        <v>23</v>
      </c>
    </row>
    <row r="3065" spans="1:9" x14ac:dyDescent="0.25">
      <c r="A3065">
        <v>1809</v>
      </c>
      <c r="B3065">
        <f>A3065+1</f>
        <v>1810</v>
      </c>
      <c r="C3065" t="s">
        <v>589</v>
      </c>
      <c r="D3065" t="s">
        <v>26</v>
      </c>
      <c r="E3065" s="208" t="s">
        <v>58</v>
      </c>
      <c r="F3065" t="s">
        <v>4</v>
      </c>
      <c r="G3065" s="18">
        <v>36168</v>
      </c>
      <c r="H3065" t="s">
        <v>23</v>
      </c>
      <c r="I3065" t="s">
        <v>16</v>
      </c>
    </row>
    <row r="3066" spans="1:9" x14ac:dyDescent="0.25">
      <c r="A3066">
        <v>1809</v>
      </c>
      <c r="B3066">
        <f>A3066+1</f>
        <v>1810</v>
      </c>
      <c r="C3066" t="s">
        <v>589</v>
      </c>
      <c r="D3066" t="s">
        <v>26</v>
      </c>
      <c r="E3066" s="208" t="s">
        <v>35</v>
      </c>
      <c r="F3066" t="s">
        <v>4</v>
      </c>
      <c r="G3066" s="18">
        <v>2606</v>
      </c>
      <c r="H3066" t="s">
        <v>23</v>
      </c>
      <c r="I3066" t="s">
        <v>16</v>
      </c>
    </row>
    <row r="3067" spans="1:9" x14ac:dyDescent="0.25">
      <c r="A3067">
        <v>1809</v>
      </c>
      <c r="B3067">
        <f>A3067+1</f>
        <v>1810</v>
      </c>
      <c r="C3067" t="s">
        <v>589</v>
      </c>
      <c r="D3067" t="s">
        <v>26</v>
      </c>
      <c r="E3067" s="208" t="s">
        <v>36</v>
      </c>
      <c r="F3067" t="s">
        <v>4</v>
      </c>
      <c r="G3067" s="18">
        <v>1856</v>
      </c>
      <c r="H3067" t="s">
        <v>23</v>
      </c>
      <c r="I3067" t="s">
        <v>16</v>
      </c>
    </row>
    <row r="3068" spans="1:9" x14ac:dyDescent="0.25">
      <c r="A3068">
        <v>1809</v>
      </c>
      <c r="B3068">
        <f>A3068+1</f>
        <v>1810</v>
      </c>
      <c r="C3068" t="s">
        <v>589</v>
      </c>
      <c r="D3068" t="s">
        <v>26</v>
      </c>
      <c r="E3068" s="208" t="s">
        <v>39</v>
      </c>
      <c r="F3068" t="s">
        <v>4</v>
      </c>
      <c r="G3068" s="18">
        <v>2833</v>
      </c>
      <c r="H3068" t="s">
        <v>23</v>
      </c>
      <c r="I3068" t="s">
        <v>16</v>
      </c>
    </row>
    <row r="3069" spans="1:9" x14ac:dyDescent="0.25">
      <c r="A3069">
        <v>1809</v>
      </c>
      <c r="B3069">
        <f>A3069+1</f>
        <v>1810</v>
      </c>
      <c r="C3069" t="s">
        <v>589</v>
      </c>
      <c r="D3069" t="s">
        <v>26</v>
      </c>
      <c r="E3069" s="208" t="s">
        <v>99</v>
      </c>
      <c r="F3069" t="s">
        <v>4</v>
      </c>
      <c r="G3069" s="18">
        <v>2777</v>
      </c>
      <c r="H3069" t="s">
        <v>23</v>
      </c>
      <c r="I3069" t="s">
        <v>16</v>
      </c>
    </row>
    <row r="3070" spans="1:9" x14ac:dyDescent="0.25">
      <c r="A3070">
        <v>1809</v>
      </c>
      <c r="B3070">
        <f>A3070+1</f>
        <v>1810</v>
      </c>
      <c r="C3070" t="s">
        <v>589</v>
      </c>
      <c r="D3070" t="s">
        <v>26</v>
      </c>
      <c r="E3070" s="208" t="s">
        <v>351</v>
      </c>
      <c r="F3070" t="s">
        <v>4</v>
      </c>
      <c r="G3070" s="18">
        <v>719</v>
      </c>
      <c r="H3070" t="s">
        <v>23</v>
      </c>
      <c r="I3070" t="s">
        <v>16</v>
      </c>
    </row>
    <row r="3071" spans="1:9" x14ac:dyDescent="0.25">
      <c r="A3071">
        <v>1809</v>
      </c>
      <c r="B3071">
        <f>A3071+1</f>
        <v>1810</v>
      </c>
      <c r="C3071" t="s">
        <v>589</v>
      </c>
      <c r="D3071" t="s">
        <v>26</v>
      </c>
      <c r="E3071" s="208" t="s">
        <v>367</v>
      </c>
      <c r="F3071" t="s">
        <v>4</v>
      </c>
      <c r="G3071" s="18">
        <v>160</v>
      </c>
      <c r="H3071" t="s">
        <v>23</v>
      </c>
      <c r="I3071" t="s">
        <v>16</v>
      </c>
    </row>
    <row r="3072" spans="1:9" x14ac:dyDescent="0.25">
      <c r="A3072">
        <v>1809</v>
      </c>
      <c r="B3072">
        <f>A3072+1</f>
        <v>1810</v>
      </c>
      <c r="C3072" t="s">
        <v>589</v>
      </c>
      <c r="D3072" t="s">
        <v>26</v>
      </c>
      <c r="E3072" s="208" t="s">
        <v>352</v>
      </c>
      <c r="F3072" t="s">
        <v>4</v>
      </c>
      <c r="G3072" s="18">
        <v>9554</v>
      </c>
      <c r="H3072" t="s">
        <v>23</v>
      </c>
      <c r="I3072" t="s">
        <v>16</v>
      </c>
    </row>
    <row r="3073" spans="1:9" x14ac:dyDescent="0.25">
      <c r="A3073">
        <v>1809</v>
      </c>
      <c r="B3073">
        <f>A3073+1</f>
        <v>1810</v>
      </c>
      <c r="C3073" t="s">
        <v>589</v>
      </c>
      <c r="D3073" t="s">
        <v>26</v>
      </c>
      <c r="E3073" s="208" t="s">
        <v>75</v>
      </c>
      <c r="F3073" t="s">
        <v>4</v>
      </c>
      <c r="G3073" s="18">
        <v>1981823</v>
      </c>
      <c r="H3073" t="s">
        <v>23</v>
      </c>
      <c r="I3073" t="s">
        <v>16</v>
      </c>
    </row>
    <row r="3074" spans="1:9" x14ac:dyDescent="0.25">
      <c r="A3074">
        <v>1809</v>
      </c>
      <c r="B3074">
        <f>A3074+1</f>
        <v>1810</v>
      </c>
      <c r="C3074" t="s">
        <v>589</v>
      </c>
      <c r="D3074" t="s">
        <v>26</v>
      </c>
      <c r="E3074" s="208" t="s">
        <v>107</v>
      </c>
      <c r="F3074" t="s">
        <v>4</v>
      </c>
      <c r="G3074" s="18">
        <v>1712228</v>
      </c>
      <c r="H3074" t="s">
        <v>23</v>
      </c>
      <c r="I3074" t="s">
        <v>16</v>
      </c>
    </row>
    <row r="3075" spans="1:9" x14ac:dyDescent="0.25">
      <c r="A3075">
        <v>1809</v>
      </c>
      <c r="B3075">
        <f>A3075+1</f>
        <v>1810</v>
      </c>
      <c r="C3075" t="s">
        <v>589</v>
      </c>
      <c r="D3075" t="s">
        <v>26</v>
      </c>
      <c r="E3075" s="208" t="s">
        <v>101</v>
      </c>
      <c r="F3075" t="s">
        <v>4</v>
      </c>
      <c r="G3075" s="18">
        <v>4055150</v>
      </c>
      <c r="H3075" t="s">
        <v>23</v>
      </c>
      <c r="I3075" t="s">
        <v>16</v>
      </c>
    </row>
    <row r="3076" spans="1:9" x14ac:dyDescent="0.25">
      <c r="A3076">
        <v>1809</v>
      </c>
      <c r="B3076">
        <f>A3076+1</f>
        <v>1810</v>
      </c>
      <c r="C3076" t="s">
        <v>589</v>
      </c>
      <c r="D3076" t="s">
        <v>27</v>
      </c>
      <c r="E3076" s="208" t="s">
        <v>155</v>
      </c>
      <c r="F3076" t="s">
        <v>7</v>
      </c>
      <c r="G3076" s="18">
        <v>24063</v>
      </c>
      <c r="H3076" t="s">
        <v>16</v>
      </c>
      <c r="I3076" s="151" t="s">
        <v>562</v>
      </c>
    </row>
    <row r="3077" spans="1:9" x14ac:dyDescent="0.25">
      <c r="A3077">
        <v>1809</v>
      </c>
      <c r="B3077">
        <f>A3077+1</f>
        <v>1810</v>
      </c>
      <c r="C3077" t="s">
        <v>589</v>
      </c>
      <c r="D3077" t="s">
        <v>27</v>
      </c>
      <c r="E3077" s="208" t="s">
        <v>156</v>
      </c>
      <c r="F3077" t="s">
        <v>7</v>
      </c>
      <c r="G3077" s="18">
        <v>3302</v>
      </c>
      <c r="H3077" t="s">
        <v>16</v>
      </c>
      <c r="I3077" s="151" t="s">
        <v>562</v>
      </c>
    </row>
    <row r="3078" spans="1:9" x14ac:dyDescent="0.25">
      <c r="A3078">
        <v>1809</v>
      </c>
      <c r="B3078">
        <f>A3078+1</f>
        <v>1810</v>
      </c>
      <c r="C3078" t="s">
        <v>589</v>
      </c>
      <c r="D3078" t="s">
        <v>27</v>
      </c>
      <c r="E3078" s="208" t="s">
        <v>154</v>
      </c>
      <c r="F3078" t="s">
        <v>7</v>
      </c>
      <c r="G3078" s="18">
        <v>2398</v>
      </c>
      <c r="H3078" t="s">
        <v>16</v>
      </c>
      <c r="I3078" s="151" t="s">
        <v>562</v>
      </c>
    </row>
    <row r="3079" spans="1:9" x14ac:dyDescent="0.25">
      <c r="A3079">
        <v>1809</v>
      </c>
      <c r="B3079">
        <f>A3079+1</f>
        <v>1810</v>
      </c>
      <c r="C3079" t="s">
        <v>589</v>
      </c>
      <c r="D3079" t="s">
        <v>27</v>
      </c>
      <c r="E3079" s="208" t="s">
        <v>150</v>
      </c>
      <c r="F3079" t="s">
        <v>7</v>
      </c>
      <c r="G3079" s="18">
        <v>10553</v>
      </c>
      <c r="H3079" t="s">
        <v>16</v>
      </c>
      <c r="I3079" s="151" t="s">
        <v>562</v>
      </c>
    </row>
    <row r="3080" spans="1:9" x14ac:dyDescent="0.25">
      <c r="A3080">
        <v>1809</v>
      </c>
      <c r="B3080">
        <f>A3080+1</f>
        <v>1810</v>
      </c>
      <c r="C3080" t="s">
        <v>589</v>
      </c>
      <c r="D3080" t="s">
        <v>27</v>
      </c>
      <c r="E3080" s="208" t="s">
        <v>148</v>
      </c>
      <c r="F3080" t="s">
        <v>7</v>
      </c>
      <c r="G3080" s="18">
        <v>1063</v>
      </c>
      <c r="H3080" t="s">
        <v>16</v>
      </c>
      <c r="I3080" s="151" t="s">
        <v>562</v>
      </c>
    </row>
    <row r="3081" spans="1:9" x14ac:dyDescent="0.25">
      <c r="A3081">
        <v>1809</v>
      </c>
      <c r="B3081">
        <f>A3081+1</f>
        <v>1810</v>
      </c>
      <c r="C3081" t="s">
        <v>589</v>
      </c>
      <c r="D3081" t="s">
        <v>27</v>
      </c>
      <c r="E3081" s="208" t="s">
        <v>314</v>
      </c>
      <c r="F3081" t="s">
        <v>7</v>
      </c>
      <c r="G3081" s="18">
        <v>0</v>
      </c>
      <c r="H3081" t="s">
        <v>16</v>
      </c>
      <c r="I3081" s="151" t="s">
        <v>562</v>
      </c>
    </row>
    <row r="3082" spans="1:9" x14ac:dyDescent="0.25">
      <c r="A3082">
        <v>1809</v>
      </c>
      <c r="B3082">
        <f>A3082+1</f>
        <v>1810</v>
      </c>
      <c r="C3082" t="s">
        <v>589</v>
      </c>
      <c r="D3082" t="s">
        <v>27</v>
      </c>
      <c r="E3082" s="208" t="s">
        <v>149</v>
      </c>
      <c r="F3082" t="s">
        <v>7</v>
      </c>
      <c r="G3082" s="18">
        <v>0</v>
      </c>
      <c r="H3082" t="s">
        <v>16</v>
      </c>
      <c r="I3082" s="151" t="s">
        <v>562</v>
      </c>
    </row>
    <row r="3083" spans="1:9" x14ac:dyDescent="0.25">
      <c r="A3083">
        <v>1809</v>
      </c>
      <c r="B3083">
        <f>A3083+1</f>
        <v>1810</v>
      </c>
      <c r="C3083" t="s">
        <v>589</v>
      </c>
      <c r="D3083" t="s">
        <v>27</v>
      </c>
      <c r="E3083" s="208" t="s">
        <v>139</v>
      </c>
      <c r="F3083" t="s">
        <v>7</v>
      </c>
      <c r="G3083" s="18">
        <v>28</v>
      </c>
      <c r="H3083" t="s">
        <v>16</v>
      </c>
      <c r="I3083" s="151" t="s">
        <v>562</v>
      </c>
    </row>
    <row r="3084" spans="1:9" x14ac:dyDescent="0.25">
      <c r="A3084">
        <v>1809</v>
      </c>
      <c r="B3084">
        <f>A3084+1</f>
        <v>1810</v>
      </c>
      <c r="C3084" t="s">
        <v>589</v>
      </c>
      <c r="D3084" t="s">
        <v>27</v>
      </c>
      <c r="E3084" s="208" t="s">
        <v>130</v>
      </c>
      <c r="F3084" t="s">
        <v>7</v>
      </c>
      <c r="G3084" s="18">
        <v>459</v>
      </c>
      <c r="H3084" t="s">
        <v>16</v>
      </c>
      <c r="I3084" s="151" t="s">
        <v>562</v>
      </c>
    </row>
    <row r="3085" spans="1:9" x14ac:dyDescent="0.25">
      <c r="A3085">
        <v>1809</v>
      </c>
      <c r="B3085">
        <f>A3085+1</f>
        <v>1810</v>
      </c>
      <c r="C3085" t="s">
        <v>589</v>
      </c>
      <c r="D3085" t="s">
        <v>27</v>
      </c>
      <c r="E3085" s="208" t="s">
        <v>132</v>
      </c>
      <c r="F3085" t="s">
        <v>7</v>
      </c>
      <c r="G3085" s="18">
        <v>255</v>
      </c>
      <c r="H3085" t="s">
        <v>16</v>
      </c>
      <c r="I3085" s="151" t="s">
        <v>562</v>
      </c>
    </row>
    <row r="3086" spans="1:9" x14ac:dyDescent="0.25">
      <c r="A3086">
        <v>1809</v>
      </c>
      <c r="B3086">
        <f>A3086+1</f>
        <v>1810</v>
      </c>
      <c r="C3086" t="s">
        <v>589</v>
      </c>
      <c r="D3086" t="s">
        <v>27</v>
      </c>
      <c r="E3086" s="208" t="s">
        <v>142</v>
      </c>
      <c r="F3086" t="s">
        <v>7</v>
      </c>
      <c r="G3086" s="18">
        <v>6509</v>
      </c>
      <c r="H3086" t="s">
        <v>16</v>
      </c>
      <c r="I3086" s="151" t="s">
        <v>562</v>
      </c>
    </row>
    <row r="3087" spans="1:9" x14ac:dyDescent="0.25">
      <c r="A3087">
        <v>1809</v>
      </c>
      <c r="B3087">
        <f>A3087+1</f>
        <v>1810</v>
      </c>
      <c r="C3087" t="s">
        <v>589</v>
      </c>
      <c r="D3087" t="s">
        <v>27</v>
      </c>
      <c r="E3087" s="208" t="s">
        <v>144</v>
      </c>
      <c r="F3087" t="s">
        <v>7</v>
      </c>
      <c r="G3087" s="18">
        <v>547</v>
      </c>
      <c r="H3087" t="s">
        <v>16</v>
      </c>
      <c r="I3087" s="151" t="s">
        <v>562</v>
      </c>
    </row>
    <row r="3088" spans="1:9" x14ac:dyDescent="0.25">
      <c r="A3088">
        <v>1809</v>
      </c>
      <c r="B3088">
        <f>A3088+1</f>
        <v>1810</v>
      </c>
      <c r="C3088" t="s">
        <v>589</v>
      </c>
      <c r="D3088" t="s">
        <v>27</v>
      </c>
      <c r="E3088" s="208" t="s">
        <v>124</v>
      </c>
      <c r="F3088" t="s">
        <v>7</v>
      </c>
      <c r="G3088" s="18">
        <v>14954252</v>
      </c>
      <c r="H3088" t="s">
        <v>16</v>
      </c>
      <c r="I3088" s="151" t="s">
        <v>562</v>
      </c>
    </row>
    <row r="3089" spans="1:9" x14ac:dyDescent="0.25">
      <c r="A3089">
        <v>1809</v>
      </c>
      <c r="B3089">
        <f>A3089+1</f>
        <v>1810</v>
      </c>
      <c r="C3089" t="s">
        <v>589</v>
      </c>
      <c r="D3089" t="s">
        <v>26</v>
      </c>
      <c r="E3089" s="208" t="s">
        <v>62</v>
      </c>
      <c r="F3089" t="s">
        <v>7</v>
      </c>
      <c r="G3089" s="18">
        <v>0</v>
      </c>
      <c r="H3089" s="151" t="s">
        <v>563</v>
      </c>
      <c r="I3089" t="s">
        <v>16</v>
      </c>
    </row>
    <row r="3090" spans="1:9" x14ac:dyDescent="0.25">
      <c r="A3090">
        <v>1809</v>
      </c>
      <c r="B3090">
        <f>A3090+1</f>
        <v>1810</v>
      </c>
      <c r="C3090" t="s">
        <v>589</v>
      </c>
      <c r="D3090" t="s">
        <v>26</v>
      </c>
      <c r="E3090" s="208" t="s">
        <v>58</v>
      </c>
      <c r="F3090" t="s">
        <v>7</v>
      </c>
      <c r="G3090" s="18">
        <v>36168</v>
      </c>
      <c r="H3090" s="151" t="s">
        <v>563</v>
      </c>
      <c r="I3090" t="s">
        <v>16</v>
      </c>
    </row>
    <row r="3091" spans="1:9" x14ac:dyDescent="0.25">
      <c r="A3091">
        <v>1809</v>
      </c>
      <c r="B3091">
        <f>A3091+1</f>
        <v>1810</v>
      </c>
      <c r="C3091" t="s">
        <v>589</v>
      </c>
      <c r="D3091" t="s">
        <v>26</v>
      </c>
      <c r="E3091" s="208" t="s">
        <v>57</v>
      </c>
      <c r="F3091" t="s">
        <v>7</v>
      </c>
      <c r="G3091" s="18">
        <v>1160</v>
      </c>
      <c r="H3091" s="151" t="s">
        <v>563</v>
      </c>
      <c r="I3091" t="s">
        <v>16</v>
      </c>
    </row>
    <row r="3092" spans="1:9" x14ac:dyDescent="0.25">
      <c r="A3092">
        <v>1809</v>
      </c>
      <c r="B3092">
        <f>A3092+1</f>
        <v>1810</v>
      </c>
      <c r="C3092" t="s">
        <v>589</v>
      </c>
      <c r="D3092" t="s">
        <v>26</v>
      </c>
      <c r="E3092" s="208" t="s">
        <v>35</v>
      </c>
      <c r="F3092" t="s">
        <v>7</v>
      </c>
      <c r="G3092" s="18">
        <v>2606</v>
      </c>
      <c r="H3092" s="151" t="s">
        <v>563</v>
      </c>
      <c r="I3092" t="s">
        <v>16</v>
      </c>
    </row>
    <row r="3093" spans="1:9" x14ac:dyDescent="0.25">
      <c r="A3093">
        <v>1809</v>
      </c>
      <c r="B3093">
        <f>A3093+1</f>
        <v>1810</v>
      </c>
      <c r="C3093" t="s">
        <v>589</v>
      </c>
      <c r="D3093" t="s">
        <v>26</v>
      </c>
      <c r="E3093" s="208" t="s">
        <v>36</v>
      </c>
      <c r="F3093" t="s">
        <v>7</v>
      </c>
      <c r="G3093" s="18">
        <v>2129</v>
      </c>
      <c r="H3093" s="151" t="s">
        <v>563</v>
      </c>
      <c r="I3093" t="s">
        <v>16</v>
      </c>
    </row>
    <row r="3094" spans="1:9" x14ac:dyDescent="0.25">
      <c r="A3094">
        <v>1809</v>
      </c>
      <c r="B3094">
        <f>A3094+1</f>
        <v>1810</v>
      </c>
      <c r="C3094" t="s">
        <v>589</v>
      </c>
      <c r="D3094" t="s">
        <v>26</v>
      </c>
      <c r="E3094" s="208" t="s">
        <v>39</v>
      </c>
      <c r="F3094" t="s">
        <v>7</v>
      </c>
      <c r="G3094" s="18">
        <v>2833</v>
      </c>
      <c r="H3094" s="151" t="s">
        <v>563</v>
      </c>
      <c r="I3094" t="s">
        <v>16</v>
      </c>
    </row>
    <row r="3095" spans="1:9" x14ac:dyDescent="0.25">
      <c r="A3095">
        <v>1809</v>
      </c>
      <c r="B3095">
        <f>A3095+1</f>
        <v>1810</v>
      </c>
      <c r="C3095" t="s">
        <v>589</v>
      </c>
      <c r="D3095" t="s">
        <v>26</v>
      </c>
      <c r="E3095" s="208" t="s">
        <v>94</v>
      </c>
      <c r="F3095" t="s">
        <v>7</v>
      </c>
      <c r="G3095" s="18">
        <v>0</v>
      </c>
      <c r="H3095" s="151" t="s">
        <v>563</v>
      </c>
      <c r="I3095" t="s">
        <v>16</v>
      </c>
    </row>
    <row r="3096" spans="1:9" x14ac:dyDescent="0.25">
      <c r="A3096">
        <v>1809</v>
      </c>
      <c r="B3096">
        <f>A3096+1</f>
        <v>1810</v>
      </c>
      <c r="C3096" t="s">
        <v>589</v>
      </c>
      <c r="D3096" t="s">
        <v>26</v>
      </c>
      <c r="E3096" s="208" t="s">
        <v>99</v>
      </c>
      <c r="F3096" t="s">
        <v>7</v>
      </c>
      <c r="G3096" s="18">
        <v>2811</v>
      </c>
      <c r="H3096" s="151" t="s">
        <v>563</v>
      </c>
      <c r="I3096" t="s">
        <v>16</v>
      </c>
    </row>
    <row r="3097" spans="1:9" x14ac:dyDescent="0.25">
      <c r="A3097">
        <v>1809</v>
      </c>
      <c r="B3097">
        <f>A3097+1</f>
        <v>1810</v>
      </c>
      <c r="C3097" t="s">
        <v>589</v>
      </c>
      <c r="D3097" t="s">
        <v>26</v>
      </c>
      <c r="E3097" s="208" t="s">
        <v>28</v>
      </c>
      <c r="F3097" t="s">
        <v>7</v>
      </c>
      <c r="G3097" s="18">
        <v>36</v>
      </c>
      <c r="H3097" s="151" t="s">
        <v>563</v>
      </c>
      <c r="I3097" t="s">
        <v>16</v>
      </c>
    </row>
    <row r="3098" spans="1:9" x14ac:dyDescent="0.25">
      <c r="A3098">
        <v>1809</v>
      </c>
      <c r="B3098">
        <f>A3098+1</f>
        <v>1810</v>
      </c>
      <c r="C3098" t="s">
        <v>589</v>
      </c>
      <c r="D3098" t="s">
        <v>26</v>
      </c>
      <c r="E3098" s="208" t="s">
        <v>89</v>
      </c>
      <c r="F3098" t="s">
        <v>7</v>
      </c>
      <c r="G3098" s="18">
        <v>214</v>
      </c>
      <c r="H3098" s="151" t="s">
        <v>563</v>
      </c>
      <c r="I3098" t="s">
        <v>16</v>
      </c>
    </row>
    <row r="3099" spans="1:9" x14ac:dyDescent="0.25">
      <c r="A3099">
        <v>1809</v>
      </c>
      <c r="B3099">
        <f>A3099+1</f>
        <v>1810</v>
      </c>
      <c r="C3099" t="s">
        <v>589</v>
      </c>
      <c r="D3099" t="s">
        <v>26</v>
      </c>
      <c r="E3099" s="208" t="s">
        <v>45</v>
      </c>
      <c r="F3099" t="s">
        <v>7</v>
      </c>
      <c r="G3099" s="18">
        <v>48</v>
      </c>
      <c r="H3099" s="151" t="s">
        <v>563</v>
      </c>
      <c r="I3099" t="s">
        <v>16</v>
      </c>
    </row>
    <row r="3100" spans="1:9" x14ac:dyDescent="0.25">
      <c r="A3100">
        <v>1809</v>
      </c>
      <c r="B3100">
        <f>A3100+1</f>
        <v>1810</v>
      </c>
      <c r="C3100" t="s">
        <v>589</v>
      </c>
      <c r="D3100" t="s">
        <v>26</v>
      </c>
      <c r="E3100" s="208" t="s">
        <v>54</v>
      </c>
      <c r="F3100" t="s">
        <v>7</v>
      </c>
      <c r="G3100" s="18">
        <v>0</v>
      </c>
      <c r="H3100" s="151" t="s">
        <v>563</v>
      </c>
      <c r="I3100" t="s">
        <v>16</v>
      </c>
    </row>
    <row r="3101" spans="1:9" x14ac:dyDescent="0.25">
      <c r="A3101">
        <v>1809</v>
      </c>
      <c r="B3101">
        <f>A3101+1</f>
        <v>1810</v>
      </c>
      <c r="C3101" t="s">
        <v>589</v>
      </c>
      <c r="D3101" t="s">
        <v>26</v>
      </c>
      <c r="E3101" s="208" t="s">
        <v>53</v>
      </c>
      <c r="F3101" t="s">
        <v>7</v>
      </c>
      <c r="G3101" s="18">
        <v>8</v>
      </c>
      <c r="H3101" s="151" t="s">
        <v>563</v>
      </c>
      <c r="I3101" t="s">
        <v>16</v>
      </c>
    </row>
    <row r="3102" spans="1:9" x14ac:dyDescent="0.25">
      <c r="A3102">
        <v>1809</v>
      </c>
      <c r="B3102">
        <f>A3102+1</f>
        <v>1810</v>
      </c>
      <c r="C3102" t="s">
        <v>589</v>
      </c>
      <c r="D3102" t="s">
        <v>26</v>
      </c>
      <c r="E3102" s="208" t="s">
        <v>351</v>
      </c>
      <c r="F3102" t="s">
        <v>7</v>
      </c>
      <c r="G3102" s="18">
        <v>719</v>
      </c>
      <c r="H3102" s="151" t="s">
        <v>563</v>
      </c>
      <c r="I3102" t="s">
        <v>16</v>
      </c>
    </row>
    <row r="3103" spans="1:9" x14ac:dyDescent="0.25">
      <c r="A3103">
        <v>1809</v>
      </c>
      <c r="B3103">
        <f>A3103+1</f>
        <v>1810</v>
      </c>
      <c r="C3103" t="s">
        <v>589</v>
      </c>
      <c r="D3103" t="s">
        <v>26</v>
      </c>
      <c r="E3103" s="208" t="s">
        <v>367</v>
      </c>
      <c r="F3103" t="s">
        <v>7</v>
      </c>
      <c r="G3103" s="18">
        <v>160</v>
      </c>
      <c r="H3103" s="151" t="s">
        <v>563</v>
      </c>
      <c r="I3103" t="s">
        <v>16</v>
      </c>
    </row>
    <row r="3104" spans="1:9" x14ac:dyDescent="0.25">
      <c r="A3104">
        <v>1809</v>
      </c>
      <c r="B3104">
        <f>A3104+1</f>
        <v>1810</v>
      </c>
      <c r="C3104" t="s">
        <v>589</v>
      </c>
      <c r="D3104" t="s">
        <v>26</v>
      </c>
      <c r="E3104" s="208" t="s">
        <v>352</v>
      </c>
      <c r="F3104" t="s">
        <v>7</v>
      </c>
      <c r="G3104" s="18">
        <v>9554</v>
      </c>
      <c r="H3104" s="151" t="s">
        <v>563</v>
      </c>
      <c r="I3104" t="s">
        <v>16</v>
      </c>
    </row>
    <row r="3105" spans="1:9" x14ac:dyDescent="0.25">
      <c r="A3105">
        <v>1809</v>
      </c>
      <c r="B3105">
        <f>A3105+1</f>
        <v>1810</v>
      </c>
      <c r="C3105" t="s">
        <v>589</v>
      </c>
      <c r="D3105" t="s">
        <v>26</v>
      </c>
      <c r="E3105" s="208" t="s">
        <v>75</v>
      </c>
      <c r="F3105" t="s">
        <v>7</v>
      </c>
      <c r="G3105" s="18">
        <v>2341617</v>
      </c>
      <c r="H3105" s="151" t="s">
        <v>563</v>
      </c>
      <c r="I3105" t="s">
        <v>16</v>
      </c>
    </row>
    <row r="3106" spans="1:9" x14ac:dyDescent="0.25">
      <c r="A3106">
        <v>1809</v>
      </c>
      <c r="B3106">
        <f>A3106+1</f>
        <v>1810</v>
      </c>
      <c r="C3106" t="s">
        <v>589</v>
      </c>
      <c r="D3106" t="s">
        <v>26</v>
      </c>
      <c r="E3106" s="208" t="s">
        <v>107</v>
      </c>
      <c r="F3106" t="s">
        <v>7</v>
      </c>
      <c r="G3106" s="18">
        <v>2167529</v>
      </c>
      <c r="H3106" s="151" t="s">
        <v>563</v>
      </c>
      <c r="I3106" t="s">
        <v>16</v>
      </c>
    </row>
    <row r="3107" spans="1:9" x14ac:dyDescent="0.25">
      <c r="A3107">
        <v>1809</v>
      </c>
      <c r="B3107">
        <f>A3107+1</f>
        <v>1810</v>
      </c>
      <c r="C3107" t="s">
        <v>589</v>
      </c>
      <c r="D3107" t="s">
        <v>26</v>
      </c>
      <c r="E3107" s="208" t="s">
        <v>101</v>
      </c>
      <c r="F3107" t="s">
        <v>7</v>
      </c>
      <c r="G3107" s="18">
        <v>4160050</v>
      </c>
      <c r="H3107" s="151" t="s">
        <v>563</v>
      </c>
      <c r="I3107" t="s">
        <v>16</v>
      </c>
    </row>
    <row r="3108" spans="1:9" x14ac:dyDescent="0.25">
      <c r="A3108">
        <v>1809</v>
      </c>
      <c r="B3108">
        <f>A3108+1</f>
        <v>1810</v>
      </c>
      <c r="C3108" t="s">
        <v>589</v>
      </c>
      <c r="D3108" t="s">
        <v>26</v>
      </c>
      <c r="E3108" s="208" t="s">
        <v>65</v>
      </c>
      <c r="F3108" t="s">
        <v>7</v>
      </c>
      <c r="G3108" s="18">
        <v>3334</v>
      </c>
      <c r="H3108" s="151" t="s">
        <v>563</v>
      </c>
      <c r="I3108" t="s">
        <v>16</v>
      </c>
    </row>
    <row r="3109" spans="1:9" x14ac:dyDescent="0.25">
      <c r="A3109">
        <v>1809</v>
      </c>
      <c r="B3109">
        <f>A3109+1</f>
        <v>1810</v>
      </c>
      <c r="C3109" t="s">
        <v>589</v>
      </c>
      <c r="D3109" t="s">
        <v>26</v>
      </c>
      <c r="E3109" s="208" t="s">
        <v>88</v>
      </c>
      <c r="F3109" t="s">
        <v>7</v>
      </c>
      <c r="G3109" s="18">
        <v>3849</v>
      </c>
      <c r="H3109" s="151" t="s">
        <v>563</v>
      </c>
      <c r="I3109" t="s">
        <v>16</v>
      </c>
    </row>
    <row r="3110" spans="1:9" x14ac:dyDescent="0.25">
      <c r="A3110">
        <v>1809</v>
      </c>
      <c r="B3110">
        <f>A3110+1</f>
        <v>1810</v>
      </c>
      <c r="C3110" t="s">
        <v>589</v>
      </c>
      <c r="D3110" t="s">
        <v>26</v>
      </c>
      <c r="E3110" s="208" t="s">
        <v>330</v>
      </c>
      <c r="F3110" t="s">
        <v>7</v>
      </c>
      <c r="G3110" s="18">
        <v>1335</v>
      </c>
      <c r="H3110" s="151" t="s">
        <v>563</v>
      </c>
      <c r="I3110" t="s">
        <v>16</v>
      </c>
    </row>
    <row r="3111" spans="1:9" x14ac:dyDescent="0.25">
      <c r="A3111">
        <v>1809</v>
      </c>
      <c r="B3111">
        <f>A3111+1</f>
        <v>1810</v>
      </c>
      <c r="C3111" t="s">
        <v>589</v>
      </c>
      <c r="D3111" t="s">
        <v>26</v>
      </c>
      <c r="E3111" s="208" t="s">
        <v>331</v>
      </c>
      <c r="F3111" t="s">
        <v>7</v>
      </c>
      <c r="G3111" s="18">
        <v>1475</v>
      </c>
      <c r="H3111" s="151" t="s">
        <v>563</v>
      </c>
      <c r="I3111" t="s">
        <v>16</v>
      </c>
    </row>
    <row r="3112" spans="1:9" x14ac:dyDescent="0.25">
      <c r="A3112">
        <v>1809</v>
      </c>
      <c r="B3112">
        <f>A3112+1</f>
        <v>1810</v>
      </c>
      <c r="C3112" t="s">
        <v>589</v>
      </c>
      <c r="D3112" t="s">
        <v>26</v>
      </c>
      <c r="E3112" s="208" t="s">
        <v>332</v>
      </c>
      <c r="F3112" t="s">
        <v>7</v>
      </c>
      <c r="G3112" s="18">
        <v>523</v>
      </c>
      <c r="H3112" s="151" t="s">
        <v>563</v>
      </c>
      <c r="I3112" t="s">
        <v>16</v>
      </c>
    </row>
    <row r="3113" spans="1:9" x14ac:dyDescent="0.25">
      <c r="A3113">
        <v>1809</v>
      </c>
      <c r="B3113">
        <f>A3113+1</f>
        <v>1810</v>
      </c>
      <c r="C3113" t="s">
        <v>589</v>
      </c>
      <c r="D3113" t="s">
        <v>26</v>
      </c>
      <c r="E3113" s="208" t="s">
        <v>333</v>
      </c>
      <c r="F3113" t="s">
        <v>7</v>
      </c>
      <c r="G3113" s="18">
        <v>255</v>
      </c>
      <c r="H3113" s="151" t="s">
        <v>563</v>
      </c>
      <c r="I3113" t="s">
        <v>16</v>
      </c>
    </row>
    <row r="3114" spans="1:9" x14ac:dyDescent="0.25">
      <c r="A3114">
        <v>1809</v>
      </c>
      <c r="B3114">
        <f>A3114+1</f>
        <v>1810</v>
      </c>
      <c r="C3114" t="s">
        <v>589</v>
      </c>
      <c r="D3114" t="s">
        <v>27</v>
      </c>
      <c r="E3114" s="208" t="s">
        <v>155</v>
      </c>
      <c r="F3114" t="s">
        <v>10</v>
      </c>
      <c r="G3114" s="18">
        <v>84</v>
      </c>
      <c r="H3114" t="s">
        <v>17</v>
      </c>
      <c r="I3114" t="s">
        <v>24</v>
      </c>
    </row>
    <row r="3115" spans="1:9" x14ac:dyDescent="0.25">
      <c r="A3115">
        <v>1809</v>
      </c>
      <c r="B3115">
        <f>A3115+1</f>
        <v>1810</v>
      </c>
      <c r="C3115" t="s">
        <v>589</v>
      </c>
      <c r="D3115" t="s">
        <v>27</v>
      </c>
      <c r="E3115" s="208" t="s">
        <v>156</v>
      </c>
      <c r="F3115" t="s">
        <v>10</v>
      </c>
      <c r="G3115" s="18">
        <v>25</v>
      </c>
      <c r="H3115" t="s">
        <v>17</v>
      </c>
      <c r="I3115" t="s">
        <v>24</v>
      </c>
    </row>
    <row r="3116" spans="1:9" x14ac:dyDescent="0.25">
      <c r="A3116">
        <v>1809</v>
      </c>
      <c r="B3116">
        <f>A3116+1</f>
        <v>1810</v>
      </c>
      <c r="C3116" t="s">
        <v>589</v>
      </c>
      <c r="D3116" t="s">
        <v>27</v>
      </c>
      <c r="E3116" s="208" t="s">
        <v>154</v>
      </c>
      <c r="F3116" t="s">
        <v>10</v>
      </c>
      <c r="G3116" s="18">
        <v>106</v>
      </c>
      <c r="H3116" t="s">
        <v>17</v>
      </c>
      <c r="I3116" t="s">
        <v>24</v>
      </c>
    </row>
    <row r="3117" spans="1:9" x14ac:dyDescent="0.25">
      <c r="A3117">
        <v>1809</v>
      </c>
      <c r="B3117">
        <f>A3117+1</f>
        <v>1810</v>
      </c>
      <c r="C3117" t="s">
        <v>589</v>
      </c>
      <c r="D3117" t="s">
        <v>27</v>
      </c>
      <c r="E3117" s="208" t="s">
        <v>150</v>
      </c>
      <c r="F3117" t="s">
        <v>10</v>
      </c>
      <c r="G3117" s="18">
        <v>2064</v>
      </c>
      <c r="H3117" t="s">
        <v>17</v>
      </c>
      <c r="I3117" t="s">
        <v>24</v>
      </c>
    </row>
    <row r="3118" spans="1:9" x14ac:dyDescent="0.25">
      <c r="A3118">
        <v>1809</v>
      </c>
      <c r="B3118">
        <f>A3118+1</f>
        <v>1810</v>
      </c>
      <c r="C3118" t="s">
        <v>589</v>
      </c>
      <c r="D3118" t="s">
        <v>27</v>
      </c>
      <c r="E3118" s="208" t="s">
        <v>148</v>
      </c>
      <c r="F3118" t="s">
        <v>10</v>
      </c>
      <c r="G3118" s="18">
        <v>33</v>
      </c>
      <c r="H3118" t="s">
        <v>17</v>
      </c>
      <c r="I3118" t="s">
        <v>24</v>
      </c>
    </row>
    <row r="3119" spans="1:9" x14ac:dyDescent="0.25">
      <c r="A3119">
        <v>1809</v>
      </c>
      <c r="B3119">
        <f>A3119+1</f>
        <v>1810</v>
      </c>
      <c r="C3119" t="s">
        <v>589</v>
      </c>
      <c r="D3119" t="s">
        <v>27</v>
      </c>
      <c r="E3119" s="208" t="s">
        <v>139</v>
      </c>
      <c r="F3119" t="s">
        <v>10</v>
      </c>
      <c r="G3119" s="18">
        <v>28</v>
      </c>
      <c r="H3119" t="s">
        <v>17</v>
      </c>
      <c r="I3119" t="s">
        <v>24</v>
      </c>
    </row>
    <row r="3120" spans="1:9" x14ac:dyDescent="0.25">
      <c r="A3120">
        <v>1809</v>
      </c>
      <c r="B3120">
        <f>A3120+1</f>
        <v>1810</v>
      </c>
      <c r="C3120" t="s">
        <v>589</v>
      </c>
      <c r="D3120" t="s">
        <v>27</v>
      </c>
      <c r="E3120" s="208" t="s">
        <v>130</v>
      </c>
      <c r="F3120" t="s">
        <v>10</v>
      </c>
      <c r="G3120" s="18">
        <v>0</v>
      </c>
      <c r="H3120" t="s">
        <v>17</v>
      </c>
      <c r="I3120" t="s">
        <v>24</v>
      </c>
    </row>
    <row r="3121" spans="1:9" x14ac:dyDescent="0.25">
      <c r="A3121">
        <v>1809</v>
      </c>
      <c r="B3121">
        <f>A3121+1</f>
        <v>1810</v>
      </c>
      <c r="C3121" t="s">
        <v>589</v>
      </c>
      <c r="D3121" t="s">
        <v>27</v>
      </c>
      <c r="E3121" s="208" t="s">
        <v>132</v>
      </c>
      <c r="F3121" t="s">
        <v>10</v>
      </c>
      <c r="G3121" s="18">
        <v>0</v>
      </c>
      <c r="H3121" t="s">
        <v>17</v>
      </c>
      <c r="I3121" t="s">
        <v>24</v>
      </c>
    </row>
    <row r="3122" spans="1:9" x14ac:dyDescent="0.25">
      <c r="A3122">
        <v>1809</v>
      </c>
      <c r="B3122">
        <f>A3122+1</f>
        <v>1810</v>
      </c>
      <c r="C3122" t="s">
        <v>589</v>
      </c>
      <c r="D3122" t="s">
        <v>27</v>
      </c>
      <c r="E3122" s="208" t="s">
        <v>142</v>
      </c>
      <c r="F3122" t="s">
        <v>10</v>
      </c>
      <c r="G3122" s="18">
        <v>143</v>
      </c>
      <c r="H3122" t="s">
        <v>17</v>
      </c>
      <c r="I3122" t="s">
        <v>24</v>
      </c>
    </row>
    <row r="3123" spans="1:9" x14ac:dyDescent="0.25">
      <c r="A3123">
        <v>1809</v>
      </c>
      <c r="B3123">
        <f>A3123+1</f>
        <v>1810</v>
      </c>
      <c r="C3123" t="s">
        <v>589</v>
      </c>
      <c r="D3123" t="s">
        <v>27</v>
      </c>
      <c r="E3123" s="208" t="s">
        <v>144</v>
      </c>
      <c r="F3123" t="s">
        <v>10</v>
      </c>
      <c r="G3123" s="18">
        <v>43</v>
      </c>
      <c r="H3123" t="s">
        <v>17</v>
      </c>
      <c r="I3123" t="s">
        <v>24</v>
      </c>
    </row>
    <row r="3124" spans="1:9" x14ac:dyDescent="0.25">
      <c r="A3124">
        <v>1809</v>
      </c>
      <c r="B3124">
        <f>A3124+1</f>
        <v>1810</v>
      </c>
      <c r="C3124" t="s">
        <v>589</v>
      </c>
      <c r="D3124" t="s">
        <v>27</v>
      </c>
      <c r="E3124" s="208" t="s">
        <v>124</v>
      </c>
      <c r="F3124" t="s">
        <v>10</v>
      </c>
      <c r="G3124" s="18">
        <v>303827</v>
      </c>
      <c r="H3124" t="s">
        <v>17</v>
      </c>
      <c r="I3124" t="s">
        <v>24</v>
      </c>
    </row>
    <row r="3125" spans="1:9" x14ac:dyDescent="0.25">
      <c r="A3125">
        <v>1809</v>
      </c>
      <c r="B3125">
        <f>A3125+1</f>
        <v>1810</v>
      </c>
      <c r="C3125" t="s">
        <v>589</v>
      </c>
      <c r="D3125" t="s">
        <v>26</v>
      </c>
      <c r="E3125" s="208" t="s">
        <v>57</v>
      </c>
      <c r="F3125" t="s">
        <v>10</v>
      </c>
      <c r="G3125" s="18">
        <v>124</v>
      </c>
      <c r="H3125" t="s">
        <v>24</v>
      </c>
      <c r="I3125" t="s">
        <v>17</v>
      </c>
    </row>
    <row r="3126" spans="1:9" x14ac:dyDescent="0.25">
      <c r="A3126">
        <v>1809</v>
      </c>
      <c r="B3126">
        <f>A3126+1</f>
        <v>1810</v>
      </c>
      <c r="C3126" t="s">
        <v>589</v>
      </c>
      <c r="D3126" t="s">
        <v>26</v>
      </c>
      <c r="E3126" s="208" t="s">
        <v>36</v>
      </c>
      <c r="F3126" t="s">
        <v>10</v>
      </c>
      <c r="G3126" s="18">
        <v>25</v>
      </c>
      <c r="H3126" t="s">
        <v>24</v>
      </c>
      <c r="I3126" t="s">
        <v>17</v>
      </c>
    </row>
    <row r="3127" spans="1:9" x14ac:dyDescent="0.25">
      <c r="A3127">
        <v>1809</v>
      </c>
      <c r="B3127">
        <f>A3127+1</f>
        <v>1810</v>
      </c>
      <c r="C3127" t="s">
        <v>589</v>
      </c>
      <c r="D3127" t="s">
        <v>26</v>
      </c>
      <c r="E3127" s="208" t="s">
        <v>39</v>
      </c>
      <c r="F3127" t="s">
        <v>10</v>
      </c>
      <c r="G3127" s="18">
        <v>17</v>
      </c>
      <c r="H3127" t="s">
        <v>24</v>
      </c>
      <c r="I3127" t="s">
        <v>17</v>
      </c>
    </row>
    <row r="3128" spans="1:9" x14ac:dyDescent="0.25">
      <c r="A3128">
        <v>1809</v>
      </c>
      <c r="B3128">
        <f>A3128+1</f>
        <v>1810</v>
      </c>
      <c r="C3128" t="s">
        <v>589</v>
      </c>
      <c r="D3128" t="s">
        <v>26</v>
      </c>
      <c r="E3128" s="208" t="s">
        <v>99</v>
      </c>
      <c r="F3128" t="s">
        <v>10</v>
      </c>
      <c r="G3128" s="18">
        <v>0</v>
      </c>
      <c r="H3128" t="s">
        <v>24</v>
      </c>
      <c r="I3128" t="s">
        <v>17</v>
      </c>
    </row>
    <row r="3129" spans="1:9" x14ac:dyDescent="0.25">
      <c r="A3129">
        <v>1809</v>
      </c>
      <c r="B3129">
        <f>A3129+1</f>
        <v>1810</v>
      </c>
      <c r="C3129" t="s">
        <v>589</v>
      </c>
      <c r="D3129" t="s">
        <v>26</v>
      </c>
      <c r="E3129" s="208" t="s">
        <v>28</v>
      </c>
      <c r="F3129" t="s">
        <v>10</v>
      </c>
      <c r="G3129" s="18">
        <v>8</v>
      </c>
      <c r="H3129" t="s">
        <v>24</v>
      </c>
      <c r="I3129" t="s">
        <v>17</v>
      </c>
    </row>
    <row r="3130" spans="1:9" x14ac:dyDescent="0.25">
      <c r="A3130">
        <v>1809</v>
      </c>
      <c r="B3130">
        <f>A3130+1</f>
        <v>1810</v>
      </c>
      <c r="C3130" t="s">
        <v>589</v>
      </c>
      <c r="D3130" t="s">
        <v>26</v>
      </c>
      <c r="E3130" s="208" t="s">
        <v>89</v>
      </c>
      <c r="F3130" t="s">
        <v>10</v>
      </c>
      <c r="G3130" s="18">
        <v>0</v>
      </c>
      <c r="H3130" t="s">
        <v>24</v>
      </c>
      <c r="I3130" t="s">
        <v>17</v>
      </c>
    </row>
    <row r="3131" spans="1:9" x14ac:dyDescent="0.25">
      <c r="A3131">
        <v>1809</v>
      </c>
      <c r="B3131">
        <f>A3131+1</f>
        <v>1810</v>
      </c>
      <c r="C3131" t="s">
        <v>589</v>
      </c>
      <c r="D3131" t="s">
        <v>26</v>
      </c>
      <c r="E3131" s="208" t="s">
        <v>45</v>
      </c>
      <c r="F3131" t="s">
        <v>10</v>
      </c>
      <c r="G3131" s="18">
        <v>131</v>
      </c>
      <c r="H3131" t="s">
        <v>24</v>
      </c>
      <c r="I3131" t="s">
        <v>17</v>
      </c>
    </row>
    <row r="3132" spans="1:9" x14ac:dyDescent="0.25">
      <c r="A3132">
        <v>1809</v>
      </c>
      <c r="B3132">
        <f>A3132+1</f>
        <v>1810</v>
      </c>
      <c r="C3132" t="s">
        <v>589</v>
      </c>
      <c r="D3132" t="s">
        <v>26</v>
      </c>
      <c r="E3132" s="208" t="s">
        <v>54</v>
      </c>
      <c r="F3132" t="s">
        <v>10</v>
      </c>
      <c r="G3132" s="18">
        <v>27</v>
      </c>
      <c r="H3132" t="s">
        <v>24</v>
      </c>
      <c r="I3132" t="s">
        <v>17</v>
      </c>
    </row>
    <row r="3133" spans="1:9" x14ac:dyDescent="0.25">
      <c r="A3133">
        <v>1809</v>
      </c>
      <c r="B3133">
        <f>A3133+1</f>
        <v>1810</v>
      </c>
      <c r="C3133" t="s">
        <v>589</v>
      </c>
      <c r="D3133" t="s">
        <v>26</v>
      </c>
      <c r="E3133" s="208" t="s">
        <v>53</v>
      </c>
      <c r="F3133" t="s">
        <v>10</v>
      </c>
      <c r="G3133" s="18">
        <v>51</v>
      </c>
      <c r="H3133" t="s">
        <v>24</v>
      </c>
      <c r="I3133" t="s">
        <v>17</v>
      </c>
    </row>
    <row r="3134" spans="1:9" x14ac:dyDescent="0.25">
      <c r="A3134">
        <v>1809</v>
      </c>
      <c r="B3134">
        <f>A3134+1</f>
        <v>1810</v>
      </c>
      <c r="C3134" t="s">
        <v>589</v>
      </c>
      <c r="D3134" t="s">
        <v>26</v>
      </c>
      <c r="E3134" s="208" t="s">
        <v>75</v>
      </c>
      <c r="F3134" t="s">
        <v>10</v>
      </c>
      <c r="G3134" s="18">
        <v>445629</v>
      </c>
      <c r="H3134" t="s">
        <v>24</v>
      </c>
      <c r="I3134" t="s">
        <v>17</v>
      </c>
    </row>
    <row r="3135" spans="1:9" x14ac:dyDescent="0.25">
      <c r="A3135">
        <v>1809</v>
      </c>
      <c r="B3135">
        <f>A3135+1</f>
        <v>1810</v>
      </c>
      <c r="C3135" t="s">
        <v>589</v>
      </c>
      <c r="D3135" t="s">
        <v>26</v>
      </c>
      <c r="E3135" s="208" t="s">
        <v>107</v>
      </c>
      <c r="F3135" t="s">
        <v>10</v>
      </c>
      <c r="G3135" s="18">
        <v>170601</v>
      </c>
      <c r="H3135" t="s">
        <v>24</v>
      </c>
      <c r="I3135" t="s">
        <v>17</v>
      </c>
    </row>
    <row r="3136" spans="1:9" x14ac:dyDescent="0.25">
      <c r="A3136">
        <v>1809</v>
      </c>
      <c r="B3136">
        <f>A3136+1</f>
        <v>1810</v>
      </c>
      <c r="C3136" t="s">
        <v>589</v>
      </c>
      <c r="D3136" t="s">
        <v>26</v>
      </c>
      <c r="E3136" s="208" t="s">
        <v>101</v>
      </c>
      <c r="F3136" t="s">
        <v>10</v>
      </c>
      <c r="G3136" s="18">
        <v>97500</v>
      </c>
      <c r="H3136" t="s">
        <v>24</v>
      </c>
      <c r="I3136" t="s">
        <v>17</v>
      </c>
    </row>
    <row r="3137" spans="1:9" x14ac:dyDescent="0.25">
      <c r="A3137">
        <v>1809</v>
      </c>
      <c r="B3137">
        <f>A3137+1</f>
        <v>1810</v>
      </c>
      <c r="C3137" t="s">
        <v>589</v>
      </c>
      <c r="D3137" t="s">
        <v>26</v>
      </c>
      <c r="E3137" s="208" t="s">
        <v>330</v>
      </c>
      <c r="F3137" t="s">
        <v>13</v>
      </c>
      <c r="G3137" s="18">
        <v>190</v>
      </c>
      <c r="H3137" t="s">
        <v>25</v>
      </c>
      <c r="I3137" t="s">
        <v>17</v>
      </c>
    </row>
    <row r="3138" spans="1:9" x14ac:dyDescent="0.25">
      <c r="A3138">
        <v>1809</v>
      </c>
      <c r="B3138">
        <f>A3138+1</f>
        <v>1810</v>
      </c>
      <c r="C3138" t="s">
        <v>589</v>
      </c>
      <c r="D3138" t="s">
        <v>26</v>
      </c>
      <c r="E3138" s="208" t="s">
        <v>331</v>
      </c>
      <c r="F3138" t="s">
        <v>13</v>
      </c>
      <c r="G3138" s="18">
        <v>220</v>
      </c>
      <c r="H3138" t="s">
        <v>25</v>
      </c>
      <c r="I3138" t="s">
        <v>17</v>
      </c>
    </row>
    <row r="3139" spans="1:9" x14ac:dyDescent="0.25">
      <c r="A3139">
        <v>1809</v>
      </c>
      <c r="B3139">
        <f>A3139+1</f>
        <v>1810</v>
      </c>
      <c r="C3139" t="s">
        <v>589</v>
      </c>
      <c r="D3139" t="s">
        <v>26</v>
      </c>
      <c r="E3139" s="208" t="s">
        <v>332</v>
      </c>
      <c r="F3139" t="s">
        <v>13</v>
      </c>
      <c r="G3139" s="18">
        <v>13</v>
      </c>
      <c r="H3139" t="s">
        <v>25</v>
      </c>
      <c r="I3139" t="s">
        <v>17</v>
      </c>
    </row>
    <row r="3140" spans="1:9" x14ac:dyDescent="0.25">
      <c r="A3140">
        <v>1809</v>
      </c>
      <c r="B3140">
        <f>A3140+1</f>
        <v>1810</v>
      </c>
      <c r="C3140" t="s">
        <v>589</v>
      </c>
      <c r="D3140" t="s">
        <v>26</v>
      </c>
      <c r="E3140" s="208" t="s">
        <v>333</v>
      </c>
      <c r="F3140" t="s">
        <v>13</v>
      </c>
      <c r="G3140" s="18">
        <v>869</v>
      </c>
      <c r="H3140" t="s">
        <v>25</v>
      </c>
      <c r="I3140" t="s">
        <v>17</v>
      </c>
    </row>
    <row r="3141" spans="1:9" x14ac:dyDescent="0.25">
      <c r="A3141">
        <v>1809</v>
      </c>
      <c r="B3141">
        <f>A3141+1</f>
        <v>1810</v>
      </c>
      <c r="C3141" t="s">
        <v>589</v>
      </c>
      <c r="D3141" t="s">
        <v>27</v>
      </c>
      <c r="E3141" s="208" t="s">
        <v>155</v>
      </c>
      <c r="F3141" t="s">
        <v>8</v>
      </c>
      <c r="G3141" s="18">
        <v>84539</v>
      </c>
      <c r="H3141" t="s">
        <v>17</v>
      </c>
      <c r="I3141" t="s">
        <v>18</v>
      </c>
    </row>
    <row r="3142" spans="1:9" x14ac:dyDescent="0.25">
      <c r="A3142">
        <v>1809</v>
      </c>
      <c r="B3142">
        <f>A3142+1</f>
        <v>1810</v>
      </c>
      <c r="C3142" t="s">
        <v>589</v>
      </c>
      <c r="D3142" t="s">
        <v>27</v>
      </c>
      <c r="E3142" s="208" t="s">
        <v>156</v>
      </c>
      <c r="F3142" t="s">
        <v>8</v>
      </c>
      <c r="G3142" s="18">
        <v>1218</v>
      </c>
      <c r="H3142" t="s">
        <v>17</v>
      </c>
      <c r="I3142" t="s">
        <v>18</v>
      </c>
    </row>
    <row r="3143" spans="1:9" x14ac:dyDescent="0.25">
      <c r="A3143">
        <v>1809</v>
      </c>
      <c r="B3143">
        <f>A3143+1</f>
        <v>1810</v>
      </c>
      <c r="C3143" t="s">
        <v>589</v>
      </c>
      <c r="D3143" t="s">
        <v>27</v>
      </c>
      <c r="E3143" s="208" t="s">
        <v>154</v>
      </c>
      <c r="F3143" t="s">
        <v>8</v>
      </c>
      <c r="G3143" s="18">
        <v>1209</v>
      </c>
      <c r="H3143" t="s">
        <v>17</v>
      </c>
      <c r="I3143" t="s">
        <v>18</v>
      </c>
    </row>
    <row r="3144" spans="1:9" x14ac:dyDescent="0.25">
      <c r="A3144">
        <v>1809</v>
      </c>
      <c r="B3144">
        <f>A3144+1</f>
        <v>1810</v>
      </c>
      <c r="C3144" t="s">
        <v>589</v>
      </c>
      <c r="D3144" t="s">
        <v>27</v>
      </c>
      <c r="E3144" s="208" t="s">
        <v>150</v>
      </c>
      <c r="F3144" t="s">
        <v>8</v>
      </c>
      <c r="G3144" s="18">
        <v>25219</v>
      </c>
      <c r="H3144" t="s">
        <v>17</v>
      </c>
      <c r="I3144" t="s">
        <v>18</v>
      </c>
    </row>
    <row r="3145" spans="1:9" x14ac:dyDescent="0.25">
      <c r="A3145">
        <v>1809</v>
      </c>
      <c r="B3145">
        <f>A3145+1</f>
        <v>1810</v>
      </c>
      <c r="C3145" t="s">
        <v>589</v>
      </c>
      <c r="D3145" t="s">
        <v>27</v>
      </c>
      <c r="E3145" s="208" t="s">
        <v>148</v>
      </c>
      <c r="F3145" t="s">
        <v>8</v>
      </c>
      <c r="G3145" s="18">
        <v>827</v>
      </c>
      <c r="H3145" t="s">
        <v>17</v>
      </c>
      <c r="I3145" t="s">
        <v>18</v>
      </c>
    </row>
    <row r="3146" spans="1:9" x14ac:dyDescent="0.25">
      <c r="A3146">
        <v>1809</v>
      </c>
      <c r="B3146">
        <f>A3146+1</f>
        <v>1810</v>
      </c>
      <c r="C3146" t="s">
        <v>589</v>
      </c>
      <c r="D3146" t="s">
        <v>27</v>
      </c>
      <c r="E3146" s="208" t="s">
        <v>139</v>
      </c>
      <c r="F3146" t="s">
        <v>8</v>
      </c>
      <c r="G3146" s="18">
        <v>14</v>
      </c>
      <c r="H3146" t="s">
        <v>17</v>
      </c>
      <c r="I3146" t="s">
        <v>18</v>
      </c>
    </row>
    <row r="3147" spans="1:9" x14ac:dyDescent="0.25">
      <c r="A3147">
        <v>1809</v>
      </c>
      <c r="B3147">
        <f>A3147+1</f>
        <v>1810</v>
      </c>
      <c r="C3147" t="s">
        <v>589</v>
      </c>
      <c r="D3147" t="s">
        <v>27</v>
      </c>
      <c r="E3147" s="208" t="s">
        <v>130</v>
      </c>
      <c r="F3147" t="s">
        <v>8</v>
      </c>
      <c r="G3147" s="18">
        <v>1416</v>
      </c>
      <c r="H3147" t="s">
        <v>17</v>
      </c>
      <c r="I3147" t="s">
        <v>18</v>
      </c>
    </row>
    <row r="3148" spans="1:9" x14ac:dyDescent="0.25">
      <c r="A3148">
        <v>1809</v>
      </c>
      <c r="B3148">
        <f>A3148+1</f>
        <v>1810</v>
      </c>
      <c r="C3148" t="s">
        <v>589</v>
      </c>
      <c r="D3148" t="s">
        <v>27</v>
      </c>
      <c r="E3148" s="208" t="s">
        <v>132</v>
      </c>
      <c r="F3148" t="s">
        <v>8</v>
      </c>
      <c r="G3148" s="18">
        <v>265</v>
      </c>
      <c r="H3148" t="s">
        <v>17</v>
      </c>
      <c r="I3148" t="s">
        <v>18</v>
      </c>
    </row>
    <row r="3149" spans="1:9" x14ac:dyDescent="0.25">
      <c r="A3149">
        <v>1809</v>
      </c>
      <c r="B3149">
        <f>A3149+1</f>
        <v>1810</v>
      </c>
      <c r="C3149" t="s">
        <v>589</v>
      </c>
      <c r="D3149" t="s">
        <v>27</v>
      </c>
      <c r="E3149" s="208" t="s">
        <v>142</v>
      </c>
      <c r="F3149" t="s">
        <v>8</v>
      </c>
      <c r="G3149" s="18">
        <v>13243</v>
      </c>
      <c r="H3149" t="s">
        <v>17</v>
      </c>
      <c r="I3149" t="s">
        <v>18</v>
      </c>
    </row>
    <row r="3150" spans="1:9" x14ac:dyDescent="0.25">
      <c r="A3150">
        <v>1809</v>
      </c>
      <c r="B3150">
        <f>A3150+1</f>
        <v>1810</v>
      </c>
      <c r="C3150" t="s">
        <v>589</v>
      </c>
      <c r="D3150" t="s">
        <v>27</v>
      </c>
      <c r="E3150" s="208" t="s">
        <v>144</v>
      </c>
      <c r="F3150" t="s">
        <v>8</v>
      </c>
      <c r="G3150" s="18">
        <v>3667</v>
      </c>
      <c r="H3150" t="s">
        <v>17</v>
      </c>
      <c r="I3150" t="s">
        <v>18</v>
      </c>
    </row>
    <row r="3151" spans="1:9" x14ac:dyDescent="0.25">
      <c r="A3151">
        <v>1809</v>
      </c>
      <c r="B3151">
        <f>A3151+1</f>
        <v>1810</v>
      </c>
      <c r="C3151" t="s">
        <v>589</v>
      </c>
      <c r="D3151" t="s">
        <v>27</v>
      </c>
      <c r="E3151" s="208" t="s">
        <v>124</v>
      </c>
      <c r="F3151" t="s">
        <v>8</v>
      </c>
      <c r="G3151" s="18">
        <v>10576581</v>
      </c>
      <c r="H3151" t="s">
        <v>17</v>
      </c>
      <c r="I3151" t="s">
        <v>18</v>
      </c>
    </row>
    <row r="3152" spans="1:9" x14ac:dyDescent="0.25">
      <c r="A3152">
        <v>1809</v>
      </c>
      <c r="B3152">
        <f>A3152+1</f>
        <v>1810</v>
      </c>
      <c r="C3152" t="s">
        <v>589</v>
      </c>
      <c r="D3152" t="s">
        <v>26</v>
      </c>
      <c r="E3152" s="208" t="s">
        <v>65</v>
      </c>
      <c r="F3152" t="s">
        <v>164</v>
      </c>
      <c r="G3152" s="18">
        <v>19052</v>
      </c>
      <c r="H3152" t="s">
        <v>160</v>
      </c>
      <c r="I3152" t="s">
        <v>17</v>
      </c>
    </row>
    <row r="3153" spans="1:9" x14ac:dyDescent="0.25">
      <c r="A3153">
        <v>1809</v>
      </c>
      <c r="B3153">
        <f>A3153+1</f>
        <v>1810</v>
      </c>
      <c r="C3153" t="s">
        <v>589</v>
      </c>
      <c r="D3153" t="s">
        <v>26</v>
      </c>
      <c r="E3153" s="208" t="s">
        <v>88</v>
      </c>
      <c r="F3153" t="s">
        <v>164</v>
      </c>
      <c r="G3153" s="18">
        <v>2782</v>
      </c>
      <c r="H3153" t="s">
        <v>160</v>
      </c>
      <c r="I3153" t="s">
        <v>17</v>
      </c>
    </row>
    <row r="3154" spans="1:9" x14ac:dyDescent="0.25">
      <c r="A3154">
        <v>1809</v>
      </c>
      <c r="B3154">
        <f>A3154+1</f>
        <v>1810</v>
      </c>
      <c r="C3154" t="s">
        <v>589</v>
      </c>
      <c r="D3154" t="s">
        <v>27</v>
      </c>
      <c r="E3154" s="208" t="s">
        <v>155</v>
      </c>
      <c r="F3154" t="s">
        <v>9</v>
      </c>
      <c r="G3154" s="18">
        <v>0</v>
      </c>
      <c r="H3154" t="s">
        <v>17</v>
      </c>
      <c r="I3154" t="s">
        <v>21</v>
      </c>
    </row>
    <row r="3155" spans="1:9" x14ac:dyDescent="0.25">
      <c r="A3155">
        <v>1809</v>
      </c>
      <c r="B3155">
        <f>A3155+1</f>
        <v>1810</v>
      </c>
      <c r="C3155" t="s">
        <v>589</v>
      </c>
      <c r="D3155" t="s">
        <v>27</v>
      </c>
      <c r="E3155" s="208" t="s">
        <v>156</v>
      </c>
      <c r="F3155" t="s">
        <v>9</v>
      </c>
      <c r="G3155" s="18">
        <v>0</v>
      </c>
      <c r="H3155" t="s">
        <v>17</v>
      </c>
      <c r="I3155" t="s">
        <v>21</v>
      </c>
    </row>
    <row r="3156" spans="1:9" x14ac:dyDescent="0.25">
      <c r="A3156">
        <v>1809</v>
      </c>
      <c r="B3156">
        <f>A3156+1</f>
        <v>1810</v>
      </c>
      <c r="C3156" t="s">
        <v>589</v>
      </c>
      <c r="D3156" t="s">
        <v>27</v>
      </c>
      <c r="E3156" s="208" t="s">
        <v>154</v>
      </c>
      <c r="F3156" t="s">
        <v>9</v>
      </c>
      <c r="G3156" s="18">
        <v>0</v>
      </c>
      <c r="H3156" t="s">
        <v>17</v>
      </c>
      <c r="I3156" t="s">
        <v>21</v>
      </c>
    </row>
    <row r="3157" spans="1:9" x14ac:dyDescent="0.25">
      <c r="A3157">
        <v>1809</v>
      </c>
      <c r="B3157">
        <f>A3157+1</f>
        <v>1810</v>
      </c>
      <c r="C3157" t="s">
        <v>589</v>
      </c>
      <c r="D3157" t="s">
        <v>27</v>
      </c>
      <c r="E3157" s="208" t="s">
        <v>150</v>
      </c>
      <c r="F3157" t="s">
        <v>9</v>
      </c>
      <c r="G3157" s="18">
        <v>173</v>
      </c>
      <c r="H3157" t="s">
        <v>17</v>
      </c>
      <c r="I3157" t="s">
        <v>21</v>
      </c>
    </row>
    <row r="3158" spans="1:9" x14ac:dyDescent="0.25">
      <c r="A3158">
        <v>1809</v>
      </c>
      <c r="B3158">
        <f>A3158+1</f>
        <v>1810</v>
      </c>
      <c r="C3158" t="s">
        <v>589</v>
      </c>
      <c r="D3158" t="s">
        <v>27</v>
      </c>
      <c r="E3158" s="208" t="s">
        <v>148</v>
      </c>
      <c r="F3158" t="s">
        <v>9</v>
      </c>
      <c r="G3158" s="18">
        <v>33</v>
      </c>
      <c r="H3158" t="s">
        <v>17</v>
      </c>
      <c r="I3158" t="s">
        <v>21</v>
      </c>
    </row>
    <row r="3159" spans="1:9" x14ac:dyDescent="0.25">
      <c r="A3159">
        <v>1809</v>
      </c>
      <c r="B3159">
        <f>A3159+1</f>
        <v>1810</v>
      </c>
      <c r="C3159" t="s">
        <v>589</v>
      </c>
      <c r="D3159" t="s">
        <v>27</v>
      </c>
      <c r="E3159" s="208" t="s">
        <v>139</v>
      </c>
      <c r="F3159" t="s">
        <v>9</v>
      </c>
      <c r="G3159" s="18">
        <v>0</v>
      </c>
      <c r="H3159" t="s">
        <v>17</v>
      </c>
      <c r="I3159" t="s">
        <v>21</v>
      </c>
    </row>
    <row r="3160" spans="1:9" x14ac:dyDescent="0.25">
      <c r="A3160">
        <v>1809</v>
      </c>
      <c r="B3160">
        <f>A3160+1</f>
        <v>1810</v>
      </c>
      <c r="C3160" t="s">
        <v>589</v>
      </c>
      <c r="D3160" t="s">
        <v>27</v>
      </c>
      <c r="E3160" s="208" t="s">
        <v>130</v>
      </c>
      <c r="F3160" t="s">
        <v>9</v>
      </c>
      <c r="G3160" s="18">
        <v>0</v>
      </c>
      <c r="H3160" t="s">
        <v>17</v>
      </c>
      <c r="I3160" t="s">
        <v>21</v>
      </c>
    </row>
    <row r="3161" spans="1:9" x14ac:dyDescent="0.25">
      <c r="A3161">
        <v>1809</v>
      </c>
      <c r="B3161">
        <f>A3161+1</f>
        <v>1810</v>
      </c>
      <c r="C3161" t="s">
        <v>589</v>
      </c>
      <c r="D3161" t="s">
        <v>27</v>
      </c>
      <c r="E3161" s="208" t="s">
        <v>132</v>
      </c>
      <c r="F3161" t="s">
        <v>9</v>
      </c>
      <c r="G3161" s="18">
        <v>0</v>
      </c>
      <c r="H3161" t="s">
        <v>17</v>
      </c>
      <c r="I3161" t="s">
        <v>21</v>
      </c>
    </row>
    <row r="3162" spans="1:9" x14ac:dyDescent="0.25">
      <c r="A3162">
        <v>1809</v>
      </c>
      <c r="B3162">
        <f>A3162+1</f>
        <v>1810</v>
      </c>
      <c r="C3162" t="s">
        <v>589</v>
      </c>
      <c r="D3162" t="s">
        <v>27</v>
      </c>
      <c r="E3162" s="208" t="s">
        <v>142</v>
      </c>
      <c r="F3162" t="s">
        <v>9</v>
      </c>
      <c r="G3162" s="18">
        <v>0</v>
      </c>
      <c r="H3162" t="s">
        <v>17</v>
      </c>
      <c r="I3162" t="s">
        <v>21</v>
      </c>
    </row>
    <row r="3163" spans="1:9" x14ac:dyDescent="0.25">
      <c r="A3163">
        <v>1809</v>
      </c>
      <c r="B3163">
        <f>A3163+1</f>
        <v>1810</v>
      </c>
      <c r="C3163" t="s">
        <v>589</v>
      </c>
      <c r="D3163" t="s">
        <v>27</v>
      </c>
      <c r="E3163" s="208" t="s">
        <v>144</v>
      </c>
      <c r="F3163" t="s">
        <v>9</v>
      </c>
      <c r="G3163" s="18">
        <v>0</v>
      </c>
      <c r="H3163" t="s">
        <v>17</v>
      </c>
      <c r="I3163" t="s">
        <v>21</v>
      </c>
    </row>
    <row r="3164" spans="1:9" x14ac:dyDescent="0.25">
      <c r="A3164">
        <v>1809</v>
      </c>
      <c r="B3164">
        <f>A3164+1</f>
        <v>1810</v>
      </c>
      <c r="C3164" t="s">
        <v>589</v>
      </c>
      <c r="D3164" t="s">
        <v>27</v>
      </c>
      <c r="E3164" s="208" t="s">
        <v>124</v>
      </c>
      <c r="F3164" t="s">
        <v>9</v>
      </c>
      <c r="G3164" s="18">
        <v>36400</v>
      </c>
      <c r="H3164" t="s">
        <v>17</v>
      </c>
      <c r="I3164" t="s">
        <v>21</v>
      </c>
    </row>
    <row r="3165" spans="1:9" x14ac:dyDescent="0.25">
      <c r="A3165">
        <v>1809</v>
      </c>
      <c r="B3165">
        <f>A3165+1</f>
        <v>1810</v>
      </c>
      <c r="C3165" t="s">
        <v>589</v>
      </c>
      <c r="D3165" t="s">
        <v>27</v>
      </c>
      <c r="E3165" s="208" t="s">
        <v>155</v>
      </c>
      <c r="F3165" t="s">
        <v>13</v>
      </c>
      <c r="G3165" s="18">
        <v>0</v>
      </c>
      <c r="H3165" t="s">
        <v>17</v>
      </c>
      <c r="I3165" t="s">
        <v>25</v>
      </c>
    </row>
    <row r="3166" spans="1:9" x14ac:dyDescent="0.25">
      <c r="A3166">
        <v>1809</v>
      </c>
      <c r="B3166">
        <f>A3166+1</f>
        <v>1810</v>
      </c>
      <c r="C3166" t="s">
        <v>589</v>
      </c>
      <c r="D3166" t="s">
        <v>27</v>
      </c>
      <c r="E3166" s="208" t="s">
        <v>156</v>
      </c>
      <c r="F3166" t="s">
        <v>13</v>
      </c>
      <c r="G3166" s="18">
        <v>0</v>
      </c>
      <c r="H3166" t="s">
        <v>17</v>
      </c>
      <c r="I3166" t="s">
        <v>25</v>
      </c>
    </row>
    <row r="3167" spans="1:9" x14ac:dyDescent="0.25">
      <c r="A3167">
        <v>1809</v>
      </c>
      <c r="B3167">
        <f>A3167+1</f>
        <v>1810</v>
      </c>
      <c r="C3167" t="s">
        <v>589</v>
      </c>
      <c r="D3167" t="s">
        <v>27</v>
      </c>
      <c r="E3167" s="208" t="s">
        <v>154</v>
      </c>
      <c r="F3167" t="s">
        <v>13</v>
      </c>
      <c r="G3167" s="18">
        <v>0</v>
      </c>
      <c r="H3167" t="s">
        <v>17</v>
      </c>
      <c r="I3167" t="s">
        <v>25</v>
      </c>
    </row>
    <row r="3168" spans="1:9" x14ac:dyDescent="0.25">
      <c r="A3168">
        <v>1809</v>
      </c>
      <c r="B3168">
        <f>A3168+1</f>
        <v>1810</v>
      </c>
      <c r="C3168" t="s">
        <v>589</v>
      </c>
      <c r="D3168" t="s">
        <v>27</v>
      </c>
      <c r="E3168" s="208" t="s">
        <v>150</v>
      </c>
      <c r="F3168" t="s">
        <v>13</v>
      </c>
      <c r="G3168" s="18">
        <v>100</v>
      </c>
      <c r="H3168" t="s">
        <v>17</v>
      </c>
      <c r="I3168" t="s">
        <v>25</v>
      </c>
    </row>
    <row r="3169" spans="1:9" x14ac:dyDescent="0.25">
      <c r="A3169">
        <v>1809</v>
      </c>
      <c r="B3169">
        <f>A3169+1</f>
        <v>1810</v>
      </c>
      <c r="C3169" t="s">
        <v>589</v>
      </c>
      <c r="D3169" t="s">
        <v>27</v>
      </c>
      <c r="E3169" s="208" t="s">
        <v>148</v>
      </c>
      <c r="F3169" t="s">
        <v>13</v>
      </c>
      <c r="G3169" s="18">
        <v>4</v>
      </c>
      <c r="H3169" t="s">
        <v>17</v>
      </c>
      <c r="I3169" t="s">
        <v>25</v>
      </c>
    </row>
    <row r="3170" spans="1:9" x14ac:dyDescent="0.25">
      <c r="A3170">
        <v>1809</v>
      </c>
      <c r="B3170">
        <f>A3170+1</f>
        <v>1810</v>
      </c>
      <c r="C3170" t="s">
        <v>589</v>
      </c>
      <c r="D3170" t="s">
        <v>27</v>
      </c>
      <c r="E3170" s="208" t="s">
        <v>139</v>
      </c>
      <c r="F3170" t="s">
        <v>13</v>
      </c>
      <c r="G3170" s="18">
        <v>35</v>
      </c>
      <c r="H3170" t="s">
        <v>17</v>
      </c>
      <c r="I3170" t="s">
        <v>25</v>
      </c>
    </row>
    <row r="3171" spans="1:9" x14ac:dyDescent="0.25">
      <c r="A3171">
        <v>1809</v>
      </c>
      <c r="B3171">
        <f>A3171+1</f>
        <v>1810</v>
      </c>
      <c r="C3171" t="s">
        <v>589</v>
      </c>
      <c r="D3171" t="s">
        <v>27</v>
      </c>
      <c r="E3171" s="208" t="s">
        <v>130</v>
      </c>
      <c r="F3171" t="s">
        <v>13</v>
      </c>
      <c r="G3171" s="18">
        <v>0</v>
      </c>
      <c r="H3171" t="s">
        <v>17</v>
      </c>
      <c r="I3171" t="s">
        <v>25</v>
      </c>
    </row>
    <row r="3172" spans="1:9" x14ac:dyDescent="0.25">
      <c r="A3172">
        <v>1809</v>
      </c>
      <c r="B3172">
        <f>A3172+1</f>
        <v>1810</v>
      </c>
      <c r="C3172" t="s">
        <v>589</v>
      </c>
      <c r="D3172" t="s">
        <v>27</v>
      </c>
      <c r="E3172" s="208" t="s">
        <v>132</v>
      </c>
      <c r="F3172" t="s">
        <v>13</v>
      </c>
      <c r="G3172" s="18">
        <v>0</v>
      </c>
      <c r="H3172" t="s">
        <v>17</v>
      </c>
      <c r="I3172" t="s">
        <v>25</v>
      </c>
    </row>
    <row r="3173" spans="1:9" x14ac:dyDescent="0.25">
      <c r="A3173">
        <v>1809</v>
      </c>
      <c r="B3173">
        <f>A3173+1</f>
        <v>1810</v>
      </c>
      <c r="C3173" t="s">
        <v>589</v>
      </c>
      <c r="D3173" t="s">
        <v>27</v>
      </c>
      <c r="E3173" s="208" t="s">
        <v>142</v>
      </c>
      <c r="F3173" t="s">
        <v>13</v>
      </c>
      <c r="G3173" s="18">
        <v>25</v>
      </c>
      <c r="H3173" t="s">
        <v>17</v>
      </c>
      <c r="I3173" t="s">
        <v>25</v>
      </c>
    </row>
    <row r="3174" spans="1:9" x14ac:dyDescent="0.25">
      <c r="A3174">
        <v>1809</v>
      </c>
      <c r="B3174">
        <f>A3174+1</f>
        <v>1810</v>
      </c>
      <c r="C3174" t="s">
        <v>589</v>
      </c>
      <c r="D3174" t="s">
        <v>27</v>
      </c>
      <c r="E3174" s="208" t="s">
        <v>144</v>
      </c>
      <c r="F3174" t="s">
        <v>13</v>
      </c>
      <c r="G3174" s="18">
        <v>0</v>
      </c>
      <c r="H3174" t="s">
        <v>17</v>
      </c>
      <c r="I3174" t="s">
        <v>25</v>
      </c>
    </row>
    <row r="3175" spans="1:9" x14ac:dyDescent="0.25">
      <c r="A3175">
        <v>1809</v>
      </c>
      <c r="B3175">
        <f>A3175+1</f>
        <v>1810</v>
      </c>
      <c r="C3175" t="s">
        <v>589</v>
      </c>
      <c r="D3175" t="s">
        <v>27</v>
      </c>
      <c r="E3175" s="208" t="s">
        <v>124</v>
      </c>
      <c r="F3175" t="s">
        <v>13</v>
      </c>
      <c r="G3175" s="18">
        <v>0</v>
      </c>
      <c r="H3175" t="s">
        <v>17</v>
      </c>
      <c r="I3175" t="s">
        <v>25</v>
      </c>
    </row>
    <row r="3176" spans="1:9" x14ac:dyDescent="0.25">
      <c r="A3176">
        <v>1809</v>
      </c>
      <c r="B3176">
        <f>A3176+1</f>
        <v>1810</v>
      </c>
      <c r="C3176" t="s">
        <v>589</v>
      </c>
      <c r="D3176" t="s">
        <v>27</v>
      </c>
      <c r="E3176" s="208" t="s">
        <v>155</v>
      </c>
      <c r="F3176" t="s">
        <v>11</v>
      </c>
      <c r="G3176" s="18">
        <v>17</v>
      </c>
      <c r="H3176" t="s">
        <v>17</v>
      </c>
      <c r="I3176" t="s">
        <v>23</v>
      </c>
    </row>
    <row r="3177" spans="1:9" x14ac:dyDescent="0.25">
      <c r="A3177">
        <v>1809</v>
      </c>
      <c r="B3177">
        <f>A3177+1</f>
        <v>1810</v>
      </c>
      <c r="C3177" t="s">
        <v>589</v>
      </c>
      <c r="D3177" t="s">
        <v>27</v>
      </c>
      <c r="E3177" s="208" t="s">
        <v>156</v>
      </c>
      <c r="F3177" t="s">
        <v>11</v>
      </c>
      <c r="G3177" s="18">
        <v>15</v>
      </c>
      <c r="H3177" t="s">
        <v>17</v>
      </c>
      <c r="I3177" t="s">
        <v>23</v>
      </c>
    </row>
    <row r="3178" spans="1:9" x14ac:dyDescent="0.25">
      <c r="A3178">
        <v>1809</v>
      </c>
      <c r="B3178">
        <f>A3178+1</f>
        <v>1810</v>
      </c>
      <c r="C3178" t="s">
        <v>589</v>
      </c>
      <c r="D3178" t="s">
        <v>27</v>
      </c>
      <c r="E3178" s="208" t="s">
        <v>154</v>
      </c>
      <c r="F3178" t="s">
        <v>11</v>
      </c>
      <c r="G3178" s="18">
        <v>6</v>
      </c>
      <c r="H3178" t="s">
        <v>17</v>
      </c>
      <c r="I3178" t="s">
        <v>23</v>
      </c>
    </row>
    <row r="3179" spans="1:9" x14ac:dyDescent="0.25">
      <c r="A3179">
        <v>1809</v>
      </c>
      <c r="B3179">
        <f>A3179+1</f>
        <v>1810</v>
      </c>
      <c r="C3179" t="s">
        <v>589</v>
      </c>
      <c r="D3179" t="s">
        <v>27</v>
      </c>
      <c r="E3179" s="208" t="s">
        <v>150</v>
      </c>
      <c r="F3179" t="s">
        <v>11</v>
      </c>
      <c r="G3179" s="18">
        <v>4244</v>
      </c>
      <c r="H3179" t="s">
        <v>17</v>
      </c>
      <c r="I3179" t="s">
        <v>23</v>
      </c>
    </row>
    <row r="3180" spans="1:9" x14ac:dyDescent="0.25">
      <c r="A3180">
        <v>1809</v>
      </c>
      <c r="B3180">
        <f>A3180+1</f>
        <v>1810</v>
      </c>
      <c r="C3180" t="s">
        <v>589</v>
      </c>
      <c r="D3180" t="s">
        <v>27</v>
      </c>
      <c r="E3180" s="208" t="s">
        <v>148</v>
      </c>
      <c r="F3180" t="s">
        <v>11</v>
      </c>
      <c r="G3180" s="18">
        <v>4</v>
      </c>
      <c r="H3180" t="s">
        <v>17</v>
      </c>
      <c r="I3180" t="s">
        <v>23</v>
      </c>
    </row>
    <row r="3181" spans="1:9" x14ac:dyDescent="0.25">
      <c r="A3181">
        <v>1809</v>
      </c>
      <c r="B3181">
        <f>A3181+1</f>
        <v>1810</v>
      </c>
      <c r="C3181" t="s">
        <v>589</v>
      </c>
      <c r="D3181" t="s">
        <v>27</v>
      </c>
      <c r="E3181" s="208" t="s">
        <v>139</v>
      </c>
      <c r="F3181" t="s">
        <v>11</v>
      </c>
      <c r="G3181" s="18">
        <v>188</v>
      </c>
      <c r="H3181" t="s">
        <v>17</v>
      </c>
      <c r="I3181" t="s">
        <v>23</v>
      </c>
    </row>
    <row r="3182" spans="1:9" x14ac:dyDescent="0.25">
      <c r="A3182">
        <v>1809</v>
      </c>
      <c r="B3182">
        <f>A3182+1</f>
        <v>1810</v>
      </c>
      <c r="C3182" t="s">
        <v>589</v>
      </c>
      <c r="D3182" t="s">
        <v>27</v>
      </c>
      <c r="E3182" s="208" t="s">
        <v>130</v>
      </c>
      <c r="F3182" t="s">
        <v>11</v>
      </c>
      <c r="G3182" s="18">
        <v>6</v>
      </c>
      <c r="H3182" t="s">
        <v>17</v>
      </c>
      <c r="I3182" t="s">
        <v>23</v>
      </c>
    </row>
    <row r="3183" spans="1:9" x14ac:dyDescent="0.25">
      <c r="A3183">
        <v>1809</v>
      </c>
      <c r="B3183">
        <f>A3183+1</f>
        <v>1810</v>
      </c>
      <c r="C3183" t="s">
        <v>589</v>
      </c>
      <c r="D3183" t="s">
        <v>27</v>
      </c>
      <c r="E3183" s="208" t="s">
        <v>132</v>
      </c>
      <c r="F3183" t="s">
        <v>11</v>
      </c>
      <c r="G3183" s="18">
        <v>0</v>
      </c>
      <c r="H3183" t="s">
        <v>17</v>
      </c>
      <c r="I3183" t="s">
        <v>23</v>
      </c>
    </row>
    <row r="3184" spans="1:9" x14ac:dyDescent="0.25">
      <c r="A3184">
        <v>1809</v>
      </c>
      <c r="B3184">
        <f>A3184+1</f>
        <v>1810</v>
      </c>
      <c r="C3184" t="s">
        <v>589</v>
      </c>
      <c r="D3184" t="s">
        <v>27</v>
      </c>
      <c r="E3184" s="208" t="s">
        <v>142</v>
      </c>
      <c r="F3184" t="s">
        <v>11</v>
      </c>
      <c r="G3184" s="18">
        <v>1243</v>
      </c>
      <c r="H3184" t="s">
        <v>17</v>
      </c>
      <c r="I3184" t="s">
        <v>23</v>
      </c>
    </row>
    <row r="3185" spans="1:9" x14ac:dyDescent="0.25">
      <c r="A3185">
        <v>1809</v>
      </c>
      <c r="B3185">
        <f>A3185+1</f>
        <v>1810</v>
      </c>
      <c r="C3185" t="s">
        <v>589</v>
      </c>
      <c r="D3185" t="s">
        <v>27</v>
      </c>
      <c r="E3185" s="208" t="s">
        <v>144</v>
      </c>
      <c r="F3185" t="s">
        <v>11</v>
      </c>
      <c r="G3185" s="18">
        <v>19</v>
      </c>
      <c r="H3185" t="s">
        <v>17</v>
      </c>
      <c r="I3185" t="s">
        <v>23</v>
      </c>
    </row>
    <row r="3186" spans="1:9" x14ac:dyDescent="0.25">
      <c r="A3186">
        <v>1809</v>
      </c>
      <c r="B3186">
        <f>A3186+1</f>
        <v>1810</v>
      </c>
      <c r="C3186" t="s">
        <v>589</v>
      </c>
      <c r="D3186" t="s">
        <v>27</v>
      </c>
      <c r="E3186" s="208" t="s">
        <v>124</v>
      </c>
      <c r="F3186" t="s">
        <v>11</v>
      </c>
      <c r="G3186" s="18">
        <v>14225</v>
      </c>
      <c r="H3186" t="s">
        <v>17</v>
      </c>
      <c r="I3186" t="s">
        <v>23</v>
      </c>
    </row>
    <row r="3187" spans="1:9" x14ac:dyDescent="0.25">
      <c r="A3187">
        <v>1809</v>
      </c>
      <c r="B3187">
        <f>A3187+1</f>
        <v>1810</v>
      </c>
      <c r="C3187" t="s">
        <v>589</v>
      </c>
      <c r="D3187" t="s">
        <v>26</v>
      </c>
      <c r="E3187" s="208" t="s">
        <v>58</v>
      </c>
      <c r="F3187" t="s">
        <v>11</v>
      </c>
      <c r="G3187" s="18">
        <v>6905</v>
      </c>
      <c r="H3187" t="s">
        <v>23</v>
      </c>
      <c r="I3187" t="s">
        <v>17</v>
      </c>
    </row>
    <row r="3188" spans="1:9" x14ac:dyDescent="0.25">
      <c r="A3188">
        <v>1809</v>
      </c>
      <c r="B3188">
        <f>A3188+1</f>
        <v>1810</v>
      </c>
      <c r="C3188" t="s">
        <v>589</v>
      </c>
      <c r="D3188" t="s">
        <v>26</v>
      </c>
      <c r="E3188" s="208" t="s">
        <v>35</v>
      </c>
      <c r="F3188" t="s">
        <v>11</v>
      </c>
      <c r="G3188" s="18">
        <v>0</v>
      </c>
      <c r="H3188" t="s">
        <v>23</v>
      </c>
      <c r="I3188" t="s">
        <v>17</v>
      </c>
    </row>
    <row r="3189" spans="1:9" x14ac:dyDescent="0.25">
      <c r="A3189">
        <v>1809</v>
      </c>
      <c r="B3189">
        <f>A3189+1</f>
        <v>1810</v>
      </c>
      <c r="C3189" t="s">
        <v>589</v>
      </c>
      <c r="D3189" t="s">
        <v>26</v>
      </c>
      <c r="E3189" s="208" t="s">
        <v>36</v>
      </c>
      <c r="F3189" t="s">
        <v>11</v>
      </c>
      <c r="G3189" s="18">
        <v>690</v>
      </c>
      <c r="H3189" t="s">
        <v>23</v>
      </c>
      <c r="I3189" t="s">
        <v>17</v>
      </c>
    </row>
    <row r="3190" spans="1:9" x14ac:dyDescent="0.25">
      <c r="A3190">
        <v>1809</v>
      </c>
      <c r="B3190">
        <f>A3190+1</f>
        <v>1810</v>
      </c>
      <c r="C3190" t="s">
        <v>589</v>
      </c>
      <c r="D3190" t="s">
        <v>26</v>
      </c>
      <c r="E3190" s="208" t="s">
        <v>39</v>
      </c>
      <c r="F3190" t="s">
        <v>11</v>
      </c>
      <c r="G3190" s="18">
        <v>826</v>
      </c>
      <c r="H3190" t="s">
        <v>23</v>
      </c>
      <c r="I3190" t="s">
        <v>17</v>
      </c>
    </row>
    <row r="3191" spans="1:9" x14ac:dyDescent="0.25">
      <c r="A3191">
        <v>1809</v>
      </c>
      <c r="B3191">
        <f>A3191+1</f>
        <v>1810</v>
      </c>
      <c r="C3191" t="s">
        <v>589</v>
      </c>
      <c r="D3191" t="s">
        <v>26</v>
      </c>
      <c r="E3191" s="208" t="s">
        <v>99</v>
      </c>
      <c r="F3191" t="s">
        <v>11</v>
      </c>
      <c r="G3191" s="18">
        <v>614</v>
      </c>
      <c r="H3191" t="s">
        <v>23</v>
      </c>
      <c r="I3191" t="s">
        <v>17</v>
      </c>
    </row>
    <row r="3192" spans="1:9" x14ac:dyDescent="0.25">
      <c r="A3192">
        <v>1809</v>
      </c>
      <c r="B3192">
        <f>A3192+1</f>
        <v>1810</v>
      </c>
      <c r="C3192" t="s">
        <v>589</v>
      </c>
      <c r="D3192" t="s">
        <v>26</v>
      </c>
      <c r="E3192" s="208" t="s">
        <v>351</v>
      </c>
      <c r="F3192" t="s">
        <v>11</v>
      </c>
      <c r="G3192" s="18">
        <v>0</v>
      </c>
      <c r="H3192" t="s">
        <v>23</v>
      </c>
      <c r="I3192" t="s">
        <v>17</v>
      </c>
    </row>
    <row r="3193" spans="1:9" x14ac:dyDescent="0.25">
      <c r="A3193">
        <v>1809</v>
      </c>
      <c r="B3193">
        <f>A3193+1</f>
        <v>1810</v>
      </c>
      <c r="C3193" t="s">
        <v>589</v>
      </c>
      <c r="D3193" t="s">
        <v>26</v>
      </c>
      <c r="E3193" s="208" t="s">
        <v>352</v>
      </c>
      <c r="F3193" t="s">
        <v>11</v>
      </c>
      <c r="G3193" s="18">
        <v>6320</v>
      </c>
      <c r="H3193" t="s">
        <v>23</v>
      </c>
      <c r="I3193" t="s">
        <v>17</v>
      </c>
    </row>
    <row r="3194" spans="1:9" x14ac:dyDescent="0.25">
      <c r="A3194">
        <v>1809</v>
      </c>
      <c r="B3194">
        <f>A3194+1</f>
        <v>1810</v>
      </c>
      <c r="C3194" t="s">
        <v>589</v>
      </c>
      <c r="D3194" t="s">
        <v>26</v>
      </c>
      <c r="E3194" s="208" t="s">
        <v>75</v>
      </c>
      <c r="F3194" t="s">
        <v>11</v>
      </c>
      <c r="G3194" s="18">
        <v>2193435</v>
      </c>
      <c r="H3194" t="s">
        <v>23</v>
      </c>
      <c r="I3194" t="s">
        <v>17</v>
      </c>
    </row>
    <row r="3195" spans="1:9" x14ac:dyDescent="0.25">
      <c r="A3195">
        <v>1809</v>
      </c>
      <c r="B3195">
        <f>A3195+1</f>
        <v>1810</v>
      </c>
      <c r="C3195" t="s">
        <v>589</v>
      </c>
      <c r="D3195" t="s">
        <v>26</v>
      </c>
      <c r="E3195" s="208" t="s">
        <v>107</v>
      </c>
      <c r="F3195" t="s">
        <v>11</v>
      </c>
      <c r="G3195" s="18">
        <v>2013751</v>
      </c>
      <c r="H3195" t="s">
        <v>23</v>
      </c>
      <c r="I3195" t="s">
        <v>17</v>
      </c>
    </row>
    <row r="3196" spans="1:9" x14ac:dyDescent="0.25">
      <c r="A3196">
        <v>1809</v>
      </c>
      <c r="B3196">
        <f>A3196+1</f>
        <v>1810</v>
      </c>
      <c r="C3196" t="s">
        <v>589</v>
      </c>
      <c r="D3196" t="s">
        <v>26</v>
      </c>
      <c r="E3196" s="208" t="s">
        <v>101</v>
      </c>
      <c r="F3196" t="s">
        <v>11</v>
      </c>
      <c r="G3196" s="18">
        <v>1201540</v>
      </c>
      <c r="H3196" t="s">
        <v>23</v>
      </c>
      <c r="I3196" t="s">
        <v>17</v>
      </c>
    </row>
    <row r="3197" spans="1:9" x14ac:dyDescent="0.25">
      <c r="A3197">
        <v>1809</v>
      </c>
      <c r="B3197">
        <f>A3197+1</f>
        <v>1810</v>
      </c>
      <c r="C3197" t="s">
        <v>589</v>
      </c>
      <c r="D3197" t="s">
        <v>27</v>
      </c>
      <c r="E3197" s="208" t="s">
        <v>155</v>
      </c>
      <c r="F3197" t="s">
        <v>14</v>
      </c>
      <c r="G3197" s="18">
        <v>84640</v>
      </c>
      <c r="H3197" t="s">
        <v>17</v>
      </c>
      <c r="I3197" s="151" t="s">
        <v>562</v>
      </c>
    </row>
    <row r="3198" spans="1:9" x14ac:dyDescent="0.25">
      <c r="A3198">
        <v>1809</v>
      </c>
      <c r="B3198">
        <f>A3198+1</f>
        <v>1810</v>
      </c>
      <c r="C3198" t="s">
        <v>589</v>
      </c>
      <c r="D3198" t="s">
        <v>27</v>
      </c>
      <c r="E3198" s="208" t="s">
        <v>156</v>
      </c>
      <c r="F3198" t="s">
        <v>14</v>
      </c>
      <c r="G3198" s="18">
        <v>1258</v>
      </c>
      <c r="H3198" t="s">
        <v>17</v>
      </c>
      <c r="I3198" s="151" t="s">
        <v>562</v>
      </c>
    </row>
    <row r="3199" spans="1:9" x14ac:dyDescent="0.25">
      <c r="A3199">
        <v>1809</v>
      </c>
      <c r="B3199">
        <f>A3199+1</f>
        <v>1810</v>
      </c>
      <c r="C3199" t="s">
        <v>589</v>
      </c>
      <c r="D3199" t="s">
        <v>27</v>
      </c>
      <c r="E3199" s="208" t="s">
        <v>154</v>
      </c>
      <c r="F3199" t="s">
        <v>14</v>
      </c>
      <c r="G3199" s="18">
        <v>1321</v>
      </c>
      <c r="H3199" t="s">
        <v>17</v>
      </c>
      <c r="I3199" s="151" t="s">
        <v>562</v>
      </c>
    </row>
    <row r="3200" spans="1:9" x14ac:dyDescent="0.25">
      <c r="A3200">
        <v>1809</v>
      </c>
      <c r="B3200">
        <f>A3200+1</f>
        <v>1810</v>
      </c>
      <c r="C3200" t="s">
        <v>589</v>
      </c>
      <c r="D3200" t="s">
        <v>27</v>
      </c>
      <c r="E3200" s="208" t="s">
        <v>150</v>
      </c>
      <c r="F3200" t="s">
        <v>14</v>
      </c>
      <c r="G3200" s="18">
        <v>31800</v>
      </c>
      <c r="H3200" t="s">
        <v>17</v>
      </c>
      <c r="I3200" s="151" t="s">
        <v>562</v>
      </c>
    </row>
    <row r="3201" spans="1:9" x14ac:dyDescent="0.25">
      <c r="A3201">
        <v>1809</v>
      </c>
      <c r="B3201">
        <f>A3201+1</f>
        <v>1810</v>
      </c>
      <c r="C3201" t="s">
        <v>589</v>
      </c>
      <c r="D3201" t="s">
        <v>27</v>
      </c>
      <c r="E3201" s="208" t="s">
        <v>148</v>
      </c>
      <c r="F3201" t="s">
        <v>14</v>
      </c>
      <c r="G3201" s="18">
        <v>901</v>
      </c>
      <c r="H3201" t="s">
        <v>17</v>
      </c>
      <c r="I3201" s="151" t="s">
        <v>562</v>
      </c>
    </row>
    <row r="3202" spans="1:9" x14ac:dyDescent="0.25">
      <c r="A3202">
        <v>1809</v>
      </c>
      <c r="B3202">
        <f>A3202+1</f>
        <v>1810</v>
      </c>
      <c r="C3202" t="s">
        <v>589</v>
      </c>
      <c r="D3202" t="s">
        <v>27</v>
      </c>
      <c r="E3202" s="208" t="s">
        <v>314</v>
      </c>
      <c r="F3202" t="s">
        <v>14</v>
      </c>
      <c r="G3202" s="18">
        <v>0</v>
      </c>
      <c r="H3202" t="s">
        <v>17</v>
      </c>
      <c r="I3202" s="151" t="s">
        <v>562</v>
      </c>
    </row>
    <row r="3203" spans="1:9" x14ac:dyDescent="0.25">
      <c r="A3203">
        <v>1809</v>
      </c>
      <c r="B3203">
        <f>A3203+1</f>
        <v>1810</v>
      </c>
      <c r="C3203" t="s">
        <v>589</v>
      </c>
      <c r="D3203" t="s">
        <v>27</v>
      </c>
      <c r="E3203" s="208" t="s">
        <v>149</v>
      </c>
      <c r="F3203" t="s">
        <v>14</v>
      </c>
      <c r="G3203" s="18">
        <v>0</v>
      </c>
      <c r="H3203" t="s">
        <v>17</v>
      </c>
      <c r="I3203" s="151" t="s">
        <v>562</v>
      </c>
    </row>
    <row r="3204" spans="1:9" x14ac:dyDescent="0.25">
      <c r="A3204">
        <v>1809</v>
      </c>
      <c r="B3204">
        <f>A3204+1</f>
        <v>1810</v>
      </c>
      <c r="C3204" t="s">
        <v>589</v>
      </c>
      <c r="D3204" t="s">
        <v>27</v>
      </c>
      <c r="E3204" s="208" t="s">
        <v>139</v>
      </c>
      <c r="F3204" t="s">
        <v>14</v>
      </c>
      <c r="G3204" s="18">
        <v>265</v>
      </c>
      <c r="H3204" t="s">
        <v>17</v>
      </c>
      <c r="I3204" s="151" t="s">
        <v>562</v>
      </c>
    </row>
    <row r="3205" spans="1:9" x14ac:dyDescent="0.25">
      <c r="A3205">
        <v>1809</v>
      </c>
      <c r="B3205">
        <f>A3205+1</f>
        <v>1810</v>
      </c>
      <c r="C3205" t="s">
        <v>589</v>
      </c>
      <c r="D3205" t="s">
        <v>27</v>
      </c>
      <c r="E3205" s="208" t="s">
        <v>130</v>
      </c>
      <c r="F3205" t="s">
        <v>14</v>
      </c>
      <c r="G3205" s="18">
        <v>1422</v>
      </c>
      <c r="H3205" t="s">
        <v>17</v>
      </c>
      <c r="I3205" s="151" t="s">
        <v>562</v>
      </c>
    </row>
    <row r="3206" spans="1:9" x14ac:dyDescent="0.25">
      <c r="A3206">
        <v>1809</v>
      </c>
      <c r="B3206">
        <f>A3206+1</f>
        <v>1810</v>
      </c>
      <c r="C3206" t="s">
        <v>589</v>
      </c>
      <c r="D3206" t="s">
        <v>27</v>
      </c>
      <c r="E3206" s="208" t="s">
        <v>132</v>
      </c>
      <c r="F3206" t="s">
        <v>14</v>
      </c>
      <c r="G3206" s="18">
        <v>265</v>
      </c>
      <c r="H3206" t="s">
        <v>17</v>
      </c>
      <c r="I3206" s="151" t="s">
        <v>562</v>
      </c>
    </row>
    <row r="3207" spans="1:9" x14ac:dyDescent="0.25">
      <c r="A3207">
        <v>1809</v>
      </c>
      <c r="B3207">
        <f>A3207+1</f>
        <v>1810</v>
      </c>
      <c r="C3207" t="s">
        <v>589</v>
      </c>
      <c r="D3207" t="s">
        <v>27</v>
      </c>
      <c r="E3207" s="208" t="s">
        <v>142</v>
      </c>
      <c r="F3207" t="s">
        <v>14</v>
      </c>
      <c r="G3207" s="18">
        <v>14654</v>
      </c>
      <c r="H3207" t="s">
        <v>17</v>
      </c>
      <c r="I3207" s="151" t="s">
        <v>562</v>
      </c>
    </row>
    <row r="3208" spans="1:9" x14ac:dyDescent="0.25">
      <c r="A3208">
        <v>1809</v>
      </c>
      <c r="B3208">
        <f>A3208+1</f>
        <v>1810</v>
      </c>
      <c r="C3208" t="s">
        <v>589</v>
      </c>
      <c r="D3208" t="s">
        <v>27</v>
      </c>
      <c r="E3208" s="208" t="s">
        <v>144</v>
      </c>
      <c r="F3208" t="s">
        <v>14</v>
      </c>
      <c r="G3208" s="18">
        <v>3729</v>
      </c>
      <c r="H3208" t="s">
        <v>17</v>
      </c>
      <c r="I3208" s="151" t="s">
        <v>562</v>
      </c>
    </row>
    <row r="3209" spans="1:9" x14ac:dyDescent="0.25">
      <c r="A3209">
        <v>1809</v>
      </c>
      <c r="B3209">
        <f>A3209+1</f>
        <v>1810</v>
      </c>
      <c r="C3209" t="s">
        <v>589</v>
      </c>
      <c r="D3209" t="s">
        <v>27</v>
      </c>
      <c r="E3209" s="208" t="s">
        <v>124</v>
      </c>
      <c r="F3209" t="s">
        <v>14</v>
      </c>
      <c r="G3209" s="18">
        <v>10931033</v>
      </c>
      <c r="H3209" t="s">
        <v>17</v>
      </c>
      <c r="I3209" s="151" t="s">
        <v>562</v>
      </c>
    </row>
    <row r="3210" spans="1:9" x14ac:dyDescent="0.25">
      <c r="A3210">
        <v>1809</v>
      </c>
      <c r="B3210">
        <f>A3210+1</f>
        <v>1810</v>
      </c>
      <c r="C3210" t="s">
        <v>589</v>
      </c>
      <c r="D3210" t="s">
        <v>26</v>
      </c>
      <c r="E3210" s="208" t="s">
        <v>62</v>
      </c>
      <c r="F3210" t="s">
        <v>14</v>
      </c>
      <c r="G3210" s="18">
        <v>0</v>
      </c>
      <c r="H3210" s="151" t="s">
        <v>563</v>
      </c>
      <c r="I3210" t="s">
        <v>17</v>
      </c>
    </row>
    <row r="3211" spans="1:9" x14ac:dyDescent="0.25">
      <c r="A3211">
        <v>1809</v>
      </c>
      <c r="B3211">
        <f>A3211+1</f>
        <v>1810</v>
      </c>
      <c r="C3211" t="s">
        <v>589</v>
      </c>
      <c r="D3211" t="s">
        <v>26</v>
      </c>
      <c r="E3211" s="208" t="s">
        <v>58</v>
      </c>
      <c r="F3211" t="s">
        <v>14</v>
      </c>
      <c r="G3211" s="18">
        <v>6905</v>
      </c>
      <c r="H3211" s="151" t="s">
        <v>563</v>
      </c>
      <c r="I3211" t="s">
        <v>17</v>
      </c>
    </row>
    <row r="3212" spans="1:9" x14ac:dyDescent="0.25">
      <c r="A3212">
        <v>1809</v>
      </c>
      <c r="B3212">
        <f>A3212+1</f>
        <v>1810</v>
      </c>
      <c r="C3212" t="s">
        <v>589</v>
      </c>
      <c r="D3212" t="s">
        <v>26</v>
      </c>
      <c r="E3212" s="208" t="s">
        <v>57</v>
      </c>
      <c r="F3212" t="s">
        <v>14</v>
      </c>
      <c r="G3212" s="18">
        <v>124</v>
      </c>
      <c r="H3212" s="151" t="s">
        <v>563</v>
      </c>
      <c r="I3212" t="s">
        <v>17</v>
      </c>
    </row>
    <row r="3213" spans="1:9" x14ac:dyDescent="0.25">
      <c r="A3213">
        <v>1809</v>
      </c>
      <c r="B3213">
        <f>A3213+1</f>
        <v>1810</v>
      </c>
      <c r="C3213" t="s">
        <v>589</v>
      </c>
      <c r="D3213" t="s">
        <v>26</v>
      </c>
      <c r="E3213" s="208" t="s">
        <v>35</v>
      </c>
      <c r="F3213" t="s">
        <v>14</v>
      </c>
      <c r="G3213" s="18">
        <v>0</v>
      </c>
      <c r="H3213" s="151" t="s">
        <v>563</v>
      </c>
      <c r="I3213" t="s">
        <v>17</v>
      </c>
    </row>
    <row r="3214" spans="1:9" x14ac:dyDescent="0.25">
      <c r="A3214">
        <v>1809</v>
      </c>
      <c r="B3214">
        <f>A3214+1</f>
        <v>1810</v>
      </c>
      <c r="C3214" t="s">
        <v>589</v>
      </c>
      <c r="D3214" t="s">
        <v>26</v>
      </c>
      <c r="E3214" s="208" t="s">
        <v>36</v>
      </c>
      <c r="F3214" t="s">
        <v>14</v>
      </c>
      <c r="G3214" s="18">
        <v>715</v>
      </c>
      <c r="H3214" s="151" t="s">
        <v>563</v>
      </c>
      <c r="I3214" t="s">
        <v>17</v>
      </c>
    </row>
    <row r="3215" spans="1:9" x14ac:dyDescent="0.25">
      <c r="A3215">
        <v>1809</v>
      </c>
      <c r="B3215">
        <f>A3215+1</f>
        <v>1810</v>
      </c>
      <c r="C3215" t="s">
        <v>589</v>
      </c>
      <c r="D3215" t="s">
        <v>26</v>
      </c>
      <c r="E3215" s="208" t="s">
        <v>39</v>
      </c>
      <c r="F3215" t="s">
        <v>14</v>
      </c>
      <c r="G3215" s="18">
        <v>843</v>
      </c>
      <c r="H3215" s="151" t="s">
        <v>563</v>
      </c>
      <c r="I3215" t="s">
        <v>17</v>
      </c>
    </row>
    <row r="3216" spans="1:9" x14ac:dyDescent="0.25">
      <c r="A3216">
        <v>1809</v>
      </c>
      <c r="B3216">
        <f>A3216+1</f>
        <v>1810</v>
      </c>
      <c r="C3216" t="s">
        <v>589</v>
      </c>
      <c r="D3216" t="s">
        <v>26</v>
      </c>
      <c r="E3216" s="208" t="s">
        <v>94</v>
      </c>
      <c r="F3216" t="s">
        <v>14</v>
      </c>
      <c r="G3216" s="18">
        <v>0</v>
      </c>
      <c r="H3216" s="151" t="s">
        <v>563</v>
      </c>
      <c r="I3216" t="s">
        <v>17</v>
      </c>
    </row>
    <row r="3217" spans="1:9" x14ac:dyDescent="0.25">
      <c r="A3217">
        <v>1809</v>
      </c>
      <c r="B3217">
        <f>A3217+1</f>
        <v>1810</v>
      </c>
      <c r="C3217" t="s">
        <v>589</v>
      </c>
      <c r="D3217" t="s">
        <v>26</v>
      </c>
      <c r="E3217" s="208" t="s">
        <v>99</v>
      </c>
      <c r="F3217" t="s">
        <v>14</v>
      </c>
      <c r="G3217" s="18">
        <v>614</v>
      </c>
      <c r="H3217" s="151" t="s">
        <v>563</v>
      </c>
      <c r="I3217" t="s">
        <v>17</v>
      </c>
    </row>
    <row r="3218" spans="1:9" x14ac:dyDescent="0.25">
      <c r="A3218">
        <v>1809</v>
      </c>
      <c r="B3218">
        <f>A3218+1</f>
        <v>1810</v>
      </c>
      <c r="C3218" t="s">
        <v>589</v>
      </c>
      <c r="D3218" t="s">
        <v>26</v>
      </c>
      <c r="E3218" s="208" t="s">
        <v>28</v>
      </c>
      <c r="F3218" t="s">
        <v>14</v>
      </c>
      <c r="G3218" s="18">
        <v>8</v>
      </c>
      <c r="H3218" s="151" t="s">
        <v>563</v>
      </c>
      <c r="I3218" t="s">
        <v>17</v>
      </c>
    </row>
    <row r="3219" spans="1:9" x14ac:dyDescent="0.25">
      <c r="A3219">
        <v>1809</v>
      </c>
      <c r="B3219">
        <f>A3219+1</f>
        <v>1810</v>
      </c>
      <c r="C3219" t="s">
        <v>589</v>
      </c>
      <c r="D3219" t="s">
        <v>26</v>
      </c>
      <c r="E3219" s="208" t="s">
        <v>89</v>
      </c>
      <c r="F3219" t="s">
        <v>14</v>
      </c>
      <c r="G3219" s="18">
        <v>0</v>
      </c>
      <c r="H3219" s="151" t="s">
        <v>563</v>
      </c>
      <c r="I3219" t="s">
        <v>17</v>
      </c>
    </row>
    <row r="3220" spans="1:9" x14ac:dyDescent="0.25">
      <c r="A3220">
        <v>1809</v>
      </c>
      <c r="B3220">
        <f>A3220+1</f>
        <v>1810</v>
      </c>
      <c r="C3220" t="s">
        <v>589</v>
      </c>
      <c r="D3220" t="s">
        <v>26</v>
      </c>
      <c r="E3220" s="208" t="s">
        <v>45</v>
      </c>
      <c r="F3220" t="s">
        <v>14</v>
      </c>
      <c r="G3220" s="18">
        <v>131</v>
      </c>
      <c r="H3220" s="151" t="s">
        <v>563</v>
      </c>
      <c r="I3220" t="s">
        <v>17</v>
      </c>
    </row>
    <row r="3221" spans="1:9" x14ac:dyDescent="0.25">
      <c r="A3221">
        <v>1809</v>
      </c>
      <c r="B3221">
        <f>A3221+1</f>
        <v>1810</v>
      </c>
      <c r="C3221" t="s">
        <v>589</v>
      </c>
      <c r="D3221" t="s">
        <v>26</v>
      </c>
      <c r="E3221" s="208" t="s">
        <v>54</v>
      </c>
      <c r="F3221" t="s">
        <v>14</v>
      </c>
      <c r="G3221" s="18">
        <v>27</v>
      </c>
      <c r="H3221" s="151" t="s">
        <v>563</v>
      </c>
      <c r="I3221" t="s">
        <v>17</v>
      </c>
    </row>
    <row r="3222" spans="1:9" x14ac:dyDescent="0.25">
      <c r="A3222">
        <v>1809</v>
      </c>
      <c r="B3222">
        <f>A3222+1</f>
        <v>1810</v>
      </c>
      <c r="C3222" t="s">
        <v>589</v>
      </c>
      <c r="D3222" t="s">
        <v>26</v>
      </c>
      <c r="E3222" s="208" t="s">
        <v>53</v>
      </c>
      <c r="F3222" t="s">
        <v>14</v>
      </c>
      <c r="G3222" s="18">
        <v>51</v>
      </c>
      <c r="H3222" s="151" t="s">
        <v>563</v>
      </c>
      <c r="I3222" t="s">
        <v>17</v>
      </c>
    </row>
    <row r="3223" spans="1:9" x14ac:dyDescent="0.25">
      <c r="A3223">
        <v>1809</v>
      </c>
      <c r="B3223">
        <f>A3223+1</f>
        <v>1810</v>
      </c>
      <c r="C3223" t="s">
        <v>589</v>
      </c>
      <c r="D3223" t="s">
        <v>26</v>
      </c>
      <c r="E3223" s="208" t="s">
        <v>351</v>
      </c>
      <c r="F3223" t="s">
        <v>14</v>
      </c>
      <c r="G3223" s="18">
        <v>0</v>
      </c>
      <c r="H3223" s="151" t="s">
        <v>563</v>
      </c>
      <c r="I3223" t="s">
        <v>17</v>
      </c>
    </row>
    <row r="3224" spans="1:9" x14ac:dyDescent="0.25">
      <c r="A3224">
        <v>1809</v>
      </c>
      <c r="B3224">
        <f>A3224+1</f>
        <v>1810</v>
      </c>
      <c r="C3224" t="s">
        <v>589</v>
      </c>
      <c r="D3224" t="s">
        <v>26</v>
      </c>
      <c r="E3224" s="208" t="s">
        <v>367</v>
      </c>
      <c r="F3224" t="s">
        <v>14</v>
      </c>
      <c r="G3224" s="18">
        <v>0</v>
      </c>
      <c r="H3224" s="151" t="s">
        <v>563</v>
      </c>
      <c r="I3224" t="s">
        <v>17</v>
      </c>
    </row>
    <row r="3225" spans="1:9" x14ac:dyDescent="0.25">
      <c r="A3225">
        <v>1809</v>
      </c>
      <c r="B3225">
        <f>A3225+1</f>
        <v>1810</v>
      </c>
      <c r="C3225" t="s">
        <v>589</v>
      </c>
      <c r="D3225" t="s">
        <v>26</v>
      </c>
      <c r="E3225" s="208" t="s">
        <v>352</v>
      </c>
      <c r="F3225" t="s">
        <v>14</v>
      </c>
      <c r="G3225" s="18">
        <v>6320</v>
      </c>
      <c r="H3225" s="151" t="s">
        <v>563</v>
      </c>
      <c r="I3225" t="s">
        <v>17</v>
      </c>
    </row>
    <row r="3226" spans="1:9" x14ac:dyDescent="0.25">
      <c r="A3226">
        <v>1809</v>
      </c>
      <c r="B3226">
        <f>A3226+1</f>
        <v>1810</v>
      </c>
      <c r="C3226" t="s">
        <v>589</v>
      </c>
      <c r="D3226" t="s">
        <v>26</v>
      </c>
      <c r="E3226" s="208" t="s">
        <v>75</v>
      </c>
      <c r="F3226" t="s">
        <v>14</v>
      </c>
      <c r="G3226" s="18">
        <v>2639064</v>
      </c>
      <c r="H3226" s="151" t="s">
        <v>563</v>
      </c>
      <c r="I3226" t="s">
        <v>17</v>
      </c>
    </row>
    <row r="3227" spans="1:9" x14ac:dyDescent="0.25">
      <c r="A3227">
        <v>1809</v>
      </c>
      <c r="B3227">
        <f>A3227+1</f>
        <v>1810</v>
      </c>
      <c r="C3227" t="s">
        <v>589</v>
      </c>
      <c r="D3227" t="s">
        <v>26</v>
      </c>
      <c r="E3227" s="208" t="s">
        <v>107</v>
      </c>
      <c r="F3227" t="s">
        <v>14</v>
      </c>
      <c r="G3227" s="18">
        <v>2184352</v>
      </c>
      <c r="H3227" s="151" t="s">
        <v>563</v>
      </c>
      <c r="I3227" t="s">
        <v>17</v>
      </c>
    </row>
    <row r="3228" spans="1:9" x14ac:dyDescent="0.25">
      <c r="A3228">
        <v>1809</v>
      </c>
      <c r="B3228">
        <f>A3228+1</f>
        <v>1810</v>
      </c>
      <c r="C3228" t="s">
        <v>589</v>
      </c>
      <c r="D3228" t="s">
        <v>26</v>
      </c>
      <c r="E3228" s="208" t="s">
        <v>101</v>
      </c>
      <c r="F3228" t="s">
        <v>14</v>
      </c>
      <c r="G3228" s="18">
        <v>1299040</v>
      </c>
      <c r="H3228" s="151" t="s">
        <v>563</v>
      </c>
      <c r="I3228" t="s">
        <v>17</v>
      </c>
    </row>
    <row r="3229" spans="1:9" x14ac:dyDescent="0.25">
      <c r="A3229">
        <v>1809</v>
      </c>
      <c r="B3229">
        <f>A3229+1</f>
        <v>1810</v>
      </c>
      <c r="C3229" t="s">
        <v>589</v>
      </c>
      <c r="D3229" t="s">
        <v>26</v>
      </c>
      <c r="E3229" s="208" t="s">
        <v>65</v>
      </c>
      <c r="F3229" t="s">
        <v>14</v>
      </c>
      <c r="G3229" s="18">
        <v>19052</v>
      </c>
      <c r="H3229" s="151" t="s">
        <v>563</v>
      </c>
      <c r="I3229" t="s">
        <v>17</v>
      </c>
    </row>
    <row r="3230" spans="1:9" x14ac:dyDescent="0.25">
      <c r="A3230">
        <v>1809</v>
      </c>
      <c r="B3230">
        <f>A3230+1</f>
        <v>1810</v>
      </c>
      <c r="C3230" t="s">
        <v>589</v>
      </c>
      <c r="D3230" t="s">
        <v>26</v>
      </c>
      <c r="E3230" s="208" t="s">
        <v>88</v>
      </c>
      <c r="F3230" t="s">
        <v>14</v>
      </c>
      <c r="G3230" s="18">
        <v>2782</v>
      </c>
      <c r="H3230" s="151" t="s">
        <v>563</v>
      </c>
      <c r="I3230" t="s">
        <v>17</v>
      </c>
    </row>
    <row r="3231" spans="1:9" x14ac:dyDescent="0.25">
      <c r="A3231">
        <v>1809</v>
      </c>
      <c r="B3231">
        <f>A3231+1</f>
        <v>1810</v>
      </c>
      <c r="C3231" t="s">
        <v>589</v>
      </c>
      <c r="D3231" t="s">
        <v>26</v>
      </c>
      <c r="E3231" s="208" t="s">
        <v>330</v>
      </c>
      <c r="F3231" t="s">
        <v>14</v>
      </c>
      <c r="G3231" s="18">
        <v>190</v>
      </c>
      <c r="H3231" s="151" t="s">
        <v>563</v>
      </c>
      <c r="I3231" t="s">
        <v>17</v>
      </c>
    </row>
    <row r="3232" spans="1:9" x14ac:dyDescent="0.25">
      <c r="A3232">
        <v>1809</v>
      </c>
      <c r="B3232">
        <f>A3232+1</f>
        <v>1810</v>
      </c>
      <c r="C3232" t="s">
        <v>589</v>
      </c>
      <c r="D3232" t="s">
        <v>26</v>
      </c>
      <c r="E3232" s="208" t="s">
        <v>331</v>
      </c>
      <c r="F3232" t="s">
        <v>14</v>
      </c>
      <c r="G3232" s="18">
        <v>220</v>
      </c>
      <c r="H3232" s="151" t="s">
        <v>563</v>
      </c>
      <c r="I3232" t="s">
        <v>17</v>
      </c>
    </row>
    <row r="3233" spans="1:9" x14ac:dyDescent="0.25">
      <c r="A3233">
        <v>1809</v>
      </c>
      <c r="B3233">
        <f>A3233+1</f>
        <v>1810</v>
      </c>
      <c r="C3233" t="s">
        <v>589</v>
      </c>
      <c r="D3233" t="s">
        <v>26</v>
      </c>
      <c r="E3233" s="208" t="s">
        <v>332</v>
      </c>
      <c r="F3233" t="s">
        <v>14</v>
      </c>
      <c r="G3233" s="18">
        <v>13</v>
      </c>
      <c r="H3233" s="151" t="s">
        <v>563</v>
      </c>
      <c r="I3233" t="s">
        <v>17</v>
      </c>
    </row>
    <row r="3234" spans="1:9" x14ac:dyDescent="0.25">
      <c r="A3234">
        <v>1809</v>
      </c>
      <c r="B3234">
        <f>A3234+1</f>
        <v>1810</v>
      </c>
      <c r="C3234" t="s">
        <v>589</v>
      </c>
      <c r="D3234" t="s">
        <v>26</v>
      </c>
      <c r="E3234" s="208" t="s">
        <v>333</v>
      </c>
      <c r="F3234" t="s">
        <v>14</v>
      </c>
      <c r="G3234" s="18">
        <v>869</v>
      </c>
      <c r="H3234" s="151" t="s">
        <v>563</v>
      </c>
      <c r="I3234" t="s">
        <v>17</v>
      </c>
    </row>
    <row r="3235" spans="1:9" x14ac:dyDescent="0.25">
      <c r="A3235">
        <v>1809</v>
      </c>
      <c r="B3235">
        <f>A3235+1</f>
        <v>1810</v>
      </c>
      <c r="C3235" t="s">
        <v>589</v>
      </c>
      <c r="D3235" t="s">
        <v>27</v>
      </c>
      <c r="E3235" s="208" t="s">
        <v>155</v>
      </c>
      <c r="F3235" t="s">
        <v>15</v>
      </c>
      <c r="G3235" s="18">
        <v>108703</v>
      </c>
      <c r="H3235" t="s">
        <v>561</v>
      </c>
      <c r="I3235" s="151" t="s">
        <v>562</v>
      </c>
    </row>
    <row r="3236" spans="1:9" x14ac:dyDescent="0.25">
      <c r="A3236">
        <v>1809</v>
      </c>
      <c r="B3236">
        <f>A3236+1</f>
        <v>1810</v>
      </c>
      <c r="C3236" t="s">
        <v>589</v>
      </c>
      <c r="D3236" t="s">
        <v>27</v>
      </c>
      <c r="E3236" s="208" t="s">
        <v>156</v>
      </c>
      <c r="F3236" t="s">
        <v>15</v>
      </c>
      <c r="G3236" s="18">
        <v>4560</v>
      </c>
      <c r="H3236" t="s">
        <v>561</v>
      </c>
      <c r="I3236" s="151" t="s">
        <v>562</v>
      </c>
    </row>
    <row r="3237" spans="1:9" x14ac:dyDescent="0.25">
      <c r="A3237">
        <v>1809</v>
      </c>
      <c r="B3237">
        <f>A3237+1</f>
        <v>1810</v>
      </c>
      <c r="C3237" t="s">
        <v>589</v>
      </c>
      <c r="D3237" t="s">
        <v>27</v>
      </c>
      <c r="E3237" s="208" t="s">
        <v>154</v>
      </c>
      <c r="F3237" t="s">
        <v>15</v>
      </c>
      <c r="G3237" s="18">
        <v>3719</v>
      </c>
      <c r="H3237" t="s">
        <v>561</v>
      </c>
      <c r="I3237" s="151" t="s">
        <v>562</v>
      </c>
    </row>
    <row r="3238" spans="1:9" x14ac:dyDescent="0.25">
      <c r="A3238">
        <v>1809</v>
      </c>
      <c r="B3238">
        <f>A3238+1</f>
        <v>1810</v>
      </c>
      <c r="C3238" t="s">
        <v>589</v>
      </c>
      <c r="D3238" t="s">
        <v>27</v>
      </c>
      <c r="E3238" s="208" t="s">
        <v>150</v>
      </c>
      <c r="F3238" t="s">
        <v>15</v>
      </c>
      <c r="G3238" s="18">
        <v>42353</v>
      </c>
      <c r="H3238" t="s">
        <v>561</v>
      </c>
      <c r="I3238" s="151" t="s">
        <v>562</v>
      </c>
    </row>
    <row r="3239" spans="1:9" x14ac:dyDescent="0.25">
      <c r="A3239">
        <v>1809</v>
      </c>
      <c r="B3239">
        <f>A3239+1</f>
        <v>1810</v>
      </c>
      <c r="C3239" t="s">
        <v>589</v>
      </c>
      <c r="D3239" t="s">
        <v>27</v>
      </c>
      <c r="E3239" s="208" t="s">
        <v>148</v>
      </c>
      <c r="F3239" t="s">
        <v>15</v>
      </c>
      <c r="G3239" s="18">
        <v>1964</v>
      </c>
      <c r="H3239" t="s">
        <v>561</v>
      </c>
      <c r="I3239" s="151" t="s">
        <v>562</v>
      </c>
    </row>
    <row r="3240" spans="1:9" x14ac:dyDescent="0.25">
      <c r="A3240">
        <v>1809</v>
      </c>
      <c r="B3240">
        <f>A3240+1</f>
        <v>1810</v>
      </c>
      <c r="C3240" t="s">
        <v>589</v>
      </c>
      <c r="D3240" t="s">
        <v>27</v>
      </c>
      <c r="E3240" s="208" t="s">
        <v>314</v>
      </c>
      <c r="F3240" t="s">
        <v>15</v>
      </c>
      <c r="G3240" s="18">
        <v>0</v>
      </c>
      <c r="H3240" t="s">
        <v>561</v>
      </c>
      <c r="I3240" s="151" t="s">
        <v>562</v>
      </c>
    </row>
    <row r="3241" spans="1:9" x14ac:dyDescent="0.25">
      <c r="A3241">
        <v>1809</v>
      </c>
      <c r="B3241">
        <f>A3241+1</f>
        <v>1810</v>
      </c>
      <c r="C3241" t="s">
        <v>589</v>
      </c>
      <c r="D3241" t="s">
        <v>27</v>
      </c>
      <c r="E3241" s="208" t="s">
        <v>149</v>
      </c>
      <c r="F3241" t="s">
        <v>15</v>
      </c>
      <c r="G3241" s="18">
        <v>0</v>
      </c>
      <c r="H3241" t="s">
        <v>561</v>
      </c>
      <c r="I3241" s="151" t="s">
        <v>562</v>
      </c>
    </row>
    <row r="3242" spans="1:9" x14ac:dyDescent="0.25">
      <c r="A3242">
        <v>1809</v>
      </c>
      <c r="B3242">
        <f>A3242+1</f>
        <v>1810</v>
      </c>
      <c r="C3242" t="s">
        <v>589</v>
      </c>
      <c r="D3242" t="s">
        <v>27</v>
      </c>
      <c r="E3242" s="208" t="s">
        <v>139</v>
      </c>
      <c r="F3242" t="s">
        <v>15</v>
      </c>
      <c r="G3242" s="18">
        <v>293</v>
      </c>
      <c r="H3242" t="s">
        <v>561</v>
      </c>
      <c r="I3242" s="151" t="s">
        <v>562</v>
      </c>
    </row>
    <row r="3243" spans="1:9" x14ac:dyDescent="0.25">
      <c r="A3243">
        <v>1809</v>
      </c>
      <c r="B3243">
        <f>A3243+1</f>
        <v>1810</v>
      </c>
      <c r="C3243" t="s">
        <v>589</v>
      </c>
      <c r="D3243" t="s">
        <v>27</v>
      </c>
      <c r="E3243" s="208" t="s">
        <v>130</v>
      </c>
      <c r="F3243" t="s">
        <v>15</v>
      </c>
      <c r="G3243" s="18">
        <v>1881</v>
      </c>
      <c r="H3243" t="s">
        <v>561</v>
      </c>
      <c r="I3243" s="151" t="s">
        <v>562</v>
      </c>
    </row>
    <row r="3244" spans="1:9" x14ac:dyDescent="0.25">
      <c r="A3244">
        <v>1809</v>
      </c>
      <c r="B3244">
        <f>A3244+1</f>
        <v>1810</v>
      </c>
      <c r="C3244" t="s">
        <v>589</v>
      </c>
      <c r="D3244" t="s">
        <v>27</v>
      </c>
      <c r="E3244" s="208" t="s">
        <v>132</v>
      </c>
      <c r="F3244" t="s">
        <v>15</v>
      </c>
      <c r="G3244" s="18">
        <v>520</v>
      </c>
      <c r="H3244" t="s">
        <v>561</v>
      </c>
      <c r="I3244" s="151" t="s">
        <v>562</v>
      </c>
    </row>
    <row r="3245" spans="1:9" x14ac:dyDescent="0.25">
      <c r="A3245">
        <v>1809</v>
      </c>
      <c r="B3245">
        <f>A3245+1</f>
        <v>1810</v>
      </c>
      <c r="C3245" t="s">
        <v>589</v>
      </c>
      <c r="D3245" t="s">
        <v>27</v>
      </c>
      <c r="E3245" s="208" t="s">
        <v>142</v>
      </c>
      <c r="F3245" t="s">
        <v>15</v>
      </c>
      <c r="G3245" s="18">
        <v>21163</v>
      </c>
      <c r="H3245" t="s">
        <v>561</v>
      </c>
      <c r="I3245" s="151" t="s">
        <v>562</v>
      </c>
    </row>
    <row r="3246" spans="1:9" x14ac:dyDescent="0.25">
      <c r="A3246">
        <v>1809</v>
      </c>
      <c r="B3246">
        <f>A3246+1</f>
        <v>1810</v>
      </c>
      <c r="C3246" t="s">
        <v>589</v>
      </c>
      <c r="D3246" t="s">
        <v>27</v>
      </c>
      <c r="E3246" s="208" t="s">
        <v>144</v>
      </c>
      <c r="F3246" t="s">
        <v>15</v>
      </c>
      <c r="G3246" s="18">
        <v>4276</v>
      </c>
      <c r="H3246" t="s">
        <v>561</v>
      </c>
      <c r="I3246" s="151" t="s">
        <v>562</v>
      </c>
    </row>
    <row r="3247" spans="1:9" x14ac:dyDescent="0.25">
      <c r="A3247">
        <v>1809</v>
      </c>
      <c r="B3247">
        <f>A3247+1</f>
        <v>1810</v>
      </c>
      <c r="C3247" t="s">
        <v>589</v>
      </c>
      <c r="D3247" t="s">
        <v>27</v>
      </c>
      <c r="E3247" s="208" t="s">
        <v>124</v>
      </c>
      <c r="F3247" t="s">
        <v>15</v>
      </c>
      <c r="G3247" s="18">
        <v>25885285</v>
      </c>
      <c r="H3247" t="s">
        <v>561</v>
      </c>
      <c r="I3247" s="151" t="s">
        <v>562</v>
      </c>
    </row>
    <row r="3248" spans="1:9" x14ac:dyDescent="0.25">
      <c r="A3248">
        <v>1809</v>
      </c>
      <c r="B3248">
        <f>A3248+1</f>
        <v>1810</v>
      </c>
      <c r="C3248" t="s">
        <v>589</v>
      </c>
      <c r="D3248" t="s">
        <v>26</v>
      </c>
      <c r="E3248" s="208" t="s">
        <v>62</v>
      </c>
      <c r="F3248" t="s">
        <v>15</v>
      </c>
      <c r="G3248" s="18">
        <v>0</v>
      </c>
      <c r="H3248" s="151" t="s">
        <v>563</v>
      </c>
      <c r="I3248" t="s">
        <v>561</v>
      </c>
    </row>
    <row r="3249" spans="1:9" x14ac:dyDescent="0.25">
      <c r="A3249">
        <v>1809</v>
      </c>
      <c r="B3249">
        <f>A3249+1</f>
        <v>1810</v>
      </c>
      <c r="C3249" t="s">
        <v>589</v>
      </c>
      <c r="D3249" t="s">
        <v>26</v>
      </c>
      <c r="E3249" s="208" t="s">
        <v>58</v>
      </c>
      <c r="F3249" t="s">
        <v>15</v>
      </c>
      <c r="G3249" s="18">
        <v>43073</v>
      </c>
      <c r="H3249" s="151" t="s">
        <v>563</v>
      </c>
      <c r="I3249" t="s">
        <v>561</v>
      </c>
    </row>
    <row r="3250" spans="1:9" x14ac:dyDescent="0.25">
      <c r="A3250">
        <v>1809</v>
      </c>
      <c r="B3250">
        <f>A3250+1</f>
        <v>1810</v>
      </c>
      <c r="C3250" t="s">
        <v>589</v>
      </c>
      <c r="D3250" t="s">
        <v>26</v>
      </c>
      <c r="E3250" s="208" t="s">
        <v>57</v>
      </c>
      <c r="F3250" t="s">
        <v>15</v>
      </c>
      <c r="G3250" s="18">
        <v>1284</v>
      </c>
      <c r="H3250" s="151" t="s">
        <v>563</v>
      </c>
      <c r="I3250" t="s">
        <v>561</v>
      </c>
    </row>
    <row r="3251" spans="1:9" x14ac:dyDescent="0.25">
      <c r="A3251">
        <v>1809</v>
      </c>
      <c r="B3251">
        <f>A3251+1</f>
        <v>1810</v>
      </c>
      <c r="C3251" t="s">
        <v>589</v>
      </c>
      <c r="D3251" t="s">
        <v>26</v>
      </c>
      <c r="E3251" s="208" t="s">
        <v>35</v>
      </c>
      <c r="F3251" t="s">
        <v>15</v>
      </c>
      <c r="G3251" s="18">
        <v>2606</v>
      </c>
      <c r="H3251" s="151" t="s">
        <v>563</v>
      </c>
      <c r="I3251" t="s">
        <v>561</v>
      </c>
    </row>
    <row r="3252" spans="1:9" x14ac:dyDescent="0.25">
      <c r="A3252">
        <v>1809</v>
      </c>
      <c r="B3252">
        <f>A3252+1</f>
        <v>1810</v>
      </c>
      <c r="C3252" t="s">
        <v>589</v>
      </c>
      <c r="D3252" t="s">
        <v>26</v>
      </c>
      <c r="E3252" s="208" t="s">
        <v>36</v>
      </c>
      <c r="F3252" t="s">
        <v>15</v>
      </c>
      <c r="G3252" s="18">
        <v>2844</v>
      </c>
      <c r="H3252" s="151" t="s">
        <v>563</v>
      </c>
      <c r="I3252" t="s">
        <v>561</v>
      </c>
    </row>
    <row r="3253" spans="1:9" x14ac:dyDescent="0.25">
      <c r="A3253">
        <v>1809</v>
      </c>
      <c r="B3253">
        <f>A3253+1</f>
        <v>1810</v>
      </c>
      <c r="C3253" t="s">
        <v>589</v>
      </c>
      <c r="D3253" t="s">
        <v>26</v>
      </c>
      <c r="E3253" s="208" t="s">
        <v>39</v>
      </c>
      <c r="F3253" t="s">
        <v>15</v>
      </c>
      <c r="G3253" s="18">
        <v>3676</v>
      </c>
      <c r="H3253" s="151" t="s">
        <v>563</v>
      </c>
      <c r="I3253" t="s">
        <v>561</v>
      </c>
    </row>
    <row r="3254" spans="1:9" x14ac:dyDescent="0.25">
      <c r="A3254">
        <v>1809</v>
      </c>
      <c r="B3254">
        <f>A3254+1</f>
        <v>1810</v>
      </c>
      <c r="C3254" t="s">
        <v>589</v>
      </c>
      <c r="D3254" t="s">
        <v>26</v>
      </c>
      <c r="E3254" s="208" t="s">
        <v>94</v>
      </c>
      <c r="F3254" t="s">
        <v>15</v>
      </c>
      <c r="G3254" s="18">
        <v>0</v>
      </c>
      <c r="H3254" s="151" t="s">
        <v>563</v>
      </c>
      <c r="I3254" t="s">
        <v>561</v>
      </c>
    </row>
    <row r="3255" spans="1:9" x14ac:dyDescent="0.25">
      <c r="A3255">
        <v>1809</v>
      </c>
      <c r="B3255">
        <f>A3255+1</f>
        <v>1810</v>
      </c>
      <c r="C3255" t="s">
        <v>589</v>
      </c>
      <c r="D3255" t="s">
        <v>26</v>
      </c>
      <c r="E3255" s="208" t="s">
        <v>99</v>
      </c>
      <c r="F3255" t="s">
        <v>15</v>
      </c>
      <c r="G3255" s="18">
        <v>3425</v>
      </c>
      <c r="H3255" s="151" t="s">
        <v>563</v>
      </c>
      <c r="I3255" t="s">
        <v>561</v>
      </c>
    </row>
    <row r="3256" spans="1:9" x14ac:dyDescent="0.25">
      <c r="A3256">
        <v>1809</v>
      </c>
      <c r="B3256">
        <f>A3256+1</f>
        <v>1810</v>
      </c>
      <c r="C3256" t="s">
        <v>589</v>
      </c>
      <c r="D3256" t="s">
        <v>26</v>
      </c>
      <c r="E3256" s="208" t="s">
        <v>28</v>
      </c>
      <c r="F3256" t="s">
        <v>15</v>
      </c>
      <c r="G3256" s="18">
        <v>44</v>
      </c>
      <c r="H3256" s="151" t="s">
        <v>563</v>
      </c>
      <c r="I3256" t="s">
        <v>561</v>
      </c>
    </row>
    <row r="3257" spans="1:9" x14ac:dyDescent="0.25">
      <c r="A3257">
        <v>1809</v>
      </c>
      <c r="B3257">
        <f>A3257+1</f>
        <v>1810</v>
      </c>
      <c r="C3257" t="s">
        <v>589</v>
      </c>
      <c r="D3257" t="s">
        <v>26</v>
      </c>
      <c r="E3257" s="208" t="s">
        <v>89</v>
      </c>
      <c r="F3257" t="s">
        <v>15</v>
      </c>
      <c r="G3257" s="18">
        <v>214</v>
      </c>
      <c r="H3257" s="151" t="s">
        <v>563</v>
      </c>
      <c r="I3257" t="s">
        <v>561</v>
      </c>
    </row>
    <row r="3258" spans="1:9" x14ac:dyDescent="0.25">
      <c r="A3258">
        <v>1809</v>
      </c>
      <c r="B3258">
        <f>A3258+1</f>
        <v>1810</v>
      </c>
      <c r="C3258" t="s">
        <v>589</v>
      </c>
      <c r="D3258" t="s">
        <v>26</v>
      </c>
      <c r="E3258" s="208" t="s">
        <v>45</v>
      </c>
      <c r="F3258" t="s">
        <v>15</v>
      </c>
      <c r="G3258" s="18">
        <v>179</v>
      </c>
      <c r="H3258" s="151" t="s">
        <v>563</v>
      </c>
      <c r="I3258" t="s">
        <v>561</v>
      </c>
    </row>
    <row r="3259" spans="1:9" x14ac:dyDescent="0.25">
      <c r="A3259">
        <v>1809</v>
      </c>
      <c r="B3259">
        <f>A3259+1</f>
        <v>1810</v>
      </c>
      <c r="C3259" t="s">
        <v>589</v>
      </c>
      <c r="D3259" t="s">
        <v>26</v>
      </c>
      <c r="E3259" s="208" t="s">
        <v>54</v>
      </c>
      <c r="F3259" t="s">
        <v>15</v>
      </c>
      <c r="G3259" s="18">
        <v>27</v>
      </c>
      <c r="H3259" s="151" t="s">
        <v>563</v>
      </c>
      <c r="I3259" t="s">
        <v>561</v>
      </c>
    </row>
    <row r="3260" spans="1:9" x14ac:dyDescent="0.25">
      <c r="A3260">
        <v>1809</v>
      </c>
      <c r="B3260">
        <f>A3260+1</f>
        <v>1810</v>
      </c>
      <c r="C3260" t="s">
        <v>589</v>
      </c>
      <c r="D3260" t="s">
        <v>26</v>
      </c>
      <c r="E3260" s="208" t="s">
        <v>53</v>
      </c>
      <c r="F3260" t="s">
        <v>15</v>
      </c>
      <c r="G3260" s="18">
        <v>59</v>
      </c>
      <c r="H3260" s="151" t="s">
        <v>563</v>
      </c>
      <c r="I3260" t="s">
        <v>561</v>
      </c>
    </row>
    <row r="3261" spans="1:9" x14ac:dyDescent="0.25">
      <c r="A3261">
        <v>1809</v>
      </c>
      <c r="B3261">
        <f>A3261+1</f>
        <v>1810</v>
      </c>
      <c r="C3261" t="s">
        <v>589</v>
      </c>
      <c r="D3261" t="s">
        <v>26</v>
      </c>
      <c r="E3261" s="208" t="s">
        <v>351</v>
      </c>
      <c r="F3261" t="s">
        <v>15</v>
      </c>
      <c r="G3261" s="18">
        <v>719</v>
      </c>
      <c r="H3261" s="151" t="s">
        <v>563</v>
      </c>
      <c r="I3261" t="s">
        <v>561</v>
      </c>
    </row>
    <row r="3262" spans="1:9" x14ac:dyDescent="0.25">
      <c r="A3262">
        <v>1809</v>
      </c>
      <c r="B3262">
        <f>A3262+1</f>
        <v>1810</v>
      </c>
      <c r="C3262" t="s">
        <v>589</v>
      </c>
      <c r="D3262" t="s">
        <v>26</v>
      </c>
      <c r="E3262" s="208" t="s">
        <v>367</v>
      </c>
      <c r="F3262" t="s">
        <v>15</v>
      </c>
      <c r="G3262" s="18">
        <v>160</v>
      </c>
      <c r="H3262" s="151" t="s">
        <v>563</v>
      </c>
      <c r="I3262" t="s">
        <v>561</v>
      </c>
    </row>
    <row r="3263" spans="1:9" x14ac:dyDescent="0.25">
      <c r="A3263">
        <v>1809</v>
      </c>
      <c r="B3263">
        <f>A3263+1</f>
        <v>1810</v>
      </c>
      <c r="C3263" t="s">
        <v>589</v>
      </c>
      <c r="D3263" t="s">
        <v>26</v>
      </c>
      <c r="E3263" s="208" t="s">
        <v>352</v>
      </c>
      <c r="F3263" t="s">
        <v>15</v>
      </c>
      <c r="G3263" s="18">
        <v>15874</v>
      </c>
      <c r="H3263" s="151" t="s">
        <v>563</v>
      </c>
      <c r="I3263" t="s">
        <v>561</v>
      </c>
    </row>
    <row r="3264" spans="1:9" x14ac:dyDescent="0.25">
      <c r="A3264">
        <v>1809</v>
      </c>
      <c r="B3264">
        <f>A3264+1</f>
        <v>1810</v>
      </c>
      <c r="C3264" t="s">
        <v>589</v>
      </c>
      <c r="D3264" t="s">
        <v>26</v>
      </c>
      <c r="E3264" s="208" t="s">
        <v>75</v>
      </c>
      <c r="F3264" t="s">
        <v>15</v>
      </c>
      <c r="G3264" s="18">
        <v>4980681</v>
      </c>
      <c r="H3264" s="151" t="s">
        <v>563</v>
      </c>
      <c r="I3264" t="s">
        <v>561</v>
      </c>
    </row>
    <row r="3265" spans="1:9" x14ac:dyDescent="0.25">
      <c r="A3265">
        <v>1809</v>
      </c>
      <c r="B3265">
        <f>A3265+1</f>
        <v>1810</v>
      </c>
      <c r="C3265" t="s">
        <v>589</v>
      </c>
      <c r="D3265" t="s">
        <v>26</v>
      </c>
      <c r="E3265" s="208" t="s">
        <v>107</v>
      </c>
      <c r="F3265" t="s">
        <v>15</v>
      </c>
      <c r="G3265" s="18">
        <v>4351881</v>
      </c>
      <c r="H3265" s="151" t="s">
        <v>563</v>
      </c>
      <c r="I3265" t="s">
        <v>561</v>
      </c>
    </row>
    <row r="3266" spans="1:9" x14ac:dyDescent="0.25">
      <c r="A3266">
        <v>1809</v>
      </c>
      <c r="B3266">
        <f>A3266+1</f>
        <v>1810</v>
      </c>
      <c r="C3266" t="s">
        <v>589</v>
      </c>
      <c r="D3266" t="s">
        <v>26</v>
      </c>
      <c r="E3266" s="208" t="s">
        <v>101</v>
      </c>
      <c r="F3266" t="s">
        <v>15</v>
      </c>
      <c r="G3266" s="18">
        <v>5459090</v>
      </c>
      <c r="H3266" s="151" t="s">
        <v>563</v>
      </c>
      <c r="I3266" t="s">
        <v>561</v>
      </c>
    </row>
    <row r="3267" spans="1:9" x14ac:dyDescent="0.25">
      <c r="A3267">
        <v>1809</v>
      </c>
      <c r="B3267">
        <f>A3267+1</f>
        <v>1810</v>
      </c>
      <c r="C3267" t="s">
        <v>589</v>
      </c>
      <c r="D3267" t="s">
        <v>26</v>
      </c>
      <c r="E3267" s="208" t="s">
        <v>65</v>
      </c>
      <c r="F3267" t="s">
        <v>15</v>
      </c>
      <c r="G3267" s="18">
        <v>22386</v>
      </c>
      <c r="H3267" s="151" t="s">
        <v>563</v>
      </c>
      <c r="I3267" t="s">
        <v>561</v>
      </c>
    </row>
    <row r="3268" spans="1:9" x14ac:dyDescent="0.25">
      <c r="A3268">
        <v>1809</v>
      </c>
      <c r="B3268">
        <f>A3268+1</f>
        <v>1810</v>
      </c>
      <c r="C3268" t="s">
        <v>589</v>
      </c>
      <c r="D3268" t="s">
        <v>26</v>
      </c>
      <c r="E3268" s="208" t="s">
        <v>88</v>
      </c>
      <c r="F3268" t="s">
        <v>15</v>
      </c>
      <c r="G3268" s="18">
        <v>6631</v>
      </c>
      <c r="H3268" s="151" t="s">
        <v>563</v>
      </c>
      <c r="I3268" t="s">
        <v>561</v>
      </c>
    </row>
    <row r="3269" spans="1:9" x14ac:dyDescent="0.25">
      <c r="A3269">
        <v>1809</v>
      </c>
      <c r="B3269">
        <f>A3269+1</f>
        <v>1810</v>
      </c>
      <c r="C3269" t="s">
        <v>589</v>
      </c>
      <c r="D3269" t="s">
        <v>26</v>
      </c>
      <c r="E3269" s="208" t="s">
        <v>330</v>
      </c>
      <c r="F3269" t="s">
        <v>15</v>
      </c>
      <c r="G3269" s="18">
        <v>1525</v>
      </c>
      <c r="H3269" s="151" t="s">
        <v>563</v>
      </c>
      <c r="I3269" t="s">
        <v>561</v>
      </c>
    </row>
    <row r="3270" spans="1:9" x14ac:dyDescent="0.25">
      <c r="A3270">
        <v>1809</v>
      </c>
      <c r="B3270">
        <f>A3270+1</f>
        <v>1810</v>
      </c>
      <c r="C3270" t="s">
        <v>589</v>
      </c>
      <c r="D3270" t="s">
        <v>26</v>
      </c>
      <c r="E3270" s="208" t="s">
        <v>331</v>
      </c>
      <c r="F3270" t="s">
        <v>15</v>
      </c>
      <c r="G3270" s="18">
        <v>1695</v>
      </c>
      <c r="H3270" s="151" t="s">
        <v>563</v>
      </c>
      <c r="I3270" t="s">
        <v>561</v>
      </c>
    </row>
    <row r="3271" spans="1:9" x14ac:dyDescent="0.25">
      <c r="A3271">
        <v>1809</v>
      </c>
      <c r="B3271">
        <f>A3271+1</f>
        <v>1810</v>
      </c>
      <c r="C3271" t="s">
        <v>589</v>
      </c>
      <c r="D3271" t="s">
        <v>26</v>
      </c>
      <c r="E3271" s="208" t="s">
        <v>332</v>
      </c>
      <c r="F3271" t="s">
        <v>15</v>
      </c>
      <c r="G3271" s="18">
        <v>536</v>
      </c>
      <c r="H3271" s="151" t="s">
        <v>563</v>
      </c>
      <c r="I3271" t="s">
        <v>561</v>
      </c>
    </row>
    <row r="3272" spans="1:9" x14ac:dyDescent="0.25">
      <c r="A3272">
        <v>1809</v>
      </c>
      <c r="B3272">
        <f>A3272+1</f>
        <v>1810</v>
      </c>
      <c r="C3272" t="s">
        <v>589</v>
      </c>
      <c r="D3272" t="s">
        <v>26</v>
      </c>
      <c r="E3272" s="208" t="s">
        <v>333</v>
      </c>
      <c r="F3272" t="s">
        <v>15</v>
      </c>
      <c r="G3272" s="18">
        <v>1124</v>
      </c>
      <c r="H3272" s="151" t="s">
        <v>563</v>
      </c>
      <c r="I3272" t="s">
        <v>561</v>
      </c>
    </row>
    <row r="3273" spans="1:9" x14ac:dyDescent="0.25">
      <c r="A3273">
        <v>1809</v>
      </c>
      <c r="B3273">
        <f>A3273+1</f>
        <v>1810</v>
      </c>
      <c r="C3273" t="s">
        <v>589</v>
      </c>
      <c r="D3273" t="s">
        <v>26</v>
      </c>
      <c r="E3273" s="208" t="s">
        <v>567</v>
      </c>
      <c r="F3273" t="s">
        <v>3</v>
      </c>
      <c r="G3273" s="18">
        <v>19757</v>
      </c>
      <c r="H3273" t="s">
        <v>24</v>
      </c>
      <c r="I3273" t="s">
        <v>16</v>
      </c>
    </row>
    <row r="3274" spans="1:9" x14ac:dyDescent="0.25">
      <c r="A3274">
        <v>1809</v>
      </c>
      <c r="B3274">
        <f>A3274+1</f>
        <v>1810</v>
      </c>
      <c r="C3274" t="s">
        <v>589</v>
      </c>
      <c r="D3274" t="s">
        <v>26</v>
      </c>
      <c r="E3274" s="208" t="s">
        <v>567</v>
      </c>
      <c r="F3274" t="s">
        <v>4</v>
      </c>
      <c r="G3274" s="18">
        <v>1028</v>
      </c>
      <c r="H3274" t="s">
        <v>23</v>
      </c>
      <c r="I3274" t="s">
        <v>16</v>
      </c>
    </row>
    <row r="3275" spans="1:9" x14ac:dyDescent="0.25">
      <c r="A3275">
        <v>1809</v>
      </c>
      <c r="B3275">
        <f>A3275+1</f>
        <v>1810</v>
      </c>
      <c r="C3275" t="s">
        <v>589</v>
      </c>
      <c r="D3275" t="s">
        <v>26</v>
      </c>
      <c r="E3275" s="208" t="s">
        <v>567</v>
      </c>
      <c r="F3275" t="s">
        <v>7</v>
      </c>
      <c r="G3275" s="18">
        <v>20785</v>
      </c>
      <c r="H3275" s="151" t="s">
        <v>563</v>
      </c>
      <c r="I3275" t="s">
        <v>16</v>
      </c>
    </row>
    <row r="3276" spans="1:9" x14ac:dyDescent="0.25">
      <c r="A3276">
        <v>1809</v>
      </c>
      <c r="B3276">
        <f>A3276+1</f>
        <v>1810</v>
      </c>
      <c r="C3276" t="s">
        <v>589</v>
      </c>
      <c r="D3276" t="s">
        <v>26</v>
      </c>
      <c r="E3276" s="208" t="s">
        <v>567</v>
      </c>
      <c r="F3276" t="s">
        <v>10</v>
      </c>
      <c r="G3276" s="18">
        <v>11081</v>
      </c>
      <c r="H3276" t="s">
        <v>24</v>
      </c>
      <c r="I3276" t="s">
        <v>17</v>
      </c>
    </row>
    <row r="3277" spans="1:9" x14ac:dyDescent="0.25">
      <c r="A3277">
        <v>1809</v>
      </c>
      <c r="B3277">
        <f>A3277+1</f>
        <v>1810</v>
      </c>
      <c r="C3277" t="s">
        <v>589</v>
      </c>
      <c r="D3277" t="s">
        <v>26</v>
      </c>
      <c r="E3277" s="208" t="s">
        <v>567</v>
      </c>
      <c r="F3277" t="s">
        <v>11</v>
      </c>
      <c r="G3277" s="18">
        <v>1780</v>
      </c>
      <c r="H3277" t="s">
        <v>23</v>
      </c>
      <c r="I3277" t="s">
        <v>17</v>
      </c>
    </row>
    <row r="3278" spans="1:9" x14ac:dyDescent="0.25">
      <c r="A3278">
        <v>1809</v>
      </c>
      <c r="B3278">
        <f>A3278+1</f>
        <v>1810</v>
      </c>
      <c r="C3278" t="s">
        <v>589</v>
      </c>
      <c r="D3278" t="s">
        <v>26</v>
      </c>
      <c r="E3278" s="208" t="s">
        <v>567</v>
      </c>
      <c r="F3278" t="s">
        <v>14</v>
      </c>
      <c r="G3278" s="18">
        <v>12861</v>
      </c>
      <c r="H3278" s="151" t="s">
        <v>563</v>
      </c>
      <c r="I3278" t="s">
        <v>17</v>
      </c>
    </row>
    <row r="3279" spans="1:9" x14ac:dyDescent="0.25">
      <c r="A3279">
        <v>1809</v>
      </c>
      <c r="B3279">
        <f>A3279+1</f>
        <v>1810</v>
      </c>
      <c r="C3279" t="s">
        <v>589</v>
      </c>
      <c r="D3279" t="s">
        <v>26</v>
      </c>
      <c r="E3279" s="208" t="s">
        <v>567</v>
      </c>
      <c r="F3279" t="s">
        <v>15</v>
      </c>
      <c r="G3279" s="18">
        <v>33646</v>
      </c>
      <c r="H3279" s="151" t="s">
        <v>563</v>
      </c>
      <c r="I3279" t="s">
        <v>561</v>
      </c>
    </row>
    <row r="3280" spans="1:9" x14ac:dyDescent="0.25">
      <c r="A3280">
        <v>1809</v>
      </c>
      <c r="B3280">
        <f>A3280+1</f>
        <v>1810</v>
      </c>
      <c r="C3280" t="s">
        <v>589</v>
      </c>
      <c r="D3280" t="s">
        <v>26</v>
      </c>
      <c r="E3280" s="208" t="s">
        <v>572</v>
      </c>
      <c r="F3280" t="s">
        <v>3</v>
      </c>
      <c r="G3280" s="18">
        <v>2557</v>
      </c>
      <c r="H3280" t="s">
        <v>24</v>
      </c>
      <c r="I3280" t="s">
        <v>16</v>
      </c>
    </row>
    <row r="3281" spans="1:9" x14ac:dyDescent="0.25">
      <c r="A3281">
        <v>1809</v>
      </c>
      <c r="B3281">
        <f>A3281+1</f>
        <v>1810</v>
      </c>
      <c r="C3281" t="s">
        <v>589</v>
      </c>
      <c r="D3281" t="s">
        <v>26</v>
      </c>
      <c r="E3281" s="208" t="s">
        <v>572</v>
      </c>
      <c r="F3281" t="s">
        <v>4</v>
      </c>
      <c r="G3281" s="18">
        <v>691</v>
      </c>
      <c r="H3281" t="s">
        <v>23</v>
      </c>
      <c r="I3281" t="s">
        <v>16</v>
      </c>
    </row>
    <row r="3282" spans="1:9" x14ac:dyDescent="0.25">
      <c r="A3282">
        <v>1809</v>
      </c>
      <c r="B3282">
        <f>A3282+1</f>
        <v>1810</v>
      </c>
      <c r="C3282" t="s">
        <v>589</v>
      </c>
      <c r="D3282" t="s">
        <v>26</v>
      </c>
      <c r="E3282" s="208" t="s">
        <v>572</v>
      </c>
      <c r="F3282" t="s">
        <v>7</v>
      </c>
      <c r="G3282" s="18">
        <v>3248</v>
      </c>
      <c r="H3282" s="151" t="s">
        <v>563</v>
      </c>
      <c r="I3282" t="s">
        <v>16</v>
      </c>
    </row>
    <row r="3283" spans="1:9" x14ac:dyDescent="0.25">
      <c r="A3283">
        <v>1809</v>
      </c>
      <c r="B3283">
        <f>A3283+1</f>
        <v>1810</v>
      </c>
      <c r="C3283" t="s">
        <v>589</v>
      </c>
      <c r="D3283" t="s">
        <v>26</v>
      </c>
      <c r="E3283" s="208" t="s">
        <v>572</v>
      </c>
      <c r="F3283" t="s">
        <v>10</v>
      </c>
      <c r="G3283" s="18">
        <v>929</v>
      </c>
      <c r="H3283" t="s">
        <v>24</v>
      </c>
      <c r="I3283" t="s">
        <v>17</v>
      </c>
    </row>
    <row r="3284" spans="1:9" x14ac:dyDescent="0.25">
      <c r="A3284">
        <v>1809</v>
      </c>
      <c r="B3284">
        <f>A3284+1</f>
        <v>1810</v>
      </c>
      <c r="C3284" t="s">
        <v>589</v>
      </c>
      <c r="D3284" t="s">
        <v>26</v>
      </c>
      <c r="E3284" s="208" t="s">
        <v>572</v>
      </c>
      <c r="F3284" t="s">
        <v>11</v>
      </c>
      <c r="G3284" s="18">
        <v>731</v>
      </c>
      <c r="H3284" t="s">
        <v>23</v>
      </c>
      <c r="I3284" t="s">
        <v>17</v>
      </c>
    </row>
    <row r="3285" spans="1:9" x14ac:dyDescent="0.25">
      <c r="A3285">
        <v>1809</v>
      </c>
      <c r="B3285">
        <f>A3285+1</f>
        <v>1810</v>
      </c>
      <c r="C3285" t="s">
        <v>589</v>
      </c>
      <c r="D3285" t="s">
        <v>26</v>
      </c>
      <c r="E3285" s="208" t="s">
        <v>572</v>
      </c>
      <c r="F3285" t="s">
        <v>14</v>
      </c>
      <c r="G3285" s="18">
        <v>1660</v>
      </c>
      <c r="H3285" s="151" t="s">
        <v>563</v>
      </c>
      <c r="I3285" t="s">
        <v>17</v>
      </c>
    </row>
    <row r="3286" spans="1:9" x14ac:dyDescent="0.25">
      <c r="A3286">
        <v>1809</v>
      </c>
      <c r="B3286">
        <f>A3286+1</f>
        <v>1810</v>
      </c>
      <c r="C3286" t="s">
        <v>589</v>
      </c>
      <c r="D3286" t="s">
        <v>26</v>
      </c>
      <c r="E3286" s="208" t="s">
        <v>572</v>
      </c>
      <c r="F3286" t="s">
        <v>15</v>
      </c>
      <c r="G3286" s="18">
        <v>4908</v>
      </c>
      <c r="H3286" s="151" t="s">
        <v>563</v>
      </c>
      <c r="I3286" t="s">
        <v>561</v>
      </c>
    </row>
    <row r="3287" spans="1:9" x14ac:dyDescent="0.25">
      <c r="A3287">
        <v>1809</v>
      </c>
      <c r="B3287">
        <f>A3287+1</f>
        <v>1810</v>
      </c>
      <c r="C3287" t="s">
        <v>589</v>
      </c>
      <c r="D3287" t="s">
        <v>26</v>
      </c>
      <c r="E3287" s="208" t="s">
        <v>571</v>
      </c>
      <c r="F3287" t="s">
        <v>7</v>
      </c>
      <c r="G3287" s="18">
        <v>0</v>
      </c>
      <c r="H3287" s="151" t="s">
        <v>563</v>
      </c>
      <c r="I3287" t="s">
        <v>16</v>
      </c>
    </row>
    <row r="3288" spans="1:9" x14ac:dyDescent="0.25">
      <c r="A3288">
        <v>1809</v>
      </c>
      <c r="B3288">
        <f>A3288+1</f>
        <v>1810</v>
      </c>
      <c r="C3288" t="s">
        <v>589</v>
      </c>
      <c r="D3288" t="s">
        <v>26</v>
      </c>
      <c r="E3288" s="208" t="s">
        <v>571</v>
      </c>
      <c r="F3288" t="s">
        <v>14</v>
      </c>
      <c r="G3288" s="18">
        <v>0</v>
      </c>
      <c r="H3288" s="151" t="s">
        <v>563</v>
      </c>
      <c r="I3288" t="s">
        <v>17</v>
      </c>
    </row>
    <row r="3289" spans="1:9" x14ac:dyDescent="0.25">
      <c r="A3289">
        <v>1809</v>
      </c>
      <c r="B3289">
        <f>A3289+1</f>
        <v>1810</v>
      </c>
      <c r="C3289" t="s">
        <v>589</v>
      </c>
      <c r="D3289" t="s">
        <v>26</v>
      </c>
      <c r="E3289" s="208" t="s">
        <v>571</v>
      </c>
      <c r="F3289" t="s">
        <v>15</v>
      </c>
      <c r="G3289" s="18">
        <v>0</v>
      </c>
      <c r="H3289" s="151" t="s">
        <v>563</v>
      </c>
      <c r="I3289" t="s">
        <v>561</v>
      </c>
    </row>
    <row r="3290" spans="1:9" x14ac:dyDescent="0.25">
      <c r="A3290">
        <v>1809</v>
      </c>
      <c r="B3290">
        <f>A3290+1</f>
        <v>1810</v>
      </c>
      <c r="C3290" t="s">
        <v>589</v>
      </c>
      <c r="D3290" t="s">
        <v>26</v>
      </c>
      <c r="E3290" s="208" t="s">
        <v>570</v>
      </c>
      <c r="F3290" t="s">
        <v>3</v>
      </c>
      <c r="G3290" s="18">
        <v>2516</v>
      </c>
      <c r="H3290" t="s">
        <v>24</v>
      </c>
      <c r="I3290" t="s">
        <v>16</v>
      </c>
    </row>
    <row r="3291" spans="1:9" x14ac:dyDescent="0.25">
      <c r="A3291">
        <v>1809</v>
      </c>
      <c r="B3291">
        <f>A3291+1</f>
        <v>1810</v>
      </c>
      <c r="C3291" t="s">
        <v>589</v>
      </c>
      <c r="D3291" t="s">
        <v>26</v>
      </c>
      <c r="E3291" s="208" t="s">
        <v>570</v>
      </c>
      <c r="F3291" t="s">
        <v>4</v>
      </c>
      <c r="G3291" s="18">
        <v>42</v>
      </c>
      <c r="H3291" t="s">
        <v>23</v>
      </c>
      <c r="I3291" t="s">
        <v>16</v>
      </c>
    </row>
    <row r="3292" spans="1:9" x14ac:dyDescent="0.25">
      <c r="A3292">
        <v>1809</v>
      </c>
      <c r="B3292">
        <f>A3292+1</f>
        <v>1810</v>
      </c>
      <c r="C3292" t="s">
        <v>589</v>
      </c>
      <c r="D3292" t="s">
        <v>26</v>
      </c>
      <c r="E3292" s="208" t="s">
        <v>570</v>
      </c>
      <c r="F3292" t="s">
        <v>7</v>
      </c>
      <c r="G3292" s="18">
        <v>2558</v>
      </c>
      <c r="H3292" s="151" t="s">
        <v>563</v>
      </c>
      <c r="I3292" t="s">
        <v>16</v>
      </c>
    </row>
    <row r="3293" spans="1:9" x14ac:dyDescent="0.25">
      <c r="A3293">
        <v>1809</v>
      </c>
      <c r="B3293">
        <f>A3293+1</f>
        <v>1810</v>
      </c>
      <c r="C3293" t="s">
        <v>589</v>
      </c>
      <c r="D3293" t="s">
        <v>26</v>
      </c>
      <c r="E3293" s="208" t="s">
        <v>570</v>
      </c>
      <c r="F3293" t="s">
        <v>10</v>
      </c>
      <c r="G3293" s="18">
        <v>924</v>
      </c>
      <c r="H3293" t="s">
        <v>24</v>
      </c>
      <c r="I3293" t="s">
        <v>17</v>
      </c>
    </row>
    <row r="3294" spans="1:9" x14ac:dyDescent="0.25">
      <c r="A3294">
        <v>1809</v>
      </c>
      <c r="B3294">
        <f>A3294+1</f>
        <v>1810</v>
      </c>
      <c r="C3294" t="s">
        <v>589</v>
      </c>
      <c r="D3294" t="s">
        <v>26</v>
      </c>
      <c r="E3294" s="208" t="s">
        <v>570</v>
      </c>
      <c r="F3294" t="s">
        <v>11</v>
      </c>
      <c r="G3294" s="18">
        <v>361</v>
      </c>
      <c r="H3294" t="s">
        <v>23</v>
      </c>
      <c r="I3294" t="s">
        <v>17</v>
      </c>
    </row>
    <row r="3295" spans="1:9" x14ac:dyDescent="0.25">
      <c r="A3295">
        <v>1809</v>
      </c>
      <c r="B3295">
        <f>A3295+1</f>
        <v>1810</v>
      </c>
      <c r="C3295" t="s">
        <v>589</v>
      </c>
      <c r="D3295" t="s">
        <v>26</v>
      </c>
      <c r="E3295" s="208" t="s">
        <v>570</v>
      </c>
      <c r="F3295" t="s">
        <v>14</v>
      </c>
      <c r="G3295" s="18">
        <v>1285</v>
      </c>
      <c r="H3295" s="151" t="s">
        <v>563</v>
      </c>
      <c r="I3295" t="s">
        <v>17</v>
      </c>
    </row>
    <row r="3296" spans="1:9" x14ac:dyDescent="0.25">
      <c r="A3296">
        <v>1809</v>
      </c>
      <c r="B3296">
        <f>A3296+1</f>
        <v>1810</v>
      </c>
      <c r="C3296" t="s">
        <v>589</v>
      </c>
      <c r="D3296" t="s">
        <v>26</v>
      </c>
      <c r="E3296" s="208" t="s">
        <v>570</v>
      </c>
      <c r="F3296" t="s">
        <v>15</v>
      </c>
      <c r="G3296" s="18">
        <v>3843</v>
      </c>
      <c r="H3296" s="151" t="s">
        <v>563</v>
      </c>
      <c r="I3296" t="s">
        <v>561</v>
      </c>
    </row>
    <row r="3297" spans="1:9" x14ac:dyDescent="0.25">
      <c r="A3297">
        <v>1809</v>
      </c>
      <c r="B3297">
        <f>A3297+1</f>
        <v>1810</v>
      </c>
      <c r="C3297" t="s">
        <v>589</v>
      </c>
      <c r="D3297" t="s">
        <v>26</v>
      </c>
      <c r="E3297" s="208" t="s">
        <v>569</v>
      </c>
      <c r="F3297" t="s">
        <v>3</v>
      </c>
      <c r="G3297" s="18">
        <v>911</v>
      </c>
      <c r="H3297" t="s">
        <v>24</v>
      </c>
      <c r="I3297" t="s">
        <v>16</v>
      </c>
    </row>
    <row r="3298" spans="1:9" x14ac:dyDescent="0.25">
      <c r="A3298">
        <v>1809</v>
      </c>
      <c r="B3298">
        <f>A3298+1</f>
        <v>1810</v>
      </c>
      <c r="C3298" t="s">
        <v>589</v>
      </c>
      <c r="D3298" t="s">
        <v>26</v>
      </c>
      <c r="E3298" s="208" t="s">
        <v>569</v>
      </c>
      <c r="F3298" t="s">
        <v>4</v>
      </c>
      <c r="G3298" s="18">
        <v>188</v>
      </c>
      <c r="H3298" t="s">
        <v>23</v>
      </c>
      <c r="I3298" t="s">
        <v>16</v>
      </c>
    </row>
    <row r="3299" spans="1:9" x14ac:dyDescent="0.25">
      <c r="A3299">
        <v>1809</v>
      </c>
      <c r="B3299">
        <f>A3299+1</f>
        <v>1810</v>
      </c>
      <c r="C3299" t="s">
        <v>589</v>
      </c>
      <c r="D3299" t="s">
        <v>26</v>
      </c>
      <c r="E3299" s="208" t="s">
        <v>569</v>
      </c>
      <c r="F3299" t="s">
        <v>7</v>
      </c>
      <c r="G3299" s="18">
        <v>1099</v>
      </c>
      <c r="H3299" s="151" t="s">
        <v>563</v>
      </c>
      <c r="I3299" t="s">
        <v>16</v>
      </c>
    </row>
    <row r="3300" spans="1:9" x14ac:dyDescent="0.25">
      <c r="A3300">
        <v>1809</v>
      </c>
      <c r="B3300">
        <f>A3300+1</f>
        <v>1810</v>
      </c>
      <c r="C3300" t="s">
        <v>589</v>
      </c>
      <c r="D3300" t="s">
        <v>26</v>
      </c>
      <c r="E3300" s="208" t="s">
        <v>569</v>
      </c>
      <c r="F3300" t="s">
        <v>10</v>
      </c>
      <c r="G3300" s="18">
        <v>664</v>
      </c>
      <c r="H3300" t="s">
        <v>24</v>
      </c>
      <c r="I3300" t="s">
        <v>17</v>
      </c>
    </row>
    <row r="3301" spans="1:9" x14ac:dyDescent="0.25">
      <c r="A3301">
        <v>1809</v>
      </c>
      <c r="B3301">
        <f>A3301+1</f>
        <v>1810</v>
      </c>
      <c r="C3301" t="s">
        <v>589</v>
      </c>
      <c r="D3301" t="s">
        <v>26</v>
      </c>
      <c r="E3301" s="208" t="s">
        <v>569</v>
      </c>
      <c r="F3301" t="s">
        <v>11</v>
      </c>
      <c r="G3301" s="18">
        <v>513</v>
      </c>
      <c r="H3301" t="s">
        <v>23</v>
      </c>
      <c r="I3301" t="s">
        <v>17</v>
      </c>
    </row>
    <row r="3302" spans="1:9" x14ac:dyDescent="0.25">
      <c r="A3302">
        <v>1809</v>
      </c>
      <c r="B3302">
        <f>A3302+1</f>
        <v>1810</v>
      </c>
      <c r="C3302" t="s">
        <v>589</v>
      </c>
      <c r="D3302" t="s">
        <v>26</v>
      </c>
      <c r="E3302" s="208" t="s">
        <v>569</v>
      </c>
      <c r="F3302" t="s">
        <v>14</v>
      </c>
      <c r="G3302" s="18">
        <v>1177</v>
      </c>
      <c r="H3302" s="151" t="s">
        <v>563</v>
      </c>
      <c r="I3302" t="s">
        <v>17</v>
      </c>
    </row>
    <row r="3303" spans="1:9" x14ac:dyDescent="0.25">
      <c r="A3303">
        <v>1809</v>
      </c>
      <c r="B3303">
        <f>A3303+1</f>
        <v>1810</v>
      </c>
      <c r="C3303" t="s">
        <v>589</v>
      </c>
      <c r="D3303" t="s">
        <v>26</v>
      </c>
      <c r="E3303" s="208" t="s">
        <v>569</v>
      </c>
      <c r="F3303" t="s">
        <v>15</v>
      </c>
      <c r="G3303" s="18">
        <v>2276</v>
      </c>
      <c r="H3303" s="151" t="s">
        <v>563</v>
      </c>
      <c r="I3303" t="s">
        <v>561</v>
      </c>
    </row>
    <row r="3304" spans="1:9" x14ac:dyDescent="0.25">
      <c r="A3304">
        <v>1809</v>
      </c>
      <c r="B3304">
        <f>A3304+1</f>
        <v>1810</v>
      </c>
      <c r="C3304" t="s">
        <v>589</v>
      </c>
      <c r="D3304" t="s">
        <v>26</v>
      </c>
      <c r="E3304" s="208" t="s">
        <v>573</v>
      </c>
      <c r="F3304" t="s">
        <v>3</v>
      </c>
      <c r="G3304" s="18">
        <v>15089</v>
      </c>
      <c r="H3304" t="s">
        <v>24</v>
      </c>
      <c r="I3304" t="s">
        <v>16</v>
      </c>
    </row>
    <row r="3305" spans="1:9" x14ac:dyDescent="0.25">
      <c r="A3305">
        <v>1809</v>
      </c>
      <c r="B3305">
        <f>A3305+1</f>
        <v>1810</v>
      </c>
      <c r="C3305" t="s">
        <v>589</v>
      </c>
      <c r="D3305" t="s">
        <v>26</v>
      </c>
      <c r="E3305" s="208" t="s">
        <v>573</v>
      </c>
      <c r="F3305" t="s">
        <v>4</v>
      </c>
      <c r="G3305" s="18">
        <v>6</v>
      </c>
      <c r="H3305" t="s">
        <v>23</v>
      </c>
      <c r="I3305" t="s">
        <v>16</v>
      </c>
    </row>
    <row r="3306" spans="1:9" x14ac:dyDescent="0.25">
      <c r="A3306">
        <v>1809</v>
      </c>
      <c r="B3306">
        <f>A3306+1</f>
        <v>1810</v>
      </c>
      <c r="C3306" t="s">
        <v>589</v>
      </c>
      <c r="D3306" t="s">
        <v>26</v>
      </c>
      <c r="E3306" s="208" t="s">
        <v>573</v>
      </c>
      <c r="F3306" t="s">
        <v>7</v>
      </c>
      <c r="G3306" s="18">
        <v>15095</v>
      </c>
      <c r="H3306" s="151" t="s">
        <v>563</v>
      </c>
      <c r="I3306" t="s">
        <v>16</v>
      </c>
    </row>
    <row r="3307" spans="1:9" x14ac:dyDescent="0.25">
      <c r="A3307">
        <v>1809</v>
      </c>
      <c r="B3307">
        <f>A3307+1</f>
        <v>1810</v>
      </c>
      <c r="C3307" t="s">
        <v>589</v>
      </c>
      <c r="D3307" t="s">
        <v>26</v>
      </c>
      <c r="E3307" s="208" t="s">
        <v>573</v>
      </c>
      <c r="F3307" t="s">
        <v>10</v>
      </c>
      <c r="G3307" s="18">
        <v>4941</v>
      </c>
      <c r="H3307" t="s">
        <v>24</v>
      </c>
      <c r="I3307" t="s">
        <v>17</v>
      </c>
    </row>
    <row r="3308" spans="1:9" x14ac:dyDescent="0.25">
      <c r="A3308">
        <v>1809</v>
      </c>
      <c r="B3308">
        <f>A3308+1</f>
        <v>1810</v>
      </c>
      <c r="C3308" t="s">
        <v>589</v>
      </c>
      <c r="D3308" t="s">
        <v>26</v>
      </c>
      <c r="E3308" s="208" t="s">
        <v>573</v>
      </c>
      <c r="F3308" t="s">
        <v>11</v>
      </c>
      <c r="G3308" s="18">
        <v>111</v>
      </c>
      <c r="H3308" t="s">
        <v>23</v>
      </c>
      <c r="I3308" t="s">
        <v>17</v>
      </c>
    </row>
    <row r="3309" spans="1:9" x14ac:dyDescent="0.25">
      <c r="A3309">
        <v>1809</v>
      </c>
      <c r="B3309">
        <f>A3309+1</f>
        <v>1810</v>
      </c>
      <c r="C3309" t="s">
        <v>589</v>
      </c>
      <c r="D3309" t="s">
        <v>26</v>
      </c>
      <c r="E3309" s="208" t="s">
        <v>573</v>
      </c>
      <c r="F3309" t="s">
        <v>14</v>
      </c>
      <c r="G3309" s="18">
        <v>5052</v>
      </c>
      <c r="H3309" s="151" t="s">
        <v>563</v>
      </c>
      <c r="I3309" t="s">
        <v>17</v>
      </c>
    </row>
    <row r="3310" spans="1:9" x14ac:dyDescent="0.25">
      <c r="A3310">
        <v>1809</v>
      </c>
      <c r="B3310">
        <f>A3310+1</f>
        <v>1810</v>
      </c>
      <c r="C3310" t="s">
        <v>589</v>
      </c>
      <c r="D3310" t="s">
        <v>26</v>
      </c>
      <c r="E3310" s="208" t="s">
        <v>573</v>
      </c>
      <c r="F3310" t="s">
        <v>15</v>
      </c>
      <c r="G3310" s="18">
        <v>20147</v>
      </c>
      <c r="H3310" s="151" t="s">
        <v>563</v>
      </c>
      <c r="I3310" t="s">
        <v>561</v>
      </c>
    </row>
    <row r="3311" spans="1:9" x14ac:dyDescent="0.25">
      <c r="A3311">
        <v>1810</v>
      </c>
      <c r="B3311">
        <f>A3311+1</f>
        <v>1811</v>
      </c>
      <c r="C3311" t="s">
        <v>516</v>
      </c>
      <c r="D3311" t="s">
        <v>27</v>
      </c>
      <c r="E3311" s="208" t="s">
        <v>155</v>
      </c>
      <c r="F3311" t="s">
        <v>3</v>
      </c>
      <c r="G3311" s="18">
        <v>112</v>
      </c>
      <c r="H3311" t="s">
        <v>16</v>
      </c>
      <c r="I3311" t="s">
        <v>24</v>
      </c>
    </row>
    <row r="3312" spans="1:9" x14ac:dyDescent="0.25">
      <c r="A3312">
        <v>1810</v>
      </c>
      <c r="B3312">
        <f>A3312+1</f>
        <v>1811</v>
      </c>
      <c r="C3312" t="s">
        <v>516</v>
      </c>
      <c r="D3312" t="s">
        <v>27</v>
      </c>
      <c r="E3312" s="208" t="s">
        <v>156</v>
      </c>
      <c r="F3312" t="s">
        <v>3</v>
      </c>
      <c r="G3312" s="18">
        <v>37</v>
      </c>
      <c r="H3312" t="s">
        <v>16</v>
      </c>
      <c r="I3312" t="s">
        <v>24</v>
      </c>
    </row>
    <row r="3313" spans="1:9" x14ac:dyDescent="0.25">
      <c r="A3313">
        <v>1810</v>
      </c>
      <c r="B3313">
        <f>A3313+1</f>
        <v>1811</v>
      </c>
      <c r="C3313" t="s">
        <v>516</v>
      </c>
      <c r="D3313" t="s">
        <v>27</v>
      </c>
      <c r="E3313" s="208" t="s">
        <v>154</v>
      </c>
      <c r="F3313" t="s">
        <v>3</v>
      </c>
      <c r="G3313" s="18">
        <v>827</v>
      </c>
      <c r="H3313" t="s">
        <v>16</v>
      </c>
      <c r="I3313" t="s">
        <v>24</v>
      </c>
    </row>
    <row r="3314" spans="1:9" x14ac:dyDescent="0.25">
      <c r="A3314">
        <v>1810</v>
      </c>
      <c r="B3314">
        <f>A3314+1</f>
        <v>1811</v>
      </c>
      <c r="C3314" t="s">
        <v>516</v>
      </c>
      <c r="D3314" t="s">
        <v>27</v>
      </c>
      <c r="E3314" s="208" t="s">
        <v>150</v>
      </c>
      <c r="F3314" t="s">
        <v>3</v>
      </c>
      <c r="G3314" s="18">
        <v>3074</v>
      </c>
      <c r="H3314" t="s">
        <v>16</v>
      </c>
      <c r="I3314" t="s">
        <v>24</v>
      </c>
    </row>
    <row r="3315" spans="1:9" x14ac:dyDescent="0.25">
      <c r="A3315">
        <v>1810</v>
      </c>
      <c r="B3315">
        <f>A3315+1</f>
        <v>1811</v>
      </c>
      <c r="C3315" t="s">
        <v>516</v>
      </c>
      <c r="D3315" t="s">
        <v>27</v>
      </c>
      <c r="E3315" s="208" t="s">
        <v>148</v>
      </c>
      <c r="F3315" t="s">
        <v>3</v>
      </c>
      <c r="G3315" s="18">
        <v>199</v>
      </c>
      <c r="H3315" t="s">
        <v>16</v>
      </c>
      <c r="I3315" t="s">
        <v>24</v>
      </c>
    </row>
    <row r="3316" spans="1:9" x14ac:dyDescent="0.25">
      <c r="A3316">
        <v>1810</v>
      </c>
      <c r="B3316">
        <f>A3316+1</f>
        <v>1811</v>
      </c>
      <c r="C3316" t="s">
        <v>516</v>
      </c>
      <c r="D3316" t="s">
        <v>27</v>
      </c>
      <c r="E3316" s="208" t="s">
        <v>139</v>
      </c>
      <c r="F3316" t="s">
        <v>3</v>
      </c>
      <c r="G3316" s="18">
        <v>58</v>
      </c>
      <c r="H3316" t="s">
        <v>16</v>
      </c>
      <c r="I3316" t="s">
        <v>24</v>
      </c>
    </row>
    <row r="3317" spans="1:9" x14ac:dyDescent="0.25">
      <c r="A3317">
        <v>1810</v>
      </c>
      <c r="B3317">
        <f>A3317+1</f>
        <v>1811</v>
      </c>
      <c r="C3317" t="s">
        <v>516</v>
      </c>
      <c r="D3317" t="s">
        <v>27</v>
      </c>
      <c r="E3317" s="208" t="s">
        <v>130</v>
      </c>
      <c r="F3317" t="s">
        <v>3</v>
      </c>
      <c r="G3317" s="18">
        <v>0</v>
      </c>
      <c r="H3317" t="s">
        <v>16</v>
      </c>
      <c r="I3317" t="s">
        <v>24</v>
      </c>
    </row>
    <row r="3318" spans="1:9" x14ac:dyDescent="0.25">
      <c r="A3318">
        <v>1810</v>
      </c>
      <c r="B3318">
        <f>A3318+1</f>
        <v>1811</v>
      </c>
      <c r="C3318" t="s">
        <v>516</v>
      </c>
      <c r="D3318" t="s">
        <v>27</v>
      </c>
      <c r="E3318" s="208" t="s">
        <v>132</v>
      </c>
      <c r="F3318" t="s">
        <v>3</v>
      </c>
      <c r="G3318" s="18">
        <v>0</v>
      </c>
      <c r="H3318" t="s">
        <v>16</v>
      </c>
      <c r="I3318" t="s">
        <v>24</v>
      </c>
    </row>
    <row r="3319" spans="1:9" x14ac:dyDescent="0.25">
      <c r="A3319">
        <v>1810</v>
      </c>
      <c r="B3319">
        <f>A3319+1</f>
        <v>1811</v>
      </c>
      <c r="C3319" t="s">
        <v>516</v>
      </c>
      <c r="D3319" t="s">
        <v>27</v>
      </c>
      <c r="E3319" s="208" t="s">
        <v>142</v>
      </c>
      <c r="F3319" t="s">
        <v>3</v>
      </c>
      <c r="G3319" s="18">
        <v>67</v>
      </c>
      <c r="H3319" t="s">
        <v>16</v>
      </c>
      <c r="I3319" t="s">
        <v>24</v>
      </c>
    </row>
    <row r="3320" spans="1:9" x14ac:dyDescent="0.25">
      <c r="A3320">
        <v>1810</v>
      </c>
      <c r="B3320">
        <f>A3320+1</f>
        <v>1811</v>
      </c>
      <c r="C3320" t="s">
        <v>516</v>
      </c>
      <c r="D3320" t="s">
        <v>27</v>
      </c>
      <c r="E3320" s="208" t="s">
        <v>144</v>
      </c>
      <c r="F3320" t="s">
        <v>3</v>
      </c>
      <c r="G3320" s="18">
        <v>0</v>
      </c>
      <c r="H3320" t="s">
        <v>16</v>
      </c>
      <c r="I3320" t="s">
        <v>24</v>
      </c>
    </row>
    <row r="3321" spans="1:9" x14ac:dyDescent="0.25">
      <c r="A3321">
        <v>1810</v>
      </c>
      <c r="B3321">
        <f>A3321+1</f>
        <v>1811</v>
      </c>
      <c r="C3321" t="s">
        <v>516</v>
      </c>
      <c r="D3321" t="s">
        <v>27</v>
      </c>
      <c r="E3321" s="208" t="s">
        <v>124</v>
      </c>
      <c r="F3321" t="s">
        <v>3</v>
      </c>
      <c r="G3321" s="18">
        <v>183290</v>
      </c>
      <c r="H3321" t="s">
        <v>16</v>
      </c>
      <c r="I3321" t="s">
        <v>24</v>
      </c>
    </row>
    <row r="3322" spans="1:9" x14ac:dyDescent="0.25">
      <c r="A3322">
        <v>1810</v>
      </c>
      <c r="B3322">
        <f>A3322+1</f>
        <v>1811</v>
      </c>
      <c r="C3322" t="s">
        <v>516</v>
      </c>
      <c r="D3322" t="s">
        <v>26</v>
      </c>
      <c r="E3322" s="208" t="s">
        <v>57</v>
      </c>
      <c r="F3322" t="s">
        <v>3</v>
      </c>
      <c r="G3322" s="18">
        <v>1455</v>
      </c>
      <c r="H3322" t="s">
        <v>24</v>
      </c>
      <c r="I3322" t="s">
        <v>16</v>
      </c>
    </row>
    <row r="3323" spans="1:9" x14ac:dyDescent="0.25">
      <c r="A3323">
        <v>1810</v>
      </c>
      <c r="B3323">
        <f>A3323+1</f>
        <v>1811</v>
      </c>
      <c r="C3323" t="s">
        <v>516</v>
      </c>
      <c r="D3323" t="s">
        <v>26</v>
      </c>
      <c r="E3323" s="208" t="s">
        <v>36</v>
      </c>
      <c r="F3323" t="s">
        <v>3</v>
      </c>
      <c r="G3323" s="18">
        <v>15</v>
      </c>
      <c r="H3323" t="s">
        <v>24</v>
      </c>
      <c r="I3323" t="s">
        <v>16</v>
      </c>
    </row>
    <row r="3324" spans="1:9" x14ac:dyDescent="0.25">
      <c r="A3324">
        <v>1810</v>
      </c>
      <c r="B3324">
        <f>A3324+1</f>
        <v>1811</v>
      </c>
      <c r="C3324" t="s">
        <v>516</v>
      </c>
      <c r="D3324" t="s">
        <v>26</v>
      </c>
      <c r="E3324" s="208" t="s">
        <v>39</v>
      </c>
      <c r="F3324" t="s">
        <v>3</v>
      </c>
      <c r="G3324" s="18">
        <v>1150</v>
      </c>
      <c r="H3324" t="s">
        <v>24</v>
      </c>
      <c r="I3324" t="s">
        <v>16</v>
      </c>
    </row>
    <row r="3325" spans="1:9" x14ac:dyDescent="0.25">
      <c r="A3325">
        <v>1810</v>
      </c>
      <c r="B3325">
        <f>A3325+1</f>
        <v>1811</v>
      </c>
      <c r="C3325" t="s">
        <v>516</v>
      </c>
      <c r="D3325" t="s">
        <v>26</v>
      </c>
      <c r="E3325" s="208" t="s">
        <v>99</v>
      </c>
      <c r="F3325" t="s">
        <v>3</v>
      </c>
      <c r="G3325" s="18">
        <v>6</v>
      </c>
      <c r="H3325" t="s">
        <v>24</v>
      </c>
      <c r="I3325" t="s">
        <v>16</v>
      </c>
    </row>
    <row r="3326" spans="1:9" x14ac:dyDescent="0.25">
      <c r="A3326">
        <v>1810</v>
      </c>
      <c r="B3326">
        <f>A3326+1</f>
        <v>1811</v>
      </c>
      <c r="C3326" t="s">
        <v>516</v>
      </c>
      <c r="D3326" t="s">
        <v>26</v>
      </c>
      <c r="E3326" s="208" t="s">
        <v>28</v>
      </c>
      <c r="F3326" t="s">
        <v>3</v>
      </c>
      <c r="G3326" s="18">
        <v>429</v>
      </c>
      <c r="H3326" t="s">
        <v>24</v>
      </c>
      <c r="I3326" t="s">
        <v>16</v>
      </c>
    </row>
    <row r="3327" spans="1:9" x14ac:dyDescent="0.25">
      <c r="A3327">
        <v>1810</v>
      </c>
      <c r="B3327">
        <f>A3327+1</f>
        <v>1811</v>
      </c>
      <c r="C3327" t="s">
        <v>516</v>
      </c>
      <c r="D3327" t="s">
        <v>26</v>
      </c>
      <c r="E3327" s="208" t="s">
        <v>89</v>
      </c>
      <c r="F3327" t="s">
        <v>3</v>
      </c>
      <c r="G3327" s="18">
        <v>455</v>
      </c>
      <c r="H3327" t="s">
        <v>24</v>
      </c>
      <c r="I3327" t="s">
        <v>16</v>
      </c>
    </row>
    <row r="3328" spans="1:9" x14ac:dyDescent="0.25">
      <c r="A3328">
        <v>1810</v>
      </c>
      <c r="B3328">
        <f>A3328+1</f>
        <v>1811</v>
      </c>
      <c r="C3328" t="s">
        <v>516</v>
      </c>
      <c r="D3328" t="s">
        <v>26</v>
      </c>
      <c r="E3328" s="208" t="s">
        <v>45</v>
      </c>
      <c r="F3328" t="s">
        <v>3</v>
      </c>
      <c r="G3328" s="18">
        <v>253</v>
      </c>
      <c r="H3328" t="s">
        <v>24</v>
      </c>
      <c r="I3328" t="s">
        <v>16</v>
      </c>
    </row>
    <row r="3329" spans="1:9" x14ac:dyDescent="0.25">
      <c r="A3329">
        <v>1810</v>
      </c>
      <c r="B3329">
        <f>A3329+1</f>
        <v>1811</v>
      </c>
      <c r="C3329" t="s">
        <v>516</v>
      </c>
      <c r="D3329" t="s">
        <v>26</v>
      </c>
      <c r="E3329" s="208" t="s">
        <v>54</v>
      </c>
      <c r="F3329" t="s">
        <v>3</v>
      </c>
      <c r="G3329" s="18">
        <v>0</v>
      </c>
      <c r="H3329" t="s">
        <v>24</v>
      </c>
      <c r="I3329" t="s">
        <v>16</v>
      </c>
    </row>
    <row r="3330" spans="1:9" x14ac:dyDescent="0.25">
      <c r="A3330">
        <v>1810</v>
      </c>
      <c r="B3330">
        <f>A3330+1</f>
        <v>1811</v>
      </c>
      <c r="C3330" t="s">
        <v>516</v>
      </c>
      <c r="D3330" t="s">
        <v>26</v>
      </c>
      <c r="E3330" s="208" t="s">
        <v>53</v>
      </c>
      <c r="F3330" t="s">
        <v>3</v>
      </c>
      <c r="G3330" s="18">
        <v>0</v>
      </c>
      <c r="H3330" t="s">
        <v>24</v>
      </c>
      <c r="I3330" t="s">
        <v>16</v>
      </c>
    </row>
    <row r="3331" spans="1:9" x14ac:dyDescent="0.25">
      <c r="A3331">
        <v>1810</v>
      </c>
      <c r="B3331">
        <f>A3331+1</f>
        <v>1811</v>
      </c>
      <c r="C3331" t="s">
        <v>516</v>
      </c>
      <c r="D3331" t="s">
        <v>26</v>
      </c>
      <c r="E3331" s="208" t="s">
        <v>75</v>
      </c>
      <c r="F3331" t="s">
        <v>3</v>
      </c>
      <c r="G3331" s="18">
        <v>450543</v>
      </c>
      <c r="H3331" t="s">
        <v>24</v>
      </c>
      <c r="I3331" t="s">
        <v>16</v>
      </c>
    </row>
    <row r="3332" spans="1:9" x14ac:dyDescent="0.25">
      <c r="A3332">
        <v>1810</v>
      </c>
      <c r="B3332">
        <f>A3332+1</f>
        <v>1811</v>
      </c>
      <c r="C3332" t="s">
        <v>516</v>
      </c>
      <c r="D3332" t="s">
        <v>26</v>
      </c>
      <c r="E3332" s="208" t="s">
        <v>107</v>
      </c>
      <c r="F3332" t="s">
        <v>3</v>
      </c>
      <c r="G3332" s="18">
        <v>122869</v>
      </c>
      <c r="H3332" t="s">
        <v>24</v>
      </c>
      <c r="I3332" t="s">
        <v>16</v>
      </c>
    </row>
    <row r="3333" spans="1:9" x14ac:dyDescent="0.25">
      <c r="A3333">
        <v>1810</v>
      </c>
      <c r="B3333">
        <f>A3333+1</f>
        <v>1811</v>
      </c>
      <c r="C3333" t="s">
        <v>516</v>
      </c>
      <c r="D3333" t="s">
        <v>26</v>
      </c>
      <c r="E3333" s="208" t="s">
        <v>101</v>
      </c>
      <c r="F3333" t="s">
        <v>3</v>
      </c>
      <c r="G3333" s="18">
        <v>105700</v>
      </c>
      <c r="H3333" t="s">
        <v>24</v>
      </c>
      <c r="I3333" t="s">
        <v>16</v>
      </c>
    </row>
    <row r="3334" spans="1:9" x14ac:dyDescent="0.25">
      <c r="A3334">
        <v>1810</v>
      </c>
      <c r="B3334">
        <f>A3334+1</f>
        <v>1811</v>
      </c>
      <c r="C3334" t="s">
        <v>516</v>
      </c>
      <c r="D3334" t="s">
        <v>26</v>
      </c>
      <c r="E3334" s="208" t="s">
        <v>330</v>
      </c>
      <c r="F3334" t="s">
        <v>6</v>
      </c>
      <c r="G3334" s="18">
        <v>2344</v>
      </c>
      <c r="H3334" t="s">
        <v>25</v>
      </c>
      <c r="I3334" t="s">
        <v>16</v>
      </c>
    </row>
    <row r="3335" spans="1:9" x14ac:dyDescent="0.25">
      <c r="A3335">
        <v>1810</v>
      </c>
      <c r="B3335">
        <f>A3335+1</f>
        <v>1811</v>
      </c>
      <c r="C3335" t="s">
        <v>516</v>
      </c>
      <c r="D3335" t="s">
        <v>26</v>
      </c>
      <c r="E3335" s="208" t="s">
        <v>331</v>
      </c>
      <c r="F3335" t="s">
        <v>6</v>
      </c>
      <c r="G3335" s="18">
        <v>2293</v>
      </c>
      <c r="H3335" t="s">
        <v>25</v>
      </c>
      <c r="I3335" t="s">
        <v>16</v>
      </c>
    </row>
    <row r="3336" spans="1:9" x14ac:dyDescent="0.25">
      <c r="A3336">
        <v>1810</v>
      </c>
      <c r="B3336">
        <f>A3336+1</f>
        <v>1811</v>
      </c>
      <c r="C3336" t="s">
        <v>516</v>
      </c>
      <c r="D3336" t="s">
        <v>26</v>
      </c>
      <c r="E3336" s="208" t="s">
        <v>332</v>
      </c>
      <c r="F3336" t="s">
        <v>6</v>
      </c>
      <c r="G3336" s="18">
        <v>515</v>
      </c>
      <c r="H3336" t="s">
        <v>25</v>
      </c>
      <c r="I3336" t="s">
        <v>16</v>
      </c>
    </row>
    <row r="3337" spans="1:9" x14ac:dyDescent="0.25">
      <c r="A3337">
        <v>1810</v>
      </c>
      <c r="B3337">
        <f>A3337+1</f>
        <v>1811</v>
      </c>
      <c r="C3337" t="s">
        <v>516</v>
      </c>
      <c r="D3337" t="s">
        <v>26</v>
      </c>
      <c r="E3337" s="208" t="s">
        <v>333</v>
      </c>
      <c r="F3337" t="s">
        <v>6</v>
      </c>
      <c r="G3337" s="18">
        <v>890</v>
      </c>
      <c r="H3337" t="s">
        <v>25</v>
      </c>
      <c r="I3337" t="s">
        <v>16</v>
      </c>
    </row>
    <row r="3338" spans="1:9" x14ac:dyDescent="0.25">
      <c r="A3338">
        <v>1810</v>
      </c>
      <c r="B3338">
        <f>A3338+1</f>
        <v>1811</v>
      </c>
      <c r="C3338" t="s">
        <v>516</v>
      </c>
      <c r="D3338" t="s">
        <v>27</v>
      </c>
      <c r="E3338" s="208" t="s">
        <v>155</v>
      </c>
      <c r="F3338" t="s">
        <v>0</v>
      </c>
      <c r="G3338" s="18">
        <v>25470</v>
      </c>
      <c r="H3338" t="s">
        <v>16</v>
      </c>
      <c r="I3338" t="s">
        <v>18</v>
      </c>
    </row>
    <row r="3339" spans="1:9" x14ac:dyDescent="0.25">
      <c r="A3339">
        <v>1810</v>
      </c>
      <c r="B3339">
        <f>A3339+1</f>
        <v>1811</v>
      </c>
      <c r="C3339" t="s">
        <v>516</v>
      </c>
      <c r="D3339" t="s">
        <v>27</v>
      </c>
      <c r="E3339" s="208" t="s">
        <v>156</v>
      </c>
      <c r="F3339" t="s">
        <v>0</v>
      </c>
      <c r="G3339" s="18">
        <v>2738</v>
      </c>
      <c r="H3339" t="s">
        <v>16</v>
      </c>
      <c r="I3339" t="s">
        <v>18</v>
      </c>
    </row>
    <row r="3340" spans="1:9" x14ac:dyDescent="0.25">
      <c r="A3340">
        <v>1810</v>
      </c>
      <c r="B3340">
        <f>A3340+1</f>
        <v>1811</v>
      </c>
      <c r="C3340" t="s">
        <v>516</v>
      </c>
      <c r="D3340" t="s">
        <v>27</v>
      </c>
      <c r="E3340" s="208" t="s">
        <v>154</v>
      </c>
      <c r="F3340" t="s">
        <v>0</v>
      </c>
      <c r="G3340" s="18">
        <v>405</v>
      </c>
      <c r="H3340" t="s">
        <v>16</v>
      </c>
      <c r="I3340" t="s">
        <v>18</v>
      </c>
    </row>
    <row r="3341" spans="1:9" x14ac:dyDescent="0.25">
      <c r="A3341">
        <v>1810</v>
      </c>
      <c r="B3341">
        <f>A3341+1</f>
        <v>1811</v>
      </c>
      <c r="C3341" t="s">
        <v>516</v>
      </c>
      <c r="D3341" t="s">
        <v>27</v>
      </c>
      <c r="E3341" s="208" t="s">
        <v>150</v>
      </c>
      <c r="F3341" t="s">
        <v>0</v>
      </c>
      <c r="G3341" s="18">
        <v>6388</v>
      </c>
      <c r="H3341" t="s">
        <v>16</v>
      </c>
      <c r="I3341" t="s">
        <v>18</v>
      </c>
    </row>
    <row r="3342" spans="1:9" x14ac:dyDescent="0.25">
      <c r="A3342">
        <v>1810</v>
      </c>
      <c r="B3342">
        <f>A3342+1</f>
        <v>1811</v>
      </c>
      <c r="C3342" t="s">
        <v>516</v>
      </c>
      <c r="D3342" t="s">
        <v>27</v>
      </c>
      <c r="E3342" s="208" t="s">
        <v>148</v>
      </c>
      <c r="F3342" t="s">
        <v>0</v>
      </c>
      <c r="G3342" s="18">
        <v>348</v>
      </c>
      <c r="H3342" t="s">
        <v>16</v>
      </c>
      <c r="I3342" t="s">
        <v>18</v>
      </c>
    </row>
    <row r="3343" spans="1:9" x14ac:dyDescent="0.25">
      <c r="A3343">
        <v>1810</v>
      </c>
      <c r="B3343">
        <f>A3343+1</f>
        <v>1811</v>
      </c>
      <c r="C3343" t="s">
        <v>516</v>
      </c>
      <c r="D3343" t="s">
        <v>27</v>
      </c>
      <c r="E3343" s="208" t="s">
        <v>139</v>
      </c>
      <c r="F3343" t="s">
        <v>0</v>
      </c>
      <c r="G3343" s="18">
        <v>0</v>
      </c>
      <c r="H3343" t="s">
        <v>16</v>
      </c>
      <c r="I3343" t="s">
        <v>18</v>
      </c>
    </row>
    <row r="3344" spans="1:9" x14ac:dyDescent="0.25">
      <c r="A3344">
        <v>1810</v>
      </c>
      <c r="B3344">
        <f>A3344+1</f>
        <v>1811</v>
      </c>
      <c r="C3344" t="s">
        <v>516</v>
      </c>
      <c r="D3344" t="s">
        <v>27</v>
      </c>
      <c r="E3344" s="208" t="s">
        <v>130</v>
      </c>
      <c r="F3344" t="s">
        <v>0</v>
      </c>
      <c r="G3344" s="18">
        <v>284</v>
      </c>
      <c r="H3344" t="s">
        <v>16</v>
      </c>
      <c r="I3344" t="s">
        <v>18</v>
      </c>
    </row>
    <row r="3345" spans="1:9" x14ac:dyDescent="0.25">
      <c r="A3345">
        <v>1810</v>
      </c>
      <c r="B3345">
        <f>A3345+1</f>
        <v>1811</v>
      </c>
      <c r="C3345" t="s">
        <v>516</v>
      </c>
      <c r="D3345" t="s">
        <v>27</v>
      </c>
      <c r="E3345" s="208" t="s">
        <v>132</v>
      </c>
      <c r="F3345" t="s">
        <v>0</v>
      </c>
      <c r="G3345" s="18">
        <v>275</v>
      </c>
      <c r="H3345" t="s">
        <v>16</v>
      </c>
      <c r="I3345" t="s">
        <v>18</v>
      </c>
    </row>
    <row r="3346" spans="1:9" x14ac:dyDescent="0.25">
      <c r="A3346">
        <v>1810</v>
      </c>
      <c r="B3346">
        <f>A3346+1</f>
        <v>1811</v>
      </c>
      <c r="C3346" t="s">
        <v>516</v>
      </c>
      <c r="D3346" t="s">
        <v>27</v>
      </c>
      <c r="E3346" s="208" t="s">
        <v>142</v>
      </c>
      <c r="F3346" t="s">
        <v>0</v>
      </c>
      <c r="G3346" s="18">
        <v>2473</v>
      </c>
      <c r="H3346" t="s">
        <v>16</v>
      </c>
      <c r="I3346" t="s">
        <v>18</v>
      </c>
    </row>
    <row r="3347" spans="1:9" x14ac:dyDescent="0.25">
      <c r="A3347">
        <v>1810</v>
      </c>
      <c r="B3347">
        <f>A3347+1</f>
        <v>1811</v>
      </c>
      <c r="C3347" t="s">
        <v>516</v>
      </c>
      <c r="D3347" t="s">
        <v>27</v>
      </c>
      <c r="E3347" s="208" t="s">
        <v>144</v>
      </c>
      <c r="F3347" t="s">
        <v>0</v>
      </c>
      <c r="G3347" s="18">
        <v>58</v>
      </c>
      <c r="H3347" t="s">
        <v>16</v>
      </c>
      <c r="I3347" t="s">
        <v>18</v>
      </c>
    </row>
    <row r="3348" spans="1:9" x14ac:dyDescent="0.25">
      <c r="A3348">
        <v>1810</v>
      </c>
      <c r="B3348">
        <f>A3348+1</f>
        <v>1811</v>
      </c>
      <c r="C3348" t="s">
        <v>516</v>
      </c>
      <c r="D3348" t="s">
        <v>27</v>
      </c>
      <c r="E3348" s="208" t="s">
        <v>124</v>
      </c>
      <c r="F3348" t="s">
        <v>0</v>
      </c>
      <c r="G3348" s="18">
        <v>7706953</v>
      </c>
      <c r="H3348" t="s">
        <v>16</v>
      </c>
      <c r="I3348" t="s">
        <v>18</v>
      </c>
    </row>
    <row r="3349" spans="1:9" x14ac:dyDescent="0.25">
      <c r="A3349">
        <v>1810</v>
      </c>
      <c r="B3349">
        <f>A3349+1</f>
        <v>1811</v>
      </c>
      <c r="C3349" t="s">
        <v>516</v>
      </c>
      <c r="D3349" t="s">
        <v>26</v>
      </c>
      <c r="E3349" s="208" t="s">
        <v>65</v>
      </c>
      <c r="F3349" t="s">
        <v>169</v>
      </c>
      <c r="G3349" s="18">
        <v>6295</v>
      </c>
      <c r="H3349" t="s">
        <v>160</v>
      </c>
      <c r="I3349" t="s">
        <v>16</v>
      </c>
    </row>
    <row r="3350" spans="1:9" x14ac:dyDescent="0.25">
      <c r="A3350">
        <v>1810</v>
      </c>
      <c r="B3350">
        <f>A3350+1</f>
        <v>1811</v>
      </c>
      <c r="C3350" t="s">
        <v>516</v>
      </c>
      <c r="D3350" t="s">
        <v>26</v>
      </c>
      <c r="E3350" s="208" t="s">
        <v>88</v>
      </c>
      <c r="F3350" t="s">
        <v>169</v>
      </c>
      <c r="G3350" s="18">
        <v>256</v>
      </c>
      <c r="H3350" t="s">
        <v>160</v>
      </c>
      <c r="I3350" t="s">
        <v>16</v>
      </c>
    </row>
    <row r="3351" spans="1:9" x14ac:dyDescent="0.25">
      <c r="A3351">
        <v>1810</v>
      </c>
      <c r="B3351">
        <f>A3351+1</f>
        <v>1811</v>
      </c>
      <c r="C3351" t="s">
        <v>516</v>
      </c>
      <c r="D3351" t="s">
        <v>27</v>
      </c>
      <c r="E3351" s="208" t="s">
        <v>155</v>
      </c>
      <c r="F3351" t="s">
        <v>1</v>
      </c>
      <c r="G3351" s="18">
        <v>2820</v>
      </c>
      <c r="H3351" t="s">
        <v>16</v>
      </c>
      <c r="I3351" t="s">
        <v>21</v>
      </c>
    </row>
    <row r="3352" spans="1:9" x14ac:dyDescent="0.25">
      <c r="A3352">
        <v>1810</v>
      </c>
      <c r="B3352">
        <f>A3352+1</f>
        <v>1811</v>
      </c>
      <c r="C3352" t="s">
        <v>516</v>
      </c>
      <c r="D3352" t="s">
        <v>27</v>
      </c>
      <c r="E3352" s="208" t="s">
        <v>156</v>
      </c>
      <c r="F3352" t="s">
        <v>1</v>
      </c>
      <c r="G3352" s="18">
        <v>432</v>
      </c>
      <c r="H3352" t="s">
        <v>16</v>
      </c>
      <c r="I3352" t="s">
        <v>21</v>
      </c>
    </row>
    <row r="3353" spans="1:9" x14ac:dyDescent="0.25">
      <c r="A3353">
        <v>1810</v>
      </c>
      <c r="B3353">
        <f>A3353+1</f>
        <v>1811</v>
      </c>
      <c r="C3353" t="s">
        <v>516</v>
      </c>
      <c r="D3353" t="s">
        <v>27</v>
      </c>
      <c r="E3353" s="208" t="s">
        <v>154</v>
      </c>
      <c r="F3353" t="s">
        <v>1</v>
      </c>
      <c r="G3353" s="18">
        <v>461</v>
      </c>
      <c r="H3353" t="s">
        <v>16</v>
      </c>
      <c r="I3353" t="s">
        <v>21</v>
      </c>
    </row>
    <row r="3354" spans="1:9" x14ac:dyDescent="0.25">
      <c r="A3354">
        <v>1810</v>
      </c>
      <c r="B3354">
        <f>A3354+1</f>
        <v>1811</v>
      </c>
      <c r="C3354" t="s">
        <v>516</v>
      </c>
      <c r="D3354" t="s">
        <v>27</v>
      </c>
      <c r="E3354" s="208" t="s">
        <v>150</v>
      </c>
      <c r="F3354" t="s">
        <v>1</v>
      </c>
      <c r="G3354" s="18">
        <v>775</v>
      </c>
      <c r="H3354" t="s">
        <v>16</v>
      </c>
      <c r="I3354" t="s">
        <v>21</v>
      </c>
    </row>
    <row r="3355" spans="1:9" x14ac:dyDescent="0.25">
      <c r="A3355">
        <v>1810</v>
      </c>
      <c r="B3355">
        <f>A3355+1</f>
        <v>1811</v>
      </c>
      <c r="C3355" t="s">
        <v>516</v>
      </c>
      <c r="D3355" t="s">
        <v>27</v>
      </c>
      <c r="E3355" s="208" t="s">
        <v>148</v>
      </c>
      <c r="F3355" t="s">
        <v>1</v>
      </c>
      <c r="G3355" s="18">
        <v>227</v>
      </c>
      <c r="H3355" t="s">
        <v>16</v>
      </c>
      <c r="I3355" t="s">
        <v>21</v>
      </c>
    </row>
    <row r="3356" spans="1:9" x14ac:dyDescent="0.25">
      <c r="A3356">
        <v>1810</v>
      </c>
      <c r="B3356">
        <f>A3356+1</f>
        <v>1811</v>
      </c>
      <c r="C3356" t="s">
        <v>516</v>
      </c>
      <c r="D3356" t="s">
        <v>27</v>
      </c>
      <c r="E3356" s="208" t="s">
        <v>139</v>
      </c>
      <c r="F3356" t="s">
        <v>1</v>
      </c>
      <c r="G3356" s="18">
        <v>0</v>
      </c>
      <c r="H3356" t="s">
        <v>16</v>
      </c>
      <c r="I3356" t="s">
        <v>21</v>
      </c>
    </row>
    <row r="3357" spans="1:9" x14ac:dyDescent="0.25">
      <c r="A3357">
        <v>1810</v>
      </c>
      <c r="B3357">
        <f>A3357+1</f>
        <v>1811</v>
      </c>
      <c r="C3357" t="s">
        <v>516</v>
      </c>
      <c r="D3357" t="s">
        <v>27</v>
      </c>
      <c r="E3357" s="208" t="s">
        <v>130</v>
      </c>
      <c r="F3357" t="s">
        <v>1</v>
      </c>
      <c r="G3357" s="18">
        <v>42</v>
      </c>
      <c r="H3357" t="s">
        <v>16</v>
      </c>
      <c r="I3357" t="s">
        <v>21</v>
      </c>
    </row>
    <row r="3358" spans="1:9" x14ac:dyDescent="0.25">
      <c r="A3358">
        <v>1810</v>
      </c>
      <c r="B3358">
        <f>A3358+1</f>
        <v>1811</v>
      </c>
      <c r="C3358" t="s">
        <v>516</v>
      </c>
      <c r="D3358" t="s">
        <v>27</v>
      </c>
      <c r="E3358" s="208" t="s">
        <v>132</v>
      </c>
      <c r="F3358" t="s">
        <v>1</v>
      </c>
      <c r="G3358" s="18">
        <v>344</v>
      </c>
      <c r="H3358" t="s">
        <v>16</v>
      </c>
      <c r="I3358" t="s">
        <v>21</v>
      </c>
    </row>
    <row r="3359" spans="1:9" x14ac:dyDescent="0.25">
      <c r="A3359">
        <v>1810</v>
      </c>
      <c r="B3359">
        <f>A3359+1</f>
        <v>1811</v>
      </c>
      <c r="C3359" t="s">
        <v>516</v>
      </c>
      <c r="D3359" t="s">
        <v>27</v>
      </c>
      <c r="E3359" s="208" t="s">
        <v>142</v>
      </c>
      <c r="F3359" t="s">
        <v>1</v>
      </c>
      <c r="G3359" s="18">
        <v>306</v>
      </c>
      <c r="H3359" t="s">
        <v>16</v>
      </c>
      <c r="I3359" t="s">
        <v>21</v>
      </c>
    </row>
    <row r="3360" spans="1:9" x14ac:dyDescent="0.25">
      <c r="A3360">
        <v>1810</v>
      </c>
      <c r="B3360">
        <f>A3360+1</f>
        <v>1811</v>
      </c>
      <c r="C3360" t="s">
        <v>516</v>
      </c>
      <c r="D3360" t="s">
        <v>27</v>
      </c>
      <c r="E3360" s="208" t="s">
        <v>144</v>
      </c>
      <c r="F3360" t="s">
        <v>1</v>
      </c>
      <c r="G3360" s="18">
        <v>10</v>
      </c>
      <c r="H3360" t="s">
        <v>16</v>
      </c>
      <c r="I3360" t="s">
        <v>21</v>
      </c>
    </row>
    <row r="3361" spans="1:9" x14ac:dyDescent="0.25">
      <c r="A3361">
        <v>1810</v>
      </c>
      <c r="B3361">
        <f>A3361+1</f>
        <v>1811</v>
      </c>
      <c r="C3361" t="s">
        <v>516</v>
      </c>
      <c r="D3361" t="s">
        <v>27</v>
      </c>
      <c r="E3361" s="208" t="s">
        <v>124</v>
      </c>
      <c r="F3361" t="s">
        <v>1</v>
      </c>
      <c r="G3361" s="18">
        <v>291213</v>
      </c>
      <c r="H3361" t="s">
        <v>16</v>
      </c>
      <c r="I3361" t="s">
        <v>21</v>
      </c>
    </row>
    <row r="3362" spans="1:9" x14ac:dyDescent="0.25">
      <c r="A3362">
        <v>1810</v>
      </c>
      <c r="B3362">
        <f>A3362+1</f>
        <v>1811</v>
      </c>
      <c r="C3362" t="s">
        <v>516</v>
      </c>
      <c r="D3362" t="s">
        <v>27</v>
      </c>
      <c r="E3362" s="208" t="s">
        <v>155</v>
      </c>
      <c r="F3362" t="s">
        <v>6</v>
      </c>
      <c r="G3362" s="18">
        <v>0</v>
      </c>
      <c r="H3362" t="s">
        <v>16</v>
      </c>
      <c r="I3362" t="s">
        <v>25</v>
      </c>
    </row>
    <row r="3363" spans="1:9" x14ac:dyDescent="0.25">
      <c r="A3363">
        <v>1810</v>
      </c>
      <c r="B3363">
        <f>A3363+1</f>
        <v>1811</v>
      </c>
      <c r="C3363" t="s">
        <v>516</v>
      </c>
      <c r="D3363" t="s">
        <v>27</v>
      </c>
      <c r="E3363" s="208" t="s">
        <v>156</v>
      </c>
      <c r="F3363" t="s">
        <v>6</v>
      </c>
      <c r="G3363" s="18">
        <v>0</v>
      </c>
      <c r="H3363" t="s">
        <v>16</v>
      </c>
      <c r="I3363" t="s">
        <v>25</v>
      </c>
    </row>
    <row r="3364" spans="1:9" x14ac:dyDescent="0.25">
      <c r="A3364">
        <v>1810</v>
      </c>
      <c r="B3364">
        <f>A3364+1</f>
        <v>1811</v>
      </c>
      <c r="C3364" t="s">
        <v>516</v>
      </c>
      <c r="D3364" t="s">
        <v>27</v>
      </c>
      <c r="E3364" s="208" t="s">
        <v>154</v>
      </c>
      <c r="F3364" t="s">
        <v>6</v>
      </c>
      <c r="G3364" s="18">
        <v>0</v>
      </c>
      <c r="H3364" t="s">
        <v>16</v>
      </c>
      <c r="I3364" t="s">
        <v>25</v>
      </c>
    </row>
    <row r="3365" spans="1:9" x14ac:dyDescent="0.25">
      <c r="A3365">
        <v>1810</v>
      </c>
      <c r="B3365">
        <f>A3365+1</f>
        <v>1811</v>
      </c>
      <c r="C3365" t="s">
        <v>516</v>
      </c>
      <c r="D3365" t="s">
        <v>27</v>
      </c>
      <c r="E3365" s="208" t="s">
        <v>150</v>
      </c>
      <c r="F3365" t="s">
        <v>6</v>
      </c>
      <c r="G3365" s="18">
        <v>697</v>
      </c>
      <c r="H3365" t="s">
        <v>16</v>
      </c>
      <c r="I3365" t="s">
        <v>25</v>
      </c>
    </row>
    <row r="3366" spans="1:9" x14ac:dyDescent="0.25">
      <c r="A3366">
        <v>1810</v>
      </c>
      <c r="B3366">
        <f>A3366+1</f>
        <v>1811</v>
      </c>
      <c r="C3366" t="s">
        <v>516</v>
      </c>
      <c r="D3366" t="s">
        <v>27</v>
      </c>
      <c r="E3366" s="208" t="s">
        <v>148</v>
      </c>
      <c r="F3366" t="s">
        <v>6</v>
      </c>
      <c r="G3366" s="18">
        <v>97</v>
      </c>
      <c r="H3366" t="s">
        <v>16</v>
      </c>
      <c r="I3366" t="s">
        <v>25</v>
      </c>
    </row>
    <row r="3367" spans="1:9" x14ac:dyDescent="0.25">
      <c r="A3367">
        <v>1810</v>
      </c>
      <c r="B3367">
        <f>A3367+1</f>
        <v>1811</v>
      </c>
      <c r="C3367" t="s">
        <v>516</v>
      </c>
      <c r="D3367" t="s">
        <v>27</v>
      </c>
      <c r="E3367" s="208" t="s">
        <v>139</v>
      </c>
      <c r="F3367" t="s">
        <v>6</v>
      </c>
      <c r="G3367" s="18">
        <v>0</v>
      </c>
      <c r="H3367" t="s">
        <v>16</v>
      </c>
      <c r="I3367" t="s">
        <v>25</v>
      </c>
    </row>
    <row r="3368" spans="1:9" x14ac:dyDescent="0.25">
      <c r="A3368">
        <v>1810</v>
      </c>
      <c r="B3368">
        <f>A3368+1</f>
        <v>1811</v>
      </c>
      <c r="C3368" t="s">
        <v>516</v>
      </c>
      <c r="D3368" t="s">
        <v>27</v>
      </c>
      <c r="E3368" s="208" t="s">
        <v>130</v>
      </c>
      <c r="F3368" t="s">
        <v>6</v>
      </c>
      <c r="G3368" s="18">
        <v>0</v>
      </c>
      <c r="H3368" t="s">
        <v>16</v>
      </c>
      <c r="I3368" t="s">
        <v>25</v>
      </c>
    </row>
    <row r="3369" spans="1:9" x14ac:dyDescent="0.25">
      <c r="A3369">
        <v>1810</v>
      </c>
      <c r="B3369">
        <f>A3369+1</f>
        <v>1811</v>
      </c>
      <c r="C3369" t="s">
        <v>516</v>
      </c>
      <c r="D3369" t="s">
        <v>27</v>
      </c>
      <c r="E3369" s="208" t="s">
        <v>132</v>
      </c>
      <c r="F3369" t="s">
        <v>6</v>
      </c>
      <c r="G3369" s="18">
        <v>0</v>
      </c>
      <c r="H3369" t="s">
        <v>16</v>
      </c>
      <c r="I3369" t="s">
        <v>25</v>
      </c>
    </row>
    <row r="3370" spans="1:9" x14ac:dyDescent="0.25">
      <c r="A3370">
        <v>1810</v>
      </c>
      <c r="B3370">
        <f>A3370+1</f>
        <v>1811</v>
      </c>
      <c r="C3370" t="s">
        <v>516</v>
      </c>
      <c r="D3370" t="s">
        <v>27</v>
      </c>
      <c r="E3370" s="208" t="s">
        <v>142</v>
      </c>
      <c r="F3370" t="s">
        <v>6</v>
      </c>
      <c r="G3370" s="18">
        <v>0</v>
      </c>
      <c r="H3370" t="s">
        <v>16</v>
      </c>
      <c r="I3370" t="s">
        <v>25</v>
      </c>
    </row>
    <row r="3371" spans="1:9" x14ac:dyDescent="0.25">
      <c r="A3371">
        <v>1810</v>
      </c>
      <c r="B3371">
        <f>A3371+1</f>
        <v>1811</v>
      </c>
      <c r="C3371" t="s">
        <v>516</v>
      </c>
      <c r="D3371" t="s">
        <v>27</v>
      </c>
      <c r="E3371" s="208" t="s">
        <v>144</v>
      </c>
      <c r="F3371" t="s">
        <v>6</v>
      </c>
      <c r="G3371" s="18">
        <v>0</v>
      </c>
      <c r="H3371" t="s">
        <v>16</v>
      </c>
      <c r="I3371" t="s">
        <v>25</v>
      </c>
    </row>
    <row r="3372" spans="1:9" x14ac:dyDescent="0.25">
      <c r="A3372">
        <v>1810</v>
      </c>
      <c r="B3372">
        <f>A3372+1</f>
        <v>1811</v>
      </c>
      <c r="C3372" t="s">
        <v>516</v>
      </c>
      <c r="D3372" t="s">
        <v>27</v>
      </c>
      <c r="E3372" s="208" t="s">
        <v>124</v>
      </c>
      <c r="F3372" t="s">
        <v>6</v>
      </c>
      <c r="G3372" s="18">
        <v>0</v>
      </c>
      <c r="H3372" t="s">
        <v>16</v>
      </c>
      <c r="I3372" t="s">
        <v>25</v>
      </c>
    </row>
    <row r="3373" spans="1:9" x14ac:dyDescent="0.25">
      <c r="A3373">
        <v>1810</v>
      </c>
      <c r="B3373">
        <f>A3373+1</f>
        <v>1811</v>
      </c>
      <c r="C3373" t="s">
        <v>516</v>
      </c>
      <c r="D3373" t="s">
        <v>27</v>
      </c>
      <c r="E3373" s="208" t="s">
        <v>155</v>
      </c>
      <c r="F3373" t="s">
        <v>4</v>
      </c>
      <c r="G3373" s="18">
        <v>74</v>
      </c>
      <c r="H3373" t="s">
        <v>16</v>
      </c>
      <c r="I3373" t="s">
        <v>23</v>
      </c>
    </row>
    <row r="3374" spans="1:9" x14ac:dyDescent="0.25">
      <c r="A3374">
        <v>1810</v>
      </c>
      <c r="B3374">
        <f>A3374+1</f>
        <v>1811</v>
      </c>
      <c r="C3374" t="s">
        <v>516</v>
      </c>
      <c r="D3374" t="s">
        <v>27</v>
      </c>
      <c r="E3374" s="208" t="s">
        <v>156</v>
      </c>
      <c r="F3374" t="s">
        <v>4</v>
      </c>
      <c r="G3374" s="18">
        <v>8</v>
      </c>
      <c r="H3374" t="s">
        <v>16</v>
      </c>
      <c r="I3374" t="s">
        <v>23</v>
      </c>
    </row>
    <row r="3375" spans="1:9" x14ac:dyDescent="0.25">
      <c r="A3375">
        <v>1810</v>
      </c>
      <c r="B3375">
        <f>A3375+1</f>
        <v>1811</v>
      </c>
      <c r="C3375" t="s">
        <v>516</v>
      </c>
      <c r="D3375" t="s">
        <v>27</v>
      </c>
      <c r="E3375" s="208" t="s">
        <v>154</v>
      </c>
      <c r="F3375" t="s">
        <v>4</v>
      </c>
      <c r="G3375" s="18">
        <v>0</v>
      </c>
      <c r="H3375" t="s">
        <v>16</v>
      </c>
      <c r="I3375" t="s">
        <v>23</v>
      </c>
    </row>
    <row r="3376" spans="1:9" x14ac:dyDescent="0.25">
      <c r="A3376">
        <v>1810</v>
      </c>
      <c r="B3376">
        <f>A3376+1</f>
        <v>1811</v>
      </c>
      <c r="C3376" t="s">
        <v>516</v>
      </c>
      <c r="D3376" t="s">
        <v>27</v>
      </c>
      <c r="E3376" s="208" t="s">
        <v>150</v>
      </c>
      <c r="F3376" t="s">
        <v>4</v>
      </c>
      <c r="G3376" s="18">
        <v>560</v>
      </c>
      <c r="H3376" t="s">
        <v>16</v>
      </c>
      <c r="I3376" t="s">
        <v>23</v>
      </c>
    </row>
    <row r="3377" spans="1:9" x14ac:dyDescent="0.25">
      <c r="A3377">
        <v>1810</v>
      </c>
      <c r="B3377">
        <f>A3377+1</f>
        <v>1811</v>
      </c>
      <c r="C3377" t="s">
        <v>516</v>
      </c>
      <c r="D3377" t="s">
        <v>27</v>
      </c>
      <c r="E3377" s="208" t="s">
        <v>148</v>
      </c>
      <c r="F3377" t="s">
        <v>4</v>
      </c>
      <c r="G3377" s="18">
        <v>8</v>
      </c>
      <c r="H3377" t="s">
        <v>16</v>
      </c>
      <c r="I3377" t="s">
        <v>23</v>
      </c>
    </row>
    <row r="3378" spans="1:9" x14ac:dyDescent="0.25">
      <c r="A3378">
        <v>1810</v>
      </c>
      <c r="B3378">
        <f>A3378+1</f>
        <v>1811</v>
      </c>
      <c r="C3378" t="s">
        <v>516</v>
      </c>
      <c r="D3378" t="s">
        <v>27</v>
      </c>
      <c r="E3378" s="208" t="s">
        <v>139</v>
      </c>
      <c r="F3378" t="s">
        <v>4</v>
      </c>
      <c r="G3378" s="18">
        <v>19</v>
      </c>
      <c r="H3378" t="s">
        <v>16</v>
      </c>
      <c r="I3378" t="s">
        <v>23</v>
      </c>
    </row>
    <row r="3379" spans="1:9" x14ac:dyDescent="0.25">
      <c r="A3379">
        <v>1810</v>
      </c>
      <c r="B3379">
        <f>A3379+1</f>
        <v>1811</v>
      </c>
      <c r="C3379" t="s">
        <v>516</v>
      </c>
      <c r="D3379" t="s">
        <v>27</v>
      </c>
      <c r="E3379" s="208" t="s">
        <v>130</v>
      </c>
      <c r="F3379" t="s">
        <v>4</v>
      </c>
      <c r="G3379" s="18">
        <v>0</v>
      </c>
      <c r="H3379" t="s">
        <v>16</v>
      </c>
      <c r="I3379" t="s">
        <v>23</v>
      </c>
    </row>
    <row r="3380" spans="1:9" x14ac:dyDescent="0.25">
      <c r="A3380">
        <v>1810</v>
      </c>
      <c r="B3380">
        <f>A3380+1</f>
        <v>1811</v>
      </c>
      <c r="C3380" t="s">
        <v>516</v>
      </c>
      <c r="D3380" t="s">
        <v>27</v>
      </c>
      <c r="E3380" s="208" t="s">
        <v>132</v>
      </c>
      <c r="F3380" t="s">
        <v>4</v>
      </c>
      <c r="G3380" s="18">
        <v>0</v>
      </c>
      <c r="H3380" t="s">
        <v>16</v>
      </c>
      <c r="I3380" t="s">
        <v>23</v>
      </c>
    </row>
    <row r="3381" spans="1:9" x14ac:dyDescent="0.25">
      <c r="A3381">
        <v>1810</v>
      </c>
      <c r="B3381">
        <f>A3381+1</f>
        <v>1811</v>
      </c>
      <c r="C3381" t="s">
        <v>516</v>
      </c>
      <c r="D3381" t="s">
        <v>27</v>
      </c>
      <c r="E3381" s="208" t="s">
        <v>142</v>
      </c>
      <c r="F3381" t="s">
        <v>4</v>
      </c>
      <c r="G3381" s="18">
        <v>1758</v>
      </c>
      <c r="H3381" t="s">
        <v>16</v>
      </c>
      <c r="I3381" t="s">
        <v>23</v>
      </c>
    </row>
    <row r="3382" spans="1:9" x14ac:dyDescent="0.25">
      <c r="A3382">
        <v>1810</v>
      </c>
      <c r="B3382">
        <f>A3382+1</f>
        <v>1811</v>
      </c>
      <c r="C3382" t="s">
        <v>516</v>
      </c>
      <c r="D3382" t="s">
        <v>27</v>
      </c>
      <c r="E3382" s="208" t="s">
        <v>144</v>
      </c>
      <c r="F3382" t="s">
        <v>4</v>
      </c>
      <c r="G3382" s="18">
        <v>205</v>
      </c>
      <c r="H3382" t="s">
        <v>16</v>
      </c>
      <c r="I3382" t="s">
        <v>23</v>
      </c>
    </row>
    <row r="3383" spans="1:9" x14ac:dyDescent="0.25">
      <c r="A3383">
        <v>1810</v>
      </c>
      <c r="B3383">
        <f>A3383+1</f>
        <v>1811</v>
      </c>
      <c r="C3383" t="s">
        <v>516</v>
      </c>
      <c r="D3383" t="s">
        <v>27</v>
      </c>
      <c r="E3383" s="208" t="s">
        <v>124</v>
      </c>
      <c r="F3383" t="s">
        <v>4</v>
      </c>
      <c r="G3383" s="18">
        <v>204168</v>
      </c>
      <c r="H3383" t="s">
        <v>16</v>
      </c>
      <c r="I3383" t="s">
        <v>23</v>
      </c>
    </row>
    <row r="3384" spans="1:9" x14ac:dyDescent="0.25">
      <c r="A3384">
        <v>1810</v>
      </c>
      <c r="B3384">
        <f>A3384+1</f>
        <v>1811</v>
      </c>
      <c r="C3384" t="s">
        <v>516</v>
      </c>
      <c r="D3384" t="s">
        <v>26</v>
      </c>
      <c r="E3384" s="208" t="s">
        <v>57</v>
      </c>
      <c r="F3384" t="s">
        <v>4</v>
      </c>
      <c r="G3384" s="18">
        <v>63298</v>
      </c>
      <c r="H3384" t="s">
        <v>23</v>
      </c>
      <c r="I3384" t="s">
        <v>16</v>
      </c>
    </row>
    <row r="3385" spans="1:9" x14ac:dyDescent="0.25">
      <c r="A3385">
        <v>1810</v>
      </c>
      <c r="B3385">
        <f>A3385+1</f>
        <v>1811</v>
      </c>
      <c r="C3385" t="s">
        <v>516</v>
      </c>
      <c r="D3385" t="s">
        <v>26</v>
      </c>
      <c r="E3385" s="208" t="s">
        <v>35</v>
      </c>
      <c r="F3385" t="s">
        <v>4</v>
      </c>
      <c r="G3385" s="18">
        <v>6151</v>
      </c>
      <c r="H3385" t="s">
        <v>23</v>
      </c>
      <c r="I3385" t="s">
        <v>16</v>
      </c>
    </row>
    <row r="3386" spans="1:9" x14ac:dyDescent="0.25">
      <c r="A3386">
        <v>1810</v>
      </c>
      <c r="B3386">
        <f>A3386+1</f>
        <v>1811</v>
      </c>
      <c r="C3386" t="s">
        <v>516</v>
      </c>
      <c r="D3386" t="s">
        <v>26</v>
      </c>
      <c r="E3386" s="208" t="s">
        <v>36</v>
      </c>
      <c r="F3386" t="s">
        <v>4</v>
      </c>
      <c r="G3386" s="18">
        <v>1888</v>
      </c>
      <c r="H3386" t="s">
        <v>23</v>
      </c>
      <c r="I3386" t="s">
        <v>16</v>
      </c>
    </row>
    <row r="3387" spans="1:9" x14ac:dyDescent="0.25">
      <c r="A3387">
        <v>1810</v>
      </c>
      <c r="B3387">
        <f>A3387+1</f>
        <v>1811</v>
      </c>
      <c r="C3387" t="s">
        <v>516</v>
      </c>
      <c r="D3387" t="s">
        <v>26</v>
      </c>
      <c r="E3387" s="208" t="s">
        <v>39</v>
      </c>
      <c r="F3387" t="s">
        <v>4</v>
      </c>
      <c r="G3387" s="18">
        <v>3625</v>
      </c>
      <c r="H3387" t="s">
        <v>23</v>
      </c>
      <c r="I3387" t="s">
        <v>16</v>
      </c>
    </row>
    <row r="3388" spans="1:9" x14ac:dyDescent="0.25">
      <c r="A3388">
        <v>1810</v>
      </c>
      <c r="B3388">
        <f>A3388+1</f>
        <v>1811</v>
      </c>
      <c r="C3388" t="s">
        <v>516</v>
      </c>
      <c r="D3388" t="s">
        <v>26</v>
      </c>
      <c r="E3388" s="208" t="s">
        <v>99</v>
      </c>
      <c r="F3388" t="s">
        <v>4</v>
      </c>
      <c r="G3388" s="18">
        <v>4242</v>
      </c>
      <c r="H3388" t="s">
        <v>23</v>
      </c>
      <c r="I3388" t="s">
        <v>16</v>
      </c>
    </row>
    <row r="3389" spans="1:9" x14ac:dyDescent="0.25">
      <c r="A3389">
        <v>1810</v>
      </c>
      <c r="B3389">
        <f>A3389+1</f>
        <v>1811</v>
      </c>
      <c r="C3389" t="s">
        <v>516</v>
      </c>
      <c r="D3389" t="s">
        <v>26</v>
      </c>
      <c r="E3389" s="208" t="s">
        <v>351</v>
      </c>
      <c r="F3389" t="s">
        <v>4</v>
      </c>
      <c r="G3389" s="18">
        <v>1520</v>
      </c>
      <c r="H3389" t="s">
        <v>23</v>
      </c>
      <c r="I3389" t="s">
        <v>16</v>
      </c>
    </row>
    <row r="3390" spans="1:9" x14ac:dyDescent="0.25">
      <c r="A3390">
        <v>1810</v>
      </c>
      <c r="B3390">
        <f>A3390+1</f>
        <v>1811</v>
      </c>
      <c r="C3390" t="s">
        <v>516</v>
      </c>
      <c r="D3390" t="s">
        <v>26</v>
      </c>
      <c r="E3390" s="208" t="s">
        <v>367</v>
      </c>
      <c r="F3390" t="s">
        <v>4</v>
      </c>
      <c r="G3390" s="18">
        <v>904</v>
      </c>
      <c r="H3390" t="s">
        <v>23</v>
      </c>
      <c r="I3390" t="s">
        <v>16</v>
      </c>
    </row>
    <row r="3391" spans="1:9" x14ac:dyDescent="0.25">
      <c r="A3391">
        <v>1810</v>
      </c>
      <c r="B3391">
        <f>A3391+1</f>
        <v>1811</v>
      </c>
      <c r="C3391" t="s">
        <v>516</v>
      </c>
      <c r="D3391" t="s">
        <v>26</v>
      </c>
      <c r="E3391" s="208" t="s">
        <v>352</v>
      </c>
      <c r="F3391" t="s">
        <v>4</v>
      </c>
      <c r="G3391" s="18">
        <v>13470</v>
      </c>
      <c r="H3391" t="s">
        <v>23</v>
      </c>
      <c r="I3391" t="s">
        <v>16</v>
      </c>
    </row>
    <row r="3392" spans="1:9" x14ac:dyDescent="0.25">
      <c r="A3392">
        <v>1810</v>
      </c>
      <c r="B3392">
        <f>A3392+1</f>
        <v>1811</v>
      </c>
      <c r="C3392" t="s">
        <v>516</v>
      </c>
      <c r="D3392" t="s">
        <v>26</v>
      </c>
      <c r="E3392" s="208" t="s">
        <v>75</v>
      </c>
      <c r="F3392" t="s">
        <v>4</v>
      </c>
      <c r="G3392" s="18">
        <v>5234956</v>
      </c>
      <c r="H3392" t="s">
        <v>23</v>
      </c>
      <c r="I3392" t="s">
        <v>16</v>
      </c>
    </row>
    <row r="3393" spans="1:9" x14ac:dyDescent="0.25">
      <c r="A3393">
        <v>1810</v>
      </c>
      <c r="B3393">
        <f>A3393+1</f>
        <v>1811</v>
      </c>
      <c r="C3393" t="s">
        <v>516</v>
      </c>
      <c r="D3393" t="s">
        <v>26</v>
      </c>
      <c r="E3393" s="208" t="s">
        <v>107</v>
      </c>
      <c r="F3393" t="s">
        <v>4</v>
      </c>
      <c r="G3393" s="18">
        <v>2905337</v>
      </c>
      <c r="H3393" t="s">
        <v>23</v>
      </c>
      <c r="I3393" t="s">
        <v>16</v>
      </c>
    </row>
    <row r="3394" spans="1:9" x14ac:dyDescent="0.25">
      <c r="A3394">
        <v>1810</v>
      </c>
      <c r="B3394">
        <f>A3394+1</f>
        <v>1811</v>
      </c>
      <c r="C3394" t="s">
        <v>516</v>
      </c>
      <c r="D3394" t="s">
        <v>26</v>
      </c>
      <c r="E3394" s="208" t="s">
        <v>101</v>
      </c>
      <c r="F3394" t="s">
        <v>4</v>
      </c>
      <c r="G3394" s="18">
        <v>9868805</v>
      </c>
      <c r="H3394" t="s">
        <v>23</v>
      </c>
      <c r="I3394" t="s">
        <v>16</v>
      </c>
    </row>
    <row r="3395" spans="1:9" x14ac:dyDescent="0.25">
      <c r="A3395">
        <v>1810</v>
      </c>
      <c r="B3395">
        <f>A3395+1</f>
        <v>1811</v>
      </c>
      <c r="C3395" t="s">
        <v>516</v>
      </c>
      <c r="D3395" t="s">
        <v>27</v>
      </c>
      <c r="E3395" s="208" t="s">
        <v>155</v>
      </c>
      <c r="F3395" t="s">
        <v>7</v>
      </c>
      <c r="G3395" s="18">
        <v>28476</v>
      </c>
      <c r="H3395" t="s">
        <v>16</v>
      </c>
      <c r="I3395" s="151" t="s">
        <v>562</v>
      </c>
    </row>
    <row r="3396" spans="1:9" x14ac:dyDescent="0.25">
      <c r="A3396">
        <v>1810</v>
      </c>
      <c r="B3396">
        <f>A3396+1</f>
        <v>1811</v>
      </c>
      <c r="C3396" t="s">
        <v>516</v>
      </c>
      <c r="D3396" t="s">
        <v>27</v>
      </c>
      <c r="E3396" s="208" t="s">
        <v>156</v>
      </c>
      <c r="F3396" t="s">
        <v>7</v>
      </c>
      <c r="G3396" s="18">
        <v>3215</v>
      </c>
      <c r="H3396" t="s">
        <v>16</v>
      </c>
      <c r="I3396" s="151" t="s">
        <v>562</v>
      </c>
    </row>
    <row r="3397" spans="1:9" x14ac:dyDescent="0.25">
      <c r="A3397">
        <v>1810</v>
      </c>
      <c r="B3397">
        <f>A3397+1</f>
        <v>1811</v>
      </c>
      <c r="C3397" t="s">
        <v>516</v>
      </c>
      <c r="D3397" t="s">
        <v>27</v>
      </c>
      <c r="E3397" s="208" t="s">
        <v>154</v>
      </c>
      <c r="F3397" t="s">
        <v>7</v>
      </c>
      <c r="G3397" s="18">
        <v>1693</v>
      </c>
      <c r="H3397" t="s">
        <v>16</v>
      </c>
      <c r="I3397" s="151" t="s">
        <v>562</v>
      </c>
    </row>
    <row r="3398" spans="1:9" x14ac:dyDescent="0.25">
      <c r="A3398">
        <v>1810</v>
      </c>
      <c r="B3398">
        <f>A3398+1</f>
        <v>1811</v>
      </c>
      <c r="C3398" t="s">
        <v>516</v>
      </c>
      <c r="D3398" t="s">
        <v>27</v>
      </c>
      <c r="E3398" s="208" t="s">
        <v>150</v>
      </c>
      <c r="F3398" t="s">
        <v>7</v>
      </c>
      <c r="G3398" s="18">
        <v>11494</v>
      </c>
      <c r="H3398" t="s">
        <v>16</v>
      </c>
      <c r="I3398" s="151" t="s">
        <v>562</v>
      </c>
    </row>
    <row r="3399" spans="1:9" x14ac:dyDescent="0.25">
      <c r="A3399">
        <v>1810</v>
      </c>
      <c r="B3399">
        <f>A3399+1</f>
        <v>1811</v>
      </c>
      <c r="C3399" t="s">
        <v>516</v>
      </c>
      <c r="D3399" t="s">
        <v>27</v>
      </c>
      <c r="E3399" s="208" t="s">
        <v>148</v>
      </c>
      <c r="F3399" t="s">
        <v>7</v>
      </c>
      <c r="G3399" s="18">
        <v>879</v>
      </c>
      <c r="H3399" t="s">
        <v>16</v>
      </c>
      <c r="I3399" s="151" t="s">
        <v>562</v>
      </c>
    </row>
    <row r="3400" spans="1:9" x14ac:dyDescent="0.25">
      <c r="A3400">
        <v>1810</v>
      </c>
      <c r="B3400">
        <f>A3400+1</f>
        <v>1811</v>
      </c>
      <c r="C3400" t="s">
        <v>516</v>
      </c>
      <c r="D3400" t="s">
        <v>27</v>
      </c>
      <c r="E3400" s="208" t="s">
        <v>139</v>
      </c>
      <c r="F3400" t="s">
        <v>7</v>
      </c>
      <c r="G3400" s="18">
        <v>77</v>
      </c>
      <c r="H3400" t="s">
        <v>16</v>
      </c>
      <c r="I3400" s="151" t="s">
        <v>562</v>
      </c>
    </row>
    <row r="3401" spans="1:9" x14ac:dyDescent="0.25">
      <c r="A3401">
        <v>1810</v>
      </c>
      <c r="B3401">
        <f>A3401+1</f>
        <v>1811</v>
      </c>
      <c r="C3401" t="s">
        <v>516</v>
      </c>
      <c r="D3401" t="s">
        <v>27</v>
      </c>
      <c r="E3401" s="208" t="s">
        <v>130</v>
      </c>
      <c r="F3401" t="s">
        <v>7</v>
      </c>
      <c r="G3401" s="18">
        <v>326</v>
      </c>
      <c r="H3401" t="s">
        <v>16</v>
      </c>
      <c r="I3401" s="151" t="s">
        <v>562</v>
      </c>
    </row>
    <row r="3402" spans="1:9" x14ac:dyDescent="0.25">
      <c r="A3402">
        <v>1810</v>
      </c>
      <c r="B3402">
        <f>A3402+1</f>
        <v>1811</v>
      </c>
      <c r="C3402" t="s">
        <v>516</v>
      </c>
      <c r="D3402" t="s">
        <v>27</v>
      </c>
      <c r="E3402" s="208" t="s">
        <v>132</v>
      </c>
      <c r="F3402" t="s">
        <v>7</v>
      </c>
      <c r="G3402" s="18">
        <v>619</v>
      </c>
      <c r="H3402" t="s">
        <v>16</v>
      </c>
      <c r="I3402" s="151" t="s">
        <v>562</v>
      </c>
    </row>
    <row r="3403" spans="1:9" x14ac:dyDescent="0.25">
      <c r="A3403">
        <v>1810</v>
      </c>
      <c r="B3403">
        <f>A3403+1</f>
        <v>1811</v>
      </c>
      <c r="C3403" t="s">
        <v>516</v>
      </c>
      <c r="D3403" t="s">
        <v>27</v>
      </c>
      <c r="E3403" s="208" t="s">
        <v>142</v>
      </c>
      <c r="F3403" t="s">
        <v>7</v>
      </c>
      <c r="G3403" s="18">
        <v>4604</v>
      </c>
      <c r="H3403" t="s">
        <v>16</v>
      </c>
      <c r="I3403" s="151" t="s">
        <v>562</v>
      </c>
    </row>
    <row r="3404" spans="1:9" x14ac:dyDescent="0.25">
      <c r="A3404">
        <v>1810</v>
      </c>
      <c r="B3404">
        <f>A3404+1</f>
        <v>1811</v>
      </c>
      <c r="C3404" t="s">
        <v>516</v>
      </c>
      <c r="D3404" t="s">
        <v>27</v>
      </c>
      <c r="E3404" s="208" t="s">
        <v>144</v>
      </c>
      <c r="F3404" t="s">
        <v>7</v>
      </c>
      <c r="G3404" s="18">
        <v>273</v>
      </c>
      <c r="H3404" t="s">
        <v>16</v>
      </c>
      <c r="I3404" s="151" t="s">
        <v>562</v>
      </c>
    </row>
    <row r="3405" spans="1:9" x14ac:dyDescent="0.25">
      <c r="A3405">
        <v>1810</v>
      </c>
      <c r="B3405">
        <f>A3405+1</f>
        <v>1811</v>
      </c>
      <c r="C3405" t="s">
        <v>516</v>
      </c>
      <c r="D3405" t="s">
        <v>27</v>
      </c>
      <c r="E3405" s="208" t="s">
        <v>124</v>
      </c>
      <c r="F3405" t="s">
        <v>7</v>
      </c>
      <c r="G3405" s="18">
        <v>8385624</v>
      </c>
      <c r="H3405" t="s">
        <v>16</v>
      </c>
      <c r="I3405" s="151" t="s">
        <v>562</v>
      </c>
    </row>
    <row r="3406" spans="1:9" x14ac:dyDescent="0.25">
      <c r="A3406">
        <v>1810</v>
      </c>
      <c r="B3406">
        <f>A3406+1</f>
        <v>1811</v>
      </c>
      <c r="C3406" t="s">
        <v>516</v>
      </c>
      <c r="D3406" t="s">
        <v>26</v>
      </c>
      <c r="E3406" s="208" t="s">
        <v>57</v>
      </c>
      <c r="F3406" t="s">
        <v>7</v>
      </c>
      <c r="G3406" s="18">
        <v>64753</v>
      </c>
      <c r="H3406" s="151" t="s">
        <v>563</v>
      </c>
      <c r="I3406" t="s">
        <v>16</v>
      </c>
    </row>
    <row r="3407" spans="1:9" x14ac:dyDescent="0.25">
      <c r="A3407">
        <v>1810</v>
      </c>
      <c r="B3407">
        <f>A3407+1</f>
        <v>1811</v>
      </c>
      <c r="C3407" t="s">
        <v>516</v>
      </c>
      <c r="D3407" t="s">
        <v>26</v>
      </c>
      <c r="E3407" s="208" t="s">
        <v>35</v>
      </c>
      <c r="F3407" t="s">
        <v>7</v>
      </c>
      <c r="G3407" s="18">
        <v>6151</v>
      </c>
      <c r="H3407" s="151" t="s">
        <v>563</v>
      </c>
      <c r="I3407" t="s">
        <v>16</v>
      </c>
    </row>
    <row r="3408" spans="1:9" x14ac:dyDescent="0.25">
      <c r="A3408">
        <v>1810</v>
      </c>
      <c r="B3408">
        <f>A3408+1</f>
        <v>1811</v>
      </c>
      <c r="C3408" t="s">
        <v>516</v>
      </c>
      <c r="D3408" t="s">
        <v>26</v>
      </c>
      <c r="E3408" s="208" t="s">
        <v>36</v>
      </c>
      <c r="F3408" t="s">
        <v>7</v>
      </c>
      <c r="G3408" s="18">
        <v>1903</v>
      </c>
      <c r="H3408" s="151" t="s">
        <v>563</v>
      </c>
      <c r="I3408" t="s">
        <v>16</v>
      </c>
    </row>
    <row r="3409" spans="1:9" x14ac:dyDescent="0.25">
      <c r="A3409">
        <v>1810</v>
      </c>
      <c r="B3409">
        <f>A3409+1</f>
        <v>1811</v>
      </c>
      <c r="C3409" t="s">
        <v>516</v>
      </c>
      <c r="D3409" t="s">
        <v>26</v>
      </c>
      <c r="E3409" s="208" t="s">
        <v>39</v>
      </c>
      <c r="F3409" t="s">
        <v>7</v>
      </c>
      <c r="G3409" s="18">
        <v>4775</v>
      </c>
      <c r="H3409" s="151" t="s">
        <v>563</v>
      </c>
      <c r="I3409" t="s">
        <v>16</v>
      </c>
    </row>
    <row r="3410" spans="1:9" x14ac:dyDescent="0.25">
      <c r="A3410">
        <v>1810</v>
      </c>
      <c r="B3410">
        <f>A3410+1</f>
        <v>1811</v>
      </c>
      <c r="C3410" t="s">
        <v>516</v>
      </c>
      <c r="D3410" t="s">
        <v>26</v>
      </c>
      <c r="E3410" s="208" t="s">
        <v>94</v>
      </c>
      <c r="F3410" t="s">
        <v>7</v>
      </c>
      <c r="G3410" s="18">
        <v>0</v>
      </c>
      <c r="H3410" s="151" t="s">
        <v>563</v>
      </c>
      <c r="I3410" t="s">
        <v>16</v>
      </c>
    </row>
    <row r="3411" spans="1:9" x14ac:dyDescent="0.25">
      <c r="A3411">
        <v>1810</v>
      </c>
      <c r="B3411">
        <f>A3411+1</f>
        <v>1811</v>
      </c>
      <c r="C3411" t="s">
        <v>516</v>
      </c>
      <c r="D3411" t="s">
        <v>26</v>
      </c>
      <c r="E3411" s="208" t="s">
        <v>99</v>
      </c>
      <c r="F3411" t="s">
        <v>7</v>
      </c>
      <c r="G3411" s="18">
        <v>4248</v>
      </c>
      <c r="H3411" s="151" t="s">
        <v>563</v>
      </c>
      <c r="I3411" t="s">
        <v>16</v>
      </c>
    </row>
    <row r="3412" spans="1:9" x14ac:dyDescent="0.25">
      <c r="A3412">
        <v>1810</v>
      </c>
      <c r="B3412">
        <f>A3412+1</f>
        <v>1811</v>
      </c>
      <c r="C3412" t="s">
        <v>516</v>
      </c>
      <c r="D3412" t="s">
        <v>26</v>
      </c>
      <c r="E3412" s="208" t="s">
        <v>28</v>
      </c>
      <c r="F3412" t="s">
        <v>7</v>
      </c>
      <c r="G3412" s="18">
        <v>429</v>
      </c>
      <c r="H3412" s="151" t="s">
        <v>563</v>
      </c>
      <c r="I3412" t="s">
        <v>16</v>
      </c>
    </row>
    <row r="3413" spans="1:9" x14ac:dyDescent="0.25">
      <c r="A3413">
        <v>1810</v>
      </c>
      <c r="B3413">
        <f>A3413+1</f>
        <v>1811</v>
      </c>
      <c r="C3413" t="s">
        <v>516</v>
      </c>
      <c r="D3413" t="s">
        <v>26</v>
      </c>
      <c r="E3413" s="208" t="s">
        <v>89</v>
      </c>
      <c r="F3413" t="s">
        <v>7</v>
      </c>
      <c r="G3413" s="18">
        <v>455</v>
      </c>
      <c r="H3413" s="151" t="s">
        <v>563</v>
      </c>
      <c r="I3413" t="s">
        <v>16</v>
      </c>
    </row>
    <row r="3414" spans="1:9" x14ac:dyDescent="0.25">
      <c r="A3414">
        <v>1810</v>
      </c>
      <c r="B3414">
        <f>A3414+1</f>
        <v>1811</v>
      </c>
      <c r="C3414" t="s">
        <v>516</v>
      </c>
      <c r="D3414" t="s">
        <v>26</v>
      </c>
      <c r="E3414" s="208" t="s">
        <v>45</v>
      </c>
      <c r="F3414" t="s">
        <v>7</v>
      </c>
      <c r="G3414" s="18">
        <v>253</v>
      </c>
      <c r="H3414" s="151" t="s">
        <v>563</v>
      </c>
      <c r="I3414" t="s">
        <v>16</v>
      </c>
    </row>
    <row r="3415" spans="1:9" x14ac:dyDescent="0.25">
      <c r="A3415">
        <v>1810</v>
      </c>
      <c r="B3415">
        <f>A3415+1</f>
        <v>1811</v>
      </c>
      <c r="C3415" t="s">
        <v>516</v>
      </c>
      <c r="D3415" t="s">
        <v>26</v>
      </c>
      <c r="E3415" s="208" t="s">
        <v>54</v>
      </c>
      <c r="F3415" t="s">
        <v>7</v>
      </c>
      <c r="G3415" s="18">
        <v>0</v>
      </c>
      <c r="H3415" s="151" t="s">
        <v>563</v>
      </c>
      <c r="I3415" t="s">
        <v>16</v>
      </c>
    </row>
    <row r="3416" spans="1:9" x14ac:dyDescent="0.25">
      <c r="A3416">
        <v>1810</v>
      </c>
      <c r="B3416">
        <f>A3416+1</f>
        <v>1811</v>
      </c>
      <c r="C3416" t="s">
        <v>516</v>
      </c>
      <c r="D3416" t="s">
        <v>26</v>
      </c>
      <c r="E3416" s="208" t="s">
        <v>53</v>
      </c>
      <c r="F3416" t="s">
        <v>7</v>
      </c>
      <c r="G3416" s="18">
        <v>0</v>
      </c>
      <c r="H3416" s="151" t="s">
        <v>563</v>
      </c>
      <c r="I3416" t="s">
        <v>16</v>
      </c>
    </row>
    <row r="3417" spans="1:9" x14ac:dyDescent="0.25">
      <c r="A3417">
        <v>1810</v>
      </c>
      <c r="B3417">
        <f>A3417+1</f>
        <v>1811</v>
      </c>
      <c r="C3417" t="s">
        <v>516</v>
      </c>
      <c r="D3417" t="s">
        <v>26</v>
      </c>
      <c r="E3417" s="208" t="s">
        <v>351</v>
      </c>
      <c r="F3417" t="s">
        <v>7</v>
      </c>
      <c r="G3417" s="18">
        <v>1520</v>
      </c>
      <c r="H3417" s="151" t="s">
        <v>563</v>
      </c>
      <c r="I3417" t="s">
        <v>16</v>
      </c>
    </row>
    <row r="3418" spans="1:9" x14ac:dyDescent="0.25">
      <c r="A3418">
        <v>1810</v>
      </c>
      <c r="B3418">
        <f>A3418+1</f>
        <v>1811</v>
      </c>
      <c r="C3418" t="s">
        <v>516</v>
      </c>
      <c r="D3418" t="s">
        <v>26</v>
      </c>
      <c r="E3418" s="208" t="s">
        <v>367</v>
      </c>
      <c r="F3418" t="s">
        <v>7</v>
      </c>
      <c r="G3418" s="18">
        <v>904</v>
      </c>
      <c r="H3418" s="151" t="s">
        <v>563</v>
      </c>
      <c r="I3418" t="s">
        <v>16</v>
      </c>
    </row>
    <row r="3419" spans="1:9" x14ac:dyDescent="0.25">
      <c r="A3419">
        <v>1810</v>
      </c>
      <c r="B3419">
        <f>A3419+1</f>
        <v>1811</v>
      </c>
      <c r="C3419" t="s">
        <v>516</v>
      </c>
      <c r="D3419" t="s">
        <v>26</v>
      </c>
      <c r="E3419" s="208" t="s">
        <v>352</v>
      </c>
      <c r="F3419" t="s">
        <v>7</v>
      </c>
      <c r="G3419" s="18">
        <v>13470</v>
      </c>
      <c r="H3419" s="151" t="s">
        <v>563</v>
      </c>
      <c r="I3419" t="s">
        <v>16</v>
      </c>
    </row>
    <row r="3420" spans="1:9" x14ac:dyDescent="0.25">
      <c r="A3420">
        <v>1810</v>
      </c>
      <c r="B3420">
        <f>A3420+1</f>
        <v>1811</v>
      </c>
      <c r="C3420" t="s">
        <v>516</v>
      </c>
      <c r="D3420" t="s">
        <v>26</v>
      </c>
      <c r="E3420" s="208" t="s">
        <v>75</v>
      </c>
      <c r="F3420" t="s">
        <v>7</v>
      </c>
      <c r="G3420" s="18">
        <v>5685499</v>
      </c>
      <c r="H3420" s="151" t="s">
        <v>563</v>
      </c>
      <c r="I3420" t="s">
        <v>16</v>
      </c>
    </row>
    <row r="3421" spans="1:9" x14ac:dyDescent="0.25">
      <c r="A3421">
        <v>1810</v>
      </c>
      <c r="B3421">
        <f>A3421+1</f>
        <v>1811</v>
      </c>
      <c r="C3421" t="s">
        <v>516</v>
      </c>
      <c r="D3421" t="s">
        <v>26</v>
      </c>
      <c r="E3421" s="208" t="s">
        <v>107</v>
      </c>
      <c r="F3421" t="s">
        <v>7</v>
      </c>
      <c r="G3421" s="18">
        <v>3028206</v>
      </c>
      <c r="H3421" s="151" t="s">
        <v>563</v>
      </c>
      <c r="I3421" t="s">
        <v>16</v>
      </c>
    </row>
    <row r="3422" spans="1:9" x14ac:dyDescent="0.25">
      <c r="A3422">
        <v>1810</v>
      </c>
      <c r="B3422">
        <f>A3422+1</f>
        <v>1811</v>
      </c>
      <c r="C3422" t="s">
        <v>516</v>
      </c>
      <c r="D3422" t="s">
        <v>26</v>
      </c>
      <c r="E3422" s="208" t="s">
        <v>101</v>
      </c>
      <c r="F3422" t="s">
        <v>7</v>
      </c>
      <c r="G3422" s="18">
        <v>9974505</v>
      </c>
      <c r="H3422" s="151" t="s">
        <v>563</v>
      </c>
      <c r="I3422" t="s">
        <v>16</v>
      </c>
    </row>
    <row r="3423" spans="1:9" x14ac:dyDescent="0.25">
      <c r="A3423">
        <v>1810</v>
      </c>
      <c r="B3423">
        <f>A3423+1</f>
        <v>1811</v>
      </c>
      <c r="C3423" t="s">
        <v>516</v>
      </c>
      <c r="D3423" t="s">
        <v>26</v>
      </c>
      <c r="E3423" s="208" t="s">
        <v>65</v>
      </c>
      <c r="F3423" t="s">
        <v>7</v>
      </c>
      <c r="G3423" s="18">
        <v>6295</v>
      </c>
      <c r="H3423" s="151" t="s">
        <v>563</v>
      </c>
      <c r="I3423" t="s">
        <v>16</v>
      </c>
    </row>
    <row r="3424" spans="1:9" x14ac:dyDescent="0.25">
      <c r="A3424">
        <v>1810</v>
      </c>
      <c r="B3424">
        <f>A3424+1</f>
        <v>1811</v>
      </c>
      <c r="C3424" t="s">
        <v>516</v>
      </c>
      <c r="D3424" t="s">
        <v>26</v>
      </c>
      <c r="E3424" s="208" t="s">
        <v>88</v>
      </c>
      <c r="F3424" t="s">
        <v>7</v>
      </c>
      <c r="G3424" s="18">
        <v>256</v>
      </c>
      <c r="H3424" s="151" t="s">
        <v>563</v>
      </c>
      <c r="I3424" t="s">
        <v>16</v>
      </c>
    </row>
    <row r="3425" spans="1:9" x14ac:dyDescent="0.25">
      <c r="A3425">
        <v>1810</v>
      </c>
      <c r="B3425">
        <f>A3425+1</f>
        <v>1811</v>
      </c>
      <c r="C3425" t="s">
        <v>516</v>
      </c>
      <c r="D3425" t="s">
        <v>26</v>
      </c>
      <c r="E3425" s="208" t="s">
        <v>330</v>
      </c>
      <c r="F3425" t="s">
        <v>7</v>
      </c>
      <c r="G3425" s="18">
        <v>2344</v>
      </c>
      <c r="H3425" s="151" t="s">
        <v>563</v>
      </c>
      <c r="I3425" t="s">
        <v>16</v>
      </c>
    </row>
    <row r="3426" spans="1:9" x14ac:dyDescent="0.25">
      <c r="A3426">
        <v>1810</v>
      </c>
      <c r="B3426">
        <f>A3426+1</f>
        <v>1811</v>
      </c>
      <c r="C3426" t="s">
        <v>516</v>
      </c>
      <c r="D3426" t="s">
        <v>26</v>
      </c>
      <c r="E3426" s="208" t="s">
        <v>331</v>
      </c>
      <c r="F3426" t="s">
        <v>7</v>
      </c>
      <c r="G3426" s="18">
        <v>2293</v>
      </c>
      <c r="H3426" s="151" t="s">
        <v>563</v>
      </c>
      <c r="I3426" t="s">
        <v>16</v>
      </c>
    </row>
    <row r="3427" spans="1:9" x14ac:dyDescent="0.25">
      <c r="A3427">
        <v>1810</v>
      </c>
      <c r="B3427">
        <f>A3427+1</f>
        <v>1811</v>
      </c>
      <c r="C3427" t="s">
        <v>516</v>
      </c>
      <c r="D3427" t="s">
        <v>26</v>
      </c>
      <c r="E3427" s="208" t="s">
        <v>332</v>
      </c>
      <c r="F3427" t="s">
        <v>7</v>
      </c>
      <c r="G3427" s="18">
        <v>515</v>
      </c>
      <c r="H3427" s="151" t="s">
        <v>563</v>
      </c>
      <c r="I3427" t="s">
        <v>16</v>
      </c>
    </row>
    <row r="3428" spans="1:9" x14ac:dyDescent="0.25">
      <c r="A3428">
        <v>1810</v>
      </c>
      <c r="B3428">
        <f>A3428+1</f>
        <v>1811</v>
      </c>
      <c r="C3428" t="s">
        <v>516</v>
      </c>
      <c r="D3428" t="s">
        <v>26</v>
      </c>
      <c r="E3428" s="208" t="s">
        <v>333</v>
      </c>
      <c r="F3428" t="s">
        <v>7</v>
      </c>
      <c r="G3428" s="18">
        <v>890</v>
      </c>
      <c r="H3428" s="151" t="s">
        <v>563</v>
      </c>
      <c r="I3428" t="s">
        <v>16</v>
      </c>
    </row>
    <row r="3429" spans="1:9" x14ac:dyDescent="0.25">
      <c r="A3429">
        <v>1810</v>
      </c>
      <c r="B3429">
        <f>A3429+1</f>
        <v>1811</v>
      </c>
      <c r="C3429" t="s">
        <v>516</v>
      </c>
      <c r="D3429" t="s">
        <v>27</v>
      </c>
      <c r="E3429" s="208" t="s">
        <v>155</v>
      </c>
      <c r="F3429" t="s">
        <v>10</v>
      </c>
      <c r="G3429" s="18">
        <v>44</v>
      </c>
      <c r="H3429" t="s">
        <v>17</v>
      </c>
      <c r="I3429" t="s">
        <v>24</v>
      </c>
    </row>
    <row r="3430" spans="1:9" x14ac:dyDescent="0.25">
      <c r="A3430">
        <v>1810</v>
      </c>
      <c r="B3430">
        <f>A3430+1</f>
        <v>1811</v>
      </c>
      <c r="C3430" t="s">
        <v>516</v>
      </c>
      <c r="D3430" t="s">
        <v>27</v>
      </c>
      <c r="E3430" s="208" t="s">
        <v>156</v>
      </c>
      <c r="F3430" t="s">
        <v>10</v>
      </c>
      <c r="G3430" s="18">
        <v>172</v>
      </c>
      <c r="H3430" t="s">
        <v>17</v>
      </c>
      <c r="I3430" t="s">
        <v>24</v>
      </c>
    </row>
    <row r="3431" spans="1:9" x14ac:dyDescent="0.25">
      <c r="A3431">
        <v>1810</v>
      </c>
      <c r="B3431">
        <f>A3431+1</f>
        <v>1811</v>
      </c>
      <c r="C3431" t="s">
        <v>516</v>
      </c>
      <c r="D3431" t="s">
        <v>27</v>
      </c>
      <c r="E3431" s="208" t="s">
        <v>154</v>
      </c>
      <c r="F3431" t="s">
        <v>10</v>
      </c>
      <c r="G3431" s="18">
        <v>335</v>
      </c>
      <c r="H3431" t="s">
        <v>17</v>
      </c>
      <c r="I3431" t="s">
        <v>24</v>
      </c>
    </row>
    <row r="3432" spans="1:9" x14ac:dyDescent="0.25">
      <c r="A3432">
        <v>1810</v>
      </c>
      <c r="B3432">
        <f>A3432+1</f>
        <v>1811</v>
      </c>
      <c r="C3432" t="s">
        <v>516</v>
      </c>
      <c r="D3432" t="s">
        <v>27</v>
      </c>
      <c r="E3432" s="208" t="s">
        <v>150</v>
      </c>
      <c r="F3432" t="s">
        <v>10</v>
      </c>
      <c r="G3432" s="18">
        <v>2152</v>
      </c>
      <c r="H3432" t="s">
        <v>17</v>
      </c>
      <c r="I3432" t="s">
        <v>24</v>
      </c>
    </row>
    <row r="3433" spans="1:9" x14ac:dyDescent="0.25">
      <c r="A3433">
        <v>1810</v>
      </c>
      <c r="B3433">
        <f>A3433+1</f>
        <v>1811</v>
      </c>
      <c r="C3433" t="s">
        <v>516</v>
      </c>
      <c r="D3433" t="s">
        <v>27</v>
      </c>
      <c r="E3433" s="208" t="s">
        <v>148</v>
      </c>
      <c r="F3433" t="s">
        <v>10</v>
      </c>
      <c r="G3433" s="18">
        <v>88</v>
      </c>
      <c r="H3433" t="s">
        <v>17</v>
      </c>
      <c r="I3433" t="s">
        <v>24</v>
      </c>
    </row>
    <row r="3434" spans="1:9" x14ac:dyDescent="0.25">
      <c r="A3434">
        <v>1810</v>
      </c>
      <c r="B3434">
        <f>A3434+1</f>
        <v>1811</v>
      </c>
      <c r="C3434" t="s">
        <v>516</v>
      </c>
      <c r="D3434" t="s">
        <v>27</v>
      </c>
      <c r="E3434" s="208" t="s">
        <v>139</v>
      </c>
      <c r="F3434" t="s">
        <v>10</v>
      </c>
      <c r="G3434" s="18">
        <v>24</v>
      </c>
      <c r="H3434" t="s">
        <v>17</v>
      </c>
      <c r="I3434" t="s">
        <v>24</v>
      </c>
    </row>
    <row r="3435" spans="1:9" x14ac:dyDescent="0.25">
      <c r="A3435">
        <v>1810</v>
      </c>
      <c r="B3435">
        <f>A3435+1</f>
        <v>1811</v>
      </c>
      <c r="C3435" t="s">
        <v>516</v>
      </c>
      <c r="D3435" t="s">
        <v>27</v>
      </c>
      <c r="E3435" s="208" t="s">
        <v>130</v>
      </c>
      <c r="F3435" t="s">
        <v>10</v>
      </c>
      <c r="G3435" s="18">
        <v>24</v>
      </c>
      <c r="H3435" t="s">
        <v>17</v>
      </c>
      <c r="I3435" t="s">
        <v>24</v>
      </c>
    </row>
    <row r="3436" spans="1:9" x14ac:dyDescent="0.25">
      <c r="A3436">
        <v>1810</v>
      </c>
      <c r="B3436">
        <f>A3436+1</f>
        <v>1811</v>
      </c>
      <c r="C3436" t="s">
        <v>516</v>
      </c>
      <c r="D3436" t="s">
        <v>27</v>
      </c>
      <c r="E3436" s="208" t="s">
        <v>132</v>
      </c>
      <c r="F3436" t="s">
        <v>10</v>
      </c>
      <c r="G3436" s="18">
        <v>9</v>
      </c>
      <c r="H3436" t="s">
        <v>17</v>
      </c>
      <c r="I3436" t="s">
        <v>24</v>
      </c>
    </row>
    <row r="3437" spans="1:9" x14ac:dyDescent="0.25">
      <c r="A3437">
        <v>1810</v>
      </c>
      <c r="B3437">
        <f>A3437+1</f>
        <v>1811</v>
      </c>
      <c r="C3437" t="s">
        <v>516</v>
      </c>
      <c r="D3437" t="s">
        <v>27</v>
      </c>
      <c r="E3437" s="208" t="s">
        <v>142</v>
      </c>
      <c r="F3437" t="s">
        <v>10</v>
      </c>
      <c r="G3437" s="18">
        <v>162</v>
      </c>
      <c r="H3437" t="s">
        <v>17</v>
      </c>
      <c r="I3437" t="s">
        <v>24</v>
      </c>
    </row>
    <row r="3438" spans="1:9" x14ac:dyDescent="0.25">
      <c r="A3438">
        <v>1810</v>
      </c>
      <c r="B3438">
        <f>A3438+1</f>
        <v>1811</v>
      </c>
      <c r="C3438" t="s">
        <v>516</v>
      </c>
      <c r="D3438" t="s">
        <v>27</v>
      </c>
      <c r="E3438" s="208" t="s">
        <v>144</v>
      </c>
      <c r="F3438" t="s">
        <v>10</v>
      </c>
      <c r="G3438" s="18">
        <v>2</v>
      </c>
      <c r="H3438" t="s">
        <v>17</v>
      </c>
      <c r="I3438" t="s">
        <v>24</v>
      </c>
    </row>
    <row r="3439" spans="1:9" x14ac:dyDescent="0.25">
      <c r="A3439">
        <v>1810</v>
      </c>
      <c r="B3439">
        <f>A3439+1</f>
        <v>1811</v>
      </c>
      <c r="C3439" t="s">
        <v>516</v>
      </c>
      <c r="D3439" t="s">
        <v>27</v>
      </c>
      <c r="E3439" s="208" t="s">
        <v>124</v>
      </c>
      <c r="F3439" t="s">
        <v>10</v>
      </c>
      <c r="G3439" s="18">
        <v>41181</v>
      </c>
      <c r="H3439" t="s">
        <v>17</v>
      </c>
      <c r="I3439" t="s">
        <v>24</v>
      </c>
    </row>
    <row r="3440" spans="1:9" x14ac:dyDescent="0.25">
      <c r="A3440">
        <v>1810</v>
      </c>
      <c r="B3440">
        <f>A3440+1</f>
        <v>1811</v>
      </c>
      <c r="C3440" t="s">
        <v>516</v>
      </c>
      <c r="D3440" t="s">
        <v>26</v>
      </c>
      <c r="E3440" s="208" t="s">
        <v>57</v>
      </c>
      <c r="F3440" t="s">
        <v>10</v>
      </c>
      <c r="G3440" s="18">
        <v>531</v>
      </c>
      <c r="H3440" t="s">
        <v>24</v>
      </c>
      <c r="I3440" t="s">
        <v>17</v>
      </c>
    </row>
    <row r="3441" spans="1:9" x14ac:dyDescent="0.25">
      <c r="A3441">
        <v>1810</v>
      </c>
      <c r="B3441">
        <f>A3441+1</f>
        <v>1811</v>
      </c>
      <c r="C3441" t="s">
        <v>516</v>
      </c>
      <c r="D3441" t="s">
        <v>26</v>
      </c>
      <c r="E3441" s="208" t="s">
        <v>36</v>
      </c>
      <c r="F3441" t="s">
        <v>10</v>
      </c>
      <c r="G3441" s="18">
        <v>147</v>
      </c>
      <c r="H3441" t="s">
        <v>24</v>
      </c>
      <c r="I3441" t="s">
        <v>17</v>
      </c>
    </row>
    <row r="3442" spans="1:9" x14ac:dyDescent="0.25">
      <c r="A3442">
        <v>1810</v>
      </c>
      <c r="B3442">
        <f>A3442+1</f>
        <v>1811</v>
      </c>
      <c r="C3442" t="s">
        <v>516</v>
      </c>
      <c r="D3442" t="s">
        <v>26</v>
      </c>
      <c r="E3442" s="208" t="s">
        <v>39</v>
      </c>
      <c r="F3442" t="s">
        <v>10</v>
      </c>
      <c r="G3442" s="18">
        <v>0</v>
      </c>
      <c r="H3442" t="s">
        <v>24</v>
      </c>
      <c r="I3442" t="s">
        <v>17</v>
      </c>
    </row>
    <row r="3443" spans="1:9" x14ac:dyDescent="0.25">
      <c r="A3443">
        <v>1810</v>
      </c>
      <c r="B3443">
        <f>A3443+1</f>
        <v>1811</v>
      </c>
      <c r="C3443" t="s">
        <v>516</v>
      </c>
      <c r="D3443" t="s">
        <v>26</v>
      </c>
      <c r="E3443" s="208" t="s">
        <v>99</v>
      </c>
      <c r="F3443" t="s">
        <v>10</v>
      </c>
      <c r="G3443" s="18">
        <v>21</v>
      </c>
      <c r="H3443" t="s">
        <v>24</v>
      </c>
      <c r="I3443" t="s">
        <v>17</v>
      </c>
    </row>
    <row r="3444" spans="1:9" x14ac:dyDescent="0.25">
      <c r="A3444">
        <v>1810</v>
      </c>
      <c r="B3444">
        <f>A3444+1</f>
        <v>1811</v>
      </c>
      <c r="C3444" t="s">
        <v>516</v>
      </c>
      <c r="D3444" t="s">
        <v>26</v>
      </c>
      <c r="E3444" s="208" t="s">
        <v>28</v>
      </c>
      <c r="F3444" t="s">
        <v>10</v>
      </c>
      <c r="G3444" s="18">
        <v>146</v>
      </c>
      <c r="H3444" t="s">
        <v>24</v>
      </c>
      <c r="I3444" t="s">
        <v>17</v>
      </c>
    </row>
    <row r="3445" spans="1:9" x14ac:dyDescent="0.25">
      <c r="A3445">
        <v>1810</v>
      </c>
      <c r="B3445">
        <f>A3445+1</f>
        <v>1811</v>
      </c>
      <c r="C3445" t="s">
        <v>516</v>
      </c>
      <c r="D3445" t="s">
        <v>26</v>
      </c>
      <c r="E3445" s="208" t="s">
        <v>89</v>
      </c>
      <c r="F3445" t="s">
        <v>10</v>
      </c>
      <c r="G3445" s="18">
        <v>333</v>
      </c>
      <c r="H3445" t="s">
        <v>24</v>
      </c>
      <c r="I3445" t="s">
        <v>17</v>
      </c>
    </row>
    <row r="3446" spans="1:9" x14ac:dyDescent="0.25">
      <c r="A3446">
        <v>1810</v>
      </c>
      <c r="B3446">
        <f>A3446+1</f>
        <v>1811</v>
      </c>
      <c r="C3446" t="s">
        <v>516</v>
      </c>
      <c r="D3446" t="s">
        <v>26</v>
      </c>
      <c r="E3446" s="208" t="s">
        <v>45</v>
      </c>
      <c r="F3446" t="s">
        <v>10</v>
      </c>
      <c r="G3446" s="18">
        <v>91</v>
      </c>
      <c r="H3446" t="s">
        <v>24</v>
      </c>
      <c r="I3446" t="s">
        <v>17</v>
      </c>
    </row>
    <row r="3447" spans="1:9" x14ac:dyDescent="0.25">
      <c r="A3447">
        <v>1810</v>
      </c>
      <c r="B3447">
        <f>A3447+1</f>
        <v>1811</v>
      </c>
      <c r="C3447" t="s">
        <v>516</v>
      </c>
      <c r="D3447" t="s">
        <v>26</v>
      </c>
      <c r="E3447" s="208" t="s">
        <v>54</v>
      </c>
      <c r="F3447" t="s">
        <v>10</v>
      </c>
      <c r="G3447" s="18">
        <v>0</v>
      </c>
      <c r="H3447" t="s">
        <v>24</v>
      </c>
      <c r="I3447" t="s">
        <v>17</v>
      </c>
    </row>
    <row r="3448" spans="1:9" x14ac:dyDescent="0.25">
      <c r="A3448">
        <v>1810</v>
      </c>
      <c r="B3448">
        <f>A3448+1</f>
        <v>1811</v>
      </c>
      <c r="C3448" t="s">
        <v>516</v>
      </c>
      <c r="D3448" t="s">
        <v>26</v>
      </c>
      <c r="E3448" s="208" t="s">
        <v>53</v>
      </c>
      <c r="F3448" t="s">
        <v>10</v>
      </c>
      <c r="G3448" s="18">
        <v>405</v>
      </c>
      <c r="H3448" t="s">
        <v>24</v>
      </c>
      <c r="I3448" t="s">
        <v>17</v>
      </c>
    </row>
    <row r="3449" spans="1:9" x14ac:dyDescent="0.25">
      <c r="A3449">
        <v>1810</v>
      </c>
      <c r="B3449">
        <f>A3449+1</f>
        <v>1811</v>
      </c>
      <c r="C3449" t="s">
        <v>516</v>
      </c>
      <c r="D3449" t="s">
        <v>26</v>
      </c>
      <c r="E3449" s="208" t="s">
        <v>75</v>
      </c>
      <c r="F3449" t="s">
        <v>10</v>
      </c>
      <c r="G3449" s="18">
        <v>355958</v>
      </c>
      <c r="H3449" t="s">
        <v>24</v>
      </c>
      <c r="I3449" t="s">
        <v>17</v>
      </c>
    </row>
    <row r="3450" spans="1:9" x14ac:dyDescent="0.25">
      <c r="A3450">
        <v>1810</v>
      </c>
      <c r="B3450">
        <f>A3450+1</f>
        <v>1811</v>
      </c>
      <c r="C3450" t="s">
        <v>516</v>
      </c>
      <c r="D3450" t="s">
        <v>26</v>
      </c>
      <c r="E3450" s="208" t="s">
        <v>107</v>
      </c>
      <c r="F3450" t="s">
        <v>10</v>
      </c>
      <c r="G3450" s="18">
        <v>141002</v>
      </c>
      <c r="H3450" t="s">
        <v>24</v>
      </c>
      <c r="I3450" t="s">
        <v>17</v>
      </c>
    </row>
    <row r="3451" spans="1:9" x14ac:dyDescent="0.25">
      <c r="A3451">
        <v>1810</v>
      </c>
      <c r="B3451">
        <f>A3451+1</f>
        <v>1811</v>
      </c>
      <c r="C3451" t="s">
        <v>516</v>
      </c>
      <c r="D3451" t="s">
        <v>26</v>
      </c>
      <c r="E3451" s="208" t="s">
        <v>101</v>
      </c>
      <c r="F3451" t="s">
        <v>10</v>
      </c>
      <c r="G3451" s="18">
        <v>28100</v>
      </c>
      <c r="H3451" t="s">
        <v>24</v>
      </c>
      <c r="I3451" t="s">
        <v>17</v>
      </c>
    </row>
    <row r="3452" spans="1:9" x14ac:dyDescent="0.25">
      <c r="A3452">
        <v>1810</v>
      </c>
      <c r="B3452">
        <f>A3452+1</f>
        <v>1811</v>
      </c>
      <c r="C3452" t="s">
        <v>516</v>
      </c>
      <c r="D3452" t="s">
        <v>26</v>
      </c>
      <c r="E3452" s="208" t="s">
        <v>330</v>
      </c>
      <c r="F3452" t="s">
        <v>13</v>
      </c>
      <c r="G3452" s="18">
        <v>424</v>
      </c>
      <c r="H3452" t="s">
        <v>25</v>
      </c>
      <c r="I3452" t="s">
        <v>17</v>
      </c>
    </row>
    <row r="3453" spans="1:9" x14ac:dyDescent="0.25">
      <c r="A3453">
        <v>1810</v>
      </c>
      <c r="B3453">
        <f>A3453+1</f>
        <v>1811</v>
      </c>
      <c r="C3453" t="s">
        <v>516</v>
      </c>
      <c r="D3453" t="s">
        <v>26</v>
      </c>
      <c r="E3453" s="208" t="s">
        <v>331</v>
      </c>
      <c r="F3453" t="s">
        <v>13</v>
      </c>
      <c r="G3453" s="18">
        <v>650</v>
      </c>
      <c r="H3453" t="s">
        <v>25</v>
      </c>
      <c r="I3453" t="s">
        <v>17</v>
      </c>
    </row>
    <row r="3454" spans="1:9" x14ac:dyDescent="0.25">
      <c r="A3454">
        <v>1810</v>
      </c>
      <c r="B3454">
        <f>A3454+1</f>
        <v>1811</v>
      </c>
      <c r="C3454" t="s">
        <v>516</v>
      </c>
      <c r="D3454" t="s">
        <v>26</v>
      </c>
      <c r="E3454" s="208" t="s">
        <v>332</v>
      </c>
      <c r="F3454" t="s">
        <v>13</v>
      </c>
      <c r="G3454" s="18">
        <v>12</v>
      </c>
      <c r="H3454" t="s">
        <v>25</v>
      </c>
      <c r="I3454" t="s">
        <v>17</v>
      </c>
    </row>
    <row r="3455" spans="1:9" x14ac:dyDescent="0.25">
      <c r="A3455">
        <v>1810</v>
      </c>
      <c r="B3455">
        <f>A3455+1</f>
        <v>1811</v>
      </c>
      <c r="C3455" t="s">
        <v>516</v>
      </c>
      <c r="D3455" t="s">
        <v>26</v>
      </c>
      <c r="E3455" s="208" t="s">
        <v>333</v>
      </c>
      <c r="F3455" t="s">
        <v>13</v>
      </c>
      <c r="G3455" s="18">
        <v>915</v>
      </c>
      <c r="H3455" t="s">
        <v>25</v>
      </c>
      <c r="I3455" t="s">
        <v>17</v>
      </c>
    </row>
    <row r="3456" spans="1:9" x14ac:dyDescent="0.25">
      <c r="A3456">
        <v>1810</v>
      </c>
      <c r="B3456">
        <f>A3456+1</f>
        <v>1811</v>
      </c>
      <c r="C3456" t="s">
        <v>516</v>
      </c>
      <c r="D3456" t="s">
        <v>27</v>
      </c>
      <c r="E3456" s="208" t="s">
        <v>155</v>
      </c>
      <c r="F3456" t="s">
        <v>8</v>
      </c>
      <c r="G3456" s="18">
        <v>98638</v>
      </c>
      <c r="H3456" t="s">
        <v>17</v>
      </c>
      <c r="I3456" t="s">
        <v>18</v>
      </c>
    </row>
    <row r="3457" spans="1:9" x14ac:dyDescent="0.25">
      <c r="A3457">
        <v>1810</v>
      </c>
      <c r="B3457">
        <f>A3457+1</f>
        <v>1811</v>
      </c>
      <c r="C3457" t="s">
        <v>516</v>
      </c>
      <c r="D3457" t="s">
        <v>27</v>
      </c>
      <c r="E3457" s="208" t="s">
        <v>156</v>
      </c>
      <c r="F3457" t="s">
        <v>8</v>
      </c>
      <c r="G3457" s="18">
        <v>11809</v>
      </c>
      <c r="H3457" t="s">
        <v>17</v>
      </c>
      <c r="I3457" t="s">
        <v>18</v>
      </c>
    </row>
    <row r="3458" spans="1:9" x14ac:dyDescent="0.25">
      <c r="A3458">
        <v>1810</v>
      </c>
      <c r="B3458">
        <f>A3458+1</f>
        <v>1811</v>
      </c>
      <c r="C3458" t="s">
        <v>516</v>
      </c>
      <c r="D3458" t="s">
        <v>27</v>
      </c>
      <c r="E3458" s="208" t="s">
        <v>154</v>
      </c>
      <c r="F3458" t="s">
        <v>8</v>
      </c>
      <c r="G3458" s="18">
        <v>983</v>
      </c>
      <c r="H3458" t="s">
        <v>17</v>
      </c>
      <c r="I3458" t="s">
        <v>18</v>
      </c>
    </row>
    <row r="3459" spans="1:9" x14ac:dyDescent="0.25">
      <c r="A3459">
        <v>1810</v>
      </c>
      <c r="B3459">
        <f>A3459+1</f>
        <v>1811</v>
      </c>
      <c r="C3459" t="s">
        <v>516</v>
      </c>
      <c r="D3459" t="s">
        <v>27</v>
      </c>
      <c r="E3459" s="208" t="s">
        <v>150</v>
      </c>
      <c r="F3459" t="s">
        <v>8</v>
      </c>
      <c r="G3459" s="18">
        <v>36617</v>
      </c>
      <c r="H3459" t="s">
        <v>17</v>
      </c>
      <c r="I3459" t="s">
        <v>18</v>
      </c>
    </row>
    <row r="3460" spans="1:9" x14ac:dyDescent="0.25">
      <c r="A3460">
        <v>1810</v>
      </c>
      <c r="B3460">
        <f>A3460+1</f>
        <v>1811</v>
      </c>
      <c r="C3460" t="s">
        <v>516</v>
      </c>
      <c r="D3460" t="s">
        <v>27</v>
      </c>
      <c r="E3460" s="208" t="s">
        <v>148</v>
      </c>
      <c r="F3460" t="s">
        <v>8</v>
      </c>
      <c r="G3460" s="18">
        <v>852</v>
      </c>
      <c r="H3460" t="s">
        <v>17</v>
      </c>
      <c r="I3460" t="s">
        <v>18</v>
      </c>
    </row>
    <row r="3461" spans="1:9" x14ac:dyDescent="0.25">
      <c r="A3461">
        <v>1810</v>
      </c>
      <c r="B3461">
        <f>A3461+1</f>
        <v>1811</v>
      </c>
      <c r="C3461" t="s">
        <v>516</v>
      </c>
      <c r="D3461" t="s">
        <v>27</v>
      </c>
      <c r="E3461" s="208" t="s">
        <v>139</v>
      </c>
      <c r="F3461" t="s">
        <v>8</v>
      </c>
      <c r="G3461" s="18">
        <v>120</v>
      </c>
      <c r="H3461" t="s">
        <v>17</v>
      </c>
      <c r="I3461" t="s">
        <v>18</v>
      </c>
    </row>
    <row r="3462" spans="1:9" x14ac:dyDescent="0.25">
      <c r="A3462">
        <v>1810</v>
      </c>
      <c r="B3462">
        <f>A3462+1</f>
        <v>1811</v>
      </c>
      <c r="C3462" t="s">
        <v>516</v>
      </c>
      <c r="D3462" t="s">
        <v>27</v>
      </c>
      <c r="E3462" s="208" t="s">
        <v>130</v>
      </c>
      <c r="F3462" t="s">
        <v>8</v>
      </c>
      <c r="G3462" s="18">
        <v>1722</v>
      </c>
      <c r="H3462" t="s">
        <v>17</v>
      </c>
      <c r="I3462" t="s">
        <v>18</v>
      </c>
    </row>
    <row r="3463" spans="1:9" x14ac:dyDescent="0.25">
      <c r="A3463">
        <v>1810</v>
      </c>
      <c r="B3463">
        <f>A3463+1</f>
        <v>1811</v>
      </c>
      <c r="C3463" t="s">
        <v>516</v>
      </c>
      <c r="D3463" t="s">
        <v>27</v>
      </c>
      <c r="E3463" s="208" t="s">
        <v>132</v>
      </c>
      <c r="F3463" t="s">
        <v>8</v>
      </c>
      <c r="G3463" s="18">
        <v>482</v>
      </c>
      <c r="H3463" t="s">
        <v>17</v>
      </c>
      <c r="I3463" t="s">
        <v>18</v>
      </c>
    </row>
    <row r="3464" spans="1:9" x14ac:dyDescent="0.25">
      <c r="A3464">
        <v>1810</v>
      </c>
      <c r="B3464">
        <f>A3464+1</f>
        <v>1811</v>
      </c>
      <c r="C3464" t="s">
        <v>516</v>
      </c>
      <c r="D3464" t="s">
        <v>27</v>
      </c>
      <c r="E3464" s="208" t="s">
        <v>142</v>
      </c>
      <c r="F3464" t="s">
        <v>8</v>
      </c>
      <c r="G3464" s="18">
        <v>13648</v>
      </c>
      <c r="H3464" t="s">
        <v>17</v>
      </c>
      <c r="I3464" t="s">
        <v>18</v>
      </c>
    </row>
    <row r="3465" spans="1:9" x14ac:dyDescent="0.25">
      <c r="A3465">
        <v>1810</v>
      </c>
      <c r="B3465">
        <f>A3465+1</f>
        <v>1811</v>
      </c>
      <c r="C3465" t="s">
        <v>516</v>
      </c>
      <c r="D3465" t="s">
        <v>27</v>
      </c>
      <c r="E3465" s="208" t="s">
        <v>144</v>
      </c>
      <c r="F3465" t="s">
        <v>8</v>
      </c>
      <c r="G3465" s="18">
        <v>160</v>
      </c>
      <c r="H3465" t="s">
        <v>17</v>
      </c>
      <c r="I3465" t="s">
        <v>18</v>
      </c>
    </row>
    <row r="3466" spans="1:9" x14ac:dyDescent="0.25">
      <c r="A3466">
        <v>1810</v>
      </c>
      <c r="B3466">
        <f>A3466+1</f>
        <v>1811</v>
      </c>
      <c r="C3466" t="s">
        <v>516</v>
      </c>
      <c r="D3466" t="s">
        <v>27</v>
      </c>
      <c r="E3466" s="208" t="s">
        <v>124</v>
      </c>
      <c r="F3466" t="s">
        <v>8</v>
      </c>
      <c r="G3466" s="18">
        <v>9018489</v>
      </c>
      <c r="H3466" t="s">
        <v>17</v>
      </c>
      <c r="I3466" t="s">
        <v>18</v>
      </c>
    </row>
    <row r="3467" spans="1:9" x14ac:dyDescent="0.25">
      <c r="A3467">
        <v>1810</v>
      </c>
      <c r="B3467">
        <f>A3467+1</f>
        <v>1811</v>
      </c>
      <c r="C3467" t="s">
        <v>516</v>
      </c>
      <c r="D3467" t="s">
        <v>26</v>
      </c>
      <c r="E3467" s="208" t="s">
        <v>65</v>
      </c>
      <c r="F3467" t="s">
        <v>164</v>
      </c>
      <c r="G3467" s="18">
        <v>25033</v>
      </c>
      <c r="H3467" t="s">
        <v>160</v>
      </c>
      <c r="I3467" t="s">
        <v>17</v>
      </c>
    </row>
    <row r="3468" spans="1:9" x14ac:dyDescent="0.25">
      <c r="A3468">
        <v>1810</v>
      </c>
      <c r="B3468">
        <f>A3468+1</f>
        <v>1811</v>
      </c>
      <c r="C3468" t="s">
        <v>516</v>
      </c>
      <c r="D3468" t="s">
        <v>26</v>
      </c>
      <c r="E3468" s="208" t="s">
        <v>88</v>
      </c>
      <c r="F3468" t="s">
        <v>164</v>
      </c>
      <c r="G3468" s="18">
        <v>2016</v>
      </c>
      <c r="H3468" t="s">
        <v>160</v>
      </c>
      <c r="I3468" t="s">
        <v>17</v>
      </c>
    </row>
    <row r="3469" spans="1:9" x14ac:dyDescent="0.25">
      <c r="A3469">
        <v>1810</v>
      </c>
      <c r="B3469">
        <f>A3469+1</f>
        <v>1811</v>
      </c>
      <c r="C3469" t="s">
        <v>516</v>
      </c>
      <c r="D3469" t="s">
        <v>27</v>
      </c>
      <c r="E3469" s="208" t="s">
        <v>155</v>
      </c>
      <c r="F3469" t="s">
        <v>9</v>
      </c>
      <c r="G3469" s="18">
        <v>561</v>
      </c>
      <c r="H3469" t="s">
        <v>17</v>
      </c>
      <c r="I3469" t="s">
        <v>21</v>
      </c>
    </row>
    <row r="3470" spans="1:9" x14ac:dyDescent="0.25">
      <c r="A3470">
        <v>1810</v>
      </c>
      <c r="B3470">
        <f>A3470+1</f>
        <v>1811</v>
      </c>
      <c r="C3470" t="s">
        <v>516</v>
      </c>
      <c r="D3470" t="s">
        <v>27</v>
      </c>
      <c r="E3470" s="208" t="s">
        <v>156</v>
      </c>
      <c r="F3470" t="s">
        <v>9</v>
      </c>
      <c r="G3470" s="18">
        <v>26</v>
      </c>
      <c r="H3470" t="s">
        <v>17</v>
      </c>
      <c r="I3470" t="s">
        <v>21</v>
      </c>
    </row>
    <row r="3471" spans="1:9" x14ac:dyDescent="0.25">
      <c r="A3471">
        <v>1810</v>
      </c>
      <c r="B3471">
        <f>A3471+1</f>
        <v>1811</v>
      </c>
      <c r="C3471" t="s">
        <v>516</v>
      </c>
      <c r="D3471" t="s">
        <v>27</v>
      </c>
      <c r="E3471" s="208" t="s">
        <v>154</v>
      </c>
      <c r="F3471" t="s">
        <v>9</v>
      </c>
      <c r="G3471" s="18">
        <v>33</v>
      </c>
      <c r="H3471" t="s">
        <v>17</v>
      </c>
      <c r="I3471" t="s">
        <v>21</v>
      </c>
    </row>
    <row r="3472" spans="1:9" x14ac:dyDescent="0.25">
      <c r="A3472">
        <v>1810</v>
      </c>
      <c r="B3472">
        <f>A3472+1</f>
        <v>1811</v>
      </c>
      <c r="C3472" t="s">
        <v>516</v>
      </c>
      <c r="D3472" t="s">
        <v>27</v>
      </c>
      <c r="E3472" s="208" t="s">
        <v>150</v>
      </c>
      <c r="F3472" t="s">
        <v>9</v>
      </c>
      <c r="G3472" s="18">
        <v>267</v>
      </c>
      <c r="H3472" t="s">
        <v>17</v>
      </c>
      <c r="I3472" t="s">
        <v>21</v>
      </c>
    </row>
    <row r="3473" spans="1:9" x14ac:dyDescent="0.25">
      <c r="A3473">
        <v>1810</v>
      </c>
      <c r="B3473">
        <f>A3473+1</f>
        <v>1811</v>
      </c>
      <c r="C3473" t="s">
        <v>516</v>
      </c>
      <c r="D3473" t="s">
        <v>27</v>
      </c>
      <c r="E3473" s="208" t="s">
        <v>148</v>
      </c>
      <c r="F3473" t="s">
        <v>9</v>
      </c>
      <c r="G3473" s="18">
        <v>29</v>
      </c>
      <c r="H3473" t="s">
        <v>17</v>
      </c>
      <c r="I3473" t="s">
        <v>21</v>
      </c>
    </row>
    <row r="3474" spans="1:9" x14ac:dyDescent="0.25">
      <c r="A3474">
        <v>1810</v>
      </c>
      <c r="B3474">
        <f>A3474+1</f>
        <v>1811</v>
      </c>
      <c r="C3474" t="s">
        <v>516</v>
      </c>
      <c r="D3474" t="s">
        <v>27</v>
      </c>
      <c r="E3474" s="208" t="s">
        <v>139</v>
      </c>
      <c r="F3474" t="s">
        <v>9</v>
      </c>
      <c r="G3474" s="18">
        <v>0</v>
      </c>
      <c r="H3474" t="s">
        <v>17</v>
      </c>
      <c r="I3474" t="s">
        <v>21</v>
      </c>
    </row>
    <row r="3475" spans="1:9" x14ac:dyDescent="0.25">
      <c r="A3475">
        <v>1810</v>
      </c>
      <c r="B3475">
        <f>A3475+1</f>
        <v>1811</v>
      </c>
      <c r="C3475" t="s">
        <v>516</v>
      </c>
      <c r="D3475" t="s">
        <v>27</v>
      </c>
      <c r="E3475" s="208" t="s">
        <v>130</v>
      </c>
      <c r="F3475" t="s">
        <v>9</v>
      </c>
      <c r="G3475" s="18">
        <v>0</v>
      </c>
      <c r="H3475" t="s">
        <v>17</v>
      </c>
      <c r="I3475" t="s">
        <v>21</v>
      </c>
    </row>
    <row r="3476" spans="1:9" x14ac:dyDescent="0.25">
      <c r="A3476">
        <v>1810</v>
      </c>
      <c r="B3476">
        <f>A3476+1</f>
        <v>1811</v>
      </c>
      <c r="C3476" t="s">
        <v>516</v>
      </c>
      <c r="D3476" t="s">
        <v>27</v>
      </c>
      <c r="E3476" s="208" t="s">
        <v>132</v>
      </c>
      <c r="F3476" t="s">
        <v>9</v>
      </c>
      <c r="G3476" s="18">
        <v>0</v>
      </c>
      <c r="H3476" t="s">
        <v>17</v>
      </c>
      <c r="I3476" t="s">
        <v>21</v>
      </c>
    </row>
    <row r="3477" spans="1:9" x14ac:dyDescent="0.25">
      <c r="A3477">
        <v>1810</v>
      </c>
      <c r="B3477">
        <f>A3477+1</f>
        <v>1811</v>
      </c>
      <c r="C3477" t="s">
        <v>516</v>
      </c>
      <c r="D3477" t="s">
        <v>27</v>
      </c>
      <c r="E3477" s="208" t="s">
        <v>142</v>
      </c>
      <c r="F3477" t="s">
        <v>9</v>
      </c>
      <c r="G3477" s="18">
        <v>0</v>
      </c>
      <c r="H3477" t="s">
        <v>17</v>
      </c>
      <c r="I3477" t="s">
        <v>21</v>
      </c>
    </row>
    <row r="3478" spans="1:9" x14ac:dyDescent="0.25">
      <c r="A3478">
        <v>1810</v>
      </c>
      <c r="B3478">
        <f>A3478+1</f>
        <v>1811</v>
      </c>
      <c r="C3478" t="s">
        <v>516</v>
      </c>
      <c r="D3478" t="s">
        <v>27</v>
      </c>
      <c r="E3478" s="208" t="s">
        <v>144</v>
      </c>
      <c r="F3478" t="s">
        <v>9</v>
      </c>
      <c r="G3478" s="18">
        <v>0</v>
      </c>
      <c r="H3478" t="s">
        <v>17</v>
      </c>
      <c r="I3478" t="s">
        <v>21</v>
      </c>
    </row>
    <row r="3479" spans="1:9" x14ac:dyDescent="0.25">
      <c r="A3479">
        <v>1810</v>
      </c>
      <c r="B3479">
        <f>A3479+1</f>
        <v>1811</v>
      </c>
      <c r="C3479" t="s">
        <v>516</v>
      </c>
      <c r="D3479" t="s">
        <v>27</v>
      </c>
      <c r="E3479" s="208" t="s">
        <v>124</v>
      </c>
      <c r="F3479" t="s">
        <v>9</v>
      </c>
      <c r="G3479" s="18">
        <v>14774</v>
      </c>
      <c r="H3479" t="s">
        <v>17</v>
      </c>
      <c r="I3479" t="s">
        <v>21</v>
      </c>
    </row>
    <row r="3480" spans="1:9" x14ac:dyDescent="0.25">
      <c r="A3480">
        <v>1810</v>
      </c>
      <c r="B3480">
        <f>A3480+1</f>
        <v>1811</v>
      </c>
      <c r="C3480" t="s">
        <v>516</v>
      </c>
      <c r="D3480" t="s">
        <v>27</v>
      </c>
      <c r="E3480" s="208" t="s">
        <v>155</v>
      </c>
      <c r="F3480" t="s">
        <v>13</v>
      </c>
      <c r="G3480" s="18">
        <v>0</v>
      </c>
      <c r="H3480" t="s">
        <v>17</v>
      </c>
      <c r="I3480" t="s">
        <v>25</v>
      </c>
    </row>
    <row r="3481" spans="1:9" x14ac:dyDescent="0.25">
      <c r="A3481">
        <v>1810</v>
      </c>
      <c r="B3481">
        <f>A3481+1</f>
        <v>1811</v>
      </c>
      <c r="C3481" t="s">
        <v>516</v>
      </c>
      <c r="D3481" t="s">
        <v>27</v>
      </c>
      <c r="E3481" s="208" t="s">
        <v>156</v>
      </c>
      <c r="F3481" t="s">
        <v>13</v>
      </c>
      <c r="G3481" s="18">
        <v>0</v>
      </c>
      <c r="H3481" t="s">
        <v>17</v>
      </c>
      <c r="I3481" t="s">
        <v>25</v>
      </c>
    </row>
    <row r="3482" spans="1:9" x14ac:dyDescent="0.25">
      <c r="A3482">
        <v>1810</v>
      </c>
      <c r="B3482">
        <f>A3482+1</f>
        <v>1811</v>
      </c>
      <c r="C3482" t="s">
        <v>516</v>
      </c>
      <c r="D3482" t="s">
        <v>27</v>
      </c>
      <c r="E3482" s="208" t="s">
        <v>154</v>
      </c>
      <c r="F3482" t="s">
        <v>13</v>
      </c>
      <c r="G3482" s="18">
        <v>0</v>
      </c>
      <c r="H3482" t="s">
        <v>17</v>
      </c>
      <c r="I3482" t="s">
        <v>25</v>
      </c>
    </row>
    <row r="3483" spans="1:9" x14ac:dyDescent="0.25">
      <c r="A3483">
        <v>1810</v>
      </c>
      <c r="B3483">
        <f>A3483+1</f>
        <v>1811</v>
      </c>
      <c r="C3483" t="s">
        <v>516</v>
      </c>
      <c r="D3483" t="s">
        <v>27</v>
      </c>
      <c r="E3483" s="208" t="s">
        <v>150</v>
      </c>
      <c r="F3483" t="s">
        <v>13</v>
      </c>
      <c r="G3483" s="18">
        <v>334</v>
      </c>
      <c r="H3483" t="s">
        <v>17</v>
      </c>
      <c r="I3483" t="s">
        <v>25</v>
      </c>
    </row>
    <row r="3484" spans="1:9" x14ac:dyDescent="0.25">
      <c r="A3484">
        <v>1810</v>
      </c>
      <c r="B3484">
        <f>A3484+1</f>
        <v>1811</v>
      </c>
      <c r="C3484" t="s">
        <v>516</v>
      </c>
      <c r="D3484" t="s">
        <v>27</v>
      </c>
      <c r="E3484" s="208" t="s">
        <v>148</v>
      </c>
      <c r="F3484" t="s">
        <v>13</v>
      </c>
      <c r="G3484" s="18">
        <v>20</v>
      </c>
      <c r="H3484" t="s">
        <v>17</v>
      </c>
      <c r="I3484" t="s">
        <v>25</v>
      </c>
    </row>
    <row r="3485" spans="1:9" x14ac:dyDescent="0.25">
      <c r="A3485">
        <v>1810</v>
      </c>
      <c r="B3485">
        <f>A3485+1</f>
        <v>1811</v>
      </c>
      <c r="C3485" t="s">
        <v>516</v>
      </c>
      <c r="D3485" t="s">
        <v>27</v>
      </c>
      <c r="E3485" s="208" t="s">
        <v>139</v>
      </c>
      <c r="F3485" t="s">
        <v>13</v>
      </c>
      <c r="G3485" s="18">
        <v>2</v>
      </c>
      <c r="H3485" t="s">
        <v>17</v>
      </c>
      <c r="I3485" t="s">
        <v>25</v>
      </c>
    </row>
    <row r="3486" spans="1:9" x14ac:dyDescent="0.25">
      <c r="A3486">
        <v>1810</v>
      </c>
      <c r="B3486">
        <f>A3486+1</f>
        <v>1811</v>
      </c>
      <c r="C3486" t="s">
        <v>516</v>
      </c>
      <c r="D3486" t="s">
        <v>27</v>
      </c>
      <c r="E3486" s="208" t="s">
        <v>130</v>
      </c>
      <c r="F3486" t="s">
        <v>13</v>
      </c>
      <c r="G3486" s="18">
        <v>0</v>
      </c>
      <c r="H3486" t="s">
        <v>17</v>
      </c>
      <c r="I3486" t="s">
        <v>25</v>
      </c>
    </row>
    <row r="3487" spans="1:9" x14ac:dyDescent="0.25">
      <c r="A3487">
        <v>1810</v>
      </c>
      <c r="B3487">
        <f>A3487+1</f>
        <v>1811</v>
      </c>
      <c r="C3487" t="s">
        <v>516</v>
      </c>
      <c r="D3487" t="s">
        <v>27</v>
      </c>
      <c r="E3487" s="208" t="s">
        <v>132</v>
      </c>
      <c r="F3487" t="s">
        <v>13</v>
      </c>
      <c r="G3487" s="18">
        <v>0</v>
      </c>
      <c r="H3487" t="s">
        <v>17</v>
      </c>
      <c r="I3487" t="s">
        <v>25</v>
      </c>
    </row>
    <row r="3488" spans="1:9" x14ac:dyDescent="0.25">
      <c r="A3488">
        <v>1810</v>
      </c>
      <c r="B3488">
        <f>A3488+1</f>
        <v>1811</v>
      </c>
      <c r="C3488" t="s">
        <v>516</v>
      </c>
      <c r="D3488" t="s">
        <v>27</v>
      </c>
      <c r="E3488" s="208" t="s">
        <v>142</v>
      </c>
      <c r="F3488" t="s">
        <v>13</v>
      </c>
      <c r="G3488" s="18">
        <v>0</v>
      </c>
      <c r="H3488" t="s">
        <v>17</v>
      </c>
      <c r="I3488" t="s">
        <v>25</v>
      </c>
    </row>
    <row r="3489" spans="1:9" x14ac:dyDescent="0.25">
      <c r="A3489">
        <v>1810</v>
      </c>
      <c r="B3489">
        <f>A3489+1</f>
        <v>1811</v>
      </c>
      <c r="C3489" t="s">
        <v>516</v>
      </c>
      <c r="D3489" t="s">
        <v>27</v>
      </c>
      <c r="E3489" s="208" t="s">
        <v>144</v>
      </c>
      <c r="F3489" t="s">
        <v>13</v>
      </c>
      <c r="G3489" s="18">
        <v>0</v>
      </c>
      <c r="H3489" t="s">
        <v>17</v>
      </c>
      <c r="I3489" t="s">
        <v>25</v>
      </c>
    </row>
    <row r="3490" spans="1:9" x14ac:dyDescent="0.25">
      <c r="A3490">
        <v>1810</v>
      </c>
      <c r="B3490">
        <f>A3490+1</f>
        <v>1811</v>
      </c>
      <c r="C3490" t="s">
        <v>516</v>
      </c>
      <c r="D3490" t="s">
        <v>27</v>
      </c>
      <c r="E3490" s="208" t="s">
        <v>124</v>
      </c>
      <c r="F3490" t="s">
        <v>13</v>
      </c>
      <c r="G3490" s="18">
        <v>0</v>
      </c>
      <c r="H3490" t="s">
        <v>17</v>
      </c>
      <c r="I3490" t="s">
        <v>25</v>
      </c>
    </row>
    <row r="3491" spans="1:9" x14ac:dyDescent="0.25">
      <c r="A3491">
        <v>1810</v>
      </c>
      <c r="B3491">
        <f>A3491+1</f>
        <v>1811</v>
      </c>
      <c r="C3491" t="s">
        <v>516</v>
      </c>
      <c r="D3491" t="s">
        <v>27</v>
      </c>
      <c r="E3491" s="208" t="s">
        <v>155</v>
      </c>
      <c r="F3491" t="s">
        <v>11</v>
      </c>
      <c r="G3491" s="18">
        <v>32</v>
      </c>
      <c r="H3491" t="s">
        <v>17</v>
      </c>
      <c r="I3491" t="s">
        <v>23</v>
      </c>
    </row>
    <row r="3492" spans="1:9" x14ac:dyDescent="0.25">
      <c r="A3492">
        <v>1810</v>
      </c>
      <c r="B3492">
        <f>A3492+1</f>
        <v>1811</v>
      </c>
      <c r="C3492" t="s">
        <v>516</v>
      </c>
      <c r="D3492" t="s">
        <v>27</v>
      </c>
      <c r="E3492" s="208" t="s">
        <v>156</v>
      </c>
      <c r="F3492" t="s">
        <v>11</v>
      </c>
      <c r="G3492" s="18">
        <v>13</v>
      </c>
      <c r="H3492" t="s">
        <v>17</v>
      </c>
      <c r="I3492" t="s">
        <v>23</v>
      </c>
    </row>
    <row r="3493" spans="1:9" x14ac:dyDescent="0.25">
      <c r="A3493">
        <v>1810</v>
      </c>
      <c r="B3493">
        <f>A3493+1</f>
        <v>1811</v>
      </c>
      <c r="C3493" t="s">
        <v>516</v>
      </c>
      <c r="D3493" t="s">
        <v>27</v>
      </c>
      <c r="E3493" s="208" t="s">
        <v>154</v>
      </c>
      <c r="F3493" t="s">
        <v>11</v>
      </c>
      <c r="G3493" s="18">
        <v>2</v>
      </c>
      <c r="H3493" t="s">
        <v>17</v>
      </c>
      <c r="I3493" t="s">
        <v>23</v>
      </c>
    </row>
    <row r="3494" spans="1:9" x14ac:dyDescent="0.25">
      <c r="A3494">
        <v>1810</v>
      </c>
      <c r="B3494">
        <f>A3494+1</f>
        <v>1811</v>
      </c>
      <c r="C3494" t="s">
        <v>516</v>
      </c>
      <c r="D3494" t="s">
        <v>27</v>
      </c>
      <c r="E3494" s="208" t="s">
        <v>150</v>
      </c>
      <c r="F3494" t="s">
        <v>11</v>
      </c>
      <c r="G3494" s="18">
        <v>3229</v>
      </c>
      <c r="H3494" t="s">
        <v>17</v>
      </c>
      <c r="I3494" t="s">
        <v>23</v>
      </c>
    </row>
    <row r="3495" spans="1:9" x14ac:dyDescent="0.25">
      <c r="A3495">
        <v>1810</v>
      </c>
      <c r="B3495">
        <f>A3495+1</f>
        <v>1811</v>
      </c>
      <c r="C3495" t="s">
        <v>516</v>
      </c>
      <c r="D3495" t="s">
        <v>27</v>
      </c>
      <c r="E3495" s="208" t="s">
        <v>148</v>
      </c>
      <c r="F3495" t="s">
        <v>11</v>
      </c>
      <c r="G3495" s="18">
        <v>143</v>
      </c>
      <c r="H3495" t="s">
        <v>17</v>
      </c>
      <c r="I3495" t="s">
        <v>23</v>
      </c>
    </row>
    <row r="3496" spans="1:9" x14ac:dyDescent="0.25">
      <c r="A3496">
        <v>1810</v>
      </c>
      <c r="B3496">
        <f>A3496+1</f>
        <v>1811</v>
      </c>
      <c r="C3496" t="s">
        <v>516</v>
      </c>
      <c r="D3496" t="s">
        <v>27</v>
      </c>
      <c r="E3496" s="208" t="s">
        <v>139</v>
      </c>
      <c r="F3496" t="s">
        <v>11</v>
      </c>
      <c r="G3496" s="18">
        <v>223</v>
      </c>
      <c r="H3496" t="s">
        <v>17</v>
      </c>
      <c r="I3496" t="s">
        <v>23</v>
      </c>
    </row>
    <row r="3497" spans="1:9" x14ac:dyDescent="0.25">
      <c r="A3497">
        <v>1810</v>
      </c>
      <c r="B3497">
        <f>A3497+1</f>
        <v>1811</v>
      </c>
      <c r="C3497" t="s">
        <v>516</v>
      </c>
      <c r="D3497" t="s">
        <v>27</v>
      </c>
      <c r="E3497" s="208" t="s">
        <v>130</v>
      </c>
      <c r="F3497" t="s">
        <v>11</v>
      </c>
      <c r="G3497" s="18">
        <v>0</v>
      </c>
      <c r="H3497" t="s">
        <v>17</v>
      </c>
      <c r="I3497" t="s">
        <v>23</v>
      </c>
    </row>
    <row r="3498" spans="1:9" x14ac:dyDescent="0.25">
      <c r="A3498">
        <v>1810</v>
      </c>
      <c r="B3498">
        <f>A3498+1</f>
        <v>1811</v>
      </c>
      <c r="C3498" t="s">
        <v>516</v>
      </c>
      <c r="D3498" t="s">
        <v>27</v>
      </c>
      <c r="E3498" s="208" t="s">
        <v>132</v>
      </c>
      <c r="F3498" t="s">
        <v>11</v>
      </c>
      <c r="G3498" s="18">
        <v>0</v>
      </c>
      <c r="H3498" t="s">
        <v>17</v>
      </c>
      <c r="I3498" t="s">
        <v>23</v>
      </c>
    </row>
    <row r="3499" spans="1:9" x14ac:dyDescent="0.25">
      <c r="A3499">
        <v>1810</v>
      </c>
      <c r="B3499">
        <f>A3499+1</f>
        <v>1811</v>
      </c>
      <c r="C3499" t="s">
        <v>516</v>
      </c>
      <c r="D3499" t="s">
        <v>27</v>
      </c>
      <c r="E3499" s="208" t="s">
        <v>142</v>
      </c>
      <c r="F3499" t="s">
        <v>11</v>
      </c>
      <c r="G3499" s="18">
        <v>3660</v>
      </c>
      <c r="H3499" t="s">
        <v>17</v>
      </c>
      <c r="I3499" t="s">
        <v>23</v>
      </c>
    </row>
    <row r="3500" spans="1:9" x14ac:dyDescent="0.25">
      <c r="A3500">
        <v>1810</v>
      </c>
      <c r="B3500">
        <f>A3500+1</f>
        <v>1811</v>
      </c>
      <c r="C3500" t="s">
        <v>516</v>
      </c>
      <c r="D3500" t="s">
        <v>27</v>
      </c>
      <c r="E3500" s="208" t="s">
        <v>144</v>
      </c>
      <c r="F3500" t="s">
        <v>11</v>
      </c>
      <c r="G3500" s="18">
        <v>203</v>
      </c>
      <c r="H3500" t="s">
        <v>17</v>
      </c>
      <c r="I3500" t="s">
        <v>23</v>
      </c>
    </row>
    <row r="3501" spans="1:9" x14ac:dyDescent="0.25">
      <c r="A3501">
        <v>1810</v>
      </c>
      <c r="B3501">
        <f>A3501+1</f>
        <v>1811</v>
      </c>
      <c r="C3501" t="s">
        <v>516</v>
      </c>
      <c r="D3501" t="s">
        <v>27</v>
      </c>
      <c r="E3501" s="208" t="s">
        <v>124</v>
      </c>
      <c r="F3501" t="s">
        <v>11</v>
      </c>
      <c r="G3501" s="18">
        <v>0</v>
      </c>
      <c r="H3501" t="s">
        <v>17</v>
      </c>
      <c r="I3501" t="s">
        <v>23</v>
      </c>
    </row>
    <row r="3502" spans="1:9" x14ac:dyDescent="0.25">
      <c r="A3502">
        <v>1810</v>
      </c>
      <c r="B3502">
        <f>A3502+1</f>
        <v>1811</v>
      </c>
      <c r="C3502" t="s">
        <v>516</v>
      </c>
      <c r="D3502" t="s">
        <v>26</v>
      </c>
      <c r="E3502" s="208" t="s">
        <v>57</v>
      </c>
      <c r="F3502" t="s">
        <v>11</v>
      </c>
      <c r="G3502" s="18">
        <v>7402</v>
      </c>
      <c r="H3502" t="s">
        <v>23</v>
      </c>
      <c r="I3502" t="s">
        <v>17</v>
      </c>
    </row>
    <row r="3503" spans="1:9" x14ac:dyDescent="0.25">
      <c r="A3503">
        <v>1810</v>
      </c>
      <c r="B3503">
        <f>A3503+1</f>
        <v>1811</v>
      </c>
      <c r="C3503" t="s">
        <v>516</v>
      </c>
      <c r="D3503" t="s">
        <v>26</v>
      </c>
      <c r="E3503" s="208" t="s">
        <v>35</v>
      </c>
      <c r="F3503" t="s">
        <v>11</v>
      </c>
      <c r="G3503" s="18">
        <v>0</v>
      </c>
      <c r="H3503" t="s">
        <v>23</v>
      </c>
      <c r="I3503" t="s">
        <v>17</v>
      </c>
    </row>
    <row r="3504" spans="1:9" x14ac:dyDescent="0.25">
      <c r="A3504">
        <v>1810</v>
      </c>
      <c r="B3504">
        <f>A3504+1</f>
        <v>1811</v>
      </c>
      <c r="C3504" t="s">
        <v>516</v>
      </c>
      <c r="D3504" t="s">
        <v>26</v>
      </c>
      <c r="E3504" s="208" t="s">
        <v>36</v>
      </c>
      <c r="F3504" t="s">
        <v>11</v>
      </c>
      <c r="G3504" s="18">
        <v>1057</v>
      </c>
      <c r="H3504" t="s">
        <v>23</v>
      </c>
      <c r="I3504" t="s">
        <v>17</v>
      </c>
    </row>
    <row r="3505" spans="1:9" x14ac:dyDescent="0.25">
      <c r="A3505">
        <v>1810</v>
      </c>
      <c r="B3505">
        <f>A3505+1</f>
        <v>1811</v>
      </c>
      <c r="C3505" t="s">
        <v>516</v>
      </c>
      <c r="D3505" t="s">
        <v>26</v>
      </c>
      <c r="E3505" s="208" t="s">
        <v>39</v>
      </c>
      <c r="F3505" t="s">
        <v>11</v>
      </c>
      <c r="G3505" s="18">
        <v>323</v>
      </c>
      <c r="H3505" t="s">
        <v>23</v>
      </c>
      <c r="I3505" t="s">
        <v>17</v>
      </c>
    </row>
    <row r="3506" spans="1:9" x14ac:dyDescent="0.25">
      <c r="A3506">
        <v>1810</v>
      </c>
      <c r="B3506">
        <f>A3506+1</f>
        <v>1811</v>
      </c>
      <c r="C3506" t="s">
        <v>516</v>
      </c>
      <c r="D3506" t="s">
        <v>26</v>
      </c>
      <c r="E3506" s="208" t="s">
        <v>99</v>
      </c>
      <c r="F3506" t="s">
        <v>11</v>
      </c>
      <c r="G3506" s="18">
        <v>1007</v>
      </c>
      <c r="H3506" t="s">
        <v>23</v>
      </c>
      <c r="I3506" t="s">
        <v>17</v>
      </c>
    </row>
    <row r="3507" spans="1:9" x14ac:dyDescent="0.25">
      <c r="A3507">
        <v>1810</v>
      </c>
      <c r="B3507">
        <f>A3507+1</f>
        <v>1811</v>
      </c>
      <c r="C3507" t="s">
        <v>516</v>
      </c>
      <c r="D3507" t="s">
        <v>26</v>
      </c>
      <c r="E3507" s="208" t="s">
        <v>351</v>
      </c>
      <c r="F3507" t="s">
        <v>11</v>
      </c>
      <c r="G3507" s="18">
        <v>594</v>
      </c>
      <c r="H3507" t="s">
        <v>23</v>
      </c>
      <c r="I3507" t="s">
        <v>17</v>
      </c>
    </row>
    <row r="3508" spans="1:9" x14ac:dyDescent="0.25">
      <c r="A3508">
        <v>1810</v>
      </c>
      <c r="B3508">
        <f>A3508+1</f>
        <v>1811</v>
      </c>
      <c r="C3508" t="s">
        <v>516</v>
      </c>
      <c r="D3508" t="s">
        <v>26</v>
      </c>
      <c r="E3508" s="208" t="s">
        <v>367</v>
      </c>
      <c r="F3508" t="s">
        <v>11</v>
      </c>
      <c r="G3508" s="18">
        <v>46</v>
      </c>
      <c r="H3508" t="s">
        <v>23</v>
      </c>
      <c r="I3508" t="s">
        <v>17</v>
      </c>
    </row>
    <row r="3509" spans="1:9" x14ac:dyDescent="0.25">
      <c r="A3509">
        <v>1810</v>
      </c>
      <c r="B3509">
        <f>A3509+1</f>
        <v>1811</v>
      </c>
      <c r="C3509" t="s">
        <v>516</v>
      </c>
      <c r="D3509" t="s">
        <v>26</v>
      </c>
      <c r="E3509" s="208" t="s">
        <v>352</v>
      </c>
      <c r="F3509" t="s">
        <v>11</v>
      </c>
      <c r="G3509" s="18">
        <v>11490</v>
      </c>
      <c r="H3509" t="s">
        <v>23</v>
      </c>
      <c r="I3509" t="s">
        <v>17</v>
      </c>
    </row>
    <row r="3510" spans="1:9" x14ac:dyDescent="0.25">
      <c r="A3510">
        <v>1810</v>
      </c>
      <c r="B3510">
        <f>A3510+1</f>
        <v>1811</v>
      </c>
      <c r="C3510" t="s">
        <v>516</v>
      </c>
      <c r="D3510" t="s">
        <v>26</v>
      </c>
      <c r="E3510" s="208" t="s">
        <v>75</v>
      </c>
      <c r="F3510" t="s">
        <v>11</v>
      </c>
      <c r="G3510" s="18">
        <v>3777646</v>
      </c>
      <c r="H3510" t="s">
        <v>23</v>
      </c>
      <c r="I3510" t="s">
        <v>17</v>
      </c>
    </row>
    <row r="3511" spans="1:9" x14ac:dyDescent="0.25">
      <c r="A3511">
        <v>1810</v>
      </c>
      <c r="B3511">
        <f>A3511+1</f>
        <v>1811</v>
      </c>
      <c r="C3511" t="s">
        <v>516</v>
      </c>
      <c r="D3511" t="s">
        <v>26</v>
      </c>
      <c r="E3511" s="208" t="s">
        <v>107</v>
      </c>
      <c r="F3511" t="s">
        <v>11</v>
      </c>
      <c r="G3511" s="18">
        <v>4622393</v>
      </c>
      <c r="H3511" t="s">
        <v>23</v>
      </c>
      <c r="I3511" t="s">
        <v>17</v>
      </c>
    </row>
    <row r="3512" spans="1:9" x14ac:dyDescent="0.25">
      <c r="A3512">
        <v>1810</v>
      </c>
      <c r="B3512">
        <f>A3512+1</f>
        <v>1811</v>
      </c>
      <c r="C3512" t="s">
        <v>516</v>
      </c>
      <c r="D3512" t="s">
        <v>26</v>
      </c>
      <c r="E3512" s="208" t="s">
        <v>101</v>
      </c>
      <c r="F3512" t="s">
        <v>11</v>
      </c>
      <c r="G3512" s="18">
        <v>6153887</v>
      </c>
      <c r="H3512" t="s">
        <v>23</v>
      </c>
      <c r="I3512" t="s">
        <v>17</v>
      </c>
    </row>
    <row r="3513" spans="1:9" x14ac:dyDescent="0.25">
      <c r="A3513">
        <v>1810</v>
      </c>
      <c r="B3513">
        <f>A3513+1</f>
        <v>1811</v>
      </c>
      <c r="C3513" t="s">
        <v>516</v>
      </c>
      <c r="D3513" t="s">
        <v>27</v>
      </c>
      <c r="E3513" s="208" t="s">
        <v>155</v>
      </c>
      <c r="F3513" t="s">
        <v>14</v>
      </c>
      <c r="G3513" s="18">
        <v>99275</v>
      </c>
      <c r="H3513" t="s">
        <v>17</v>
      </c>
      <c r="I3513" s="151" t="s">
        <v>562</v>
      </c>
    </row>
    <row r="3514" spans="1:9" x14ac:dyDescent="0.25">
      <c r="A3514">
        <v>1810</v>
      </c>
      <c r="B3514">
        <f>A3514+1</f>
        <v>1811</v>
      </c>
      <c r="C3514" t="s">
        <v>516</v>
      </c>
      <c r="D3514" t="s">
        <v>27</v>
      </c>
      <c r="E3514" s="208" t="s">
        <v>156</v>
      </c>
      <c r="F3514" t="s">
        <v>14</v>
      </c>
      <c r="G3514" s="18">
        <v>12020</v>
      </c>
      <c r="H3514" t="s">
        <v>17</v>
      </c>
      <c r="I3514" s="151" t="s">
        <v>562</v>
      </c>
    </row>
    <row r="3515" spans="1:9" x14ac:dyDescent="0.25">
      <c r="A3515">
        <v>1810</v>
      </c>
      <c r="B3515">
        <f>A3515+1</f>
        <v>1811</v>
      </c>
      <c r="C3515" t="s">
        <v>516</v>
      </c>
      <c r="D3515" t="s">
        <v>27</v>
      </c>
      <c r="E3515" s="208" t="s">
        <v>154</v>
      </c>
      <c r="F3515" t="s">
        <v>14</v>
      </c>
      <c r="G3515" s="18">
        <v>1353</v>
      </c>
      <c r="H3515" t="s">
        <v>17</v>
      </c>
      <c r="I3515" s="151" t="s">
        <v>562</v>
      </c>
    </row>
    <row r="3516" spans="1:9" x14ac:dyDescent="0.25">
      <c r="A3516">
        <v>1810</v>
      </c>
      <c r="B3516">
        <f>A3516+1</f>
        <v>1811</v>
      </c>
      <c r="C3516" t="s">
        <v>516</v>
      </c>
      <c r="D3516" t="s">
        <v>27</v>
      </c>
      <c r="E3516" s="208" t="s">
        <v>150</v>
      </c>
      <c r="F3516" t="s">
        <v>14</v>
      </c>
      <c r="G3516" s="18">
        <v>42599</v>
      </c>
      <c r="H3516" t="s">
        <v>17</v>
      </c>
      <c r="I3516" s="151" t="s">
        <v>562</v>
      </c>
    </row>
    <row r="3517" spans="1:9" x14ac:dyDescent="0.25">
      <c r="A3517">
        <v>1810</v>
      </c>
      <c r="B3517">
        <f>A3517+1</f>
        <v>1811</v>
      </c>
      <c r="C3517" t="s">
        <v>516</v>
      </c>
      <c r="D3517" t="s">
        <v>27</v>
      </c>
      <c r="E3517" s="208" t="s">
        <v>148</v>
      </c>
      <c r="F3517" t="s">
        <v>14</v>
      </c>
      <c r="G3517" s="18">
        <v>1132</v>
      </c>
      <c r="H3517" t="s">
        <v>17</v>
      </c>
      <c r="I3517" s="151" t="s">
        <v>562</v>
      </c>
    </row>
    <row r="3518" spans="1:9" x14ac:dyDescent="0.25">
      <c r="A3518">
        <v>1810</v>
      </c>
      <c r="B3518">
        <f>A3518+1</f>
        <v>1811</v>
      </c>
      <c r="C3518" t="s">
        <v>516</v>
      </c>
      <c r="D3518" t="s">
        <v>27</v>
      </c>
      <c r="E3518" s="208" t="s">
        <v>139</v>
      </c>
      <c r="F3518" t="s">
        <v>14</v>
      </c>
      <c r="G3518" s="18">
        <v>369</v>
      </c>
      <c r="H3518" t="s">
        <v>17</v>
      </c>
      <c r="I3518" s="151" t="s">
        <v>562</v>
      </c>
    </row>
    <row r="3519" spans="1:9" x14ac:dyDescent="0.25">
      <c r="A3519">
        <v>1810</v>
      </c>
      <c r="B3519">
        <f>A3519+1</f>
        <v>1811</v>
      </c>
      <c r="C3519" t="s">
        <v>516</v>
      </c>
      <c r="D3519" t="s">
        <v>27</v>
      </c>
      <c r="E3519" s="208" t="s">
        <v>130</v>
      </c>
      <c r="F3519" t="s">
        <v>14</v>
      </c>
      <c r="G3519" s="18">
        <v>1746</v>
      </c>
      <c r="H3519" t="s">
        <v>17</v>
      </c>
      <c r="I3519" s="151" t="s">
        <v>562</v>
      </c>
    </row>
    <row r="3520" spans="1:9" x14ac:dyDescent="0.25">
      <c r="A3520">
        <v>1810</v>
      </c>
      <c r="B3520">
        <f>A3520+1</f>
        <v>1811</v>
      </c>
      <c r="C3520" t="s">
        <v>516</v>
      </c>
      <c r="D3520" t="s">
        <v>27</v>
      </c>
      <c r="E3520" s="208" t="s">
        <v>132</v>
      </c>
      <c r="F3520" t="s">
        <v>14</v>
      </c>
      <c r="G3520" s="18">
        <v>491</v>
      </c>
      <c r="H3520" t="s">
        <v>17</v>
      </c>
      <c r="I3520" s="151" t="s">
        <v>562</v>
      </c>
    </row>
    <row r="3521" spans="1:9" x14ac:dyDescent="0.25">
      <c r="A3521">
        <v>1810</v>
      </c>
      <c r="B3521">
        <f>A3521+1</f>
        <v>1811</v>
      </c>
      <c r="C3521" t="s">
        <v>516</v>
      </c>
      <c r="D3521" t="s">
        <v>27</v>
      </c>
      <c r="E3521" s="208" t="s">
        <v>142</v>
      </c>
      <c r="F3521" t="s">
        <v>14</v>
      </c>
      <c r="G3521" s="18">
        <v>17470</v>
      </c>
      <c r="H3521" t="s">
        <v>17</v>
      </c>
      <c r="I3521" s="151" t="s">
        <v>562</v>
      </c>
    </row>
    <row r="3522" spans="1:9" x14ac:dyDescent="0.25">
      <c r="A3522">
        <v>1810</v>
      </c>
      <c r="B3522">
        <f>A3522+1</f>
        <v>1811</v>
      </c>
      <c r="C3522" t="s">
        <v>516</v>
      </c>
      <c r="D3522" t="s">
        <v>27</v>
      </c>
      <c r="E3522" s="208" t="s">
        <v>144</v>
      </c>
      <c r="F3522" t="s">
        <v>14</v>
      </c>
      <c r="G3522" s="18">
        <v>365</v>
      </c>
      <c r="H3522" t="s">
        <v>17</v>
      </c>
      <c r="I3522" s="151" t="s">
        <v>562</v>
      </c>
    </row>
    <row r="3523" spans="1:9" x14ac:dyDescent="0.25">
      <c r="A3523">
        <v>1810</v>
      </c>
      <c r="B3523">
        <f>A3523+1</f>
        <v>1811</v>
      </c>
      <c r="C3523" t="s">
        <v>516</v>
      </c>
      <c r="D3523" t="s">
        <v>27</v>
      </c>
      <c r="E3523" s="208" t="s">
        <v>124</v>
      </c>
      <c r="F3523" t="s">
        <v>14</v>
      </c>
      <c r="G3523" s="18">
        <v>9074444</v>
      </c>
      <c r="H3523" t="s">
        <v>17</v>
      </c>
      <c r="I3523" s="151" t="s">
        <v>562</v>
      </c>
    </row>
    <row r="3524" spans="1:9" x14ac:dyDescent="0.25">
      <c r="A3524">
        <v>1810</v>
      </c>
      <c r="B3524">
        <f>A3524+1</f>
        <v>1811</v>
      </c>
      <c r="C3524" t="s">
        <v>516</v>
      </c>
      <c r="D3524" t="s">
        <v>26</v>
      </c>
      <c r="E3524" s="208" t="s">
        <v>57</v>
      </c>
      <c r="F3524" t="s">
        <v>14</v>
      </c>
      <c r="G3524" s="18">
        <v>7933</v>
      </c>
      <c r="H3524" s="151" t="s">
        <v>563</v>
      </c>
      <c r="I3524" t="s">
        <v>17</v>
      </c>
    </row>
    <row r="3525" spans="1:9" x14ac:dyDescent="0.25">
      <c r="A3525">
        <v>1810</v>
      </c>
      <c r="B3525">
        <f>A3525+1</f>
        <v>1811</v>
      </c>
      <c r="C3525" t="s">
        <v>516</v>
      </c>
      <c r="D3525" t="s">
        <v>26</v>
      </c>
      <c r="E3525" s="208" t="s">
        <v>35</v>
      </c>
      <c r="F3525" t="s">
        <v>14</v>
      </c>
      <c r="G3525" s="18">
        <v>0</v>
      </c>
      <c r="H3525" s="151" t="s">
        <v>563</v>
      </c>
      <c r="I3525" t="s">
        <v>17</v>
      </c>
    </row>
    <row r="3526" spans="1:9" x14ac:dyDescent="0.25">
      <c r="A3526">
        <v>1810</v>
      </c>
      <c r="B3526">
        <f>A3526+1</f>
        <v>1811</v>
      </c>
      <c r="C3526" t="s">
        <v>516</v>
      </c>
      <c r="D3526" t="s">
        <v>26</v>
      </c>
      <c r="E3526" s="208" t="s">
        <v>36</v>
      </c>
      <c r="F3526" t="s">
        <v>14</v>
      </c>
      <c r="G3526" s="18">
        <v>1204</v>
      </c>
      <c r="H3526" s="151" t="s">
        <v>563</v>
      </c>
      <c r="I3526" t="s">
        <v>17</v>
      </c>
    </row>
    <row r="3527" spans="1:9" x14ac:dyDescent="0.25">
      <c r="A3527">
        <v>1810</v>
      </c>
      <c r="B3527">
        <f>A3527+1</f>
        <v>1811</v>
      </c>
      <c r="C3527" t="s">
        <v>516</v>
      </c>
      <c r="D3527" t="s">
        <v>26</v>
      </c>
      <c r="E3527" s="208" t="s">
        <v>39</v>
      </c>
      <c r="F3527" t="s">
        <v>14</v>
      </c>
      <c r="G3527" s="18">
        <v>323</v>
      </c>
      <c r="H3527" s="151" t="s">
        <v>563</v>
      </c>
      <c r="I3527" t="s">
        <v>17</v>
      </c>
    </row>
    <row r="3528" spans="1:9" x14ac:dyDescent="0.25">
      <c r="A3528">
        <v>1810</v>
      </c>
      <c r="B3528">
        <f>A3528+1</f>
        <v>1811</v>
      </c>
      <c r="C3528" t="s">
        <v>516</v>
      </c>
      <c r="D3528" t="s">
        <v>26</v>
      </c>
      <c r="E3528" s="208" t="s">
        <v>94</v>
      </c>
      <c r="F3528" t="s">
        <v>14</v>
      </c>
      <c r="G3528" s="18">
        <v>0</v>
      </c>
      <c r="H3528" s="151" t="s">
        <v>563</v>
      </c>
      <c r="I3528" t="s">
        <v>17</v>
      </c>
    </row>
    <row r="3529" spans="1:9" x14ac:dyDescent="0.25">
      <c r="A3529">
        <v>1810</v>
      </c>
      <c r="B3529">
        <f>A3529+1</f>
        <v>1811</v>
      </c>
      <c r="C3529" t="s">
        <v>516</v>
      </c>
      <c r="D3529" t="s">
        <v>26</v>
      </c>
      <c r="E3529" s="208" t="s">
        <v>99</v>
      </c>
      <c r="F3529" t="s">
        <v>14</v>
      </c>
      <c r="G3529" s="18">
        <v>1028</v>
      </c>
      <c r="H3529" s="151" t="s">
        <v>563</v>
      </c>
      <c r="I3529" t="s">
        <v>17</v>
      </c>
    </row>
    <row r="3530" spans="1:9" x14ac:dyDescent="0.25">
      <c r="A3530">
        <v>1810</v>
      </c>
      <c r="B3530">
        <f>A3530+1</f>
        <v>1811</v>
      </c>
      <c r="C3530" t="s">
        <v>516</v>
      </c>
      <c r="D3530" t="s">
        <v>26</v>
      </c>
      <c r="E3530" s="208" t="s">
        <v>28</v>
      </c>
      <c r="F3530" t="s">
        <v>14</v>
      </c>
      <c r="G3530" s="18">
        <v>146</v>
      </c>
      <c r="H3530" s="151" t="s">
        <v>563</v>
      </c>
      <c r="I3530" t="s">
        <v>17</v>
      </c>
    </row>
    <row r="3531" spans="1:9" x14ac:dyDescent="0.25">
      <c r="A3531">
        <v>1810</v>
      </c>
      <c r="B3531">
        <f>A3531+1</f>
        <v>1811</v>
      </c>
      <c r="C3531" t="s">
        <v>516</v>
      </c>
      <c r="D3531" t="s">
        <v>26</v>
      </c>
      <c r="E3531" s="208" t="s">
        <v>89</v>
      </c>
      <c r="F3531" t="s">
        <v>14</v>
      </c>
      <c r="G3531" s="18">
        <v>333</v>
      </c>
      <c r="H3531" s="151" t="s">
        <v>563</v>
      </c>
      <c r="I3531" t="s">
        <v>17</v>
      </c>
    </row>
    <row r="3532" spans="1:9" x14ac:dyDescent="0.25">
      <c r="A3532">
        <v>1810</v>
      </c>
      <c r="B3532">
        <f>A3532+1</f>
        <v>1811</v>
      </c>
      <c r="C3532" t="s">
        <v>516</v>
      </c>
      <c r="D3532" t="s">
        <v>26</v>
      </c>
      <c r="E3532" s="208" t="s">
        <v>45</v>
      </c>
      <c r="F3532" t="s">
        <v>14</v>
      </c>
      <c r="G3532" s="18">
        <v>91</v>
      </c>
      <c r="H3532" s="151" t="s">
        <v>563</v>
      </c>
      <c r="I3532" t="s">
        <v>17</v>
      </c>
    </row>
    <row r="3533" spans="1:9" x14ac:dyDescent="0.25">
      <c r="A3533">
        <v>1810</v>
      </c>
      <c r="B3533">
        <f>A3533+1</f>
        <v>1811</v>
      </c>
      <c r="C3533" t="s">
        <v>516</v>
      </c>
      <c r="D3533" t="s">
        <v>26</v>
      </c>
      <c r="E3533" s="208" t="s">
        <v>54</v>
      </c>
      <c r="F3533" t="s">
        <v>14</v>
      </c>
      <c r="G3533" s="18">
        <v>0</v>
      </c>
      <c r="H3533" s="151" t="s">
        <v>563</v>
      </c>
      <c r="I3533" t="s">
        <v>17</v>
      </c>
    </row>
    <row r="3534" spans="1:9" x14ac:dyDescent="0.25">
      <c r="A3534">
        <v>1810</v>
      </c>
      <c r="B3534">
        <f>A3534+1</f>
        <v>1811</v>
      </c>
      <c r="C3534" t="s">
        <v>516</v>
      </c>
      <c r="D3534" t="s">
        <v>26</v>
      </c>
      <c r="E3534" s="208" t="s">
        <v>53</v>
      </c>
      <c r="F3534" t="s">
        <v>14</v>
      </c>
      <c r="G3534" s="18">
        <v>405</v>
      </c>
      <c r="H3534" s="151" t="s">
        <v>563</v>
      </c>
      <c r="I3534" t="s">
        <v>17</v>
      </c>
    </row>
    <row r="3535" spans="1:9" x14ac:dyDescent="0.25">
      <c r="A3535">
        <v>1810</v>
      </c>
      <c r="B3535">
        <f>A3535+1</f>
        <v>1811</v>
      </c>
      <c r="C3535" t="s">
        <v>516</v>
      </c>
      <c r="D3535" t="s">
        <v>26</v>
      </c>
      <c r="E3535" s="208" t="s">
        <v>351</v>
      </c>
      <c r="F3535" t="s">
        <v>14</v>
      </c>
      <c r="G3535" s="18">
        <v>594</v>
      </c>
      <c r="H3535" s="151" t="s">
        <v>563</v>
      </c>
      <c r="I3535" t="s">
        <v>17</v>
      </c>
    </row>
    <row r="3536" spans="1:9" x14ac:dyDescent="0.25">
      <c r="A3536">
        <v>1810</v>
      </c>
      <c r="B3536">
        <f>A3536+1</f>
        <v>1811</v>
      </c>
      <c r="C3536" t="s">
        <v>516</v>
      </c>
      <c r="D3536" t="s">
        <v>26</v>
      </c>
      <c r="E3536" s="208" t="s">
        <v>367</v>
      </c>
      <c r="F3536" t="s">
        <v>14</v>
      </c>
      <c r="G3536" s="18">
        <v>46</v>
      </c>
      <c r="H3536" s="151" t="s">
        <v>563</v>
      </c>
      <c r="I3536" t="s">
        <v>17</v>
      </c>
    </row>
    <row r="3537" spans="1:9" x14ac:dyDescent="0.25">
      <c r="A3537">
        <v>1810</v>
      </c>
      <c r="B3537">
        <f>A3537+1</f>
        <v>1811</v>
      </c>
      <c r="C3537" t="s">
        <v>516</v>
      </c>
      <c r="D3537" t="s">
        <v>26</v>
      </c>
      <c r="E3537" s="208" t="s">
        <v>352</v>
      </c>
      <c r="F3537" t="s">
        <v>14</v>
      </c>
      <c r="G3537" s="18">
        <v>11490</v>
      </c>
      <c r="H3537" s="151" t="s">
        <v>563</v>
      </c>
      <c r="I3537" t="s">
        <v>17</v>
      </c>
    </row>
    <row r="3538" spans="1:9" x14ac:dyDescent="0.25">
      <c r="A3538">
        <v>1810</v>
      </c>
      <c r="B3538">
        <f>A3538+1</f>
        <v>1811</v>
      </c>
      <c r="C3538" t="s">
        <v>516</v>
      </c>
      <c r="D3538" t="s">
        <v>26</v>
      </c>
      <c r="E3538" s="208" t="s">
        <v>75</v>
      </c>
      <c r="F3538" t="s">
        <v>14</v>
      </c>
      <c r="G3538" s="18">
        <v>4133604</v>
      </c>
      <c r="H3538" s="151" t="s">
        <v>563</v>
      </c>
      <c r="I3538" t="s">
        <v>17</v>
      </c>
    </row>
    <row r="3539" spans="1:9" x14ac:dyDescent="0.25">
      <c r="A3539">
        <v>1810</v>
      </c>
      <c r="B3539">
        <f>A3539+1</f>
        <v>1811</v>
      </c>
      <c r="C3539" t="s">
        <v>516</v>
      </c>
      <c r="D3539" t="s">
        <v>26</v>
      </c>
      <c r="E3539" s="208" t="s">
        <v>107</v>
      </c>
      <c r="F3539" t="s">
        <v>14</v>
      </c>
      <c r="G3539" s="18">
        <v>4763395</v>
      </c>
      <c r="H3539" s="151" t="s">
        <v>563</v>
      </c>
      <c r="I3539" t="s">
        <v>17</v>
      </c>
    </row>
    <row r="3540" spans="1:9" x14ac:dyDescent="0.25">
      <c r="A3540">
        <v>1810</v>
      </c>
      <c r="B3540">
        <f>A3540+1</f>
        <v>1811</v>
      </c>
      <c r="C3540" t="s">
        <v>516</v>
      </c>
      <c r="D3540" t="s">
        <v>26</v>
      </c>
      <c r="E3540" s="208" t="s">
        <v>101</v>
      </c>
      <c r="F3540" t="s">
        <v>14</v>
      </c>
      <c r="G3540" s="18">
        <v>6181987</v>
      </c>
      <c r="H3540" s="151" t="s">
        <v>563</v>
      </c>
      <c r="I3540" t="s">
        <v>17</v>
      </c>
    </row>
    <row r="3541" spans="1:9" x14ac:dyDescent="0.25">
      <c r="A3541">
        <v>1810</v>
      </c>
      <c r="B3541">
        <f>A3541+1</f>
        <v>1811</v>
      </c>
      <c r="C3541" t="s">
        <v>516</v>
      </c>
      <c r="D3541" t="s">
        <v>26</v>
      </c>
      <c r="E3541" s="208" t="s">
        <v>65</v>
      </c>
      <c r="F3541" t="s">
        <v>14</v>
      </c>
      <c r="G3541" s="18">
        <v>25033</v>
      </c>
      <c r="H3541" s="151" t="s">
        <v>563</v>
      </c>
      <c r="I3541" t="s">
        <v>17</v>
      </c>
    </row>
    <row r="3542" spans="1:9" x14ac:dyDescent="0.25">
      <c r="A3542">
        <v>1810</v>
      </c>
      <c r="B3542">
        <f>A3542+1</f>
        <v>1811</v>
      </c>
      <c r="C3542" t="s">
        <v>516</v>
      </c>
      <c r="D3542" t="s">
        <v>26</v>
      </c>
      <c r="E3542" s="208" t="s">
        <v>88</v>
      </c>
      <c r="F3542" t="s">
        <v>14</v>
      </c>
      <c r="G3542" s="18">
        <v>2016</v>
      </c>
      <c r="H3542" s="151" t="s">
        <v>563</v>
      </c>
      <c r="I3542" t="s">
        <v>17</v>
      </c>
    </row>
    <row r="3543" spans="1:9" x14ac:dyDescent="0.25">
      <c r="A3543">
        <v>1810</v>
      </c>
      <c r="B3543">
        <f>A3543+1</f>
        <v>1811</v>
      </c>
      <c r="C3543" t="s">
        <v>516</v>
      </c>
      <c r="D3543" t="s">
        <v>26</v>
      </c>
      <c r="E3543" s="208" t="s">
        <v>330</v>
      </c>
      <c r="F3543" t="s">
        <v>14</v>
      </c>
      <c r="G3543" s="18">
        <v>424</v>
      </c>
      <c r="H3543" s="151" t="s">
        <v>563</v>
      </c>
      <c r="I3543" t="s">
        <v>17</v>
      </c>
    </row>
    <row r="3544" spans="1:9" x14ac:dyDescent="0.25">
      <c r="A3544">
        <v>1810</v>
      </c>
      <c r="B3544">
        <f>A3544+1</f>
        <v>1811</v>
      </c>
      <c r="C3544" t="s">
        <v>516</v>
      </c>
      <c r="D3544" t="s">
        <v>26</v>
      </c>
      <c r="E3544" s="208" t="s">
        <v>331</v>
      </c>
      <c r="F3544" t="s">
        <v>14</v>
      </c>
      <c r="G3544" s="18">
        <v>650</v>
      </c>
      <c r="H3544" s="151" t="s">
        <v>563</v>
      </c>
      <c r="I3544" t="s">
        <v>17</v>
      </c>
    </row>
    <row r="3545" spans="1:9" x14ac:dyDescent="0.25">
      <c r="A3545">
        <v>1810</v>
      </c>
      <c r="B3545">
        <f>A3545+1</f>
        <v>1811</v>
      </c>
      <c r="C3545" t="s">
        <v>516</v>
      </c>
      <c r="D3545" t="s">
        <v>26</v>
      </c>
      <c r="E3545" s="208" t="s">
        <v>332</v>
      </c>
      <c r="F3545" t="s">
        <v>14</v>
      </c>
      <c r="G3545" s="18">
        <v>12</v>
      </c>
      <c r="H3545" s="151" t="s">
        <v>563</v>
      </c>
      <c r="I3545" t="s">
        <v>17</v>
      </c>
    </row>
    <row r="3546" spans="1:9" x14ac:dyDescent="0.25">
      <c r="A3546">
        <v>1810</v>
      </c>
      <c r="B3546">
        <f>A3546+1</f>
        <v>1811</v>
      </c>
      <c r="C3546" t="s">
        <v>516</v>
      </c>
      <c r="D3546" t="s">
        <v>26</v>
      </c>
      <c r="E3546" s="208" t="s">
        <v>333</v>
      </c>
      <c r="F3546" t="s">
        <v>14</v>
      </c>
      <c r="G3546" s="18">
        <v>915</v>
      </c>
      <c r="H3546" s="151" t="s">
        <v>563</v>
      </c>
      <c r="I3546" t="s">
        <v>17</v>
      </c>
    </row>
    <row r="3547" spans="1:9" x14ac:dyDescent="0.25">
      <c r="A3547">
        <v>1810</v>
      </c>
      <c r="B3547">
        <f>A3547+1</f>
        <v>1811</v>
      </c>
      <c r="C3547" t="s">
        <v>516</v>
      </c>
      <c r="D3547" t="s">
        <v>27</v>
      </c>
      <c r="E3547" s="208" t="s">
        <v>155</v>
      </c>
      <c r="F3547" t="s">
        <v>15</v>
      </c>
      <c r="G3547" s="18">
        <v>127751</v>
      </c>
      <c r="H3547" t="s">
        <v>561</v>
      </c>
      <c r="I3547" s="151" t="s">
        <v>562</v>
      </c>
    </row>
    <row r="3548" spans="1:9" x14ac:dyDescent="0.25">
      <c r="A3548">
        <v>1810</v>
      </c>
      <c r="B3548">
        <f>A3548+1</f>
        <v>1811</v>
      </c>
      <c r="C3548" t="s">
        <v>516</v>
      </c>
      <c r="D3548" t="s">
        <v>27</v>
      </c>
      <c r="E3548" s="208" t="s">
        <v>156</v>
      </c>
      <c r="F3548" t="s">
        <v>15</v>
      </c>
      <c r="G3548" s="18">
        <v>15235</v>
      </c>
      <c r="H3548" t="s">
        <v>561</v>
      </c>
      <c r="I3548" s="151" t="s">
        <v>562</v>
      </c>
    </row>
    <row r="3549" spans="1:9" x14ac:dyDescent="0.25">
      <c r="A3549">
        <v>1810</v>
      </c>
      <c r="B3549">
        <f>A3549+1</f>
        <v>1811</v>
      </c>
      <c r="C3549" t="s">
        <v>516</v>
      </c>
      <c r="D3549" t="s">
        <v>27</v>
      </c>
      <c r="E3549" s="208" t="s">
        <v>154</v>
      </c>
      <c r="F3549" t="s">
        <v>15</v>
      </c>
      <c r="G3549" s="18">
        <v>3046</v>
      </c>
      <c r="H3549" t="s">
        <v>561</v>
      </c>
      <c r="I3549" s="151" t="s">
        <v>562</v>
      </c>
    </row>
    <row r="3550" spans="1:9" x14ac:dyDescent="0.25">
      <c r="A3550">
        <v>1810</v>
      </c>
      <c r="B3550">
        <f>A3550+1</f>
        <v>1811</v>
      </c>
      <c r="C3550" t="s">
        <v>516</v>
      </c>
      <c r="D3550" t="s">
        <v>27</v>
      </c>
      <c r="E3550" s="208" t="s">
        <v>150</v>
      </c>
      <c r="F3550" t="s">
        <v>15</v>
      </c>
      <c r="G3550" s="18">
        <v>54093</v>
      </c>
      <c r="H3550" t="s">
        <v>561</v>
      </c>
      <c r="I3550" s="151" t="s">
        <v>562</v>
      </c>
    </row>
    <row r="3551" spans="1:9" x14ac:dyDescent="0.25">
      <c r="A3551">
        <v>1810</v>
      </c>
      <c r="B3551">
        <f>A3551+1</f>
        <v>1811</v>
      </c>
      <c r="C3551" t="s">
        <v>516</v>
      </c>
      <c r="D3551" t="s">
        <v>27</v>
      </c>
      <c r="E3551" s="208" t="s">
        <v>148</v>
      </c>
      <c r="F3551" t="s">
        <v>15</v>
      </c>
      <c r="G3551" s="18">
        <v>2011</v>
      </c>
      <c r="H3551" t="s">
        <v>561</v>
      </c>
      <c r="I3551" s="151" t="s">
        <v>562</v>
      </c>
    </row>
    <row r="3552" spans="1:9" x14ac:dyDescent="0.25">
      <c r="A3552">
        <v>1810</v>
      </c>
      <c r="B3552">
        <f>A3552+1</f>
        <v>1811</v>
      </c>
      <c r="C3552" t="s">
        <v>516</v>
      </c>
      <c r="D3552" t="s">
        <v>27</v>
      </c>
      <c r="E3552" s="208" t="s">
        <v>139</v>
      </c>
      <c r="F3552" t="s">
        <v>15</v>
      </c>
      <c r="G3552" s="18">
        <v>446</v>
      </c>
      <c r="H3552" t="s">
        <v>561</v>
      </c>
      <c r="I3552" s="151" t="s">
        <v>562</v>
      </c>
    </row>
    <row r="3553" spans="1:9" x14ac:dyDescent="0.25">
      <c r="A3553">
        <v>1810</v>
      </c>
      <c r="B3553">
        <f>A3553+1</f>
        <v>1811</v>
      </c>
      <c r="C3553" t="s">
        <v>516</v>
      </c>
      <c r="D3553" t="s">
        <v>27</v>
      </c>
      <c r="E3553" s="208" t="s">
        <v>130</v>
      </c>
      <c r="F3553" t="s">
        <v>15</v>
      </c>
      <c r="G3553" s="18">
        <v>2072</v>
      </c>
      <c r="H3553" t="s">
        <v>561</v>
      </c>
      <c r="I3553" s="151" t="s">
        <v>562</v>
      </c>
    </row>
    <row r="3554" spans="1:9" x14ac:dyDescent="0.25">
      <c r="A3554">
        <v>1810</v>
      </c>
      <c r="B3554">
        <f>A3554+1</f>
        <v>1811</v>
      </c>
      <c r="C3554" t="s">
        <v>516</v>
      </c>
      <c r="D3554" t="s">
        <v>27</v>
      </c>
      <c r="E3554" s="208" t="s">
        <v>132</v>
      </c>
      <c r="F3554" t="s">
        <v>15</v>
      </c>
      <c r="G3554" s="18">
        <v>1110</v>
      </c>
      <c r="H3554" t="s">
        <v>561</v>
      </c>
      <c r="I3554" s="151" t="s">
        <v>562</v>
      </c>
    </row>
    <row r="3555" spans="1:9" x14ac:dyDescent="0.25">
      <c r="A3555">
        <v>1810</v>
      </c>
      <c r="B3555">
        <f>A3555+1</f>
        <v>1811</v>
      </c>
      <c r="C3555" t="s">
        <v>516</v>
      </c>
      <c r="D3555" t="s">
        <v>27</v>
      </c>
      <c r="E3555" s="208" t="s">
        <v>142</v>
      </c>
      <c r="F3555" t="s">
        <v>15</v>
      </c>
      <c r="G3555" s="18">
        <v>22074</v>
      </c>
      <c r="H3555" t="s">
        <v>561</v>
      </c>
      <c r="I3555" s="151" t="s">
        <v>562</v>
      </c>
    </row>
    <row r="3556" spans="1:9" x14ac:dyDescent="0.25">
      <c r="A3556">
        <v>1810</v>
      </c>
      <c r="B3556">
        <f>A3556+1</f>
        <v>1811</v>
      </c>
      <c r="C3556" t="s">
        <v>516</v>
      </c>
      <c r="D3556" t="s">
        <v>27</v>
      </c>
      <c r="E3556" s="208" t="s">
        <v>144</v>
      </c>
      <c r="F3556" t="s">
        <v>15</v>
      </c>
      <c r="G3556" s="18">
        <v>638</v>
      </c>
      <c r="H3556" t="s">
        <v>561</v>
      </c>
      <c r="I3556" s="151" t="s">
        <v>562</v>
      </c>
    </row>
    <row r="3557" spans="1:9" x14ac:dyDescent="0.25">
      <c r="A3557">
        <v>1810</v>
      </c>
      <c r="B3557">
        <f>A3557+1</f>
        <v>1811</v>
      </c>
      <c r="C3557" t="s">
        <v>516</v>
      </c>
      <c r="D3557" t="s">
        <v>27</v>
      </c>
      <c r="E3557" s="208" t="s">
        <v>124</v>
      </c>
      <c r="F3557" t="s">
        <v>15</v>
      </c>
      <c r="G3557" s="18">
        <v>17460068</v>
      </c>
      <c r="H3557" t="s">
        <v>561</v>
      </c>
      <c r="I3557" s="151" t="s">
        <v>562</v>
      </c>
    </row>
    <row r="3558" spans="1:9" x14ac:dyDescent="0.25">
      <c r="A3558">
        <v>1810</v>
      </c>
      <c r="B3558">
        <f>A3558+1</f>
        <v>1811</v>
      </c>
      <c r="C3558" t="s">
        <v>516</v>
      </c>
      <c r="D3558" t="s">
        <v>26</v>
      </c>
      <c r="E3558" s="208" t="s">
        <v>57</v>
      </c>
      <c r="F3558" t="s">
        <v>15</v>
      </c>
      <c r="G3558" s="18">
        <v>72686</v>
      </c>
      <c r="H3558" s="151" t="s">
        <v>563</v>
      </c>
      <c r="I3558" t="s">
        <v>561</v>
      </c>
    </row>
    <row r="3559" spans="1:9" x14ac:dyDescent="0.25">
      <c r="A3559">
        <v>1810</v>
      </c>
      <c r="B3559">
        <f>A3559+1</f>
        <v>1811</v>
      </c>
      <c r="C3559" t="s">
        <v>516</v>
      </c>
      <c r="D3559" t="s">
        <v>26</v>
      </c>
      <c r="E3559" s="208" t="s">
        <v>35</v>
      </c>
      <c r="F3559" t="s">
        <v>15</v>
      </c>
      <c r="G3559" s="18">
        <v>6151</v>
      </c>
      <c r="H3559" s="151" t="s">
        <v>563</v>
      </c>
      <c r="I3559" t="s">
        <v>561</v>
      </c>
    </row>
    <row r="3560" spans="1:9" x14ac:dyDescent="0.25">
      <c r="A3560">
        <v>1810</v>
      </c>
      <c r="B3560">
        <f>A3560+1</f>
        <v>1811</v>
      </c>
      <c r="C3560" t="s">
        <v>516</v>
      </c>
      <c r="D3560" t="s">
        <v>26</v>
      </c>
      <c r="E3560" s="208" t="s">
        <v>36</v>
      </c>
      <c r="F3560" t="s">
        <v>15</v>
      </c>
      <c r="G3560" s="18">
        <v>3107</v>
      </c>
      <c r="H3560" s="151" t="s">
        <v>563</v>
      </c>
      <c r="I3560" t="s">
        <v>561</v>
      </c>
    </row>
    <row r="3561" spans="1:9" x14ac:dyDescent="0.25">
      <c r="A3561">
        <v>1810</v>
      </c>
      <c r="B3561">
        <f>A3561+1</f>
        <v>1811</v>
      </c>
      <c r="C3561" t="s">
        <v>516</v>
      </c>
      <c r="D3561" t="s">
        <v>26</v>
      </c>
      <c r="E3561" s="208" t="s">
        <v>39</v>
      </c>
      <c r="F3561" t="s">
        <v>15</v>
      </c>
      <c r="G3561" s="18">
        <v>5098</v>
      </c>
      <c r="H3561" s="151" t="s">
        <v>563</v>
      </c>
      <c r="I3561" t="s">
        <v>561</v>
      </c>
    </row>
    <row r="3562" spans="1:9" x14ac:dyDescent="0.25">
      <c r="A3562">
        <v>1810</v>
      </c>
      <c r="B3562">
        <f>A3562+1</f>
        <v>1811</v>
      </c>
      <c r="C3562" t="s">
        <v>516</v>
      </c>
      <c r="D3562" t="s">
        <v>26</v>
      </c>
      <c r="E3562" s="208" t="s">
        <v>94</v>
      </c>
      <c r="F3562" t="s">
        <v>15</v>
      </c>
      <c r="G3562" s="18">
        <v>0</v>
      </c>
      <c r="H3562" s="151" t="s">
        <v>563</v>
      </c>
      <c r="I3562" t="s">
        <v>561</v>
      </c>
    </row>
    <row r="3563" spans="1:9" x14ac:dyDescent="0.25">
      <c r="A3563">
        <v>1810</v>
      </c>
      <c r="B3563">
        <f>A3563+1</f>
        <v>1811</v>
      </c>
      <c r="C3563" t="s">
        <v>516</v>
      </c>
      <c r="D3563" t="s">
        <v>26</v>
      </c>
      <c r="E3563" s="208" t="s">
        <v>99</v>
      </c>
      <c r="F3563" t="s">
        <v>15</v>
      </c>
      <c r="G3563" s="18">
        <v>5276</v>
      </c>
      <c r="H3563" s="151" t="s">
        <v>563</v>
      </c>
      <c r="I3563" t="s">
        <v>561</v>
      </c>
    </row>
    <row r="3564" spans="1:9" x14ac:dyDescent="0.25">
      <c r="A3564">
        <v>1810</v>
      </c>
      <c r="B3564">
        <f>A3564+1</f>
        <v>1811</v>
      </c>
      <c r="C3564" t="s">
        <v>516</v>
      </c>
      <c r="D3564" t="s">
        <v>26</v>
      </c>
      <c r="E3564" s="208" t="s">
        <v>28</v>
      </c>
      <c r="F3564" t="s">
        <v>15</v>
      </c>
      <c r="G3564" s="18">
        <v>575</v>
      </c>
      <c r="H3564" s="151" t="s">
        <v>563</v>
      </c>
      <c r="I3564" t="s">
        <v>561</v>
      </c>
    </row>
    <row r="3565" spans="1:9" x14ac:dyDescent="0.25">
      <c r="A3565">
        <v>1810</v>
      </c>
      <c r="B3565">
        <f>A3565+1</f>
        <v>1811</v>
      </c>
      <c r="C3565" t="s">
        <v>516</v>
      </c>
      <c r="D3565" t="s">
        <v>26</v>
      </c>
      <c r="E3565" s="208" t="s">
        <v>89</v>
      </c>
      <c r="F3565" t="s">
        <v>15</v>
      </c>
      <c r="G3565" s="18">
        <v>788</v>
      </c>
      <c r="H3565" s="151" t="s">
        <v>563</v>
      </c>
      <c r="I3565" t="s">
        <v>561</v>
      </c>
    </row>
    <row r="3566" spans="1:9" x14ac:dyDescent="0.25">
      <c r="A3566">
        <v>1810</v>
      </c>
      <c r="B3566">
        <f>A3566+1</f>
        <v>1811</v>
      </c>
      <c r="C3566" t="s">
        <v>516</v>
      </c>
      <c r="D3566" t="s">
        <v>26</v>
      </c>
      <c r="E3566" s="208" t="s">
        <v>45</v>
      </c>
      <c r="F3566" t="s">
        <v>15</v>
      </c>
      <c r="G3566" s="18">
        <v>344</v>
      </c>
      <c r="H3566" s="151" t="s">
        <v>563</v>
      </c>
      <c r="I3566" t="s">
        <v>561</v>
      </c>
    </row>
    <row r="3567" spans="1:9" x14ac:dyDescent="0.25">
      <c r="A3567">
        <v>1810</v>
      </c>
      <c r="B3567">
        <f>A3567+1</f>
        <v>1811</v>
      </c>
      <c r="C3567" t="s">
        <v>516</v>
      </c>
      <c r="D3567" t="s">
        <v>26</v>
      </c>
      <c r="E3567" s="208" t="s">
        <v>54</v>
      </c>
      <c r="F3567" t="s">
        <v>15</v>
      </c>
      <c r="G3567" s="18">
        <v>0</v>
      </c>
      <c r="H3567" s="151" t="s">
        <v>563</v>
      </c>
      <c r="I3567" t="s">
        <v>561</v>
      </c>
    </row>
    <row r="3568" spans="1:9" x14ac:dyDescent="0.25">
      <c r="A3568">
        <v>1810</v>
      </c>
      <c r="B3568">
        <f>A3568+1</f>
        <v>1811</v>
      </c>
      <c r="C3568" t="s">
        <v>516</v>
      </c>
      <c r="D3568" t="s">
        <v>26</v>
      </c>
      <c r="E3568" s="208" t="s">
        <v>53</v>
      </c>
      <c r="F3568" t="s">
        <v>15</v>
      </c>
      <c r="G3568" s="18">
        <v>405</v>
      </c>
      <c r="H3568" s="151" t="s">
        <v>563</v>
      </c>
      <c r="I3568" t="s">
        <v>561</v>
      </c>
    </row>
    <row r="3569" spans="1:9" x14ac:dyDescent="0.25">
      <c r="A3569">
        <v>1810</v>
      </c>
      <c r="B3569">
        <f>A3569+1</f>
        <v>1811</v>
      </c>
      <c r="C3569" t="s">
        <v>516</v>
      </c>
      <c r="D3569" t="s">
        <v>26</v>
      </c>
      <c r="E3569" s="208" t="s">
        <v>351</v>
      </c>
      <c r="F3569" t="s">
        <v>15</v>
      </c>
      <c r="G3569" s="18">
        <v>2114</v>
      </c>
      <c r="H3569" s="151" t="s">
        <v>563</v>
      </c>
      <c r="I3569" t="s">
        <v>561</v>
      </c>
    </row>
    <row r="3570" spans="1:9" x14ac:dyDescent="0.25">
      <c r="A3570">
        <v>1810</v>
      </c>
      <c r="B3570">
        <f>A3570+1</f>
        <v>1811</v>
      </c>
      <c r="C3570" t="s">
        <v>516</v>
      </c>
      <c r="D3570" t="s">
        <v>26</v>
      </c>
      <c r="E3570" s="208" t="s">
        <v>367</v>
      </c>
      <c r="F3570" t="s">
        <v>15</v>
      </c>
      <c r="G3570" s="18">
        <v>950</v>
      </c>
      <c r="H3570" s="151" t="s">
        <v>563</v>
      </c>
      <c r="I3570" t="s">
        <v>561</v>
      </c>
    </row>
    <row r="3571" spans="1:9" x14ac:dyDescent="0.25">
      <c r="A3571">
        <v>1810</v>
      </c>
      <c r="B3571">
        <f>A3571+1</f>
        <v>1811</v>
      </c>
      <c r="C3571" t="s">
        <v>516</v>
      </c>
      <c r="D3571" t="s">
        <v>26</v>
      </c>
      <c r="E3571" s="208" t="s">
        <v>352</v>
      </c>
      <c r="F3571" t="s">
        <v>15</v>
      </c>
      <c r="G3571" s="18">
        <v>24960</v>
      </c>
      <c r="H3571" s="151" t="s">
        <v>563</v>
      </c>
      <c r="I3571" t="s">
        <v>561</v>
      </c>
    </row>
    <row r="3572" spans="1:9" x14ac:dyDescent="0.25">
      <c r="A3572">
        <v>1810</v>
      </c>
      <c r="B3572">
        <f>A3572+1</f>
        <v>1811</v>
      </c>
      <c r="C3572" t="s">
        <v>516</v>
      </c>
      <c r="D3572" t="s">
        <v>26</v>
      </c>
      <c r="E3572" s="208" t="s">
        <v>75</v>
      </c>
      <c r="F3572" t="s">
        <v>15</v>
      </c>
      <c r="G3572" s="18">
        <v>9819103</v>
      </c>
      <c r="H3572" s="151" t="s">
        <v>563</v>
      </c>
      <c r="I3572" t="s">
        <v>561</v>
      </c>
    </row>
    <row r="3573" spans="1:9" x14ac:dyDescent="0.25">
      <c r="A3573">
        <v>1810</v>
      </c>
      <c r="B3573">
        <f>A3573+1</f>
        <v>1811</v>
      </c>
      <c r="C3573" t="s">
        <v>516</v>
      </c>
      <c r="D3573" t="s">
        <v>26</v>
      </c>
      <c r="E3573" s="208" t="s">
        <v>107</v>
      </c>
      <c r="F3573" t="s">
        <v>15</v>
      </c>
      <c r="G3573" s="18">
        <v>7791601</v>
      </c>
      <c r="H3573" s="151" t="s">
        <v>563</v>
      </c>
      <c r="I3573" t="s">
        <v>561</v>
      </c>
    </row>
    <row r="3574" spans="1:9" x14ac:dyDescent="0.25">
      <c r="A3574">
        <v>1810</v>
      </c>
      <c r="B3574">
        <f>A3574+1</f>
        <v>1811</v>
      </c>
      <c r="C3574" t="s">
        <v>516</v>
      </c>
      <c r="D3574" t="s">
        <v>26</v>
      </c>
      <c r="E3574" s="208" t="s">
        <v>101</v>
      </c>
      <c r="F3574" t="s">
        <v>15</v>
      </c>
      <c r="G3574" s="18">
        <v>16156492</v>
      </c>
      <c r="H3574" s="151" t="s">
        <v>563</v>
      </c>
      <c r="I3574" t="s">
        <v>561</v>
      </c>
    </row>
    <row r="3575" spans="1:9" x14ac:dyDescent="0.25">
      <c r="A3575">
        <v>1810</v>
      </c>
      <c r="B3575">
        <f>A3575+1</f>
        <v>1811</v>
      </c>
      <c r="C3575" t="s">
        <v>516</v>
      </c>
      <c r="D3575" t="s">
        <v>26</v>
      </c>
      <c r="E3575" s="208" t="s">
        <v>65</v>
      </c>
      <c r="F3575" t="s">
        <v>15</v>
      </c>
      <c r="G3575" s="18">
        <v>31328</v>
      </c>
      <c r="H3575" s="151" t="s">
        <v>563</v>
      </c>
      <c r="I3575" t="s">
        <v>561</v>
      </c>
    </row>
    <row r="3576" spans="1:9" x14ac:dyDescent="0.25">
      <c r="A3576">
        <v>1810</v>
      </c>
      <c r="B3576">
        <f>A3576+1</f>
        <v>1811</v>
      </c>
      <c r="C3576" t="s">
        <v>516</v>
      </c>
      <c r="D3576" t="s">
        <v>26</v>
      </c>
      <c r="E3576" s="208" t="s">
        <v>88</v>
      </c>
      <c r="F3576" t="s">
        <v>15</v>
      </c>
      <c r="G3576" s="18">
        <v>2272</v>
      </c>
      <c r="H3576" s="151" t="s">
        <v>563</v>
      </c>
      <c r="I3576" t="s">
        <v>561</v>
      </c>
    </row>
    <row r="3577" spans="1:9" x14ac:dyDescent="0.25">
      <c r="A3577">
        <v>1810</v>
      </c>
      <c r="B3577">
        <f>A3577+1</f>
        <v>1811</v>
      </c>
      <c r="C3577" t="s">
        <v>516</v>
      </c>
      <c r="D3577" t="s">
        <v>26</v>
      </c>
      <c r="E3577" s="208" t="s">
        <v>330</v>
      </c>
      <c r="F3577" t="s">
        <v>15</v>
      </c>
      <c r="G3577" s="18">
        <v>2768</v>
      </c>
      <c r="H3577" s="151" t="s">
        <v>563</v>
      </c>
      <c r="I3577" t="s">
        <v>561</v>
      </c>
    </row>
    <row r="3578" spans="1:9" x14ac:dyDescent="0.25">
      <c r="A3578">
        <v>1810</v>
      </c>
      <c r="B3578">
        <f>A3578+1</f>
        <v>1811</v>
      </c>
      <c r="C3578" t="s">
        <v>516</v>
      </c>
      <c r="D3578" t="s">
        <v>26</v>
      </c>
      <c r="E3578" s="208" t="s">
        <v>331</v>
      </c>
      <c r="F3578" t="s">
        <v>15</v>
      </c>
      <c r="G3578" s="18">
        <v>2943</v>
      </c>
      <c r="H3578" s="151" t="s">
        <v>563</v>
      </c>
      <c r="I3578" t="s">
        <v>561</v>
      </c>
    </row>
    <row r="3579" spans="1:9" x14ac:dyDescent="0.25">
      <c r="A3579">
        <v>1810</v>
      </c>
      <c r="B3579">
        <f>A3579+1</f>
        <v>1811</v>
      </c>
      <c r="C3579" t="s">
        <v>516</v>
      </c>
      <c r="D3579" t="s">
        <v>26</v>
      </c>
      <c r="E3579" s="208" t="s">
        <v>332</v>
      </c>
      <c r="F3579" t="s">
        <v>15</v>
      </c>
      <c r="G3579" s="18">
        <v>527</v>
      </c>
      <c r="H3579" s="151" t="s">
        <v>563</v>
      </c>
      <c r="I3579" t="s">
        <v>561</v>
      </c>
    </row>
    <row r="3580" spans="1:9" x14ac:dyDescent="0.25">
      <c r="A3580">
        <v>1810</v>
      </c>
      <c r="B3580">
        <f>A3580+1</f>
        <v>1811</v>
      </c>
      <c r="C3580" t="s">
        <v>516</v>
      </c>
      <c r="D3580" t="s">
        <v>26</v>
      </c>
      <c r="E3580" s="208" t="s">
        <v>333</v>
      </c>
      <c r="F3580" t="s">
        <v>15</v>
      </c>
      <c r="G3580" s="18">
        <v>1805</v>
      </c>
      <c r="H3580" s="151" t="s">
        <v>563</v>
      </c>
      <c r="I3580" t="s">
        <v>561</v>
      </c>
    </row>
    <row r="3581" spans="1:9" x14ac:dyDescent="0.25">
      <c r="A3581">
        <v>1810</v>
      </c>
      <c r="B3581">
        <f>A3581+1</f>
        <v>1811</v>
      </c>
      <c r="C3581" t="s">
        <v>516</v>
      </c>
      <c r="D3581" t="s">
        <v>26</v>
      </c>
      <c r="E3581" s="208" t="s">
        <v>567</v>
      </c>
      <c r="F3581" t="s">
        <v>3</v>
      </c>
      <c r="G3581" s="18">
        <v>18541</v>
      </c>
      <c r="H3581" t="s">
        <v>24</v>
      </c>
      <c r="I3581" t="s">
        <v>16</v>
      </c>
    </row>
    <row r="3582" spans="1:9" x14ac:dyDescent="0.25">
      <c r="A3582">
        <v>1810</v>
      </c>
      <c r="B3582">
        <f>A3582+1</f>
        <v>1811</v>
      </c>
      <c r="C3582" t="s">
        <v>516</v>
      </c>
      <c r="D3582" t="s">
        <v>26</v>
      </c>
      <c r="E3582" s="208" t="s">
        <v>567</v>
      </c>
      <c r="F3582" t="s">
        <v>4</v>
      </c>
      <c r="G3582" s="18">
        <v>1207</v>
      </c>
      <c r="H3582" t="s">
        <v>23</v>
      </c>
      <c r="I3582" t="s">
        <v>16</v>
      </c>
    </row>
    <row r="3583" spans="1:9" x14ac:dyDescent="0.25">
      <c r="A3583">
        <v>1810</v>
      </c>
      <c r="B3583">
        <f>A3583+1</f>
        <v>1811</v>
      </c>
      <c r="C3583" t="s">
        <v>516</v>
      </c>
      <c r="D3583" t="s">
        <v>26</v>
      </c>
      <c r="E3583" s="208" t="s">
        <v>567</v>
      </c>
      <c r="F3583" t="s">
        <v>7</v>
      </c>
      <c r="G3583" s="18">
        <v>19748</v>
      </c>
      <c r="H3583" s="151" t="s">
        <v>563</v>
      </c>
      <c r="I3583" t="s">
        <v>16</v>
      </c>
    </row>
    <row r="3584" spans="1:9" x14ac:dyDescent="0.25">
      <c r="A3584">
        <v>1810</v>
      </c>
      <c r="B3584">
        <f>A3584+1</f>
        <v>1811</v>
      </c>
      <c r="C3584" t="s">
        <v>516</v>
      </c>
      <c r="D3584" t="s">
        <v>26</v>
      </c>
      <c r="E3584" s="208" t="s">
        <v>567</v>
      </c>
      <c r="F3584" t="s">
        <v>10</v>
      </c>
      <c r="G3584" s="18">
        <v>5706</v>
      </c>
      <c r="H3584" t="s">
        <v>24</v>
      </c>
      <c r="I3584" t="s">
        <v>17</v>
      </c>
    </row>
    <row r="3585" spans="1:9" x14ac:dyDescent="0.25">
      <c r="A3585">
        <v>1810</v>
      </c>
      <c r="B3585">
        <f>A3585+1</f>
        <v>1811</v>
      </c>
      <c r="C3585" t="s">
        <v>516</v>
      </c>
      <c r="D3585" t="s">
        <v>26</v>
      </c>
      <c r="E3585" s="208" t="s">
        <v>567</v>
      </c>
      <c r="F3585" t="s">
        <v>11</v>
      </c>
      <c r="G3585" s="18">
        <v>1089</v>
      </c>
      <c r="H3585" t="s">
        <v>23</v>
      </c>
      <c r="I3585" t="s">
        <v>17</v>
      </c>
    </row>
    <row r="3586" spans="1:9" x14ac:dyDescent="0.25">
      <c r="A3586">
        <v>1810</v>
      </c>
      <c r="B3586">
        <f>A3586+1</f>
        <v>1811</v>
      </c>
      <c r="C3586" t="s">
        <v>516</v>
      </c>
      <c r="D3586" t="s">
        <v>26</v>
      </c>
      <c r="E3586" s="208" t="s">
        <v>567</v>
      </c>
      <c r="F3586" t="s">
        <v>14</v>
      </c>
      <c r="G3586" s="18">
        <v>6795</v>
      </c>
      <c r="H3586" s="151" t="s">
        <v>563</v>
      </c>
      <c r="I3586" t="s">
        <v>17</v>
      </c>
    </row>
    <row r="3587" spans="1:9" x14ac:dyDescent="0.25">
      <c r="A3587">
        <v>1810</v>
      </c>
      <c r="B3587">
        <f>A3587+1</f>
        <v>1811</v>
      </c>
      <c r="C3587" t="s">
        <v>516</v>
      </c>
      <c r="D3587" t="s">
        <v>26</v>
      </c>
      <c r="E3587" s="208" t="s">
        <v>567</v>
      </c>
      <c r="F3587" t="s">
        <v>15</v>
      </c>
      <c r="G3587" s="18">
        <v>26543</v>
      </c>
      <c r="H3587" s="151" t="s">
        <v>563</v>
      </c>
      <c r="I3587" t="s">
        <v>561</v>
      </c>
    </row>
    <row r="3588" spans="1:9" x14ac:dyDescent="0.25">
      <c r="A3588">
        <v>1810</v>
      </c>
      <c r="B3588">
        <f>A3588+1</f>
        <v>1811</v>
      </c>
      <c r="C3588" t="s">
        <v>516</v>
      </c>
      <c r="D3588" t="s">
        <v>26</v>
      </c>
      <c r="E3588" s="208" t="s">
        <v>572</v>
      </c>
      <c r="F3588" t="s">
        <v>3</v>
      </c>
      <c r="G3588" s="18">
        <v>2709</v>
      </c>
      <c r="H3588" t="s">
        <v>24</v>
      </c>
      <c r="I3588" t="s">
        <v>16</v>
      </c>
    </row>
    <row r="3589" spans="1:9" x14ac:dyDescent="0.25">
      <c r="A3589">
        <v>1810</v>
      </c>
      <c r="B3589">
        <f>A3589+1</f>
        <v>1811</v>
      </c>
      <c r="C3589" t="s">
        <v>516</v>
      </c>
      <c r="D3589" t="s">
        <v>26</v>
      </c>
      <c r="E3589" s="208" t="s">
        <v>572</v>
      </c>
      <c r="F3589" t="s">
        <v>4</v>
      </c>
      <c r="G3589" s="18">
        <v>573</v>
      </c>
      <c r="H3589" t="s">
        <v>23</v>
      </c>
      <c r="I3589" t="s">
        <v>16</v>
      </c>
    </row>
    <row r="3590" spans="1:9" x14ac:dyDescent="0.25">
      <c r="A3590">
        <v>1810</v>
      </c>
      <c r="B3590">
        <f>A3590+1</f>
        <v>1811</v>
      </c>
      <c r="C3590" t="s">
        <v>516</v>
      </c>
      <c r="D3590" t="s">
        <v>26</v>
      </c>
      <c r="E3590" s="208" t="s">
        <v>572</v>
      </c>
      <c r="F3590" t="s">
        <v>7</v>
      </c>
      <c r="G3590" s="18">
        <v>3282</v>
      </c>
      <c r="H3590" s="151" t="s">
        <v>563</v>
      </c>
      <c r="I3590" t="s">
        <v>16</v>
      </c>
    </row>
    <row r="3591" spans="1:9" x14ac:dyDescent="0.25">
      <c r="A3591">
        <v>1810</v>
      </c>
      <c r="B3591">
        <f>A3591+1</f>
        <v>1811</v>
      </c>
      <c r="C3591" t="s">
        <v>516</v>
      </c>
      <c r="D3591" t="s">
        <v>26</v>
      </c>
      <c r="E3591" s="208" t="s">
        <v>572</v>
      </c>
      <c r="F3591" t="s">
        <v>10</v>
      </c>
      <c r="G3591" s="18">
        <v>441</v>
      </c>
      <c r="H3591" t="s">
        <v>24</v>
      </c>
      <c r="I3591" t="s">
        <v>17</v>
      </c>
    </row>
    <row r="3592" spans="1:9" x14ac:dyDescent="0.25">
      <c r="A3592">
        <v>1810</v>
      </c>
      <c r="B3592">
        <f>A3592+1</f>
        <v>1811</v>
      </c>
      <c r="C3592" t="s">
        <v>516</v>
      </c>
      <c r="D3592" t="s">
        <v>26</v>
      </c>
      <c r="E3592" s="208" t="s">
        <v>572</v>
      </c>
      <c r="F3592" t="s">
        <v>11</v>
      </c>
      <c r="G3592" s="18">
        <v>1417</v>
      </c>
      <c r="H3592" t="s">
        <v>23</v>
      </c>
      <c r="I3592" t="s">
        <v>17</v>
      </c>
    </row>
    <row r="3593" spans="1:9" x14ac:dyDescent="0.25">
      <c r="A3593">
        <v>1810</v>
      </c>
      <c r="B3593">
        <f>A3593+1</f>
        <v>1811</v>
      </c>
      <c r="C3593" t="s">
        <v>516</v>
      </c>
      <c r="D3593" t="s">
        <v>26</v>
      </c>
      <c r="E3593" s="208" t="s">
        <v>572</v>
      </c>
      <c r="F3593" t="s">
        <v>14</v>
      </c>
      <c r="G3593" s="18">
        <v>1858</v>
      </c>
      <c r="H3593" s="151" t="s">
        <v>563</v>
      </c>
      <c r="I3593" t="s">
        <v>17</v>
      </c>
    </row>
    <row r="3594" spans="1:9" x14ac:dyDescent="0.25">
      <c r="A3594">
        <v>1810</v>
      </c>
      <c r="B3594">
        <f>A3594+1</f>
        <v>1811</v>
      </c>
      <c r="C3594" t="s">
        <v>516</v>
      </c>
      <c r="D3594" t="s">
        <v>26</v>
      </c>
      <c r="E3594" s="208" t="s">
        <v>572</v>
      </c>
      <c r="F3594" t="s">
        <v>15</v>
      </c>
      <c r="G3594" s="18">
        <v>5140</v>
      </c>
      <c r="H3594" s="151" t="s">
        <v>563</v>
      </c>
      <c r="I3594" t="s">
        <v>561</v>
      </c>
    </row>
    <row r="3595" spans="1:9" x14ac:dyDescent="0.25">
      <c r="A3595">
        <v>1810</v>
      </c>
      <c r="B3595">
        <f>A3595+1</f>
        <v>1811</v>
      </c>
      <c r="C3595" t="s">
        <v>516</v>
      </c>
      <c r="D3595" t="s">
        <v>26</v>
      </c>
      <c r="E3595" s="208" t="s">
        <v>570</v>
      </c>
      <c r="F3595" t="s">
        <v>3</v>
      </c>
      <c r="G3595" s="18">
        <v>4735</v>
      </c>
      <c r="H3595" t="s">
        <v>24</v>
      </c>
      <c r="I3595" t="s">
        <v>16</v>
      </c>
    </row>
    <row r="3596" spans="1:9" x14ac:dyDescent="0.25">
      <c r="A3596">
        <v>1810</v>
      </c>
      <c r="B3596">
        <f>A3596+1</f>
        <v>1811</v>
      </c>
      <c r="C3596" t="s">
        <v>516</v>
      </c>
      <c r="D3596" t="s">
        <v>26</v>
      </c>
      <c r="E3596" s="208" t="s">
        <v>570</v>
      </c>
      <c r="F3596" t="s">
        <v>4</v>
      </c>
      <c r="G3596" s="18">
        <v>88</v>
      </c>
      <c r="H3596" t="s">
        <v>23</v>
      </c>
      <c r="I3596" t="s">
        <v>16</v>
      </c>
    </row>
    <row r="3597" spans="1:9" x14ac:dyDescent="0.25">
      <c r="A3597">
        <v>1810</v>
      </c>
      <c r="B3597">
        <f>A3597+1</f>
        <v>1811</v>
      </c>
      <c r="C3597" t="s">
        <v>516</v>
      </c>
      <c r="D3597" t="s">
        <v>26</v>
      </c>
      <c r="E3597" s="208" t="s">
        <v>570</v>
      </c>
      <c r="F3597" t="s">
        <v>7</v>
      </c>
      <c r="G3597" s="18">
        <v>4823</v>
      </c>
      <c r="H3597" s="151" t="s">
        <v>563</v>
      </c>
      <c r="I3597" t="s">
        <v>16</v>
      </c>
    </row>
    <row r="3598" spans="1:9" x14ac:dyDescent="0.25">
      <c r="A3598">
        <v>1810</v>
      </c>
      <c r="B3598">
        <f>A3598+1</f>
        <v>1811</v>
      </c>
      <c r="C3598" t="s">
        <v>516</v>
      </c>
      <c r="D3598" t="s">
        <v>26</v>
      </c>
      <c r="E3598" s="208" t="s">
        <v>570</v>
      </c>
      <c r="F3598" t="s">
        <v>10</v>
      </c>
      <c r="G3598" s="18">
        <v>828</v>
      </c>
      <c r="H3598" t="s">
        <v>24</v>
      </c>
      <c r="I3598" t="s">
        <v>17</v>
      </c>
    </row>
    <row r="3599" spans="1:9" x14ac:dyDescent="0.25">
      <c r="A3599">
        <v>1810</v>
      </c>
      <c r="B3599">
        <f>A3599+1</f>
        <v>1811</v>
      </c>
      <c r="C3599" t="s">
        <v>516</v>
      </c>
      <c r="D3599" t="s">
        <v>26</v>
      </c>
      <c r="E3599" s="208" t="s">
        <v>570</v>
      </c>
      <c r="F3599" t="s">
        <v>11</v>
      </c>
      <c r="G3599" s="18">
        <v>476</v>
      </c>
      <c r="H3599" t="s">
        <v>23</v>
      </c>
      <c r="I3599" t="s">
        <v>17</v>
      </c>
    </row>
    <row r="3600" spans="1:9" x14ac:dyDescent="0.25">
      <c r="A3600">
        <v>1810</v>
      </c>
      <c r="B3600">
        <f>A3600+1</f>
        <v>1811</v>
      </c>
      <c r="C3600" t="s">
        <v>516</v>
      </c>
      <c r="D3600" t="s">
        <v>26</v>
      </c>
      <c r="E3600" s="208" t="s">
        <v>570</v>
      </c>
      <c r="F3600" t="s">
        <v>14</v>
      </c>
      <c r="G3600" s="18">
        <v>1304</v>
      </c>
      <c r="H3600" s="151" t="s">
        <v>563</v>
      </c>
      <c r="I3600" t="s">
        <v>17</v>
      </c>
    </row>
    <row r="3601" spans="1:9" x14ac:dyDescent="0.25">
      <c r="A3601">
        <v>1810</v>
      </c>
      <c r="B3601">
        <f>A3601+1</f>
        <v>1811</v>
      </c>
      <c r="C3601" t="s">
        <v>516</v>
      </c>
      <c r="D3601" t="s">
        <v>26</v>
      </c>
      <c r="E3601" s="208" t="s">
        <v>570</v>
      </c>
      <c r="F3601" t="s">
        <v>15</v>
      </c>
      <c r="G3601" s="18">
        <v>6127</v>
      </c>
      <c r="H3601" s="151" t="s">
        <v>563</v>
      </c>
      <c r="I3601" t="s">
        <v>561</v>
      </c>
    </row>
    <row r="3602" spans="1:9" x14ac:dyDescent="0.25">
      <c r="A3602">
        <v>1810</v>
      </c>
      <c r="B3602">
        <f>A3602+1</f>
        <v>1811</v>
      </c>
      <c r="C3602" t="s">
        <v>516</v>
      </c>
      <c r="D3602" t="s">
        <v>26</v>
      </c>
      <c r="E3602" s="208" t="s">
        <v>569</v>
      </c>
      <c r="F3602" t="s">
        <v>3</v>
      </c>
      <c r="G3602" s="18">
        <v>0</v>
      </c>
      <c r="H3602" t="s">
        <v>24</v>
      </c>
      <c r="I3602" t="s">
        <v>16</v>
      </c>
    </row>
    <row r="3603" spans="1:9" x14ac:dyDescent="0.25">
      <c r="A3603">
        <v>1810</v>
      </c>
      <c r="B3603">
        <f>A3603+1</f>
        <v>1811</v>
      </c>
      <c r="C3603" t="s">
        <v>516</v>
      </c>
      <c r="D3603" t="s">
        <v>26</v>
      </c>
      <c r="E3603" s="208" t="s">
        <v>569</v>
      </c>
      <c r="F3603" t="s">
        <v>4</v>
      </c>
      <c r="G3603" s="18">
        <v>237</v>
      </c>
      <c r="H3603" t="s">
        <v>23</v>
      </c>
      <c r="I3603" t="s">
        <v>16</v>
      </c>
    </row>
    <row r="3604" spans="1:9" x14ac:dyDescent="0.25">
      <c r="A3604">
        <v>1810</v>
      </c>
      <c r="B3604">
        <f>A3604+1</f>
        <v>1811</v>
      </c>
      <c r="C3604" t="s">
        <v>516</v>
      </c>
      <c r="D3604" t="s">
        <v>26</v>
      </c>
      <c r="E3604" s="208" t="s">
        <v>569</v>
      </c>
      <c r="F3604" t="s">
        <v>7</v>
      </c>
      <c r="G3604" s="18">
        <v>237</v>
      </c>
      <c r="H3604" s="151" t="s">
        <v>563</v>
      </c>
      <c r="I3604" t="s">
        <v>16</v>
      </c>
    </row>
    <row r="3605" spans="1:9" x14ac:dyDescent="0.25">
      <c r="A3605">
        <v>1810</v>
      </c>
      <c r="B3605">
        <f>A3605+1</f>
        <v>1811</v>
      </c>
      <c r="C3605" t="s">
        <v>516</v>
      </c>
      <c r="D3605" t="s">
        <v>26</v>
      </c>
      <c r="E3605" s="208" t="s">
        <v>569</v>
      </c>
      <c r="F3605" t="s">
        <v>10</v>
      </c>
      <c r="G3605" s="18">
        <v>105</v>
      </c>
      <c r="H3605" t="s">
        <v>24</v>
      </c>
      <c r="I3605" t="s">
        <v>17</v>
      </c>
    </row>
    <row r="3606" spans="1:9" x14ac:dyDescent="0.25">
      <c r="A3606">
        <v>1810</v>
      </c>
      <c r="B3606">
        <f>A3606+1</f>
        <v>1811</v>
      </c>
      <c r="C3606" t="s">
        <v>516</v>
      </c>
      <c r="D3606" t="s">
        <v>26</v>
      </c>
      <c r="E3606" s="208" t="s">
        <v>569</v>
      </c>
      <c r="F3606" t="s">
        <v>11</v>
      </c>
      <c r="G3606" s="18">
        <v>60</v>
      </c>
      <c r="H3606" t="s">
        <v>23</v>
      </c>
      <c r="I3606" t="s">
        <v>17</v>
      </c>
    </row>
    <row r="3607" spans="1:9" x14ac:dyDescent="0.25">
      <c r="A3607">
        <v>1810</v>
      </c>
      <c r="B3607">
        <f>A3607+1</f>
        <v>1811</v>
      </c>
      <c r="C3607" t="s">
        <v>516</v>
      </c>
      <c r="D3607" t="s">
        <v>26</v>
      </c>
      <c r="E3607" s="208" t="s">
        <v>569</v>
      </c>
      <c r="F3607" t="s">
        <v>14</v>
      </c>
      <c r="G3607" s="18">
        <v>165</v>
      </c>
      <c r="H3607" s="151" t="s">
        <v>563</v>
      </c>
      <c r="I3607" t="s">
        <v>17</v>
      </c>
    </row>
    <row r="3608" spans="1:9" x14ac:dyDescent="0.25">
      <c r="A3608">
        <v>1810</v>
      </c>
      <c r="B3608">
        <f>A3608+1</f>
        <v>1811</v>
      </c>
      <c r="C3608" t="s">
        <v>516</v>
      </c>
      <c r="D3608" t="s">
        <v>26</v>
      </c>
      <c r="E3608" s="208" t="s">
        <v>569</v>
      </c>
      <c r="F3608" t="s">
        <v>15</v>
      </c>
      <c r="G3608" s="18">
        <v>402</v>
      </c>
      <c r="H3608" s="151" t="s">
        <v>563</v>
      </c>
      <c r="I3608" t="s">
        <v>561</v>
      </c>
    </row>
    <row r="3609" spans="1:9" x14ac:dyDescent="0.25">
      <c r="A3609">
        <v>1810</v>
      </c>
      <c r="B3609">
        <f>A3609+1</f>
        <v>1811</v>
      </c>
      <c r="C3609" t="s">
        <v>516</v>
      </c>
      <c r="D3609" t="s">
        <v>26</v>
      </c>
      <c r="E3609" s="208" t="s">
        <v>573</v>
      </c>
      <c r="F3609" t="s">
        <v>3</v>
      </c>
      <c r="G3609" s="18">
        <v>733</v>
      </c>
      <c r="H3609" t="s">
        <v>24</v>
      </c>
      <c r="I3609" t="s">
        <v>16</v>
      </c>
    </row>
    <row r="3610" spans="1:9" x14ac:dyDescent="0.25">
      <c r="A3610">
        <v>1810</v>
      </c>
      <c r="B3610">
        <f>A3610+1</f>
        <v>1811</v>
      </c>
      <c r="C3610" t="s">
        <v>516</v>
      </c>
      <c r="D3610" t="s">
        <v>26</v>
      </c>
      <c r="E3610" s="208" t="s">
        <v>573</v>
      </c>
      <c r="F3610" t="s">
        <v>4</v>
      </c>
      <c r="G3610" s="18">
        <v>0</v>
      </c>
      <c r="H3610" t="s">
        <v>23</v>
      </c>
      <c r="I3610" t="s">
        <v>16</v>
      </c>
    </row>
    <row r="3611" spans="1:9" x14ac:dyDescent="0.25">
      <c r="A3611">
        <v>1810</v>
      </c>
      <c r="B3611">
        <f>A3611+1</f>
        <v>1811</v>
      </c>
      <c r="C3611" t="s">
        <v>516</v>
      </c>
      <c r="D3611" t="s">
        <v>26</v>
      </c>
      <c r="E3611" s="208" t="s">
        <v>573</v>
      </c>
      <c r="F3611" t="s">
        <v>7</v>
      </c>
      <c r="G3611" s="18">
        <v>733</v>
      </c>
      <c r="H3611" s="151" t="s">
        <v>563</v>
      </c>
      <c r="I3611" t="s">
        <v>16</v>
      </c>
    </row>
    <row r="3612" spans="1:9" x14ac:dyDescent="0.25">
      <c r="A3612">
        <v>1810</v>
      </c>
      <c r="B3612">
        <f>A3612+1</f>
        <v>1811</v>
      </c>
      <c r="C3612" t="s">
        <v>516</v>
      </c>
      <c r="D3612" t="s">
        <v>26</v>
      </c>
      <c r="E3612" s="208" t="s">
        <v>573</v>
      </c>
      <c r="F3612" t="s">
        <v>10</v>
      </c>
      <c r="G3612" s="18">
        <v>0</v>
      </c>
      <c r="H3612" t="s">
        <v>24</v>
      </c>
      <c r="I3612" t="s">
        <v>17</v>
      </c>
    </row>
    <row r="3613" spans="1:9" x14ac:dyDescent="0.25">
      <c r="A3613">
        <v>1810</v>
      </c>
      <c r="B3613">
        <f>A3613+1</f>
        <v>1811</v>
      </c>
      <c r="C3613" t="s">
        <v>516</v>
      </c>
      <c r="D3613" t="s">
        <v>26</v>
      </c>
      <c r="E3613" s="208" t="s">
        <v>573</v>
      </c>
      <c r="F3613" t="s">
        <v>11</v>
      </c>
      <c r="G3613" s="18">
        <v>643</v>
      </c>
      <c r="H3613" t="s">
        <v>23</v>
      </c>
      <c r="I3613" t="s">
        <v>17</v>
      </c>
    </row>
    <row r="3614" spans="1:9" x14ac:dyDescent="0.25">
      <c r="A3614">
        <v>1810</v>
      </c>
      <c r="B3614">
        <f>A3614+1</f>
        <v>1811</v>
      </c>
      <c r="C3614" t="s">
        <v>516</v>
      </c>
      <c r="D3614" t="s">
        <v>26</v>
      </c>
      <c r="E3614" s="208" t="s">
        <v>573</v>
      </c>
      <c r="F3614" t="s">
        <v>14</v>
      </c>
      <c r="G3614" s="18">
        <v>643</v>
      </c>
      <c r="H3614" s="151" t="s">
        <v>563</v>
      </c>
      <c r="I3614" t="s">
        <v>17</v>
      </c>
    </row>
    <row r="3615" spans="1:9" x14ac:dyDescent="0.25">
      <c r="A3615">
        <v>1810</v>
      </c>
      <c r="B3615">
        <f>A3615+1</f>
        <v>1811</v>
      </c>
      <c r="C3615" t="s">
        <v>516</v>
      </c>
      <c r="D3615" t="s">
        <v>26</v>
      </c>
      <c r="E3615" s="208" t="s">
        <v>573</v>
      </c>
      <c r="F3615" t="s">
        <v>15</v>
      </c>
      <c r="G3615" s="18">
        <v>1376</v>
      </c>
      <c r="H3615" s="151" t="s">
        <v>563</v>
      </c>
      <c r="I3615" t="s">
        <v>561</v>
      </c>
    </row>
    <row r="3616" spans="1:9" x14ac:dyDescent="0.25">
      <c r="A3616">
        <v>1811</v>
      </c>
      <c r="B3616">
        <f>A3616+1</f>
        <v>1812</v>
      </c>
      <c r="C3616" t="s">
        <v>517</v>
      </c>
      <c r="D3616" t="s">
        <v>27</v>
      </c>
      <c r="E3616" s="208" t="s">
        <v>155</v>
      </c>
      <c r="F3616" t="s">
        <v>3</v>
      </c>
      <c r="G3616" s="18">
        <v>47</v>
      </c>
      <c r="H3616" t="s">
        <v>16</v>
      </c>
      <c r="I3616" t="s">
        <v>24</v>
      </c>
    </row>
    <row r="3617" spans="1:9" x14ac:dyDescent="0.25">
      <c r="A3617">
        <v>1811</v>
      </c>
      <c r="B3617">
        <f>A3617+1</f>
        <v>1812</v>
      </c>
      <c r="C3617" t="s">
        <v>517</v>
      </c>
      <c r="D3617" t="s">
        <v>27</v>
      </c>
      <c r="E3617" s="208" t="s">
        <v>156</v>
      </c>
      <c r="F3617" t="s">
        <v>3</v>
      </c>
      <c r="G3617" s="18">
        <v>0</v>
      </c>
      <c r="H3617" t="s">
        <v>16</v>
      </c>
      <c r="I3617" t="s">
        <v>24</v>
      </c>
    </row>
    <row r="3618" spans="1:9" x14ac:dyDescent="0.25">
      <c r="A3618">
        <v>1811</v>
      </c>
      <c r="B3618">
        <f>A3618+1</f>
        <v>1812</v>
      </c>
      <c r="C3618" t="s">
        <v>517</v>
      </c>
      <c r="D3618" t="s">
        <v>27</v>
      </c>
      <c r="E3618" s="208" t="s">
        <v>154</v>
      </c>
      <c r="F3618" t="s">
        <v>3</v>
      </c>
      <c r="G3618" s="18">
        <v>805</v>
      </c>
      <c r="H3618" t="s">
        <v>16</v>
      </c>
      <c r="I3618" t="s">
        <v>24</v>
      </c>
    </row>
    <row r="3619" spans="1:9" x14ac:dyDescent="0.25">
      <c r="A3619">
        <v>1811</v>
      </c>
      <c r="B3619">
        <f>A3619+1</f>
        <v>1812</v>
      </c>
      <c r="C3619" t="s">
        <v>517</v>
      </c>
      <c r="D3619" t="s">
        <v>27</v>
      </c>
      <c r="E3619" s="208" t="s">
        <v>150</v>
      </c>
      <c r="F3619" t="s">
        <v>3</v>
      </c>
      <c r="G3619" s="18">
        <v>3805</v>
      </c>
      <c r="H3619" t="s">
        <v>16</v>
      </c>
      <c r="I3619" t="s">
        <v>24</v>
      </c>
    </row>
    <row r="3620" spans="1:9" x14ac:dyDescent="0.25">
      <c r="A3620">
        <v>1811</v>
      </c>
      <c r="B3620">
        <f>A3620+1</f>
        <v>1812</v>
      </c>
      <c r="C3620" t="s">
        <v>517</v>
      </c>
      <c r="D3620" t="s">
        <v>27</v>
      </c>
      <c r="E3620" s="208" t="s">
        <v>148</v>
      </c>
      <c r="F3620" t="s">
        <v>3</v>
      </c>
      <c r="G3620" s="18">
        <v>314</v>
      </c>
      <c r="H3620" t="s">
        <v>16</v>
      </c>
      <c r="I3620" t="s">
        <v>24</v>
      </c>
    </row>
    <row r="3621" spans="1:9" x14ac:dyDescent="0.25">
      <c r="A3621">
        <v>1811</v>
      </c>
      <c r="B3621">
        <f>A3621+1</f>
        <v>1812</v>
      </c>
      <c r="C3621" t="s">
        <v>517</v>
      </c>
      <c r="D3621" t="s">
        <v>27</v>
      </c>
      <c r="E3621" s="208" t="s">
        <v>139</v>
      </c>
      <c r="F3621" t="s">
        <v>3</v>
      </c>
      <c r="G3621" s="18">
        <v>4</v>
      </c>
      <c r="H3621" t="s">
        <v>16</v>
      </c>
      <c r="I3621" t="s">
        <v>24</v>
      </c>
    </row>
    <row r="3622" spans="1:9" x14ac:dyDescent="0.25">
      <c r="A3622">
        <v>1811</v>
      </c>
      <c r="B3622">
        <f>A3622+1</f>
        <v>1812</v>
      </c>
      <c r="C3622" t="s">
        <v>517</v>
      </c>
      <c r="D3622" t="s">
        <v>27</v>
      </c>
      <c r="E3622" s="208" t="s">
        <v>130</v>
      </c>
      <c r="F3622" t="s">
        <v>3</v>
      </c>
      <c r="G3622" s="18">
        <v>0</v>
      </c>
      <c r="H3622" t="s">
        <v>16</v>
      </c>
      <c r="I3622" t="s">
        <v>24</v>
      </c>
    </row>
    <row r="3623" spans="1:9" x14ac:dyDescent="0.25">
      <c r="A3623">
        <v>1811</v>
      </c>
      <c r="B3623">
        <f>A3623+1</f>
        <v>1812</v>
      </c>
      <c r="C3623" t="s">
        <v>517</v>
      </c>
      <c r="D3623" t="s">
        <v>27</v>
      </c>
      <c r="E3623" s="208" t="s">
        <v>132</v>
      </c>
      <c r="F3623" t="s">
        <v>3</v>
      </c>
      <c r="G3623" s="18">
        <v>0</v>
      </c>
      <c r="H3623" t="s">
        <v>16</v>
      </c>
      <c r="I3623" t="s">
        <v>24</v>
      </c>
    </row>
    <row r="3624" spans="1:9" x14ac:dyDescent="0.25">
      <c r="A3624">
        <v>1811</v>
      </c>
      <c r="B3624">
        <f>A3624+1</f>
        <v>1812</v>
      </c>
      <c r="C3624" t="s">
        <v>517</v>
      </c>
      <c r="D3624" t="s">
        <v>27</v>
      </c>
      <c r="E3624" s="208" t="s">
        <v>142</v>
      </c>
      <c r="F3624" t="s">
        <v>3</v>
      </c>
      <c r="G3624" s="18">
        <v>95</v>
      </c>
      <c r="H3624" t="s">
        <v>16</v>
      </c>
      <c r="I3624" t="s">
        <v>24</v>
      </c>
    </row>
    <row r="3625" spans="1:9" x14ac:dyDescent="0.25">
      <c r="A3625">
        <v>1811</v>
      </c>
      <c r="B3625">
        <f>A3625+1</f>
        <v>1812</v>
      </c>
      <c r="C3625" t="s">
        <v>517</v>
      </c>
      <c r="D3625" t="s">
        <v>27</v>
      </c>
      <c r="E3625" s="208" t="s">
        <v>144</v>
      </c>
      <c r="F3625" t="s">
        <v>3</v>
      </c>
      <c r="G3625" s="18">
        <v>4</v>
      </c>
      <c r="H3625" t="s">
        <v>16</v>
      </c>
      <c r="I3625" t="s">
        <v>24</v>
      </c>
    </row>
    <row r="3626" spans="1:9" x14ac:dyDescent="0.25">
      <c r="A3626">
        <v>1811</v>
      </c>
      <c r="B3626">
        <f>A3626+1</f>
        <v>1812</v>
      </c>
      <c r="C3626" t="s">
        <v>517</v>
      </c>
      <c r="D3626" t="s">
        <v>27</v>
      </c>
      <c r="E3626" s="208" t="s">
        <v>124</v>
      </c>
      <c r="F3626" t="s">
        <v>3</v>
      </c>
      <c r="G3626" s="18">
        <v>56588</v>
      </c>
      <c r="H3626" t="s">
        <v>16</v>
      </c>
      <c r="I3626" t="s">
        <v>24</v>
      </c>
    </row>
    <row r="3627" spans="1:9" x14ac:dyDescent="0.25">
      <c r="A3627">
        <v>1811</v>
      </c>
      <c r="B3627">
        <f>A3627+1</f>
        <v>1812</v>
      </c>
      <c r="C3627" t="s">
        <v>517</v>
      </c>
      <c r="D3627" t="s">
        <v>26</v>
      </c>
      <c r="E3627" s="208" t="s">
        <v>62</v>
      </c>
      <c r="F3627" t="s">
        <v>3</v>
      </c>
      <c r="G3627" s="18">
        <v>2204</v>
      </c>
      <c r="H3627" t="s">
        <v>24</v>
      </c>
      <c r="I3627" t="s">
        <v>16</v>
      </c>
    </row>
    <row r="3628" spans="1:9" x14ac:dyDescent="0.25">
      <c r="A3628">
        <v>1811</v>
      </c>
      <c r="B3628">
        <f>A3628+1</f>
        <v>1812</v>
      </c>
      <c r="C3628" t="s">
        <v>517</v>
      </c>
      <c r="D3628" t="s">
        <v>26</v>
      </c>
      <c r="E3628" s="208" t="s">
        <v>36</v>
      </c>
      <c r="F3628" t="s">
        <v>3</v>
      </c>
      <c r="G3628" s="18">
        <v>634</v>
      </c>
      <c r="H3628" t="s">
        <v>24</v>
      </c>
      <c r="I3628" t="s">
        <v>16</v>
      </c>
    </row>
    <row r="3629" spans="1:9" x14ac:dyDescent="0.25">
      <c r="A3629">
        <v>1811</v>
      </c>
      <c r="B3629">
        <f>A3629+1</f>
        <v>1812</v>
      </c>
      <c r="C3629" t="s">
        <v>517</v>
      </c>
      <c r="D3629" t="s">
        <v>26</v>
      </c>
      <c r="E3629" s="208" t="s">
        <v>39</v>
      </c>
      <c r="F3629" t="s">
        <v>3</v>
      </c>
      <c r="G3629" s="18">
        <v>0</v>
      </c>
      <c r="H3629" t="s">
        <v>24</v>
      </c>
      <c r="I3629" t="s">
        <v>16</v>
      </c>
    </row>
    <row r="3630" spans="1:9" x14ac:dyDescent="0.25">
      <c r="A3630">
        <v>1811</v>
      </c>
      <c r="B3630">
        <f>A3630+1</f>
        <v>1812</v>
      </c>
      <c r="C3630" t="s">
        <v>517</v>
      </c>
      <c r="D3630" t="s">
        <v>26</v>
      </c>
      <c r="E3630" s="208" t="s">
        <v>28</v>
      </c>
      <c r="F3630" t="s">
        <v>3</v>
      </c>
      <c r="G3630" s="18">
        <v>811</v>
      </c>
      <c r="H3630" t="s">
        <v>24</v>
      </c>
      <c r="I3630" t="s">
        <v>16</v>
      </c>
    </row>
    <row r="3631" spans="1:9" x14ac:dyDescent="0.25">
      <c r="A3631">
        <v>1811</v>
      </c>
      <c r="B3631">
        <f>A3631+1</f>
        <v>1812</v>
      </c>
      <c r="C3631" t="s">
        <v>517</v>
      </c>
      <c r="D3631" t="s">
        <v>26</v>
      </c>
      <c r="E3631" s="208" t="s">
        <v>89</v>
      </c>
      <c r="F3631" t="s">
        <v>3</v>
      </c>
      <c r="G3631" s="18">
        <v>43</v>
      </c>
      <c r="H3631" t="s">
        <v>24</v>
      </c>
      <c r="I3631" t="s">
        <v>16</v>
      </c>
    </row>
    <row r="3632" spans="1:9" x14ac:dyDescent="0.25">
      <c r="A3632">
        <v>1811</v>
      </c>
      <c r="B3632">
        <f>A3632+1</f>
        <v>1812</v>
      </c>
      <c r="C3632" t="s">
        <v>517</v>
      </c>
      <c r="D3632" t="s">
        <v>26</v>
      </c>
      <c r="E3632" s="208" t="s">
        <v>45</v>
      </c>
      <c r="F3632" t="s">
        <v>3</v>
      </c>
      <c r="G3632" s="18">
        <v>34</v>
      </c>
      <c r="H3632" t="s">
        <v>24</v>
      </c>
      <c r="I3632" t="s">
        <v>16</v>
      </c>
    </row>
    <row r="3633" spans="1:9" x14ac:dyDescent="0.25">
      <c r="A3633">
        <v>1811</v>
      </c>
      <c r="B3633">
        <f>A3633+1</f>
        <v>1812</v>
      </c>
      <c r="C3633" t="s">
        <v>517</v>
      </c>
      <c r="D3633" t="s">
        <v>26</v>
      </c>
      <c r="E3633" s="208" t="s">
        <v>75</v>
      </c>
      <c r="F3633" t="s">
        <v>3</v>
      </c>
      <c r="G3633" s="18">
        <v>33450</v>
      </c>
      <c r="H3633" t="s">
        <v>24</v>
      </c>
      <c r="I3633" t="s">
        <v>16</v>
      </c>
    </row>
    <row r="3634" spans="1:9" x14ac:dyDescent="0.25">
      <c r="A3634">
        <v>1811</v>
      </c>
      <c r="B3634">
        <f>A3634+1</f>
        <v>1812</v>
      </c>
      <c r="C3634" t="s">
        <v>517</v>
      </c>
      <c r="D3634" t="s">
        <v>26</v>
      </c>
      <c r="E3634" s="208" t="s">
        <v>107</v>
      </c>
      <c r="F3634" t="s">
        <v>3</v>
      </c>
      <c r="G3634" s="18">
        <v>106727</v>
      </c>
      <c r="H3634" t="s">
        <v>24</v>
      </c>
      <c r="I3634" t="s">
        <v>16</v>
      </c>
    </row>
    <row r="3635" spans="1:9" x14ac:dyDescent="0.25">
      <c r="A3635">
        <v>1811</v>
      </c>
      <c r="B3635">
        <f>A3635+1</f>
        <v>1812</v>
      </c>
      <c r="C3635" t="s">
        <v>517</v>
      </c>
      <c r="D3635" t="s">
        <v>26</v>
      </c>
      <c r="E3635" s="208" t="s">
        <v>101</v>
      </c>
      <c r="F3635" t="s">
        <v>3</v>
      </c>
      <c r="G3635" s="18">
        <v>36900</v>
      </c>
      <c r="H3635" t="s">
        <v>24</v>
      </c>
      <c r="I3635" t="s">
        <v>16</v>
      </c>
    </row>
    <row r="3636" spans="1:9" x14ac:dyDescent="0.25">
      <c r="A3636">
        <v>1811</v>
      </c>
      <c r="B3636">
        <f>A3636+1</f>
        <v>1812</v>
      </c>
      <c r="C3636" t="s">
        <v>517</v>
      </c>
      <c r="D3636" t="s">
        <v>26</v>
      </c>
      <c r="E3636" s="208" t="s">
        <v>330</v>
      </c>
      <c r="F3636" t="s">
        <v>6</v>
      </c>
      <c r="G3636" s="18">
        <v>1124</v>
      </c>
      <c r="H3636" t="s">
        <v>25</v>
      </c>
      <c r="I3636" t="s">
        <v>16</v>
      </c>
    </row>
    <row r="3637" spans="1:9" x14ac:dyDescent="0.25">
      <c r="A3637">
        <v>1811</v>
      </c>
      <c r="B3637">
        <f>A3637+1</f>
        <v>1812</v>
      </c>
      <c r="C3637" t="s">
        <v>517</v>
      </c>
      <c r="D3637" t="s">
        <v>26</v>
      </c>
      <c r="E3637" s="208" t="s">
        <v>331</v>
      </c>
      <c r="F3637" t="s">
        <v>6</v>
      </c>
      <c r="G3637" s="18">
        <v>2658</v>
      </c>
      <c r="H3637" t="s">
        <v>25</v>
      </c>
      <c r="I3637" t="s">
        <v>16</v>
      </c>
    </row>
    <row r="3638" spans="1:9" x14ac:dyDescent="0.25">
      <c r="A3638">
        <v>1811</v>
      </c>
      <c r="B3638">
        <f>A3638+1</f>
        <v>1812</v>
      </c>
      <c r="C3638" t="s">
        <v>517</v>
      </c>
      <c r="D3638" t="s">
        <v>26</v>
      </c>
      <c r="E3638" s="208" t="s">
        <v>332</v>
      </c>
      <c r="F3638" t="s">
        <v>6</v>
      </c>
      <c r="G3638" s="18">
        <v>381</v>
      </c>
      <c r="H3638" t="s">
        <v>25</v>
      </c>
      <c r="I3638" t="s">
        <v>16</v>
      </c>
    </row>
    <row r="3639" spans="1:9" x14ac:dyDescent="0.25">
      <c r="A3639">
        <v>1811</v>
      </c>
      <c r="B3639">
        <f>A3639+1</f>
        <v>1812</v>
      </c>
      <c r="C3639" t="s">
        <v>517</v>
      </c>
      <c r="D3639" t="s">
        <v>26</v>
      </c>
      <c r="E3639" s="208" t="s">
        <v>333</v>
      </c>
      <c r="F3639" t="s">
        <v>6</v>
      </c>
      <c r="G3639" s="18">
        <v>1338</v>
      </c>
      <c r="H3639" t="s">
        <v>25</v>
      </c>
      <c r="I3639" t="s">
        <v>16</v>
      </c>
    </row>
    <row r="3640" spans="1:9" x14ac:dyDescent="0.25">
      <c r="A3640">
        <v>1811</v>
      </c>
      <c r="B3640">
        <f>A3640+1</f>
        <v>1812</v>
      </c>
      <c r="C3640" t="s">
        <v>517</v>
      </c>
      <c r="D3640" t="s">
        <v>27</v>
      </c>
      <c r="E3640" s="208" t="s">
        <v>155</v>
      </c>
      <c r="F3640" t="s">
        <v>0</v>
      </c>
      <c r="G3640" s="18">
        <v>26270</v>
      </c>
      <c r="H3640" t="s">
        <v>16</v>
      </c>
      <c r="I3640" t="s">
        <v>18</v>
      </c>
    </row>
    <row r="3641" spans="1:9" x14ac:dyDescent="0.25">
      <c r="A3641">
        <v>1811</v>
      </c>
      <c r="B3641">
        <f>A3641+1</f>
        <v>1812</v>
      </c>
      <c r="C3641" t="s">
        <v>517</v>
      </c>
      <c r="D3641" t="s">
        <v>27</v>
      </c>
      <c r="E3641" s="208" t="s">
        <v>156</v>
      </c>
      <c r="F3641" t="s">
        <v>0</v>
      </c>
      <c r="G3641" s="18">
        <v>2693</v>
      </c>
      <c r="H3641" t="s">
        <v>16</v>
      </c>
      <c r="I3641" t="s">
        <v>18</v>
      </c>
    </row>
    <row r="3642" spans="1:9" x14ac:dyDescent="0.25">
      <c r="A3642">
        <v>1811</v>
      </c>
      <c r="B3642">
        <f>A3642+1</f>
        <v>1812</v>
      </c>
      <c r="C3642" t="s">
        <v>517</v>
      </c>
      <c r="D3642" t="s">
        <v>27</v>
      </c>
      <c r="E3642" s="208" t="s">
        <v>154</v>
      </c>
      <c r="F3642" t="s">
        <v>0</v>
      </c>
      <c r="G3642" s="18">
        <v>416</v>
      </c>
      <c r="H3642" t="s">
        <v>16</v>
      </c>
      <c r="I3642" t="s">
        <v>18</v>
      </c>
    </row>
    <row r="3643" spans="1:9" x14ac:dyDescent="0.25">
      <c r="A3643">
        <v>1811</v>
      </c>
      <c r="B3643">
        <f>A3643+1</f>
        <v>1812</v>
      </c>
      <c r="C3643" t="s">
        <v>517</v>
      </c>
      <c r="D3643" t="s">
        <v>27</v>
      </c>
      <c r="E3643" s="208" t="s">
        <v>150</v>
      </c>
      <c r="F3643" t="s">
        <v>0</v>
      </c>
      <c r="G3643" s="18">
        <v>5771</v>
      </c>
      <c r="H3643" t="s">
        <v>16</v>
      </c>
      <c r="I3643" t="s">
        <v>18</v>
      </c>
    </row>
    <row r="3644" spans="1:9" x14ac:dyDescent="0.25">
      <c r="A3644">
        <v>1811</v>
      </c>
      <c r="B3644">
        <f>A3644+1</f>
        <v>1812</v>
      </c>
      <c r="C3644" t="s">
        <v>517</v>
      </c>
      <c r="D3644" t="s">
        <v>27</v>
      </c>
      <c r="E3644" s="208" t="s">
        <v>148</v>
      </c>
      <c r="F3644" t="s">
        <v>0</v>
      </c>
      <c r="G3644" s="18">
        <v>334</v>
      </c>
      <c r="H3644" t="s">
        <v>16</v>
      </c>
      <c r="I3644" t="s">
        <v>18</v>
      </c>
    </row>
    <row r="3645" spans="1:9" x14ac:dyDescent="0.25">
      <c r="A3645">
        <v>1811</v>
      </c>
      <c r="B3645">
        <f>A3645+1</f>
        <v>1812</v>
      </c>
      <c r="C3645" t="s">
        <v>517</v>
      </c>
      <c r="D3645" t="s">
        <v>27</v>
      </c>
      <c r="E3645" s="208" t="s">
        <v>139</v>
      </c>
      <c r="F3645" t="s">
        <v>0</v>
      </c>
      <c r="G3645" s="18">
        <v>0</v>
      </c>
      <c r="H3645" t="s">
        <v>16</v>
      </c>
      <c r="I3645" t="s">
        <v>18</v>
      </c>
    </row>
    <row r="3646" spans="1:9" x14ac:dyDescent="0.25">
      <c r="A3646">
        <v>1811</v>
      </c>
      <c r="B3646">
        <f>A3646+1</f>
        <v>1812</v>
      </c>
      <c r="C3646" t="s">
        <v>517</v>
      </c>
      <c r="D3646" t="s">
        <v>27</v>
      </c>
      <c r="E3646" s="208" t="s">
        <v>130</v>
      </c>
      <c r="F3646" t="s">
        <v>0</v>
      </c>
      <c r="G3646" s="18">
        <v>136</v>
      </c>
      <c r="H3646" t="s">
        <v>16</v>
      </c>
      <c r="I3646" t="s">
        <v>18</v>
      </c>
    </row>
    <row r="3647" spans="1:9" x14ac:dyDescent="0.25">
      <c r="A3647">
        <v>1811</v>
      </c>
      <c r="B3647">
        <f>A3647+1</f>
        <v>1812</v>
      </c>
      <c r="C3647" t="s">
        <v>517</v>
      </c>
      <c r="D3647" t="s">
        <v>27</v>
      </c>
      <c r="E3647" s="208" t="s">
        <v>132</v>
      </c>
      <c r="F3647" t="s">
        <v>0</v>
      </c>
      <c r="G3647" s="18">
        <v>137</v>
      </c>
      <c r="H3647" t="s">
        <v>16</v>
      </c>
      <c r="I3647" t="s">
        <v>18</v>
      </c>
    </row>
    <row r="3648" spans="1:9" x14ac:dyDescent="0.25">
      <c r="A3648">
        <v>1811</v>
      </c>
      <c r="B3648">
        <f>A3648+1</f>
        <v>1812</v>
      </c>
      <c r="C3648" t="s">
        <v>517</v>
      </c>
      <c r="D3648" t="s">
        <v>27</v>
      </c>
      <c r="E3648" s="208" t="s">
        <v>142</v>
      </c>
      <c r="F3648" t="s">
        <v>0</v>
      </c>
      <c r="G3648" s="18">
        <v>1879</v>
      </c>
      <c r="H3648" t="s">
        <v>16</v>
      </c>
      <c r="I3648" t="s">
        <v>18</v>
      </c>
    </row>
    <row r="3649" spans="1:9" x14ac:dyDescent="0.25">
      <c r="A3649">
        <v>1811</v>
      </c>
      <c r="B3649">
        <f>A3649+1</f>
        <v>1812</v>
      </c>
      <c r="C3649" t="s">
        <v>517</v>
      </c>
      <c r="D3649" t="s">
        <v>27</v>
      </c>
      <c r="E3649" s="208" t="s">
        <v>144</v>
      </c>
      <c r="F3649" t="s">
        <v>0</v>
      </c>
      <c r="G3649" s="18">
        <v>140</v>
      </c>
      <c r="H3649" t="s">
        <v>16</v>
      </c>
      <c r="I3649" t="s">
        <v>18</v>
      </c>
    </row>
    <row r="3650" spans="1:9" x14ac:dyDescent="0.25">
      <c r="A3650">
        <v>1811</v>
      </c>
      <c r="B3650">
        <f>A3650+1</f>
        <v>1812</v>
      </c>
      <c r="C3650" t="s">
        <v>517</v>
      </c>
      <c r="D3650" t="s">
        <v>27</v>
      </c>
      <c r="E3650" s="208" t="s">
        <v>124</v>
      </c>
      <c r="F3650" t="s">
        <v>0</v>
      </c>
      <c r="G3650" s="18">
        <v>8668705</v>
      </c>
      <c r="H3650" t="s">
        <v>16</v>
      </c>
      <c r="I3650" t="s">
        <v>18</v>
      </c>
    </row>
    <row r="3651" spans="1:9" x14ac:dyDescent="0.25">
      <c r="A3651">
        <v>1811</v>
      </c>
      <c r="B3651">
        <f>A3651+1</f>
        <v>1812</v>
      </c>
      <c r="C3651" t="s">
        <v>517</v>
      </c>
      <c r="D3651" t="s">
        <v>26</v>
      </c>
      <c r="E3651" s="208" t="s">
        <v>65</v>
      </c>
      <c r="F3651" t="s">
        <v>169</v>
      </c>
      <c r="G3651" s="18">
        <v>6803</v>
      </c>
      <c r="H3651" t="s">
        <v>160</v>
      </c>
      <c r="I3651" t="s">
        <v>16</v>
      </c>
    </row>
    <row r="3652" spans="1:9" x14ac:dyDescent="0.25">
      <c r="A3652">
        <v>1811</v>
      </c>
      <c r="B3652">
        <f>A3652+1</f>
        <v>1812</v>
      </c>
      <c r="C3652" t="s">
        <v>517</v>
      </c>
      <c r="D3652" t="s">
        <v>26</v>
      </c>
      <c r="E3652" s="208" t="s">
        <v>88</v>
      </c>
      <c r="F3652" t="s">
        <v>169</v>
      </c>
      <c r="G3652" s="18">
        <v>10521</v>
      </c>
      <c r="H3652" t="s">
        <v>160</v>
      </c>
      <c r="I3652" t="s">
        <v>16</v>
      </c>
    </row>
    <row r="3653" spans="1:9" x14ac:dyDescent="0.25">
      <c r="A3653">
        <v>1811</v>
      </c>
      <c r="B3653">
        <f>A3653+1</f>
        <v>1812</v>
      </c>
      <c r="C3653" t="s">
        <v>517</v>
      </c>
      <c r="D3653" t="s">
        <v>27</v>
      </c>
      <c r="E3653" s="208" t="s">
        <v>155</v>
      </c>
      <c r="F3653" t="s">
        <v>1</v>
      </c>
      <c r="G3653" s="18">
        <v>3132</v>
      </c>
      <c r="H3653" t="s">
        <v>16</v>
      </c>
      <c r="I3653" t="s">
        <v>21</v>
      </c>
    </row>
    <row r="3654" spans="1:9" x14ac:dyDescent="0.25">
      <c r="A3654">
        <v>1811</v>
      </c>
      <c r="B3654">
        <f>A3654+1</f>
        <v>1812</v>
      </c>
      <c r="C3654" t="s">
        <v>517</v>
      </c>
      <c r="D3654" t="s">
        <v>27</v>
      </c>
      <c r="E3654" s="208" t="s">
        <v>156</v>
      </c>
      <c r="F3654" t="s">
        <v>1</v>
      </c>
      <c r="G3654" s="18">
        <v>508</v>
      </c>
      <c r="H3654" t="s">
        <v>16</v>
      </c>
      <c r="I3654" t="s">
        <v>21</v>
      </c>
    </row>
    <row r="3655" spans="1:9" x14ac:dyDescent="0.25">
      <c r="A3655">
        <v>1811</v>
      </c>
      <c r="B3655">
        <f>A3655+1</f>
        <v>1812</v>
      </c>
      <c r="C3655" t="s">
        <v>517</v>
      </c>
      <c r="D3655" t="s">
        <v>27</v>
      </c>
      <c r="E3655" s="208" t="s">
        <v>154</v>
      </c>
      <c r="F3655" t="s">
        <v>1</v>
      </c>
      <c r="G3655" s="18">
        <v>475</v>
      </c>
      <c r="H3655" t="s">
        <v>16</v>
      </c>
      <c r="I3655" t="s">
        <v>21</v>
      </c>
    </row>
    <row r="3656" spans="1:9" x14ac:dyDescent="0.25">
      <c r="A3656">
        <v>1811</v>
      </c>
      <c r="B3656">
        <f>A3656+1</f>
        <v>1812</v>
      </c>
      <c r="C3656" t="s">
        <v>517</v>
      </c>
      <c r="D3656" t="s">
        <v>27</v>
      </c>
      <c r="E3656" s="208" t="s">
        <v>150</v>
      </c>
      <c r="F3656" t="s">
        <v>1</v>
      </c>
      <c r="G3656" s="18">
        <v>3320</v>
      </c>
      <c r="H3656" t="s">
        <v>16</v>
      </c>
      <c r="I3656" t="s">
        <v>21</v>
      </c>
    </row>
    <row r="3657" spans="1:9" x14ac:dyDescent="0.25">
      <c r="A3657">
        <v>1811</v>
      </c>
      <c r="B3657">
        <f>A3657+1</f>
        <v>1812</v>
      </c>
      <c r="C3657" t="s">
        <v>517</v>
      </c>
      <c r="D3657" t="s">
        <v>27</v>
      </c>
      <c r="E3657" s="208" t="s">
        <v>148</v>
      </c>
      <c r="F3657" t="s">
        <v>1</v>
      </c>
      <c r="G3657" s="18">
        <v>404</v>
      </c>
      <c r="H3657" t="s">
        <v>16</v>
      </c>
      <c r="I3657" t="s">
        <v>21</v>
      </c>
    </row>
    <row r="3658" spans="1:9" x14ac:dyDescent="0.25">
      <c r="A3658">
        <v>1811</v>
      </c>
      <c r="B3658">
        <f>A3658+1</f>
        <v>1812</v>
      </c>
      <c r="C3658" t="s">
        <v>517</v>
      </c>
      <c r="D3658" t="s">
        <v>27</v>
      </c>
      <c r="E3658" s="208" t="s">
        <v>139</v>
      </c>
      <c r="F3658" t="s">
        <v>1</v>
      </c>
      <c r="G3658" s="18">
        <v>0</v>
      </c>
      <c r="H3658" t="s">
        <v>16</v>
      </c>
      <c r="I3658" t="s">
        <v>21</v>
      </c>
    </row>
    <row r="3659" spans="1:9" x14ac:dyDescent="0.25">
      <c r="A3659">
        <v>1811</v>
      </c>
      <c r="B3659">
        <f>A3659+1</f>
        <v>1812</v>
      </c>
      <c r="C3659" t="s">
        <v>517</v>
      </c>
      <c r="D3659" t="s">
        <v>27</v>
      </c>
      <c r="E3659" s="208" t="s">
        <v>130</v>
      </c>
      <c r="F3659" t="s">
        <v>1</v>
      </c>
      <c r="G3659" s="18">
        <v>171</v>
      </c>
      <c r="H3659" t="s">
        <v>16</v>
      </c>
      <c r="I3659" t="s">
        <v>21</v>
      </c>
    </row>
    <row r="3660" spans="1:9" x14ac:dyDescent="0.25">
      <c r="A3660">
        <v>1811</v>
      </c>
      <c r="B3660">
        <f>A3660+1</f>
        <v>1812</v>
      </c>
      <c r="C3660" t="s">
        <v>517</v>
      </c>
      <c r="D3660" t="s">
        <v>27</v>
      </c>
      <c r="E3660" s="208" t="s">
        <v>132</v>
      </c>
      <c r="F3660" t="s">
        <v>1</v>
      </c>
      <c r="G3660" s="18">
        <v>203</v>
      </c>
      <c r="H3660" t="s">
        <v>16</v>
      </c>
      <c r="I3660" t="s">
        <v>21</v>
      </c>
    </row>
    <row r="3661" spans="1:9" x14ac:dyDescent="0.25">
      <c r="A3661">
        <v>1811</v>
      </c>
      <c r="B3661">
        <f>A3661+1</f>
        <v>1812</v>
      </c>
      <c r="C3661" t="s">
        <v>517</v>
      </c>
      <c r="D3661" t="s">
        <v>27</v>
      </c>
      <c r="E3661" s="208" t="s">
        <v>142</v>
      </c>
      <c r="F3661" t="s">
        <v>1</v>
      </c>
      <c r="G3661" s="18">
        <v>328</v>
      </c>
      <c r="H3661" t="s">
        <v>16</v>
      </c>
      <c r="I3661" t="s">
        <v>21</v>
      </c>
    </row>
    <row r="3662" spans="1:9" x14ac:dyDescent="0.25">
      <c r="A3662">
        <v>1811</v>
      </c>
      <c r="B3662">
        <f>A3662+1</f>
        <v>1812</v>
      </c>
      <c r="C3662" t="s">
        <v>517</v>
      </c>
      <c r="D3662" t="s">
        <v>27</v>
      </c>
      <c r="E3662" s="208" t="s">
        <v>144</v>
      </c>
      <c r="F3662" t="s">
        <v>1</v>
      </c>
      <c r="G3662" s="18">
        <v>87</v>
      </c>
      <c r="H3662" t="s">
        <v>16</v>
      </c>
      <c r="I3662" t="s">
        <v>21</v>
      </c>
    </row>
    <row r="3663" spans="1:9" x14ac:dyDescent="0.25">
      <c r="A3663">
        <v>1811</v>
      </c>
      <c r="B3663">
        <f>A3663+1</f>
        <v>1812</v>
      </c>
      <c r="C3663" t="s">
        <v>517</v>
      </c>
      <c r="D3663" t="s">
        <v>27</v>
      </c>
      <c r="E3663" s="208" t="s">
        <v>124</v>
      </c>
      <c r="F3663" t="s">
        <v>1</v>
      </c>
      <c r="G3663" s="18">
        <v>489467</v>
      </c>
      <c r="H3663" t="s">
        <v>16</v>
      </c>
      <c r="I3663" t="s">
        <v>21</v>
      </c>
    </row>
    <row r="3664" spans="1:9" x14ac:dyDescent="0.25">
      <c r="A3664">
        <v>1811</v>
      </c>
      <c r="B3664">
        <f>A3664+1</f>
        <v>1812</v>
      </c>
      <c r="C3664" t="s">
        <v>517</v>
      </c>
      <c r="D3664" t="s">
        <v>27</v>
      </c>
      <c r="E3664" s="208" t="s">
        <v>155</v>
      </c>
      <c r="F3664" t="s">
        <v>6</v>
      </c>
      <c r="G3664" s="18">
        <v>0</v>
      </c>
      <c r="H3664" t="s">
        <v>16</v>
      </c>
      <c r="I3664" t="s">
        <v>25</v>
      </c>
    </row>
    <row r="3665" spans="1:9" x14ac:dyDescent="0.25">
      <c r="A3665">
        <v>1811</v>
      </c>
      <c r="B3665">
        <f>A3665+1</f>
        <v>1812</v>
      </c>
      <c r="C3665" t="s">
        <v>517</v>
      </c>
      <c r="D3665" t="s">
        <v>27</v>
      </c>
      <c r="E3665" s="208" t="s">
        <v>156</v>
      </c>
      <c r="F3665" t="s">
        <v>6</v>
      </c>
      <c r="G3665" s="18">
        <v>5</v>
      </c>
      <c r="H3665" t="s">
        <v>16</v>
      </c>
      <c r="I3665" t="s">
        <v>25</v>
      </c>
    </row>
    <row r="3666" spans="1:9" x14ac:dyDescent="0.25">
      <c r="A3666">
        <v>1811</v>
      </c>
      <c r="B3666">
        <f>A3666+1</f>
        <v>1812</v>
      </c>
      <c r="C3666" t="s">
        <v>517</v>
      </c>
      <c r="D3666" t="s">
        <v>27</v>
      </c>
      <c r="E3666" s="208" t="s">
        <v>154</v>
      </c>
      <c r="F3666" t="s">
        <v>6</v>
      </c>
      <c r="G3666" s="18">
        <v>96</v>
      </c>
      <c r="H3666" t="s">
        <v>16</v>
      </c>
      <c r="I3666" t="s">
        <v>25</v>
      </c>
    </row>
    <row r="3667" spans="1:9" x14ac:dyDescent="0.25">
      <c r="A3667">
        <v>1811</v>
      </c>
      <c r="B3667">
        <f>A3667+1</f>
        <v>1812</v>
      </c>
      <c r="C3667" t="s">
        <v>517</v>
      </c>
      <c r="D3667" t="s">
        <v>27</v>
      </c>
      <c r="E3667" s="208" t="s">
        <v>150</v>
      </c>
      <c r="F3667" t="s">
        <v>6</v>
      </c>
      <c r="G3667" s="18">
        <v>628</v>
      </c>
      <c r="H3667" t="s">
        <v>16</v>
      </c>
      <c r="I3667" t="s">
        <v>25</v>
      </c>
    </row>
    <row r="3668" spans="1:9" x14ac:dyDescent="0.25">
      <c r="A3668">
        <v>1811</v>
      </c>
      <c r="B3668">
        <f>A3668+1</f>
        <v>1812</v>
      </c>
      <c r="C3668" t="s">
        <v>517</v>
      </c>
      <c r="D3668" t="s">
        <v>27</v>
      </c>
      <c r="E3668" s="208" t="s">
        <v>148</v>
      </c>
      <c r="F3668" t="s">
        <v>6</v>
      </c>
      <c r="G3668" s="18">
        <v>71</v>
      </c>
      <c r="H3668" t="s">
        <v>16</v>
      </c>
      <c r="I3668" t="s">
        <v>25</v>
      </c>
    </row>
    <row r="3669" spans="1:9" x14ac:dyDescent="0.25">
      <c r="A3669">
        <v>1811</v>
      </c>
      <c r="B3669">
        <f>A3669+1</f>
        <v>1812</v>
      </c>
      <c r="C3669" t="s">
        <v>517</v>
      </c>
      <c r="D3669" t="s">
        <v>27</v>
      </c>
      <c r="E3669" s="208" t="s">
        <v>139</v>
      </c>
      <c r="F3669" t="s">
        <v>6</v>
      </c>
      <c r="G3669" s="18">
        <v>0</v>
      </c>
      <c r="H3669" t="s">
        <v>16</v>
      </c>
      <c r="I3669" t="s">
        <v>25</v>
      </c>
    </row>
    <row r="3670" spans="1:9" x14ac:dyDescent="0.25">
      <c r="A3670">
        <v>1811</v>
      </c>
      <c r="B3670">
        <f>A3670+1</f>
        <v>1812</v>
      </c>
      <c r="C3670" t="s">
        <v>517</v>
      </c>
      <c r="D3670" t="s">
        <v>27</v>
      </c>
      <c r="E3670" s="208" t="s">
        <v>130</v>
      </c>
      <c r="F3670" t="s">
        <v>6</v>
      </c>
      <c r="G3670" s="18">
        <v>0</v>
      </c>
      <c r="H3670" t="s">
        <v>16</v>
      </c>
      <c r="I3670" t="s">
        <v>25</v>
      </c>
    </row>
    <row r="3671" spans="1:9" x14ac:dyDescent="0.25">
      <c r="A3671">
        <v>1811</v>
      </c>
      <c r="B3671">
        <f>A3671+1</f>
        <v>1812</v>
      </c>
      <c r="C3671" t="s">
        <v>517</v>
      </c>
      <c r="D3671" t="s">
        <v>27</v>
      </c>
      <c r="E3671" s="208" t="s">
        <v>132</v>
      </c>
      <c r="F3671" t="s">
        <v>6</v>
      </c>
      <c r="G3671" s="18">
        <v>0</v>
      </c>
      <c r="H3671" t="s">
        <v>16</v>
      </c>
      <c r="I3671" t="s">
        <v>25</v>
      </c>
    </row>
    <row r="3672" spans="1:9" x14ac:dyDescent="0.25">
      <c r="A3672">
        <v>1811</v>
      </c>
      <c r="B3672">
        <f>A3672+1</f>
        <v>1812</v>
      </c>
      <c r="C3672" t="s">
        <v>517</v>
      </c>
      <c r="D3672" t="s">
        <v>27</v>
      </c>
      <c r="E3672" s="208" t="s">
        <v>142</v>
      </c>
      <c r="F3672" t="s">
        <v>6</v>
      </c>
      <c r="G3672" s="18">
        <v>0</v>
      </c>
      <c r="H3672" t="s">
        <v>16</v>
      </c>
      <c r="I3672" t="s">
        <v>25</v>
      </c>
    </row>
    <row r="3673" spans="1:9" x14ac:dyDescent="0.25">
      <c r="A3673">
        <v>1811</v>
      </c>
      <c r="B3673">
        <f>A3673+1</f>
        <v>1812</v>
      </c>
      <c r="C3673" t="s">
        <v>517</v>
      </c>
      <c r="D3673" t="s">
        <v>27</v>
      </c>
      <c r="E3673" s="208" t="s">
        <v>144</v>
      </c>
      <c r="F3673" t="s">
        <v>6</v>
      </c>
      <c r="G3673" s="18">
        <v>0</v>
      </c>
      <c r="H3673" t="s">
        <v>16</v>
      </c>
      <c r="I3673" t="s">
        <v>25</v>
      </c>
    </row>
    <row r="3674" spans="1:9" x14ac:dyDescent="0.25">
      <c r="A3674">
        <v>1811</v>
      </c>
      <c r="B3674">
        <f>A3674+1</f>
        <v>1812</v>
      </c>
      <c r="C3674" t="s">
        <v>517</v>
      </c>
      <c r="D3674" t="s">
        <v>27</v>
      </c>
      <c r="E3674" s="208" t="s">
        <v>124</v>
      </c>
      <c r="F3674" t="s">
        <v>6</v>
      </c>
      <c r="G3674" s="18">
        <v>0</v>
      </c>
      <c r="H3674" t="s">
        <v>16</v>
      </c>
      <c r="I3674" t="s">
        <v>25</v>
      </c>
    </row>
    <row r="3675" spans="1:9" x14ac:dyDescent="0.25">
      <c r="A3675">
        <v>1811</v>
      </c>
      <c r="B3675">
        <f>A3675+1</f>
        <v>1812</v>
      </c>
      <c r="C3675" t="s">
        <v>517</v>
      </c>
      <c r="D3675" t="s">
        <v>27</v>
      </c>
      <c r="E3675" s="208" t="s">
        <v>155</v>
      </c>
      <c r="F3675" t="s">
        <v>4</v>
      </c>
      <c r="G3675" s="18">
        <v>0</v>
      </c>
      <c r="H3675" t="s">
        <v>16</v>
      </c>
      <c r="I3675" t="s">
        <v>23</v>
      </c>
    </row>
    <row r="3676" spans="1:9" x14ac:dyDescent="0.25">
      <c r="A3676">
        <v>1811</v>
      </c>
      <c r="B3676">
        <f>A3676+1</f>
        <v>1812</v>
      </c>
      <c r="C3676" t="s">
        <v>517</v>
      </c>
      <c r="D3676" t="s">
        <v>27</v>
      </c>
      <c r="E3676" s="208" t="s">
        <v>156</v>
      </c>
      <c r="F3676" t="s">
        <v>4</v>
      </c>
      <c r="G3676" s="18">
        <v>0</v>
      </c>
      <c r="H3676" t="s">
        <v>16</v>
      </c>
      <c r="I3676" t="s">
        <v>23</v>
      </c>
    </row>
    <row r="3677" spans="1:9" x14ac:dyDescent="0.25">
      <c r="A3677">
        <v>1811</v>
      </c>
      <c r="B3677">
        <f>A3677+1</f>
        <v>1812</v>
      </c>
      <c r="C3677" t="s">
        <v>517</v>
      </c>
      <c r="D3677" t="s">
        <v>27</v>
      </c>
      <c r="E3677" s="208" t="s">
        <v>154</v>
      </c>
      <c r="F3677" t="s">
        <v>4</v>
      </c>
      <c r="G3677" s="18">
        <v>0</v>
      </c>
      <c r="H3677" t="s">
        <v>16</v>
      </c>
      <c r="I3677" t="s">
        <v>23</v>
      </c>
    </row>
    <row r="3678" spans="1:9" x14ac:dyDescent="0.25">
      <c r="A3678">
        <v>1811</v>
      </c>
      <c r="B3678">
        <f>A3678+1</f>
        <v>1812</v>
      </c>
      <c r="C3678" t="s">
        <v>517</v>
      </c>
      <c r="D3678" t="s">
        <v>27</v>
      </c>
      <c r="E3678" s="208" t="s">
        <v>150</v>
      </c>
      <c r="F3678" t="s">
        <v>4</v>
      </c>
      <c r="G3678" s="18">
        <v>460</v>
      </c>
      <c r="H3678" t="s">
        <v>16</v>
      </c>
      <c r="I3678" t="s">
        <v>23</v>
      </c>
    </row>
    <row r="3679" spans="1:9" x14ac:dyDescent="0.25">
      <c r="A3679">
        <v>1811</v>
      </c>
      <c r="B3679">
        <f>A3679+1</f>
        <v>1812</v>
      </c>
      <c r="C3679" t="s">
        <v>517</v>
      </c>
      <c r="D3679" t="s">
        <v>27</v>
      </c>
      <c r="E3679" s="208" t="s">
        <v>148</v>
      </c>
      <c r="F3679" t="s">
        <v>4</v>
      </c>
      <c r="G3679" s="18">
        <v>0</v>
      </c>
      <c r="H3679" t="s">
        <v>16</v>
      </c>
      <c r="I3679" t="s">
        <v>23</v>
      </c>
    </row>
    <row r="3680" spans="1:9" x14ac:dyDescent="0.25">
      <c r="A3680">
        <v>1811</v>
      </c>
      <c r="B3680">
        <f>A3680+1</f>
        <v>1812</v>
      </c>
      <c r="C3680" t="s">
        <v>517</v>
      </c>
      <c r="D3680" t="s">
        <v>27</v>
      </c>
      <c r="E3680" s="208" t="s">
        <v>139</v>
      </c>
      <c r="F3680" t="s">
        <v>4</v>
      </c>
      <c r="G3680" s="18">
        <v>2</v>
      </c>
      <c r="H3680" t="s">
        <v>16</v>
      </c>
      <c r="I3680" t="s">
        <v>23</v>
      </c>
    </row>
    <row r="3681" spans="1:9" x14ac:dyDescent="0.25">
      <c r="A3681">
        <v>1811</v>
      </c>
      <c r="B3681">
        <f>A3681+1</f>
        <v>1812</v>
      </c>
      <c r="C3681" t="s">
        <v>517</v>
      </c>
      <c r="D3681" t="s">
        <v>27</v>
      </c>
      <c r="E3681" s="208" t="s">
        <v>130</v>
      </c>
      <c r="F3681" t="s">
        <v>4</v>
      </c>
      <c r="G3681" s="18">
        <v>0</v>
      </c>
      <c r="H3681" t="s">
        <v>16</v>
      </c>
      <c r="I3681" t="s">
        <v>23</v>
      </c>
    </row>
    <row r="3682" spans="1:9" x14ac:dyDescent="0.25">
      <c r="A3682">
        <v>1811</v>
      </c>
      <c r="B3682">
        <f>A3682+1</f>
        <v>1812</v>
      </c>
      <c r="C3682" t="s">
        <v>517</v>
      </c>
      <c r="D3682" t="s">
        <v>27</v>
      </c>
      <c r="E3682" s="208" t="s">
        <v>132</v>
      </c>
      <c r="F3682" t="s">
        <v>4</v>
      </c>
      <c r="G3682" s="18">
        <v>0</v>
      </c>
      <c r="H3682" t="s">
        <v>16</v>
      </c>
      <c r="I3682" t="s">
        <v>23</v>
      </c>
    </row>
    <row r="3683" spans="1:9" x14ac:dyDescent="0.25">
      <c r="A3683">
        <v>1811</v>
      </c>
      <c r="B3683">
        <f>A3683+1</f>
        <v>1812</v>
      </c>
      <c r="C3683" t="s">
        <v>517</v>
      </c>
      <c r="D3683" t="s">
        <v>27</v>
      </c>
      <c r="E3683" s="208" t="s">
        <v>142</v>
      </c>
      <c r="F3683" t="s">
        <v>4</v>
      </c>
      <c r="G3683" s="18">
        <v>97</v>
      </c>
      <c r="H3683" t="s">
        <v>16</v>
      </c>
      <c r="I3683" t="s">
        <v>23</v>
      </c>
    </row>
    <row r="3684" spans="1:9" x14ac:dyDescent="0.25">
      <c r="A3684">
        <v>1811</v>
      </c>
      <c r="B3684">
        <f>A3684+1</f>
        <v>1812</v>
      </c>
      <c r="C3684" t="s">
        <v>517</v>
      </c>
      <c r="D3684" t="s">
        <v>27</v>
      </c>
      <c r="E3684" s="208" t="s">
        <v>144</v>
      </c>
      <c r="F3684" t="s">
        <v>4</v>
      </c>
      <c r="G3684" s="18">
        <v>0</v>
      </c>
      <c r="H3684" t="s">
        <v>16</v>
      </c>
      <c r="I3684" t="s">
        <v>23</v>
      </c>
    </row>
    <row r="3685" spans="1:9" x14ac:dyDescent="0.25">
      <c r="A3685">
        <v>1811</v>
      </c>
      <c r="B3685">
        <f>A3685+1</f>
        <v>1812</v>
      </c>
      <c r="C3685" t="s">
        <v>517</v>
      </c>
      <c r="D3685" t="s">
        <v>27</v>
      </c>
      <c r="E3685" s="208" t="s">
        <v>124</v>
      </c>
      <c r="F3685" t="s">
        <v>4</v>
      </c>
      <c r="G3685" s="18">
        <v>64918</v>
      </c>
      <c r="H3685" t="s">
        <v>16</v>
      </c>
      <c r="I3685" t="s">
        <v>23</v>
      </c>
    </row>
    <row r="3686" spans="1:9" x14ac:dyDescent="0.25">
      <c r="A3686">
        <v>1811</v>
      </c>
      <c r="B3686">
        <f>A3686+1</f>
        <v>1812</v>
      </c>
      <c r="C3686" t="s">
        <v>517</v>
      </c>
      <c r="D3686" t="s">
        <v>26</v>
      </c>
      <c r="E3686" s="208" t="s">
        <v>62</v>
      </c>
      <c r="F3686" t="s">
        <v>4</v>
      </c>
      <c r="G3686" s="18">
        <v>32344</v>
      </c>
      <c r="H3686" t="s">
        <v>23</v>
      </c>
      <c r="I3686" t="s">
        <v>16</v>
      </c>
    </row>
    <row r="3687" spans="1:9" x14ac:dyDescent="0.25">
      <c r="A3687">
        <v>1811</v>
      </c>
      <c r="B3687">
        <f>A3687+1</f>
        <v>1812</v>
      </c>
      <c r="C3687" t="s">
        <v>517</v>
      </c>
      <c r="D3687" t="s">
        <v>26</v>
      </c>
      <c r="E3687" s="208" t="s">
        <v>55</v>
      </c>
      <c r="F3687" t="s">
        <v>4</v>
      </c>
      <c r="G3687" s="18">
        <v>8330</v>
      </c>
      <c r="H3687" t="s">
        <v>23</v>
      </c>
      <c r="I3687" t="s">
        <v>16</v>
      </c>
    </row>
    <row r="3688" spans="1:9" x14ac:dyDescent="0.25">
      <c r="A3688">
        <v>1811</v>
      </c>
      <c r="B3688">
        <f>A3688+1</f>
        <v>1812</v>
      </c>
      <c r="C3688" t="s">
        <v>517</v>
      </c>
      <c r="D3688" t="s">
        <v>26</v>
      </c>
      <c r="E3688" s="208" t="s">
        <v>35</v>
      </c>
      <c r="F3688" t="s">
        <v>4</v>
      </c>
      <c r="G3688" s="18">
        <v>553</v>
      </c>
      <c r="H3688" t="s">
        <v>23</v>
      </c>
      <c r="I3688" t="s">
        <v>16</v>
      </c>
    </row>
    <row r="3689" spans="1:9" x14ac:dyDescent="0.25">
      <c r="A3689">
        <v>1811</v>
      </c>
      <c r="B3689">
        <f>A3689+1</f>
        <v>1812</v>
      </c>
      <c r="C3689" t="s">
        <v>517</v>
      </c>
      <c r="D3689" t="s">
        <v>26</v>
      </c>
      <c r="E3689" s="208" t="s">
        <v>36</v>
      </c>
      <c r="F3689" t="s">
        <v>4</v>
      </c>
      <c r="G3689" s="18">
        <v>3472</v>
      </c>
      <c r="H3689" t="s">
        <v>23</v>
      </c>
      <c r="I3689" t="s">
        <v>16</v>
      </c>
    </row>
    <row r="3690" spans="1:9" x14ac:dyDescent="0.25">
      <c r="A3690">
        <v>1811</v>
      </c>
      <c r="B3690">
        <f>A3690+1</f>
        <v>1812</v>
      </c>
      <c r="C3690" t="s">
        <v>517</v>
      </c>
      <c r="D3690" t="s">
        <v>26</v>
      </c>
      <c r="E3690" s="208" t="s">
        <v>39</v>
      </c>
      <c r="F3690" t="s">
        <v>4</v>
      </c>
      <c r="G3690" s="18">
        <v>1622</v>
      </c>
      <c r="H3690" t="s">
        <v>23</v>
      </c>
      <c r="I3690" t="s">
        <v>16</v>
      </c>
    </row>
    <row r="3691" spans="1:9" x14ac:dyDescent="0.25">
      <c r="A3691">
        <v>1811</v>
      </c>
      <c r="B3691">
        <f>A3691+1</f>
        <v>1812</v>
      </c>
      <c r="C3691" t="s">
        <v>517</v>
      </c>
      <c r="D3691" t="s">
        <v>26</v>
      </c>
      <c r="E3691" s="208" t="s">
        <v>99</v>
      </c>
      <c r="F3691" t="s">
        <v>4</v>
      </c>
      <c r="G3691" s="18">
        <v>1452</v>
      </c>
      <c r="H3691" t="s">
        <v>23</v>
      </c>
      <c r="I3691" t="s">
        <v>16</v>
      </c>
    </row>
    <row r="3692" spans="1:9" x14ac:dyDescent="0.25">
      <c r="A3692">
        <v>1811</v>
      </c>
      <c r="B3692">
        <f>A3692+1</f>
        <v>1812</v>
      </c>
      <c r="C3692" t="s">
        <v>517</v>
      </c>
      <c r="D3692" t="s">
        <v>26</v>
      </c>
      <c r="E3692" s="208" t="s">
        <v>351</v>
      </c>
      <c r="F3692" t="s">
        <v>4</v>
      </c>
      <c r="G3692" s="18">
        <v>390</v>
      </c>
      <c r="H3692" t="s">
        <v>23</v>
      </c>
      <c r="I3692" t="s">
        <v>16</v>
      </c>
    </row>
    <row r="3693" spans="1:9" x14ac:dyDescent="0.25">
      <c r="A3693">
        <v>1811</v>
      </c>
      <c r="B3693">
        <f>A3693+1</f>
        <v>1812</v>
      </c>
      <c r="C3693" t="s">
        <v>517</v>
      </c>
      <c r="D3693" t="s">
        <v>26</v>
      </c>
      <c r="E3693" s="208" t="s">
        <v>367</v>
      </c>
      <c r="F3693" t="s">
        <v>4</v>
      </c>
      <c r="G3693" s="18">
        <v>557</v>
      </c>
      <c r="H3693" t="s">
        <v>23</v>
      </c>
      <c r="I3693" t="s">
        <v>16</v>
      </c>
    </row>
    <row r="3694" spans="1:9" x14ac:dyDescent="0.25">
      <c r="A3694">
        <v>1811</v>
      </c>
      <c r="B3694">
        <f>A3694+1</f>
        <v>1812</v>
      </c>
      <c r="C3694" t="s">
        <v>517</v>
      </c>
      <c r="D3694" t="s">
        <v>26</v>
      </c>
      <c r="E3694" s="208" t="s">
        <v>352</v>
      </c>
      <c r="F3694" t="s">
        <v>4</v>
      </c>
      <c r="G3694" s="18">
        <v>9837</v>
      </c>
      <c r="H3694" t="s">
        <v>23</v>
      </c>
      <c r="I3694" t="s">
        <v>16</v>
      </c>
    </row>
    <row r="3695" spans="1:9" x14ac:dyDescent="0.25">
      <c r="A3695">
        <v>1811</v>
      </c>
      <c r="B3695">
        <f>A3695+1</f>
        <v>1812</v>
      </c>
      <c r="C3695" t="s">
        <v>517</v>
      </c>
      <c r="D3695" t="s">
        <v>26</v>
      </c>
      <c r="E3695" s="208" t="s">
        <v>75</v>
      </c>
      <c r="F3695" t="s">
        <v>4</v>
      </c>
      <c r="G3695" s="18">
        <v>3649161</v>
      </c>
      <c r="H3695" t="s">
        <v>23</v>
      </c>
      <c r="I3695" t="s">
        <v>16</v>
      </c>
    </row>
    <row r="3696" spans="1:9" x14ac:dyDescent="0.25">
      <c r="A3696">
        <v>1811</v>
      </c>
      <c r="B3696">
        <f>A3696+1</f>
        <v>1812</v>
      </c>
      <c r="C3696" t="s">
        <v>517</v>
      </c>
      <c r="D3696" t="s">
        <v>26</v>
      </c>
      <c r="E3696" s="208" t="s">
        <v>107</v>
      </c>
      <c r="F3696" t="s">
        <v>4</v>
      </c>
      <c r="G3696" s="18">
        <v>3036024</v>
      </c>
      <c r="H3696" t="s">
        <v>23</v>
      </c>
      <c r="I3696" t="s">
        <v>16</v>
      </c>
    </row>
    <row r="3697" spans="1:9" x14ac:dyDescent="0.25">
      <c r="A3697">
        <v>1811</v>
      </c>
      <c r="B3697">
        <f>A3697+1</f>
        <v>1812</v>
      </c>
      <c r="C3697" t="s">
        <v>517</v>
      </c>
      <c r="D3697" t="s">
        <v>26</v>
      </c>
      <c r="E3697" s="208" t="s">
        <v>101</v>
      </c>
      <c r="F3697" t="s">
        <v>4</v>
      </c>
      <c r="G3697" s="18">
        <v>6858368</v>
      </c>
      <c r="H3697" t="s">
        <v>23</v>
      </c>
      <c r="I3697" t="s">
        <v>16</v>
      </c>
    </row>
    <row r="3698" spans="1:9" x14ac:dyDescent="0.25">
      <c r="A3698">
        <v>1811</v>
      </c>
      <c r="B3698">
        <f>A3698+1</f>
        <v>1812</v>
      </c>
      <c r="C3698" t="s">
        <v>517</v>
      </c>
      <c r="D3698" t="s">
        <v>27</v>
      </c>
      <c r="E3698" s="208" t="s">
        <v>155</v>
      </c>
      <c r="F3698" t="s">
        <v>7</v>
      </c>
      <c r="G3698" s="18">
        <v>29449</v>
      </c>
      <c r="H3698" t="s">
        <v>16</v>
      </c>
      <c r="I3698" s="151" t="s">
        <v>562</v>
      </c>
    </row>
    <row r="3699" spans="1:9" x14ac:dyDescent="0.25">
      <c r="A3699">
        <v>1811</v>
      </c>
      <c r="B3699">
        <f>A3699+1</f>
        <v>1812</v>
      </c>
      <c r="C3699" t="s">
        <v>517</v>
      </c>
      <c r="D3699" t="s">
        <v>27</v>
      </c>
      <c r="E3699" s="208" t="s">
        <v>156</v>
      </c>
      <c r="F3699" t="s">
        <v>7</v>
      </c>
      <c r="G3699" s="18">
        <v>3206</v>
      </c>
      <c r="H3699" t="s">
        <v>16</v>
      </c>
      <c r="I3699" s="151" t="s">
        <v>562</v>
      </c>
    </row>
    <row r="3700" spans="1:9" x14ac:dyDescent="0.25">
      <c r="A3700">
        <v>1811</v>
      </c>
      <c r="B3700">
        <f>A3700+1</f>
        <v>1812</v>
      </c>
      <c r="C3700" t="s">
        <v>517</v>
      </c>
      <c r="D3700" t="s">
        <v>27</v>
      </c>
      <c r="E3700" s="208" t="s">
        <v>154</v>
      </c>
      <c r="F3700" t="s">
        <v>7</v>
      </c>
      <c r="G3700" s="18">
        <v>1792</v>
      </c>
      <c r="H3700" t="s">
        <v>16</v>
      </c>
      <c r="I3700" s="151" t="s">
        <v>562</v>
      </c>
    </row>
    <row r="3701" spans="1:9" x14ac:dyDescent="0.25">
      <c r="A3701">
        <v>1811</v>
      </c>
      <c r="B3701">
        <f>A3701+1</f>
        <v>1812</v>
      </c>
      <c r="C3701" t="s">
        <v>517</v>
      </c>
      <c r="D3701" t="s">
        <v>27</v>
      </c>
      <c r="E3701" s="208" t="s">
        <v>150</v>
      </c>
      <c r="F3701" t="s">
        <v>7</v>
      </c>
      <c r="G3701" s="18">
        <v>13984</v>
      </c>
      <c r="H3701" t="s">
        <v>16</v>
      </c>
      <c r="I3701" s="151" t="s">
        <v>562</v>
      </c>
    </row>
    <row r="3702" spans="1:9" x14ac:dyDescent="0.25">
      <c r="A3702">
        <v>1811</v>
      </c>
      <c r="B3702">
        <f>A3702+1</f>
        <v>1812</v>
      </c>
      <c r="C3702" t="s">
        <v>517</v>
      </c>
      <c r="D3702" t="s">
        <v>27</v>
      </c>
      <c r="E3702" s="208" t="s">
        <v>148</v>
      </c>
      <c r="F3702" t="s">
        <v>7</v>
      </c>
      <c r="G3702" s="18">
        <v>1123</v>
      </c>
      <c r="H3702" t="s">
        <v>16</v>
      </c>
      <c r="I3702" s="151" t="s">
        <v>562</v>
      </c>
    </row>
    <row r="3703" spans="1:9" x14ac:dyDescent="0.25">
      <c r="A3703">
        <v>1811</v>
      </c>
      <c r="B3703">
        <f>A3703+1</f>
        <v>1812</v>
      </c>
      <c r="C3703" t="s">
        <v>517</v>
      </c>
      <c r="D3703" t="s">
        <v>27</v>
      </c>
      <c r="E3703" s="208" t="s">
        <v>139</v>
      </c>
      <c r="F3703" t="s">
        <v>7</v>
      </c>
      <c r="G3703" s="18">
        <v>6</v>
      </c>
      <c r="H3703" t="s">
        <v>16</v>
      </c>
      <c r="I3703" s="151" t="s">
        <v>562</v>
      </c>
    </row>
    <row r="3704" spans="1:9" x14ac:dyDescent="0.25">
      <c r="A3704">
        <v>1811</v>
      </c>
      <c r="B3704">
        <f>A3704+1</f>
        <v>1812</v>
      </c>
      <c r="C3704" t="s">
        <v>517</v>
      </c>
      <c r="D3704" t="s">
        <v>27</v>
      </c>
      <c r="E3704" s="208" t="s">
        <v>130</v>
      </c>
      <c r="F3704" t="s">
        <v>7</v>
      </c>
      <c r="G3704" s="18">
        <v>307</v>
      </c>
      <c r="H3704" t="s">
        <v>16</v>
      </c>
      <c r="I3704" s="151" t="s">
        <v>562</v>
      </c>
    </row>
    <row r="3705" spans="1:9" x14ac:dyDescent="0.25">
      <c r="A3705">
        <v>1811</v>
      </c>
      <c r="B3705">
        <f>A3705+1</f>
        <v>1812</v>
      </c>
      <c r="C3705" t="s">
        <v>517</v>
      </c>
      <c r="D3705" t="s">
        <v>27</v>
      </c>
      <c r="E3705" s="208" t="s">
        <v>132</v>
      </c>
      <c r="F3705" t="s">
        <v>7</v>
      </c>
      <c r="G3705" s="18">
        <v>340</v>
      </c>
      <c r="H3705" t="s">
        <v>16</v>
      </c>
      <c r="I3705" s="151" t="s">
        <v>562</v>
      </c>
    </row>
    <row r="3706" spans="1:9" x14ac:dyDescent="0.25">
      <c r="A3706">
        <v>1811</v>
      </c>
      <c r="B3706">
        <f>A3706+1</f>
        <v>1812</v>
      </c>
      <c r="C3706" t="s">
        <v>517</v>
      </c>
      <c r="D3706" t="s">
        <v>27</v>
      </c>
      <c r="E3706" s="208" t="s">
        <v>142</v>
      </c>
      <c r="F3706" t="s">
        <v>7</v>
      </c>
      <c r="G3706" s="18">
        <v>2399</v>
      </c>
      <c r="H3706" t="s">
        <v>16</v>
      </c>
      <c r="I3706" s="151" t="s">
        <v>562</v>
      </c>
    </row>
    <row r="3707" spans="1:9" x14ac:dyDescent="0.25">
      <c r="A3707">
        <v>1811</v>
      </c>
      <c r="B3707">
        <f>A3707+1</f>
        <v>1812</v>
      </c>
      <c r="C3707" t="s">
        <v>517</v>
      </c>
      <c r="D3707" t="s">
        <v>27</v>
      </c>
      <c r="E3707" s="208" t="s">
        <v>144</v>
      </c>
      <c r="F3707" t="s">
        <v>7</v>
      </c>
      <c r="G3707" s="18">
        <v>231</v>
      </c>
      <c r="H3707" t="s">
        <v>16</v>
      </c>
      <c r="I3707" s="151" t="s">
        <v>562</v>
      </c>
    </row>
    <row r="3708" spans="1:9" x14ac:dyDescent="0.25">
      <c r="A3708">
        <v>1811</v>
      </c>
      <c r="B3708">
        <f>A3708+1</f>
        <v>1812</v>
      </c>
      <c r="C3708" t="s">
        <v>517</v>
      </c>
      <c r="D3708" t="s">
        <v>27</v>
      </c>
      <c r="E3708" s="208" t="s">
        <v>124</v>
      </c>
      <c r="F3708" t="s">
        <v>7</v>
      </c>
      <c r="G3708" s="18">
        <v>9279678</v>
      </c>
      <c r="H3708" t="s">
        <v>16</v>
      </c>
      <c r="I3708" s="151" t="s">
        <v>562</v>
      </c>
    </row>
    <row r="3709" spans="1:9" x14ac:dyDescent="0.25">
      <c r="A3709">
        <v>1811</v>
      </c>
      <c r="B3709">
        <f>A3709+1</f>
        <v>1812</v>
      </c>
      <c r="C3709" t="s">
        <v>517</v>
      </c>
      <c r="D3709" t="s">
        <v>26</v>
      </c>
      <c r="E3709" s="208" t="s">
        <v>62</v>
      </c>
      <c r="F3709" t="s">
        <v>7</v>
      </c>
      <c r="G3709" s="18">
        <v>34548</v>
      </c>
      <c r="H3709" s="151" t="s">
        <v>563</v>
      </c>
      <c r="I3709" t="s">
        <v>16</v>
      </c>
    </row>
    <row r="3710" spans="1:9" x14ac:dyDescent="0.25">
      <c r="A3710">
        <v>1811</v>
      </c>
      <c r="B3710">
        <f>A3710+1</f>
        <v>1812</v>
      </c>
      <c r="C3710" t="s">
        <v>517</v>
      </c>
      <c r="D3710" t="s">
        <v>26</v>
      </c>
      <c r="E3710" s="208" t="s">
        <v>55</v>
      </c>
      <c r="F3710" t="s">
        <v>7</v>
      </c>
      <c r="G3710" s="18">
        <v>8330</v>
      </c>
      <c r="H3710" s="151" t="s">
        <v>563</v>
      </c>
      <c r="I3710" t="s">
        <v>16</v>
      </c>
    </row>
    <row r="3711" spans="1:9" x14ac:dyDescent="0.25">
      <c r="A3711">
        <v>1811</v>
      </c>
      <c r="B3711">
        <f>A3711+1</f>
        <v>1812</v>
      </c>
      <c r="C3711" t="s">
        <v>517</v>
      </c>
      <c r="D3711" t="s">
        <v>26</v>
      </c>
      <c r="E3711" s="208" t="s">
        <v>35</v>
      </c>
      <c r="F3711" t="s">
        <v>7</v>
      </c>
      <c r="G3711" s="18">
        <v>553</v>
      </c>
      <c r="H3711" s="151" t="s">
        <v>563</v>
      </c>
      <c r="I3711" t="s">
        <v>16</v>
      </c>
    </row>
    <row r="3712" spans="1:9" x14ac:dyDescent="0.25">
      <c r="A3712">
        <v>1811</v>
      </c>
      <c r="B3712">
        <f>A3712+1</f>
        <v>1812</v>
      </c>
      <c r="C3712" t="s">
        <v>517</v>
      </c>
      <c r="D3712" t="s">
        <v>26</v>
      </c>
      <c r="E3712" s="208" t="s">
        <v>36</v>
      </c>
      <c r="F3712" t="s">
        <v>7</v>
      </c>
      <c r="G3712" s="18">
        <v>4106</v>
      </c>
      <c r="H3712" s="151" t="s">
        <v>563</v>
      </c>
      <c r="I3712" t="s">
        <v>16</v>
      </c>
    </row>
    <row r="3713" spans="1:9" x14ac:dyDescent="0.25">
      <c r="A3713">
        <v>1811</v>
      </c>
      <c r="B3713">
        <f>A3713+1</f>
        <v>1812</v>
      </c>
      <c r="C3713" t="s">
        <v>517</v>
      </c>
      <c r="D3713" t="s">
        <v>26</v>
      </c>
      <c r="E3713" s="208" t="s">
        <v>39</v>
      </c>
      <c r="F3713" t="s">
        <v>7</v>
      </c>
      <c r="G3713" s="18">
        <v>1622</v>
      </c>
      <c r="H3713" s="151" t="s">
        <v>563</v>
      </c>
      <c r="I3713" t="s">
        <v>16</v>
      </c>
    </row>
    <row r="3714" spans="1:9" x14ac:dyDescent="0.25">
      <c r="A3714">
        <v>1811</v>
      </c>
      <c r="B3714">
        <f>A3714+1</f>
        <v>1812</v>
      </c>
      <c r="C3714" t="s">
        <v>517</v>
      </c>
      <c r="D3714" t="s">
        <v>26</v>
      </c>
      <c r="E3714" s="208" t="s">
        <v>99</v>
      </c>
      <c r="F3714" t="s">
        <v>7</v>
      </c>
      <c r="G3714" s="18">
        <v>1452</v>
      </c>
      <c r="H3714" s="151" t="s">
        <v>563</v>
      </c>
      <c r="I3714" t="s">
        <v>16</v>
      </c>
    </row>
    <row r="3715" spans="1:9" x14ac:dyDescent="0.25">
      <c r="A3715">
        <v>1811</v>
      </c>
      <c r="B3715">
        <f>A3715+1</f>
        <v>1812</v>
      </c>
      <c r="C3715" t="s">
        <v>517</v>
      </c>
      <c r="D3715" t="s">
        <v>26</v>
      </c>
      <c r="E3715" s="208" t="s">
        <v>28</v>
      </c>
      <c r="F3715" t="s">
        <v>7</v>
      </c>
      <c r="G3715" s="18">
        <v>811</v>
      </c>
      <c r="H3715" s="151" t="s">
        <v>563</v>
      </c>
      <c r="I3715" t="s">
        <v>16</v>
      </c>
    </row>
    <row r="3716" spans="1:9" x14ac:dyDescent="0.25">
      <c r="A3716">
        <v>1811</v>
      </c>
      <c r="B3716">
        <f>A3716+1</f>
        <v>1812</v>
      </c>
      <c r="C3716" t="s">
        <v>517</v>
      </c>
      <c r="D3716" t="s">
        <v>26</v>
      </c>
      <c r="E3716" s="208" t="s">
        <v>89</v>
      </c>
      <c r="F3716" t="s">
        <v>7</v>
      </c>
      <c r="G3716" s="18">
        <v>43</v>
      </c>
      <c r="H3716" s="151" t="s">
        <v>563</v>
      </c>
      <c r="I3716" t="s">
        <v>16</v>
      </c>
    </row>
    <row r="3717" spans="1:9" x14ac:dyDescent="0.25">
      <c r="A3717">
        <v>1811</v>
      </c>
      <c r="B3717">
        <f>A3717+1</f>
        <v>1812</v>
      </c>
      <c r="C3717" t="s">
        <v>517</v>
      </c>
      <c r="D3717" t="s">
        <v>26</v>
      </c>
      <c r="E3717" s="208" t="s">
        <v>45</v>
      </c>
      <c r="F3717" t="s">
        <v>7</v>
      </c>
      <c r="G3717" s="18">
        <v>34</v>
      </c>
      <c r="H3717" s="151" t="s">
        <v>563</v>
      </c>
      <c r="I3717" t="s">
        <v>16</v>
      </c>
    </row>
    <row r="3718" spans="1:9" x14ac:dyDescent="0.25">
      <c r="A3718">
        <v>1811</v>
      </c>
      <c r="B3718">
        <f>A3718+1</f>
        <v>1812</v>
      </c>
      <c r="C3718" t="s">
        <v>517</v>
      </c>
      <c r="D3718" t="s">
        <v>26</v>
      </c>
      <c r="E3718" s="208" t="s">
        <v>351</v>
      </c>
      <c r="F3718" t="s">
        <v>7</v>
      </c>
      <c r="G3718" s="18">
        <v>390</v>
      </c>
      <c r="H3718" s="151" t="s">
        <v>563</v>
      </c>
      <c r="I3718" t="s">
        <v>16</v>
      </c>
    </row>
    <row r="3719" spans="1:9" x14ac:dyDescent="0.25">
      <c r="A3719">
        <v>1811</v>
      </c>
      <c r="B3719">
        <f>A3719+1</f>
        <v>1812</v>
      </c>
      <c r="C3719" t="s">
        <v>517</v>
      </c>
      <c r="D3719" t="s">
        <v>26</v>
      </c>
      <c r="E3719" s="208" t="s">
        <v>367</v>
      </c>
      <c r="F3719" t="s">
        <v>7</v>
      </c>
      <c r="G3719" s="18">
        <v>557</v>
      </c>
      <c r="H3719" s="151" t="s">
        <v>563</v>
      </c>
      <c r="I3719" t="s">
        <v>16</v>
      </c>
    </row>
    <row r="3720" spans="1:9" x14ac:dyDescent="0.25">
      <c r="A3720">
        <v>1811</v>
      </c>
      <c r="B3720">
        <f>A3720+1</f>
        <v>1812</v>
      </c>
      <c r="C3720" t="s">
        <v>517</v>
      </c>
      <c r="D3720" t="s">
        <v>26</v>
      </c>
      <c r="E3720" s="208" t="s">
        <v>352</v>
      </c>
      <c r="F3720" t="s">
        <v>7</v>
      </c>
      <c r="G3720" s="18">
        <v>9837</v>
      </c>
      <c r="H3720" s="151" t="s">
        <v>563</v>
      </c>
      <c r="I3720" t="s">
        <v>16</v>
      </c>
    </row>
    <row r="3721" spans="1:9" x14ac:dyDescent="0.25">
      <c r="A3721">
        <v>1811</v>
      </c>
      <c r="B3721">
        <f>A3721+1</f>
        <v>1812</v>
      </c>
      <c r="C3721" t="s">
        <v>517</v>
      </c>
      <c r="D3721" t="s">
        <v>26</v>
      </c>
      <c r="E3721" s="208" t="s">
        <v>75</v>
      </c>
      <c r="F3721" t="s">
        <v>7</v>
      </c>
      <c r="G3721" s="18">
        <v>3682611</v>
      </c>
      <c r="H3721" s="151" t="s">
        <v>563</v>
      </c>
      <c r="I3721" t="s">
        <v>16</v>
      </c>
    </row>
    <row r="3722" spans="1:9" x14ac:dyDescent="0.25">
      <c r="A3722">
        <v>1811</v>
      </c>
      <c r="B3722">
        <f>A3722+1</f>
        <v>1812</v>
      </c>
      <c r="C3722" t="s">
        <v>517</v>
      </c>
      <c r="D3722" t="s">
        <v>26</v>
      </c>
      <c r="E3722" s="208" t="s">
        <v>107</v>
      </c>
      <c r="F3722" t="s">
        <v>7</v>
      </c>
      <c r="G3722" s="18">
        <v>3142751</v>
      </c>
      <c r="H3722" s="151" t="s">
        <v>563</v>
      </c>
      <c r="I3722" t="s">
        <v>16</v>
      </c>
    </row>
    <row r="3723" spans="1:9" x14ac:dyDescent="0.25">
      <c r="A3723">
        <v>1811</v>
      </c>
      <c r="B3723">
        <f>A3723+1</f>
        <v>1812</v>
      </c>
      <c r="C3723" t="s">
        <v>517</v>
      </c>
      <c r="D3723" t="s">
        <v>26</v>
      </c>
      <c r="E3723" s="208" t="s">
        <v>101</v>
      </c>
      <c r="F3723" t="s">
        <v>7</v>
      </c>
      <c r="G3723" s="18">
        <v>6895268</v>
      </c>
      <c r="H3723" s="151" t="s">
        <v>563</v>
      </c>
      <c r="I3723" t="s">
        <v>16</v>
      </c>
    </row>
    <row r="3724" spans="1:9" x14ac:dyDescent="0.25">
      <c r="A3724">
        <v>1811</v>
      </c>
      <c r="B3724">
        <f>A3724+1</f>
        <v>1812</v>
      </c>
      <c r="C3724" t="s">
        <v>517</v>
      </c>
      <c r="D3724" t="s">
        <v>26</v>
      </c>
      <c r="E3724" s="208" t="s">
        <v>65</v>
      </c>
      <c r="F3724" t="s">
        <v>7</v>
      </c>
      <c r="G3724" s="18">
        <v>6803</v>
      </c>
      <c r="H3724" s="151" t="s">
        <v>563</v>
      </c>
      <c r="I3724" t="s">
        <v>16</v>
      </c>
    </row>
    <row r="3725" spans="1:9" x14ac:dyDescent="0.25">
      <c r="A3725">
        <v>1811</v>
      </c>
      <c r="B3725">
        <f>A3725+1</f>
        <v>1812</v>
      </c>
      <c r="C3725" t="s">
        <v>517</v>
      </c>
      <c r="D3725" t="s">
        <v>26</v>
      </c>
      <c r="E3725" s="208" t="s">
        <v>88</v>
      </c>
      <c r="F3725" t="s">
        <v>7</v>
      </c>
      <c r="G3725" s="18">
        <v>10521</v>
      </c>
      <c r="H3725" s="151" t="s">
        <v>563</v>
      </c>
      <c r="I3725" t="s">
        <v>16</v>
      </c>
    </row>
    <row r="3726" spans="1:9" x14ac:dyDescent="0.25">
      <c r="A3726">
        <v>1811</v>
      </c>
      <c r="B3726">
        <f>A3726+1</f>
        <v>1812</v>
      </c>
      <c r="C3726" t="s">
        <v>517</v>
      </c>
      <c r="D3726" t="s">
        <v>26</v>
      </c>
      <c r="E3726" s="208" t="s">
        <v>330</v>
      </c>
      <c r="F3726" t="s">
        <v>7</v>
      </c>
      <c r="G3726" s="18">
        <v>1124</v>
      </c>
      <c r="H3726" s="151" t="s">
        <v>563</v>
      </c>
      <c r="I3726" t="s">
        <v>16</v>
      </c>
    </row>
    <row r="3727" spans="1:9" x14ac:dyDescent="0.25">
      <c r="A3727">
        <v>1811</v>
      </c>
      <c r="B3727">
        <f>A3727+1</f>
        <v>1812</v>
      </c>
      <c r="C3727" t="s">
        <v>517</v>
      </c>
      <c r="D3727" t="s">
        <v>26</v>
      </c>
      <c r="E3727" s="208" t="s">
        <v>331</v>
      </c>
      <c r="F3727" t="s">
        <v>7</v>
      </c>
      <c r="G3727" s="18">
        <v>2658</v>
      </c>
      <c r="H3727" s="151" t="s">
        <v>563</v>
      </c>
      <c r="I3727" t="s">
        <v>16</v>
      </c>
    </row>
    <row r="3728" spans="1:9" x14ac:dyDescent="0.25">
      <c r="A3728">
        <v>1811</v>
      </c>
      <c r="B3728">
        <f>A3728+1</f>
        <v>1812</v>
      </c>
      <c r="C3728" t="s">
        <v>517</v>
      </c>
      <c r="D3728" t="s">
        <v>26</v>
      </c>
      <c r="E3728" s="208" t="s">
        <v>332</v>
      </c>
      <c r="F3728" t="s">
        <v>7</v>
      </c>
      <c r="G3728" s="18">
        <v>381</v>
      </c>
      <c r="H3728" s="151" t="s">
        <v>563</v>
      </c>
      <c r="I3728" t="s">
        <v>16</v>
      </c>
    </row>
    <row r="3729" spans="1:9" x14ac:dyDescent="0.25">
      <c r="A3729">
        <v>1811</v>
      </c>
      <c r="B3729">
        <f>A3729+1</f>
        <v>1812</v>
      </c>
      <c r="C3729" t="s">
        <v>517</v>
      </c>
      <c r="D3729" t="s">
        <v>26</v>
      </c>
      <c r="E3729" s="208" t="s">
        <v>333</v>
      </c>
      <c r="F3729" t="s">
        <v>7</v>
      </c>
      <c r="G3729" s="18">
        <v>1338</v>
      </c>
      <c r="H3729" s="151" t="s">
        <v>563</v>
      </c>
      <c r="I3729" t="s">
        <v>16</v>
      </c>
    </row>
    <row r="3730" spans="1:9" x14ac:dyDescent="0.25">
      <c r="A3730">
        <v>1811</v>
      </c>
      <c r="B3730">
        <f>A3730+1</f>
        <v>1812</v>
      </c>
      <c r="C3730" t="s">
        <v>517</v>
      </c>
      <c r="D3730" t="s">
        <v>27</v>
      </c>
      <c r="E3730" s="208" t="s">
        <v>155</v>
      </c>
      <c r="F3730" t="s">
        <v>10</v>
      </c>
      <c r="G3730" s="18">
        <v>7</v>
      </c>
      <c r="H3730" t="s">
        <v>17</v>
      </c>
      <c r="I3730" t="s">
        <v>24</v>
      </c>
    </row>
    <row r="3731" spans="1:9" x14ac:dyDescent="0.25">
      <c r="A3731">
        <v>1811</v>
      </c>
      <c r="B3731">
        <f>A3731+1</f>
        <v>1812</v>
      </c>
      <c r="C3731" t="s">
        <v>517</v>
      </c>
      <c r="D3731" t="s">
        <v>27</v>
      </c>
      <c r="E3731" s="208" t="s">
        <v>156</v>
      </c>
      <c r="F3731" t="s">
        <v>10</v>
      </c>
      <c r="G3731" s="18">
        <v>24</v>
      </c>
      <c r="H3731" t="s">
        <v>17</v>
      </c>
      <c r="I3731" t="s">
        <v>24</v>
      </c>
    </row>
    <row r="3732" spans="1:9" x14ac:dyDescent="0.25">
      <c r="A3732">
        <v>1811</v>
      </c>
      <c r="B3732">
        <f>A3732+1</f>
        <v>1812</v>
      </c>
      <c r="C3732" t="s">
        <v>517</v>
      </c>
      <c r="D3732" t="s">
        <v>27</v>
      </c>
      <c r="E3732" s="208" t="s">
        <v>154</v>
      </c>
      <c r="F3732" t="s">
        <v>10</v>
      </c>
      <c r="G3732" s="18">
        <v>44</v>
      </c>
      <c r="H3732" t="s">
        <v>17</v>
      </c>
      <c r="I3732" t="s">
        <v>24</v>
      </c>
    </row>
    <row r="3733" spans="1:9" x14ac:dyDescent="0.25">
      <c r="A3733">
        <v>1811</v>
      </c>
      <c r="B3733">
        <f>A3733+1</f>
        <v>1812</v>
      </c>
      <c r="C3733" t="s">
        <v>517</v>
      </c>
      <c r="D3733" t="s">
        <v>27</v>
      </c>
      <c r="E3733" s="208" t="s">
        <v>150</v>
      </c>
      <c r="F3733" t="s">
        <v>10</v>
      </c>
      <c r="G3733" s="18">
        <v>2569</v>
      </c>
      <c r="H3733" t="s">
        <v>17</v>
      </c>
      <c r="I3733" t="s">
        <v>24</v>
      </c>
    </row>
    <row r="3734" spans="1:9" x14ac:dyDescent="0.25">
      <c r="A3734">
        <v>1811</v>
      </c>
      <c r="B3734">
        <f>A3734+1</f>
        <v>1812</v>
      </c>
      <c r="C3734" t="s">
        <v>517</v>
      </c>
      <c r="D3734" t="s">
        <v>27</v>
      </c>
      <c r="E3734" s="208" t="s">
        <v>148</v>
      </c>
      <c r="F3734" t="s">
        <v>10</v>
      </c>
      <c r="G3734" s="18">
        <v>81</v>
      </c>
      <c r="H3734" t="s">
        <v>17</v>
      </c>
      <c r="I3734" t="s">
        <v>24</v>
      </c>
    </row>
    <row r="3735" spans="1:9" x14ac:dyDescent="0.25">
      <c r="A3735">
        <v>1811</v>
      </c>
      <c r="B3735">
        <f>A3735+1</f>
        <v>1812</v>
      </c>
      <c r="C3735" t="s">
        <v>517</v>
      </c>
      <c r="D3735" t="s">
        <v>27</v>
      </c>
      <c r="E3735" s="208" t="s">
        <v>139</v>
      </c>
      <c r="F3735" t="s">
        <v>10</v>
      </c>
      <c r="G3735" s="18">
        <v>57</v>
      </c>
      <c r="H3735" t="s">
        <v>17</v>
      </c>
      <c r="I3735" t="s">
        <v>24</v>
      </c>
    </row>
    <row r="3736" spans="1:9" x14ac:dyDescent="0.25">
      <c r="A3736">
        <v>1811</v>
      </c>
      <c r="B3736">
        <f>A3736+1</f>
        <v>1812</v>
      </c>
      <c r="C3736" t="s">
        <v>517</v>
      </c>
      <c r="D3736" t="s">
        <v>27</v>
      </c>
      <c r="E3736" s="208" t="s">
        <v>130</v>
      </c>
      <c r="F3736" t="s">
        <v>10</v>
      </c>
      <c r="G3736" s="18">
        <v>51</v>
      </c>
      <c r="H3736" t="s">
        <v>17</v>
      </c>
      <c r="I3736" t="s">
        <v>24</v>
      </c>
    </row>
    <row r="3737" spans="1:9" x14ac:dyDescent="0.25">
      <c r="A3737">
        <v>1811</v>
      </c>
      <c r="B3737">
        <f>A3737+1</f>
        <v>1812</v>
      </c>
      <c r="C3737" t="s">
        <v>517</v>
      </c>
      <c r="D3737" t="s">
        <v>27</v>
      </c>
      <c r="E3737" s="208" t="s">
        <v>132</v>
      </c>
      <c r="F3737" t="s">
        <v>10</v>
      </c>
      <c r="G3737" s="18">
        <v>2</v>
      </c>
      <c r="H3737" t="s">
        <v>17</v>
      </c>
      <c r="I3737" t="s">
        <v>24</v>
      </c>
    </row>
    <row r="3738" spans="1:9" x14ac:dyDescent="0.25">
      <c r="A3738">
        <v>1811</v>
      </c>
      <c r="B3738">
        <f>A3738+1</f>
        <v>1812</v>
      </c>
      <c r="C3738" t="s">
        <v>517</v>
      </c>
      <c r="D3738" t="s">
        <v>27</v>
      </c>
      <c r="E3738" s="208" t="s">
        <v>142</v>
      </c>
      <c r="F3738" t="s">
        <v>10</v>
      </c>
      <c r="G3738" s="18">
        <v>88</v>
      </c>
      <c r="H3738" t="s">
        <v>17</v>
      </c>
      <c r="I3738" t="s">
        <v>24</v>
      </c>
    </row>
    <row r="3739" spans="1:9" x14ac:dyDescent="0.25">
      <c r="A3739">
        <v>1811</v>
      </c>
      <c r="B3739">
        <f>A3739+1</f>
        <v>1812</v>
      </c>
      <c r="C3739" t="s">
        <v>517</v>
      </c>
      <c r="D3739" t="s">
        <v>27</v>
      </c>
      <c r="E3739" s="208" t="s">
        <v>144</v>
      </c>
      <c r="F3739" t="s">
        <v>10</v>
      </c>
      <c r="G3739" s="18">
        <v>23</v>
      </c>
      <c r="H3739" t="s">
        <v>17</v>
      </c>
      <c r="I3739" t="s">
        <v>24</v>
      </c>
    </row>
    <row r="3740" spans="1:9" x14ac:dyDescent="0.25">
      <c r="A3740">
        <v>1811</v>
      </c>
      <c r="B3740">
        <f>A3740+1</f>
        <v>1812</v>
      </c>
      <c r="C3740" t="s">
        <v>517</v>
      </c>
      <c r="D3740" t="s">
        <v>27</v>
      </c>
      <c r="E3740" s="208" t="s">
        <v>124</v>
      </c>
      <c r="F3740" t="s">
        <v>10</v>
      </c>
      <c r="G3740" s="18">
        <v>11428</v>
      </c>
      <c r="H3740" t="s">
        <v>17</v>
      </c>
      <c r="I3740" t="s">
        <v>24</v>
      </c>
    </row>
    <row r="3741" spans="1:9" x14ac:dyDescent="0.25">
      <c r="A3741">
        <v>1811</v>
      </c>
      <c r="B3741">
        <f>A3741+1</f>
        <v>1812</v>
      </c>
      <c r="C3741" t="s">
        <v>517</v>
      </c>
      <c r="D3741" t="s">
        <v>26</v>
      </c>
      <c r="E3741" s="208" t="s">
        <v>62</v>
      </c>
      <c r="F3741" t="s">
        <v>10</v>
      </c>
      <c r="G3741" s="18">
        <v>80</v>
      </c>
      <c r="H3741" t="s">
        <v>24</v>
      </c>
      <c r="I3741" t="s">
        <v>17</v>
      </c>
    </row>
    <row r="3742" spans="1:9" x14ac:dyDescent="0.25">
      <c r="A3742">
        <v>1811</v>
      </c>
      <c r="B3742">
        <f>A3742+1</f>
        <v>1812</v>
      </c>
      <c r="C3742" t="s">
        <v>517</v>
      </c>
      <c r="D3742" t="s">
        <v>26</v>
      </c>
      <c r="E3742" s="208" t="s">
        <v>36</v>
      </c>
      <c r="F3742" t="s">
        <v>10</v>
      </c>
      <c r="G3742" s="18">
        <v>24</v>
      </c>
      <c r="H3742" t="s">
        <v>24</v>
      </c>
      <c r="I3742" t="s">
        <v>17</v>
      </c>
    </row>
    <row r="3743" spans="1:9" x14ac:dyDescent="0.25">
      <c r="A3743">
        <v>1811</v>
      </c>
      <c r="B3743">
        <f>A3743+1</f>
        <v>1812</v>
      </c>
      <c r="C3743" t="s">
        <v>517</v>
      </c>
      <c r="D3743" t="s">
        <v>26</v>
      </c>
      <c r="E3743" s="208" t="s">
        <v>39</v>
      </c>
      <c r="F3743" t="s">
        <v>10</v>
      </c>
      <c r="G3743" s="18">
        <v>8</v>
      </c>
      <c r="H3743" t="s">
        <v>24</v>
      </c>
      <c r="I3743" t="s">
        <v>17</v>
      </c>
    </row>
    <row r="3744" spans="1:9" x14ac:dyDescent="0.25">
      <c r="A3744">
        <v>1811</v>
      </c>
      <c r="B3744">
        <f>A3744+1</f>
        <v>1812</v>
      </c>
      <c r="C3744" t="s">
        <v>517</v>
      </c>
      <c r="D3744" t="s">
        <v>26</v>
      </c>
      <c r="E3744" s="208" t="s">
        <v>28</v>
      </c>
      <c r="F3744" t="s">
        <v>10</v>
      </c>
      <c r="G3744" s="18">
        <v>171</v>
      </c>
      <c r="H3744" t="s">
        <v>24</v>
      </c>
      <c r="I3744" t="s">
        <v>17</v>
      </c>
    </row>
    <row r="3745" spans="1:9" x14ac:dyDescent="0.25">
      <c r="A3745">
        <v>1811</v>
      </c>
      <c r="B3745">
        <f>A3745+1</f>
        <v>1812</v>
      </c>
      <c r="C3745" t="s">
        <v>517</v>
      </c>
      <c r="D3745" t="s">
        <v>26</v>
      </c>
      <c r="E3745" s="208" t="s">
        <v>89</v>
      </c>
      <c r="F3745" t="s">
        <v>10</v>
      </c>
      <c r="G3745" s="18">
        <v>63</v>
      </c>
      <c r="H3745" t="s">
        <v>24</v>
      </c>
      <c r="I3745" t="s">
        <v>17</v>
      </c>
    </row>
    <row r="3746" spans="1:9" x14ac:dyDescent="0.25">
      <c r="A3746">
        <v>1811</v>
      </c>
      <c r="B3746">
        <f>A3746+1</f>
        <v>1812</v>
      </c>
      <c r="C3746" t="s">
        <v>517</v>
      </c>
      <c r="D3746" t="s">
        <v>26</v>
      </c>
      <c r="E3746" s="208" t="s">
        <v>45</v>
      </c>
      <c r="F3746" t="s">
        <v>10</v>
      </c>
      <c r="G3746" s="18">
        <v>46</v>
      </c>
      <c r="H3746" t="s">
        <v>24</v>
      </c>
      <c r="I3746" t="s">
        <v>17</v>
      </c>
    </row>
    <row r="3747" spans="1:9" x14ac:dyDescent="0.25">
      <c r="A3747">
        <v>1811</v>
      </c>
      <c r="B3747">
        <f>A3747+1</f>
        <v>1812</v>
      </c>
      <c r="C3747" t="s">
        <v>517</v>
      </c>
      <c r="D3747" t="s">
        <v>26</v>
      </c>
      <c r="E3747" s="208" t="s">
        <v>75</v>
      </c>
      <c r="F3747" t="s">
        <v>10</v>
      </c>
      <c r="G3747" s="18">
        <v>1299585</v>
      </c>
      <c r="H3747" t="s">
        <v>24</v>
      </c>
      <c r="I3747" t="s">
        <v>17</v>
      </c>
    </row>
    <row r="3748" spans="1:9" x14ac:dyDescent="0.25">
      <c r="A3748">
        <v>1811</v>
      </c>
      <c r="B3748">
        <f>A3748+1</f>
        <v>1812</v>
      </c>
      <c r="C3748" t="s">
        <v>517</v>
      </c>
      <c r="D3748" t="s">
        <v>26</v>
      </c>
      <c r="E3748" s="208" t="s">
        <v>107</v>
      </c>
      <c r="F3748" t="s">
        <v>10</v>
      </c>
      <c r="G3748" s="18">
        <v>271125</v>
      </c>
      <c r="H3748" t="s">
        <v>24</v>
      </c>
      <c r="I3748" t="s">
        <v>17</v>
      </c>
    </row>
    <row r="3749" spans="1:9" x14ac:dyDescent="0.25">
      <c r="A3749">
        <v>1811</v>
      </c>
      <c r="B3749">
        <f>A3749+1</f>
        <v>1812</v>
      </c>
      <c r="C3749" t="s">
        <v>517</v>
      </c>
      <c r="D3749" t="s">
        <v>26</v>
      </c>
      <c r="E3749" s="208" t="s">
        <v>101</v>
      </c>
      <c r="F3749" t="s">
        <v>10</v>
      </c>
      <c r="G3749" s="18">
        <v>113550</v>
      </c>
      <c r="H3749" t="s">
        <v>24</v>
      </c>
      <c r="I3749" t="s">
        <v>17</v>
      </c>
    </row>
    <row r="3750" spans="1:9" x14ac:dyDescent="0.25">
      <c r="A3750">
        <v>1811</v>
      </c>
      <c r="B3750">
        <f>A3750+1</f>
        <v>1812</v>
      </c>
      <c r="C3750" t="s">
        <v>517</v>
      </c>
      <c r="D3750" t="s">
        <v>26</v>
      </c>
      <c r="E3750" s="208" t="s">
        <v>330</v>
      </c>
      <c r="F3750" t="s">
        <v>13</v>
      </c>
      <c r="G3750" s="18">
        <v>641</v>
      </c>
      <c r="H3750" t="s">
        <v>25</v>
      </c>
      <c r="I3750" t="s">
        <v>17</v>
      </c>
    </row>
    <row r="3751" spans="1:9" x14ac:dyDescent="0.25">
      <c r="A3751">
        <v>1811</v>
      </c>
      <c r="B3751">
        <f>A3751+1</f>
        <v>1812</v>
      </c>
      <c r="C3751" t="s">
        <v>517</v>
      </c>
      <c r="D3751" t="s">
        <v>26</v>
      </c>
      <c r="E3751" s="208" t="s">
        <v>331</v>
      </c>
      <c r="F3751" t="s">
        <v>13</v>
      </c>
      <c r="G3751" s="18">
        <v>625</v>
      </c>
      <c r="H3751" t="s">
        <v>25</v>
      </c>
      <c r="I3751" t="s">
        <v>17</v>
      </c>
    </row>
    <row r="3752" spans="1:9" x14ac:dyDescent="0.25">
      <c r="A3752">
        <v>1811</v>
      </c>
      <c r="B3752">
        <f>A3752+1</f>
        <v>1812</v>
      </c>
      <c r="C3752" t="s">
        <v>517</v>
      </c>
      <c r="D3752" t="s">
        <v>26</v>
      </c>
      <c r="E3752" s="208" t="s">
        <v>332</v>
      </c>
      <c r="F3752" t="s">
        <v>13</v>
      </c>
      <c r="G3752" s="18">
        <v>88</v>
      </c>
      <c r="H3752" t="s">
        <v>25</v>
      </c>
      <c r="I3752" t="s">
        <v>17</v>
      </c>
    </row>
    <row r="3753" spans="1:9" x14ac:dyDescent="0.25">
      <c r="A3753">
        <v>1811</v>
      </c>
      <c r="B3753">
        <f>A3753+1</f>
        <v>1812</v>
      </c>
      <c r="C3753" t="s">
        <v>517</v>
      </c>
      <c r="D3753" t="s">
        <v>26</v>
      </c>
      <c r="E3753" s="208" t="s">
        <v>333</v>
      </c>
      <c r="F3753" t="s">
        <v>13</v>
      </c>
      <c r="G3753" s="18">
        <v>1021</v>
      </c>
      <c r="H3753" t="s">
        <v>25</v>
      </c>
      <c r="I3753" t="s">
        <v>17</v>
      </c>
    </row>
    <row r="3754" spans="1:9" x14ac:dyDescent="0.25">
      <c r="A3754">
        <v>1811</v>
      </c>
      <c r="B3754">
        <f>A3754+1</f>
        <v>1812</v>
      </c>
      <c r="C3754" t="s">
        <v>517</v>
      </c>
      <c r="D3754" t="s">
        <v>27</v>
      </c>
      <c r="E3754" s="208" t="s">
        <v>155</v>
      </c>
      <c r="F3754" t="s">
        <v>8</v>
      </c>
      <c r="G3754" s="18">
        <v>75811</v>
      </c>
      <c r="H3754" t="s">
        <v>17</v>
      </c>
      <c r="I3754" t="s">
        <v>18</v>
      </c>
    </row>
    <row r="3755" spans="1:9" x14ac:dyDescent="0.25">
      <c r="A3755">
        <v>1811</v>
      </c>
      <c r="B3755">
        <f>A3755+1</f>
        <v>1812</v>
      </c>
      <c r="C3755" t="s">
        <v>517</v>
      </c>
      <c r="D3755" t="s">
        <v>27</v>
      </c>
      <c r="E3755" s="208" t="s">
        <v>156</v>
      </c>
      <c r="F3755" t="s">
        <v>8</v>
      </c>
      <c r="G3755" s="18">
        <v>8105</v>
      </c>
      <c r="H3755" t="s">
        <v>17</v>
      </c>
      <c r="I3755" t="s">
        <v>18</v>
      </c>
    </row>
    <row r="3756" spans="1:9" x14ac:dyDescent="0.25">
      <c r="A3756">
        <v>1811</v>
      </c>
      <c r="B3756">
        <f>A3756+1</f>
        <v>1812</v>
      </c>
      <c r="C3756" t="s">
        <v>517</v>
      </c>
      <c r="D3756" t="s">
        <v>27</v>
      </c>
      <c r="E3756" s="208" t="s">
        <v>154</v>
      </c>
      <c r="F3756" t="s">
        <v>8</v>
      </c>
      <c r="G3756" s="18">
        <v>690</v>
      </c>
      <c r="H3756" t="s">
        <v>17</v>
      </c>
      <c r="I3756" t="s">
        <v>18</v>
      </c>
    </row>
    <row r="3757" spans="1:9" x14ac:dyDescent="0.25">
      <c r="A3757">
        <v>1811</v>
      </c>
      <c r="B3757">
        <f>A3757+1</f>
        <v>1812</v>
      </c>
      <c r="C3757" t="s">
        <v>517</v>
      </c>
      <c r="D3757" t="s">
        <v>27</v>
      </c>
      <c r="E3757" s="208" t="s">
        <v>150</v>
      </c>
      <c r="F3757" t="s">
        <v>8</v>
      </c>
      <c r="G3757" s="18">
        <v>25794</v>
      </c>
      <c r="H3757" t="s">
        <v>17</v>
      </c>
      <c r="I3757" t="s">
        <v>18</v>
      </c>
    </row>
    <row r="3758" spans="1:9" x14ac:dyDescent="0.25">
      <c r="A3758">
        <v>1811</v>
      </c>
      <c r="B3758">
        <f>A3758+1</f>
        <v>1812</v>
      </c>
      <c r="C3758" t="s">
        <v>517</v>
      </c>
      <c r="D3758" t="s">
        <v>27</v>
      </c>
      <c r="E3758" s="208" t="s">
        <v>148</v>
      </c>
      <c r="F3758" t="s">
        <v>8</v>
      </c>
      <c r="G3758" s="18">
        <v>319</v>
      </c>
      <c r="H3758" t="s">
        <v>17</v>
      </c>
      <c r="I3758" t="s">
        <v>18</v>
      </c>
    </row>
    <row r="3759" spans="1:9" x14ac:dyDescent="0.25">
      <c r="A3759">
        <v>1811</v>
      </c>
      <c r="B3759">
        <f>A3759+1</f>
        <v>1812</v>
      </c>
      <c r="C3759" t="s">
        <v>517</v>
      </c>
      <c r="D3759" t="s">
        <v>27</v>
      </c>
      <c r="E3759" s="208" t="s">
        <v>139</v>
      </c>
      <c r="F3759" t="s">
        <v>8</v>
      </c>
      <c r="G3759" s="18">
        <v>24</v>
      </c>
      <c r="H3759" t="s">
        <v>17</v>
      </c>
      <c r="I3759" t="s">
        <v>18</v>
      </c>
    </row>
    <row r="3760" spans="1:9" x14ac:dyDescent="0.25">
      <c r="A3760">
        <v>1811</v>
      </c>
      <c r="B3760">
        <f>A3760+1</f>
        <v>1812</v>
      </c>
      <c r="C3760" t="s">
        <v>517</v>
      </c>
      <c r="D3760" t="s">
        <v>27</v>
      </c>
      <c r="E3760" s="208" t="s">
        <v>130</v>
      </c>
      <c r="F3760" t="s">
        <v>8</v>
      </c>
      <c r="G3760" s="18">
        <v>877</v>
      </c>
      <c r="H3760" t="s">
        <v>17</v>
      </c>
      <c r="I3760" t="s">
        <v>18</v>
      </c>
    </row>
    <row r="3761" spans="1:9" x14ac:dyDescent="0.25">
      <c r="A3761">
        <v>1811</v>
      </c>
      <c r="B3761">
        <f>A3761+1</f>
        <v>1812</v>
      </c>
      <c r="C3761" t="s">
        <v>517</v>
      </c>
      <c r="D3761" t="s">
        <v>27</v>
      </c>
      <c r="E3761" s="208" t="s">
        <v>132</v>
      </c>
      <c r="F3761" t="s">
        <v>8</v>
      </c>
      <c r="G3761" s="18">
        <v>462</v>
      </c>
      <c r="H3761" t="s">
        <v>17</v>
      </c>
      <c r="I3761" t="s">
        <v>18</v>
      </c>
    </row>
    <row r="3762" spans="1:9" x14ac:dyDescent="0.25">
      <c r="A3762">
        <v>1811</v>
      </c>
      <c r="B3762">
        <f>A3762+1</f>
        <v>1812</v>
      </c>
      <c r="C3762" t="s">
        <v>517</v>
      </c>
      <c r="D3762" t="s">
        <v>27</v>
      </c>
      <c r="E3762" s="208" t="s">
        <v>142</v>
      </c>
      <c r="F3762" t="s">
        <v>8</v>
      </c>
      <c r="G3762" s="18">
        <v>4834</v>
      </c>
      <c r="H3762" t="s">
        <v>17</v>
      </c>
      <c r="I3762" t="s">
        <v>18</v>
      </c>
    </row>
    <row r="3763" spans="1:9" x14ac:dyDescent="0.25">
      <c r="A3763">
        <v>1811</v>
      </c>
      <c r="B3763">
        <f>A3763+1</f>
        <v>1812</v>
      </c>
      <c r="C3763" t="s">
        <v>517</v>
      </c>
      <c r="D3763" t="s">
        <v>27</v>
      </c>
      <c r="E3763" s="208" t="s">
        <v>144</v>
      </c>
      <c r="F3763" t="s">
        <v>8</v>
      </c>
      <c r="G3763" s="18">
        <v>143</v>
      </c>
      <c r="H3763" t="s">
        <v>17</v>
      </c>
      <c r="I3763" t="s">
        <v>18</v>
      </c>
    </row>
    <row r="3764" spans="1:9" x14ac:dyDescent="0.25">
      <c r="A3764">
        <v>1811</v>
      </c>
      <c r="B3764">
        <f>A3764+1</f>
        <v>1812</v>
      </c>
      <c r="C3764" t="s">
        <v>517</v>
      </c>
      <c r="D3764" t="s">
        <v>27</v>
      </c>
      <c r="E3764" s="208" t="s">
        <v>124</v>
      </c>
      <c r="F3764" t="s">
        <v>8</v>
      </c>
      <c r="G3764" s="18">
        <v>9190880</v>
      </c>
      <c r="H3764" t="s">
        <v>17</v>
      </c>
      <c r="I3764" t="s">
        <v>18</v>
      </c>
    </row>
    <row r="3765" spans="1:9" x14ac:dyDescent="0.25">
      <c r="A3765">
        <v>1811</v>
      </c>
      <c r="B3765">
        <f>A3765+1</f>
        <v>1812</v>
      </c>
      <c r="C3765" t="s">
        <v>517</v>
      </c>
      <c r="D3765" t="s">
        <v>26</v>
      </c>
      <c r="E3765" s="208" t="s">
        <v>65</v>
      </c>
      <c r="F3765" t="s">
        <v>164</v>
      </c>
      <c r="G3765" s="18">
        <v>17779</v>
      </c>
      <c r="H3765" t="s">
        <v>160</v>
      </c>
      <c r="I3765" t="s">
        <v>17</v>
      </c>
    </row>
    <row r="3766" spans="1:9" x14ac:dyDescent="0.25">
      <c r="A3766">
        <v>1811</v>
      </c>
      <c r="B3766">
        <f>A3766+1</f>
        <v>1812</v>
      </c>
      <c r="C3766" t="s">
        <v>517</v>
      </c>
      <c r="D3766" t="s">
        <v>26</v>
      </c>
      <c r="E3766" s="208" t="s">
        <v>88</v>
      </c>
      <c r="F3766" t="s">
        <v>164</v>
      </c>
      <c r="G3766" s="18">
        <v>10235</v>
      </c>
      <c r="H3766" t="s">
        <v>160</v>
      </c>
      <c r="I3766" t="s">
        <v>17</v>
      </c>
    </row>
    <row r="3767" spans="1:9" x14ac:dyDescent="0.25">
      <c r="A3767">
        <v>1811</v>
      </c>
      <c r="B3767">
        <f>A3767+1</f>
        <v>1812</v>
      </c>
      <c r="C3767" t="s">
        <v>517</v>
      </c>
      <c r="D3767" t="s">
        <v>27</v>
      </c>
      <c r="E3767" s="208" t="s">
        <v>155</v>
      </c>
      <c r="F3767" t="s">
        <v>9</v>
      </c>
      <c r="G3767" s="18">
        <v>16</v>
      </c>
      <c r="H3767" t="s">
        <v>17</v>
      </c>
      <c r="I3767" t="s">
        <v>21</v>
      </c>
    </row>
    <row r="3768" spans="1:9" x14ac:dyDescent="0.25">
      <c r="A3768">
        <v>1811</v>
      </c>
      <c r="B3768">
        <f>A3768+1</f>
        <v>1812</v>
      </c>
      <c r="C3768" t="s">
        <v>517</v>
      </c>
      <c r="D3768" t="s">
        <v>27</v>
      </c>
      <c r="E3768" s="208" t="s">
        <v>156</v>
      </c>
      <c r="F3768" t="s">
        <v>9</v>
      </c>
      <c r="G3768" s="18">
        <v>22</v>
      </c>
      <c r="H3768" t="s">
        <v>17</v>
      </c>
      <c r="I3768" t="s">
        <v>21</v>
      </c>
    </row>
    <row r="3769" spans="1:9" x14ac:dyDescent="0.25">
      <c r="A3769">
        <v>1811</v>
      </c>
      <c r="B3769">
        <f>A3769+1</f>
        <v>1812</v>
      </c>
      <c r="C3769" t="s">
        <v>517</v>
      </c>
      <c r="D3769" t="s">
        <v>27</v>
      </c>
      <c r="E3769" s="208" t="s">
        <v>154</v>
      </c>
      <c r="F3769" t="s">
        <v>9</v>
      </c>
      <c r="G3769" s="18">
        <v>32</v>
      </c>
      <c r="H3769" t="s">
        <v>17</v>
      </c>
      <c r="I3769" t="s">
        <v>21</v>
      </c>
    </row>
    <row r="3770" spans="1:9" x14ac:dyDescent="0.25">
      <c r="A3770">
        <v>1811</v>
      </c>
      <c r="B3770">
        <f>A3770+1</f>
        <v>1812</v>
      </c>
      <c r="C3770" t="s">
        <v>517</v>
      </c>
      <c r="D3770" t="s">
        <v>27</v>
      </c>
      <c r="E3770" s="208" t="s">
        <v>150</v>
      </c>
      <c r="F3770" t="s">
        <v>9</v>
      </c>
      <c r="G3770" s="18">
        <v>176</v>
      </c>
      <c r="H3770" t="s">
        <v>17</v>
      </c>
      <c r="I3770" t="s">
        <v>21</v>
      </c>
    </row>
    <row r="3771" spans="1:9" x14ac:dyDescent="0.25">
      <c r="A3771">
        <v>1811</v>
      </c>
      <c r="B3771">
        <f>A3771+1</f>
        <v>1812</v>
      </c>
      <c r="C3771" t="s">
        <v>517</v>
      </c>
      <c r="D3771" t="s">
        <v>27</v>
      </c>
      <c r="E3771" s="208" t="s">
        <v>148</v>
      </c>
      <c r="F3771" t="s">
        <v>9</v>
      </c>
      <c r="G3771" s="18">
        <v>8</v>
      </c>
      <c r="H3771" t="s">
        <v>17</v>
      </c>
      <c r="I3771" t="s">
        <v>21</v>
      </c>
    </row>
    <row r="3772" spans="1:9" x14ac:dyDescent="0.25">
      <c r="A3772">
        <v>1811</v>
      </c>
      <c r="B3772">
        <f>A3772+1</f>
        <v>1812</v>
      </c>
      <c r="C3772" t="s">
        <v>517</v>
      </c>
      <c r="D3772" t="s">
        <v>27</v>
      </c>
      <c r="E3772" s="208" t="s">
        <v>139</v>
      </c>
      <c r="F3772" t="s">
        <v>9</v>
      </c>
      <c r="G3772" s="18">
        <v>0</v>
      </c>
      <c r="H3772" t="s">
        <v>17</v>
      </c>
      <c r="I3772" t="s">
        <v>21</v>
      </c>
    </row>
    <row r="3773" spans="1:9" x14ac:dyDescent="0.25">
      <c r="A3773">
        <v>1811</v>
      </c>
      <c r="B3773">
        <f>A3773+1</f>
        <v>1812</v>
      </c>
      <c r="C3773" t="s">
        <v>517</v>
      </c>
      <c r="D3773" t="s">
        <v>27</v>
      </c>
      <c r="E3773" s="208" t="s">
        <v>130</v>
      </c>
      <c r="F3773" t="s">
        <v>9</v>
      </c>
      <c r="G3773" s="18">
        <v>0</v>
      </c>
      <c r="H3773" t="s">
        <v>17</v>
      </c>
      <c r="I3773" t="s">
        <v>21</v>
      </c>
    </row>
    <row r="3774" spans="1:9" x14ac:dyDescent="0.25">
      <c r="A3774">
        <v>1811</v>
      </c>
      <c r="B3774">
        <f>A3774+1</f>
        <v>1812</v>
      </c>
      <c r="C3774" t="s">
        <v>517</v>
      </c>
      <c r="D3774" t="s">
        <v>27</v>
      </c>
      <c r="E3774" s="208" t="s">
        <v>132</v>
      </c>
      <c r="F3774" t="s">
        <v>9</v>
      </c>
      <c r="G3774" s="18">
        <v>0</v>
      </c>
      <c r="H3774" t="s">
        <v>17</v>
      </c>
      <c r="I3774" t="s">
        <v>21</v>
      </c>
    </row>
    <row r="3775" spans="1:9" x14ac:dyDescent="0.25">
      <c r="A3775">
        <v>1811</v>
      </c>
      <c r="B3775">
        <f>A3775+1</f>
        <v>1812</v>
      </c>
      <c r="C3775" t="s">
        <v>517</v>
      </c>
      <c r="D3775" t="s">
        <v>27</v>
      </c>
      <c r="E3775" s="208" t="s">
        <v>142</v>
      </c>
      <c r="F3775" t="s">
        <v>9</v>
      </c>
      <c r="G3775" s="18">
        <v>0</v>
      </c>
      <c r="H3775" t="s">
        <v>17</v>
      </c>
      <c r="I3775" t="s">
        <v>21</v>
      </c>
    </row>
    <row r="3776" spans="1:9" x14ac:dyDescent="0.25">
      <c r="A3776">
        <v>1811</v>
      </c>
      <c r="B3776">
        <f>A3776+1</f>
        <v>1812</v>
      </c>
      <c r="C3776" t="s">
        <v>517</v>
      </c>
      <c r="D3776" t="s">
        <v>27</v>
      </c>
      <c r="E3776" s="208" t="s">
        <v>144</v>
      </c>
      <c r="F3776" t="s">
        <v>9</v>
      </c>
      <c r="G3776" s="18">
        <v>0</v>
      </c>
      <c r="H3776" t="s">
        <v>17</v>
      </c>
      <c r="I3776" t="s">
        <v>21</v>
      </c>
    </row>
    <row r="3777" spans="1:9" x14ac:dyDescent="0.25">
      <c r="A3777">
        <v>1811</v>
      </c>
      <c r="B3777">
        <f>A3777+1</f>
        <v>1812</v>
      </c>
      <c r="C3777" t="s">
        <v>517</v>
      </c>
      <c r="D3777" t="s">
        <v>27</v>
      </c>
      <c r="E3777" s="208" t="s">
        <v>124</v>
      </c>
      <c r="F3777" t="s">
        <v>9</v>
      </c>
      <c r="G3777" s="18">
        <v>0</v>
      </c>
      <c r="H3777" t="s">
        <v>17</v>
      </c>
      <c r="I3777" t="s">
        <v>21</v>
      </c>
    </row>
    <row r="3778" spans="1:9" x14ac:dyDescent="0.25">
      <c r="A3778">
        <v>1811</v>
      </c>
      <c r="B3778">
        <f>A3778+1</f>
        <v>1812</v>
      </c>
      <c r="C3778" t="s">
        <v>517</v>
      </c>
      <c r="D3778" t="s">
        <v>27</v>
      </c>
      <c r="E3778" s="208" t="s">
        <v>155</v>
      </c>
      <c r="F3778" t="s">
        <v>13</v>
      </c>
      <c r="G3778" s="18">
        <v>0</v>
      </c>
      <c r="H3778" t="s">
        <v>17</v>
      </c>
      <c r="I3778" t="s">
        <v>25</v>
      </c>
    </row>
    <row r="3779" spans="1:9" x14ac:dyDescent="0.25">
      <c r="A3779">
        <v>1811</v>
      </c>
      <c r="B3779">
        <f>A3779+1</f>
        <v>1812</v>
      </c>
      <c r="C3779" t="s">
        <v>517</v>
      </c>
      <c r="D3779" t="s">
        <v>27</v>
      </c>
      <c r="E3779" s="208" t="s">
        <v>156</v>
      </c>
      <c r="F3779" t="s">
        <v>13</v>
      </c>
      <c r="G3779" s="18">
        <v>0</v>
      </c>
      <c r="H3779" t="s">
        <v>17</v>
      </c>
      <c r="I3779" t="s">
        <v>25</v>
      </c>
    </row>
    <row r="3780" spans="1:9" x14ac:dyDescent="0.25">
      <c r="A3780">
        <v>1811</v>
      </c>
      <c r="B3780">
        <f>A3780+1</f>
        <v>1812</v>
      </c>
      <c r="C3780" t="s">
        <v>517</v>
      </c>
      <c r="D3780" t="s">
        <v>27</v>
      </c>
      <c r="E3780" s="208" t="s">
        <v>154</v>
      </c>
      <c r="F3780" t="s">
        <v>13</v>
      </c>
      <c r="G3780" s="18">
        <v>0</v>
      </c>
      <c r="H3780" t="s">
        <v>17</v>
      </c>
      <c r="I3780" t="s">
        <v>25</v>
      </c>
    </row>
    <row r="3781" spans="1:9" x14ac:dyDescent="0.25">
      <c r="A3781">
        <v>1811</v>
      </c>
      <c r="B3781">
        <f>A3781+1</f>
        <v>1812</v>
      </c>
      <c r="C3781" t="s">
        <v>517</v>
      </c>
      <c r="D3781" t="s">
        <v>27</v>
      </c>
      <c r="E3781" s="208" t="s">
        <v>150</v>
      </c>
      <c r="F3781" t="s">
        <v>13</v>
      </c>
      <c r="G3781" s="18">
        <v>319</v>
      </c>
      <c r="H3781" t="s">
        <v>17</v>
      </c>
      <c r="I3781" t="s">
        <v>25</v>
      </c>
    </row>
    <row r="3782" spans="1:9" x14ac:dyDescent="0.25">
      <c r="A3782">
        <v>1811</v>
      </c>
      <c r="B3782">
        <f>A3782+1</f>
        <v>1812</v>
      </c>
      <c r="C3782" t="s">
        <v>517</v>
      </c>
      <c r="D3782" t="s">
        <v>27</v>
      </c>
      <c r="E3782" s="208" t="s">
        <v>148</v>
      </c>
      <c r="F3782" t="s">
        <v>13</v>
      </c>
      <c r="G3782" s="18">
        <v>0</v>
      </c>
      <c r="H3782" t="s">
        <v>17</v>
      </c>
      <c r="I3782" t="s">
        <v>25</v>
      </c>
    </row>
    <row r="3783" spans="1:9" x14ac:dyDescent="0.25">
      <c r="A3783">
        <v>1811</v>
      </c>
      <c r="B3783">
        <f>A3783+1</f>
        <v>1812</v>
      </c>
      <c r="C3783" t="s">
        <v>517</v>
      </c>
      <c r="D3783" t="s">
        <v>27</v>
      </c>
      <c r="E3783" s="208" t="s">
        <v>139</v>
      </c>
      <c r="F3783" t="s">
        <v>13</v>
      </c>
      <c r="G3783" s="18">
        <v>0</v>
      </c>
      <c r="H3783" t="s">
        <v>17</v>
      </c>
      <c r="I3783" t="s">
        <v>25</v>
      </c>
    </row>
    <row r="3784" spans="1:9" x14ac:dyDescent="0.25">
      <c r="A3784">
        <v>1811</v>
      </c>
      <c r="B3784">
        <f>A3784+1</f>
        <v>1812</v>
      </c>
      <c r="C3784" t="s">
        <v>517</v>
      </c>
      <c r="D3784" t="s">
        <v>27</v>
      </c>
      <c r="E3784" s="208" t="s">
        <v>130</v>
      </c>
      <c r="F3784" t="s">
        <v>13</v>
      </c>
      <c r="G3784" s="18">
        <v>0</v>
      </c>
      <c r="H3784" t="s">
        <v>17</v>
      </c>
      <c r="I3784" t="s">
        <v>25</v>
      </c>
    </row>
    <row r="3785" spans="1:9" x14ac:dyDescent="0.25">
      <c r="A3785">
        <v>1811</v>
      </c>
      <c r="B3785">
        <f>A3785+1</f>
        <v>1812</v>
      </c>
      <c r="C3785" t="s">
        <v>517</v>
      </c>
      <c r="D3785" t="s">
        <v>27</v>
      </c>
      <c r="E3785" s="208" t="s">
        <v>132</v>
      </c>
      <c r="F3785" t="s">
        <v>13</v>
      </c>
      <c r="G3785" s="18">
        <v>0</v>
      </c>
      <c r="H3785" t="s">
        <v>17</v>
      </c>
      <c r="I3785" t="s">
        <v>25</v>
      </c>
    </row>
    <row r="3786" spans="1:9" x14ac:dyDescent="0.25">
      <c r="A3786">
        <v>1811</v>
      </c>
      <c r="B3786">
        <f>A3786+1</f>
        <v>1812</v>
      </c>
      <c r="C3786" t="s">
        <v>517</v>
      </c>
      <c r="D3786" t="s">
        <v>27</v>
      </c>
      <c r="E3786" s="208" t="s">
        <v>142</v>
      </c>
      <c r="F3786" t="s">
        <v>13</v>
      </c>
      <c r="G3786" s="18">
        <v>103</v>
      </c>
      <c r="H3786" t="s">
        <v>17</v>
      </c>
      <c r="I3786" t="s">
        <v>25</v>
      </c>
    </row>
    <row r="3787" spans="1:9" x14ac:dyDescent="0.25">
      <c r="A3787">
        <v>1811</v>
      </c>
      <c r="B3787">
        <f>A3787+1</f>
        <v>1812</v>
      </c>
      <c r="C3787" t="s">
        <v>517</v>
      </c>
      <c r="D3787" t="s">
        <v>27</v>
      </c>
      <c r="E3787" s="208" t="s">
        <v>144</v>
      </c>
      <c r="F3787" t="s">
        <v>13</v>
      </c>
      <c r="G3787" s="18">
        <v>0</v>
      </c>
      <c r="H3787" t="s">
        <v>17</v>
      </c>
      <c r="I3787" t="s">
        <v>25</v>
      </c>
    </row>
    <row r="3788" spans="1:9" x14ac:dyDescent="0.25">
      <c r="A3788">
        <v>1811</v>
      </c>
      <c r="B3788">
        <f>A3788+1</f>
        <v>1812</v>
      </c>
      <c r="C3788" t="s">
        <v>517</v>
      </c>
      <c r="D3788" t="s">
        <v>27</v>
      </c>
      <c r="E3788" s="208" t="s">
        <v>124</v>
      </c>
      <c r="F3788" t="s">
        <v>13</v>
      </c>
      <c r="G3788" s="18">
        <v>0</v>
      </c>
      <c r="H3788" t="s">
        <v>17</v>
      </c>
      <c r="I3788" t="s">
        <v>25</v>
      </c>
    </row>
    <row r="3789" spans="1:9" x14ac:dyDescent="0.25">
      <c r="A3789">
        <v>1811</v>
      </c>
      <c r="B3789">
        <f>A3789+1</f>
        <v>1812</v>
      </c>
      <c r="C3789" t="s">
        <v>517</v>
      </c>
      <c r="D3789" t="s">
        <v>27</v>
      </c>
      <c r="E3789" s="208" t="s">
        <v>155</v>
      </c>
      <c r="F3789" t="s">
        <v>11</v>
      </c>
      <c r="G3789" s="18">
        <v>0</v>
      </c>
      <c r="H3789" t="s">
        <v>17</v>
      </c>
      <c r="I3789" t="s">
        <v>23</v>
      </c>
    </row>
    <row r="3790" spans="1:9" x14ac:dyDescent="0.25">
      <c r="A3790">
        <v>1811</v>
      </c>
      <c r="B3790">
        <f>A3790+1</f>
        <v>1812</v>
      </c>
      <c r="C3790" t="s">
        <v>517</v>
      </c>
      <c r="D3790" t="s">
        <v>27</v>
      </c>
      <c r="E3790" s="208" t="s">
        <v>156</v>
      </c>
      <c r="F3790" t="s">
        <v>11</v>
      </c>
      <c r="G3790" s="18">
        <v>0</v>
      </c>
      <c r="H3790" t="s">
        <v>17</v>
      </c>
      <c r="I3790" t="s">
        <v>23</v>
      </c>
    </row>
    <row r="3791" spans="1:9" x14ac:dyDescent="0.25">
      <c r="A3791">
        <v>1811</v>
      </c>
      <c r="B3791">
        <f>A3791+1</f>
        <v>1812</v>
      </c>
      <c r="C3791" t="s">
        <v>517</v>
      </c>
      <c r="D3791" t="s">
        <v>27</v>
      </c>
      <c r="E3791" s="208" t="s">
        <v>154</v>
      </c>
      <c r="F3791" t="s">
        <v>11</v>
      </c>
      <c r="G3791" s="18">
        <v>0</v>
      </c>
      <c r="H3791" t="s">
        <v>17</v>
      </c>
      <c r="I3791" t="s">
        <v>23</v>
      </c>
    </row>
    <row r="3792" spans="1:9" x14ac:dyDescent="0.25">
      <c r="A3792">
        <v>1811</v>
      </c>
      <c r="B3792">
        <f>A3792+1</f>
        <v>1812</v>
      </c>
      <c r="C3792" t="s">
        <v>517</v>
      </c>
      <c r="D3792" t="s">
        <v>27</v>
      </c>
      <c r="E3792" s="208" t="s">
        <v>150</v>
      </c>
      <c r="F3792" t="s">
        <v>11</v>
      </c>
      <c r="G3792" s="18">
        <v>504</v>
      </c>
      <c r="H3792" t="s">
        <v>17</v>
      </c>
      <c r="I3792" t="s">
        <v>23</v>
      </c>
    </row>
    <row r="3793" spans="1:9" x14ac:dyDescent="0.25">
      <c r="A3793">
        <v>1811</v>
      </c>
      <c r="B3793">
        <f>A3793+1</f>
        <v>1812</v>
      </c>
      <c r="C3793" t="s">
        <v>517</v>
      </c>
      <c r="D3793" t="s">
        <v>27</v>
      </c>
      <c r="E3793" s="208" t="s">
        <v>148</v>
      </c>
      <c r="F3793" t="s">
        <v>11</v>
      </c>
      <c r="G3793" s="18">
        <v>0</v>
      </c>
      <c r="H3793" t="s">
        <v>17</v>
      </c>
      <c r="I3793" t="s">
        <v>23</v>
      </c>
    </row>
    <row r="3794" spans="1:9" x14ac:dyDescent="0.25">
      <c r="A3794">
        <v>1811</v>
      </c>
      <c r="B3794">
        <f>A3794+1</f>
        <v>1812</v>
      </c>
      <c r="C3794" t="s">
        <v>517</v>
      </c>
      <c r="D3794" t="s">
        <v>27</v>
      </c>
      <c r="E3794" s="208" t="s">
        <v>139</v>
      </c>
      <c r="F3794" t="s">
        <v>11</v>
      </c>
      <c r="G3794" s="18">
        <v>64</v>
      </c>
      <c r="H3794" t="s">
        <v>17</v>
      </c>
      <c r="I3794" t="s">
        <v>23</v>
      </c>
    </row>
    <row r="3795" spans="1:9" x14ac:dyDescent="0.25">
      <c r="A3795">
        <v>1811</v>
      </c>
      <c r="B3795">
        <f>A3795+1</f>
        <v>1812</v>
      </c>
      <c r="C3795" t="s">
        <v>517</v>
      </c>
      <c r="D3795" t="s">
        <v>27</v>
      </c>
      <c r="E3795" s="208" t="s">
        <v>130</v>
      </c>
      <c r="F3795" t="s">
        <v>11</v>
      </c>
      <c r="G3795" s="18">
        <v>0</v>
      </c>
      <c r="H3795" t="s">
        <v>17</v>
      </c>
      <c r="I3795" t="s">
        <v>23</v>
      </c>
    </row>
    <row r="3796" spans="1:9" x14ac:dyDescent="0.25">
      <c r="A3796">
        <v>1811</v>
      </c>
      <c r="B3796">
        <f>A3796+1</f>
        <v>1812</v>
      </c>
      <c r="C3796" t="s">
        <v>517</v>
      </c>
      <c r="D3796" t="s">
        <v>27</v>
      </c>
      <c r="E3796" s="208" t="s">
        <v>132</v>
      </c>
      <c r="F3796" t="s">
        <v>11</v>
      </c>
      <c r="G3796" s="18">
        <v>0</v>
      </c>
      <c r="H3796" t="s">
        <v>17</v>
      </c>
      <c r="I3796" t="s">
        <v>23</v>
      </c>
    </row>
    <row r="3797" spans="1:9" x14ac:dyDescent="0.25">
      <c r="A3797">
        <v>1811</v>
      </c>
      <c r="B3797">
        <f>A3797+1</f>
        <v>1812</v>
      </c>
      <c r="C3797" t="s">
        <v>517</v>
      </c>
      <c r="D3797" t="s">
        <v>27</v>
      </c>
      <c r="E3797" s="208" t="s">
        <v>142</v>
      </c>
      <c r="F3797" t="s">
        <v>11</v>
      </c>
      <c r="G3797" s="18">
        <v>354</v>
      </c>
      <c r="H3797" t="s">
        <v>17</v>
      </c>
      <c r="I3797" t="s">
        <v>23</v>
      </c>
    </row>
    <row r="3798" spans="1:9" x14ac:dyDescent="0.25">
      <c r="A3798">
        <v>1811</v>
      </c>
      <c r="B3798">
        <f>A3798+1</f>
        <v>1812</v>
      </c>
      <c r="C3798" t="s">
        <v>517</v>
      </c>
      <c r="D3798" t="s">
        <v>27</v>
      </c>
      <c r="E3798" s="208" t="s">
        <v>144</v>
      </c>
      <c r="F3798" t="s">
        <v>11</v>
      </c>
      <c r="G3798" s="18">
        <v>201</v>
      </c>
      <c r="H3798" t="s">
        <v>17</v>
      </c>
      <c r="I3798" t="s">
        <v>23</v>
      </c>
    </row>
    <row r="3799" spans="1:9" x14ac:dyDescent="0.25">
      <c r="A3799">
        <v>1811</v>
      </c>
      <c r="B3799">
        <f>A3799+1</f>
        <v>1812</v>
      </c>
      <c r="C3799" t="s">
        <v>517</v>
      </c>
      <c r="D3799" t="s">
        <v>27</v>
      </c>
      <c r="E3799" s="208" t="s">
        <v>124</v>
      </c>
      <c r="F3799" t="s">
        <v>11</v>
      </c>
      <c r="G3799" s="18">
        <v>0</v>
      </c>
      <c r="H3799" t="s">
        <v>17</v>
      </c>
      <c r="I3799" t="s">
        <v>23</v>
      </c>
    </row>
    <row r="3800" spans="1:9" x14ac:dyDescent="0.25">
      <c r="A3800">
        <v>1811</v>
      </c>
      <c r="B3800">
        <f>A3800+1</f>
        <v>1812</v>
      </c>
      <c r="C3800" t="s">
        <v>517</v>
      </c>
      <c r="D3800" t="s">
        <v>26</v>
      </c>
      <c r="E3800" s="208" t="s">
        <v>62</v>
      </c>
      <c r="F3800" t="s">
        <v>11</v>
      </c>
      <c r="G3800" s="18">
        <v>2758</v>
      </c>
      <c r="H3800" t="s">
        <v>23</v>
      </c>
      <c r="I3800" t="s">
        <v>17</v>
      </c>
    </row>
    <row r="3801" spans="1:9" x14ac:dyDescent="0.25">
      <c r="A3801">
        <v>1811</v>
      </c>
      <c r="B3801">
        <f>A3801+1</f>
        <v>1812</v>
      </c>
      <c r="C3801" t="s">
        <v>517</v>
      </c>
      <c r="D3801" t="s">
        <v>26</v>
      </c>
      <c r="E3801" s="208" t="s">
        <v>55</v>
      </c>
      <c r="F3801" t="s">
        <v>11</v>
      </c>
      <c r="G3801" s="18">
        <v>925</v>
      </c>
      <c r="H3801" t="s">
        <v>23</v>
      </c>
      <c r="I3801" t="s">
        <v>17</v>
      </c>
    </row>
    <row r="3802" spans="1:9" x14ac:dyDescent="0.25">
      <c r="A3802">
        <v>1811</v>
      </c>
      <c r="B3802">
        <f>A3802+1</f>
        <v>1812</v>
      </c>
      <c r="C3802" t="s">
        <v>517</v>
      </c>
      <c r="D3802" t="s">
        <v>26</v>
      </c>
      <c r="E3802" s="208" t="s">
        <v>35</v>
      </c>
      <c r="F3802" t="s">
        <v>11</v>
      </c>
      <c r="G3802" s="18">
        <v>0</v>
      </c>
      <c r="H3802" t="s">
        <v>23</v>
      </c>
      <c r="I3802" t="s">
        <v>17</v>
      </c>
    </row>
    <row r="3803" spans="1:9" x14ac:dyDescent="0.25">
      <c r="A3803">
        <v>1811</v>
      </c>
      <c r="B3803">
        <f>A3803+1</f>
        <v>1812</v>
      </c>
      <c r="C3803" t="s">
        <v>517</v>
      </c>
      <c r="D3803" t="s">
        <v>26</v>
      </c>
      <c r="E3803" s="208" t="s">
        <v>36</v>
      </c>
      <c r="F3803" t="s">
        <v>11</v>
      </c>
      <c r="G3803" s="18">
        <v>351</v>
      </c>
      <c r="H3803" t="s">
        <v>23</v>
      </c>
      <c r="I3803" t="s">
        <v>17</v>
      </c>
    </row>
    <row r="3804" spans="1:9" x14ac:dyDescent="0.25">
      <c r="A3804">
        <v>1811</v>
      </c>
      <c r="B3804">
        <f>A3804+1</f>
        <v>1812</v>
      </c>
      <c r="C3804" t="s">
        <v>517</v>
      </c>
      <c r="D3804" t="s">
        <v>26</v>
      </c>
      <c r="E3804" s="208" t="s">
        <v>39</v>
      </c>
      <c r="F3804" t="s">
        <v>11</v>
      </c>
      <c r="G3804" s="18">
        <v>150</v>
      </c>
      <c r="H3804" t="s">
        <v>23</v>
      </c>
      <c r="I3804" t="s">
        <v>17</v>
      </c>
    </row>
    <row r="3805" spans="1:9" x14ac:dyDescent="0.25">
      <c r="A3805">
        <v>1811</v>
      </c>
      <c r="B3805">
        <f>A3805+1</f>
        <v>1812</v>
      </c>
      <c r="C3805" t="s">
        <v>517</v>
      </c>
      <c r="D3805" t="s">
        <v>26</v>
      </c>
      <c r="E3805" s="208" t="s">
        <v>99</v>
      </c>
      <c r="F3805" t="s">
        <v>11</v>
      </c>
      <c r="G3805" s="18">
        <v>235</v>
      </c>
      <c r="H3805" t="s">
        <v>23</v>
      </c>
      <c r="I3805" t="s">
        <v>17</v>
      </c>
    </row>
    <row r="3806" spans="1:9" x14ac:dyDescent="0.25">
      <c r="A3806">
        <v>1811</v>
      </c>
      <c r="B3806">
        <f>A3806+1</f>
        <v>1812</v>
      </c>
      <c r="C3806" t="s">
        <v>517</v>
      </c>
      <c r="D3806" t="s">
        <v>26</v>
      </c>
      <c r="E3806" s="208" t="s">
        <v>351</v>
      </c>
      <c r="F3806" t="s">
        <v>11</v>
      </c>
      <c r="G3806" s="18">
        <v>83</v>
      </c>
      <c r="H3806" t="s">
        <v>23</v>
      </c>
      <c r="I3806" t="s">
        <v>17</v>
      </c>
    </row>
    <row r="3807" spans="1:9" x14ac:dyDescent="0.25">
      <c r="A3807">
        <v>1811</v>
      </c>
      <c r="B3807">
        <f>A3807+1</f>
        <v>1812</v>
      </c>
      <c r="C3807" t="s">
        <v>517</v>
      </c>
      <c r="D3807" t="s">
        <v>26</v>
      </c>
      <c r="E3807" s="208" t="s">
        <v>367</v>
      </c>
      <c r="F3807" t="s">
        <v>11</v>
      </c>
      <c r="G3807" s="18">
        <v>0</v>
      </c>
      <c r="H3807" t="s">
        <v>23</v>
      </c>
      <c r="I3807" t="s">
        <v>17</v>
      </c>
    </row>
    <row r="3808" spans="1:9" x14ac:dyDescent="0.25">
      <c r="A3808">
        <v>1811</v>
      </c>
      <c r="B3808">
        <f>A3808+1</f>
        <v>1812</v>
      </c>
      <c r="C3808" t="s">
        <v>517</v>
      </c>
      <c r="D3808" t="s">
        <v>26</v>
      </c>
      <c r="E3808" s="208" t="s">
        <v>352</v>
      </c>
      <c r="F3808" t="s">
        <v>11</v>
      </c>
      <c r="G3808" s="18">
        <v>2010</v>
      </c>
      <c r="H3808" t="s">
        <v>23</v>
      </c>
      <c r="I3808" t="s">
        <v>17</v>
      </c>
    </row>
    <row r="3809" spans="1:9" x14ac:dyDescent="0.25">
      <c r="A3809">
        <v>1811</v>
      </c>
      <c r="B3809">
        <f>A3809+1</f>
        <v>1812</v>
      </c>
      <c r="C3809" t="s">
        <v>517</v>
      </c>
      <c r="D3809" t="s">
        <v>26</v>
      </c>
      <c r="E3809" s="208" t="s">
        <v>75</v>
      </c>
      <c r="F3809" t="s">
        <v>11</v>
      </c>
      <c r="G3809" s="18">
        <v>3429771</v>
      </c>
      <c r="H3809" t="s">
        <v>23</v>
      </c>
      <c r="I3809" t="s">
        <v>17</v>
      </c>
    </row>
    <row r="3810" spans="1:9" x14ac:dyDescent="0.25">
      <c r="A3810">
        <v>1811</v>
      </c>
      <c r="B3810">
        <f>A3810+1</f>
        <v>1812</v>
      </c>
      <c r="C3810" t="s">
        <v>517</v>
      </c>
      <c r="D3810" t="s">
        <v>26</v>
      </c>
      <c r="E3810" s="208" t="s">
        <v>107</v>
      </c>
      <c r="F3810" t="s">
        <v>11</v>
      </c>
      <c r="G3810" s="18">
        <v>3451539</v>
      </c>
      <c r="H3810" t="s">
        <v>23</v>
      </c>
      <c r="I3810" t="s">
        <v>17</v>
      </c>
    </row>
    <row r="3811" spans="1:9" x14ac:dyDescent="0.25">
      <c r="A3811">
        <v>1811</v>
      </c>
      <c r="B3811">
        <f>A3811+1</f>
        <v>1812</v>
      </c>
      <c r="C3811" t="s">
        <v>517</v>
      </c>
      <c r="D3811" t="s">
        <v>26</v>
      </c>
      <c r="E3811" s="208" t="s">
        <v>101</v>
      </c>
      <c r="F3811" t="s">
        <v>11</v>
      </c>
      <c r="G3811" s="18">
        <v>3566902</v>
      </c>
      <c r="H3811" t="s">
        <v>23</v>
      </c>
      <c r="I3811" t="s">
        <v>17</v>
      </c>
    </row>
    <row r="3812" spans="1:9" x14ac:dyDescent="0.25">
      <c r="A3812">
        <v>1811</v>
      </c>
      <c r="B3812">
        <f>A3812+1</f>
        <v>1812</v>
      </c>
      <c r="C3812" t="s">
        <v>517</v>
      </c>
      <c r="D3812" t="s">
        <v>27</v>
      </c>
      <c r="E3812" s="208" t="s">
        <v>155</v>
      </c>
      <c r="F3812" t="s">
        <v>14</v>
      </c>
      <c r="G3812" s="18">
        <v>75834</v>
      </c>
      <c r="H3812" t="s">
        <v>17</v>
      </c>
      <c r="I3812" s="151" t="s">
        <v>562</v>
      </c>
    </row>
    <row r="3813" spans="1:9" x14ac:dyDescent="0.25">
      <c r="A3813">
        <v>1811</v>
      </c>
      <c r="B3813">
        <f>A3813+1</f>
        <v>1812</v>
      </c>
      <c r="C3813" t="s">
        <v>517</v>
      </c>
      <c r="D3813" t="s">
        <v>27</v>
      </c>
      <c r="E3813" s="208" t="s">
        <v>156</v>
      </c>
      <c r="F3813" t="s">
        <v>14</v>
      </c>
      <c r="G3813" s="18">
        <v>8151</v>
      </c>
      <c r="H3813" t="s">
        <v>17</v>
      </c>
      <c r="I3813" s="151" t="s">
        <v>562</v>
      </c>
    </row>
    <row r="3814" spans="1:9" x14ac:dyDescent="0.25">
      <c r="A3814">
        <v>1811</v>
      </c>
      <c r="B3814">
        <f>A3814+1</f>
        <v>1812</v>
      </c>
      <c r="C3814" t="s">
        <v>517</v>
      </c>
      <c r="D3814" t="s">
        <v>27</v>
      </c>
      <c r="E3814" s="208" t="s">
        <v>154</v>
      </c>
      <c r="F3814" t="s">
        <v>14</v>
      </c>
      <c r="G3814" s="18">
        <v>766</v>
      </c>
      <c r="H3814" t="s">
        <v>17</v>
      </c>
      <c r="I3814" s="151" t="s">
        <v>562</v>
      </c>
    </row>
    <row r="3815" spans="1:9" x14ac:dyDescent="0.25">
      <c r="A3815">
        <v>1811</v>
      </c>
      <c r="B3815">
        <f>A3815+1</f>
        <v>1812</v>
      </c>
      <c r="C3815" t="s">
        <v>517</v>
      </c>
      <c r="D3815" t="s">
        <v>27</v>
      </c>
      <c r="E3815" s="208" t="s">
        <v>150</v>
      </c>
      <c r="F3815" t="s">
        <v>14</v>
      </c>
      <c r="G3815" s="18">
        <v>29362</v>
      </c>
      <c r="H3815" t="s">
        <v>17</v>
      </c>
      <c r="I3815" s="151" t="s">
        <v>562</v>
      </c>
    </row>
    <row r="3816" spans="1:9" x14ac:dyDescent="0.25">
      <c r="A3816">
        <v>1811</v>
      </c>
      <c r="B3816">
        <f>A3816+1</f>
        <v>1812</v>
      </c>
      <c r="C3816" t="s">
        <v>517</v>
      </c>
      <c r="D3816" t="s">
        <v>27</v>
      </c>
      <c r="E3816" s="208" t="s">
        <v>148</v>
      </c>
      <c r="F3816" t="s">
        <v>14</v>
      </c>
      <c r="G3816" s="18">
        <v>408</v>
      </c>
      <c r="H3816" t="s">
        <v>17</v>
      </c>
      <c r="I3816" s="151" t="s">
        <v>562</v>
      </c>
    </row>
    <row r="3817" spans="1:9" x14ac:dyDescent="0.25">
      <c r="A3817">
        <v>1811</v>
      </c>
      <c r="B3817">
        <f>A3817+1</f>
        <v>1812</v>
      </c>
      <c r="C3817" t="s">
        <v>517</v>
      </c>
      <c r="D3817" t="s">
        <v>27</v>
      </c>
      <c r="E3817" s="208" t="s">
        <v>139</v>
      </c>
      <c r="F3817" t="s">
        <v>14</v>
      </c>
      <c r="G3817" s="18">
        <v>145</v>
      </c>
      <c r="H3817" t="s">
        <v>17</v>
      </c>
      <c r="I3817" s="151" t="s">
        <v>562</v>
      </c>
    </row>
    <row r="3818" spans="1:9" x14ac:dyDescent="0.25">
      <c r="A3818">
        <v>1811</v>
      </c>
      <c r="B3818">
        <f>A3818+1</f>
        <v>1812</v>
      </c>
      <c r="C3818" t="s">
        <v>517</v>
      </c>
      <c r="D3818" t="s">
        <v>27</v>
      </c>
      <c r="E3818" s="208" t="s">
        <v>130</v>
      </c>
      <c r="F3818" t="s">
        <v>14</v>
      </c>
      <c r="G3818" s="18">
        <v>928</v>
      </c>
      <c r="H3818" t="s">
        <v>17</v>
      </c>
      <c r="I3818" s="151" t="s">
        <v>562</v>
      </c>
    </row>
    <row r="3819" spans="1:9" x14ac:dyDescent="0.25">
      <c r="A3819">
        <v>1811</v>
      </c>
      <c r="B3819">
        <f>A3819+1</f>
        <v>1812</v>
      </c>
      <c r="C3819" t="s">
        <v>517</v>
      </c>
      <c r="D3819" t="s">
        <v>27</v>
      </c>
      <c r="E3819" s="208" t="s">
        <v>132</v>
      </c>
      <c r="F3819" t="s">
        <v>14</v>
      </c>
      <c r="G3819" s="18">
        <v>464</v>
      </c>
      <c r="H3819" t="s">
        <v>17</v>
      </c>
      <c r="I3819" s="151" t="s">
        <v>562</v>
      </c>
    </row>
    <row r="3820" spans="1:9" x14ac:dyDescent="0.25">
      <c r="A3820">
        <v>1811</v>
      </c>
      <c r="B3820">
        <f>A3820+1</f>
        <v>1812</v>
      </c>
      <c r="C3820" t="s">
        <v>517</v>
      </c>
      <c r="D3820" t="s">
        <v>27</v>
      </c>
      <c r="E3820" s="208" t="s">
        <v>142</v>
      </c>
      <c r="F3820" t="s">
        <v>14</v>
      </c>
      <c r="G3820" s="18">
        <v>5379</v>
      </c>
      <c r="H3820" t="s">
        <v>17</v>
      </c>
      <c r="I3820" s="151" t="s">
        <v>562</v>
      </c>
    </row>
    <row r="3821" spans="1:9" x14ac:dyDescent="0.25">
      <c r="A3821">
        <v>1811</v>
      </c>
      <c r="B3821">
        <f>A3821+1</f>
        <v>1812</v>
      </c>
      <c r="C3821" t="s">
        <v>517</v>
      </c>
      <c r="D3821" t="s">
        <v>27</v>
      </c>
      <c r="E3821" s="208" t="s">
        <v>144</v>
      </c>
      <c r="F3821" t="s">
        <v>14</v>
      </c>
      <c r="G3821" s="18">
        <v>367</v>
      </c>
      <c r="H3821" t="s">
        <v>17</v>
      </c>
      <c r="I3821" s="151" t="s">
        <v>562</v>
      </c>
    </row>
    <row r="3822" spans="1:9" x14ac:dyDescent="0.25">
      <c r="A3822">
        <v>1811</v>
      </c>
      <c r="B3822">
        <f>A3822+1</f>
        <v>1812</v>
      </c>
      <c r="C3822" t="s">
        <v>517</v>
      </c>
      <c r="D3822" t="s">
        <v>27</v>
      </c>
      <c r="E3822" s="208" t="s">
        <v>124</v>
      </c>
      <c r="F3822" t="s">
        <v>14</v>
      </c>
      <c r="G3822" s="18">
        <v>9202308</v>
      </c>
      <c r="H3822" t="s">
        <v>17</v>
      </c>
      <c r="I3822" s="151" t="s">
        <v>562</v>
      </c>
    </row>
    <row r="3823" spans="1:9" x14ac:dyDescent="0.25">
      <c r="A3823">
        <v>1811</v>
      </c>
      <c r="B3823">
        <f>A3823+1</f>
        <v>1812</v>
      </c>
      <c r="C3823" t="s">
        <v>517</v>
      </c>
      <c r="D3823" t="s">
        <v>26</v>
      </c>
      <c r="E3823" s="208" t="s">
        <v>62</v>
      </c>
      <c r="F3823" t="s">
        <v>14</v>
      </c>
      <c r="G3823" s="18">
        <v>2838</v>
      </c>
      <c r="H3823" s="151" t="s">
        <v>563</v>
      </c>
      <c r="I3823" t="s">
        <v>17</v>
      </c>
    </row>
    <row r="3824" spans="1:9" x14ac:dyDescent="0.25">
      <c r="A3824">
        <v>1811</v>
      </c>
      <c r="B3824">
        <f>A3824+1</f>
        <v>1812</v>
      </c>
      <c r="C3824" t="s">
        <v>517</v>
      </c>
      <c r="D3824" t="s">
        <v>26</v>
      </c>
      <c r="E3824" s="208" t="s">
        <v>55</v>
      </c>
      <c r="F3824" t="s">
        <v>14</v>
      </c>
      <c r="G3824" s="18">
        <v>925</v>
      </c>
      <c r="H3824" s="151" t="s">
        <v>563</v>
      </c>
      <c r="I3824" t="s">
        <v>17</v>
      </c>
    </row>
    <row r="3825" spans="1:9" x14ac:dyDescent="0.25">
      <c r="A3825">
        <v>1811</v>
      </c>
      <c r="B3825">
        <f>A3825+1</f>
        <v>1812</v>
      </c>
      <c r="C3825" t="s">
        <v>517</v>
      </c>
      <c r="D3825" t="s">
        <v>26</v>
      </c>
      <c r="E3825" s="208" t="s">
        <v>35</v>
      </c>
      <c r="F3825" t="s">
        <v>14</v>
      </c>
      <c r="G3825" s="18">
        <v>0</v>
      </c>
      <c r="H3825" s="151" t="s">
        <v>563</v>
      </c>
      <c r="I3825" t="s">
        <v>17</v>
      </c>
    </row>
    <row r="3826" spans="1:9" x14ac:dyDescent="0.25">
      <c r="A3826">
        <v>1811</v>
      </c>
      <c r="B3826">
        <f>A3826+1</f>
        <v>1812</v>
      </c>
      <c r="C3826" t="s">
        <v>517</v>
      </c>
      <c r="D3826" t="s">
        <v>26</v>
      </c>
      <c r="E3826" s="208" t="s">
        <v>36</v>
      </c>
      <c r="F3826" t="s">
        <v>14</v>
      </c>
      <c r="G3826" s="18">
        <v>375</v>
      </c>
      <c r="H3826" s="151" t="s">
        <v>563</v>
      </c>
      <c r="I3826" t="s">
        <v>17</v>
      </c>
    </row>
    <row r="3827" spans="1:9" x14ac:dyDescent="0.25">
      <c r="A3827">
        <v>1811</v>
      </c>
      <c r="B3827">
        <f>A3827+1</f>
        <v>1812</v>
      </c>
      <c r="C3827" t="s">
        <v>517</v>
      </c>
      <c r="D3827" t="s">
        <v>26</v>
      </c>
      <c r="E3827" s="208" t="s">
        <v>39</v>
      </c>
      <c r="F3827" t="s">
        <v>14</v>
      </c>
      <c r="G3827" s="18">
        <v>158</v>
      </c>
      <c r="H3827" s="151" t="s">
        <v>563</v>
      </c>
      <c r="I3827" t="s">
        <v>17</v>
      </c>
    </row>
    <row r="3828" spans="1:9" x14ac:dyDescent="0.25">
      <c r="A3828">
        <v>1811</v>
      </c>
      <c r="B3828">
        <f>A3828+1</f>
        <v>1812</v>
      </c>
      <c r="C3828" t="s">
        <v>517</v>
      </c>
      <c r="D3828" t="s">
        <v>26</v>
      </c>
      <c r="E3828" s="208" t="s">
        <v>99</v>
      </c>
      <c r="F3828" t="s">
        <v>14</v>
      </c>
      <c r="G3828" s="18">
        <v>235</v>
      </c>
      <c r="H3828" s="151" t="s">
        <v>563</v>
      </c>
      <c r="I3828" t="s">
        <v>17</v>
      </c>
    </row>
    <row r="3829" spans="1:9" x14ac:dyDescent="0.25">
      <c r="A3829">
        <v>1811</v>
      </c>
      <c r="B3829">
        <f>A3829+1</f>
        <v>1812</v>
      </c>
      <c r="C3829" t="s">
        <v>517</v>
      </c>
      <c r="D3829" t="s">
        <v>26</v>
      </c>
      <c r="E3829" s="208" t="s">
        <v>28</v>
      </c>
      <c r="F3829" t="s">
        <v>14</v>
      </c>
      <c r="G3829" s="18">
        <v>171</v>
      </c>
      <c r="H3829" s="151" t="s">
        <v>563</v>
      </c>
      <c r="I3829" t="s">
        <v>17</v>
      </c>
    </row>
    <row r="3830" spans="1:9" x14ac:dyDescent="0.25">
      <c r="A3830">
        <v>1811</v>
      </c>
      <c r="B3830">
        <f>A3830+1</f>
        <v>1812</v>
      </c>
      <c r="C3830" t="s">
        <v>517</v>
      </c>
      <c r="D3830" t="s">
        <v>26</v>
      </c>
      <c r="E3830" s="208" t="s">
        <v>89</v>
      </c>
      <c r="F3830" t="s">
        <v>14</v>
      </c>
      <c r="G3830" s="18">
        <v>63</v>
      </c>
      <c r="H3830" s="151" t="s">
        <v>563</v>
      </c>
      <c r="I3830" t="s">
        <v>17</v>
      </c>
    </row>
    <row r="3831" spans="1:9" x14ac:dyDescent="0.25">
      <c r="A3831">
        <v>1811</v>
      </c>
      <c r="B3831">
        <f>A3831+1</f>
        <v>1812</v>
      </c>
      <c r="C3831" t="s">
        <v>517</v>
      </c>
      <c r="D3831" t="s">
        <v>26</v>
      </c>
      <c r="E3831" s="208" t="s">
        <v>45</v>
      </c>
      <c r="F3831" t="s">
        <v>14</v>
      </c>
      <c r="G3831" s="18">
        <v>46</v>
      </c>
      <c r="H3831" s="151" t="s">
        <v>563</v>
      </c>
      <c r="I3831" t="s">
        <v>17</v>
      </c>
    </row>
    <row r="3832" spans="1:9" x14ac:dyDescent="0.25">
      <c r="A3832">
        <v>1811</v>
      </c>
      <c r="B3832">
        <f>A3832+1</f>
        <v>1812</v>
      </c>
      <c r="C3832" t="s">
        <v>517</v>
      </c>
      <c r="D3832" t="s">
        <v>26</v>
      </c>
      <c r="E3832" s="208" t="s">
        <v>351</v>
      </c>
      <c r="F3832" t="s">
        <v>14</v>
      </c>
      <c r="G3832" s="18">
        <v>83</v>
      </c>
      <c r="H3832" s="151" t="s">
        <v>563</v>
      </c>
      <c r="I3832" t="s">
        <v>17</v>
      </c>
    </row>
    <row r="3833" spans="1:9" x14ac:dyDescent="0.25">
      <c r="A3833">
        <v>1811</v>
      </c>
      <c r="B3833">
        <f>A3833+1</f>
        <v>1812</v>
      </c>
      <c r="C3833" t="s">
        <v>517</v>
      </c>
      <c r="D3833" t="s">
        <v>26</v>
      </c>
      <c r="E3833" s="208" t="s">
        <v>367</v>
      </c>
      <c r="F3833" t="s">
        <v>14</v>
      </c>
      <c r="G3833" s="18">
        <v>0</v>
      </c>
      <c r="H3833" s="151" t="s">
        <v>563</v>
      </c>
      <c r="I3833" t="s">
        <v>17</v>
      </c>
    </row>
    <row r="3834" spans="1:9" x14ac:dyDescent="0.25">
      <c r="A3834">
        <v>1811</v>
      </c>
      <c r="B3834">
        <f>A3834+1</f>
        <v>1812</v>
      </c>
      <c r="C3834" t="s">
        <v>517</v>
      </c>
      <c r="D3834" t="s">
        <v>26</v>
      </c>
      <c r="E3834" s="208" t="s">
        <v>352</v>
      </c>
      <c r="F3834" t="s">
        <v>14</v>
      </c>
      <c r="G3834" s="18">
        <v>2010</v>
      </c>
      <c r="H3834" s="151" t="s">
        <v>563</v>
      </c>
      <c r="I3834" t="s">
        <v>17</v>
      </c>
    </row>
    <row r="3835" spans="1:9" x14ac:dyDescent="0.25">
      <c r="A3835">
        <v>1811</v>
      </c>
      <c r="B3835">
        <f>A3835+1</f>
        <v>1812</v>
      </c>
      <c r="C3835" t="s">
        <v>517</v>
      </c>
      <c r="D3835" t="s">
        <v>26</v>
      </c>
      <c r="E3835" s="208" t="s">
        <v>75</v>
      </c>
      <c r="F3835" t="s">
        <v>14</v>
      </c>
      <c r="G3835" s="18">
        <v>4729356</v>
      </c>
      <c r="H3835" s="151" t="s">
        <v>563</v>
      </c>
      <c r="I3835" t="s">
        <v>17</v>
      </c>
    </row>
    <row r="3836" spans="1:9" x14ac:dyDescent="0.25">
      <c r="A3836">
        <v>1811</v>
      </c>
      <c r="B3836">
        <f>A3836+1</f>
        <v>1812</v>
      </c>
      <c r="C3836" t="s">
        <v>517</v>
      </c>
      <c r="D3836" t="s">
        <v>26</v>
      </c>
      <c r="E3836" s="208" t="s">
        <v>107</v>
      </c>
      <c r="F3836" t="s">
        <v>14</v>
      </c>
      <c r="G3836" s="18">
        <v>3722664</v>
      </c>
      <c r="H3836" s="151" t="s">
        <v>563</v>
      </c>
      <c r="I3836" t="s">
        <v>17</v>
      </c>
    </row>
    <row r="3837" spans="1:9" x14ac:dyDescent="0.25">
      <c r="A3837">
        <v>1811</v>
      </c>
      <c r="B3837">
        <f>A3837+1</f>
        <v>1812</v>
      </c>
      <c r="C3837" t="s">
        <v>517</v>
      </c>
      <c r="D3837" t="s">
        <v>26</v>
      </c>
      <c r="E3837" s="208" t="s">
        <v>101</v>
      </c>
      <c r="F3837" t="s">
        <v>14</v>
      </c>
      <c r="G3837" s="18">
        <v>3680452</v>
      </c>
      <c r="H3837" s="151" t="s">
        <v>563</v>
      </c>
      <c r="I3837" t="s">
        <v>17</v>
      </c>
    </row>
    <row r="3838" spans="1:9" x14ac:dyDescent="0.25">
      <c r="A3838">
        <v>1811</v>
      </c>
      <c r="B3838">
        <f>A3838+1</f>
        <v>1812</v>
      </c>
      <c r="C3838" t="s">
        <v>517</v>
      </c>
      <c r="D3838" t="s">
        <v>26</v>
      </c>
      <c r="E3838" s="208" t="s">
        <v>65</v>
      </c>
      <c r="F3838" t="s">
        <v>14</v>
      </c>
      <c r="G3838" s="18">
        <v>17779</v>
      </c>
      <c r="H3838" s="151" t="s">
        <v>563</v>
      </c>
      <c r="I3838" t="s">
        <v>17</v>
      </c>
    </row>
    <row r="3839" spans="1:9" x14ac:dyDescent="0.25">
      <c r="A3839">
        <v>1811</v>
      </c>
      <c r="B3839">
        <f>A3839+1</f>
        <v>1812</v>
      </c>
      <c r="C3839" t="s">
        <v>517</v>
      </c>
      <c r="D3839" t="s">
        <v>26</v>
      </c>
      <c r="E3839" s="208" t="s">
        <v>88</v>
      </c>
      <c r="F3839" t="s">
        <v>14</v>
      </c>
      <c r="G3839" s="18">
        <v>10235</v>
      </c>
      <c r="H3839" s="151" t="s">
        <v>563</v>
      </c>
      <c r="I3839" t="s">
        <v>17</v>
      </c>
    </row>
    <row r="3840" spans="1:9" x14ac:dyDescent="0.25">
      <c r="A3840">
        <v>1811</v>
      </c>
      <c r="B3840">
        <f>A3840+1</f>
        <v>1812</v>
      </c>
      <c r="C3840" t="s">
        <v>517</v>
      </c>
      <c r="D3840" t="s">
        <v>26</v>
      </c>
      <c r="E3840" s="208" t="s">
        <v>330</v>
      </c>
      <c r="F3840" t="s">
        <v>14</v>
      </c>
      <c r="G3840" s="18">
        <v>641</v>
      </c>
      <c r="H3840" s="151" t="s">
        <v>563</v>
      </c>
      <c r="I3840" t="s">
        <v>17</v>
      </c>
    </row>
    <row r="3841" spans="1:9" x14ac:dyDescent="0.25">
      <c r="A3841">
        <v>1811</v>
      </c>
      <c r="B3841">
        <f>A3841+1</f>
        <v>1812</v>
      </c>
      <c r="C3841" t="s">
        <v>517</v>
      </c>
      <c r="D3841" t="s">
        <v>26</v>
      </c>
      <c r="E3841" s="208" t="s">
        <v>331</v>
      </c>
      <c r="F3841" t="s">
        <v>14</v>
      </c>
      <c r="G3841" s="18">
        <v>625</v>
      </c>
      <c r="H3841" s="151" t="s">
        <v>563</v>
      </c>
      <c r="I3841" t="s">
        <v>17</v>
      </c>
    </row>
    <row r="3842" spans="1:9" x14ac:dyDescent="0.25">
      <c r="A3842">
        <v>1811</v>
      </c>
      <c r="B3842">
        <f>A3842+1</f>
        <v>1812</v>
      </c>
      <c r="C3842" t="s">
        <v>517</v>
      </c>
      <c r="D3842" t="s">
        <v>26</v>
      </c>
      <c r="E3842" s="208" t="s">
        <v>332</v>
      </c>
      <c r="F3842" t="s">
        <v>14</v>
      </c>
      <c r="G3842" s="18">
        <v>88</v>
      </c>
      <c r="H3842" s="151" t="s">
        <v>563</v>
      </c>
      <c r="I3842" t="s">
        <v>17</v>
      </c>
    </row>
    <row r="3843" spans="1:9" x14ac:dyDescent="0.25">
      <c r="A3843">
        <v>1811</v>
      </c>
      <c r="B3843">
        <f>A3843+1</f>
        <v>1812</v>
      </c>
      <c r="C3843" t="s">
        <v>517</v>
      </c>
      <c r="D3843" t="s">
        <v>26</v>
      </c>
      <c r="E3843" s="208" t="s">
        <v>333</v>
      </c>
      <c r="F3843" t="s">
        <v>14</v>
      </c>
      <c r="G3843" s="18">
        <v>1021</v>
      </c>
      <c r="H3843" s="151" t="s">
        <v>563</v>
      </c>
      <c r="I3843" t="s">
        <v>17</v>
      </c>
    </row>
    <row r="3844" spans="1:9" x14ac:dyDescent="0.25">
      <c r="A3844">
        <v>1811</v>
      </c>
      <c r="B3844">
        <f>A3844+1</f>
        <v>1812</v>
      </c>
      <c r="C3844" t="s">
        <v>517</v>
      </c>
      <c r="D3844" t="s">
        <v>27</v>
      </c>
      <c r="E3844" s="208" t="s">
        <v>155</v>
      </c>
      <c r="F3844" t="s">
        <v>15</v>
      </c>
      <c r="G3844" s="18">
        <v>105283</v>
      </c>
      <c r="H3844" t="s">
        <v>561</v>
      </c>
      <c r="I3844" s="151" t="s">
        <v>562</v>
      </c>
    </row>
    <row r="3845" spans="1:9" x14ac:dyDescent="0.25">
      <c r="A3845">
        <v>1811</v>
      </c>
      <c r="B3845">
        <f>A3845+1</f>
        <v>1812</v>
      </c>
      <c r="C3845" t="s">
        <v>517</v>
      </c>
      <c r="D3845" t="s">
        <v>27</v>
      </c>
      <c r="E3845" s="208" t="s">
        <v>156</v>
      </c>
      <c r="F3845" t="s">
        <v>15</v>
      </c>
      <c r="G3845" s="18">
        <v>11357</v>
      </c>
      <c r="H3845" t="s">
        <v>561</v>
      </c>
      <c r="I3845" s="151" t="s">
        <v>562</v>
      </c>
    </row>
    <row r="3846" spans="1:9" x14ac:dyDescent="0.25">
      <c r="A3846">
        <v>1811</v>
      </c>
      <c r="B3846">
        <f>A3846+1</f>
        <v>1812</v>
      </c>
      <c r="C3846" t="s">
        <v>517</v>
      </c>
      <c r="D3846" t="s">
        <v>27</v>
      </c>
      <c r="E3846" s="208" t="s">
        <v>154</v>
      </c>
      <c r="F3846" t="s">
        <v>15</v>
      </c>
      <c r="G3846" s="18">
        <v>2558</v>
      </c>
      <c r="H3846" t="s">
        <v>561</v>
      </c>
      <c r="I3846" s="151" t="s">
        <v>562</v>
      </c>
    </row>
    <row r="3847" spans="1:9" x14ac:dyDescent="0.25">
      <c r="A3847">
        <v>1811</v>
      </c>
      <c r="B3847">
        <f>A3847+1</f>
        <v>1812</v>
      </c>
      <c r="C3847" t="s">
        <v>517</v>
      </c>
      <c r="D3847" t="s">
        <v>27</v>
      </c>
      <c r="E3847" s="208" t="s">
        <v>150</v>
      </c>
      <c r="F3847" t="s">
        <v>15</v>
      </c>
      <c r="G3847" s="18">
        <v>43346</v>
      </c>
      <c r="H3847" t="s">
        <v>561</v>
      </c>
      <c r="I3847" s="151" t="s">
        <v>562</v>
      </c>
    </row>
    <row r="3848" spans="1:9" x14ac:dyDescent="0.25">
      <c r="A3848">
        <v>1811</v>
      </c>
      <c r="B3848">
        <f>A3848+1</f>
        <v>1812</v>
      </c>
      <c r="C3848" t="s">
        <v>517</v>
      </c>
      <c r="D3848" t="s">
        <v>27</v>
      </c>
      <c r="E3848" s="208" t="s">
        <v>148</v>
      </c>
      <c r="F3848" t="s">
        <v>15</v>
      </c>
      <c r="G3848" s="18">
        <v>1531</v>
      </c>
      <c r="H3848" t="s">
        <v>561</v>
      </c>
      <c r="I3848" s="151" t="s">
        <v>562</v>
      </c>
    </row>
    <row r="3849" spans="1:9" x14ac:dyDescent="0.25">
      <c r="A3849">
        <v>1811</v>
      </c>
      <c r="B3849">
        <f>A3849+1</f>
        <v>1812</v>
      </c>
      <c r="C3849" t="s">
        <v>517</v>
      </c>
      <c r="D3849" t="s">
        <v>27</v>
      </c>
      <c r="E3849" s="208" t="s">
        <v>139</v>
      </c>
      <c r="F3849" t="s">
        <v>15</v>
      </c>
      <c r="G3849" s="18">
        <v>151</v>
      </c>
      <c r="H3849" t="s">
        <v>561</v>
      </c>
      <c r="I3849" s="151" t="s">
        <v>562</v>
      </c>
    </row>
    <row r="3850" spans="1:9" x14ac:dyDescent="0.25">
      <c r="A3850">
        <v>1811</v>
      </c>
      <c r="B3850">
        <f>A3850+1</f>
        <v>1812</v>
      </c>
      <c r="C3850" t="s">
        <v>517</v>
      </c>
      <c r="D3850" t="s">
        <v>27</v>
      </c>
      <c r="E3850" s="208" t="s">
        <v>130</v>
      </c>
      <c r="F3850" t="s">
        <v>15</v>
      </c>
      <c r="G3850" s="18">
        <v>1235</v>
      </c>
      <c r="H3850" t="s">
        <v>561</v>
      </c>
      <c r="I3850" s="151" t="s">
        <v>562</v>
      </c>
    </row>
    <row r="3851" spans="1:9" x14ac:dyDescent="0.25">
      <c r="A3851">
        <v>1811</v>
      </c>
      <c r="B3851">
        <f>A3851+1</f>
        <v>1812</v>
      </c>
      <c r="C3851" t="s">
        <v>517</v>
      </c>
      <c r="D3851" t="s">
        <v>27</v>
      </c>
      <c r="E3851" s="208" t="s">
        <v>132</v>
      </c>
      <c r="F3851" t="s">
        <v>15</v>
      </c>
      <c r="G3851" s="18">
        <v>804</v>
      </c>
      <c r="H3851" t="s">
        <v>561</v>
      </c>
      <c r="I3851" s="151" t="s">
        <v>562</v>
      </c>
    </row>
    <row r="3852" spans="1:9" x14ac:dyDescent="0.25">
      <c r="A3852">
        <v>1811</v>
      </c>
      <c r="B3852">
        <f>A3852+1</f>
        <v>1812</v>
      </c>
      <c r="C3852" t="s">
        <v>517</v>
      </c>
      <c r="D3852" t="s">
        <v>27</v>
      </c>
      <c r="E3852" s="208" t="s">
        <v>142</v>
      </c>
      <c r="F3852" t="s">
        <v>15</v>
      </c>
      <c r="G3852" s="18">
        <v>7778</v>
      </c>
      <c r="H3852" t="s">
        <v>561</v>
      </c>
      <c r="I3852" s="151" t="s">
        <v>562</v>
      </c>
    </row>
    <row r="3853" spans="1:9" x14ac:dyDescent="0.25">
      <c r="A3853">
        <v>1811</v>
      </c>
      <c r="B3853">
        <f>A3853+1</f>
        <v>1812</v>
      </c>
      <c r="C3853" t="s">
        <v>517</v>
      </c>
      <c r="D3853" t="s">
        <v>27</v>
      </c>
      <c r="E3853" s="208" t="s">
        <v>144</v>
      </c>
      <c r="F3853" t="s">
        <v>15</v>
      </c>
      <c r="G3853" s="18">
        <v>598</v>
      </c>
      <c r="H3853" t="s">
        <v>561</v>
      </c>
      <c r="I3853" s="151" t="s">
        <v>562</v>
      </c>
    </row>
    <row r="3854" spans="1:9" x14ac:dyDescent="0.25">
      <c r="A3854">
        <v>1811</v>
      </c>
      <c r="B3854">
        <f>A3854+1</f>
        <v>1812</v>
      </c>
      <c r="C3854" t="s">
        <v>517</v>
      </c>
      <c r="D3854" t="s">
        <v>27</v>
      </c>
      <c r="E3854" s="208" t="s">
        <v>124</v>
      </c>
      <c r="F3854" t="s">
        <v>15</v>
      </c>
      <c r="G3854" s="18">
        <v>18481986</v>
      </c>
      <c r="H3854" t="s">
        <v>561</v>
      </c>
      <c r="I3854" s="151" t="s">
        <v>562</v>
      </c>
    </row>
    <row r="3855" spans="1:9" x14ac:dyDescent="0.25">
      <c r="A3855">
        <v>1811</v>
      </c>
      <c r="B3855">
        <f>A3855+1</f>
        <v>1812</v>
      </c>
      <c r="C3855" t="s">
        <v>517</v>
      </c>
      <c r="D3855" t="s">
        <v>26</v>
      </c>
      <c r="E3855" s="208" t="s">
        <v>62</v>
      </c>
      <c r="F3855" t="s">
        <v>15</v>
      </c>
      <c r="G3855" s="18">
        <v>37386</v>
      </c>
      <c r="H3855" s="151" t="s">
        <v>563</v>
      </c>
      <c r="I3855" t="s">
        <v>561</v>
      </c>
    </row>
    <row r="3856" spans="1:9" x14ac:dyDescent="0.25">
      <c r="A3856">
        <v>1811</v>
      </c>
      <c r="B3856">
        <f>A3856+1</f>
        <v>1812</v>
      </c>
      <c r="C3856" t="s">
        <v>517</v>
      </c>
      <c r="D3856" t="s">
        <v>26</v>
      </c>
      <c r="E3856" s="208" t="s">
        <v>55</v>
      </c>
      <c r="F3856" t="s">
        <v>15</v>
      </c>
      <c r="G3856" s="18">
        <v>9255</v>
      </c>
      <c r="H3856" s="151" t="s">
        <v>563</v>
      </c>
      <c r="I3856" t="s">
        <v>561</v>
      </c>
    </row>
    <row r="3857" spans="1:9" x14ac:dyDescent="0.25">
      <c r="A3857">
        <v>1811</v>
      </c>
      <c r="B3857">
        <f>A3857+1</f>
        <v>1812</v>
      </c>
      <c r="C3857" t="s">
        <v>517</v>
      </c>
      <c r="D3857" t="s">
        <v>26</v>
      </c>
      <c r="E3857" s="208" t="s">
        <v>35</v>
      </c>
      <c r="F3857" t="s">
        <v>15</v>
      </c>
      <c r="G3857" s="18">
        <v>553</v>
      </c>
      <c r="H3857" s="151" t="s">
        <v>563</v>
      </c>
      <c r="I3857" t="s">
        <v>561</v>
      </c>
    </row>
    <row r="3858" spans="1:9" x14ac:dyDescent="0.25">
      <c r="A3858">
        <v>1811</v>
      </c>
      <c r="B3858">
        <f>A3858+1</f>
        <v>1812</v>
      </c>
      <c r="C3858" t="s">
        <v>517</v>
      </c>
      <c r="D3858" t="s">
        <v>26</v>
      </c>
      <c r="E3858" s="208" t="s">
        <v>36</v>
      </c>
      <c r="F3858" t="s">
        <v>15</v>
      </c>
      <c r="G3858" s="18">
        <v>4481</v>
      </c>
      <c r="H3858" s="151" t="s">
        <v>563</v>
      </c>
      <c r="I3858" t="s">
        <v>561</v>
      </c>
    </row>
    <row r="3859" spans="1:9" x14ac:dyDescent="0.25">
      <c r="A3859">
        <v>1811</v>
      </c>
      <c r="B3859">
        <f>A3859+1</f>
        <v>1812</v>
      </c>
      <c r="C3859" t="s">
        <v>517</v>
      </c>
      <c r="D3859" t="s">
        <v>26</v>
      </c>
      <c r="E3859" s="208" t="s">
        <v>39</v>
      </c>
      <c r="F3859" t="s">
        <v>15</v>
      </c>
      <c r="G3859" s="18">
        <v>1780</v>
      </c>
      <c r="H3859" s="151" t="s">
        <v>563</v>
      </c>
      <c r="I3859" t="s">
        <v>561</v>
      </c>
    </row>
    <row r="3860" spans="1:9" x14ac:dyDescent="0.25">
      <c r="A3860">
        <v>1811</v>
      </c>
      <c r="B3860">
        <f>A3860+1</f>
        <v>1812</v>
      </c>
      <c r="C3860" t="s">
        <v>517</v>
      </c>
      <c r="D3860" t="s">
        <v>26</v>
      </c>
      <c r="E3860" s="208" t="s">
        <v>99</v>
      </c>
      <c r="F3860" t="s">
        <v>15</v>
      </c>
      <c r="G3860" s="18">
        <v>1687</v>
      </c>
      <c r="H3860" s="151" t="s">
        <v>563</v>
      </c>
      <c r="I3860" t="s">
        <v>561</v>
      </c>
    </row>
    <row r="3861" spans="1:9" x14ac:dyDescent="0.25">
      <c r="A3861">
        <v>1811</v>
      </c>
      <c r="B3861">
        <f>A3861+1</f>
        <v>1812</v>
      </c>
      <c r="C3861" t="s">
        <v>517</v>
      </c>
      <c r="D3861" t="s">
        <v>26</v>
      </c>
      <c r="E3861" s="208" t="s">
        <v>28</v>
      </c>
      <c r="F3861" t="s">
        <v>15</v>
      </c>
      <c r="G3861" s="18">
        <v>982</v>
      </c>
      <c r="H3861" s="151" t="s">
        <v>563</v>
      </c>
      <c r="I3861" t="s">
        <v>561</v>
      </c>
    </row>
    <row r="3862" spans="1:9" x14ac:dyDescent="0.25">
      <c r="A3862">
        <v>1811</v>
      </c>
      <c r="B3862">
        <f>A3862+1</f>
        <v>1812</v>
      </c>
      <c r="C3862" t="s">
        <v>517</v>
      </c>
      <c r="D3862" t="s">
        <v>26</v>
      </c>
      <c r="E3862" s="208" t="s">
        <v>89</v>
      </c>
      <c r="F3862" t="s">
        <v>15</v>
      </c>
      <c r="G3862" s="18">
        <v>106</v>
      </c>
      <c r="H3862" s="151" t="s">
        <v>563</v>
      </c>
      <c r="I3862" t="s">
        <v>561</v>
      </c>
    </row>
    <row r="3863" spans="1:9" x14ac:dyDescent="0.25">
      <c r="A3863">
        <v>1811</v>
      </c>
      <c r="B3863">
        <f>A3863+1</f>
        <v>1812</v>
      </c>
      <c r="C3863" t="s">
        <v>517</v>
      </c>
      <c r="D3863" t="s">
        <v>26</v>
      </c>
      <c r="E3863" s="208" t="s">
        <v>45</v>
      </c>
      <c r="F3863" t="s">
        <v>15</v>
      </c>
      <c r="G3863" s="18">
        <v>80</v>
      </c>
      <c r="H3863" s="151" t="s">
        <v>563</v>
      </c>
      <c r="I3863" t="s">
        <v>561</v>
      </c>
    </row>
    <row r="3864" spans="1:9" x14ac:dyDescent="0.25">
      <c r="A3864">
        <v>1811</v>
      </c>
      <c r="B3864">
        <f>A3864+1</f>
        <v>1812</v>
      </c>
      <c r="C3864" t="s">
        <v>517</v>
      </c>
      <c r="D3864" t="s">
        <v>26</v>
      </c>
      <c r="E3864" s="208" t="s">
        <v>351</v>
      </c>
      <c r="F3864" t="s">
        <v>15</v>
      </c>
      <c r="G3864" s="18">
        <v>473</v>
      </c>
      <c r="H3864" s="151" t="s">
        <v>563</v>
      </c>
      <c r="I3864" t="s">
        <v>561</v>
      </c>
    </row>
    <row r="3865" spans="1:9" x14ac:dyDescent="0.25">
      <c r="A3865">
        <v>1811</v>
      </c>
      <c r="B3865">
        <f>A3865+1</f>
        <v>1812</v>
      </c>
      <c r="C3865" t="s">
        <v>517</v>
      </c>
      <c r="D3865" t="s">
        <v>26</v>
      </c>
      <c r="E3865" s="208" t="s">
        <v>367</v>
      </c>
      <c r="F3865" t="s">
        <v>15</v>
      </c>
      <c r="G3865" s="18">
        <v>557</v>
      </c>
      <c r="H3865" s="151" t="s">
        <v>563</v>
      </c>
      <c r="I3865" t="s">
        <v>561</v>
      </c>
    </row>
    <row r="3866" spans="1:9" x14ac:dyDescent="0.25">
      <c r="A3866">
        <v>1811</v>
      </c>
      <c r="B3866">
        <f>A3866+1</f>
        <v>1812</v>
      </c>
      <c r="C3866" t="s">
        <v>517</v>
      </c>
      <c r="D3866" t="s">
        <v>26</v>
      </c>
      <c r="E3866" s="208" t="s">
        <v>352</v>
      </c>
      <c r="F3866" t="s">
        <v>15</v>
      </c>
      <c r="G3866" s="18">
        <v>11847</v>
      </c>
      <c r="H3866" s="151" t="s">
        <v>563</v>
      </c>
      <c r="I3866" t="s">
        <v>561</v>
      </c>
    </row>
    <row r="3867" spans="1:9" x14ac:dyDescent="0.25">
      <c r="A3867">
        <v>1811</v>
      </c>
      <c r="B3867">
        <f>A3867+1</f>
        <v>1812</v>
      </c>
      <c r="C3867" t="s">
        <v>517</v>
      </c>
      <c r="D3867" t="s">
        <v>26</v>
      </c>
      <c r="E3867" s="208" t="s">
        <v>75</v>
      </c>
      <c r="F3867" t="s">
        <v>15</v>
      </c>
      <c r="G3867" s="18">
        <v>8411967</v>
      </c>
      <c r="H3867" s="151" t="s">
        <v>563</v>
      </c>
      <c r="I3867" t="s">
        <v>561</v>
      </c>
    </row>
    <row r="3868" spans="1:9" x14ac:dyDescent="0.25">
      <c r="A3868">
        <v>1811</v>
      </c>
      <c r="B3868">
        <f>A3868+1</f>
        <v>1812</v>
      </c>
      <c r="C3868" t="s">
        <v>517</v>
      </c>
      <c r="D3868" t="s">
        <v>26</v>
      </c>
      <c r="E3868" s="208" t="s">
        <v>107</v>
      </c>
      <c r="F3868" t="s">
        <v>15</v>
      </c>
      <c r="G3868" s="18">
        <v>6865415</v>
      </c>
      <c r="H3868" s="151" t="s">
        <v>563</v>
      </c>
      <c r="I3868" t="s">
        <v>561</v>
      </c>
    </row>
    <row r="3869" spans="1:9" x14ac:dyDescent="0.25">
      <c r="A3869">
        <v>1811</v>
      </c>
      <c r="B3869">
        <f>A3869+1</f>
        <v>1812</v>
      </c>
      <c r="C3869" t="s">
        <v>517</v>
      </c>
      <c r="D3869" t="s">
        <v>26</v>
      </c>
      <c r="E3869" s="208" t="s">
        <v>101</v>
      </c>
      <c r="F3869" t="s">
        <v>15</v>
      </c>
      <c r="G3869" s="18">
        <v>10575720</v>
      </c>
      <c r="H3869" s="151" t="s">
        <v>563</v>
      </c>
      <c r="I3869" t="s">
        <v>561</v>
      </c>
    </row>
    <row r="3870" spans="1:9" x14ac:dyDescent="0.25">
      <c r="A3870">
        <v>1811</v>
      </c>
      <c r="B3870">
        <f>A3870+1</f>
        <v>1812</v>
      </c>
      <c r="C3870" t="s">
        <v>517</v>
      </c>
      <c r="D3870" t="s">
        <v>26</v>
      </c>
      <c r="E3870" s="208" t="s">
        <v>65</v>
      </c>
      <c r="F3870" t="s">
        <v>15</v>
      </c>
      <c r="G3870" s="18">
        <v>24582</v>
      </c>
      <c r="H3870" s="151" t="s">
        <v>563</v>
      </c>
      <c r="I3870" t="s">
        <v>561</v>
      </c>
    </row>
    <row r="3871" spans="1:9" x14ac:dyDescent="0.25">
      <c r="A3871">
        <v>1811</v>
      </c>
      <c r="B3871">
        <f>A3871+1</f>
        <v>1812</v>
      </c>
      <c r="C3871" t="s">
        <v>517</v>
      </c>
      <c r="D3871" t="s">
        <v>26</v>
      </c>
      <c r="E3871" s="208" t="s">
        <v>88</v>
      </c>
      <c r="F3871" t="s">
        <v>15</v>
      </c>
      <c r="G3871" s="18">
        <v>20756</v>
      </c>
      <c r="H3871" s="151" t="s">
        <v>563</v>
      </c>
      <c r="I3871" t="s">
        <v>561</v>
      </c>
    </row>
    <row r="3872" spans="1:9" x14ac:dyDescent="0.25">
      <c r="A3872">
        <v>1811</v>
      </c>
      <c r="B3872">
        <f>A3872+1</f>
        <v>1812</v>
      </c>
      <c r="C3872" t="s">
        <v>517</v>
      </c>
      <c r="D3872" t="s">
        <v>26</v>
      </c>
      <c r="E3872" s="208" t="s">
        <v>330</v>
      </c>
      <c r="F3872" t="s">
        <v>15</v>
      </c>
      <c r="G3872" s="18">
        <v>1765</v>
      </c>
      <c r="H3872" s="151" t="s">
        <v>563</v>
      </c>
      <c r="I3872" t="s">
        <v>561</v>
      </c>
    </row>
    <row r="3873" spans="1:9" x14ac:dyDescent="0.25">
      <c r="A3873">
        <v>1811</v>
      </c>
      <c r="B3873">
        <f>A3873+1</f>
        <v>1812</v>
      </c>
      <c r="C3873" t="s">
        <v>517</v>
      </c>
      <c r="D3873" t="s">
        <v>26</v>
      </c>
      <c r="E3873" s="208" t="s">
        <v>331</v>
      </c>
      <c r="F3873" t="s">
        <v>15</v>
      </c>
      <c r="G3873" s="18">
        <v>3283</v>
      </c>
      <c r="H3873" s="151" t="s">
        <v>563</v>
      </c>
      <c r="I3873" t="s">
        <v>561</v>
      </c>
    </row>
    <row r="3874" spans="1:9" x14ac:dyDescent="0.25">
      <c r="A3874">
        <v>1811</v>
      </c>
      <c r="B3874">
        <f>A3874+1</f>
        <v>1812</v>
      </c>
      <c r="C3874" t="s">
        <v>517</v>
      </c>
      <c r="D3874" t="s">
        <v>26</v>
      </c>
      <c r="E3874" s="208" t="s">
        <v>332</v>
      </c>
      <c r="F3874" t="s">
        <v>15</v>
      </c>
      <c r="G3874" s="18">
        <v>469</v>
      </c>
      <c r="H3874" s="151" t="s">
        <v>563</v>
      </c>
      <c r="I3874" t="s">
        <v>561</v>
      </c>
    </row>
    <row r="3875" spans="1:9" x14ac:dyDescent="0.25">
      <c r="A3875">
        <v>1811</v>
      </c>
      <c r="B3875">
        <f>A3875+1</f>
        <v>1812</v>
      </c>
      <c r="C3875" t="s">
        <v>517</v>
      </c>
      <c r="D3875" t="s">
        <v>26</v>
      </c>
      <c r="E3875" s="208" t="s">
        <v>333</v>
      </c>
      <c r="F3875" t="s">
        <v>15</v>
      </c>
      <c r="G3875" s="18">
        <v>2359</v>
      </c>
      <c r="H3875" s="151" t="s">
        <v>563</v>
      </c>
      <c r="I3875" t="s">
        <v>561</v>
      </c>
    </row>
    <row r="3876" spans="1:9" x14ac:dyDescent="0.25">
      <c r="A3876">
        <v>1811</v>
      </c>
      <c r="B3876">
        <f>A3876+1</f>
        <v>1812</v>
      </c>
      <c r="C3876" t="s">
        <v>517</v>
      </c>
      <c r="D3876" t="s">
        <v>26</v>
      </c>
      <c r="E3876" s="208" t="s">
        <v>567</v>
      </c>
      <c r="F3876" t="s">
        <v>3</v>
      </c>
      <c r="G3876" s="18">
        <v>15866</v>
      </c>
      <c r="H3876" t="s">
        <v>24</v>
      </c>
      <c r="I3876" t="s">
        <v>16</v>
      </c>
    </row>
    <row r="3877" spans="1:9" x14ac:dyDescent="0.25">
      <c r="A3877">
        <v>1811</v>
      </c>
      <c r="B3877">
        <f>A3877+1</f>
        <v>1812</v>
      </c>
      <c r="C3877" t="s">
        <v>517</v>
      </c>
      <c r="D3877" t="s">
        <v>26</v>
      </c>
      <c r="E3877" s="208" t="s">
        <v>567</v>
      </c>
      <c r="F3877" t="s">
        <v>4</v>
      </c>
      <c r="G3877" s="18">
        <v>600</v>
      </c>
      <c r="H3877" t="s">
        <v>23</v>
      </c>
      <c r="I3877" t="s">
        <v>16</v>
      </c>
    </row>
    <row r="3878" spans="1:9" x14ac:dyDescent="0.25">
      <c r="A3878">
        <v>1811</v>
      </c>
      <c r="B3878">
        <f>A3878+1</f>
        <v>1812</v>
      </c>
      <c r="C3878" t="s">
        <v>517</v>
      </c>
      <c r="D3878" t="s">
        <v>26</v>
      </c>
      <c r="E3878" s="208" t="s">
        <v>567</v>
      </c>
      <c r="F3878" t="s">
        <v>7</v>
      </c>
      <c r="G3878" s="18">
        <v>16466</v>
      </c>
      <c r="H3878" s="151" t="s">
        <v>563</v>
      </c>
      <c r="I3878" t="s">
        <v>16</v>
      </c>
    </row>
    <row r="3879" spans="1:9" x14ac:dyDescent="0.25">
      <c r="A3879">
        <v>1811</v>
      </c>
      <c r="B3879">
        <f>A3879+1</f>
        <v>1812</v>
      </c>
      <c r="C3879" t="s">
        <v>517</v>
      </c>
      <c r="D3879" t="s">
        <v>26</v>
      </c>
      <c r="E3879" s="208" t="s">
        <v>567</v>
      </c>
      <c r="F3879" t="s">
        <v>10</v>
      </c>
      <c r="G3879" s="18">
        <v>6427</v>
      </c>
      <c r="H3879" t="s">
        <v>24</v>
      </c>
      <c r="I3879" t="s">
        <v>17</v>
      </c>
    </row>
    <row r="3880" spans="1:9" x14ac:dyDescent="0.25">
      <c r="A3880">
        <v>1811</v>
      </c>
      <c r="B3880">
        <f>A3880+1</f>
        <v>1812</v>
      </c>
      <c r="C3880" t="s">
        <v>517</v>
      </c>
      <c r="D3880" t="s">
        <v>26</v>
      </c>
      <c r="E3880" s="208" t="s">
        <v>567</v>
      </c>
      <c r="F3880" t="s">
        <v>11</v>
      </c>
      <c r="G3880" s="18">
        <v>662</v>
      </c>
      <c r="H3880" t="s">
        <v>23</v>
      </c>
      <c r="I3880" t="s">
        <v>17</v>
      </c>
    </row>
    <row r="3881" spans="1:9" x14ac:dyDescent="0.25">
      <c r="A3881">
        <v>1811</v>
      </c>
      <c r="B3881">
        <f>A3881+1</f>
        <v>1812</v>
      </c>
      <c r="C3881" t="s">
        <v>517</v>
      </c>
      <c r="D3881" t="s">
        <v>26</v>
      </c>
      <c r="E3881" s="208" t="s">
        <v>567</v>
      </c>
      <c r="F3881" t="s">
        <v>14</v>
      </c>
      <c r="G3881" s="18">
        <v>7089</v>
      </c>
      <c r="H3881" s="151" t="s">
        <v>563</v>
      </c>
      <c r="I3881" t="s">
        <v>17</v>
      </c>
    </row>
    <row r="3882" spans="1:9" x14ac:dyDescent="0.25">
      <c r="A3882">
        <v>1811</v>
      </c>
      <c r="B3882">
        <f>A3882+1</f>
        <v>1812</v>
      </c>
      <c r="C3882" t="s">
        <v>517</v>
      </c>
      <c r="D3882" t="s">
        <v>26</v>
      </c>
      <c r="E3882" s="208" t="s">
        <v>567</v>
      </c>
      <c r="F3882" t="s">
        <v>15</v>
      </c>
      <c r="G3882" s="18">
        <v>23555</v>
      </c>
      <c r="H3882" s="151" t="s">
        <v>563</v>
      </c>
      <c r="I3882" t="s">
        <v>561</v>
      </c>
    </row>
    <row r="3883" spans="1:9" x14ac:dyDescent="0.25">
      <c r="A3883">
        <v>1811</v>
      </c>
      <c r="B3883">
        <f>A3883+1</f>
        <v>1812</v>
      </c>
      <c r="C3883" t="s">
        <v>517</v>
      </c>
      <c r="D3883" t="s">
        <v>26</v>
      </c>
      <c r="E3883" s="208" t="s">
        <v>572</v>
      </c>
      <c r="F3883" t="s">
        <v>3</v>
      </c>
      <c r="G3883" s="18">
        <v>3166</v>
      </c>
      <c r="H3883" t="s">
        <v>24</v>
      </c>
      <c r="I3883" t="s">
        <v>16</v>
      </c>
    </row>
    <row r="3884" spans="1:9" x14ac:dyDescent="0.25">
      <c r="A3884">
        <v>1811</v>
      </c>
      <c r="B3884">
        <f>A3884+1</f>
        <v>1812</v>
      </c>
      <c r="C3884" t="s">
        <v>517</v>
      </c>
      <c r="D3884" t="s">
        <v>26</v>
      </c>
      <c r="E3884" s="208" t="s">
        <v>572</v>
      </c>
      <c r="F3884" t="s">
        <v>4</v>
      </c>
      <c r="G3884" s="18">
        <v>430</v>
      </c>
      <c r="H3884" t="s">
        <v>23</v>
      </c>
      <c r="I3884" t="s">
        <v>16</v>
      </c>
    </row>
    <row r="3885" spans="1:9" x14ac:dyDescent="0.25">
      <c r="A3885">
        <v>1811</v>
      </c>
      <c r="B3885">
        <f>A3885+1</f>
        <v>1812</v>
      </c>
      <c r="C3885" t="s">
        <v>517</v>
      </c>
      <c r="D3885" t="s">
        <v>26</v>
      </c>
      <c r="E3885" s="208" t="s">
        <v>572</v>
      </c>
      <c r="F3885" t="s">
        <v>7</v>
      </c>
      <c r="G3885" s="18">
        <v>3596</v>
      </c>
      <c r="H3885" s="151" t="s">
        <v>563</v>
      </c>
      <c r="I3885" t="s">
        <v>16</v>
      </c>
    </row>
    <row r="3886" spans="1:9" x14ac:dyDescent="0.25">
      <c r="A3886">
        <v>1811</v>
      </c>
      <c r="B3886">
        <f>A3886+1</f>
        <v>1812</v>
      </c>
      <c r="C3886" t="s">
        <v>517</v>
      </c>
      <c r="D3886" t="s">
        <v>26</v>
      </c>
      <c r="E3886" s="208" t="s">
        <v>572</v>
      </c>
      <c r="F3886" t="s">
        <v>10</v>
      </c>
      <c r="G3886" s="18">
        <v>952</v>
      </c>
      <c r="H3886" t="s">
        <v>24</v>
      </c>
      <c r="I3886" t="s">
        <v>17</v>
      </c>
    </row>
    <row r="3887" spans="1:9" x14ac:dyDescent="0.25">
      <c r="A3887">
        <v>1811</v>
      </c>
      <c r="B3887">
        <f>A3887+1</f>
        <v>1812</v>
      </c>
      <c r="C3887" t="s">
        <v>517</v>
      </c>
      <c r="D3887" t="s">
        <v>26</v>
      </c>
      <c r="E3887" s="208" t="s">
        <v>572</v>
      </c>
      <c r="F3887" t="s">
        <v>11</v>
      </c>
      <c r="G3887" s="18">
        <v>721</v>
      </c>
      <c r="H3887" t="s">
        <v>23</v>
      </c>
      <c r="I3887" t="s">
        <v>17</v>
      </c>
    </row>
    <row r="3888" spans="1:9" x14ac:dyDescent="0.25">
      <c r="A3888">
        <v>1811</v>
      </c>
      <c r="B3888">
        <f>A3888+1</f>
        <v>1812</v>
      </c>
      <c r="C3888" t="s">
        <v>517</v>
      </c>
      <c r="D3888" t="s">
        <v>26</v>
      </c>
      <c r="E3888" s="208" t="s">
        <v>572</v>
      </c>
      <c r="F3888" t="s">
        <v>14</v>
      </c>
      <c r="G3888" s="18">
        <v>1673</v>
      </c>
      <c r="H3888" s="151" t="s">
        <v>563</v>
      </c>
      <c r="I3888" t="s">
        <v>17</v>
      </c>
    </row>
    <row r="3889" spans="1:9" x14ac:dyDescent="0.25">
      <c r="A3889">
        <v>1811</v>
      </c>
      <c r="B3889">
        <f>A3889+1</f>
        <v>1812</v>
      </c>
      <c r="C3889" t="s">
        <v>517</v>
      </c>
      <c r="D3889" t="s">
        <v>26</v>
      </c>
      <c r="E3889" s="208" t="s">
        <v>572</v>
      </c>
      <c r="F3889" t="s">
        <v>15</v>
      </c>
      <c r="G3889" s="18">
        <v>5269</v>
      </c>
      <c r="H3889" s="151" t="s">
        <v>563</v>
      </c>
      <c r="I3889" t="s">
        <v>561</v>
      </c>
    </row>
    <row r="3890" spans="1:9" x14ac:dyDescent="0.25">
      <c r="A3890">
        <v>1811</v>
      </c>
      <c r="B3890">
        <f>A3890+1</f>
        <v>1812</v>
      </c>
      <c r="C3890" t="s">
        <v>517</v>
      </c>
      <c r="D3890" t="s">
        <v>26</v>
      </c>
      <c r="E3890" s="208" t="s">
        <v>570</v>
      </c>
      <c r="F3890" t="s">
        <v>3</v>
      </c>
      <c r="G3890" s="18">
        <v>4365</v>
      </c>
      <c r="H3890" t="s">
        <v>24</v>
      </c>
      <c r="I3890" t="s">
        <v>16</v>
      </c>
    </row>
    <row r="3891" spans="1:9" x14ac:dyDescent="0.25">
      <c r="A3891">
        <v>1811</v>
      </c>
      <c r="B3891">
        <f>A3891+1</f>
        <v>1812</v>
      </c>
      <c r="C3891" t="s">
        <v>517</v>
      </c>
      <c r="D3891" t="s">
        <v>26</v>
      </c>
      <c r="E3891" s="208" t="s">
        <v>570</v>
      </c>
      <c r="F3891" t="s">
        <v>4</v>
      </c>
      <c r="G3891" s="18">
        <v>327</v>
      </c>
      <c r="H3891" t="s">
        <v>23</v>
      </c>
      <c r="I3891" t="s">
        <v>16</v>
      </c>
    </row>
    <row r="3892" spans="1:9" x14ac:dyDescent="0.25">
      <c r="A3892">
        <v>1811</v>
      </c>
      <c r="B3892">
        <f>A3892+1</f>
        <v>1812</v>
      </c>
      <c r="C3892" t="s">
        <v>517</v>
      </c>
      <c r="D3892" t="s">
        <v>26</v>
      </c>
      <c r="E3892" s="208" t="s">
        <v>570</v>
      </c>
      <c r="F3892" t="s">
        <v>7</v>
      </c>
      <c r="G3892" s="18">
        <v>4692</v>
      </c>
      <c r="H3892" s="151" t="s">
        <v>563</v>
      </c>
      <c r="I3892" t="s">
        <v>16</v>
      </c>
    </row>
    <row r="3893" spans="1:9" x14ac:dyDescent="0.25">
      <c r="A3893">
        <v>1811</v>
      </c>
      <c r="B3893">
        <f>A3893+1</f>
        <v>1812</v>
      </c>
      <c r="C3893" t="s">
        <v>517</v>
      </c>
      <c r="D3893" t="s">
        <v>26</v>
      </c>
      <c r="E3893" s="208" t="s">
        <v>570</v>
      </c>
      <c r="F3893" t="s">
        <v>10</v>
      </c>
      <c r="G3893" s="18">
        <v>1902</v>
      </c>
      <c r="H3893" t="s">
        <v>24</v>
      </c>
      <c r="I3893" t="s">
        <v>17</v>
      </c>
    </row>
    <row r="3894" spans="1:9" x14ac:dyDescent="0.25">
      <c r="A3894">
        <v>1811</v>
      </c>
      <c r="B3894">
        <f>A3894+1</f>
        <v>1812</v>
      </c>
      <c r="C3894" t="s">
        <v>517</v>
      </c>
      <c r="D3894" t="s">
        <v>26</v>
      </c>
      <c r="E3894" s="208" t="s">
        <v>570</v>
      </c>
      <c r="F3894" t="s">
        <v>11</v>
      </c>
      <c r="G3894" s="18">
        <v>167</v>
      </c>
      <c r="H3894" t="s">
        <v>23</v>
      </c>
      <c r="I3894" t="s">
        <v>17</v>
      </c>
    </row>
    <row r="3895" spans="1:9" x14ac:dyDescent="0.25">
      <c r="A3895">
        <v>1811</v>
      </c>
      <c r="B3895">
        <f>A3895+1</f>
        <v>1812</v>
      </c>
      <c r="C3895" t="s">
        <v>517</v>
      </c>
      <c r="D3895" t="s">
        <v>26</v>
      </c>
      <c r="E3895" s="208" t="s">
        <v>570</v>
      </c>
      <c r="F3895" t="s">
        <v>14</v>
      </c>
      <c r="G3895" s="18">
        <v>2069</v>
      </c>
      <c r="H3895" s="151" t="s">
        <v>563</v>
      </c>
      <c r="I3895" t="s">
        <v>17</v>
      </c>
    </row>
    <row r="3896" spans="1:9" x14ac:dyDescent="0.25">
      <c r="A3896">
        <v>1811</v>
      </c>
      <c r="B3896">
        <f>A3896+1</f>
        <v>1812</v>
      </c>
      <c r="C3896" t="s">
        <v>517</v>
      </c>
      <c r="D3896" t="s">
        <v>26</v>
      </c>
      <c r="E3896" s="208" t="s">
        <v>570</v>
      </c>
      <c r="F3896" t="s">
        <v>15</v>
      </c>
      <c r="G3896" s="18">
        <v>6761</v>
      </c>
      <c r="H3896" s="151" t="s">
        <v>563</v>
      </c>
      <c r="I3896" t="s">
        <v>561</v>
      </c>
    </row>
    <row r="3897" spans="1:9" x14ac:dyDescent="0.25">
      <c r="A3897">
        <v>1811</v>
      </c>
      <c r="B3897">
        <f>A3897+1</f>
        <v>1812</v>
      </c>
      <c r="C3897" t="s">
        <v>517</v>
      </c>
      <c r="D3897" t="s">
        <v>26</v>
      </c>
      <c r="E3897" s="208" t="s">
        <v>569</v>
      </c>
      <c r="F3897" t="s">
        <v>3</v>
      </c>
      <c r="G3897" s="18">
        <v>159</v>
      </c>
      <c r="H3897" t="s">
        <v>24</v>
      </c>
      <c r="I3897" t="s">
        <v>16</v>
      </c>
    </row>
    <row r="3898" spans="1:9" x14ac:dyDescent="0.25">
      <c r="A3898">
        <v>1811</v>
      </c>
      <c r="B3898">
        <f>A3898+1</f>
        <v>1812</v>
      </c>
      <c r="C3898" t="s">
        <v>517</v>
      </c>
      <c r="D3898" t="s">
        <v>26</v>
      </c>
      <c r="E3898" s="208" t="s">
        <v>569</v>
      </c>
      <c r="F3898" t="s">
        <v>4</v>
      </c>
      <c r="G3898" s="18">
        <v>0</v>
      </c>
      <c r="H3898" t="s">
        <v>23</v>
      </c>
      <c r="I3898" t="s">
        <v>16</v>
      </c>
    </row>
    <row r="3899" spans="1:9" x14ac:dyDescent="0.25">
      <c r="A3899">
        <v>1811</v>
      </c>
      <c r="B3899">
        <f>A3899+1</f>
        <v>1812</v>
      </c>
      <c r="C3899" t="s">
        <v>517</v>
      </c>
      <c r="D3899" t="s">
        <v>26</v>
      </c>
      <c r="E3899" s="208" t="s">
        <v>569</v>
      </c>
      <c r="F3899" t="s">
        <v>7</v>
      </c>
      <c r="G3899" s="18">
        <v>159</v>
      </c>
      <c r="H3899" s="151" t="s">
        <v>563</v>
      </c>
      <c r="I3899" t="s">
        <v>16</v>
      </c>
    </row>
    <row r="3900" spans="1:9" x14ac:dyDescent="0.25">
      <c r="A3900">
        <v>1811</v>
      </c>
      <c r="B3900">
        <f>A3900+1</f>
        <v>1812</v>
      </c>
      <c r="C3900" t="s">
        <v>517</v>
      </c>
      <c r="D3900" t="s">
        <v>26</v>
      </c>
      <c r="E3900" s="208" t="s">
        <v>569</v>
      </c>
      <c r="F3900" t="s">
        <v>10</v>
      </c>
      <c r="G3900" s="18">
        <v>77</v>
      </c>
      <c r="H3900" t="s">
        <v>24</v>
      </c>
      <c r="I3900" t="s">
        <v>17</v>
      </c>
    </row>
    <row r="3901" spans="1:9" x14ac:dyDescent="0.25">
      <c r="A3901">
        <v>1811</v>
      </c>
      <c r="B3901">
        <f>A3901+1</f>
        <v>1812</v>
      </c>
      <c r="C3901" t="s">
        <v>517</v>
      </c>
      <c r="D3901" t="s">
        <v>26</v>
      </c>
      <c r="E3901" s="208" t="s">
        <v>569</v>
      </c>
      <c r="F3901" t="s">
        <v>11</v>
      </c>
      <c r="G3901" s="18">
        <v>150</v>
      </c>
      <c r="H3901" t="s">
        <v>23</v>
      </c>
      <c r="I3901" t="s">
        <v>17</v>
      </c>
    </row>
    <row r="3902" spans="1:9" x14ac:dyDescent="0.25">
      <c r="A3902">
        <v>1811</v>
      </c>
      <c r="B3902">
        <f>A3902+1</f>
        <v>1812</v>
      </c>
      <c r="C3902" t="s">
        <v>517</v>
      </c>
      <c r="D3902" t="s">
        <v>26</v>
      </c>
      <c r="E3902" s="208" t="s">
        <v>569</v>
      </c>
      <c r="F3902" t="s">
        <v>14</v>
      </c>
      <c r="G3902" s="18">
        <v>227</v>
      </c>
      <c r="H3902" s="151" t="s">
        <v>563</v>
      </c>
      <c r="I3902" t="s">
        <v>17</v>
      </c>
    </row>
    <row r="3903" spans="1:9" x14ac:dyDescent="0.25">
      <c r="A3903">
        <v>1811</v>
      </c>
      <c r="B3903">
        <f>A3903+1</f>
        <v>1812</v>
      </c>
      <c r="C3903" t="s">
        <v>517</v>
      </c>
      <c r="D3903" t="s">
        <v>26</v>
      </c>
      <c r="E3903" s="208" t="s">
        <v>569</v>
      </c>
      <c r="F3903" t="s">
        <v>15</v>
      </c>
      <c r="G3903" s="18">
        <v>386</v>
      </c>
      <c r="H3903" s="151" t="s">
        <v>563</v>
      </c>
      <c r="I3903" t="s">
        <v>561</v>
      </c>
    </row>
    <row r="3904" spans="1:9" x14ac:dyDescent="0.25">
      <c r="A3904">
        <v>1811</v>
      </c>
      <c r="B3904">
        <f>A3904+1</f>
        <v>1812</v>
      </c>
      <c r="C3904" t="s">
        <v>517</v>
      </c>
      <c r="D3904" t="s">
        <v>26</v>
      </c>
      <c r="E3904" s="208" t="s">
        <v>573</v>
      </c>
      <c r="F3904" t="s">
        <v>3</v>
      </c>
      <c r="G3904" s="18">
        <v>230</v>
      </c>
      <c r="H3904" t="s">
        <v>24</v>
      </c>
      <c r="I3904" t="s">
        <v>16</v>
      </c>
    </row>
    <row r="3905" spans="1:9" x14ac:dyDescent="0.25">
      <c r="A3905">
        <v>1811</v>
      </c>
      <c r="B3905">
        <f>A3905+1</f>
        <v>1812</v>
      </c>
      <c r="C3905" t="s">
        <v>517</v>
      </c>
      <c r="D3905" t="s">
        <v>26</v>
      </c>
      <c r="E3905" s="208" t="s">
        <v>573</v>
      </c>
      <c r="F3905" t="s">
        <v>4</v>
      </c>
      <c r="G3905" s="18">
        <v>31</v>
      </c>
      <c r="H3905" t="s">
        <v>23</v>
      </c>
      <c r="I3905" t="s">
        <v>16</v>
      </c>
    </row>
    <row r="3906" spans="1:9" x14ac:dyDescent="0.25">
      <c r="A3906">
        <v>1811</v>
      </c>
      <c r="B3906">
        <f>A3906+1</f>
        <v>1812</v>
      </c>
      <c r="C3906" t="s">
        <v>517</v>
      </c>
      <c r="D3906" t="s">
        <v>26</v>
      </c>
      <c r="E3906" s="208" t="s">
        <v>573</v>
      </c>
      <c r="F3906" t="s">
        <v>7</v>
      </c>
      <c r="G3906" s="18">
        <v>261</v>
      </c>
      <c r="H3906" s="151" t="s">
        <v>563</v>
      </c>
      <c r="I3906" t="s">
        <v>16</v>
      </c>
    </row>
    <row r="3907" spans="1:9" x14ac:dyDescent="0.25">
      <c r="A3907">
        <v>1811</v>
      </c>
      <c r="B3907">
        <f>A3907+1</f>
        <v>1812</v>
      </c>
      <c r="C3907" t="s">
        <v>517</v>
      </c>
      <c r="D3907" t="s">
        <v>26</v>
      </c>
      <c r="E3907" s="208" t="s">
        <v>573</v>
      </c>
      <c r="F3907" t="s">
        <v>10</v>
      </c>
      <c r="G3907" s="18">
        <v>0</v>
      </c>
      <c r="H3907" t="s">
        <v>24</v>
      </c>
      <c r="I3907" t="s">
        <v>17</v>
      </c>
    </row>
    <row r="3908" spans="1:9" x14ac:dyDescent="0.25">
      <c r="A3908">
        <v>1811</v>
      </c>
      <c r="B3908">
        <f>A3908+1</f>
        <v>1812</v>
      </c>
      <c r="C3908" t="s">
        <v>517</v>
      </c>
      <c r="D3908" t="s">
        <v>26</v>
      </c>
      <c r="E3908" s="208" t="s">
        <v>573</v>
      </c>
      <c r="F3908" t="s">
        <v>11</v>
      </c>
      <c r="G3908" s="18">
        <v>179</v>
      </c>
      <c r="H3908" t="s">
        <v>23</v>
      </c>
      <c r="I3908" t="s">
        <v>17</v>
      </c>
    </row>
    <row r="3909" spans="1:9" x14ac:dyDescent="0.25">
      <c r="A3909">
        <v>1811</v>
      </c>
      <c r="B3909">
        <f>A3909+1</f>
        <v>1812</v>
      </c>
      <c r="C3909" t="s">
        <v>517</v>
      </c>
      <c r="D3909" t="s">
        <v>26</v>
      </c>
      <c r="E3909" s="208" t="s">
        <v>573</v>
      </c>
      <c r="F3909" t="s">
        <v>14</v>
      </c>
      <c r="G3909" s="18">
        <v>179</v>
      </c>
      <c r="H3909" s="151" t="s">
        <v>563</v>
      </c>
      <c r="I3909" t="s">
        <v>17</v>
      </c>
    </row>
    <row r="3910" spans="1:9" x14ac:dyDescent="0.25">
      <c r="A3910">
        <v>1811</v>
      </c>
      <c r="B3910">
        <f>A3910+1</f>
        <v>1812</v>
      </c>
      <c r="C3910" t="s">
        <v>517</v>
      </c>
      <c r="D3910" t="s">
        <v>26</v>
      </c>
      <c r="E3910" s="208" t="s">
        <v>573</v>
      </c>
      <c r="F3910" t="s">
        <v>15</v>
      </c>
      <c r="G3910" s="18">
        <v>440</v>
      </c>
      <c r="H3910" s="151" t="s">
        <v>563</v>
      </c>
      <c r="I3910" t="s">
        <v>561</v>
      </c>
    </row>
    <row r="3911" spans="1:9" x14ac:dyDescent="0.25">
      <c r="A3911">
        <v>1812</v>
      </c>
      <c r="B3911">
        <f>A3911+1</f>
        <v>1813</v>
      </c>
      <c r="C3911" t="s">
        <v>518</v>
      </c>
      <c r="D3911" t="s">
        <v>26</v>
      </c>
      <c r="E3911" s="208" t="s">
        <v>572</v>
      </c>
      <c r="F3911" t="s">
        <v>3</v>
      </c>
      <c r="G3911" s="18">
        <v>4309</v>
      </c>
      <c r="H3911" t="s">
        <v>24</v>
      </c>
      <c r="I3911" t="s">
        <v>16</v>
      </c>
    </row>
    <row r="3912" spans="1:9" x14ac:dyDescent="0.25">
      <c r="A3912">
        <v>1812</v>
      </c>
      <c r="B3912">
        <f>A3912+1</f>
        <v>1813</v>
      </c>
      <c r="C3912" t="s">
        <v>518</v>
      </c>
      <c r="D3912" t="s">
        <v>26</v>
      </c>
      <c r="E3912" s="208" t="s">
        <v>572</v>
      </c>
      <c r="F3912" t="s">
        <v>7</v>
      </c>
      <c r="G3912" s="18">
        <v>4309</v>
      </c>
      <c r="H3912" s="151" t="s">
        <v>563</v>
      </c>
      <c r="I3912" t="s">
        <v>16</v>
      </c>
    </row>
    <row r="3913" spans="1:9" x14ac:dyDescent="0.25">
      <c r="A3913">
        <v>1812</v>
      </c>
      <c r="B3913">
        <f>A3913+1</f>
        <v>1813</v>
      </c>
      <c r="C3913" t="s">
        <v>518</v>
      </c>
      <c r="D3913" t="s">
        <v>26</v>
      </c>
      <c r="E3913" s="208" t="s">
        <v>572</v>
      </c>
      <c r="F3913" t="s">
        <v>10</v>
      </c>
      <c r="G3913" s="18">
        <v>479</v>
      </c>
      <c r="H3913" t="s">
        <v>24</v>
      </c>
      <c r="I3913" t="s">
        <v>17</v>
      </c>
    </row>
    <row r="3914" spans="1:9" x14ac:dyDescent="0.25">
      <c r="A3914">
        <v>1812</v>
      </c>
      <c r="B3914">
        <f>A3914+1</f>
        <v>1813</v>
      </c>
      <c r="C3914" t="s">
        <v>518</v>
      </c>
      <c r="D3914" t="s">
        <v>26</v>
      </c>
      <c r="E3914" s="208" t="s">
        <v>572</v>
      </c>
      <c r="F3914" t="s">
        <v>14</v>
      </c>
      <c r="G3914" s="18">
        <v>479</v>
      </c>
      <c r="H3914" s="151" t="s">
        <v>563</v>
      </c>
      <c r="I3914" t="s">
        <v>17</v>
      </c>
    </row>
    <row r="3915" spans="1:9" x14ac:dyDescent="0.25">
      <c r="A3915">
        <v>1812</v>
      </c>
      <c r="B3915">
        <f>A3915+1</f>
        <v>1813</v>
      </c>
      <c r="C3915" t="s">
        <v>518</v>
      </c>
      <c r="D3915" t="s">
        <v>26</v>
      </c>
      <c r="E3915" s="208" t="s">
        <v>572</v>
      </c>
      <c r="F3915" t="s">
        <v>15</v>
      </c>
      <c r="G3915" s="18">
        <v>4788</v>
      </c>
      <c r="H3915" s="151" t="s">
        <v>563</v>
      </c>
      <c r="I3915" t="s">
        <v>561</v>
      </c>
    </row>
    <row r="3916" spans="1:9" x14ac:dyDescent="0.25">
      <c r="A3916">
        <v>1812</v>
      </c>
      <c r="B3916">
        <f>A3916+1</f>
        <v>1813</v>
      </c>
      <c r="C3916" t="s">
        <v>518</v>
      </c>
      <c r="D3916" t="s">
        <v>26</v>
      </c>
      <c r="E3916" s="208" t="s">
        <v>571</v>
      </c>
      <c r="F3916" t="s">
        <v>3</v>
      </c>
      <c r="G3916" s="18">
        <v>1078</v>
      </c>
      <c r="H3916" t="s">
        <v>24</v>
      </c>
      <c r="I3916" t="s">
        <v>16</v>
      </c>
    </row>
    <row r="3917" spans="1:9" x14ac:dyDescent="0.25">
      <c r="A3917">
        <v>1812</v>
      </c>
      <c r="B3917">
        <f>A3917+1</f>
        <v>1813</v>
      </c>
      <c r="C3917" t="s">
        <v>518</v>
      </c>
      <c r="D3917" t="s">
        <v>26</v>
      </c>
      <c r="E3917" s="208" t="s">
        <v>571</v>
      </c>
      <c r="F3917" t="s">
        <v>7</v>
      </c>
      <c r="G3917" s="18">
        <v>1078</v>
      </c>
      <c r="H3917" s="151" t="s">
        <v>563</v>
      </c>
      <c r="I3917" t="s">
        <v>16</v>
      </c>
    </row>
    <row r="3918" spans="1:9" x14ac:dyDescent="0.25">
      <c r="A3918">
        <v>1812</v>
      </c>
      <c r="B3918">
        <f>A3918+1</f>
        <v>1813</v>
      </c>
      <c r="C3918" t="s">
        <v>518</v>
      </c>
      <c r="D3918" t="s">
        <v>26</v>
      </c>
      <c r="E3918" s="208" t="s">
        <v>571</v>
      </c>
      <c r="F3918" t="s">
        <v>10</v>
      </c>
      <c r="G3918" s="18">
        <v>155</v>
      </c>
      <c r="H3918" t="s">
        <v>24</v>
      </c>
      <c r="I3918" t="s">
        <v>17</v>
      </c>
    </row>
    <row r="3919" spans="1:9" x14ac:dyDescent="0.25">
      <c r="A3919">
        <v>1812</v>
      </c>
      <c r="B3919">
        <f>A3919+1</f>
        <v>1813</v>
      </c>
      <c r="C3919" t="s">
        <v>518</v>
      </c>
      <c r="D3919" t="s">
        <v>26</v>
      </c>
      <c r="E3919" s="208" t="s">
        <v>571</v>
      </c>
      <c r="F3919" t="s">
        <v>14</v>
      </c>
      <c r="G3919" s="18">
        <v>155</v>
      </c>
      <c r="H3919" s="151" t="s">
        <v>563</v>
      </c>
      <c r="I3919" t="s">
        <v>17</v>
      </c>
    </row>
    <row r="3920" spans="1:9" x14ac:dyDescent="0.25">
      <c r="A3920">
        <v>1812</v>
      </c>
      <c r="B3920">
        <f>A3920+1</f>
        <v>1813</v>
      </c>
      <c r="C3920" t="s">
        <v>518</v>
      </c>
      <c r="D3920" t="s">
        <v>26</v>
      </c>
      <c r="E3920" s="208" t="s">
        <v>571</v>
      </c>
      <c r="F3920" t="s">
        <v>15</v>
      </c>
      <c r="G3920" s="18">
        <v>1233</v>
      </c>
      <c r="H3920" s="151" t="s">
        <v>563</v>
      </c>
      <c r="I3920" t="s">
        <v>561</v>
      </c>
    </row>
    <row r="3921" spans="1:9" x14ac:dyDescent="0.25">
      <c r="A3921">
        <v>1812</v>
      </c>
      <c r="B3921">
        <f>A3921+1</f>
        <v>1813</v>
      </c>
      <c r="C3921" t="s">
        <v>518</v>
      </c>
      <c r="D3921" t="s">
        <v>26</v>
      </c>
      <c r="E3921" s="208" t="s">
        <v>570</v>
      </c>
      <c r="F3921" t="s">
        <v>3</v>
      </c>
      <c r="G3921" s="18">
        <v>1104</v>
      </c>
      <c r="H3921" t="s">
        <v>24</v>
      </c>
      <c r="I3921" t="s">
        <v>16</v>
      </c>
    </row>
    <row r="3922" spans="1:9" x14ac:dyDescent="0.25">
      <c r="A3922">
        <v>1812</v>
      </c>
      <c r="B3922">
        <f>A3922+1</f>
        <v>1813</v>
      </c>
      <c r="C3922" t="s">
        <v>518</v>
      </c>
      <c r="D3922" t="s">
        <v>26</v>
      </c>
      <c r="E3922" s="208" t="s">
        <v>570</v>
      </c>
      <c r="F3922" t="s">
        <v>7</v>
      </c>
      <c r="G3922" s="18">
        <v>1104</v>
      </c>
      <c r="H3922" s="151" t="s">
        <v>563</v>
      </c>
      <c r="I3922" t="s">
        <v>16</v>
      </c>
    </row>
    <row r="3923" spans="1:9" x14ac:dyDescent="0.25">
      <c r="A3923">
        <v>1812</v>
      </c>
      <c r="B3923">
        <f>A3923+1</f>
        <v>1813</v>
      </c>
      <c r="C3923" t="s">
        <v>518</v>
      </c>
      <c r="D3923" t="s">
        <v>26</v>
      </c>
      <c r="E3923" s="208" t="s">
        <v>570</v>
      </c>
      <c r="F3923" t="s">
        <v>10</v>
      </c>
      <c r="G3923" s="18">
        <v>395</v>
      </c>
      <c r="H3923" t="s">
        <v>24</v>
      </c>
      <c r="I3923" t="s">
        <v>17</v>
      </c>
    </row>
    <row r="3924" spans="1:9" x14ac:dyDescent="0.25">
      <c r="A3924">
        <v>1812</v>
      </c>
      <c r="B3924">
        <f>A3924+1</f>
        <v>1813</v>
      </c>
      <c r="C3924" t="s">
        <v>518</v>
      </c>
      <c r="D3924" t="s">
        <v>26</v>
      </c>
      <c r="E3924" s="208" t="s">
        <v>570</v>
      </c>
      <c r="F3924" t="s">
        <v>14</v>
      </c>
      <c r="G3924" s="18">
        <v>395</v>
      </c>
      <c r="H3924" s="151" t="s">
        <v>563</v>
      </c>
      <c r="I3924" t="s">
        <v>17</v>
      </c>
    </row>
    <row r="3925" spans="1:9" x14ac:dyDescent="0.25">
      <c r="A3925">
        <v>1812</v>
      </c>
      <c r="B3925">
        <f>A3925+1</f>
        <v>1813</v>
      </c>
      <c r="C3925" t="s">
        <v>518</v>
      </c>
      <c r="D3925" t="s">
        <v>26</v>
      </c>
      <c r="E3925" s="208" t="s">
        <v>570</v>
      </c>
      <c r="F3925" t="s">
        <v>15</v>
      </c>
      <c r="G3925" s="18">
        <v>1499</v>
      </c>
      <c r="H3925" s="151" t="s">
        <v>563</v>
      </c>
      <c r="I3925" t="s">
        <v>561</v>
      </c>
    </row>
    <row r="3926" spans="1:9" x14ac:dyDescent="0.25">
      <c r="A3926">
        <v>1812</v>
      </c>
      <c r="B3926">
        <f>A3926+1</f>
        <v>1813</v>
      </c>
      <c r="C3926" t="s">
        <v>518</v>
      </c>
      <c r="D3926" t="s">
        <v>27</v>
      </c>
      <c r="E3926" s="208" t="s">
        <v>155</v>
      </c>
      <c r="F3926" t="s">
        <v>3</v>
      </c>
      <c r="G3926" s="18">
        <v>6</v>
      </c>
      <c r="H3926" t="s">
        <v>16</v>
      </c>
      <c r="I3926" t="s">
        <v>24</v>
      </c>
    </row>
    <row r="3927" spans="1:9" x14ac:dyDescent="0.25">
      <c r="A3927">
        <v>1812</v>
      </c>
      <c r="B3927">
        <f>A3927+1</f>
        <v>1813</v>
      </c>
      <c r="C3927" t="s">
        <v>518</v>
      </c>
      <c r="D3927" t="s">
        <v>27</v>
      </c>
      <c r="E3927" s="208" t="s">
        <v>156</v>
      </c>
      <c r="F3927" t="s">
        <v>3</v>
      </c>
      <c r="G3927" s="18">
        <v>8</v>
      </c>
      <c r="H3927" t="s">
        <v>16</v>
      </c>
      <c r="I3927" t="s">
        <v>24</v>
      </c>
    </row>
    <row r="3928" spans="1:9" x14ac:dyDescent="0.25">
      <c r="A3928">
        <v>1812</v>
      </c>
      <c r="B3928">
        <f>A3928+1</f>
        <v>1813</v>
      </c>
      <c r="C3928" t="s">
        <v>518</v>
      </c>
      <c r="D3928" t="s">
        <v>27</v>
      </c>
      <c r="E3928" s="208" t="s">
        <v>154</v>
      </c>
      <c r="F3928" t="s">
        <v>3</v>
      </c>
      <c r="G3928" s="18">
        <v>435</v>
      </c>
      <c r="H3928" t="s">
        <v>16</v>
      </c>
      <c r="I3928" t="s">
        <v>24</v>
      </c>
    </row>
    <row r="3929" spans="1:9" x14ac:dyDescent="0.25">
      <c r="A3929">
        <v>1812</v>
      </c>
      <c r="B3929">
        <f>A3929+1</f>
        <v>1813</v>
      </c>
      <c r="C3929" t="s">
        <v>518</v>
      </c>
      <c r="D3929" t="s">
        <v>27</v>
      </c>
      <c r="E3929" s="208" t="s">
        <v>150</v>
      </c>
      <c r="F3929" t="s">
        <v>3</v>
      </c>
      <c r="G3929" s="18">
        <v>3850</v>
      </c>
      <c r="H3929" t="s">
        <v>16</v>
      </c>
      <c r="I3929" t="s">
        <v>24</v>
      </c>
    </row>
    <row r="3930" spans="1:9" x14ac:dyDescent="0.25">
      <c r="A3930">
        <v>1812</v>
      </c>
      <c r="B3930">
        <f>A3930+1</f>
        <v>1813</v>
      </c>
      <c r="C3930" t="s">
        <v>518</v>
      </c>
      <c r="D3930" t="s">
        <v>27</v>
      </c>
      <c r="E3930" s="208" t="s">
        <v>148</v>
      </c>
      <c r="F3930" t="s">
        <v>3</v>
      </c>
      <c r="G3930" s="18">
        <v>305</v>
      </c>
      <c r="H3930" t="s">
        <v>16</v>
      </c>
      <c r="I3930" t="s">
        <v>24</v>
      </c>
    </row>
    <row r="3931" spans="1:9" x14ac:dyDescent="0.25">
      <c r="A3931">
        <v>1812</v>
      </c>
      <c r="B3931">
        <f>A3931+1</f>
        <v>1813</v>
      </c>
      <c r="C3931" t="s">
        <v>518</v>
      </c>
      <c r="D3931" t="s">
        <v>27</v>
      </c>
      <c r="E3931" s="208" t="s">
        <v>147</v>
      </c>
      <c r="F3931" t="s">
        <v>3</v>
      </c>
      <c r="G3931" s="18">
        <v>0</v>
      </c>
      <c r="H3931" t="s">
        <v>16</v>
      </c>
      <c r="I3931" t="s">
        <v>24</v>
      </c>
    </row>
    <row r="3932" spans="1:9" x14ac:dyDescent="0.25">
      <c r="A3932">
        <v>1812</v>
      </c>
      <c r="B3932">
        <f>A3932+1</f>
        <v>1813</v>
      </c>
      <c r="C3932" t="s">
        <v>518</v>
      </c>
      <c r="D3932" t="s">
        <v>27</v>
      </c>
      <c r="E3932" s="208" t="s">
        <v>149</v>
      </c>
      <c r="F3932" t="s">
        <v>3</v>
      </c>
      <c r="G3932" s="18">
        <v>0</v>
      </c>
      <c r="H3932" t="s">
        <v>16</v>
      </c>
      <c r="I3932" t="s">
        <v>24</v>
      </c>
    </row>
    <row r="3933" spans="1:9" x14ac:dyDescent="0.25">
      <c r="A3933">
        <v>1812</v>
      </c>
      <c r="B3933">
        <f>A3933+1</f>
        <v>1813</v>
      </c>
      <c r="C3933" t="s">
        <v>518</v>
      </c>
      <c r="D3933" t="s">
        <v>27</v>
      </c>
      <c r="E3933" s="208" t="s">
        <v>139</v>
      </c>
      <c r="F3933" t="s">
        <v>3</v>
      </c>
      <c r="G3933" s="18">
        <v>47</v>
      </c>
      <c r="H3933" t="s">
        <v>16</v>
      </c>
      <c r="I3933" t="s">
        <v>24</v>
      </c>
    </row>
    <row r="3934" spans="1:9" x14ac:dyDescent="0.25">
      <c r="A3934">
        <v>1812</v>
      </c>
      <c r="B3934">
        <f>A3934+1</f>
        <v>1813</v>
      </c>
      <c r="C3934" t="s">
        <v>518</v>
      </c>
      <c r="D3934" t="s">
        <v>27</v>
      </c>
      <c r="E3934" s="208" t="s">
        <v>130</v>
      </c>
      <c r="F3934" t="s">
        <v>3</v>
      </c>
      <c r="G3934" s="18">
        <v>0</v>
      </c>
      <c r="H3934" t="s">
        <v>16</v>
      </c>
      <c r="I3934" t="s">
        <v>24</v>
      </c>
    </row>
    <row r="3935" spans="1:9" x14ac:dyDescent="0.25">
      <c r="A3935">
        <v>1812</v>
      </c>
      <c r="B3935">
        <f>A3935+1</f>
        <v>1813</v>
      </c>
      <c r="C3935" t="s">
        <v>518</v>
      </c>
      <c r="D3935" t="s">
        <v>27</v>
      </c>
      <c r="E3935" s="208" t="s">
        <v>132</v>
      </c>
      <c r="F3935" t="s">
        <v>3</v>
      </c>
      <c r="G3935" s="18">
        <v>0</v>
      </c>
      <c r="H3935" t="s">
        <v>16</v>
      </c>
      <c r="I3935" t="s">
        <v>24</v>
      </c>
    </row>
    <row r="3936" spans="1:9" x14ac:dyDescent="0.25">
      <c r="A3936">
        <v>1812</v>
      </c>
      <c r="B3936">
        <f>A3936+1</f>
        <v>1813</v>
      </c>
      <c r="C3936" t="s">
        <v>518</v>
      </c>
      <c r="D3936" t="s">
        <v>27</v>
      </c>
      <c r="E3936" s="208" t="s">
        <v>142</v>
      </c>
      <c r="F3936" t="s">
        <v>3</v>
      </c>
      <c r="G3936" s="18">
        <v>0</v>
      </c>
      <c r="H3936" t="s">
        <v>16</v>
      </c>
      <c r="I3936" t="s">
        <v>24</v>
      </c>
    </row>
    <row r="3937" spans="1:9" x14ac:dyDescent="0.25">
      <c r="A3937">
        <v>1812</v>
      </c>
      <c r="B3937">
        <f>A3937+1</f>
        <v>1813</v>
      </c>
      <c r="C3937" t="s">
        <v>518</v>
      </c>
      <c r="D3937" t="s">
        <v>27</v>
      </c>
      <c r="E3937" s="208" t="s">
        <v>144</v>
      </c>
      <c r="F3937" t="s">
        <v>3</v>
      </c>
      <c r="G3937" s="18">
        <v>6</v>
      </c>
      <c r="H3937" t="s">
        <v>16</v>
      </c>
      <c r="I3937" t="s">
        <v>24</v>
      </c>
    </row>
    <row r="3938" spans="1:9" x14ac:dyDescent="0.25">
      <c r="A3938">
        <v>1812</v>
      </c>
      <c r="B3938">
        <f>A3938+1</f>
        <v>1813</v>
      </c>
      <c r="C3938" t="s">
        <v>518</v>
      </c>
      <c r="D3938" t="s">
        <v>27</v>
      </c>
      <c r="E3938" s="208" t="s">
        <v>124</v>
      </c>
      <c r="F3938" t="s">
        <v>3</v>
      </c>
      <c r="G3938" s="18">
        <v>661479</v>
      </c>
      <c r="H3938" t="s">
        <v>16</v>
      </c>
      <c r="I3938" t="s">
        <v>24</v>
      </c>
    </row>
    <row r="3939" spans="1:9" x14ac:dyDescent="0.25">
      <c r="A3939">
        <v>1812</v>
      </c>
      <c r="B3939">
        <f>A3939+1</f>
        <v>1813</v>
      </c>
      <c r="C3939" t="s">
        <v>518</v>
      </c>
      <c r="D3939" t="s">
        <v>26</v>
      </c>
      <c r="E3939" s="208" t="s">
        <v>62</v>
      </c>
      <c r="F3939" t="s">
        <v>3</v>
      </c>
      <c r="G3939" s="18">
        <v>8665</v>
      </c>
      <c r="H3939" t="s">
        <v>24</v>
      </c>
      <c r="I3939" t="s">
        <v>16</v>
      </c>
    </row>
    <row r="3940" spans="1:9" x14ac:dyDescent="0.25">
      <c r="A3940">
        <v>1812</v>
      </c>
      <c r="B3940">
        <f>A3940+1</f>
        <v>1813</v>
      </c>
      <c r="C3940" t="s">
        <v>518</v>
      </c>
      <c r="D3940" t="s">
        <v>26</v>
      </c>
      <c r="E3940" s="208" t="s">
        <v>55</v>
      </c>
      <c r="F3940" t="s">
        <v>3</v>
      </c>
      <c r="G3940" s="18">
        <v>365</v>
      </c>
      <c r="H3940" t="s">
        <v>24</v>
      </c>
      <c r="I3940" t="s">
        <v>16</v>
      </c>
    </row>
    <row r="3941" spans="1:9" x14ac:dyDescent="0.25">
      <c r="A3941">
        <v>1812</v>
      </c>
      <c r="B3941">
        <f>A3941+1</f>
        <v>1813</v>
      </c>
      <c r="C3941" t="s">
        <v>518</v>
      </c>
      <c r="D3941" t="s">
        <v>26</v>
      </c>
      <c r="E3941" s="208" t="s">
        <v>35</v>
      </c>
      <c r="F3941" t="s">
        <v>3</v>
      </c>
      <c r="G3941" s="18">
        <v>359</v>
      </c>
      <c r="H3941" t="s">
        <v>24</v>
      </c>
      <c r="I3941" t="s">
        <v>16</v>
      </c>
    </row>
    <row r="3942" spans="1:9" x14ac:dyDescent="0.25">
      <c r="A3942">
        <v>1812</v>
      </c>
      <c r="B3942">
        <f>A3942+1</f>
        <v>1813</v>
      </c>
      <c r="C3942" t="s">
        <v>518</v>
      </c>
      <c r="D3942" t="s">
        <v>26</v>
      </c>
      <c r="E3942" s="208" t="s">
        <v>99</v>
      </c>
      <c r="F3942" t="s">
        <v>3</v>
      </c>
      <c r="G3942" s="18">
        <v>556</v>
      </c>
      <c r="H3942" t="s">
        <v>24</v>
      </c>
      <c r="I3942" t="s">
        <v>16</v>
      </c>
    </row>
    <row r="3943" spans="1:9" x14ac:dyDescent="0.25">
      <c r="A3943">
        <v>1812</v>
      </c>
      <c r="B3943">
        <f>A3943+1</f>
        <v>1813</v>
      </c>
      <c r="C3943" t="s">
        <v>518</v>
      </c>
      <c r="D3943" t="s">
        <v>26</v>
      </c>
      <c r="E3943" s="208" t="s">
        <v>28</v>
      </c>
      <c r="F3943" t="s">
        <v>3</v>
      </c>
      <c r="G3943" s="18">
        <v>317</v>
      </c>
      <c r="H3943" t="s">
        <v>24</v>
      </c>
      <c r="I3943" t="s">
        <v>16</v>
      </c>
    </row>
    <row r="3944" spans="1:9" x14ac:dyDescent="0.25">
      <c r="A3944">
        <v>1812</v>
      </c>
      <c r="B3944">
        <f>A3944+1</f>
        <v>1813</v>
      </c>
      <c r="C3944" t="s">
        <v>518</v>
      </c>
      <c r="D3944" t="s">
        <v>26</v>
      </c>
      <c r="E3944" s="208" t="s">
        <v>89</v>
      </c>
      <c r="F3944" t="s">
        <v>3</v>
      </c>
      <c r="G3944" s="18">
        <v>39</v>
      </c>
      <c r="H3944" t="s">
        <v>24</v>
      </c>
      <c r="I3944" t="s">
        <v>16</v>
      </c>
    </row>
    <row r="3945" spans="1:9" x14ac:dyDescent="0.25">
      <c r="A3945">
        <v>1812</v>
      </c>
      <c r="B3945">
        <f>A3945+1</f>
        <v>1813</v>
      </c>
      <c r="C3945" t="s">
        <v>518</v>
      </c>
      <c r="D3945" t="s">
        <v>26</v>
      </c>
      <c r="E3945" s="208" t="s">
        <v>45</v>
      </c>
      <c r="F3945" t="s">
        <v>3</v>
      </c>
      <c r="G3945" s="18">
        <v>26</v>
      </c>
      <c r="H3945" t="s">
        <v>24</v>
      </c>
      <c r="I3945" t="s">
        <v>16</v>
      </c>
    </row>
    <row r="3946" spans="1:9" x14ac:dyDescent="0.25">
      <c r="A3946">
        <v>1812</v>
      </c>
      <c r="B3946">
        <f>A3946+1</f>
        <v>1813</v>
      </c>
      <c r="C3946" t="s">
        <v>518</v>
      </c>
      <c r="D3946" t="s">
        <v>26</v>
      </c>
      <c r="E3946" s="208" t="s">
        <v>75</v>
      </c>
      <c r="F3946" t="s">
        <v>3</v>
      </c>
      <c r="G3946" s="18">
        <v>759727</v>
      </c>
      <c r="H3946" t="s">
        <v>24</v>
      </c>
      <c r="I3946" t="s">
        <v>16</v>
      </c>
    </row>
    <row r="3947" spans="1:9" x14ac:dyDescent="0.25">
      <c r="A3947">
        <v>1812</v>
      </c>
      <c r="B3947">
        <f>A3947+1</f>
        <v>1813</v>
      </c>
      <c r="C3947" t="s">
        <v>518</v>
      </c>
      <c r="D3947" t="s">
        <v>26</v>
      </c>
      <c r="E3947" s="208" t="s">
        <v>107</v>
      </c>
      <c r="F3947" t="s">
        <v>3</v>
      </c>
      <c r="G3947" s="18">
        <v>376926</v>
      </c>
      <c r="H3947" t="s">
        <v>24</v>
      </c>
      <c r="I3947" t="s">
        <v>16</v>
      </c>
    </row>
    <row r="3948" spans="1:9" x14ac:dyDescent="0.25">
      <c r="A3948">
        <v>1812</v>
      </c>
      <c r="B3948">
        <f>A3948+1</f>
        <v>1813</v>
      </c>
      <c r="C3948" t="s">
        <v>518</v>
      </c>
      <c r="D3948" t="s">
        <v>26</v>
      </c>
      <c r="E3948" s="208" t="s">
        <v>101</v>
      </c>
      <c r="F3948" t="s">
        <v>3</v>
      </c>
      <c r="G3948" s="18">
        <v>287670</v>
      </c>
      <c r="H3948" t="s">
        <v>24</v>
      </c>
      <c r="I3948" t="s">
        <v>16</v>
      </c>
    </row>
    <row r="3949" spans="1:9" x14ac:dyDescent="0.25">
      <c r="A3949">
        <v>1812</v>
      </c>
      <c r="B3949">
        <f>A3949+1</f>
        <v>1813</v>
      </c>
      <c r="C3949" t="s">
        <v>518</v>
      </c>
      <c r="D3949" t="s">
        <v>26</v>
      </c>
      <c r="E3949" s="208" t="s">
        <v>330</v>
      </c>
      <c r="F3949" t="s">
        <v>6</v>
      </c>
      <c r="G3949" s="18">
        <v>321</v>
      </c>
      <c r="H3949" t="s">
        <v>25</v>
      </c>
      <c r="I3949" t="s">
        <v>16</v>
      </c>
    </row>
    <row r="3950" spans="1:9" x14ac:dyDescent="0.25">
      <c r="A3950">
        <v>1812</v>
      </c>
      <c r="B3950">
        <f>A3950+1</f>
        <v>1813</v>
      </c>
      <c r="C3950" t="s">
        <v>518</v>
      </c>
      <c r="D3950" t="s">
        <v>26</v>
      </c>
      <c r="E3950" s="208" t="s">
        <v>331</v>
      </c>
      <c r="F3950" t="s">
        <v>6</v>
      </c>
      <c r="G3950" s="18">
        <v>1275</v>
      </c>
      <c r="H3950" t="s">
        <v>25</v>
      </c>
      <c r="I3950" t="s">
        <v>16</v>
      </c>
    </row>
    <row r="3951" spans="1:9" x14ac:dyDescent="0.25">
      <c r="A3951">
        <v>1812</v>
      </c>
      <c r="B3951">
        <f>A3951+1</f>
        <v>1813</v>
      </c>
      <c r="C3951" t="s">
        <v>518</v>
      </c>
      <c r="D3951" t="s">
        <v>26</v>
      </c>
      <c r="E3951" s="208" t="s">
        <v>332</v>
      </c>
      <c r="F3951" t="s">
        <v>6</v>
      </c>
      <c r="G3951" s="18">
        <v>178</v>
      </c>
      <c r="H3951" t="s">
        <v>25</v>
      </c>
      <c r="I3951" t="s">
        <v>16</v>
      </c>
    </row>
    <row r="3952" spans="1:9" x14ac:dyDescent="0.25">
      <c r="A3952">
        <v>1812</v>
      </c>
      <c r="B3952">
        <f>A3952+1</f>
        <v>1813</v>
      </c>
      <c r="C3952" t="s">
        <v>518</v>
      </c>
      <c r="D3952" t="s">
        <v>26</v>
      </c>
      <c r="E3952" s="208" t="s">
        <v>333</v>
      </c>
      <c r="F3952" t="s">
        <v>6</v>
      </c>
      <c r="G3952" s="18">
        <v>509</v>
      </c>
      <c r="H3952" t="s">
        <v>25</v>
      </c>
      <c r="I3952" t="s">
        <v>16</v>
      </c>
    </row>
    <row r="3953" spans="1:9" x14ac:dyDescent="0.25">
      <c r="A3953">
        <v>1812</v>
      </c>
      <c r="B3953">
        <f>A3953+1</f>
        <v>1813</v>
      </c>
      <c r="C3953" t="s">
        <v>518</v>
      </c>
      <c r="D3953" t="s">
        <v>27</v>
      </c>
      <c r="E3953" s="208" t="s">
        <v>155</v>
      </c>
      <c r="F3953" t="s">
        <v>0</v>
      </c>
      <c r="G3953" s="18">
        <v>23653</v>
      </c>
      <c r="H3953" t="s">
        <v>16</v>
      </c>
      <c r="I3953" t="s">
        <v>18</v>
      </c>
    </row>
    <row r="3954" spans="1:9" x14ac:dyDescent="0.25">
      <c r="A3954">
        <v>1812</v>
      </c>
      <c r="B3954">
        <f>A3954+1</f>
        <v>1813</v>
      </c>
      <c r="C3954" t="s">
        <v>518</v>
      </c>
      <c r="D3954" t="s">
        <v>27</v>
      </c>
      <c r="E3954" s="208" t="s">
        <v>156</v>
      </c>
      <c r="F3954" t="s">
        <v>0</v>
      </c>
      <c r="G3954" s="18">
        <v>1905</v>
      </c>
      <c r="H3954" t="s">
        <v>16</v>
      </c>
      <c r="I3954" t="s">
        <v>18</v>
      </c>
    </row>
    <row r="3955" spans="1:9" x14ac:dyDescent="0.25">
      <c r="A3955">
        <v>1812</v>
      </c>
      <c r="B3955">
        <f>A3955+1</f>
        <v>1813</v>
      </c>
      <c r="C3955" t="s">
        <v>518</v>
      </c>
      <c r="D3955" t="s">
        <v>27</v>
      </c>
      <c r="E3955" s="208" t="s">
        <v>154</v>
      </c>
      <c r="F3955" t="s">
        <v>0</v>
      </c>
      <c r="G3955" s="18">
        <v>668</v>
      </c>
      <c r="H3955" t="s">
        <v>16</v>
      </c>
      <c r="I3955" t="s">
        <v>18</v>
      </c>
    </row>
    <row r="3956" spans="1:9" x14ac:dyDescent="0.25">
      <c r="A3956">
        <v>1812</v>
      </c>
      <c r="B3956">
        <f>A3956+1</f>
        <v>1813</v>
      </c>
      <c r="C3956" t="s">
        <v>518</v>
      </c>
      <c r="D3956" t="s">
        <v>27</v>
      </c>
      <c r="E3956" s="208" t="s">
        <v>150</v>
      </c>
      <c r="F3956" t="s">
        <v>0</v>
      </c>
      <c r="G3956" s="18">
        <v>6683</v>
      </c>
      <c r="H3956" t="s">
        <v>16</v>
      </c>
      <c r="I3956" t="s">
        <v>18</v>
      </c>
    </row>
    <row r="3957" spans="1:9" x14ac:dyDescent="0.25">
      <c r="A3957">
        <v>1812</v>
      </c>
      <c r="B3957">
        <f>A3957+1</f>
        <v>1813</v>
      </c>
      <c r="C3957" t="s">
        <v>518</v>
      </c>
      <c r="D3957" t="s">
        <v>27</v>
      </c>
      <c r="E3957" s="208" t="s">
        <v>148</v>
      </c>
      <c r="F3957" t="s">
        <v>0</v>
      </c>
      <c r="G3957" s="18">
        <v>278</v>
      </c>
      <c r="H3957" t="s">
        <v>16</v>
      </c>
      <c r="I3957" t="s">
        <v>18</v>
      </c>
    </row>
    <row r="3958" spans="1:9" x14ac:dyDescent="0.25">
      <c r="A3958">
        <v>1812</v>
      </c>
      <c r="B3958">
        <f>A3958+1</f>
        <v>1813</v>
      </c>
      <c r="C3958" t="s">
        <v>518</v>
      </c>
      <c r="D3958" t="s">
        <v>27</v>
      </c>
      <c r="E3958" s="208" t="s">
        <v>147</v>
      </c>
      <c r="F3958" t="s">
        <v>0</v>
      </c>
      <c r="G3958" s="18">
        <v>0</v>
      </c>
      <c r="H3958" t="s">
        <v>16</v>
      </c>
      <c r="I3958" t="s">
        <v>18</v>
      </c>
    </row>
    <row r="3959" spans="1:9" x14ac:dyDescent="0.25">
      <c r="A3959">
        <v>1812</v>
      </c>
      <c r="B3959">
        <f>A3959+1</f>
        <v>1813</v>
      </c>
      <c r="C3959" t="s">
        <v>518</v>
      </c>
      <c r="D3959" t="s">
        <v>27</v>
      </c>
      <c r="E3959" s="208" t="s">
        <v>149</v>
      </c>
      <c r="F3959" t="s">
        <v>0</v>
      </c>
      <c r="G3959" s="18">
        <v>0</v>
      </c>
      <c r="H3959" t="s">
        <v>16</v>
      </c>
      <c r="I3959" t="s">
        <v>18</v>
      </c>
    </row>
    <row r="3960" spans="1:9" x14ac:dyDescent="0.25">
      <c r="A3960">
        <v>1812</v>
      </c>
      <c r="B3960">
        <f>A3960+1</f>
        <v>1813</v>
      </c>
      <c r="C3960" t="s">
        <v>518</v>
      </c>
      <c r="D3960" t="s">
        <v>27</v>
      </c>
      <c r="E3960" s="208" t="s">
        <v>139</v>
      </c>
      <c r="F3960" t="s">
        <v>0</v>
      </c>
      <c r="G3960" s="18">
        <v>0</v>
      </c>
      <c r="H3960" t="s">
        <v>16</v>
      </c>
      <c r="I3960" t="s">
        <v>18</v>
      </c>
    </row>
    <row r="3961" spans="1:9" x14ac:dyDescent="0.25">
      <c r="A3961">
        <v>1812</v>
      </c>
      <c r="B3961">
        <f>A3961+1</f>
        <v>1813</v>
      </c>
      <c r="C3961" t="s">
        <v>518</v>
      </c>
      <c r="D3961" t="s">
        <v>27</v>
      </c>
      <c r="E3961" s="208" t="s">
        <v>130</v>
      </c>
      <c r="F3961" t="s">
        <v>0</v>
      </c>
      <c r="G3961" s="18">
        <v>506</v>
      </c>
      <c r="H3961" t="s">
        <v>16</v>
      </c>
      <c r="I3961" t="s">
        <v>18</v>
      </c>
    </row>
    <row r="3962" spans="1:9" x14ac:dyDescent="0.25">
      <c r="A3962">
        <v>1812</v>
      </c>
      <c r="B3962">
        <f>A3962+1</f>
        <v>1813</v>
      </c>
      <c r="C3962" t="s">
        <v>518</v>
      </c>
      <c r="D3962" t="s">
        <v>27</v>
      </c>
      <c r="E3962" s="208" t="s">
        <v>132</v>
      </c>
      <c r="F3962" t="s">
        <v>0</v>
      </c>
      <c r="G3962" s="18">
        <v>325</v>
      </c>
      <c r="H3962" t="s">
        <v>16</v>
      </c>
      <c r="I3962" t="s">
        <v>18</v>
      </c>
    </row>
    <row r="3963" spans="1:9" x14ac:dyDescent="0.25">
      <c r="A3963">
        <v>1812</v>
      </c>
      <c r="B3963">
        <f>A3963+1</f>
        <v>1813</v>
      </c>
      <c r="C3963" t="s">
        <v>518</v>
      </c>
      <c r="D3963" t="s">
        <v>27</v>
      </c>
      <c r="E3963" s="208" t="s">
        <v>142</v>
      </c>
      <c r="F3963" t="s">
        <v>0</v>
      </c>
      <c r="G3963" s="18">
        <v>2199</v>
      </c>
      <c r="H3963" t="s">
        <v>16</v>
      </c>
      <c r="I3963" t="s">
        <v>18</v>
      </c>
    </row>
    <row r="3964" spans="1:9" x14ac:dyDescent="0.25">
      <c r="A3964">
        <v>1812</v>
      </c>
      <c r="B3964">
        <f>A3964+1</f>
        <v>1813</v>
      </c>
      <c r="C3964" t="s">
        <v>518</v>
      </c>
      <c r="D3964" t="s">
        <v>27</v>
      </c>
      <c r="E3964" s="208" t="s">
        <v>144</v>
      </c>
      <c r="F3964" t="s">
        <v>0</v>
      </c>
      <c r="G3964" s="18">
        <v>636</v>
      </c>
      <c r="H3964" t="s">
        <v>16</v>
      </c>
      <c r="I3964" t="s">
        <v>18</v>
      </c>
    </row>
    <row r="3965" spans="1:9" x14ac:dyDescent="0.25">
      <c r="A3965">
        <v>1812</v>
      </c>
      <c r="B3965">
        <f>A3965+1</f>
        <v>1813</v>
      </c>
      <c r="C3965" t="s">
        <v>518</v>
      </c>
      <c r="D3965" t="s">
        <v>27</v>
      </c>
      <c r="E3965" s="208" t="s">
        <v>124</v>
      </c>
      <c r="F3965" t="s">
        <v>0</v>
      </c>
      <c r="G3965" s="18">
        <v>14145916</v>
      </c>
      <c r="H3965" t="s">
        <v>16</v>
      </c>
      <c r="I3965" t="s">
        <v>18</v>
      </c>
    </row>
    <row r="3966" spans="1:9" x14ac:dyDescent="0.25">
      <c r="A3966">
        <v>1812</v>
      </c>
      <c r="B3966">
        <f>A3966+1</f>
        <v>1813</v>
      </c>
      <c r="C3966" t="s">
        <v>518</v>
      </c>
      <c r="D3966" t="s">
        <v>26</v>
      </c>
      <c r="E3966" s="208" t="s">
        <v>65</v>
      </c>
      <c r="F3966" t="s">
        <v>169</v>
      </c>
      <c r="G3966" s="18">
        <v>2498</v>
      </c>
      <c r="H3966" t="s">
        <v>160</v>
      </c>
      <c r="I3966" t="s">
        <v>16</v>
      </c>
    </row>
    <row r="3967" spans="1:9" x14ac:dyDescent="0.25">
      <c r="A3967">
        <v>1812</v>
      </c>
      <c r="B3967">
        <f>A3967+1</f>
        <v>1813</v>
      </c>
      <c r="C3967" t="s">
        <v>518</v>
      </c>
      <c r="D3967" t="s">
        <v>26</v>
      </c>
      <c r="E3967" s="208" t="s">
        <v>88</v>
      </c>
      <c r="F3967" t="s">
        <v>169</v>
      </c>
      <c r="G3967" s="18">
        <v>2934</v>
      </c>
      <c r="H3967" t="s">
        <v>160</v>
      </c>
      <c r="I3967" t="s">
        <v>16</v>
      </c>
    </row>
    <row r="3968" spans="1:9" x14ac:dyDescent="0.25">
      <c r="A3968">
        <v>1812</v>
      </c>
      <c r="B3968">
        <f>A3968+1</f>
        <v>1813</v>
      </c>
      <c r="C3968" t="s">
        <v>518</v>
      </c>
      <c r="D3968" t="s">
        <v>27</v>
      </c>
      <c r="E3968" s="208" t="s">
        <v>155</v>
      </c>
      <c r="F3968" t="s">
        <v>1</v>
      </c>
      <c r="G3968" s="18">
        <v>1870</v>
      </c>
      <c r="H3968" t="s">
        <v>16</v>
      </c>
      <c r="I3968" t="s">
        <v>21</v>
      </c>
    </row>
    <row r="3969" spans="1:9" x14ac:dyDescent="0.25">
      <c r="A3969">
        <v>1812</v>
      </c>
      <c r="B3969">
        <f>A3969+1</f>
        <v>1813</v>
      </c>
      <c r="C3969" t="s">
        <v>518</v>
      </c>
      <c r="D3969" t="s">
        <v>27</v>
      </c>
      <c r="E3969" s="208" t="s">
        <v>156</v>
      </c>
      <c r="F3969" t="s">
        <v>1</v>
      </c>
      <c r="G3969" s="18">
        <v>258</v>
      </c>
      <c r="H3969" t="s">
        <v>16</v>
      </c>
      <c r="I3969" t="s">
        <v>21</v>
      </c>
    </row>
    <row r="3970" spans="1:9" x14ac:dyDescent="0.25">
      <c r="A3970">
        <v>1812</v>
      </c>
      <c r="B3970">
        <f>A3970+1</f>
        <v>1813</v>
      </c>
      <c r="C3970" t="s">
        <v>518</v>
      </c>
      <c r="D3970" t="s">
        <v>27</v>
      </c>
      <c r="E3970" s="208" t="s">
        <v>154</v>
      </c>
      <c r="F3970" t="s">
        <v>1</v>
      </c>
      <c r="G3970" s="18">
        <v>395</v>
      </c>
      <c r="H3970" t="s">
        <v>16</v>
      </c>
      <c r="I3970" t="s">
        <v>21</v>
      </c>
    </row>
    <row r="3971" spans="1:9" x14ac:dyDescent="0.25">
      <c r="A3971">
        <v>1812</v>
      </c>
      <c r="B3971">
        <f>A3971+1</f>
        <v>1813</v>
      </c>
      <c r="C3971" t="s">
        <v>518</v>
      </c>
      <c r="D3971" t="s">
        <v>27</v>
      </c>
      <c r="E3971" s="208" t="s">
        <v>150</v>
      </c>
      <c r="F3971" t="s">
        <v>1</v>
      </c>
      <c r="G3971" s="18">
        <v>1886</v>
      </c>
      <c r="H3971" t="s">
        <v>16</v>
      </c>
      <c r="I3971" t="s">
        <v>21</v>
      </c>
    </row>
    <row r="3972" spans="1:9" x14ac:dyDescent="0.25">
      <c r="A3972">
        <v>1812</v>
      </c>
      <c r="B3972">
        <f>A3972+1</f>
        <v>1813</v>
      </c>
      <c r="C3972" t="s">
        <v>518</v>
      </c>
      <c r="D3972" t="s">
        <v>27</v>
      </c>
      <c r="E3972" s="208" t="s">
        <v>148</v>
      </c>
      <c r="F3972" t="s">
        <v>1</v>
      </c>
      <c r="G3972" s="18">
        <v>191</v>
      </c>
      <c r="H3972" t="s">
        <v>16</v>
      </c>
      <c r="I3972" t="s">
        <v>21</v>
      </c>
    </row>
    <row r="3973" spans="1:9" x14ac:dyDescent="0.25">
      <c r="A3973">
        <v>1812</v>
      </c>
      <c r="B3973">
        <f>A3973+1</f>
        <v>1813</v>
      </c>
      <c r="C3973" t="s">
        <v>518</v>
      </c>
      <c r="D3973" t="s">
        <v>27</v>
      </c>
      <c r="E3973" s="208" t="s">
        <v>147</v>
      </c>
      <c r="F3973" t="s">
        <v>1</v>
      </c>
      <c r="G3973" s="18">
        <v>0</v>
      </c>
      <c r="H3973" t="s">
        <v>16</v>
      </c>
      <c r="I3973" t="s">
        <v>21</v>
      </c>
    </row>
    <row r="3974" spans="1:9" x14ac:dyDescent="0.25">
      <c r="A3974">
        <v>1812</v>
      </c>
      <c r="B3974">
        <f>A3974+1</f>
        <v>1813</v>
      </c>
      <c r="C3974" t="s">
        <v>518</v>
      </c>
      <c r="D3974" t="s">
        <v>27</v>
      </c>
      <c r="E3974" s="208" t="s">
        <v>149</v>
      </c>
      <c r="F3974" t="s">
        <v>1</v>
      </c>
      <c r="G3974" s="18">
        <v>0</v>
      </c>
      <c r="H3974" t="s">
        <v>16</v>
      </c>
      <c r="I3974" t="s">
        <v>21</v>
      </c>
    </row>
    <row r="3975" spans="1:9" x14ac:dyDescent="0.25">
      <c r="A3975">
        <v>1812</v>
      </c>
      <c r="B3975">
        <f>A3975+1</f>
        <v>1813</v>
      </c>
      <c r="C3975" t="s">
        <v>518</v>
      </c>
      <c r="D3975" t="s">
        <v>27</v>
      </c>
      <c r="E3975" s="208" t="s">
        <v>139</v>
      </c>
      <c r="F3975" t="s">
        <v>1</v>
      </c>
      <c r="G3975" s="18">
        <v>0</v>
      </c>
      <c r="H3975" t="s">
        <v>16</v>
      </c>
      <c r="I3975" t="s">
        <v>21</v>
      </c>
    </row>
    <row r="3976" spans="1:9" x14ac:dyDescent="0.25">
      <c r="A3976">
        <v>1812</v>
      </c>
      <c r="B3976">
        <f>A3976+1</f>
        <v>1813</v>
      </c>
      <c r="C3976" t="s">
        <v>518</v>
      </c>
      <c r="D3976" t="s">
        <v>27</v>
      </c>
      <c r="E3976" s="208" t="s">
        <v>130</v>
      </c>
      <c r="F3976" t="s">
        <v>1</v>
      </c>
      <c r="G3976" s="18">
        <v>74</v>
      </c>
      <c r="H3976" t="s">
        <v>16</v>
      </c>
      <c r="I3976" t="s">
        <v>21</v>
      </c>
    </row>
    <row r="3977" spans="1:9" x14ac:dyDescent="0.25">
      <c r="A3977">
        <v>1812</v>
      </c>
      <c r="B3977">
        <f>A3977+1</f>
        <v>1813</v>
      </c>
      <c r="C3977" t="s">
        <v>518</v>
      </c>
      <c r="D3977" t="s">
        <v>27</v>
      </c>
      <c r="E3977" s="208" t="s">
        <v>132</v>
      </c>
      <c r="F3977" t="s">
        <v>1</v>
      </c>
      <c r="G3977" s="18">
        <v>120</v>
      </c>
      <c r="H3977" t="s">
        <v>16</v>
      </c>
      <c r="I3977" t="s">
        <v>21</v>
      </c>
    </row>
    <row r="3978" spans="1:9" x14ac:dyDescent="0.25">
      <c r="A3978">
        <v>1812</v>
      </c>
      <c r="B3978">
        <f>A3978+1</f>
        <v>1813</v>
      </c>
      <c r="C3978" t="s">
        <v>518</v>
      </c>
      <c r="D3978" t="s">
        <v>27</v>
      </c>
      <c r="E3978" s="208" t="s">
        <v>142</v>
      </c>
      <c r="F3978" t="s">
        <v>1</v>
      </c>
      <c r="G3978" s="18">
        <v>152</v>
      </c>
      <c r="H3978" t="s">
        <v>16</v>
      </c>
      <c r="I3978" t="s">
        <v>21</v>
      </c>
    </row>
    <row r="3979" spans="1:9" x14ac:dyDescent="0.25">
      <c r="A3979">
        <v>1812</v>
      </c>
      <c r="B3979">
        <f>A3979+1</f>
        <v>1813</v>
      </c>
      <c r="C3979" t="s">
        <v>518</v>
      </c>
      <c r="D3979" t="s">
        <v>27</v>
      </c>
      <c r="E3979" s="208" t="s">
        <v>144</v>
      </c>
      <c r="F3979" t="s">
        <v>1</v>
      </c>
      <c r="G3979" s="18">
        <v>51</v>
      </c>
      <c r="H3979" t="s">
        <v>16</v>
      </c>
      <c r="I3979" t="s">
        <v>21</v>
      </c>
    </row>
    <row r="3980" spans="1:9" x14ac:dyDescent="0.25">
      <c r="A3980">
        <v>1812</v>
      </c>
      <c r="B3980">
        <f>A3980+1</f>
        <v>1813</v>
      </c>
      <c r="C3980" t="s">
        <v>518</v>
      </c>
      <c r="D3980" t="s">
        <v>27</v>
      </c>
      <c r="E3980" s="208" t="s">
        <v>124</v>
      </c>
      <c r="F3980" t="s">
        <v>1</v>
      </c>
      <c r="G3980" s="18">
        <v>146179</v>
      </c>
      <c r="H3980" t="s">
        <v>16</v>
      </c>
      <c r="I3980" t="s">
        <v>21</v>
      </c>
    </row>
    <row r="3981" spans="1:9" x14ac:dyDescent="0.25">
      <c r="A3981">
        <v>1812</v>
      </c>
      <c r="B3981">
        <f>A3981+1</f>
        <v>1813</v>
      </c>
      <c r="C3981" t="s">
        <v>518</v>
      </c>
      <c r="D3981" t="s">
        <v>27</v>
      </c>
      <c r="E3981" s="208" t="s">
        <v>155</v>
      </c>
      <c r="F3981" t="s">
        <v>6</v>
      </c>
      <c r="G3981" s="18">
        <v>0</v>
      </c>
      <c r="H3981" t="s">
        <v>16</v>
      </c>
      <c r="I3981" t="s">
        <v>25</v>
      </c>
    </row>
    <row r="3982" spans="1:9" x14ac:dyDescent="0.25">
      <c r="A3982">
        <v>1812</v>
      </c>
      <c r="B3982">
        <f>A3982+1</f>
        <v>1813</v>
      </c>
      <c r="C3982" t="s">
        <v>518</v>
      </c>
      <c r="D3982" t="s">
        <v>27</v>
      </c>
      <c r="E3982" s="208" t="s">
        <v>156</v>
      </c>
      <c r="F3982" t="s">
        <v>6</v>
      </c>
      <c r="G3982" s="18">
        <v>0</v>
      </c>
      <c r="H3982" t="s">
        <v>16</v>
      </c>
      <c r="I3982" t="s">
        <v>25</v>
      </c>
    </row>
    <row r="3983" spans="1:9" x14ac:dyDescent="0.25">
      <c r="A3983">
        <v>1812</v>
      </c>
      <c r="B3983">
        <f>A3983+1</f>
        <v>1813</v>
      </c>
      <c r="C3983" t="s">
        <v>518</v>
      </c>
      <c r="D3983" t="s">
        <v>27</v>
      </c>
      <c r="E3983" s="208" t="s">
        <v>154</v>
      </c>
      <c r="F3983" t="s">
        <v>6</v>
      </c>
      <c r="G3983" s="18">
        <v>2</v>
      </c>
      <c r="H3983" t="s">
        <v>16</v>
      </c>
      <c r="I3983" t="s">
        <v>25</v>
      </c>
    </row>
    <row r="3984" spans="1:9" x14ac:dyDescent="0.25">
      <c r="A3984">
        <v>1812</v>
      </c>
      <c r="B3984">
        <f>A3984+1</f>
        <v>1813</v>
      </c>
      <c r="C3984" t="s">
        <v>518</v>
      </c>
      <c r="D3984" t="s">
        <v>27</v>
      </c>
      <c r="E3984" s="208" t="s">
        <v>150</v>
      </c>
      <c r="F3984" t="s">
        <v>6</v>
      </c>
      <c r="G3984" s="18">
        <v>226</v>
      </c>
      <c r="H3984" t="s">
        <v>16</v>
      </c>
      <c r="I3984" t="s">
        <v>25</v>
      </c>
    </row>
    <row r="3985" spans="1:9" x14ac:dyDescent="0.25">
      <c r="A3985">
        <v>1812</v>
      </c>
      <c r="B3985">
        <f>A3985+1</f>
        <v>1813</v>
      </c>
      <c r="C3985" t="s">
        <v>518</v>
      </c>
      <c r="D3985" t="s">
        <v>27</v>
      </c>
      <c r="E3985" s="208" t="s">
        <v>148</v>
      </c>
      <c r="F3985" t="s">
        <v>6</v>
      </c>
      <c r="G3985" s="18">
        <v>61</v>
      </c>
      <c r="H3985" t="s">
        <v>16</v>
      </c>
      <c r="I3985" t="s">
        <v>25</v>
      </c>
    </row>
    <row r="3986" spans="1:9" x14ac:dyDescent="0.25">
      <c r="A3986">
        <v>1812</v>
      </c>
      <c r="B3986">
        <f>A3986+1</f>
        <v>1813</v>
      </c>
      <c r="C3986" t="s">
        <v>518</v>
      </c>
      <c r="D3986" t="s">
        <v>27</v>
      </c>
      <c r="E3986" s="208" t="s">
        <v>147</v>
      </c>
      <c r="F3986" t="s">
        <v>6</v>
      </c>
      <c r="G3986" s="18">
        <v>377</v>
      </c>
      <c r="H3986" t="s">
        <v>16</v>
      </c>
      <c r="I3986" t="s">
        <v>25</v>
      </c>
    </row>
    <row r="3987" spans="1:9" x14ac:dyDescent="0.25">
      <c r="A3987">
        <v>1812</v>
      </c>
      <c r="B3987">
        <f>A3987+1</f>
        <v>1813</v>
      </c>
      <c r="C3987" t="s">
        <v>518</v>
      </c>
      <c r="D3987" t="s">
        <v>27</v>
      </c>
      <c r="E3987" s="208" t="s">
        <v>149</v>
      </c>
      <c r="F3987" t="s">
        <v>6</v>
      </c>
      <c r="G3987" s="18">
        <v>874</v>
      </c>
      <c r="H3987" t="s">
        <v>16</v>
      </c>
      <c r="I3987" t="s">
        <v>25</v>
      </c>
    </row>
    <row r="3988" spans="1:9" x14ac:dyDescent="0.25">
      <c r="A3988">
        <v>1812</v>
      </c>
      <c r="B3988">
        <f>A3988+1</f>
        <v>1813</v>
      </c>
      <c r="C3988" t="s">
        <v>518</v>
      </c>
      <c r="D3988" t="s">
        <v>27</v>
      </c>
      <c r="E3988" s="208" t="s">
        <v>139</v>
      </c>
      <c r="F3988" t="s">
        <v>6</v>
      </c>
      <c r="G3988" s="18">
        <v>0</v>
      </c>
      <c r="H3988" t="s">
        <v>16</v>
      </c>
      <c r="I3988" t="s">
        <v>25</v>
      </c>
    </row>
    <row r="3989" spans="1:9" x14ac:dyDescent="0.25">
      <c r="A3989">
        <v>1812</v>
      </c>
      <c r="B3989">
        <f>A3989+1</f>
        <v>1813</v>
      </c>
      <c r="C3989" t="s">
        <v>518</v>
      </c>
      <c r="D3989" t="s">
        <v>27</v>
      </c>
      <c r="E3989" s="208" t="s">
        <v>130</v>
      </c>
      <c r="F3989" t="s">
        <v>6</v>
      </c>
      <c r="G3989" s="18">
        <v>0</v>
      </c>
      <c r="H3989" t="s">
        <v>16</v>
      </c>
      <c r="I3989" t="s">
        <v>25</v>
      </c>
    </row>
    <row r="3990" spans="1:9" x14ac:dyDescent="0.25">
      <c r="A3990">
        <v>1812</v>
      </c>
      <c r="B3990">
        <f>A3990+1</f>
        <v>1813</v>
      </c>
      <c r="C3990" t="s">
        <v>518</v>
      </c>
      <c r="D3990" t="s">
        <v>27</v>
      </c>
      <c r="E3990" s="208" t="s">
        <v>132</v>
      </c>
      <c r="F3990" t="s">
        <v>6</v>
      </c>
      <c r="G3990" s="18">
        <v>0</v>
      </c>
      <c r="H3990" t="s">
        <v>16</v>
      </c>
      <c r="I3990" t="s">
        <v>25</v>
      </c>
    </row>
    <row r="3991" spans="1:9" x14ac:dyDescent="0.25">
      <c r="A3991">
        <v>1812</v>
      </c>
      <c r="B3991">
        <f>A3991+1</f>
        <v>1813</v>
      </c>
      <c r="C3991" t="s">
        <v>518</v>
      </c>
      <c r="D3991" t="s">
        <v>27</v>
      </c>
      <c r="E3991" s="208" t="s">
        <v>142</v>
      </c>
      <c r="F3991" t="s">
        <v>6</v>
      </c>
      <c r="G3991" s="18">
        <v>0</v>
      </c>
      <c r="H3991" t="s">
        <v>16</v>
      </c>
      <c r="I3991" t="s">
        <v>25</v>
      </c>
    </row>
    <row r="3992" spans="1:9" x14ac:dyDescent="0.25">
      <c r="A3992">
        <v>1812</v>
      </c>
      <c r="B3992">
        <f>A3992+1</f>
        <v>1813</v>
      </c>
      <c r="C3992" t="s">
        <v>518</v>
      </c>
      <c r="D3992" t="s">
        <v>27</v>
      </c>
      <c r="E3992" s="208" t="s">
        <v>144</v>
      </c>
      <c r="F3992" t="s">
        <v>6</v>
      </c>
      <c r="G3992" s="18">
        <v>0</v>
      </c>
      <c r="H3992" t="s">
        <v>16</v>
      </c>
      <c r="I3992" t="s">
        <v>25</v>
      </c>
    </row>
    <row r="3993" spans="1:9" x14ac:dyDescent="0.25">
      <c r="A3993">
        <v>1812</v>
      </c>
      <c r="B3993">
        <f>A3993+1</f>
        <v>1813</v>
      </c>
      <c r="C3993" t="s">
        <v>518</v>
      </c>
      <c r="D3993" t="s">
        <v>27</v>
      </c>
      <c r="E3993" s="208" t="s">
        <v>124</v>
      </c>
      <c r="F3993" t="s">
        <v>6</v>
      </c>
      <c r="G3993" s="18">
        <v>0</v>
      </c>
      <c r="H3993" t="s">
        <v>16</v>
      </c>
      <c r="I3993" t="s">
        <v>25</v>
      </c>
    </row>
    <row r="3994" spans="1:9" x14ac:dyDescent="0.25">
      <c r="A3994">
        <v>1812</v>
      </c>
      <c r="B3994">
        <f>A3994+1</f>
        <v>1813</v>
      </c>
      <c r="C3994" t="s">
        <v>518</v>
      </c>
      <c r="D3994" t="s">
        <v>26</v>
      </c>
      <c r="E3994" s="208" t="s">
        <v>62</v>
      </c>
      <c r="F3994" t="s">
        <v>6</v>
      </c>
      <c r="G3994" s="18">
        <v>9271</v>
      </c>
      <c r="H3994" t="s">
        <v>25</v>
      </c>
      <c r="I3994" t="s">
        <v>16</v>
      </c>
    </row>
    <row r="3995" spans="1:9" x14ac:dyDescent="0.25">
      <c r="A3995">
        <v>1812</v>
      </c>
      <c r="B3995">
        <f>A3995+1</f>
        <v>1813</v>
      </c>
      <c r="C3995" t="s">
        <v>518</v>
      </c>
      <c r="D3995" t="s">
        <v>26</v>
      </c>
      <c r="E3995" s="208" t="s">
        <v>35</v>
      </c>
      <c r="F3995" t="s">
        <v>6</v>
      </c>
      <c r="G3995" s="18">
        <v>912</v>
      </c>
      <c r="H3995" t="s">
        <v>25</v>
      </c>
      <c r="I3995" t="s">
        <v>16</v>
      </c>
    </row>
    <row r="3996" spans="1:9" x14ac:dyDescent="0.25">
      <c r="A3996">
        <v>1812</v>
      </c>
      <c r="B3996">
        <f>A3996+1</f>
        <v>1813</v>
      </c>
      <c r="C3996" t="s">
        <v>518</v>
      </c>
      <c r="D3996" t="s">
        <v>26</v>
      </c>
      <c r="E3996" s="208" t="s">
        <v>95</v>
      </c>
      <c r="F3996" t="s">
        <v>6</v>
      </c>
      <c r="G3996" s="18">
        <v>4664</v>
      </c>
      <c r="H3996" t="s">
        <v>25</v>
      </c>
      <c r="I3996" t="s">
        <v>16</v>
      </c>
    </row>
    <row r="3997" spans="1:9" x14ac:dyDescent="0.25">
      <c r="A3997">
        <v>1812</v>
      </c>
      <c r="B3997">
        <f>A3997+1</f>
        <v>1813</v>
      </c>
      <c r="C3997" t="s">
        <v>518</v>
      </c>
      <c r="D3997" t="s">
        <v>26</v>
      </c>
      <c r="E3997" s="208" t="s">
        <v>94</v>
      </c>
      <c r="F3997" t="s">
        <v>6</v>
      </c>
      <c r="G3997" s="18">
        <v>7519</v>
      </c>
      <c r="H3997" t="s">
        <v>25</v>
      </c>
      <c r="I3997" t="s">
        <v>16</v>
      </c>
    </row>
    <row r="3998" spans="1:9" x14ac:dyDescent="0.25">
      <c r="A3998">
        <v>1812</v>
      </c>
      <c r="B3998">
        <f>A3998+1</f>
        <v>1813</v>
      </c>
      <c r="C3998" t="s">
        <v>518</v>
      </c>
      <c r="D3998" t="s">
        <v>26</v>
      </c>
      <c r="E3998" s="208" t="s">
        <v>382</v>
      </c>
      <c r="F3998" t="s">
        <v>6</v>
      </c>
      <c r="G3998" s="18">
        <v>9174</v>
      </c>
      <c r="H3998" t="s">
        <v>25</v>
      </c>
      <c r="I3998" t="s">
        <v>16</v>
      </c>
    </row>
    <row r="3999" spans="1:9" x14ac:dyDescent="0.25">
      <c r="A3999">
        <v>1812</v>
      </c>
      <c r="B3999">
        <f>A3999+1</f>
        <v>1813</v>
      </c>
      <c r="C3999" t="s">
        <v>518</v>
      </c>
      <c r="D3999" t="s">
        <v>26</v>
      </c>
      <c r="E3999" s="208" t="s">
        <v>53</v>
      </c>
      <c r="F3999" t="s">
        <v>6</v>
      </c>
      <c r="G3999" s="18">
        <v>41417</v>
      </c>
      <c r="H3999" t="s">
        <v>25</v>
      </c>
      <c r="I3999" t="s">
        <v>16</v>
      </c>
    </row>
    <row r="4000" spans="1:9" x14ac:dyDescent="0.25">
      <c r="A4000">
        <v>1812</v>
      </c>
      <c r="B4000">
        <f>A4000+1</f>
        <v>1813</v>
      </c>
      <c r="C4000" t="s">
        <v>518</v>
      </c>
      <c r="D4000" t="s">
        <v>26</v>
      </c>
      <c r="E4000" s="208" t="s">
        <v>383</v>
      </c>
      <c r="F4000" t="s">
        <v>6</v>
      </c>
      <c r="G4000" s="18">
        <v>2409</v>
      </c>
      <c r="H4000" t="s">
        <v>25</v>
      </c>
      <c r="I4000" t="s">
        <v>16</v>
      </c>
    </row>
    <row r="4001" spans="1:9" x14ac:dyDescent="0.25">
      <c r="A4001">
        <v>1812</v>
      </c>
      <c r="B4001">
        <f>A4001+1</f>
        <v>1813</v>
      </c>
      <c r="C4001" t="s">
        <v>518</v>
      </c>
      <c r="D4001" t="s">
        <v>26</v>
      </c>
      <c r="E4001" s="208" t="s">
        <v>384</v>
      </c>
      <c r="F4001" t="s">
        <v>6</v>
      </c>
      <c r="G4001" s="18">
        <v>950</v>
      </c>
      <c r="H4001" t="s">
        <v>25</v>
      </c>
      <c r="I4001" t="s">
        <v>16</v>
      </c>
    </row>
    <row r="4002" spans="1:9" x14ac:dyDescent="0.25">
      <c r="A4002">
        <v>1812</v>
      </c>
      <c r="B4002">
        <f>A4002+1</f>
        <v>1813</v>
      </c>
      <c r="C4002" t="s">
        <v>518</v>
      </c>
      <c r="D4002" t="s">
        <v>27</v>
      </c>
      <c r="E4002" s="208" t="s">
        <v>155</v>
      </c>
      <c r="F4002" t="s">
        <v>4</v>
      </c>
      <c r="G4002" s="18">
        <v>0</v>
      </c>
      <c r="H4002" t="s">
        <v>16</v>
      </c>
      <c r="I4002" t="s">
        <v>23</v>
      </c>
    </row>
    <row r="4003" spans="1:9" x14ac:dyDescent="0.25">
      <c r="A4003">
        <v>1812</v>
      </c>
      <c r="B4003">
        <f>A4003+1</f>
        <v>1813</v>
      </c>
      <c r="C4003" t="s">
        <v>518</v>
      </c>
      <c r="D4003" t="s">
        <v>27</v>
      </c>
      <c r="E4003" s="208" t="s">
        <v>156</v>
      </c>
      <c r="F4003" t="s">
        <v>4</v>
      </c>
      <c r="G4003" s="18">
        <v>0</v>
      </c>
      <c r="H4003" t="s">
        <v>16</v>
      </c>
      <c r="I4003" t="s">
        <v>23</v>
      </c>
    </row>
    <row r="4004" spans="1:9" x14ac:dyDescent="0.25">
      <c r="A4004">
        <v>1812</v>
      </c>
      <c r="B4004">
        <f>A4004+1</f>
        <v>1813</v>
      </c>
      <c r="C4004" t="s">
        <v>518</v>
      </c>
      <c r="D4004" t="s">
        <v>27</v>
      </c>
      <c r="E4004" s="208" t="s">
        <v>154</v>
      </c>
      <c r="F4004" t="s">
        <v>4</v>
      </c>
      <c r="G4004" s="18">
        <v>0</v>
      </c>
      <c r="H4004" t="s">
        <v>16</v>
      </c>
      <c r="I4004" t="s">
        <v>23</v>
      </c>
    </row>
    <row r="4005" spans="1:9" x14ac:dyDescent="0.25">
      <c r="A4005">
        <v>1812</v>
      </c>
      <c r="B4005">
        <f>A4005+1</f>
        <v>1813</v>
      </c>
      <c r="C4005" t="s">
        <v>518</v>
      </c>
      <c r="D4005" t="s">
        <v>27</v>
      </c>
      <c r="E4005" s="208" t="s">
        <v>150</v>
      </c>
      <c r="F4005" t="s">
        <v>4</v>
      </c>
      <c r="G4005" s="18">
        <v>11</v>
      </c>
      <c r="H4005" t="s">
        <v>16</v>
      </c>
      <c r="I4005" t="s">
        <v>23</v>
      </c>
    </row>
    <row r="4006" spans="1:9" x14ac:dyDescent="0.25">
      <c r="A4006">
        <v>1812</v>
      </c>
      <c r="B4006">
        <f>A4006+1</f>
        <v>1813</v>
      </c>
      <c r="C4006" t="s">
        <v>518</v>
      </c>
      <c r="D4006" t="s">
        <v>27</v>
      </c>
      <c r="E4006" s="208" t="s">
        <v>148</v>
      </c>
      <c r="F4006" t="s">
        <v>4</v>
      </c>
      <c r="G4006" s="18">
        <v>0</v>
      </c>
      <c r="H4006" t="s">
        <v>16</v>
      </c>
      <c r="I4006" t="s">
        <v>23</v>
      </c>
    </row>
    <row r="4007" spans="1:9" x14ac:dyDescent="0.25">
      <c r="A4007">
        <v>1812</v>
      </c>
      <c r="B4007">
        <f>A4007+1</f>
        <v>1813</v>
      </c>
      <c r="C4007" t="s">
        <v>518</v>
      </c>
      <c r="D4007" t="s">
        <v>27</v>
      </c>
      <c r="E4007" s="208" t="s">
        <v>147</v>
      </c>
      <c r="F4007" t="s">
        <v>4</v>
      </c>
      <c r="G4007" s="18">
        <v>0</v>
      </c>
      <c r="H4007" t="s">
        <v>16</v>
      </c>
      <c r="I4007" t="s">
        <v>23</v>
      </c>
    </row>
    <row r="4008" spans="1:9" x14ac:dyDescent="0.25">
      <c r="A4008">
        <v>1812</v>
      </c>
      <c r="B4008">
        <f>A4008+1</f>
        <v>1813</v>
      </c>
      <c r="C4008" t="s">
        <v>518</v>
      </c>
      <c r="D4008" t="s">
        <v>27</v>
      </c>
      <c r="E4008" s="208" t="s">
        <v>149</v>
      </c>
      <c r="F4008" t="s">
        <v>4</v>
      </c>
      <c r="G4008" s="18">
        <v>0</v>
      </c>
      <c r="H4008" t="s">
        <v>16</v>
      </c>
      <c r="I4008" t="s">
        <v>23</v>
      </c>
    </row>
    <row r="4009" spans="1:9" x14ac:dyDescent="0.25">
      <c r="A4009">
        <v>1812</v>
      </c>
      <c r="B4009">
        <f>A4009+1</f>
        <v>1813</v>
      </c>
      <c r="C4009" t="s">
        <v>518</v>
      </c>
      <c r="D4009" t="s">
        <v>27</v>
      </c>
      <c r="E4009" s="208" t="s">
        <v>139</v>
      </c>
      <c r="F4009" t="s">
        <v>4</v>
      </c>
      <c r="G4009" s="18">
        <v>18</v>
      </c>
      <c r="H4009" t="s">
        <v>16</v>
      </c>
      <c r="I4009" t="s">
        <v>23</v>
      </c>
    </row>
    <row r="4010" spans="1:9" x14ac:dyDescent="0.25">
      <c r="A4010">
        <v>1812</v>
      </c>
      <c r="B4010">
        <f>A4010+1</f>
        <v>1813</v>
      </c>
      <c r="C4010" t="s">
        <v>518</v>
      </c>
      <c r="D4010" t="s">
        <v>27</v>
      </c>
      <c r="E4010" s="208" t="s">
        <v>130</v>
      </c>
      <c r="F4010" t="s">
        <v>4</v>
      </c>
      <c r="G4010" s="18">
        <v>0</v>
      </c>
      <c r="H4010" t="s">
        <v>16</v>
      </c>
      <c r="I4010" t="s">
        <v>23</v>
      </c>
    </row>
    <row r="4011" spans="1:9" x14ac:dyDescent="0.25">
      <c r="A4011">
        <v>1812</v>
      </c>
      <c r="B4011">
        <f>A4011+1</f>
        <v>1813</v>
      </c>
      <c r="C4011" t="s">
        <v>518</v>
      </c>
      <c r="D4011" t="s">
        <v>27</v>
      </c>
      <c r="E4011" s="208" t="s">
        <v>132</v>
      </c>
      <c r="F4011" t="s">
        <v>4</v>
      </c>
      <c r="G4011" s="18">
        <v>0</v>
      </c>
      <c r="H4011" t="s">
        <v>16</v>
      </c>
      <c r="I4011" t="s">
        <v>23</v>
      </c>
    </row>
    <row r="4012" spans="1:9" x14ac:dyDescent="0.25">
      <c r="A4012">
        <v>1812</v>
      </c>
      <c r="B4012">
        <f>A4012+1</f>
        <v>1813</v>
      </c>
      <c r="C4012" t="s">
        <v>518</v>
      </c>
      <c r="D4012" t="s">
        <v>27</v>
      </c>
      <c r="E4012" s="208" t="s">
        <v>142</v>
      </c>
      <c r="F4012" t="s">
        <v>4</v>
      </c>
      <c r="G4012" s="18">
        <v>0</v>
      </c>
      <c r="H4012" t="s">
        <v>16</v>
      </c>
      <c r="I4012" t="s">
        <v>23</v>
      </c>
    </row>
    <row r="4013" spans="1:9" x14ac:dyDescent="0.25">
      <c r="A4013">
        <v>1812</v>
      </c>
      <c r="B4013">
        <f>A4013+1</f>
        <v>1813</v>
      </c>
      <c r="C4013" t="s">
        <v>518</v>
      </c>
      <c r="D4013" t="s">
        <v>27</v>
      </c>
      <c r="E4013" s="208" t="s">
        <v>144</v>
      </c>
      <c r="F4013" t="s">
        <v>4</v>
      </c>
      <c r="G4013" s="18">
        <v>15</v>
      </c>
      <c r="H4013" t="s">
        <v>16</v>
      </c>
      <c r="I4013" t="s">
        <v>23</v>
      </c>
    </row>
    <row r="4014" spans="1:9" x14ac:dyDescent="0.25">
      <c r="A4014">
        <v>1812</v>
      </c>
      <c r="B4014">
        <f>A4014+1</f>
        <v>1813</v>
      </c>
      <c r="C4014" t="s">
        <v>518</v>
      </c>
      <c r="D4014" t="s">
        <v>27</v>
      </c>
      <c r="E4014" s="208" t="s">
        <v>124</v>
      </c>
      <c r="F4014" t="s">
        <v>4</v>
      </c>
      <c r="G4014" s="18">
        <v>0</v>
      </c>
      <c r="H4014" t="s">
        <v>16</v>
      </c>
      <c r="I4014" t="s">
        <v>23</v>
      </c>
    </row>
    <row r="4015" spans="1:9" x14ac:dyDescent="0.25">
      <c r="A4015">
        <v>1812</v>
      </c>
      <c r="B4015">
        <f>A4015+1</f>
        <v>1813</v>
      </c>
      <c r="C4015" t="s">
        <v>518</v>
      </c>
      <c r="D4015" t="s">
        <v>26</v>
      </c>
      <c r="E4015" s="208" t="s">
        <v>62</v>
      </c>
      <c r="F4015" t="s">
        <v>4</v>
      </c>
      <c r="G4015" s="18">
        <v>1359</v>
      </c>
      <c r="H4015" t="s">
        <v>23</v>
      </c>
      <c r="I4015" t="s">
        <v>16</v>
      </c>
    </row>
    <row r="4016" spans="1:9" x14ac:dyDescent="0.25">
      <c r="A4016">
        <v>1812</v>
      </c>
      <c r="B4016">
        <f>A4016+1</f>
        <v>1813</v>
      </c>
      <c r="C4016" t="s">
        <v>518</v>
      </c>
      <c r="D4016" t="s">
        <v>26</v>
      </c>
      <c r="E4016" s="208" t="s">
        <v>35</v>
      </c>
      <c r="F4016" t="s">
        <v>4</v>
      </c>
      <c r="G4016" s="18">
        <v>300</v>
      </c>
      <c r="H4016" t="s">
        <v>23</v>
      </c>
      <c r="I4016" t="s">
        <v>16</v>
      </c>
    </row>
    <row r="4017" spans="1:9" x14ac:dyDescent="0.25">
      <c r="A4017">
        <v>1812</v>
      </c>
      <c r="B4017">
        <f>A4017+1</f>
        <v>1813</v>
      </c>
      <c r="C4017" t="s">
        <v>518</v>
      </c>
      <c r="D4017" t="s">
        <v>26</v>
      </c>
      <c r="E4017" s="208" t="s">
        <v>36</v>
      </c>
      <c r="F4017" t="s">
        <v>4</v>
      </c>
      <c r="G4017" s="18">
        <v>431</v>
      </c>
      <c r="H4017" t="s">
        <v>23</v>
      </c>
      <c r="I4017" t="s">
        <v>16</v>
      </c>
    </row>
    <row r="4018" spans="1:9" x14ac:dyDescent="0.25">
      <c r="A4018">
        <v>1812</v>
      </c>
      <c r="B4018">
        <f>A4018+1</f>
        <v>1813</v>
      </c>
      <c r="C4018" t="s">
        <v>518</v>
      </c>
      <c r="D4018" t="s">
        <v>26</v>
      </c>
      <c r="E4018" s="208" t="s">
        <v>39</v>
      </c>
      <c r="F4018" t="s">
        <v>4</v>
      </c>
      <c r="G4018" s="18">
        <v>130</v>
      </c>
      <c r="H4018" t="s">
        <v>23</v>
      </c>
      <c r="I4018" t="s">
        <v>16</v>
      </c>
    </row>
    <row r="4019" spans="1:9" x14ac:dyDescent="0.25">
      <c r="A4019">
        <v>1812</v>
      </c>
      <c r="B4019">
        <f>A4019+1</f>
        <v>1813</v>
      </c>
      <c r="C4019" t="s">
        <v>518</v>
      </c>
      <c r="D4019" t="s">
        <v>26</v>
      </c>
      <c r="E4019" s="208" t="s">
        <v>99</v>
      </c>
      <c r="F4019" t="s">
        <v>4</v>
      </c>
      <c r="G4019" s="18">
        <v>45</v>
      </c>
      <c r="H4019" t="s">
        <v>23</v>
      </c>
      <c r="I4019" t="s">
        <v>16</v>
      </c>
    </row>
    <row r="4020" spans="1:9" x14ac:dyDescent="0.25">
      <c r="A4020">
        <v>1812</v>
      </c>
      <c r="B4020">
        <f>A4020+1</f>
        <v>1813</v>
      </c>
      <c r="C4020" t="s">
        <v>518</v>
      </c>
      <c r="D4020" t="s">
        <v>26</v>
      </c>
      <c r="E4020" s="208" t="s">
        <v>387</v>
      </c>
      <c r="F4020" t="s">
        <v>4</v>
      </c>
      <c r="G4020" s="18">
        <v>300</v>
      </c>
      <c r="H4020" t="s">
        <v>23</v>
      </c>
      <c r="I4020" t="s">
        <v>16</v>
      </c>
    </row>
    <row r="4021" spans="1:9" x14ac:dyDescent="0.25">
      <c r="A4021">
        <v>1812</v>
      </c>
      <c r="B4021">
        <f>A4021+1</f>
        <v>1813</v>
      </c>
      <c r="C4021" t="s">
        <v>518</v>
      </c>
      <c r="D4021" t="s">
        <v>26</v>
      </c>
      <c r="E4021" s="208" t="s">
        <v>386</v>
      </c>
      <c r="F4021" t="s">
        <v>4</v>
      </c>
      <c r="G4021" s="18">
        <v>277</v>
      </c>
      <c r="H4021" t="s">
        <v>23</v>
      </c>
      <c r="I4021" t="s">
        <v>16</v>
      </c>
    </row>
    <row r="4022" spans="1:9" x14ac:dyDescent="0.25">
      <c r="A4022">
        <v>1812</v>
      </c>
      <c r="B4022">
        <f>A4022+1</f>
        <v>1813</v>
      </c>
      <c r="C4022" t="s">
        <v>518</v>
      </c>
      <c r="D4022" t="s">
        <v>26</v>
      </c>
      <c r="E4022" s="208" t="s">
        <v>383</v>
      </c>
      <c r="F4022" t="s">
        <v>4</v>
      </c>
      <c r="G4022" s="18">
        <v>3</v>
      </c>
      <c r="H4022" t="s">
        <v>23</v>
      </c>
      <c r="I4022" t="s">
        <v>16</v>
      </c>
    </row>
    <row r="4023" spans="1:9" x14ac:dyDescent="0.25">
      <c r="A4023">
        <v>1812</v>
      </c>
      <c r="B4023">
        <f>A4023+1</f>
        <v>1813</v>
      </c>
      <c r="C4023" t="s">
        <v>518</v>
      </c>
      <c r="D4023" t="s">
        <v>26</v>
      </c>
      <c r="E4023" s="208" t="s">
        <v>384</v>
      </c>
      <c r="F4023" t="s">
        <v>4</v>
      </c>
      <c r="G4023" s="18">
        <v>0</v>
      </c>
      <c r="H4023" t="s">
        <v>23</v>
      </c>
      <c r="I4023" t="s">
        <v>16</v>
      </c>
    </row>
    <row r="4024" spans="1:9" x14ac:dyDescent="0.25">
      <c r="A4024">
        <v>1812</v>
      </c>
      <c r="B4024">
        <f>A4024+1</f>
        <v>1813</v>
      </c>
      <c r="C4024" t="s">
        <v>518</v>
      </c>
      <c r="D4024" t="s">
        <v>26</v>
      </c>
      <c r="E4024" s="208" t="s">
        <v>75</v>
      </c>
      <c r="F4024" t="s">
        <v>4</v>
      </c>
      <c r="G4024" s="18">
        <v>1105533</v>
      </c>
      <c r="H4024" t="s">
        <v>23</v>
      </c>
      <c r="I4024" t="s">
        <v>16</v>
      </c>
    </row>
    <row r="4025" spans="1:9" x14ac:dyDescent="0.25">
      <c r="A4025">
        <v>1812</v>
      </c>
      <c r="B4025">
        <f>A4025+1</f>
        <v>1813</v>
      </c>
      <c r="C4025" t="s">
        <v>518</v>
      </c>
      <c r="D4025" t="s">
        <v>26</v>
      </c>
      <c r="E4025" s="208" t="s">
        <v>107</v>
      </c>
      <c r="F4025" t="s">
        <v>4</v>
      </c>
      <c r="G4025" s="18">
        <v>700429</v>
      </c>
      <c r="H4025" t="s">
        <v>23</v>
      </c>
      <c r="I4025" t="s">
        <v>16</v>
      </c>
    </row>
    <row r="4026" spans="1:9" x14ac:dyDescent="0.25">
      <c r="A4026">
        <v>1812</v>
      </c>
      <c r="B4026">
        <f>A4026+1</f>
        <v>1813</v>
      </c>
      <c r="C4026" t="s">
        <v>518</v>
      </c>
      <c r="D4026" t="s">
        <v>26</v>
      </c>
      <c r="E4026" s="208" t="s">
        <v>101</v>
      </c>
      <c r="F4026" t="s">
        <v>4</v>
      </c>
      <c r="G4026" s="18">
        <v>371750</v>
      </c>
      <c r="H4026" t="s">
        <v>23</v>
      </c>
      <c r="I4026" t="s">
        <v>16</v>
      </c>
    </row>
    <row r="4027" spans="1:9" x14ac:dyDescent="0.25">
      <c r="A4027">
        <v>1812</v>
      </c>
      <c r="B4027">
        <f>A4027+1</f>
        <v>1813</v>
      </c>
      <c r="C4027" t="s">
        <v>518</v>
      </c>
      <c r="D4027" t="s">
        <v>27</v>
      </c>
      <c r="E4027" s="208" t="s">
        <v>155</v>
      </c>
      <c r="F4027" t="s">
        <v>7</v>
      </c>
      <c r="G4027" s="18">
        <v>25529</v>
      </c>
      <c r="H4027" t="s">
        <v>16</v>
      </c>
      <c r="I4027" s="151" t="s">
        <v>562</v>
      </c>
    </row>
    <row r="4028" spans="1:9" x14ac:dyDescent="0.25">
      <c r="A4028">
        <v>1812</v>
      </c>
      <c r="B4028">
        <f>A4028+1</f>
        <v>1813</v>
      </c>
      <c r="C4028" t="s">
        <v>518</v>
      </c>
      <c r="D4028" t="s">
        <v>27</v>
      </c>
      <c r="E4028" s="208" t="s">
        <v>156</v>
      </c>
      <c r="F4028" t="s">
        <v>7</v>
      </c>
      <c r="G4028" s="18">
        <v>2171</v>
      </c>
      <c r="H4028" t="s">
        <v>16</v>
      </c>
      <c r="I4028" s="151" t="s">
        <v>562</v>
      </c>
    </row>
    <row r="4029" spans="1:9" x14ac:dyDescent="0.25">
      <c r="A4029">
        <v>1812</v>
      </c>
      <c r="B4029">
        <f>A4029+1</f>
        <v>1813</v>
      </c>
      <c r="C4029" t="s">
        <v>518</v>
      </c>
      <c r="D4029" t="s">
        <v>27</v>
      </c>
      <c r="E4029" s="208" t="s">
        <v>154</v>
      </c>
      <c r="F4029" t="s">
        <v>7</v>
      </c>
      <c r="G4029" s="18">
        <v>1500</v>
      </c>
      <c r="H4029" t="s">
        <v>16</v>
      </c>
      <c r="I4029" s="151" t="s">
        <v>562</v>
      </c>
    </row>
    <row r="4030" spans="1:9" x14ac:dyDescent="0.25">
      <c r="A4030">
        <v>1812</v>
      </c>
      <c r="B4030">
        <f>A4030+1</f>
        <v>1813</v>
      </c>
      <c r="C4030" t="s">
        <v>518</v>
      </c>
      <c r="D4030" t="s">
        <v>27</v>
      </c>
      <c r="E4030" s="208" t="s">
        <v>150</v>
      </c>
      <c r="F4030" t="s">
        <v>7</v>
      </c>
      <c r="G4030" s="18">
        <v>12656</v>
      </c>
      <c r="H4030" t="s">
        <v>16</v>
      </c>
      <c r="I4030" s="151" t="s">
        <v>562</v>
      </c>
    </row>
    <row r="4031" spans="1:9" x14ac:dyDescent="0.25">
      <c r="A4031">
        <v>1812</v>
      </c>
      <c r="B4031">
        <f>A4031+1</f>
        <v>1813</v>
      </c>
      <c r="C4031" t="s">
        <v>518</v>
      </c>
      <c r="D4031" t="s">
        <v>27</v>
      </c>
      <c r="E4031" s="208" t="s">
        <v>148</v>
      </c>
      <c r="F4031" t="s">
        <v>7</v>
      </c>
      <c r="G4031" s="18">
        <v>835</v>
      </c>
      <c r="H4031" t="s">
        <v>16</v>
      </c>
      <c r="I4031" s="151" t="s">
        <v>562</v>
      </c>
    </row>
    <row r="4032" spans="1:9" x14ac:dyDescent="0.25">
      <c r="A4032">
        <v>1812</v>
      </c>
      <c r="B4032">
        <f>A4032+1</f>
        <v>1813</v>
      </c>
      <c r="C4032" t="s">
        <v>518</v>
      </c>
      <c r="D4032" t="s">
        <v>27</v>
      </c>
      <c r="E4032" s="208" t="s">
        <v>147</v>
      </c>
      <c r="F4032" t="s">
        <v>7</v>
      </c>
      <c r="G4032" s="18">
        <v>377</v>
      </c>
      <c r="H4032" t="s">
        <v>16</v>
      </c>
      <c r="I4032" s="151" t="s">
        <v>562</v>
      </c>
    </row>
    <row r="4033" spans="1:9" x14ac:dyDescent="0.25">
      <c r="A4033">
        <v>1812</v>
      </c>
      <c r="B4033">
        <f>A4033+1</f>
        <v>1813</v>
      </c>
      <c r="C4033" t="s">
        <v>518</v>
      </c>
      <c r="D4033" t="s">
        <v>27</v>
      </c>
      <c r="E4033" s="208" t="s">
        <v>149</v>
      </c>
      <c r="F4033" t="s">
        <v>7</v>
      </c>
      <c r="G4033" s="18">
        <v>874</v>
      </c>
      <c r="H4033" t="s">
        <v>16</v>
      </c>
      <c r="I4033" s="151" t="s">
        <v>562</v>
      </c>
    </row>
    <row r="4034" spans="1:9" x14ac:dyDescent="0.25">
      <c r="A4034">
        <v>1812</v>
      </c>
      <c r="B4034">
        <f>A4034+1</f>
        <v>1813</v>
      </c>
      <c r="C4034" t="s">
        <v>518</v>
      </c>
      <c r="D4034" t="s">
        <v>27</v>
      </c>
      <c r="E4034" s="208" t="s">
        <v>139</v>
      </c>
      <c r="F4034" t="s">
        <v>7</v>
      </c>
      <c r="G4034" s="18">
        <v>65</v>
      </c>
      <c r="H4034" t="s">
        <v>16</v>
      </c>
      <c r="I4034" s="151" t="s">
        <v>562</v>
      </c>
    </row>
    <row r="4035" spans="1:9" x14ac:dyDescent="0.25">
      <c r="A4035">
        <v>1812</v>
      </c>
      <c r="B4035">
        <f>A4035+1</f>
        <v>1813</v>
      </c>
      <c r="C4035" t="s">
        <v>518</v>
      </c>
      <c r="D4035" t="s">
        <v>27</v>
      </c>
      <c r="E4035" s="208" t="s">
        <v>130</v>
      </c>
      <c r="F4035" t="s">
        <v>7</v>
      </c>
      <c r="G4035" s="18">
        <v>580</v>
      </c>
      <c r="H4035" t="s">
        <v>16</v>
      </c>
      <c r="I4035" s="151" t="s">
        <v>562</v>
      </c>
    </row>
    <row r="4036" spans="1:9" x14ac:dyDescent="0.25">
      <c r="A4036">
        <v>1812</v>
      </c>
      <c r="B4036">
        <f>A4036+1</f>
        <v>1813</v>
      </c>
      <c r="C4036" t="s">
        <v>518</v>
      </c>
      <c r="D4036" t="s">
        <v>27</v>
      </c>
      <c r="E4036" s="208" t="s">
        <v>132</v>
      </c>
      <c r="F4036" t="s">
        <v>7</v>
      </c>
      <c r="G4036" s="18">
        <v>445</v>
      </c>
      <c r="H4036" t="s">
        <v>16</v>
      </c>
      <c r="I4036" s="151" t="s">
        <v>562</v>
      </c>
    </row>
    <row r="4037" spans="1:9" x14ac:dyDescent="0.25">
      <c r="A4037">
        <v>1812</v>
      </c>
      <c r="B4037">
        <f>A4037+1</f>
        <v>1813</v>
      </c>
      <c r="C4037" t="s">
        <v>518</v>
      </c>
      <c r="D4037" t="s">
        <v>27</v>
      </c>
      <c r="E4037" s="208" t="s">
        <v>142</v>
      </c>
      <c r="F4037" t="s">
        <v>7</v>
      </c>
      <c r="G4037" s="18">
        <v>2351</v>
      </c>
      <c r="H4037" t="s">
        <v>16</v>
      </c>
      <c r="I4037" s="151" t="s">
        <v>562</v>
      </c>
    </row>
    <row r="4038" spans="1:9" x14ac:dyDescent="0.25">
      <c r="A4038">
        <v>1812</v>
      </c>
      <c r="B4038">
        <f>A4038+1</f>
        <v>1813</v>
      </c>
      <c r="C4038" t="s">
        <v>518</v>
      </c>
      <c r="D4038" t="s">
        <v>27</v>
      </c>
      <c r="E4038" s="208" t="s">
        <v>144</v>
      </c>
      <c r="F4038" t="s">
        <v>7</v>
      </c>
      <c r="G4038" s="18">
        <v>708</v>
      </c>
      <c r="H4038" t="s">
        <v>16</v>
      </c>
      <c r="I4038" s="151" t="s">
        <v>562</v>
      </c>
    </row>
    <row r="4039" spans="1:9" x14ac:dyDescent="0.25">
      <c r="A4039">
        <v>1812</v>
      </c>
      <c r="B4039">
        <f>A4039+1</f>
        <v>1813</v>
      </c>
      <c r="C4039" t="s">
        <v>518</v>
      </c>
      <c r="D4039" t="s">
        <v>27</v>
      </c>
      <c r="E4039" s="208" t="s">
        <v>124</v>
      </c>
      <c r="F4039" t="s">
        <v>7</v>
      </c>
      <c r="G4039" s="18">
        <v>14953574</v>
      </c>
      <c r="H4039" t="s">
        <v>16</v>
      </c>
      <c r="I4039" s="151" t="s">
        <v>562</v>
      </c>
    </row>
    <row r="4040" spans="1:9" x14ac:dyDescent="0.25">
      <c r="A4040">
        <v>1812</v>
      </c>
      <c r="B4040">
        <f>A4040+1</f>
        <v>1813</v>
      </c>
      <c r="C4040" t="s">
        <v>518</v>
      </c>
      <c r="D4040" t="s">
        <v>26</v>
      </c>
      <c r="E4040" s="208" t="s">
        <v>62</v>
      </c>
      <c r="F4040" t="s">
        <v>7</v>
      </c>
      <c r="G4040" s="18">
        <v>19295</v>
      </c>
      <c r="H4040" s="151" t="s">
        <v>563</v>
      </c>
      <c r="I4040" t="s">
        <v>16</v>
      </c>
    </row>
    <row r="4041" spans="1:9" x14ac:dyDescent="0.25">
      <c r="A4041">
        <v>1812</v>
      </c>
      <c r="B4041">
        <f>A4041+1</f>
        <v>1813</v>
      </c>
      <c r="C4041" t="s">
        <v>518</v>
      </c>
      <c r="D4041" t="s">
        <v>26</v>
      </c>
      <c r="E4041" s="208" t="s">
        <v>55</v>
      </c>
      <c r="F4041" t="s">
        <v>7</v>
      </c>
      <c r="G4041" s="18">
        <v>365</v>
      </c>
      <c r="H4041" s="151" t="s">
        <v>563</v>
      </c>
      <c r="I4041" t="s">
        <v>16</v>
      </c>
    </row>
    <row r="4042" spans="1:9" x14ac:dyDescent="0.25">
      <c r="A4042">
        <v>1812</v>
      </c>
      <c r="B4042">
        <f>A4042+1</f>
        <v>1813</v>
      </c>
      <c r="C4042" t="s">
        <v>518</v>
      </c>
      <c r="D4042" t="s">
        <v>26</v>
      </c>
      <c r="E4042" s="208" t="s">
        <v>35</v>
      </c>
      <c r="F4042" t="s">
        <v>7</v>
      </c>
      <c r="G4042" s="18">
        <v>1571</v>
      </c>
      <c r="H4042" s="151" t="s">
        <v>563</v>
      </c>
      <c r="I4042" t="s">
        <v>16</v>
      </c>
    </row>
    <row r="4043" spans="1:9" x14ac:dyDescent="0.25">
      <c r="A4043">
        <v>1812</v>
      </c>
      <c r="B4043">
        <f>A4043+1</f>
        <v>1813</v>
      </c>
      <c r="C4043" t="s">
        <v>518</v>
      </c>
      <c r="D4043" t="s">
        <v>26</v>
      </c>
      <c r="E4043" s="208" t="s">
        <v>36</v>
      </c>
      <c r="F4043" t="s">
        <v>7</v>
      </c>
      <c r="G4043" s="18">
        <v>431</v>
      </c>
      <c r="H4043" s="151" t="s">
        <v>563</v>
      </c>
      <c r="I4043" t="s">
        <v>16</v>
      </c>
    </row>
    <row r="4044" spans="1:9" x14ac:dyDescent="0.25">
      <c r="A4044">
        <v>1812</v>
      </c>
      <c r="B4044">
        <f>A4044+1</f>
        <v>1813</v>
      </c>
      <c r="C4044" t="s">
        <v>518</v>
      </c>
      <c r="D4044" t="s">
        <v>26</v>
      </c>
      <c r="E4044" s="208" t="s">
        <v>39</v>
      </c>
      <c r="F4044" t="s">
        <v>7</v>
      </c>
      <c r="G4044" s="18">
        <v>130</v>
      </c>
      <c r="H4044" s="151" t="s">
        <v>563</v>
      </c>
      <c r="I4044" t="s">
        <v>16</v>
      </c>
    </row>
    <row r="4045" spans="1:9" x14ac:dyDescent="0.25">
      <c r="A4045">
        <v>1812</v>
      </c>
      <c r="B4045">
        <f>A4045+1</f>
        <v>1813</v>
      </c>
      <c r="C4045" t="s">
        <v>518</v>
      </c>
      <c r="D4045" t="s">
        <v>26</v>
      </c>
      <c r="E4045" s="208" t="s">
        <v>95</v>
      </c>
      <c r="F4045" t="s">
        <v>7</v>
      </c>
      <c r="G4045" s="18">
        <v>4664</v>
      </c>
      <c r="H4045" s="151" t="s">
        <v>563</v>
      </c>
      <c r="I4045" t="s">
        <v>16</v>
      </c>
    </row>
    <row r="4046" spans="1:9" x14ac:dyDescent="0.25">
      <c r="A4046">
        <v>1812</v>
      </c>
      <c r="B4046">
        <f>A4046+1</f>
        <v>1813</v>
      </c>
      <c r="C4046" t="s">
        <v>518</v>
      </c>
      <c r="D4046" t="s">
        <v>26</v>
      </c>
      <c r="E4046" s="208" t="s">
        <v>94</v>
      </c>
      <c r="F4046" t="s">
        <v>7</v>
      </c>
      <c r="G4046" s="18">
        <v>7519</v>
      </c>
      <c r="H4046" s="151" t="s">
        <v>563</v>
      </c>
      <c r="I4046" t="s">
        <v>16</v>
      </c>
    </row>
    <row r="4047" spans="1:9" x14ac:dyDescent="0.25">
      <c r="A4047">
        <v>1812</v>
      </c>
      <c r="B4047">
        <f>A4047+1</f>
        <v>1813</v>
      </c>
      <c r="C4047" t="s">
        <v>518</v>
      </c>
      <c r="D4047" t="s">
        <v>26</v>
      </c>
      <c r="E4047" s="208" t="s">
        <v>99</v>
      </c>
      <c r="F4047" t="s">
        <v>7</v>
      </c>
      <c r="G4047" s="18">
        <v>601</v>
      </c>
      <c r="H4047" s="151" t="s">
        <v>563</v>
      </c>
      <c r="I4047" t="s">
        <v>16</v>
      </c>
    </row>
    <row r="4048" spans="1:9" x14ac:dyDescent="0.25">
      <c r="A4048">
        <v>1812</v>
      </c>
      <c r="B4048">
        <f>A4048+1</f>
        <v>1813</v>
      </c>
      <c r="C4048" t="s">
        <v>518</v>
      </c>
      <c r="D4048" t="s">
        <v>26</v>
      </c>
      <c r="E4048" s="208" t="s">
        <v>28</v>
      </c>
      <c r="F4048" t="s">
        <v>7</v>
      </c>
      <c r="G4048" s="18">
        <v>317</v>
      </c>
      <c r="H4048" s="151" t="s">
        <v>563</v>
      </c>
      <c r="I4048" t="s">
        <v>16</v>
      </c>
    </row>
    <row r="4049" spans="1:9" x14ac:dyDescent="0.25">
      <c r="A4049">
        <v>1812</v>
      </c>
      <c r="B4049">
        <f>A4049+1</f>
        <v>1813</v>
      </c>
      <c r="C4049" t="s">
        <v>518</v>
      </c>
      <c r="D4049" t="s">
        <v>26</v>
      </c>
      <c r="E4049" s="208" t="s">
        <v>89</v>
      </c>
      <c r="F4049" t="s">
        <v>7</v>
      </c>
      <c r="G4049" s="18">
        <v>39</v>
      </c>
      <c r="H4049" s="151" t="s">
        <v>563</v>
      </c>
      <c r="I4049" t="s">
        <v>16</v>
      </c>
    </row>
    <row r="4050" spans="1:9" x14ac:dyDescent="0.25">
      <c r="A4050">
        <v>1812</v>
      </c>
      <c r="B4050">
        <f>A4050+1</f>
        <v>1813</v>
      </c>
      <c r="C4050" t="s">
        <v>518</v>
      </c>
      <c r="D4050" t="s">
        <v>26</v>
      </c>
      <c r="E4050" s="208" t="s">
        <v>45</v>
      </c>
      <c r="F4050" t="s">
        <v>7</v>
      </c>
      <c r="G4050" s="18">
        <v>26</v>
      </c>
      <c r="H4050" s="151" t="s">
        <v>563</v>
      </c>
      <c r="I4050" t="s">
        <v>16</v>
      </c>
    </row>
    <row r="4051" spans="1:9" x14ac:dyDescent="0.25">
      <c r="A4051">
        <v>1812</v>
      </c>
      <c r="B4051">
        <f>A4051+1</f>
        <v>1813</v>
      </c>
      <c r="C4051" t="s">
        <v>518</v>
      </c>
      <c r="D4051" t="s">
        <v>26</v>
      </c>
      <c r="E4051" s="208" t="s">
        <v>382</v>
      </c>
      <c r="F4051" t="s">
        <v>7</v>
      </c>
      <c r="G4051" s="18">
        <v>9174</v>
      </c>
      <c r="H4051" s="151" t="s">
        <v>563</v>
      </c>
      <c r="I4051" t="s">
        <v>16</v>
      </c>
    </row>
    <row r="4052" spans="1:9" x14ac:dyDescent="0.25">
      <c r="A4052">
        <v>1812</v>
      </c>
      <c r="B4052">
        <f>A4052+1</f>
        <v>1813</v>
      </c>
      <c r="C4052" t="s">
        <v>518</v>
      </c>
      <c r="D4052" t="s">
        <v>26</v>
      </c>
      <c r="E4052" s="208" t="s">
        <v>387</v>
      </c>
      <c r="F4052" t="s">
        <v>7</v>
      </c>
      <c r="G4052" s="18">
        <v>300</v>
      </c>
      <c r="H4052" s="151" t="s">
        <v>563</v>
      </c>
      <c r="I4052" t="s">
        <v>16</v>
      </c>
    </row>
    <row r="4053" spans="1:9" x14ac:dyDescent="0.25">
      <c r="A4053">
        <v>1812</v>
      </c>
      <c r="B4053">
        <f>A4053+1</f>
        <v>1813</v>
      </c>
      <c r="C4053" t="s">
        <v>518</v>
      </c>
      <c r="D4053" t="s">
        <v>26</v>
      </c>
      <c r="E4053" s="208" t="s">
        <v>386</v>
      </c>
      <c r="F4053" t="s">
        <v>7</v>
      </c>
      <c r="G4053" s="18">
        <v>277</v>
      </c>
      <c r="H4053" s="151" t="s">
        <v>563</v>
      </c>
      <c r="I4053" t="s">
        <v>16</v>
      </c>
    </row>
    <row r="4054" spans="1:9" x14ac:dyDescent="0.25">
      <c r="A4054">
        <v>1812</v>
      </c>
      <c r="B4054">
        <f>A4054+1</f>
        <v>1813</v>
      </c>
      <c r="C4054" t="s">
        <v>518</v>
      </c>
      <c r="D4054" t="s">
        <v>26</v>
      </c>
      <c r="E4054" s="208" t="s">
        <v>53</v>
      </c>
      <c r="F4054" t="s">
        <v>7</v>
      </c>
      <c r="G4054" s="18">
        <v>41417</v>
      </c>
      <c r="H4054" s="151" t="s">
        <v>563</v>
      </c>
      <c r="I4054" t="s">
        <v>16</v>
      </c>
    </row>
    <row r="4055" spans="1:9" x14ac:dyDescent="0.25">
      <c r="A4055">
        <v>1812</v>
      </c>
      <c r="B4055">
        <f>A4055+1</f>
        <v>1813</v>
      </c>
      <c r="C4055" t="s">
        <v>518</v>
      </c>
      <c r="D4055" t="s">
        <v>26</v>
      </c>
      <c r="E4055" s="208" t="s">
        <v>383</v>
      </c>
      <c r="F4055" t="s">
        <v>7</v>
      </c>
      <c r="G4055" s="18">
        <v>2412</v>
      </c>
      <c r="H4055" s="151" t="s">
        <v>563</v>
      </c>
      <c r="I4055" t="s">
        <v>16</v>
      </c>
    </row>
    <row r="4056" spans="1:9" x14ac:dyDescent="0.25">
      <c r="A4056">
        <v>1812</v>
      </c>
      <c r="B4056">
        <f>A4056+1</f>
        <v>1813</v>
      </c>
      <c r="C4056" t="s">
        <v>518</v>
      </c>
      <c r="D4056" t="s">
        <v>26</v>
      </c>
      <c r="E4056" s="208" t="s">
        <v>384</v>
      </c>
      <c r="F4056" t="s">
        <v>7</v>
      </c>
      <c r="G4056" s="18">
        <v>950</v>
      </c>
      <c r="H4056" s="151" t="s">
        <v>563</v>
      </c>
      <c r="I4056" t="s">
        <v>16</v>
      </c>
    </row>
    <row r="4057" spans="1:9" x14ac:dyDescent="0.25">
      <c r="A4057">
        <v>1812</v>
      </c>
      <c r="B4057">
        <f>A4057+1</f>
        <v>1813</v>
      </c>
      <c r="C4057" t="s">
        <v>518</v>
      </c>
      <c r="D4057" t="s">
        <v>26</v>
      </c>
      <c r="E4057" s="208" t="s">
        <v>75</v>
      </c>
      <c r="F4057" t="s">
        <v>7</v>
      </c>
      <c r="G4057" s="18">
        <v>1865260</v>
      </c>
      <c r="H4057" s="151" t="s">
        <v>563</v>
      </c>
      <c r="I4057" t="s">
        <v>16</v>
      </c>
    </row>
    <row r="4058" spans="1:9" x14ac:dyDescent="0.25">
      <c r="A4058">
        <v>1812</v>
      </c>
      <c r="B4058">
        <f>A4058+1</f>
        <v>1813</v>
      </c>
      <c r="C4058" t="s">
        <v>518</v>
      </c>
      <c r="D4058" t="s">
        <v>26</v>
      </c>
      <c r="E4058" s="208" t="s">
        <v>107</v>
      </c>
      <c r="F4058" t="s">
        <v>7</v>
      </c>
      <c r="G4058" s="18">
        <v>1077355</v>
      </c>
      <c r="H4058" s="151" t="s">
        <v>563</v>
      </c>
      <c r="I4058" t="s">
        <v>16</v>
      </c>
    </row>
    <row r="4059" spans="1:9" x14ac:dyDescent="0.25">
      <c r="A4059">
        <v>1812</v>
      </c>
      <c r="B4059">
        <f>A4059+1</f>
        <v>1813</v>
      </c>
      <c r="C4059" t="s">
        <v>518</v>
      </c>
      <c r="D4059" t="s">
        <v>26</v>
      </c>
      <c r="E4059" s="208" t="s">
        <v>101</v>
      </c>
      <c r="F4059" t="s">
        <v>7</v>
      </c>
      <c r="G4059" s="18">
        <v>659420</v>
      </c>
      <c r="H4059" s="151" t="s">
        <v>563</v>
      </c>
      <c r="I4059" t="s">
        <v>16</v>
      </c>
    </row>
    <row r="4060" spans="1:9" x14ac:dyDescent="0.25">
      <c r="A4060">
        <v>1812</v>
      </c>
      <c r="B4060">
        <f>A4060+1</f>
        <v>1813</v>
      </c>
      <c r="C4060" t="s">
        <v>518</v>
      </c>
      <c r="D4060" t="s">
        <v>26</v>
      </c>
      <c r="E4060" s="208" t="s">
        <v>65</v>
      </c>
      <c r="F4060" t="s">
        <v>7</v>
      </c>
      <c r="G4060" s="18">
        <v>2498</v>
      </c>
      <c r="H4060" s="151" t="s">
        <v>563</v>
      </c>
      <c r="I4060" t="s">
        <v>16</v>
      </c>
    </row>
    <row r="4061" spans="1:9" x14ac:dyDescent="0.25">
      <c r="A4061">
        <v>1812</v>
      </c>
      <c r="B4061">
        <f>A4061+1</f>
        <v>1813</v>
      </c>
      <c r="C4061" t="s">
        <v>518</v>
      </c>
      <c r="D4061" t="s">
        <v>26</v>
      </c>
      <c r="E4061" s="208" t="s">
        <v>88</v>
      </c>
      <c r="F4061" t="s">
        <v>7</v>
      </c>
      <c r="G4061" s="18">
        <v>2934</v>
      </c>
      <c r="H4061" s="151" t="s">
        <v>563</v>
      </c>
      <c r="I4061" t="s">
        <v>16</v>
      </c>
    </row>
    <row r="4062" spans="1:9" x14ac:dyDescent="0.25">
      <c r="A4062">
        <v>1812</v>
      </c>
      <c r="B4062">
        <f>A4062+1</f>
        <v>1813</v>
      </c>
      <c r="C4062" t="s">
        <v>518</v>
      </c>
      <c r="D4062" t="s">
        <v>26</v>
      </c>
      <c r="E4062" s="208" t="s">
        <v>330</v>
      </c>
      <c r="F4062" t="s">
        <v>7</v>
      </c>
      <c r="G4062" s="18">
        <v>321</v>
      </c>
      <c r="H4062" s="151" t="s">
        <v>563</v>
      </c>
      <c r="I4062" t="s">
        <v>16</v>
      </c>
    </row>
    <row r="4063" spans="1:9" x14ac:dyDescent="0.25">
      <c r="A4063">
        <v>1812</v>
      </c>
      <c r="B4063">
        <f>A4063+1</f>
        <v>1813</v>
      </c>
      <c r="C4063" t="s">
        <v>518</v>
      </c>
      <c r="D4063" t="s">
        <v>26</v>
      </c>
      <c r="E4063" s="208" t="s">
        <v>331</v>
      </c>
      <c r="F4063" t="s">
        <v>7</v>
      </c>
      <c r="G4063" s="18">
        <v>1275</v>
      </c>
      <c r="H4063" s="151" t="s">
        <v>563</v>
      </c>
      <c r="I4063" t="s">
        <v>16</v>
      </c>
    </row>
    <row r="4064" spans="1:9" x14ac:dyDescent="0.25">
      <c r="A4064">
        <v>1812</v>
      </c>
      <c r="B4064">
        <f>A4064+1</f>
        <v>1813</v>
      </c>
      <c r="C4064" t="s">
        <v>518</v>
      </c>
      <c r="D4064" t="s">
        <v>26</v>
      </c>
      <c r="E4064" s="208" t="s">
        <v>332</v>
      </c>
      <c r="F4064" t="s">
        <v>7</v>
      </c>
      <c r="G4064" s="18">
        <v>178</v>
      </c>
      <c r="H4064" s="151" t="s">
        <v>563</v>
      </c>
      <c r="I4064" t="s">
        <v>16</v>
      </c>
    </row>
    <row r="4065" spans="1:9" x14ac:dyDescent="0.25">
      <c r="A4065">
        <v>1812</v>
      </c>
      <c r="B4065">
        <f>A4065+1</f>
        <v>1813</v>
      </c>
      <c r="C4065" t="s">
        <v>518</v>
      </c>
      <c r="D4065" t="s">
        <v>26</v>
      </c>
      <c r="E4065" s="208" t="s">
        <v>333</v>
      </c>
      <c r="F4065" t="s">
        <v>7</v>
      </c>
      <c r="G4065" s="18">
        <v>509</v>
      </c>
      <c r="H4065" s="151" t="s">
        <v>563</v>
      </c>
      <c r="I4065" t="s">
        <v>16</v>
      </c>
    </row>
    <row r="4066" spans="1:9" x14ac:dyDescent="0.25">
      <c r="A4066">
        <v>1812</v>
      </c>
      <c r="B4066">
        <f>A4066+1</f>
        <v>1813</v>
      </c>
      <c r="C4066" t="s">
        <v>518</v>
      </c>
      <c r="D4066" t="s">
        <v>27</v>
      </c>
      <c r="E4066" s="208" t="s">
        <v>155</v>
      </c>
      <c r="F4066" t="s">
        <v>10</v>
      </c>
      <c r="G4066" s="18">
        <v>2</v>
      </c>
      <c r="H4066" t="s">
        <v>17</v>
      </c>
      <c r="I4066" t="s">
        <v>24</v>
      </c>
    </row>
    <row r="4067" spans="1:9" x14ac:dyDescent="0.25">
      <c r="A4067">
        <v>1812</v>
      </c>
      <c r="B4067">
        <f>A4067+1</f>
        <v>1813</v>
      </c>
      <c r="C4067" t="s">
        <v>518</v>
      </c>
      <c r="D4067" t="s">
        <v>27</v>
      </c>
      <c r="E4067" s="208" t="s">
        <v>156</v>
      </c>
      <c r="F4067" t="s">
        <v>10</v>
      </c>
      <c r="G4067" s="18">
        <v>0</v>
      </c>
      <c r="H4067" t="s">
        <v>17</v>
      </c>
      <c r="I4067" t="s">
        <v>24</v>
      </c>
    </row>
    <row r="4068" spans="1:9" x14ac:dyDescent="0.25">
      <c r="A4068">
        <v>1812</v>
      </c>
      <c r="B4068">
        <f>A4068+1</f>
        <v>1813</v>
      </c>
      <c r="C4068" t="s">
        <v>518</v>
      </c>
      <c r="D4068" t="s">
        <v>27</v>
      </c>
      <c r="E4068" s="208" t="s">
        <v>154</v>
      </c>
      <c r="F4068" t="s">
        <v>10</v>
      </c>
      <c r="G4068" s="18">
        <v>0</v>
      </c>
      <c r="H4068" t="s">
        <v>17</v>
      </c>
      <c r="I4068" t="s">
        <v>24</v>
      </c>
    </row>
    <row r="4069" spans="1:9" x14ac:dyDescent="0.25">
      <c r="A4069">
        <v>1812</v>
      </c>
      <c r="B4069">
        <f>A4069+1</f>
        <v>1813</v>
      </c>
      <c r="C4069" t="s">
        <v>518</v>
      </c>
      <c r="D4069" t="s">
        <v>27</v>
      </c>
      <c r="E4069" s="208" t="s">
        <v>150</v>
      </c>
      <c r="F4069" t="s">
        <v>10</v>
      </c>
      <c r="G4069" s="18">
        <v>669</v>
      </c>
      <c r="H4069" t="s">
        <v>17</v>
      </c>
      <c r="I4069" t="s">
        <v>24</v>
      </c>
    </row>
    <row r="4070" spans="1:9" x14ac:dyDescent="0.25">
      <c r="A4070">
        <v>1812</v>
      </c>
      <c r="B4070">
        <f>A4070+1</f>
        <v>1813</v>
      </c>
      <c r="C4070" t="s">
        <v>518</v>
      </c>
      <c r="D4070" t="s">
        <v>27</v>
      </c>
      <c r="E4070" s="208" t="s">
        <v>148</v>
      </c>
      <c r="F4070" t="s">
        <v>10</v>
      </c>
      <c r="G4070" s="18">
        <v>3</v>
      </c>
      <c r="H4070" t="s">
        <v>17</v>
      </c>
      <c r="I4070" t="s">
        <v>24</v>
      </c>
    </row>
    <row r="4071" spans="1:9" x14ac:dyDescent="0.25">
      <c r="A4071">
        <v>1812</v>
      </c>
      <c r="B4071">
        <f>A4071+1</f>
        <v>1813</v>
      </c>
      <c r="C4071" t="s">
        <v>518</v>
      </c>
      <c r="D4071" t="s">
        <v>27</v>
      </c>
      <c r="E4071" s="208" t="s">
        <v>147</v>
      </c>
      <c r="F4071" t="s">
        <v>10</v>
      </c>
      <c r="G4071" s="18">
        <v>0</v>
      </c>
      <c r="H4071" t="s">
        <v>17</v>
      </c>
      <c r="I4071" t="s">
        <v>24</v>
      </c>
    </row>
    <row r="4072" spans="1:9" x14ac:dyDescent="0.25">
      <c r="A4072">
        <v>1812</v>
      </c>
      <c r="B4072">
        <f>A4072+1</f>
        <v>1813</v>
      </c>
      <c r="C4072" t="s">
        <v>518</v>
      </c>
      <c r="D4072" t="s">
        <v>27</v>
      </c>
      <c r="E4072" s="208" t="s">
        <v>149</v>
      </c>
      <c r="F4072" t="s">
        <v>10</v>
      </c>
      <c r="G4072" s="18">
        <v>0</v>
      </c>
      <c r="H4072" t="s">
        <v>17</v>
      </c>
      <c r="I4072" t="s">
        <v>24</v>
      </c>
    </row>
    <row r="4073" spans="1:9" x14ac:dyDescent="0.25">
      <c r="A4073">
        <v>1812</v>
      </c>
      <c r="B4073">
        <f>A4073+1</f>
        <v>1813</v>
      </c>
      <c r="C4073" t="s">
        <v>518</v>
      </c>
      <c r="D4073" t="s">
        <v>27</v>
      </c>
      <c r="E4073" s="208" t="s">
        <v>139</v>
      </c>
      <c r="F4073" t="s">
        <v>10</v>
      </c>
      <c r="G4073" s="18">
        <v>5</v>
      </c>
      <c r="H4073" t="s">
        <v>17</v>
      </c>
      <c r="I4073" t="s">
        <v>24</v>
      </c>
    </row>
    <row r="4074" spans="1:9" x14ac:dyDescent="0.25">
      <c r="A4074">
        <v>1812</v>
      </c>
      <c r="B4074">
        <f>A4074+1</f>
        <v>1813</v>
      </c>
      <c r="C4074" t="s">
        <v>518</v>
      </c>
      <c r="D4074" t="s">
        <v>27</v>
      </c>
      <c r="E4074" s="208" t="s">
        <v>130</v>
      </c>
      <c r="F4074" t="s">
        <v>10</v>
      </c>
      <c r="G4074" s="18">
        <v>0</v>
      </c>
      <c r="H4074" t="s">
        <v>17</v>
      </c>
      <c r="I4074" t="s">
        <v>24</v>
      </c>
    </row>
    <row r="4075" spans="1:9" x14ac:dyDescent="0.25">
      <c r="A4075">
        <v>1812</v>
      </c>
      <c r="B4075">
        <f>A4075+1</f>
        <v>1813</v>
      </c>
      <c r="C4075" t="s">
        <v>518</v>
      </c>
      <c r="D4075" t="s">
        <v>27</v>
      </c>
      <c r="E4075" s="208" t="s">
        <v>132</v>
      </c>
      <c r="F4075" t="s">
        <v>10</v>
      </c>
      <c r="G4075" s="18">
        <v>0</v>
      </c>
      <c r="H4075" t="s">
        <v>17</v>
      </c>
      <c r="I4075" t="s">
        <v>24</v>
      </c>
    </row>
    <row r="4076" spans="1:9" x14ac:dyDescent="0.25">
      <c r="A4076">
        <v>1812</v>
      </c>
      <c r="B4076">
        <f>A4076+1</f>
        <v>1813</v>
      </c>
      <c r="C4076" t="s">
        <v>518</v>
      </c>
      <c r="D4076" t="s">
        <v>27</v>
      </c>
      <c r="E4076" s="208" t="s">
        <v>142</v>
      </c>
      <c r="F4076" t="s">
        <v>10</v>
      </c>
      <c r="G4076" s="18">
        <v>0</v>
      </c>
      <c r="H4076" t="s">
        <v>17</v>
      </c>
      <c r="I4076" t="s">
        <v>24</v>
      </c>
    </row>
    <row r="4077" spans="1:9" x14ac:dyDescent="0.25">
      <c r="A4077">
        <v>1812</v>
      </c>
      <c r="B4077">
        <f>A4077+1</f>
        <v>1813</v>
      </c>
      <c r="C4077" t="s">
        <v>518</v>
      </c>
      <c r="D4077" t="s">
        <v>27</v>
      </c>
      <c r="E4077" s="208" t="s">
        <v>144</v>
      </c>
      <c r="F4077" t="s">
        <v>10</v>
      </c>
      <c r="G4077" s="18">
        <v>0</v>
      </c>
      <c r="H4077" t="s">
        <v>17</v>
      </c>
      <c r="I4077" t="s">
        <v>24</v>
      </c>
    </row>
    <row r="4078" spans="1:9" x14ac:dyDescent="0.25">
      <c r="A4078">
        <v>1812</v>
      </c>
      <c r="B4078">
        <f>A4078+1</f>
        <v>1813</v>
      </c>
      <c r="C4078" t="s">
        <v>518</v>
      </c>
      <c r="D4078" t="s">
        <v>27</v>
      </c>
      <c r="E4078" s="208" t="s">
        <v>124</v>
      </c>
      <c r="F4078" t="s">
        <v>10</v>
      </c>
      <c r="G4078" s="18">
        <v>0</v>
      </c>
      <c r="H4078" t="s">
        <v>17</v>
      </c>
      <c r="I4078" t="s">
        <v>24</v>
      </c>
    </row>
    <row r="4079" spans="1:9" x14ac:dyDescent="0.25">
      <c r="A4079">
        <v>1812</v>
      </c>
      <c r="B4079">
        <f>A4079+1</f>
        <v>1813</v>
      </c>
      <c r="C4079" t="s">
        <v>518</v>
      </c>
      <c r="D4079" t="s">
        <v>26</v>
      </c>
      <c r="E4079" s="208" t="s">
        <v>62</v>
      </c>
      <c r="F4079" t="s">
        <v>10</v>
      </c>
      <c r="G4079" s="18">
        <v>515</v>
      </c>
      <c r="H4079" t="s">
        <v>24</v>
      </c>
      <c r="I4079" t="s">
        <v>17</v>
      </c>
    </row>
    <row r="4080" spans="1:9" x14ac:dyDescent="0.25">
      <c r="A4080">
        <v>1812</v>
      </c>
      <c r="B4080">
        <f>A4080+1</f>
        <v>1813</v>
      </c>
      <c r="C4080" t="s">
        <v>518</v>
      </c>
      <c r="D4080" t="s">
        <v>26</v>
      </c>
      <c r="E4080" s="208" t="s">
        <v>28</v>
      </c>
      <c r="F4080" t="s">
        <v>10</v>
      </c>
      <c r="G4080" s="18">
        <v>10</v>
      </c>
      <c r="H4080" t="s">
        <v>24</v>
      </c>
      <c r="I4080" t="s">
        <v>17</v>
      </c>
    </row>
    <row r="4081" spans="1:9" x14ac:dyDescent="0.25">
      <c r="A4081">
        <v>1812</v>
      </c>
      <c r="B4081">
        <f>A4081+1</f>
        <v>1813</v>
      </c>
      <c r="C4081" t="s">
        <v>518</v>
      </c>
      <c r="D4081" t="s">
        <v>26</v>
      </c>
      <c r="E4081" s="208" t="s">
        <v>89</v>
      </c>
      <c r="F4081" t="s">
        <v>10</v>
      </c>
      <c r="G4081" s="18">
        <v>10</v>
      </c>
      <c r="H4081" t="s">
        <v>24</v>
      </c>
      <c r="I4081" t="s">
        <v>17</v>
      </c>
    </row>
    <row r="4082" spans="1:9" x14ac:dyDescent="0.25">
      <c r="A4082">
        <v>1812</v>
      </c>
      <c r="B4082">
        <f>A4082+1</f>
        <v>1813</v>
      </c>
      <c r="C4082" t="s">
        <v>518</v>
      </c>
      <c r="D4082" t="s">
        <v>26</v>
      </c>
      <c r="E4082" s="208" t="s">
        <v>45</v>
      </c>
      <c r="F4082" t="s">
        <v>10</v>
      </c>
      <c r="G4082" s="18">
        <v>37</v>
      </c>
      <c r="H4082" t="s">
        <v>24</v>
      </c>
      <c r="I4082" t="s">
        <v>17</v>
      </c>
    </row>
    <row r="4083" spans="1:9" x14ac:dyDescent="0.25">
      <c r="A4083">
        <v>1812</v>
      </c>
      <c r="B4083">
        <f>A4083+1</f>
        <v>1813</v>
      </c>
      <c r="C4083" t="s">
        <v>518</v>
      </c>
      <c r="D4083" t="s">
        <v>26</v>
      </c>
      <c r="E4083" s="208" t="s">
        <v>75</v>
      </c>
      <c r="F4083" t="s">
        <v>10</v>
      </c>
      <c r="G4083" s="18">
        <v>48600</v>
      </c>
      <c r="H4083" t="s">
        <v>24</v>
      </c>
      <c r="I4083" t="s">
        <v>17</v>
      </c>
    </row>
    <row r="4084" spans="1:9" x14ac:dyDescent="0.25">
      <c r="A4084">
        <v>1812</v>
      </c>
      <c r="B4084">
        <f>A4084+1</f>
        <v>1813</v>
      </c>
      <c r="C4084" t="s">
        <v>518</v>
      </c>
      <c r="D4084" t="s">
        <v>26</v>
      </c>
      <c r="E4084" s="208" t="s">
        <v>107</v>
      </c>
      <c r="F4084" t="s">
        <v>10</v>
      </c>
      <c r="G4084" s="18">
        <v>24419</v>
      </c>
      <c r="H4084" t="s">
        <v>24</v>
      </c>
      <c r="I4084" t="s">
        <v>17</v>
      </c>
    </row>
    <row r="4085" spans="1:9" x14ac:dyDescent="0.25">
      <c r="A4085">
        <v>1812</v>
      </c>
      <c r="B4085">
        <f>A4085+1</f>
        <v>1813</v>
      </c>
      <c r="C4085" t="s">
        <v>518</v>
      </c>
      <c r="D4085" t="s">
        <v>26</v>
      </c>
      <c r="E4085" s="208" t="s">
        <v>101</v>
      </c>
      <c r="F4085" t="s">
        <v>10</v>
      </c>
      <c r="G4085" s="18">
        <v>0</v>
      </c>
      <c r="H4085" t="s">
        <v>24</v>
      </c>
      <c r="I4085" t="s">
        <v>17</v>
      </c>
    </row>
    <row r="4086" spans="1:9" x14ac:dyDescent="0.25">
      <c r="A4086">
        <v>1812</v>
      </c>
      <c r="B4086">
        <f>A4086+1</f>
        <v>1813</v>
      </c>
      <c r="C4086" t="s">
        <v>518</v>
      </c>
      <c r="D4086" t="s">
        <v>26</v>
      </c>
      <c r="E4086" s="208" t="s">
        <v>330</v>
      </c>
      <c r="F4086" t="s">
        <v>13</v>
      </c>
      <c r="G4086" s="18">
        <v>170</v>
      </c>
      <c r="H4086" t="s">
        <v>25</v>
      </c>
      <c r="I4086" t="s">
        <v>17</v>
      </c>
    </row>
    <row r="4087" spans="1:9" x14ac:dyDescent="0.25">
      <c r="A4087">
        <v>1812</v>
      </c>
      <c r="B4087">
        <f>A4087+1</f>
        <v>1813</v>
      </c>
      <c r="C4087" t="s">
        <v>518</v>
      </c>
      <c r="D4087" t="s">
        <v>26</v>
      </c>
      <c r="E4087" s="208" t="s">
        <v>331</v>
      </c>
      <c r="F4087" t="s">
        <v>13</v>
      </c>
      <c r="G4087" s="18">
        <v>620</v>
      </c>
      <c r="H4087" t="s">
        <v>25</v>
      </c>
      <c r="I4087" t="s">
        <v>17</v>
      </c>
    </row>
    <row r="4088" spans="1:9" x14ac:dyDescent="0.25">
      <c r="A4088">
        <v>1812</v>
      </c>
      <c r="B4088">
        <f>A4088+1</f>
        <v>1813</v>
      </c>
      <c r="C4088" t="s">
        <v>518</v>
      </c>
      <c r="D4088" t="s">
        <v>26</v>
      </c>
      <c r="E4088" s="208" t="s">
        <v>332</v>
      </c>
      <c r="F4088" t="s">
        <v>13</v>
      </c>
      <c r="G4088" s="18">
        <v>3</v>
      </c>
      <c r="H4088" t="s">
        <v>25</v>
      </c>
      <c r="I4088" t="s">
        <v>17</v>
      </c>
    </row>
    <row r="4089" spans="1:9" x14ac:dyDescent="0.25">
      <c r="A4089">
        <v>1812</v>
      </c>
      <c r="B4089">
        <f>A4089+1</f>
        <v>1813</v>
      </c>
      <c r="C4089" t="s">
        <v>518</v>
      </c>
      <c r="D4089" t="s">
        <v>26</v>
      </c>
      <c r="E4089" s="208" t="s">
        <v>333</v>
      </c>
      <c r="F4089" t="s">
        <v>13</v>
      </c>
      <c r="G4089" s="18">
        <v>536</v>
      </c>
      <c r="H4089" t="s">
        <v>25</v>
      </c>
      <c r="I4089" t="s">
        <v>17</v>
      </c>
    </row>
    <row r="4090" spans="1:9" x14ac:dyDescent="0.25">
      <c r="A4090">
        <v>1812</v>
      </c>
      <c r="B4090">
        <f>A4090+1</f>
        <v>1813</v>
      </c>
      <c r="C4090" t="s">
        <v>518</v>
      </c>
      <c r="D4090" t="s">
        <v>27</v>
      </c>
      <c r="E4090" s="208" t="s">
        <v>155</v>
      </c>
      <c r="F4090" t="s">
        <v>8</v>
      </c>
      <c r="G4090" s="18">
        <v>72017</v>
      </c>
      <c r="H4090" t="s">
        <v>17</v>
      </c>
      <c r="I4090" t="s">
        <v>18</v>
      </c>
    </row>
    <row r="4091" spans="1:9" x14ac:dyDescent="0.25">
      <c r="A4091">
        <v>1812</v>
      </c>
      <c r="B4091">
        <f>A4091+1</f>
        <v>1813</v>
      </c>
      <c r="C4091" t="s">
        <v>518</v>
      </c>
      <c r="D4091" t="s">
        <v>27</v>
      </c>
      <c r="E4091" s="208" t="s">
        <v>156</v>
      </c>
      <c r="F4091" t="s">
        <v>8</v>
      </c>
      <c r="G4091" s="18">
        <v>7858</v>
      </c>
      <c r="H4091" t="s">
        <v>17</v>
      </c>
      <c r="I4091" t="s">
        <v>18</v>
      </c>
    </row>
    <row r="4092" spans="1:9" x14ac:dyDescent="0.25">
      <c r="A4092">
        <v>1812</v>
      </c>
      <c r="B4092">
        <f>A4092+1</f>
        <v>1813</v>
      </c>
      <c r="C4092" t="s">
        <v>518</v>
      </c>
      <c r="D4092" t="s">
        <v>27</v>
      </c>
      <c r="E4092" s="208" t="s">
        <v>154</v>
      </c>
      <c r="F4092" t="s">
        <v>8</v>
      </c>
      <c r="G4092" s="18">
        <v>804</v>
      </c>
      <c r="H4092" t="s">
        <v>17</v>
      </c>
      <c r="I4092" t="s">
        <v>18</v>
      </c>
    </row>
    <row r="4093" spans="1:9" x14ac:dyDescent="0.25">
      <c r="A4093">
        <v>1812</v>
      </c>
      <c r="B4093">
        <f>A4093+1</f>
        <v>1813</v>
      </c>
      <c r="C4093" t="s">
        <v>518</v>
      </c>
      <c r="D4093" t="s">
        <v>27</v>
      </c>
      <c r="E4093" s="208" t="s">
        <v>150</v>
      </c>
      <c r="F4093" t="s">
        <v>8</v>
      </c>
      <c r="G4093" s="18">
        <v>31204</v>
      </c>
      <c r="H4093" t="s">
        <v>17</v>
      </c>
      <c r="I4093" t="s">
        <v>18</v>
      </c>
    </row>
    <row r="4094" spans="1:9" x14ac:dyDescent="0.25">
      <c r="A4094">
        <v>1812</v>
      </c>
      <c r="B4094">
        <f>A4094+1</f>
        <v>1813</v>
      </c>
      <c r="C4094" t="s">
        <v>518</v>
      </c>
      <c r="D4094" t="s">
        <v>27</v>
      </c>
      <c r="E4094" s="208" t="s">
        <v>148</v>
      </c>
      <c r="F4094" t="s">
        <v>8</v>
      </c>
      <c r="G4094" s="18">
        <v>501</v>
      </c>
      <c r="H4094" t="s">
        <v>17</v>
      </c>
      <c r="I4094" t="s">
        <v>18</v>
      </c>
    </row>
    <row r="4095" spans="1:9" x14ac:dyDescent="0.25">
      <c r="A4095">
        <v>1812</v>
      </c>
      <c r="B4095">
        <f>A4095+1</f>
        <v>1813</v>
      </c>
      <c r="C4095" t="s">
        <v>518</v>
      </c>
      <c r="D4095" t="s">
        <v>27</v>
      </c>
      <c r="E4095" s="208" t="s">
        <v>147</v>
      </c>
      <c r="F4095" t="s">
        <v>8</v>
      </c>
      <c r="G4095" s="18">
        <v>0</v>
      </c>
      <c r="H4095" t="s">
        <v>17</v>
      </c>
      <c r="I4095" t="s">
        <v>18</v>
      </c>
    </row>
    <row r="4096" spans="1:9" x14ac:dyDescent="0.25">
      <c r="A4096">
        <v>1812</v>
      </c>
      <c r="B4096">
        <f>A4096+1</f>
        <v>1813</v>
      </c>
      <c r="C4096" t="s">
        <v>518</v>
      </c>
      <c r="D4096" t="s">
        <v>27</v>
      </c>
      <c r="E4096" s="208" t="s">
        <v>149</v>
      </c>
      <c r="F4096" t="s">
        <v>8</v>
      </c>
      <c r="G4096" s="18">
        <v>0</v>
      </c>
      <c r="H4096" t="s">
        <v>17</v>
      </c>
      <c r="I4096" t="s">
        <v>18</v>
      </c>
    </row>
    <row r="4097" spans="1:9" x14ac:dyDescent="0.25">
      <c r="A4097">
        <v>1812</v>
      </c>
      <c r="B4097">
        <f>A4097+1</f>
        <v>1813</v>
      </c>
      <c r="C4097" t="s">
        <v>518</v>
      </c>
      <c r="D4097" t="s">
        <v>27</v>
      </c>
      <c r="E4097" s="208" t="s">
        <v>139</v>
      </c>
      <c r="F4097" t="s">
        <v>8</v>
      </c>
      <c r="G4097" s="18">
        <v>128</v>
      </c>
      <c r="H4097" t="s">
        <v>17</v>
      </c>
      <c r="I4097" t="s">
        <v>18</v>
      </c>
    </row>
    <row r="4098" spans="1:9" x14ac:dyDescent="0.25">
      <c r="A4098">
        <v>1812</v>
      </c>
      <c r="B4098">
        <f>A4098+1</f>
        <v>1813</v>
      </c>
      <c r="C4098" t="s">
        <v>518</v>
      </c>
      <c r="D4098" t="s">
        <v>27</v>
      </c>
      <c r="E4098" s="208" t="s">
        <v>130</v>
      </c>
      <c r="F4098" t="s">
        <v>8</v>
      </c>
      <c r="G4098" s="18">
        <v>848</v>
      </c>
      <c r="H4098" t="s">
        <v>17</v>
      </c>
      <c r="I4098" t="s">
        <v>18</v>
      </c>
    </row>
    <row r="4099" spans="1:9" x14ac:dyDescent="0.25">
      <c r="A4099">
        <v>1812</v>
      </c>
      <c r="B4099">
        <f>A4099+1</f>
        <v>1813</v>
      </c>
      <c r="C4099" t="s">
        <v>518</v>
      </c>
      <c r="D4099" t="s">
        <v>27</v>
      </c>
      <c r="E4099" s="208" t="s">
        <v>132</v>
      </c>
      <c r="F4099" t="s">
        <v>8</v>
      </c>
      <c r="G4099" s="18">
        <v>371</v>
      </c>
      <c r="H4099" t="s">
        <v>17</v>
      </c>
      <c r="I4099" t="s">
        <v>18</v>
      </c>
    </row>
    <row r="4100" spans="1:9" x14ac:dyDescent="0.25">
      <c r="A4100">
        <v>1812</v>
      </c>
      <c r="B4100">
        <f>A4100+1</f>
        <v>1813</v>
      </c>
      <c r="C4100" t="s">
        <v>518</v>
      </c>
      <c r="D4100" t="s">
        <v>27</v>
      </c>
      <c r="E4100" s="208" t="s">
        <v>142</v>
      </c>
      <c r="F4100" t="s">
        <v>8</v>
      </c>
      <c r="G4100" s="18">
        <v>12010</v>
      </c>
      <c r="H4100" t="s">
        <v>17</v>
      </c>
      <c r="I4100" t="s">
        <v>18</v>
      </c>
    </row>
    <row r="4101" spans="1:9" x14ac:dyDescent="0.25">
      <c r="A4101">
        <v>1812</v>
      </c>
      <c r="B4101">
        <f>A4101+1</f>
        <v>1813</v>
      </c>
      <c r="C4101" t="s">
        <v>518</v>
      </c>
      <c r="D4101" t="s">
        <v>27</v>
      </c>
      <c r="E4101" s="208" t="s">
        <v>144</v>
      </c>
      <c r="F4101" t="s">
        <v>8</v>
      </c>
      <c r="G4101" s="18">
        <v>316</v>
      </c>
      <c r="H4101" t="s">
        <v>17</v>
      </c>
      <c r="I4101" t="s">
        <v>18</v>
      </c>
    </row>
    <row r="4102" spans="1:9" x14ac:dyDescent="0.25">
      <c r="A4102">
        <v>1812</v>
      </c>
      <c r="B4102">
        <f>A4102+1</f>
        <v>1813</v>
      </c>
      <c r="C4102" t="s">
        <v>518</v>
      </c>
      <c r="D4102" t="s">
        <v>27</v>
      </c>
      <c r="E4102" s="208" t="s">
        <v>124</v>
      </c>
      <c r="F4102" t="s">
        <v>8</v>
      </c>
      <c r="G4102" s="18">
        <v>9670001</v>
      </c>
      <c r="H4102" t="s">
        <v>17</v>
      </c>
      <c r="I4102" t="s">
        <v>18</v>
      </c>
    </row>
    <row r="4103" spans="1:9" x14ac:dyDescent="0.25">
      <c r="A4103">
        <v>1812</v>
      </c>
      <c r="B4103">
        <f>A4103+1</f>
        <v>1813</v>
      </c>
      <c r="C4103" t="s">
        <v>518</v>
      </c>
      <c r="D4103" t="s">
        <v>26</v>
      </c>
      <c r="E4103" s="208" t="s">
        <v>65</v>
      </c>
      <c r="F4103" t="s">
        <v>164</v>
      </c>
      <c r="G4103" s="18">
        <v>20427</v>
      </c>
      <c r="H4103" t="s">
        <v>160</v>
      </c>
      <c r="I4103" t="s">
        <v>17</v>
      </c>
    </row>
    <row r="4104" spans="1:9" x14ac:dyDescent="0.25">
      <c r="A4104">
        <v>1812</v>
      </c>
      <c r="B4104">
        <f>A4104+1</f>
        <v>1813</v>
      </c>
      <c r="C4104" t="s">
        <v>518</v>
      </c>
      <c r="D4104" t="s">
        <v>26</v>
      </c>
      <c r="E4104" s="208" t="s">
        <v>88</v>
      </c>
      <c r="F4104" t="s">
        <v>164</v>
      </c>
      <c r="G4104" s="18">
        <v>3694</v>
      </c>
      <c r="H4104" t="s">
        <v>160</v>
      </c>
      <c r="I4104" t="s">
        <v>17</v>
      </c>
    </row>
    <row r="4105" spans="1:9" x14ac:dyDescent="0.25">
      <c r="A4105">
        <v>1812</v>
      </c>
      <c r="B4105">
        <f>A4105+1</f>
        <v>1813</v>
      </c>
      <c r="C4105" t="s">
        <v>518</v>
      </c>
      <c r="D4105" t="s">
        <v>27</v>
      </c>
      <c r="E4105" s="208" t="s">
        <v>155</v>
      </c>
      <c r="F4105" t="s">
        <v>13</v>
      </c>
      <c r="G4105" s="18">
        <v>0</v>
      </c>
      <c r="H4105" t="s">
        <v>17</v>
      </c>
      <c r="I4105" t="s">
        <v>25</v>
      </c>
    </row>
    <row r="4106" spans="1:9" x14ac:dyDescent="0.25">
      <c r="A4106">
        <v>1812</v>
      </c>
      <c r="B4106">
        <f>A4106+1</f>
        <v>1813</v>
      </c>
      <c r="C4106" t="s">
        <v>518</v>
      </c>
      <c r="D4106" t="s">
        <v>27</v>
      </c>
      <c r="E4106" s="208" t="s">
        <v>156</v>
      </c>
      <c r="F4106" t="s">
        <v>13</v>
      </c>
      <c r="G4106" s="18">
        <v>0</v>
      </c>
      <c r="H4106" t="s">
        <v>17</v>
      </c>
      <c r="I4106" t="s">
        <v>25</v>
      </c>
    </row>
    <row r="4107" spans="1:9" x14ac:dyDescent="0.25">
      <c r="A4107">
        <v>1812</v>
      </c>
      <c r="B4107">
        <f>A4107+1</f>
        <v>1813</v>
      </c>
      <c r="C4107" t="s">
        <v>518</v>
      </c>
      <c r="D4107" t="s">
        <v>27</v>
      </c>
      <c r="E4107" s="208" t="s">
        <v>154</v>
      </c>
      <c r="F4107" t="s">
        <v>13</v>
      </c>
      <c r="G4107" s="18">
        <v>0</v>
      </c>
      <c r="H4107" t="s">
        <v>17</v>
      </c>
      <c r="I4107" t="s">
        <v>25</v>
      </c>
    </row>
    <row r="4108" spans="1:9" x14ac:dyDescent="0.25">
      <c r="A4108">
        <v>1812</v>
      </c>
      <c r="B4108">
        <f>A4108+1</f>
        <v>1813</v>
      </c>
      <c r="C4108" t="s">
        <v>518</v>
      </c>
      <c r="D4108" t="s">
        <v>27</v>
      </c>
      <c r="E4108" s="208" t="s">
        <v>150</v>
      </c>
      <c r="F4108" t="s">
        <v>13</v>
      </c>
      <c r="G4108" s="18">
        <v>89</v>
      </c>
      <c r="H4108" t="s">
        <v>17</v>
      </c>
      <c r="I4108" t="s">
        <v>25</v>
      </c>
    </row>
    <row r="4109" spans="1:9" x14ac:dyDescent="0.25">
      <c r="A4109">
        <v>1812</v>
      </c>
      <c r="B4109">
        <f>A4109+1</f>
        <v>1813</v>
      </c>
      <c r="C4109" t="s">
        <v>518</v>
      </c>
      <c r="D4109" t="s">
        <v>27</v>
      </c>
      <c r="E4109" s="208" t="s">
        <v>148</v>
      </c>
      <c r="F4109" t="s">
        <v>13</v>
      </c>
      <c r="G4109" s="18">
        <v>6</v>
      </c>
      <c r="H4109" t="s">
        <v>17</v>
      </c>
      <c r="I4109" t="s">
        <v>25</v>
      </c>
    </row>
    <row r="4110" spans="1:9" x14ac:dyDescent="0.25">
      <c r="A4110">
        <v>1812</v>
      </c>
      <c r="B4110">
        <f>A4110+1</f>
        <v>1813</v>
      </c>
      <c r="C4110" t="s">
        <v>518</v>
      </c>
      <c r="D4110" t="s">
        <v>27</v>
      </c>
      <c r="E4110" s="208" t="s">
        <v>147</v>
      </c>
      <c r="F4110" t="s">
        <v>13</v>
      </c>
      <c r="G4110" s="18">
        <v>5</v>
      </c>
      <c r="H4110" t="s">
        <v>17</v>
      </c>
      <c r="I4110" t="s">
        <v>25</v>
      </c>
    </row>
    <row r="4111" spans="1:9" x14ac:dyDescent="0.25">
      <c r="A4111">
        <v>1812</v>
      </c>
      <c r="B4111">
        <f>A4111+1</f>
        <v>1813</v>
      </c>
      <c r="C4111" t="s">
        <v>518</v>
      </c>
      <c r="D4111" t="s">
        <v>27</v>
      </c>
      <c r="E4111" s="208" t="s">
        <v>149</v>
      </c>
      <c r="F4111" t="s">
        <v>13</v>
      </c>
      <c r="G4111" s="18">
        <v>0</v>
      </c>
      <c r="H4111" t="s">
        <v>17</v>
      </c>
      <c r="I4111" t="s">
        <v>25</v>
      </c>
    </row>
    <row r="4112" spans="1:9" x14ac:dyDescent="0.25">
      <c r="A4112">
        <v>1812</v>
      </c>
      <c r="B4112">
        <f>A4112+1</f>
        <v>1813</v>
      </c>
      <c r="C4112" t="s">
        <v>518</v>
      </c>
      <c r="D4112" t="s">
        <v>27</v>
      </c>
      <c r="E4112" s="208" t="s">
        <v>139</v>
      </c>
      <c r="F4112" t="s">
        <v>13</v>
      </c>
      <c r="G4112" s="18">
        <v>10</v>
      </c>
      <c r="H4112" t="s">
        <v>17</v>
      </c>
      <c r="I4112" t="s">
        <v>25</v>
      </c>
    </row>
    <row r="4113" spans="1:9" x14ac:dyDescent="0.25">
      <c r="A4113">
        <v>1812</v>
      </c>
      <c r="B4113">
        <f>A4113+1</f>
        <v>1813</v>
      </c>
      <c r="C4113" t="s">
        <v>518</v>
      </c>
      <c r="D4113" t="s">
        <v>27</v>
      </c>
      <c r="E4113" s="208" t="s">
        <v>130</v>
      </c>
      <c r="F4113" t="s">
        <v>13</v>
      </c>
      <c r="G4113" s="18">
        <v>0</v>
      </c>
      <c r="H4113" t="s">
        <v>17</v>
      </c>
      <c r="I4113" t="s">
        <v>25</v>
      </c>
    </row>
    <row r="4114" spans="1:9" x14ac:dyDescent="0.25">
      <c r="A4114">
        <v>1812</v>
      </c>
      <c r="B4114">
        <f>A4114+1</f>
        <v>1813</v>
      </c>
      <c r="C4114" t="s">
        <v>518</v>
      </c>
      <c r="D4114" t="s">
        <v>27</v>
      </c>
      <c r="E4114" s="208" t="s">
        <v>132</v>
      </c>
      <c r="F4114" t="s">
        <v>13</v>
      </c>
      <c r="G4114" s="18">
        <v>0</v>
      </c>
      <c r="H4114" t="s">
        <v>17</v>
      </c>
      <c r="I4114" t="s">
        <v>25</v>
      </c>
    </row>
    <row r="4115" spans="1:9" x14ac:dyDescent="0.25">
      <c r="A4115">
        <v>1812</v>
      </c>
      <c r="B4115">
        <f>A4115+1</f>
        <v>1813</v>
      </c>
      <c r="C4115" t="s">
        <v>518</v>
      </c>
      <c r="D4115" t="s">
        <v>27</v>
      </c>
      <c r="E4115" s="208" t="s">
        <v>142</v>
      </c>
      <c r="F4115" t="s">
        <v>13</v>
      </c>
      <c r="G4115" s="18">
        <v>0</v>
      </c>
      <c r="H4115" t="s">
        <v>17</v>
      </c>
      <c r="I4115" t="s">
        <v>25</v>
      </c>
    </row>
    <row r="4116" spans="1:9" x14ac:dyDescent="0.25">
      <c r="A4116">
        <v>1812</v>
      </c>
      <c r="B4116">
        <f>A4116+1</f>
        <v>1813</v>
      </c>
      <c r="C4116" t="s">
        <v>518</v>
      </c>
      <c r="D4116" t="s">
        <v>27</v>
      </c>
      <c r="E4116" s="208" t="s">
        <v>144</v>
      </c>
      <c r="F4116" t="s">
        <v>13</v>
      </c>
      <c r="G4116" s="18">
        <v>0</v>
      </c>
      <c r="H4116" t="s">
        <v>17</v>
      </c>
      <c r="I4116" t="s">
        <v>25</v>
      </c>
    </row>
    <row r="4117" spans="1:9" x14ac:dyDescent="0.25">
      <c r="A4117">
        <v>1812</v>
      </c>
      <c r="B4117">
        <f>A4117+1</f>
        <v>1813</v>
      </c>
      <c r="C4117" t="s">
        <v>518</v>
      </c>
      <c r="D4117" t="s">
        <v>27</v>
      </c>
      <c r="E4117" s="208" t="s">
        <v>124</v>
      </c>
      <c r="F4117" t="s">
        <v>13</v>
      </c>
      <c r="G4117" s="18">
        <v>0</v>
      </c>
      <c r="H4117" t="s">
        <v>17</v>
      </c>
      <c r="I4117" t="s">
        <v>25</v>
      </c>
    </row>
    <row r="4118" spans="1:9" x14ac:dyDescent="0.25">
      <c r="A4118">
        <v>1812</v>
      </c>
      <c r="B4118">
        <f>A4118+1</f>
        <v>1813</v>
      </c>
      <c r="C4118" t="s">
        <v>518</v>
      </c>
      <c r="D4118" t="s">
        <v>26</v>
      </c>
      <c r="E4118" s="208" t="s">
        <v>62</v>
      </c>
      <c r="F4118" t="s">
        <v>13</v>
      </c>
      <c r="G4118" s="18">
        <v>0</v>
      </c>
      <c r="H4118" t="s">
        <v>25</v>
      </c>
      <c r="I4118" t="s">
        <v>17</v>
      </c>
    </row>
    <row r="4119" spans="1:9" x14ac:dyDescent="0.25">
      <c r="A4119">
        <v>1812</v>
      </c>
      <c r="B4119">
        <f>A4119+1</f>
        <v>1813</v>
      </c>
      <c r="C4119" t="s">
        <v>518</v>
      </c>
      <c r="D4119" t="s">
        <v>26</v>
      </c>
      <c r="E4119" s="208" t="s">
        <v>35</v>
      </c>
      <c r="F4119" t="s">
        <v>13</v>
      </c>
      <c r="G4119" s="18">
        <v>0</v>
      </c>
      <c r="H4119" t="s">
        <v>25</v>
      </c>
      <c r="I4119" t="s">
        <v>17</v>
      </c>
    </row>
    <row r="4120" spans="1:9" x14ac:dyDescent="0.25">
      <c r="A4120">
        <v>1812</v>
      </c>
      <c r="B4120">
        <f>A4120+1</f>
        <v>1813</v>
      </c>
      <c r="C4120" t="s">
        <v>518</v>
      </c>
      <c r="D4120" t="s">
        <v>26</v>
      </c>
      <c r="E4120" s="208" t="s">
        <v>95</v>
      </c>
      <c r="F4120" t="s">
        <v>13</v>
      </c>
      <c r="G4120" s="18">
        <v>32</v>
      </c>
      <c r="H4120" t="s">
        <v>25</v>
      </c>
      <c r="I4120" t="s">
        <v>17</v>
      </c>
    </row>
    <row r="4121" spans="1:9" x14ac:dyDescent="0.25">
      <c r="A4121">
        <v>1812</v>
      </c>
      <c r="B4121">
        <f>A4121+1</f>
        <v>1813</v>
      </c>
      <c r="C4121" t="s">
        <v>518</v>
      </c>
      <c r="D4121" t="s">
        <v>26</v>
      </c>
      <c r="E4121" s="208" t="s">
        <v>94</v>
      </c>
      <c r="F4121" t="s">
        <v>13</v>
      </c>
      <c r="G4121" s="18">
        <v>0</v>
      </c>
      <c r="H4121" t="s">
        <v>25</v>
      </c>
      <c r="I4121" t="s">
        <v>17</v>
      </c>
    </row>
    <row r="4122" spans="1:9" x14ac:dyDescent="0.25">
      <c r="A4122">
        <v>1812</v>
      </c>
      <c r="B4122">
        <f>A4122+1</f>
        <v>1813</v>
      </c>
      <c r="C4122" t="s">
        <v>518</v>
      </c>
      <c r="D4122" t="s">
        <v>26</v>
      </c>
      <c r="E4122" s="208" t="s">
        <v>382</v>
      </c>
      <c r="F4122" t="s">
        <v>13</v>
      </c>
      <c r="G4122" s="18">
        <v>0</v>
      </c>
      <c r="H4122" t="s">
        <v>25</v>
      </c>
      <c r="I4122" t="s">
        <v>17</v>
      </c>
    </row>
    <row r="4123" spans="1:9" x14ac:dyDescent="0.25">
      <c r="A4123">
        <v>1812</v>
      </c>
      <c r="B4123">
        <f>A4123+1</f>
        <v>1813</v>
      </c>
      <c r="C4123" t="s">
        <v>518</v>
      </c>
      <c r="D4123" t="s">
        <v>26</v>
      </c>
      <c r="E4123" s="208" t="s">
        <v>53</v>
      </c>
      <c r="F4123" t="s">
        <v>13</v>
      </c>
      <c r="G4123" s="18">
        <v>1233</v>
      </c>
      <c r="H4123" t="s">
        <v>25</v>
      </c>
      <c r="I4123" t="s">
        <v>17</v>
      </c>
    </row>
    <row r="4124" spans="1:9" x14ac:dyDescent="0.25">
      <c r="A4124">
        <v>1812</v>
      </c>
      <c r="B4124">
        <f>A4124+1</f>
        <v>1813</v>
      </c>
      <c r="C4124" t="s">
        <v>518</v>
      </c>
      <c r="D4124" t="s">
        <v>26</v>
      </c>
      <c r="E4124" s="208" t="s">
        <v>383</v>
      </c>
      <c r="F4124" t="s">
        <v>13</v>
      </c>
      <c r="G4124" s="18">
        <v>20</v>
      </c>
      <c r="H4124" t="s">
        <v>25</v>
      </c>
      <c r="I4124" t="s">
        <v>17</v>
      </c>
    </row>
    <row r="4125" spans="1:9" x14ac:dyDescent="0.25">
      <c r="A4125">
        <v>1812</v>
      </c>
      <c r="B4125">
        <f>A4125+1</f>
        <v>1813</v>
      </c>
      <c r="C4125" t="s">
        <v>518</v>
      </c>
      <c r="D4125" t="s">
        <v>26</v>
      </c>
      <c r="E4125" s="208" t="s">
        <v>384</v>
      </c>
      <c r="F4125" t="s">
        <v>13</v>
      </c>
      <c r="G4125" s="18">
        <v>0</v>
      </c>
      <c r="H4125" t="s">
        <v>25</v>
      </c>
      <c r="I4125" t="s">
        <v>17</v>
      </c>
    </row>
    <row r="4126" spans="1:9" x14ac:dyDescent="0.25">
      <c r="A4126">
        <v>1812</v>
      </c>
      <c r="B4126">
        <f>A4126+1</f>
        <v>1813</v>
      </c>
      <c r="C4126" t="s">
        <v>518</v>
      </c>
      <c r="D4126" t="s">
        <v>26</v>
      </c>
      <c r="E4126" s="208" t="s">
        <v>62</v>
      </c>
      <c r="F4126" t="s">
        <v>11</v>
      </c>
      <c r="G4126" s="18">
        <v>246</v>
      </c>
      <c r="H4126" t="s">
        <v>23</v>
      </c>
      <c r="I4126" t="s">
        <v>17</v>
      </c>
    </row>
    <row r="4127" spans="1:9" x14ac:dyDescent="0.25">
      <c r="A4127">
        <v>1812</v>
      </c>
      <c r="B4127">
        <f>A4127+1</f>
        <v>1813</v>
      </c>
      <c r="C4127" t="s">
        <v>518</v>
      </c>
      <c r="D4127" t="s">
        <v>26</v>
      </c>
      <c r="E4127" s="208" t="s">
        <v>35</v>
      </c>
      <c r="F4127" t="s">
        <v>11</v>
      </c>
      <c r="G4127" s="18">
        <v>0</v>
      </c>
      <c r="H4127" t="s">
        <v>23</v>
      </c>
      <c r="I4127" t="s">
        <v>17</v>
      </c>
    </row>
    <row r="4128" spans="1:9" x14ac:dyDescent="0.25">
      <c r="A4128">
        <v>1812</v>
      </c>
      <c r="B4128">
        <f>A4128+1</f>
        <v>1813</v>
      </c>
      <c r="C4128" t="s">
        <v>518</v>
      </c>
      <c r="D4128" t="s">
        <v>26</v>
      </c>
      <c r="E4128" s="208" t="s">
        <v>36</v>
      </c>
      <c r="F4128" t="s">
        <v>11</v>
      </c>
      <c r="G4128" s="18">
        <v>250</v>
      </c>
      <c r="H4128" t="s">
        <v>23</v>
      </c>
      <c r="I4128" t="s">
        <v>17</v>
      </c>
    </row>
    <row r="4129" spans="1:9" x14ac:dyDescent="0.25">
      <c r="A4129">
        <v>1812</v>
      </c>
      <c r="B4129">
        <f>A4129+1</f>
        <v>1813</v>
      </c>
      <c r="C4129" t="s">
        <v>518</v>
      </c>
      <c r="D4129" t="s">
        <v>26</v>
      </c>
      <c r="E4129" s="208" t="s">
        <v>39</v>
      </c>
      <c r="F4129" t="s">
        <v>11</v>
      </c>
      <c r="G4129" s="18">
        <v>0</v>
      </c>
      <c r="H4129" t="s">
        <v>23</v>
      </c>
      <c r="I4129" t="s">
        <v>17</v>
      </c>
    </row>
    <row r="4130" spans="1:9" x14ac:dyDescent="0.25">
      <c r="A4130">
        <v>1812</v>
      </c>
      <c r="B4130">
        <f>A4130+1</f>
        <v>1813</v>
      </c>
      <c r="C4130" t="s">
        <v>518</v>
      </c>
      <c r="D4130" t="s">
        <v>26</v>
      </c>
      <c r="E4130" s="208" t="s">
        <v>99</v>
      </c>
      <c r="F4130" t="s">
        <v>11</v>
      </c>
      <c r="G4130" s="18">
        <v>93</v>
      </c>
      <c r="H4130" t="s">
        <v>23</v>
      </c>
      <c r="I4130" t="s">
        <v>17</v>
      </c>
    </row>
    <row r="4131" spans="1:9" x14ac:dyDescent="0.25">
      <c r="A4131">
        <v>1812</v>
      </c>
      <c r="B4131">
        <f>A4131+1</f>
        <v>1813</v>
      </c>
      <c r="C4131" t="s">
        <v>518</v>
      </c>
      <c r="D4131" t="s">
        <v>26</v>
      </c>
      <c r="E4131" s="208" t="s">
        <v>387</v>
      </c>
      <c r="F4131" t="s">
        <v>11</v>
      </c>
      <c r="G4131" s="18">
        <v>0</v>
      </c>
      <c r="H4131" t="s">
        <v>23</v>
      </c>
      <c r="I4131" t="s">
        <v>17</v>
      </c>
    </row>
    <row r="4132" spans="1:9" x14ac:dyDescent="0.25">
      <c r="A4132">
        <v>1812</v>
      </c>
      <c r="B4132">
        <f>A4132+1</f>
        <v>1813</v>
      </c>
      <c r="C4132" t="s">
        <v>518</v>
      </c>
      <c r="D4132" t="s">
        <v>26</v>
      </c>
      <c r="E4132" s="208" t="s">
        <v>386</v>
      </c>
      <c r="F4132" t="s">
        <v>11</v>
      </c>
      <c r="G4132" s="18">
        <v>0</v>
      </c>
      <c r="H4132" t="s">
        <v>23</v>
      </c>
      <c r="I4132" t="s">
        <v>17</v>
      </c>
    </row>
    <row r="4133" spans="1:9" x14ac:dyDescent="0.25">
      <c r="A4133">
        <v>1812</v>
      </c>
      <c r="B4133">
        <f>A4133+1</f>
        <v>1813</v>
      </c>
      <c r="C4133" t="s">
        <v>518</v>
      </c>
      <c r="D4133" t="s">
        <v>26</v>
      </c>
      <c r="E4133" s="208" t="s">
        <v>383</v>
      </c>
      <c r="F4133" t="s">
        <v>11</v>
      </c>
      <c r="G4133" s="18">
        <v>0</v>
      </c>
      <c r="H4133" t="s">
        <v>23</v>
      </c>
      <c r="I4133" t="s">
        <v>17</v>
      </c>
    </row>
    <row r="4134" spans="1:9" x14ac:dyDescent="0.25">
      <c r="A4134">
        <v>1812</v>
      </c>
      <c r="B4134">
        <f>A4134+1</f>
        <v>1813</v>
      </c>
      <c r="C4134" t="s">
        <v>518</v>
      </c>
      <c r="D4134" t="s">
        <v>26</v>
      </c>
      <c r="E4134" s="208" t="s">
        <v>384</v>
      </c>
      <c r="F4134" t="s">
        <v>11</v>
      </c>
      <c r="G4134" s="18">
        <v>0</v>
      </c>
      <c r="H4134" t="s">
        <v>23</v>
      </c>
      <c r="I4134" t="s">
        <v>17</v>
      </c>
    </row>
    <row r="4135" spans="1:9" x14ac:dyDescent="0.25">
      <c r="A4135">
        <v>1812</v>
      </c>
      <c r="B4135">
        <f>A4135+1</f>
        <v>1813</v>
      </c>
      <c r="C4135" t="s">
        <v>518</v>
      </c>
      <c r="D4135" t="s">
        <v>26</v>
      </c>
      <c r="E4135" s="208" t="s">
        <v>75</v>
      </c>
      <c r="F4135" t="s">
        <v>11</v>
      </c>
      <c r="G4135" s="18">
        <v>39443</v>
      </c>
      <c r="H4135" t="s">
        <v>23</v>
      </c>
      <c r="I4135" t="s">
        <v>17</v>
      </c>
    </row>
    <row r="4136" spans="1:9" x14ac:dyDescent="0.25">
      <c r="A4136">
        <v>1812</v>
      </c>
      <c r="B4136">
        <f>A4136+1</f>
        <v>1813</v>
      </c>
      <c r="C4136" t="s">
        <v>518</v>
      </c>
      <c r="D4136" t="s">
        <v>26</v>
      </c>
      <c r="E4136" s="208" t="s">
        <v>107</v>
      </c>
      <c r="F4136" t="s">
        <v>11</v>
      </c>
      <c r="G4136" s="18">
        <v>129775</v>
      </c>
      <c r="H4136" t="s">
        <v>23</v>
      </c>
      <c r="I4136" t="s">
        <v>17</v>
      </c>
    </row>
    <row r="4137" spans="1:9" x14ac:dyDescent="0.25">
      <c r="A4137">
        <v>1812</v>
      </c>
      <c r="B4137">
        <f>A4137+1</f>
        <v>1813</v>
      </c>
      <c r="C4137" t="s">
        <v>518</v>
      </c>
      <c r="D4137" t="s">
        <v>26</v>
      </c>
      <c r="E4137" s="208" t="s">
        <v>101</v>
      </c>
      <c r="F4137" t="s">
        <v>11</v>
      </c>
      <c r="G4137" s="18">
        <v>77000</v>
      </c>
      <c r="H4137" t="s">
        <v>23</v>
      </c>
      <c r="I4137" t="s">
        <v>17</v>
      </c>
    </row>
    <row r="4138" spans="1:9" x14ac:dyDescent="0.25">
      <c r="A4138">
        <v>1812</v>
      </c>
      <c r="B4138">
        <f>A4138+1</f>
        <v>1813</v>
      </c>
      <c r="C4138" t="s">
        <v>518</v>
      </c>
      <c r="D4138" t="s">
        <v>27</v>
      </c>
      <c r="E4138" s="208" t="s">
        <v>155</v>
      </c>
      <c r="F4138" t="s">
        <v>14</v>
      </c>
      <c r="G4138" s="18">
        <v>72019</v>
      </c>
      <c r="H4138" t="s">
        <v>17</v>
      </c>
      <c r="I4138" s="151" t="s">
        <v>562</v>
      </c>
    </row>
    <row r="4139" spans="1:9" x14ac:dyDescent="0.25">
      <c r="A4139">
        <v>1812</v>
      </c>
      <c r="B4139">
        <f>A4139+1</f>
        <v>1813</v>
      </c>
      <c r="C4139" t="s">
        <v>518</v>
      </c>
      <c r="D4139" t="s">
        <v>27</v>
      </c>
      <c r="E4139" s="208" t="s">
        <v>156</v>
      </c>
      <c r="F4139" t="s">
        <v>14</v>
      </c>
      <c r="G4139" s="18">
        <v>7858</v>
      </c>
      <c r="H4139" t="s">
        <v>17</v>
      </c>
      <c r="I4139" s="151" t="s">
        <v>562</v>
      </c>
    </row>
    <row r="4140" spans="1:9" x14ac:dyDescent="0.25">
      <c r="A4140">
        <v>1812</v>
      </c>
      <c r="B4140">
        <f>A4140+1</f>
        <v>1813</v>
      </c>
      <c r="C4140" t="s">
        <v>518</v>
      </c>
      <c r="D4140" t="s">
        <v>27</v>
      </c>
      <c r="E4140" s="208" t="s">
        <v>154</v>
      </c>
      <c r="F4140" t="s">
        <v>14</v>
      </c>
      <c r="G4140" s="18">
        <v>804</v>
      </c>
      <c r="H4140" t="s">
        <v>17</v>
      </c>
      <c r="I4140" s="151" t="s">
        <v>562</v>
      </c>
    </row>
    <row r="4141" spans="1:9" x14ac:dyDescent="0.25">
      <c r="A4141">
        <v>1812</v>
      </c>
      <c r="B4141">
        <f>A4141+1</f>
        <v>1813</v>
      </c>
      <c r="C4141" t="s">
        <v>518</v>
      </c>
      <c r="D4141" t="s">
        <v>27</v>
      </c>
      <c r="E4141" s="208" t="s">
        <v>150</v>
      </c>
      <c r="F4141" t="s">
        <v>14</v>
      </c>
      <c r="G4141" s="18">
        <v>31962</v>
      </c>
      <c r="H4141" t="s">
        <v>17</v>
      </c>
      <c r="I4141" s="151" t="s">
        <v>562</v>
      </c>
    </row>
    <row r="4142" spans="1:9" x14ac:dyDescent="0.25">
      <c r="A4142">
        <v>1812</v>
      </c>
      <c r="B4142">
        <f>A4142+1</f>
        <v>1813</v>
      </c>
      <c r="C4142" t="s">
        <v>518</v>
      </c>
      <c r="D4142" t="s">
        <v>27</v>
      </c>
      <c r="E4142" s="208" t="s">
        <v>148</v>
      </c>
      <c r="F4142" t="s">
        <v>14</v>
      </c>
      <c r="G4142" s="18">
        <v>510</v>
      </c>
      <c r="H4142" t="s">
        <v>17</v>
      </c>
      <c r="I4142" s="151" t="s">
        <v>562</v>
      </c>
    </row>
    <row r="4143" spans="1:9" x14ac:dyDescent="0.25">
      <c r="A4143">
        <v>1812</v>
      </c>
      <c r="B4143">
        <f>A4143+1</f>
        <v>1813</v>
      </c>
      <c r="C4143" t="s">
        <v>518</v>
      </c>
      <c r="D4143" t="s">
        <v>27</v>
      </c>
      <c r="E4143" s="208" t="s">
        <v>147</v>
      </c>
      <c r="F4143" t="s">
        <v>14</v>
      </c>
      <c r="G4143" s="18">
        <v>5</v>
      </c>
      <c r="H4143" t="s">
        <v>17</v>
      </c>
      <c r="I4143" s="151" t="s">
        <v>562</v>
      </c>
    </row>
    <row r="4144" spans="1:9" x14ac:dyDescent="0.25">
      <c r="A4144">
        <v>1812</v>
      </c>
      <c r="B4144">
        <f>A4144+1</f>
        <v>1813</v>
      </c>
      <c r="C4144" t="s">
        <v>518</v>
      </c>
      <c r="D4144" t="s">
        <v>27</v>
      </c>
      <c r="E4144" s="208" t="s">
        <v>149</v>
      </c>
      <c r="F4144" t="s">
        <v>14</v>
      </c>
      <c r="G4144" s="18">
        <v>0</v>
      </c>
      <c r="H4144" t="s">
        <v>17</v>
      </c>
      <c r="I4144" s="151" t="s">
        <v>562</v>
      </c>
    </row>
    <row r="4145" spans="1:9" x14ac:dyDescent="0.25">
      <c r="A4145">
        <v>1812</v>
      </c>
      <c r="B4145">
        <f>A4145+1</f>
        <v>1813</v>
      </c>
      <c r="C4145" t="s">
        <v>518</v>
      </c>
      <c r="D4145" t="s">
        <v>27</v>
      </c>
      <c r="E4145" s="208" t="s">
        <v>139</v>
      </c>
      <c r="F4145" t="s">
        <v>14</v>
      </c>
      <c r="G4145" s="18">
        <v>143</v>
      </c>
      <c r="H4145" t="s">
        <v>17</v>
      </c>
      <c r="I4145" s="151" t="s">
        <v>562</v>
      </c>
    </row>
    <row r="4146" spans="1:9" x14ac:dyDescent="0.25">
      <c r="A4146">
        <v>1812</v>
      </c>
      <c r="B4146">
        <f>A4146+1</f>
        <v>1813</v>
      </c>
      <c r="C4146" t="s">
        <v>518</v>
      </c>
      <c r="D4146" t="s">
        <v>27</v>
      </c>
      <c r="E4146" s="208" t="s">
        <v>130</v>
      </c>
      <c r="F4146" t="s">
        <v>14</v>
      </c>
      <c r="G4146" s="18">
        <v>848</v>
      </c>
      <c r="H4146" t="s">
        <v>17</v>
      </c>
      <c r="I4146" s="151" t="s">
        <v>562</v>
      </c>
    </row>
    <row r="4147" spans="1:9" x14ac:dyDescent="0.25">
      <c r="A4147">
        <v>1812</v>
      </c>
      <c r="B4147">
        <f>A4147+1</f>
        <v>1813</v>
      </c>
      <c r="C4147" t="s">
        <v>518</v>
      </c>
      <c r="D4147" t="s">
        <v>27</v>
      </c>
      <c r="E4147" s="208" t="s">
        <v>132</v>
      </c>
      <c r="F4147" t="s">
        <v>14</v>
      </c>
      <c r="G4147" s="18">
        <v>371</v>
      </c>
      <c r="H4147" t="s">
        <v>17</v>
      </c>
      <c r="I4147" s="151" t="s">
        <v>562</v>
      </c>
    </row>
    <row r="4148" spans="1:9" x14ac:dyDescent="0.25">
      <c r="A4148">
        <v>1812</v>
      </c>
      <c r="B4148">
        <f>A4148+1</f>
        <v>1813</v>
      </c>
      <c r="C4148" t="s">
        <v>518</v>
      </c>
      <c r="D4148" t="s">
        <v>27</v>
      </c>
      <c r="E4148" s="208" t="s">
        <v>142</v>
      </c>
      <c r="F4148" t="s">
        <v>14</v>
      </c>
      <c r="G4148" s="18">
        <v>12010</v>
      </c>
      <c r="H4148" t="s">
        <v>17</v>
      </c>
      <c r="I4148" s="151" t="s">
        <v>562</v>
      </c>
    </row>
    <row r="4149" spans="1:9" x14ac:dyDescent="0.25">
      <c r="A4149">
        <v>1812</v>
      </c>
      <c r="B4149">
        <f>A4149+1</f>
        <v>1813</v>
      </c>
      <c r="C4149" t="s">
        <v>518</v>
      </c>
      <c r="D4149" t="s">
        <v>27</v>
      </c>
      <c r="E4149" s="208" t="s">
        <v>144</v>
      </c>
      <c r="F4149" t="s">
        <v>14</v>
      </c>
      <c r="G4149" s="18">
        <v>316</v>
      </c>
      <c r="H4149" t="s">
        <v>17</v>
      </c>
      <c r="I4149" s="151" t="s">
        <v>562</v>
      </c>
    </row>
    <row r="4150" spans="1:9" x14ac:dyDescent="0.25">
      <c r="A4150">
        <v>1812</v>
      </c>
      <c r="B4150">
        <f>A4150+1</f>
        <v>1813</v>
      </c>
      <c r="C4150" t="s">
        <v>518</v>
      </c>
      <c r="D4150" t="s">
        <v>27</v>
      </c>
      <c r="E4150" s="208" t="s">
        <v>124</v>
      </c>
      <c r="F4150" t="s">
        <v>14</v>
      </c>
      <c r="G4150" s="18">
        <v>9670001</v>
      </c>
      <c r="H4150" t="s">
        <v>17</v>
      </c>
      <c r="I4150" s="151" t="s">
        <v>562</v>
      </c>
    </row>
    <row r="4151" spans="1:9" x14ac:dyDescent="0.25">
      <c r="A4151">
        <v>1812</v>
      </c>
      <c r="B4151">
        <f>A4151+1</f>
        <v>1813</v>
      </c>
      <c r="C4151" t="s">
        <v>518</v>
      </c>
      <c r="D4151" t="s">
        <v>26</v>
      </c>
      <c r="E4151" s="208" t="s">
        <v>62</v>
      </c>
      <c r="F4151" t="s">
        <v>14</v>
      </c>
      <c r="G4151" s="18">
        <v>761</v>
      </c>
      <c r="H4151" s="151" t="s">
        <v>563</v>
      </c>
      <c r="I4151" t="s">
        <v>17</v>
      </c>
    </row>
    <row r="4152" spans="1:9" x14ac:dyDescent="0.25">
      <c r="A4152">
        <v>1812</v>
      </c>
      <c r="B4152">
        <f>A4152+1</f>
        <v>1813</v>
      </c>
      <c r="C4152" t="s">
        <v>518</v>
      </c>
      <c r="D4152" t="s">
        <v>26</v>
      </c>
      <c r="E4152" s="208" t="s">
        <v>55</v>
      </c>
      <c r="F4152" t="s">
        <v>14</v>
      </c>
      <c r="G4152" s="18">
        <v>0</v>
      </c>
      <c r="H4152" s="151" t="s">
        <v>563</v>
      </c>
      <c r="I4152" t="s">
        <v>17</v>
      </c>
    </row>
    <row r="4153" spans="1:9" x14ac:dyDescent="0.25">
      <c r="A4153">
        <v>1812</v>
      </c>
      <c r="B4153">
        <f>A4153+1</f>
        <v>1813</v>
      </c>
      <c r="C4153" t="s">
        <v>518</v>
      </c>
      <c r="D4153" t="s">
        <v>26</v>
      </c>
      <c r="E4153" s="208" t="s">
        <v>35</v>
      </c>
      <c r="F4153" t="s">
        <v>14</v>
      </c>
      <c r="G4153" s="18">
        <v>0</v>
      </c>
      <c r="H4153" s="151" t="s">
        <v>563</v>
      </c>
      <c r="I4153" t="s">
        <v>17</v>
      </c>
    </row>
    <row r="4154" spans="1:9" x14ac:dyDescent="0.25">
      <c r="A4154">
        <v>1812</v>
      </c>
      <c r="B4154">
        <f>A4154+1</f>
        <v>1813</v>
      </c>
      <c r="C4154" t="s">
        <v>518</v>
      </c>
      <c r="D4154" t="s">
        <v>26</v>
      </c>
      <c r="E4154" s="208" t="s">
        <v>36</v>
      </c>
      <c r="F4154" t="s">
        <v>14</v>
      </c>
      <c r="G4154" s="18">
        <v>250</v>
      </c>
      <c r="H4154" s="151" t="s">
        <v>563</v>
      </c>
      <c r="I4154" t="s">
        <v>17</v>
      </c>
    </row>
    <row r="4155" spans="1:9" x14ac:dyDescent="0.25">
      <c r="A4155">
        <v>1812</v>
      </c>
      <c r="B4155">
        <f>A4155+1</f>
        <v>1813</v>
      </c>
      <c r="C4155" t="s">
        <v>518</v>
      </c>
      <c r="D4155" t="s">
        <v>26</v>
      </c>
      <c r="E4155" s="208" t="s">
        <v>39</v>
      </c>
      <c r="F4155" t="s">
        <v>14</v>
      </c>
      <c r="G4155" s="18">
        <v>0</v>
      </c>
      <c r="H4155" s="151" t="s">
        <v>563</v>
      </c>
      <c r="I4155" t="s">
        <v>17</v>
      </c>
    </row>
    <row r="4156" spans="1:9" x14ac:dyDescent="0.25">
      <c r="A4156">
        <v>1812</v>
      </c>
      <c r="B4156">
        <f>A4156+1</f>
        <v>1813</v>
      </c>
      <c r="C4156" t="s">
        <v>518</v>
      </c>
      <c r="D4156" t="s">
        <v>26</v>
      </c>
      <c r="E4156" s="208" t="s">
        <v>95</v>
      </c>
      <c r="F4156" t="s">
        <v>14</v>
      </c>
      <c r="G4156" s="18">
        <v>32</v>
      </c>
      <c r="H4156" s="151" t="s">
        <v>563</v>
      </c>
      <c r="I4156" t="s">
        <v>17</v>
      </c>
    </row>
    <row r="4157" spans="1:9" x14ac:dyDescent="0.25">
      <c r="A4157">
        <v>1812</v>
      </c>
      <c r="B4157">
        <f>A4157+1</f>
        <v>1813</v>
      </c>
      <c r="C4157" t="s">
        <v>518</v>
      </c>
      <c r="D4157" t="s">
        <v>26</v>
      </c>
      <c r="E4157" s="208" t="s">
        <v>94</v>
      </c>
      <c r="F4157" t="s">
        <v>14</v>
      </c>
      <c r="G4157" s="18">
        <v>0</v>
      </c>
      <c r="H4157" s="151" t="s">
        <v>563</v>
      </c>
      <c r="I4157" t="s">
        <v>17</v>
      </c>
    </row>
    <row r="4158" spans="1:9" x14ac:dyDescent="0.25">
      <c r="A4158">
        <v>1812</v>
      </c>
      <c r="B4158">
        <f>A4158+1</f>
        <v>1813</v>
      </c>
      <c r="C4158" t="s">
        <v>518</v>
      </c>
      <c r="D4158" t="s">
        <v>26</v>
      </c>
      <c r="E4158" s="208" t="s">
        <v>99</v>
      </c>
      <c r="F4158" t="s">
        <v>14</v>
      </c>
      <c r="G4158" s="18">
        <v>93</v>
      </c>
      <c r="H4158" s="151" t="s">
        <v>563</v>
      </c>
      <c r="I4158" t="s">
        <v>17</v>
      </c>
    </row>
    <row r="4159" spans="1:9" x14ac:dyDescent="0.25">
      <c r="A4159">
        <v>1812</v>
      </c>
      <c r="B4159">
        <f>A4159+1</f>
        <v>1813</v>
      </c>
      <c r="C4159" t="s">
        <v>518</v>
      </c>
      <c r="D4159" t="s">
        <v>26</v>
      </c>
      <c r="E4159" s="208" t="s">
        <v>28</v>
      </c>
      <c r="F4159" t="s">
        <v>14</v>
      </c>
      <c r="G4159" s="18">
        <v>10</v>
      </c>
      <c r="H4159" s="151" t="s">
        <v>563</v>
      </c>
      <c r="I4159" t="s">
        <v>17</v>
      </c>
    </row>
    <row r="4160" spans="1:9" x14ac:dyDescent="0.25">
      <c r="A4160">
        <v>1812</v>
      </c>
      <c r="B4160">
        <f>A4160+1</f>
        <v>1813</v>
      </c>
      <c r="C4160" t="s">
        <v>518</v>
      </c>
      <c r="D4160" t="s">
        <v>26</v>
      </c>
      <c r="E4160" s="208" t="s">
        <v>89</v>
      </c>
      <c r="F4160" t="s">
        <v>14</v>
      </c>
      <c r="G4160" s="18">
        <v>10</v>
      </c>
      <c r="H4160" s="151" t="s">
        <v>563</v>
      </c>
      <c r="I4160" t="s">
        <v>17</v>
      </c>
    </row>
    <row r="4161" spans="1:9" x14ac:dyDescent="0.25">
      <c r="A4161">
        <v>1812</v>
      </c>
      <c r="B4161">
        <f>A4161+1</f>
        <v>1813</v>
      </c>
      <c r="C4161" t="s">
        <v>518</v>
      </c>
      <c r="D4161" t="s">
        <v>26</v>
      </c>
      <c r="E4161" s="208" t="s">
        <v>45</v>
      </c>
      <c r="F4161" t="s">
        <v>14</v>
      </c>
      <c r="G4161" s="18">
        <v>37</v>
      </c>
      <c r="H4161" s="151" t="s">
        <v>563</v>
      </c>
      <c r="I4161" t="s">
        <v>17</v>
      </c>
    </row>
    <row r="4162" spans="1:9" x14ac:dyDescent="0.25">
      <c r="A4162">
        <v>1812</v>
      </c>
      <c r="B4162">
        <f>A4162+1</f>
        <v>1813</v>
      </c>
      <c r="C4162" t="s">
        <v>518</v>
      </c>
      <c r="D4162" t="s">
        <v>26</v>
      </c>
      <c r="E4162" s="208" t="s">
        <v>382</v>
      </c>
      <c r="F4162" t="s">
        <v>14</v>
      </c>
      <c r="G4162" s="18">
        <v>0</v>
      </c>
      <c r="H4162" s="151" t="s">
        <v>563</v>
      </c>
      <c r="I4162" t="s">
        <v>17</v>
      </c>
    </row>
    <row r="4163" spans="1:9" x14ac:dyDescent="0.25">
      <c r="A4163">
        <v>1812</v>
      </c>
      <c r="B4163">
        <f>A4163+1</f>
        <v>1813</v>
      </c>
      <c r="C4163" t="s">
        <v>518</v>
      </c>
      <c r="D4163" t="s">
        <v>26</v>
      </c>
      <c r="E4163" s="208" t="s">
        <v>387</v>
      </c>
      <c r="F4163" t="s">
        <v>14</v>
      </c>
      <c r="G4163" s="18">
        <v>0</v>
      </c>
      <c r="H4163" s="151" t="s">
        <v>563</v>
      </c>
      <c r="I4163" t="s">
        <v>17</v>
      </c>
    </row>
    <row r="4164" spans="1:9" x14ac:dyDescent="0.25">
      <c r="A4164">
        <v>1812</v>
      </c>
      <c r="B4164">
        <f>A4164+1</f>
        <v>1813</v>
      </c>
      <c r="C4164" t="s">
        <v>518</v>
      </c>
      <c r="D4164" t="s">
        <v>26</v>
      </c>
      <c r="E4164" s="208" t="s">
        <v>386</v>
      </c>
      <c r="F4164" t="s">
        <v>14</v>
      </c>
      <c r="G4164" s="18">
        <v>0</v>
      </c>
      <c r="H4164" s="151" t="s">
        <v>563</v>
      </c>
      <c r="I4164" t="s">
        <v>17</v>
      </c>
    </row>
    <row r="4165" spans="1:9" x14ac:dyDescent="0.25">
      <c r="A4165">
        <v>1812</v>
      </c>
      <c r="B4165">
        <f>A4165+1</f>
        <v>1813</v>
      </c>
      <c r="C4165" t="s">
        <v>518</v>
      </c>
      <c r="D4165" t="s">
        <v>26</v>
      </c>
      <c r="E4165" s="208" t="s">
        <v>53</v>
      </c>
      <c r="F4165" t="s">
        <v>14</v>
      </c>
      <c r="G4165" s="18">
        <v>1233</v>
      </c>
      <c r="H4165" s="151" t="s">
        <v>563</v>
      </c>
      <c r="I4165" t="s">
        <v>17</v>
      </c>
    </row>
    <row r="4166" spans="1:9" x14ac:dyDescent="0.25">
      <c r="A4166">
        <v>1812</v>
      </c>
      <c r="B4166">
        <f>A4166+1</f>
        <v>1813</v>
      </c>
      <c r="C4166" t="s">
        <v>518</v>
      </c>
      <c r="D4166" t="s">
        <v>26</v>
      </c>
      <c r="E4166" s="208" t="s">
        <v>383</v>
      </c>
      <c r="F4166" t="s">
        <v>14</v>
      </c>
      <c r="G4166" s="18">
        <v>20</v>
      </c>
      <c r="H4166" s="151" t="s">
        <v>563</v>
      </c>
      <c r="I4166" t="s">
        <v>17</v>
      </c>
    </row>
    <row r="4167" spans="1:9" x14ac:dyDescent="0.25">
      <c r="A4167">
        <v>1812</v>
      </c>
      <c r="B4167">
        <f>A4167+1</f>
        <v>1813</v>
      </c>
      <c r="C4167" t="s">
        <v>518</v>
      </c>
      <c r="D4167" t="s">
        <v>26</v>
      </c>
      <c r="E4167" s="208" t="s">
        <v>384</v>
      </c>
      <c r="F4167" t="s">
        <v>14</v>
      </c>
      <c r="G4167" s="18">
        <v>0</v>
      </c>
      <c r="H4167" s="151" t="s">
        <v>563</v>
      </c>
      <c r="I4167" t="s">
        <v>17</v>
      </c>
    </row>
    <row r="4168" spans="1:9" x14ac:dyDescent="0.25">
      <c r="A4168">
        <v>1812</v>
      </c>
      <c r="B4168">
        <f>A4168+1</f>
        <v>1813</v>
      </c>
      <c r="C4168" t="s">
        <v>518</v>
      </c>
      <c r="D4168" t="s">
        <v>26</v>
      </c>
      <c r="E4168" s="208" t="s">
        <v>75</v>
      </c>
      <c r="F4168" t="s">
        <v>14</v>
      </c>
      <c r="G4168" s="18">
        <v>88043</v>
      </c>
      <c r="H4168" s="151" t="s">
        <v>563</v>
      </c>
      <c r="I4168" t="s">
        <v>17</v>
      </c>
    </row>
    <row r="4169" spans="1:9" x14ac:dyDescent="0.25">
      <c r="A4169">
        <v>1812</v>
      </c>
      <c r="B4169">
        <f>A4169+1</f>
        <v>1813</v>
      </c>
      <c r="C4169" t="s">
        <v>518</v>
      </c>
      <c r="D4169" t="s">
        <v>26</v>
      </c>
      <c r="E4169" s="208" t="s">
        <v>107</v>
      </c>
      <c r="F4169" t="s">
        <v>14</v>
      </c>
      <c r="G4169" s="18">
        <v>154194</v>
      </c>
      <c r="H4169" s="151" t="s">
        <v>563</v>
      </c>
      <c r="I4169" t="s">
        <v>17</v>
      </c>
    </row>
    <row r="4170" spans="1:9" x14ac:dyDescent="0.25">
      <c r="A4170">
        <v>1812</v>
      </c>
      <c r="B4170">
        <f>A4170+1</f>
        <v>1813</v>
      </c>
      <c r="C4170" t="s">
        <v>518</v>
      </c>
      <c r="D4170" t="s">
        <v>26</v>
      </c>
      <c r="E4170" s="208" t="s">
        <v>101</v>
      </c>
      <c r="F4170" t="s">
        <v>14</v>
      </c>
      <c r="G4170" s="18">
        <v>77000</v>
      </c>
      <c r="H4170" s="151" t="s">
        <v>563</v>
      </c>
      <c r="I4170" t="s">
        <v>17</v>
      </c>
    </row>
    <row r="4171" spans="1:9" x14ac:dyDescent="0.25">
      <c r="A4171">
        <v>1812</v>
      </c>
      <c r="B4171">
        <f>A4171+1</f>
        <v>1813</v>
      </c>
      <c r="C4171" t="s">
        <v>518</v>
      </c>
      <c r="D4171" t="s">
        <v>26</v>
      </c>
      <c r="E4171" s="208" t="s">
        <v>65</v>
      </c>
      <c r="F4171" t="s">
        <v>14</v>
      </c>
      <c r="G4171" s="18">
        <v>20427</v>
      </c>
      <c r="H4171" s="151" t="s">
        <v>563</v>
      </c>
      <c r="I4171" t="s">
        <v>17</v>
      </c>
    </row>
    <row r="4172" spans="1:9" x14ac:dyDescent="0.25">
      <c r="A4172">
        <v>1812</v>
      </c>
      <c r="B4172">
        <f>A4172+1</f>
        <v>1813</v>
      </c>
      <c r="C4172" t="s">
        <v>518</v>
      </c>
      <c r="D4172" t="s">
        <v>26</v>
      </c>
      <c r="E4172" s="208" t="s">
        <v>88</v>
      </c>
      <c r="F4172" t="s">
        <v>14</v>
      </c>
      <c r="G4172" s="18">
        <v>3694</v>
      </c>
      <c r="H4172" s="151" t="s">
        <v>563</v>
      </c>
      <c r="I4172" t="s">
        <v>17</v>
      </c>
    </row>
    <row r="4173" spans="1:9" x14ac:dyDescent="0.25">
      <c r="A4173">
        <v>1812</v>
      </c>
      <c r="B4173">
        <f>A4173+1</f>
        <v>1813</v>
      </c>
      <c r="C4173" t="s">
        <v>518</v>
      </c>
      <c r="D4173" t="s">
        <v>26</v>
      </c>
      <c r="E4173" s="208" t="s">
        <v>330</v>
      </c>
      <c r="F4173" t="s">
        <v>14</v>
      </c>
      <c r="G4173" s="18">
        <v>170</v>
      </c>
      <c r="H4173" s="151" t="s">
        <v>563</v>
      </c>
      <c r="I4173" t="s">
        <v>17</v>
      </c>
    </row>
    <row r="4174" spans="1:9" x14ac:dyDescent="0.25">
      <c r="A4174">
        <v>1812</v>
      </c>
      <c r="B4174">
        <f>A4174+1</f>
        <v>1813</v>
      </c>
      <c r="C4174" t="s">
        <v>518</v>
      </c>
      <c r="D4174" t="s">
        <v>26</v>
      </c>
      <c r="E4174" s="208" t="s">
        <v>331</v>
      </c>
      <c r="F4174" t="s">
        <v>14</v>
      </c>
      <c r="G4174" s="18">
        <v>620</v>
      </c>
      <c r="H4174" s="151" t="s">
        <v>563</v>
      </c>
      <c r="I4174" t="s">
        <v>17</v>
      </c>
    </row>
    <row r="4175" spans="1:9" x14ac:dyDescent="0.25">
      <c r="A4175">
        <v>1812</v>
      </c>
      <c r="B4175">
        <f>A4175+1</f>
        <v>1813</v>
      </c>
      <c r="C4175" t="s">
        <v>518</v>
      </c>
      <c r="D4175" t="s">
        <v>26</v>
      </c>
      <c r="E4175" s="208" t="s">
        <v>332</v>
      </c>
      <c r="F4175" t="s">
        <v>14</v>
      </c>
      <c r="G4175" s="18">
        <v>3</v>
      </c>
      <c r="H4175" s="151" t="s">
        <v>563</v>
      </c>
      <c r="I4175" t="s">
        <v>17</v>
      </c>
    </row>
    <row r="4176" spans="1:9" x14ac:dyDescent="0.25">
      <c r="A4176">
        <v>1812</v>
      </c>
      <c r="B4176">
        <f>A4176+1</f>
        <v>1813</v>
      </c>
      <c r="C4176" t="s">
        <v>518</v>
      </c>
      <c r="D4176" t="s">
        <v>26</v>
      </c>
      <c r="E4176" s="208" t="s">
        <v>333</v>
      </c>
      <c r="F4176" t="s">
        <v>14</v>
      </c>
      <c r="G4176" s="18">
        <v>536</v>
      </c>
      <c r="H4176" s="151" t="s">
        <v>563</v>
      </c>
      <c r="I4176" t="s">
        <v>17</v>
      </c>
    </row>
    <row r="4177" spans="1:9" x14ac:dyDescent="0.25">
      <c r="A4177">
        <v>1812</v>
      </c>
      <c r="B4177">
        <f>A4177+1</f>
        <v>1813</v>
      </c>
      <c r="C4177" t="s">
        <v>518</v>
      </c>
      <c r="D4177" t="s">
        <v>27</v>
      </c>
      <c r="E4177" s="208" t="s">
        <v>155</v>
      </c>
      <c r="F4177" t="s">
        <v>15</v>
      </c>
      <c r="G4177" s="18">
        <v>97548</v>
      </c>
      <c r="H4177" t="s">
        <v>561</v>
      </c>
      <c r="I4177" s="151" t="s">
        <v>562</v>
      </c>
    </row>
    <row r="4178" spans="1:9" x14ac:dyDescent="0.25">
      <c r="A4178">
        <v>1812</v>
      </c>
      <c r="B4178">
        <f>A4178+1</f>
        <v>1813</v>
      </c>
      <c r="C4178" t="s">
        <v>518</v>
      </c>
      <c r="D4178" t="s">
        <v>27</v>
      </c>
      <c r="E4178" s="208" t="s">
        <v>156</v>
      </c>
      <c r="F4178" t="s">
        <v>15</v>
      </c>
      <c r="G4178" s="18">
        <v>10029</v>
      </c>
      <c r="H4178" t="s">
        <v>561</v>
      </c>
      <c r="I4178" s="151" t="s">
        <v>562</v>
      </c>
    </row>
    <row r="4179" spans="1:9" x14ac:dyDescent="0.25">
      <c r="A4179">
        <v>1812</v>
      </c>
      <c r="B4179">
        <f>A4179+1</f>
        <v>1813</v>
      </c>
      <c r="C4179" t="s">
        <v>518</v>
      </c>
      <c r="D4179" t="s">
        <v>27</v>
      </c>
      <c r="E4179" s="208" t="s">
        <v>154</v>
      </c>
      <c r="F4179" t="s">
        <v>15</v>
      </c>
      <c r="G4179" s="18">
        <v>2304</v>
      </c>
      <c r="H4179" t="s">
        <v>561</v>
      </c>
      <c r="I4179" s="151" t="s">
        <v>562</v>
      </c>
    </row>
    <row r="4180" spans="1:9" x14ac:dyDescent="0.25">
      <c r="A4180">
        <v>1812</v>
      </c>
      <c r="B4180">
        <f>A4180+1</f>
        <v>1813</v>
      </c>
      <c r="C4180" t="s">
        <v>518</v>
      </c>
      <c r="D4180" t="s">
        <v>27</v>
      </c>
      <c r="E4180" s="208" t="s">
        <v>150</v>
      </c>
      <c r="F4180" t="s">
        <v>15</v>
      </c>
      <c r="G4180" s="18">
        <v>44618</v>
      </c>
      <c r="H4180" t="s">
        <v>561</v>
      </c>
      <c r="I4180" s="151" t="s">
        <v>562</v>
      </c>
    </row>
    <row r="4181" spans="1:9" x14ac:dyDescent="0.25">
      <c r="A4181">
        <v>1812</v>
      </c>
      <c r="B4181">
        <f>A4181+1</f>
        <v>1813</v>
      </c>
      <c r="C4181" t="s">
        <v>518</v>
      </c>
      <c r="D4181" t="s">
        <v>27</v>
      </c>
      <c r="E4181" s="208" t="s">
        <v>148</v>
      </c>
      <c r="F4181" t="s">
        <v>15</v>
      </c>
      <c r="G4181" s="18">
        <v>1345</v>
      </c>
      <c r="H4181" t="s">
        <v>561</v>
      </c>
      <c r="I4181" s="151" t="s">
        <v>562</v>
      </c>
    </row>
    <row r="4182" spans="1:9" x14ac:dyDescent="0.25">
      <c r="A4182">
        <v>1812</v>
      </c>
      <c r="B4182">
        <f>A4182+1</f>
        <v>1813</v>
      </c>
      <c r="C4182" t="s">
        <v>518</v>
      </c>
      <c r="D4182" t="s">
        <v>27</v>
      </c>
      <c r="E4182" s="208" t="s">
        <v>147</v>
      </c>
      <c r="F4182" t="s">
        <v>15</v>
      </c>
      <c r="G4182" s="18">
        <v>382</v>
      </c>
      <c r="H4182" t="s">
        <v>561</v>
      </c>
      <c r="I4182" s="151" t="s">
        <v>562</v>
      </c>
    </row>
    <row r="4183" spans="1:9" x14ac:dyDescent="0.25">
      <c r="A4183">
        <v>1812</v>
      </c>
      <c r="B4183">
        <f>A4183+1</f>
        <v>1813</v>
      </c>
      <c r="C4183" t="s">
        <v>518</v>
      </c>
      <c r="D4183" t="s">
        <v>27</v>
      </c>
      <c r="E4183" s="208" t="s">
        <v>149</v>
      </c>
      <c r="F4183" t="s">
        <v>15</v>
      </c>
      <c r="G4183" s="18">
        <v>874</v>
      </c>
      <c r="H4183" t="s">
        <v>561</v>
      </c>
      <c r="I4183" s="151" t="s">
        <v>562</v>
      </c>
    </row>
    <row r="4184" spans="1:9" x14ac:dyDescent="0.25">
      <c r="A4184">
        <v>1812</v>
      </c>
      <c r="B4184">
        <f>A4184+1</f>
        <v>1813</v>
      </c>
      <c r="C4184" t="s">
        <v>518</v>
      </c>
      <c r="D4184" t="s">
        <v>27</v>
      </c>
      <c r="E4184" s="208" t="s">
        <v>139</v>
      </c>
      <c r="F4184" t="s">
        <v>15</v>
      </c>
      <c r="G4184" s="18">
        <v>208</v>
      </c>
      <c r="H4184" t="s">
        <v>561</v>
      </c>
      <c r="I4184" s="151" t="s">
        <v>562</v>
      </c>
    </row>
    <row r="4185" spans="1:9" x14ac:dyDescent="0.25">
      <c r="A4185">
        <v>1812</v>
      </c>
      <c r="B4185">
        <f>A4185+1</f>
        <v>1813</v>
      </c>
      <c r="C4185" t="s">
        <v>518</v>
      </c>
      <c r="D4185" t="s">
        <v>27</v>
      </c>
      <c r="E4185" s="208" t="s">
        <v>130</v>
      </c>
      <c r="F4185" t="s">
        <v>15</v>
      </c>
      <c r="G4185" s="18">
        <v>1428</v>
      </c>
      <c r="H4185" t="s">
        <v>561</v>
      </c>
      <c r="I4185" s="151" t="s">
        <v>562</v>
      </c>
    </row>
    <row r="4186" spans="1:9" x14ac:dyDescent="0.25">
      <c r="A4186">
        <v>1812</v>
      </c>
      <c r="B4186">
        <f>A4186+1</f>
        <v>1813</v>
      </c>
      <c r="C4186" t="s">
        <v>518</v>
      </c>
      <c r="D4186" t="s">
        <v>27</v>
      </c>
      <c r="E4186" s="208" t="s">
        <v>132</v>
      </c>
      <c r="F4186" t="s">
        <v>15</v>
      </c>
      <c r="G4186" s="18">
        <v>816</v>
      </c>
      <c r="H4186" t="s">
        <v>561</v>
      </c>
      <c r="I4186" s="151" t="s">
        <v>562</v>
      </c>
    </row>
    <row r="4187" spans="1:9" x14ac:dyDescent="0.25">
      <c r="A4187">
        <v>1812</v>
      </c>
      <c r="B4187">
        <f>A4187+1</f>
        <v>1813</v>
      </c>
      <c r="C4187" t="s">
        <v>518</v>
      </c>
      <c r="D4187" t="s">
        <v>27</v>
      </c>
      <c r="E4187" s="208" t="s">
        <v>142</v>
      </c>
      <c r="F4187" t="s">
        <v>15</v>
      </c>
      <c r="G4187" s="18">
        <v>14361</v>
      </c>
      <c r="H4187" t="s">
        <v>561</v>
      </c>
      <c r="I4187" s="151" t="s">
        <v>562</v>
      </c>
    </row>
    <row r="4188" spans="1:9" x14ac:dyDescent="0.25">
      <c r="A4188">
        <v>1812</v>
      </c>
      <c r="B4188">
        <f>A4188+1</f>
        <v>1813</v>
      </c>
      <c r="C4188" t="s">
        <v>518</v>
      </c>
      <c r="D4188" t="s">
        <v>27</v>
      </c>
      <c r="E4188" s="208" t="s">
        <v>144</v>
      </c>
      <c r="F4188" t="s">
        <v>15</v>
      </c>
      <c r="G4188" s="18">
        <v>1024</v>
      </c>
      <c r="H4188" t="s">
        <v>561</v>
      </c>
      <c r="I4188" s="151" t="s">
        <v>562</v>
      </c>
    </row>
    <row r="4189" spans="1:9" x14ac:dyDescent="0.25">
      <c r="A4189">
        <v>1812</v>
      </c>
      <c r="B4189">
        <f>A4189+1</f>
        <v>1813</v>
      </c>
      <c r="C4189" t="s">
        <v>518</v>
      </c>
      <c r="D4189" t="s">
        <v>27</v>
      </c>
      <c r="E4189" s="208" t="s">
        <v>124</v>
      </c>
      <c r="F4189" t="s">
        <v>15</v>
      </c>
      <c r="G4189" s="18">
        <v>24623575</v>
      </c>
      <c r="H4189" t="s">
        <v>561</v>
      </c>
      <c r="I4189" s="151" t="s">
        <v>562</v>
      </c>
    </row>
    <row r="4190" spans="1:9" x14ac:dyDescent="0.25">
      <c r="A4190">
        <v>1812</v>
      </c>
      <c r="B4190">
        <f>A4190+1</f>
        <v>1813</v>
      </c>
      <c r="C4190" t="s">
        <v>518</v>
      </c>
      <c r="D4190" t="s">
        <v>26</v>
      </c>
      <c r="E4190" s="208" t="s">
        <v>62</v>
      </c>
      <c r="F4190" t="s">
        <v>15</v>
      </c>
      <c r="G4190" s="18">
        <v>20056</v>
      </c>
      <c r="H4190" s="151" t="s">
        <v>563</v>
      </c>
      <c r="I4190" t="s">
        <v>561</v>
      </c>
    </row>
    <row r="4191" spans="1:9" x14ac:dyDescent="0.25">
      <c r="A4191">
        <v>1812</v>
      </c>
      <c r="B4191">
        <f>A4191+1</f>
        <v>1813</v>
      </c>
      <c r="C4191" t="s">
        <v>518</v>
      </c>
      <c r="D4191" t="s">
        <v>26</v>
      </c>
      <c r="E4191" s="208" t="s">
        <v>55</v>
      </c>
      <c r="F4191" t="s">
        <v>15</v>
      </c>
      <c r="G4191" s="18">
        <v>365</v>
      </c>
      <c r="H4191" s="151" t="s">
        <v>563</v>
      </c>
      <c r="I4191" t="s">
        <v>561</v>
      </c>
    </row>
    <row r="4192" spans="1:9" x14ac:dyDescent="0.25">
      <c r="A4192">
        <v>1812</v>
      </c>
      <c r="B4192">
        <f>A4192+1</f>
        <v>1813</v>
      </c>
      <c r="C4192" t="s">
        <v>518</v>
      </c>
      <c r="D4192" t="s">
        <v>26</v>
      </c>
      <c r="E4192" s="208" t="s">
        <v>35</v>
      </c>
      <c r="F4192" t="s">
        <v>15</v>
      </c>
      <c r="G4192" s="18">
        <v>1571</v>
      </c>
      <c r="H4192" s="151" t="s">
        <v>563</v>
      </c>
      <c r="I4192" t="s">
        <v>561</v>
      </c>
    </row>
    <row r="4193" spans="1:9" x14ac:dyDescent="0.25">
      <c r="A4193">
        <v>1812</v>
      </c>
      <c r="B4193">
        <f>A4193+1</f>
        <v>1813</v>
      </c>
      <c r="C4193" t="s">
        <v>518</v>
      </c>
      <c r="D4193" t="s">
        <v>26</v>
      </c>
      <c r="E4193" s="208" t="s">
        <v>36</v>
      </c>
      <c r="F4193" t="s">
        <v>15</v>
      </c>
      <c r="G4193" s="18">
        <v>681</v>
      </c>
      <c r="H4193" s="151" t="s">
        <v>563</v>
      </c>
      <c r="I4193" t="s">
        <v>561</v>
      </c>
    </row>
    <row r="4194" spans="1:9" x14ac:dyDescent="0.25">
      <c r="A4194">
        <v>1812</v>
      </c>
      <c r="B4194">
        <f>A4194+1</f>
        <v>1813</v>
      </c>
      <c r="C4194" t="s">
        <v>518</v>
      </c>
      <c r="D4194" t="s">
        <v>26</v>
      </c>
      <c r="E4194" s="208" t="s">
        <v>39</v>
      </c>
      <c r="F4194" t="s">
        <v>15</v>
      </c>
      <c r="G4194" s="18">
        <v>130</v>
      </c>
      <c r="H4194" s="151" t="s">
        <v>563</v>
      </c>
      <c r="I4194" t="s">
        <v>561</v>
      </c>
    </row>
    <row r="4195" spans="1:9" x14ac:dyDescent="0.25">
      <c r="A4195">
        <v>1812</v>
      </c>
      <c r="B4195">
        <f>A4195+1</f>
        <v>1813</v>
      </c>
      <c r="C4195" t="s">
        <v>518</v>
      </c>
      <c r="D4195" t="s">
        <v>26</v>
      </c>
      <c r="E4195" s="208" t="s">
        <v>95</v>
      </c>
      <c r="F4195" t="s">
        <v>15</v>
      </c>
      <c r="G4195" s="18">
        <v>4696</v>
      </c>
      <c r="H4195" s="151" t="s">
        <v>563</v>
      </c>
      <c r="I4195" t="s">
        <v>561</v>
      </c>
    </row>
    <row r="4196" spans="1:9" x14ac:dyDescent="0.25">
      <c r="A4196">
        <v>1812</v>
      </c>
      <c r="B4196">
        <f>A4196+1</f>
        <v>1813</v>
      </c>
      <c r="C4196" t="s">
        <v>518</v>
      </c>
      <c r="D4196" t="s">
        <v>26</v>
      </c>
      <c r="E4196" s="208" t="s">
        <v>94</v>
      </c>
      <c r="F4196" t="s">
        <v>15</v>
      </c>
      <c r="G4196" s="18">
        <v>7519</v>
      </c>
      <c r="H4196" s="151" t="s">
        <v>563</v>
      </c>
      <c r="I4196" t="s">
        <v>561</v>
      </c>
    </row>
    <row r="4197" spans="1:9" x14ac:dyDescent="0.25">
      <c r="A4197">
        <v>1812</v>
      </c>
      <c r="B4197">
        <f>A4197+1</f>
        <v>1813</v>
      </c>
      <c r="C4197" t="s">
        <v>518</v>
      </c>
      <c r="D4197" t="s">
        <v>26</v>
      </c>
      <c r="E4197" s="208" t="s">
        <v>99</v>
      </c>
      <c r="F4197" t="s">
        <v>15</v>
      </c>
      <c r="G4197" s="18">
        <v>694</v>
      </c>
      <c r="H4197" s="151" t="s">
        <v>563</v>
      </c>
      <c r="I4197" t="s">
        <v>561</v>
      </c>
    </row>
    <row r="4198" spans="1:9" x14ac:dyDescent="0.25">
      <c r="A4198">
        <v>1812</v>
      </c>
      <c r="B4198">
        <f>A4198+1</f>
        <v>1813</v>
      </c>
      <c r="C4198" t="s">
        <v>518</v>
      </c>
      <c r="D4198" t="s">
        <v>26</v>
      </c>
      <c r="E4198" s="208" t="s">
        <v>28</v>
      </c>
      <c r="F4198" t="s">
        <v>15</v>
      </c>
      <c r="G4198" s="18">
        <v>327</v>
      </c>
      <c r="H4198" s="151" t="s">
        <v>563</v>
      </c>
      <c r="I4198" t="s">
        <v>561</v>
      </c>
    </row>
    <row r="4199" spans="1:9" x14ac:dyDescent="0.25">
      <c r="A4199">
        <v>1812</v>
      </c>
      <c r="B4199">
        <f>A4199+1</f>
        <v>1813</v>
      </c>
      <c r="C4199" t="s">
        <v>518</v>
      </c>
      <c r="D4199" t="s">
        <v>26</v>
      </c>
      <c r="E4199" s="208" t="s">
        <v>89</v>
      </c>
      <c r="F4199" t="s">
        <v>15</v>
      </c>
      <c r="G4199" s="18">
        <v>49</v>
      </c>
      <c r="H4199" s="151" t="s">
        <v>563</v>
      </c>
      <c r="I4199" t="s">
        <v>561</v>
      </c>
    </row>
    <row r="4200" spans="1:9" x14ac:dyDescent="0.25">
      <c r="A4200">
        <v>1812</v>
      </c>
      <c r="B4200">
        <f>A4200+1</f>
        <v>1813</v>
      </c>
      <c r="C4200" t="s">
        <v>518</v>
      </c>
      <c r="D4200" t="s">
        <v>26</v>
      </c>
      <c r="E4200" s="208" t="s">
        <v>45</v>
      </c>
      <c r="F4200" t="s">
        <v>15</v>
      </c>
      <c r="G4200" s="18">
        <v>63</v>
      </c>
      <c r="H4200" s="151" t="s">
        <v>563</v>
      </c>
      <c r="I4200" t="s">
        <v>561</v>
      </c>
    </row>
    <row r="4201" spans="1:9" x14ac:dyDescent="0.25">
      <c r="A4201">
        <v>1812</v>
      </c>
      <c r="B4201">
        <f>A4201+1</f>
        <v>1813</v>
      </c>
      <c r="C4201" t="s">
        <v>518</v>
      </c>
      <c r="D4201" t="s">
        <v>26</v>
      </c>
      <c r="E4201" s="208" t="s">
        <v>382</v>
      </c>
      <c r="F4201" t="s">
        <v>15</v>
      </c>
      <c r="G4201" s="18">
        <v>9174</v>
      </c>
      <c r="H4201" s="151" t="s">
        <v>563</v>
      </c>
      <c r="I4201" t="s">
        <v>561</v>
      </c>
    </row>
    <row r="4202" spans="1:9" x14ac:dyDescent="0.25">
      <c r="A4202">
        <v>1812</v>
      </c>
      <c r="B4202">
        <f>A4202+1</f>
        <v>1813</v>
      </c>
      <c r="C4202" t="s">
        <v>518</v>
      </c>
      <c r="D4202" t="s">
        <v>26</v>
      </c>
      <c r="E4202" s="208" t="s">
        <v>387</v>
      </c>
      <c r="F4202" t="s">
        <v>15</v>
      </c>
      <c r="G4202" s="18">
        <v>300</v>
      </c>
      <c r="H4202" s="151" t="s">
        <v>563</v>
      </c>
      <c r="I4202" t="s">
        <v>561</v>
      </c>
    </row>
    <row r="4203" spans="1:9" x14ac:dyDescent="0.25">
      <c r="A4203">
        <v>1812</v>
      </c>
      <c r="B4203">
        <f>A4203+1</f>
        <v>1813</v>
      </c>
      <c r="C4203" t="s">
        <v>518</v>
      </c>
      <c r="D4203" t="s">
        <v>26</v>
      </c>
      <c r="E4203" s="208" t="s">
        <v>386</v>
      </c>
      <c r="F4203" t="s">
        <v>15</v>
      </c>
      <c r="G4203" s="18">
        <v>277</v>
      </c>
      <c r="H4203" s="151" t="s">
        <v>563</v>
      </c>
      <c r="I4203" t="s">
        <v>561</v>
      </c>
    </row>
    <row r="4204" spans="1:9" x14ac:dyDescent="0.25">
      <c r="A4204">
        <v>1812</v>
      </c>
      <c r="B4204">
        <f>A4204+1</f>
        <v>1813</v>
      </c>
      <c r="C4204" t="s">
        <v>518</v>
      </c>
      <c r="D4204" t="s">
        <v>26</v>
      </c>
      <c r="E4204" s="208" t="s">
        <v>53</v>
      </c>
      <c r="F4204" t="s">
        <v>15</v>
      </c>
      <c r="G4204" s="18">
        <v>42650</v>
      </c>
      <c r="H4204" s="151" t="s">
        <v>563</v>
      </c>
      <c r="I4204" t="s">
        <v>561</v>
      </c>
    </row>
    <row r="4205" spans="1:9" x14ac:dyDescent="0.25">
      <c r="A4205">
        <v>1812</v>
      </c>
      <c r="B4205">
        <f>A4205+1</f>
        <v>1813</v>
      </c>
      <c r="C4205" t="s">
        <v>518</v>
      </c>
      <c r="D4205" t="s">
        <v>26</v>
      </c>
      <c r="E4205" s="208" t="s">
        <v>383</v>
      </c>
      <c r="F4205" t="s">
        <v>15</v>
      </c>
      <c r="G4205" s="18">
        <v>2432</v>
      </c>
      <c r="H4205" s="151" t="s">
        <v>563</v>
      </c>
      <c r="I4205" t="s">
        <v>561</v>
      </c>
    </row>
    <row r="4206" spans="1:9" x14ac:dyDescent="0.25">
      <c r="A4206">
        <v>1812</v>
      </c>
      <c r="B4206">
        <f>A4206+1</f>
        <v>1813</v>
      </c>
      <c r="C4206" t="s">
        <v>518</v>
      </c>
      <c r="D4206" t="s">
        <v>26</v>
      </c>
      <c r="E4206" s="208" t="s">
        <v>384</v>
      </c>
      <c r="F4206" t="s">
        <v>15</v>
      </c>
      <c r="G4206" s="18">
        <v>950</v>
      </c>
      <c r="H4206" s="151" t="s">
        <v>563</v>
      </c>
      <c r="I4206" t="s">
        <v>561</v>
      </c>
    </row>
    <row r="4207" spans="1:9" x14ac:dyDescent="0.25">
      <c r="A4207">
        <v>1812</v>
      </c>
      <c r="B4207">
        <f>A4207+1</f>
        <v>1813</v>
      </c>
      <c r="C4207" t="s">
        <v>518</v>
      </c>
      <c r="D4207" t="s">
        <v>26</v>
      </c>
      <c r="E4207" s="208" t="s">
        <v>75</v>
      </c>
      <c r="F4207" t="s">
        <v>15</v>
      </c>
      <c r="G4207" s="18">
        <v>1953303</v>
      </c>
      <c r="H4207" s="151" t="s">
        <v>563</v>
      </c>
      <c r="I4207" t="s">
        <v>561</v>
      </c>
    </row>
    <row r="4208" spans="1:9" x14ac:dyDescent="0.25">
      <c r="A4208">
        <v>1812</v>
      </c>
      <c r="B4208">
        <f>A4208+1</f>
        <v>1813</v>
      </c>
      <c r="C4208" t="s">
        <v>518</v>
      </c>
      <c r="D4208" t="s">
        <v>26</v>
      </c>
      <c r="E4208" s="208" t="s">
        <v>107</v>
      </c>
      <c r="F4208" t="s">
        <v>15</v>
      </c>
      <c r="G4208" s="18">
        <v>1231549</v>
      </c>
      <c r="H4208" s="151" t="s">
        <v>563</v>
      </c>
      <c r="I4208" t="s">
        <v>561</v>
      </c>
    </row>
    <row r="4209" spans="1:9" x14ac:dyDescent="0.25">
      <c r="A4209">
        <v>1812</v>
      </c>
      <c r="B4209">
        <f>A4209+1</f>
        <v>1813</v>
      </c>
      <c r="C4209" t="s">
        <v>518</v>
      </c>
      <c r="D4209" t="s">
        <v>26</v>
      </c>
      <c r="E4209" s="208" t="s">
        <v>101</v>
      </c>
      <c r="F4209" t="s">
        <v>15</v>
      </c>
      <c r="G4209" s="18">
        <v>736420</v>
      </c>
      <c r="H4209" s="151" t="s">
        <v>563</v>
      </c>
      <c r="I4209" t="s">
        <v>561</v>
      </c>
    </row>
    <row r="4210" spans="1:9" x14ac:dyDescent="0.25">
      <c r="A4210">
        <v>1812</v>
      </c>
      <c r="B4210">
        <f>A4210+1</f>
        <v>1813</v>
      </c>
      <c r="C4210" t="s">
        <v>518</v>
      </c>
      <c r="D4210" t="s">
        <v>26</v>
      </c>
      <c r="E4210" s="208" t="s">
        <v>65</v>
      </c>
      <c r="F4210" t="s">
        <v>15</v>
      </c>
      <c r="G4210" s="18">
        <v>22925</v>
      </c>
      <c r="H4210" s="151" t="s">
        <v>563</v>
      </c>
      <c r="I4210" t="s">
        <v>561</v>
      </c>
    </row>
    <row r="4211" spans="1:9" x14ac:dyDescent="0.25">
      <c r="A4211">
        <v>1812</v>
      </c>
      <c r="B4211">
        <f>A4211+1</f>
        <v>1813</v>
      </c>
      <c r="C4211" t="s">
        <v>518</v>
      </c>
      <c r="D4211" t="s">
        <v>26</v>
      </c>
      <c r="E4211" s="208" t="s">
        <v>88</v>
      </c>
      <c r="F4211" t="s">
        <v>15</v>
      </c>
      <c r="G4211" s="18">
        <v>6628</v>
      </c>
      <c r="H4211" s="151" t="s">
        <v>563</v>
      </c>
      <c r="I4211" t="s">
        <v>561</v>
      </c>
    </row>
    <row r="4212" spans="1:9" x14ac:dyDescent="0.25">
      <c r="A4212">
        <v>1812</v>
      </c>
      <c r="B4212">
        <f>A4212+1</f>
        <v>1813</v>
      </c>
      <c r="C4212" t="s">
        <v>518</v>
      </c>
      <c r="D4212" t="s">
        <v>26</v>
      </c>
      <c r="E4212" s="208" t="s">
        <v>330</v>
      </c>
      <c r="F4212" t="s">
        <v>15</v>
      </c>
      <c r="G4212" s="18">
        <v>491</v>
      </c>
      <c r="H4212" s="151" t="s">
        <v>563</v>
      </c>
      <c r="I4212" t="s">
        <v>561</v>
      </c>
    </row>
    <row r="4213" spans="1:9" x14ac:dyDescent="0.25">
      <c r="A4213">
        <v>1812</v>
      </c>
      <c r="B4213">
        <f>A4213+1</f>
        <v>1813</v>
      </c>
      <c r="C4213" t="s">
        <v>518</v>
      </c>
      <c r="D4213" t="s">
        <v>26</v>
      </c>
      <c r="E4213" s="208" t="s">
        <v>331</v>
      </c>
      <c r="F4213" t="s">
        <v>15</v>
      </c>
      <c r="G4213" s="18">
        <v>1895</v>
      </c>
      <c r="H4213" s="151" t="s">
        <v>563</v>
      </c>
      <c r="I4213" t="s">
        <v>561</v>
      </c>
    </row>
    <row r="4214" spans="1:9" x14ac:dyDescent="0.25">
      <c r="A4214">
        <v>1812</v>
      </c>
      <c r="B4214">
        <f>A4214+1</f>
        <v>1813</v>
      </c>
      <c r="C4214" t="s">
        <v>518</v>
      </c>
      <c r="D4214" t="s">
        <v>26</v>
      </c>
      <c r="E4214" s="208" t="s">
        <v>332</v>
      </c>
      <c r="F4214" t="s">
        <v>15</v>
      </c>
      <c r="G4214" s="18">
        <v>181</v>
      </c>
      <c r="H4214" s="151" t="s">
        <v>563</v>
      </c>
      <c r="I4214" t="s">
        <v>561</v>
      </c>
    </row>
    <row r="4215" spans="1:9" x14ac:dyDescent="0.25">
      <c r="A4215">
        <v>1812</v>
      </c>
      <c r="B4215">
        <f>A4215+1</f>
        <v>1813</v>
      </c>
      <c r="C4215" t="s">
        <v>518</v>
      </c>
      <c r="D4215" t="s">
        <v>26</v>
      </c>
      <c r="E4215" s="208" t="s">
        <v>333</v>
      </c>
      <c r="F4215" t="s">
        <v>15</v>
      </c>
      <c r="G4215" s="18">
        <v>1045</v>
      </c>
      <c r="H4215" s="151" t="s">
        <v>563</v>
      </c>
      <c r="I4215" t="s">
        <v>561</v>
      </c>
    </row>
    <row r="4216" spans="1:9" x14ac:dyDescent="0.25">
      <c r="A4216">
        <v>1812</v>
      </c>
      <c r="B4216">
        <f>A4216+1</f>
        <v>1813</v>
      </c>
      <c r="C4216" t="s">
        <v>518</v>
      </c>
      <c r="D4216" t="s">
        <v>26</v>
      </c>
      <c r="E4216" s="208" t="s">
        <v>573</v>
      </c>
      <c r="F4216" t="s">
        <v>3</v>
      </c>
      <c r="G4216" s="18">
        <v>93</v>
      </c>
      <c r="H4216" t="s">
        <v>24</v>
      </c>
      <c r="I4216" t="s">
        <v>16</v>
      </c>
    </row>
    <row r="4217" spans="1:9" x14ac:dyDescent="0.25">
      <c r="A4217">
        <v>1812</v>
      </c>
      <c r="B4217">
        <f>A4217+1</f>
        <v>1813</v>
      </c>
      <c r="C4217" t="s">
        <v>518</v>
      </c>
      <c r="D4217" t="s">
        <v>26</v>
      </c>
      <c r="E4217" s="208" t="s">
        <v>573</v>
      </c>
      <c r="F4217" t="s">
        <v>7</v>
      </c>
      <c r="G4217" s="18">
        <v>93</v>
      </c>
      <c r="H4217" s="151" t="s">
        <v>563</v>
      </c>
      <c r="I4217" t="s">
        <v>16</v>
      </c>
    </row>
    <row r="4218" spans="1:9" x14ac:dyDescent="0.25">
      <c r="A4218">
        <v>1812</v>
      </c>
      <c r="B4218">
        <f>A4218+1</f>
        <v>1813</v>
      </c>
      <c r="C4218" t="s">
        <v>518</v>
      </c>
      <c r="D4218" t="s">
        <v>26</v>
      </c>
      <c r="E4218" s="208" t="s">
        <v>573</v>
      </c>
      <c r="F4218" t="s">
        <v>10</v>
      </c>
      <c r="G4218" s="18">
        <v>0</v>
      </c>
      <c r="H4218" t="s">
        <v>24</v>
      </c>
      <c r="I4218" t="s">
        <v>17</v>
      </c>
    </row>
    <row r="4219" spans="1:9" x14ac:dyDescent="0.25">
      <c r="A4219">
        <v>1812</v>
      </c>
      <c r="B4219">
        <f>A4219+1</f>
        <v>1813</v>
      </c>
      <c r="C4219" t="s">
        <v>518</v>
      </c>
      <c r="D4219" t="s">
        <v>26</v>
      </c>
      <c r="E4219" s="208" t="s">
        <v>573</v>
      </c>
      <c r="F4219" t="s">
        <v>14</v>
      </c>
      <c r="G4219" s="18">
        <v>0</v>
      </c>
      <c r="H4219" s="151" t="s">
        <v>563</v>
      </c>
      <c r="I4219" t="s">
        <v>17</v>
      </c>
    </row>
    <row r="4220" spans="1:9" x14ac:dyDescent="0.25">
      <c r="A4220">
        <v>1812</v>
      </c>
      <c r="B4220">
        <f>A4220+1</f>
        <v>1813</v>
      </c>
      <c r="C4220" t="s">
        <v>518</v>
      </c>
      <c r="D4220" t="s">
        <v>26</v>
      </c>
      <c r="E4220" s="208" t="s">
        <v>573</v>
      </c>
      <c r="F4220" t="s">
        <v>15</v>
      </c>
      <c r="G4220" s="18">
        <v>93</v>
      </c>
      <c r="H4220" s="151" t="s">
        <v>563</v>
      </c>
      <c r="I4220" t="s">
        <v>561</v>
      </c>
    </row>
    <row r="4221" spans="1:9" x14ac:dyDescent="0.25">
      <c r="A4221">
        <v>1812</v>
      </c>
      <c r="B4221">
        <f>A4221+1</f>
        <v>1813</v>
      </c>
      <c r="C4221" t="s">
        <v>518</v>
      </c>
      <c r="D4221" t="s">
        <v>26</v>
      </c>
      <c r="E4221" s="208" t="s">
        <v>567</v>
      </c>
      <c r="F4221" t="s">
        <v>3</v>
      </c>
      <c r="G4221" s="18">
        <v>15041</v>
      </c>
      <c r="H4221" t="s">
        <v>24</v>
      </c>
      <c r="I4221" t="s">
        <v>16</v>
      </c>
    </row>
    <row r="4222" spans="1:9" x14ac:dyDescent="0.25">
      <c r="A4222">
        <v>1812</v>
      </c>
      <c r="B4222">
        <f>A4222+1</f>
        <v>1813</v>
      </c>
      <c r="C4222" t="s">
        <v>518</v>
      </c>
      <c r="D4222" t="s">
        <v>26</v>
      </c>
      <c r="E4222" s="208" t="s">
        <v>567</v>
      </c>
      <c r="F4222" t="s">
        <v>7</v>
      </c>
      <c r="G4222" s="18">
        <v>15041</v>
      </c>
      <c r="H4222" s="151" t="s">
        <v>563</v>
      </c>
      <c r="I4222" t="s">
        <v>16</v>
      </c>
    </row>
    <row r="4223" spans="1:9" x14ac:dyDescent="0.25">
      <c r="A4223">
        <v>1812</v>
      </c>
      <c r="B4223">
        <f>A4223+1</f>
        <v>1813</v>
      </c>
      <c r="C4223" t="s">
        <v>518</v>
      </c>
      <c r="D4223" t="s">
        <v>26</v>
      </c>
      <c r="E4223" s="208" t="s">
        <v>567</v>
      </c>
      <c r="F4223" t="s">
        <v>10</v>
      </c>
      <c r="G4223" s="18">
        <v>2569</v>
      </c>
      <c r="H4223" t="s">
        <v>24</v>
      </c>
      <c r="I4223" t="s">
        <v>17</v>
      </c>
    </row>
    <row r="4224" spans="1:9" x14ac:dyDescent="0.25">
      <c r="A4224">
        <v>1812</v>
      </c>
      <c r="B4224">
        <f>A4224+1</f>
        <v>1813</v>
      </c>
      <c r="C4224" t="s">
        <v>518</v>
      </c>
      <c r="D4224" t="s">
        <v>26</v>
      </c>
      <c r="E4224" s="208" t="s">
        <v>567</v>
      </c>
      <c r="F4224" t="s">
        <v>14</v>
      </c>
      <c r="G4224" s="18">
        <v>2569</v>
      </c>
      <c r="H4224" s="151" t="s">
        <v>563</v>
      </c>
      <c r="I4224" t="s">
        <v>17</v>
      </c>
    </row>
    <row r="4225" spans="1:9" x14ac:dyDescent="0.25">
      <c r="A4225">
        <v>1812</v>
      </c>
      <c r="B4225">
        <f>A4225+1</f>
        <v>1813</v>
      </c>
      <c r="C4225" t="s">
        <v>518</v>
      </c>
      <c r="D4225" t="s">
        <v>26</v>
      </c>
      <c r="E4225" s="208" t="s">
        <v>567</v>
      </c>
      <c r="F4225" t="s">
        <v>15</v>
      </c>
      <c r="G4225" s="18">
        <v>17610</v>
      </c>
      <c r="H4225" s="151" t="s">
        <v>563</v>
      </c>
      <c r="I4225" t="s">
        <v>561</v>
      </c>
    </row>
    <row r="4226" spans="1:9" x14ac:dyDescent="0.25">
      <c r="A4226">
        <v>1812</v>
      </c>
      <c r="B4226">
        <f>A4226+1</f>
        <v>1813</v>
      </c>
      <c r="C4226" t="s">
        <v>518</v>
      </c>
      <c r="D4226" t="s">
        <v>26</v>
      </c>
      <c r="E4226" s="208" t="s">
        <v>569</v>
      </c>
      <c r="F4226" t="s">
        <v>3</v>
      </c>
      <c r="G4226" s="18">
        <v>299</v>
      </c>
      <c r="H4226" t="s">
        <v>24</v>
      </c>
      <c r="I4226" t="s">
        <v>16</v>
      </c>
    </row>
    <row r="4227" spans="1:9" x14ac:dyDescent="0.25">
      <c r="A4227">
        <v>1812</v>
      </c>
      <c r="B4227">
        <f>A4227+1</f>
        <v>1813</v>
      </c>
      <c r="C4227" t="s">
        <v>518</v>
      </c>
      <c r="D4227" t="s">
        <v>26</v>
      </c>
      <c r="E4227" s="208" t="s">
        <v>569</v>
      </c>
      <c r="F4227" t="s">
        <v>7</v>
      </c>
      <c r="G4227" s="18">
        <v>299</v>
      </c>
      <c r="H4227" s="151" t="s">
        <v>563</v>
      </c>
      <c r="I4227" t="s">
        <v>16</v>
      </c>
    </row>
    <row r="4228" spans="1:9" x14ac:dyDescent="0.25">
      <c r="A4228">
        <v>1812</v>
      </c>
      <c r="B4228">
        <f>A4228+1</f>
        <v>1813</v>
      </c>
      <c r="C4228" t="s">
        <v>518</v>
      </c>
      <c r="D4228" t="s">
        <v>26</v>
      </c>
      <c r="E4228" s="208" t="s">
        <v>569</v>
      </c>
      <c r="F4228" t="s">
        <v>10</v>
      </c>
      <c r="G4228" s="18">
        <v>11</v>
      </c>
      <c r="H4228" t="s">
        <v>24</v>
      </c>
      <c r="I4228" t="s">
        <v>17</v>
      </c>
    </row>
    <row r="4229" spans="1:9" x14ac:dyDescent="0.25">
      <c r="A4229">
        <v>1812</v>
      </c>
      <c r="B4229">
        <f>A4229+1</f>
        <v>1813</v>
      </c>
      <c r="C4229" t="s">
        <v>518</v>
      </c>
      <c r="D4229" t="s">
        <v>26</v>
      </c>
      <c r="E4229" s="208" t="s">
        <v>569</v>
      </c>
      <c r="F4229" t="s">
        <v>14</v>
      </c>
      <c r="G4229" s="18">
        <v>11</v>
      </c>
      <c r="H4229" s="151" t="s">
        <v>563</v>
      </c>
      <c r="I4229" t="s">
        <v>17</v>
      </c>
    </row>
    <row r="4230" spans="1:9" x14ac:dyDescent="0.25">
      <c r="A4230">
        <v>1812</v>
      </c>
      <c r="B4230">
        <f>A4230+1</f>
        <v>1813</v>
      </c>
      <c r="C4230" t="s">
        <v>518</v>
      </c>
      <c r="D4230" t="s">
        <v>26</v>
      </c>
      <c r="E4230" s="208" t="s">
        <v>569</v>
      </c>
      <c r="F4230" t="s">
        <v>15</v>
      </c>
      <c r="G4230" s="18">
        <v>310</v>
      </c>
      <c r="H4230" s="151" t="s">
        <v>563</v>
      </c>
      <c r="I4230" t="s">
        <v>561</v>
      </c>
    </row>
    <row r="4231" spans="1:9" x14ac:dyDescent="0.25">
      <c r="A4231">
        <v>1812</v>
      </c>
      <c r="B4231">
        <f>A4231+1</f>
        <v>1813</v>
      </c>
      <c r="C4231" t="s">
        <v>518</v>
      </c>
      <c r="D4231" t="s">
        <v>26</v>
      </c>
      <c r="E4231" s="208" t="s">
        <v>566</v>
      </c>
      <c r="F4231" t="s">
        <v>3</v>
      </c>
      <c r="G4231" s="18">
        <v>177</v>
      </c>
      <c r="H4231" t="s">
        <v>24</v>
      </c>
      <c r="I4231" t="s">
        <v>16</v>
      </c>
    </row>
    <row r="4232" spans="1:9" x14ac:dyDescent="0.25">
      <c r="A4232">
        <v>1812</v>
      </c>
      <c r="B4232">
        <f>A4232+1</f>
        <v>1813</v>
      </c>
      <c r="C4232" t="s">
        <v>518</v>
      </c>
      <c r="D4232" t="s">
        <v>26</v>
      </c>
      <c r="E4232" s="208" t="s">
        <v>566</v>
      </c>
      <c r="F4232" t="s">
        <v>7</v>
      </c>
      <c r="G4232" s="18">
        <v>177</v>
      </c>
      <c r="H4232" s="151" t="s">
        <v>563</v>
      </c>
      <c r="I4232" t="s">
        <v>16</v>
      </c>
    </row>
    <row r="4233" spans="1:9" x14ac:dyDescent="0.25">
      <c r="A4233">
        <v>1812</v>
      </c>
      <c r="B4233">
        <f>A4233+1</f>
        <v>1813</v>
      </c>
      <c r="C4233" t="s">
        <v>518</v>
      </c>
      <c r="D4233" t="s">
        <v>26</v>
      </c>
      <c r="E4233" s="208" t="s">
        <v>566</v>
      </c>
      <c r="F4233" t="s">
        <v>10</v>
      </c>
      <c r="G4233" s="18">
        <v>200</v>
      </c>
      <c r="H4233" t="s">
        <v>24</v>
      </c>
      <c r="I4233" t="s">
        <v>17</v>
      </c>
    </row>
    <row r="4234" spans="1:9" x14ac:dyDescent="0.25">
      <c r="A4234">
        <v>1812</v>
      </c>
      <c r="B4234">
        <f>A4234+1</f>
        <v>1813</v>
      </c>
      <c r="C4234" t="s">
        <v>518</v>
      </c>
      <c r="D4234" t="s">
        <v>26</v>
      </c>
      <c r="E4234" s="208" t="s">
        <v>566</v>
      </c>
      <c r="F4234" t="s">
        <v>14</v>
      </c>
      <c r="G4234" s="18">
        <v>200</v>
      </c>
      <c r="H4234" s="151" t="s">
        <v>563</v>
      </c>
      <c r="I4234" t="s">
        <v>17</v>
      </c>
    </row>
    <row r="4235" spans="1:9" x14ac:dyDescent="0.25">
      <c r="A4235">
        <v>1812</v>
      </c>
      <c r="B4235">
        <f>A4235+1</f>
        <v>1813</v>
      </c>
      <c r="C4235" t="s">
        <v>518</v>
      </c>
      <c r="D4235" t="s">
        <v>26</v>
      </c>
      <c r="E4235" s="208" t="s">
        <v>566</v>
      </c>
      <c r="F4235" t="s">
        <v>15</v>
      </c>
      <c r="G4235" s="18">
        <v>377</v>
      </c>
      <c r="H4235" s="151" t="s">
        <v>563</v>
      </c>
      <c r="I4235" t="s">
        <v>561</v>
      </c>
    </row>
    <row r="4236" spans="1:9" x14ac:dyDescent="0.25">
      <c r="A4236">
        <v>1813</v>
      </c>
      <c r="B4236">
        <f>A4236+1</f>
        <v>1814</v>
      </c>
      <c r="C4236" t="s">
        <v>519</v>
      </c>
      <c r="D4236" t="s">
        <v>26</v>
      </c>
      <c r="E4236" s="208" t="s">
        <v>572</v>
      </c>
      <c r="F4236" t="s">
        <v>3</v>
      </c>
      <c r="G4236" s="18">
        <v>5069</v>
      </c>
      <c r="H4236" t="s">
        <v>24</v>
      </c>
      <c r="I4236" t="s">
        <v>16</v>
      </c>
    </row>
    <row r="4237" spans="1:9" x14ac:dyDescent="0.25">
      <c r="A4237">
        <v>1813</v>
      </c>
      <c r="B4237">
        <f>A4237+1</f>
        <v>1814</v>
      </c>
      <c r="C4237" t="s">
        <v>519</v>
      </c>
      <c r="D4237" t="s">
        <v>26</v>
      </c>
      <c r="E4237" s="208" t="s">
        <v>572</v>
      </c>
      <c r="F4237" t="s">
        <v>169</v>
      </c>
      <c r="G4237" s="18">
        <v>200</v>
      </c>
      <c r="H4237" t="s">
        <v>160</v>
      </c>
      <c r="I4237" t="s">
        <v>16</v>
      </c>
    </row>
    <row r="4238" spans="1:9" x14ac:dyDescent="0.25">
      <c r="A4238">
        <v>1813</v>
      </c>
      <c r="B4238">
        <f>A4238+1</f>
        <v>1814</v>
      </c>
      <c r="C4238" t="s">
        <v>519</v>
      </c>
      <c r="D4238" t="s">
        <v>26</v>
      </c>
      <c r="E4238" s="208" t="s">
        <v>572</v>
      </c>
      <c r="F4238" t="s">
        <v>6</v>
      </c>
      <c r="G4238" s="18">
        <v>0</v>
      </c>
      <c r="H4238" t="s">
        <v>25</v>
      </c>
      <c r="I4238" t="s">
        <v>16</v>
      </c>
    </row>
    <row r="4239" spans="1:9" x14ac:dyDescent="0.25">
      <c r="A4239">
        <v>1813</v>
      </c>
      <c r="B4239">
        <f>A4239+1</f>
        <v>1814</v>
      </c>
      <c r="C4239" t="s">
        <v>519</v>
      </c>
      <c r="D4239" t="s">
        <v>26</v>
      </c>
      <c r="E4239" s="208" t="s">
        <v>572</v>
      </c>
      <c r="F4239" t="s">
        <v>7</v>
      </c>
      <c r="G4239" s="18">
        <v>5269</v>
      </c>
      <c r="H4239" s="151" t="s">
        <v>563</v>
      </c>
      <c r="I4239" t="s">
        <v>16</v>
      </c>
    </row>
    <row r="4240" spans="1:9" x14ac:dyDescent="0.25">
      <c r="A4240">
        <v>1813</v>
      </c>
      <c r="B4240">
        <f>A4240+1</f>
        <v>1814</v>
      </c>
      <c r="C4240" t="s">
        <v>519</v>
      </c>
      <c r="D4240" t="s">
        <v>26</v>
      </c>
      <c r="E4240" s="208" t="s">
        <v>572</v>
      </c>
      <c r="F4240" t="s">
        <v>10</v>
      </c>
      <c r="G4240" s="18">
        <v>120</v>
      </c>
      <c r="H4240" t="s">
        <v>24</v>
      </c>
      <c r="I4240" t="s">
        <v>17</v>
      </c>
    </row>
    <row r="4241" spans="1:9" x14ac:dyDescent="0.25">
      <c r="A4241">
        <v>1813</v>
      </c>
      <c r="B4241">
        <f>A4241+1</f>
        <v>1814</v>
      </c>
      <c r="C4241" t="s">
        <v>519</v>
      </c>
      <c r="D4241" t="s">
        <v>26</v>
      </c>
      <c r="E4241" s="208" t="s">
        <v>572</v>
      </c>
      <c r="F4241" t="s">
        <v>164</v>
      </c>
      <c r="G4241" s="18">
        <v>0</v>
      </c>
      <c r="H4241" t="s">
        <v>160</v>
      </c>
      <c r="I4241" t="s">
        <v>17</v>
      </c>
    </row>
    <row r="4242" spans="1:9" x14ac:dyDescent="0.25">
      <c r="A4242">
        <v>1813</v>
      </c>
      <c r="B4242">
        <f>A4242+1</f>
        <v>1814</v>
      </c>
      <c r="C4242" t="s">
        <v>519</v>
      </c>
      <c r="D4242" t="s">
        <v>26</v>
      </c>
      <c r="E4242" s="208" t="s">
        <v>572</v>
      </c>
      <c r="F4242" t="s">
        <v>13</v>
      </c>
      <c r="G4242" s="18">
        <v>0</v>
      </c>
      <c r="H4242" t="s">
        <v>25</v>
      </c>
      <c r="I4242" t="s">
        <v>17</v>
      </c>
    </row>
    <row r="4243" spans="1:9" x14ac:dyDescent="0.25">
      <c r="A4243">
        <v>1813</v>
      </c>
      <c r="B4243">
        <f>A4243+1</f>
        <v>1814</v>
      </c>
      <c r="C4243" t="s">
        <v>519</v>
      </c>
      <c r="D4243" t="s">
        <v>26</v>
      </c>
      <c r="E4243" s="208" t="s">
        <v>572</v>
      </c>
      <c r="F4243" t="s">
        <v>14</v>
      </c>
      <c r="G4243" s="18">
        <v>120</v>
      </c>
      <c r="H4243" s="151" t="s">
        <v>563</v>
      </c>
      <c r="I4243" t="s">
        <v>17</v>
      </c>
    </row>
    <row r="4244" spans="1:9" x14ac:dyDescent="0.25">
      <c r="A4244">
        <v>1813</v>
      </c>
      <c r="B4244">
        <f>A4244+1</f>
        <v>1814</v>
      </c>
      <c r="C4244" t="s">
        <v>519</v>
      </c>
      <c r="D4244" t="s">
        <v>26</v>
      </c>
      <c r="E4244" s="208" t="s">
        <v>572</v>
      </c>
      <c r="F4244" t="s">
        <v>15</v>
      </c>
      <c r="G4244" s="18">
        <v>5389</v>
      </c>
      <c r="H4244" s="151" t="s">
        <v>563</v>
      </c>
      <c r="I4244" t="s">
        <v>561</v>
      </c>
    </row>
    <row r="4245" spans="1:9" x14ac:dyDescent="0.25">
      <c r="A4245">
        <v>1813</v>
      </c>
      <c r="B4245">
        <f>A4245+1</f>
        <v>1814</v>
      </c>
      <c r="C4245" t="s">
        <v>519</v>
      </c>
      <c r="D4245" t="s">
        <v>26</v>
      </c>
      <c r="E4245" s="208" t="s">
        <v>571</v>
      </c>
      <c r="F4245" t="s">
        <v>3</v>
      </c>
      <c r="G4245" s="18">
        <v>3453</v>
      </c>
      <c r="H4245" t="s">
        <v>24</v>
      </c>
      <c r="I4245" t="s">
        <v>16</v>
      </c>
    </row>
    <row r="4246" spans="1:9" x14ac:dyDescent="0.25">
      <c r="A4246">
        <v>1813</v>
      </c>
      <c r="B4246">
        <f>A4246+1</f>
        <v>1814</v>
      </c>
      <c r="C4246" t="s">
        <v>519</v>
      </c>
      <c r="D4246" t="s">
        <v>26</v>
      </c>
      <c r="E4246" s="208" t="s">
        <v>571</v>
      </c>
      <c r="F4246" t="s">
        <v>169</v>
      </c>
      <c r="G4246" s="18">
        <v>0</v>
      </c>
      <c r="H4246" t="s">
        <v>160</v>
      </c>
      <c r="I4246" t="s">
        <v>16</v>
      </c>
    </row>
    <row r="4247" spans="1:9" x14ac:dyDescent="0.25">
      <c r="A4247">
        <v>1813</v>
      </c>
      <c r="B4247">
        <f>A4247+1</f>
        <v>1814</v>
      </c>
      <c r="C4247" t="s">
        <v>519</v>
      </c>
      <c r="D4247" t="s">
        <v>26</v>
      </c>
      <c r="E4247" s="208" t="s">
        <v>571</v>
      </c>
      <c r="F4247" t="s">
        <v>6</v>
      </c>
      <c r="G4247" s="18">
        <v>0</v>
      </c>
      <c r="H4247" t="s">
        <v>25</v>
      </c>
      <c r="I4247" t="s">
        <v>16</v>
      </c>
    </row>
    <row r="4248" spans="1:9" x14ac:dyDescent="0.25">
      <c r="A4248">
        <v>1813</v>
      </c>
      <c r="B4248">
        <f>A4248+1</f>
        <v>1814</v>
      </c>
      <c r="C4248" t="s">
        <v>519</v>
      </c>
      <c r="D4248" t="s">
        <v>26</v>
      </c>
      <c r="E4248" s="208" t="s">
        <v>571</v>
      </c>
      <c r="F4248" t="s">
        <v>7</v>
      </c>
      <c r="G4248" s="18">
        <v>3453</v>
      </c>
      <c r="H4248" s="151" t="s">
        <v>563</v>
      </c>
      <c r="I4248" t="s">
        <v>16</v>
      </c>
    </row>
    <row r="4249" spans="1:9" x14ac:dyDescent="0.25">
      <c r="A4249">
        <v>1813</v>
      </c>
      <c r="B4249">
        <f>A4249+1</f>
        <v>1814</v>
      </c>
      <c r="C4249" t="s">
        <v>519</v>
      </c>
      <c r="D4249" t="s">
        <v>26</v>
      </c>
      <c r="E4249" s="208" t="s">
        <v>571</v>
      </c>
      <c r="F4249" t="s">
        <v>10</v>
      </c>
      <c r="G4249" s="18">
        <v>358</v>
      </c>
      <c r="H4249" t="s">
        <v>24</v>
      </c>
      <c r="I4249" t="s">
        <v>17</v>
      </c>
    </row>
    <row r="4250" spans="1:9" x14ac:dyDescent="0.25">
      <c r="A4250">
        <v>1813</v>
      </c>
      <c r="B4250">
        <f>A4250+1</f>
        <v>1814</v>
      </c>
      <c r="C4250" t="s">
        <v>519</v>
      </c>
      <c r="D4250" t="s">
        <v>26</v>
      </c>
      <c r="E4250" s="208" t="s">
        <v>571</v>
      </c>
      <c r="F4250" t="s">
        <v>164</v>
      </c>
      <c r="G4250" s="18">
        <v>0</v>
      </c>
      <c r="H4250" t="s">
        <v>160</v>
      </c>
      <c r="I4250" t="s">
        <v>17</v>
      </c>
    </row>
    <row r="4251" spans="1:9" x14ac:dyDescent="0.25">
      <c r="A4251">
        <v>1813</v>
      </c>
      <c r="B4251">
        <f>A4251+1</f>
        <v>1814</v>
      </c>
      <c r="C4251" t="s">
        <v>519</v>
      </c>
      <c r="D4251" t="s">
        <v>26</v>
      </c>
      <c r="E4251" s="208" t="s">
        <v>571</v>
      </c>
      <c r="F4251" t="s">
        <v>13</v>
      </c>
      <c r="G4251" s="18">
        <v>0</v>
      </c>
      <c r="H4251" t="s">
        <v>25</v>
      </c>
      <c r="I4251" t="s">
        <v>17</v>
      </c>
    </row>
    <row r="4252" spans="1:9" x14ac:dyDescent="0.25">
      <c r="A4252">
        <v>1813</v>
      </c>
      <c r="B4252">
        <f>A4252+1</f>
        <v>1814</v>
      </c>
      <c r="C4252" t="s">
        <v>519</v>
      </c>
      <c r="D4252" t="s">
        <v>26</v>
      </c>
      <c r="E4252" s="208" t="s">
        <v>571</v>
      </c>
      <c r="F4252" t="s">
        <v>14</v>
      </c>
      <c r="G4252" s="18">
        <v>358</v>
      </c>
      <c r="H4252" s="151" t="s">
        <v>563</v>
      </c>
      <c r="I4252" t="s">
        <v>17</v>
      </c>
    </row>
    <row r="4253" spans="1:9" x14ac:dyDescent="0.25">
      <c r="A4253">
        <v>1813</v>
      </c>
      <c r="B4253">
        <f>A4253+1</f>
        <v>1814</v>
      </c>
      <c r="C4253" t="s">
        <v>519</v>
      </c>
      <c r="D4253" t="s">
        <v>26</v>
      </c>
      <c r="E4253" s="208" t="s">
        <v>571</v>
      </c>
      <c r="F4253" t="s">
        <v>15</v>
      </c>
      <c r="G4253" s="18">
        <v>3811</v>
      </c>
      <c r="H4253" s="151" t="s">
        <v>563</v>
      </c>
      <c r="I4253" t="s">
        <v>561</v>
      </c>
    </row>
    <row r="4254" spans="1:9" x14ac:dyDescent="0.25">
      <c r="A4254">
        <v>1813</v>
      </c>
      <c r="B4254">
        <f>A4254+1</f>
        <v>1814</v>
      </c>
      <c r="C4254" t="s">
        <v>519</v>
      </c>
      <c r="D4254" t="s">
        <v>26</v>
      </c>
      <c r="E4254" s="208" t="s">
        <v>570</v>
      </c>
      <c r="F4254" t="s">
        <v>3</v>
      </c>
      <c r="G4254" s="18">
        <v>828</v>
      </c>
      <c r="H4254" t="s">
        <v>24</v>
      </c>
      <c r="I4254" t="s">
        <v>16</v>
      </c>
    </row>
    <row r="4255" spans="1:9" x14ac:dyDescent="0.25">
      <c r="A4255">
        <v>1813</v>
      </c>
      <c r="B4255">
        <f>A4255+1</f>
        <v>1814</v>
      </c>
      <c r="C4255" t="s">
        <v>519</v>
      </c>
      <c r="D4255" t="s">
        <v>26</v>
      </c>
      <c r="E4255" s="208" t="s">
        <v>570</v>
      </c>
      <c r="F4255" t="s">
        <v>169</v>
      </c>
      <c r="G4255" s="18">
        <v>0</v>
      </c>
      <c r="H4255" t="s">
        <v>160</v>
      </c>
      <c r="I4255" t="s">
        <v>16</v>
      </c>
    </row>
    <row r="4256" spans="1:9" x14ac:dyDescent="0.25">
      <c r="A4256">
        <v>1813</v>
      </c>
      <c r="B4256">
        <f>A4256+1</f>
        <v>1814</v>
      </c>
      <c r="C4256" t="s">
        <v>519</v>
      </c>
      <c r="D4256" t="s">
        <v>26</v>
      </c>
      <c r="E4256" s="208" t="s">
        <v>570</v>
      </c>
      <c r="F4256" t="s">
        <v>6</v>
      </c>
      <c r="G4256" s="18">
        <v>0</v>
      </c>
      <c r="H4256" t="s">
        <v>25</v>
      </c>
      <c r="I4256" t="s">
        <v>16</v>
      </c>
    </row>
    <row r="4257" spans="1:9" x14ac:dyDescent="0.25">
      <c r="A4257">
        <v>1813</v>
      </c>
      <c r="B4257">
        <f>A4257+1</f>
        <v>1814</v>
      </c>
      <c r="C4257" t="s">
        <v>519</v>
      </c>
      <c r="D4257" t="s">
        <v>26</v>
      </c>
      <c r="E4257" s="208" t="s">
        <v>570</v>
      </c>
      <c r="F4257" t="s">
        <v>7</v>
      </c>
      <c r="G4257" s="18">
        <v>828</v>
      </c>
      <c r="H4257" s="151" t="s">
        <v>563</v>
      </c>
      <c r="I4257" t="s">
        <v>16</v>
      </c>
    </row>
    <row r="4258" spans="1:9" x14ac:dyDescent="0.25">
      <c r="A4258">
        <v>1813</v>
      </c>
      <c r="B4258">
        <f>A4258+1</f>
        <v>1814</v>
      </c>
      <c r="C4258" t="s">
        <v>519</v>
      </c>
      <c r="D4258" t="s">
        <v>26</v>
      </c>
      <c r="E4258" s="208" t="s">
        <v>570</v>
      </c>
      <c r="F4258" t="s">
        <v>10</v>
      </c>
      <c r="G4258" s="18">
        <v>312</v>
      </c>
      <c r="H4258" t="s">
        <v>24</v>
      </c>
      <c r="I4258" t="s">
        <v>17</v>
      </c>
    </row>
    <row r="4259" spans="1:9" x14ac:dyDescent="0.25">
      <c r="A4259">
        <v>1813</v>
      </c>
      <c r="B4259">
        <f>A4259+1</f>
        <v>1814</v>
      </c>
      <c r="C4259" t="s">
        <v>519</v>
      </c>
      <c r="D4259" t="s">
        <v>26</v>
      </c>
      <c r="E4259" s="208" t="s">
        <v>570</v>
      </c>
      <c r="F4259" t="s">
        <v>164</v>
      </c>
      <c r="G4259" s="18">
        <v>0</v>
      </c>
      <c r="H4259" t="s">
        <v>160</v>
      </c>
      <c r="I4259" t="s">
        <v>17</v>
      </c>
    </row>
    <row r="4260" spans="1:9" x14ac:dyDescent="0.25">
      <c r="A4260">
        <v>1813</v>
      </c>
      <c r="B4260">
        <f>A4260+1</f>
        <v>1814</v>
      </c>
      <c r="C4260" t="s">
        <v>519</v>
      </c>
      <c r="D4260" t="s">
        <v>26</v>
      </c>
      <c r="E4260" s="208" t="s">
        <v>570</v>
      </c>
      <c r="F4260" t="s">
        <v>13</v>
      </c>
      <c r="G4260" s="18">
        <v>0</v>
      </c>
      <c r="H4260" t="s">
        <v>25</v>
      </c>
      <c r="I4260" t="s">
        <v>17</v>
      </c>
    </row>
    <row r="4261" spans="1:9" x14ac:dyDescent="0.25">
      <c r="A4261">
        <v>1813</v>
      </c>
      <c r="B4261">
        <f>A4261+1</f>
        <v>1814</v>
      </c>
      <c r="C4261" t="s">
        <v>519</v>
      </c>
      <c r="D4261" t="s">
        <v>26</v>
      </c>
      <c r="E4261" s="208" t="s">
        <v>570</v>
      </c>
      <c r="F4261" t="s">
        <v>14</v>
      </c>
      <c r="G4261" s="18">
        <v>312</v>
      </c>
      <c r="H4261" s="151" t="s">
        <v>563</v>
      </c>
      <c r="I4261" t="s">
        <v>17</v>
      </c>
    </row>
    <row r="4262" spans="1:9" x14ac:dyDescent="0.25">
      <c r="A4262">
        <v>1813</v>
      </c>
      <c r="B4262">
        <f>A4262+1</f>
        <v>1814</v>
      </c>
      <c r="C4262" t="s">
        <v>519</v>
      </c>
      <c r="D4262" t="s">
        <v>26</v>
      </c>
      <c r="E4262" s="208" t="s">
        <v>570</v>
      </c>
      <c r="F4262" t="s">
        <v>15</v>
      </c>
      <c r="G4262" s="18">
        <v>1140</v>
      </c>
      <c r="H4262" s="151" t="s">
        <v>563</v>
      </c>
      <c r="I4262" t="s">
        <v>561</v>
      </c>
    </row>
    <row r="4263" spans="1:9" x14ac:dyDescent="0.25">
      <c r="A4263">
        <v>1813</v>
      </c>
      <c r="B4263">
        <f>A4263+1</f>
        <v>1814</v>
      </c>
      <c r="C4263" t="s">
        <v>519</v>
      </c>
      <c r="D4263" t="s">
        <v>27</v>
      </c>
      <c r="E4263" s="208" t="s">
        <v>155</v>
      </c>
      <c r="F4263" t="s">
        <v>3</v>
      </c>
      <c r="G4263" s="18">
        <v>95</v>
      </c>
      <c r="H4263" t="s">
        <v>16</v>
      </c>
      <c r="I4263" t="s">
        <v>24</v>
      </c>
    </row>
    <row r="4264" spans="1:9" x14ac:dyDescent="0.25">
      <c r="A4264">
        <v>1813</v>
      </c>
      <c r="B4264">
        <f>A4264+1</f>
        <v>1814</v>
      </c>
      <c r="C4264" t="s">
        <v>519</v>
      </c>
      <c r="D4264" t="s">
        <v>27</v>
      </c>
      <c r="E4264" s="208" t="s">
        <v>156</v>
      </c>
      <c r="F4264" t="s">
        <v>3</v>
      </c>
      <c r="G4264" s="18">
        <v>62</v>
      </c>
      <c r="H4264" t="s">
        <v>16</v>
      </c>
      <c r="I4264" t="s">
        <v>24</v>
      </c>
    </row>
    <row r="4265" spans="1:9" x14ac:dyDescent="0.25">
      <c r="A4265">
        <v>1813</v>
      </c>
      <c r="B4265">
        <f>A4265+1</f>
        <v>1814</v>
      </c>
      <c r="C4265" t="s">
        <v>519</v>
      </c>
      <c r="D4265" t="s">
        <v>27</v>
      </c>
      <c r="E4265" s="208" t="s">
        <v>154</v>
      </c>
      <c r="F4265" t="s">
        <v>3</v>
      </c>
      <c r="G4265" s="18">
        <v>1040</v>
      </c>
      <c r="H4265" t="s">
        <v>16</v>
      </c>
      <c r="I4265" t="s">
        <v>24</v>
      </c>
    </row>
    <row r="4266" spans="1:9" x14ac:dyDescent="0.25">
      <c r="A4266">
        <v>1813</v>
      </c>
      <c r="B4266">
        <f>A4266+1</f>
        <v>1814</v>
      </c>
      <c r="C4266" t="s">
        <v>519</v>
      </c>
      <c r="D4266" t="s">
        <v>27</v>
      </c>
      <c r="E4266" s="208" t="s">
        <v>150</v>
      </c>
      <c r="F4266" t="s">
        <v>3</v>
      </c>
      <c r="G4266" s="18">
        <v>5692</v>
      </c>
      <c r="H4266" t="s">
        <v>16</v>
      </c>
      <c r="I4266" t="s">
        <v>24</v>
      </c>
    </row>
    <row r="4267" spans="1:9" x14ac:dyDescent="0.25">
      <c r="A4267">
        <v>1813</v>
      </c>
      <c r="B4267">
        <f>A4267+1</f>
        <v>1814</v>
      </c>
      <c r="C4267" t="s">
        <v>519</v>
      </c>
      <c r="D4267" t="s">
        <v>27</v>
      </c>
      <c r="E4267" s="208" t="s">
        <v>148</v>
      </c>
      <c r="F4267" t="s">
        <v>3</v>
      </c>
      <c r="G4267" s="18">
        <v>777</v>
      </c>
      <c r="H4267" t="s">
        <v>16</v>
      </c>
      <c r="I4267" t="s">
        <v>24</v>
      </c>
    </row>
    <row r="4268" spans="1:9" x14ac:dyDescent="0.25">
      <c r="A4268">
        <v>1813</v>
      </c>
      <c r="B4268">
        <f>A4268+1</f>
        <v>1814</v>
      </c>
      <c r="C4268" t="s">
        <v>519</v>
      </c>
      <c r="D4268" t="s">
        <v>27</v>
      </c>
      <c r="E4268" s="208" t="s">
        <v>147</v>
      </c>
      <c r="F4268" t="s">
        <v>3</v>
      </c>
      <c r="G4268" s="18">
        <v>0</v>
      </c>
      <c r="H4268" t="s">
        <v>16</v>
      </c>
      <c r="I4268" t="s">
        <v>24</v>
      </c>
    </row>
    <row r="4269" spans="1:9" x14ac:dyDescent="0.25">
      <c r="A4269">
        <v>1813</v>
      </c>
      <c r="B4269">
        <f>A4269+1</f>
        <v>1814</v>
      </c>
      <c r="C4269" t="s">
        <v>519</v>
      </c>
      <c r="D4269" t="s">
        <v>27</v>
      </c>
      <c r="E4269" s="208" t="s">
        <v>314</v>
      </c>
      <c r="F4269" t="s">
        <v>3</v>
      </c>
      <c r="G4269" s="18">
        <v>14</v>
      </c>
      <c r="H4269" t="s">
        <v>16</v>
      </c>
      <c r="I4269" t="s">
        <v>24</v>
      </c>
    </row>
    <row r="4270" spans="1:9" x14ac:dyDescent="0.25">
      <c r="A4270">
        <v>1813</v>
      </c>
      <c r="B4270">
        <f>A4270+1</f>
        <v>1814</v>
      </c>
      <c r="C4270" t="s">
        <v>519</v>
      </c>
      <c r="D4270" t="s">
        <v>27</v>
      </c>
      <c r="E4270" s="208" t="s">
        <v>139</v>
      </c>
      <c r="F4270" t="s">
        <v>3</v>
      </c>
      <c r="G4270" s="18">
        <v>19</v>
      </c>
      <c r="H4270" t="s">
        <v>16</v>
      </c>
      <c r="I4270" t="s">
        <v>24</v>
      </c>
    </row>
    <row r="4271" spans="1:9" x14ac:dyDescent="0.25">
      <c r="A4271">
        <v>1813</v>
      </c>
      <c r="B4271">
        <f>A4271+1</f>
        <v>1814</v>
      </c>
      <c r="C4271" t="s">
        <v>519</v>
      </c>
      <c r="D4271" t="s">
        <v>27</v>
      </c>
      <c r="E4271" s="208" t="s">
        <v>130</v>
      </c>
      <c r="F4271" t="s">
        <v>3</v>
      </c>
      <c r="G4271" s="18">
        <v>34</v>
      </c>
      <c r="H4271" t="s">
        <v>16</v>
      </c>
      <c r="I4271" t="s">
        <v>24</v>
      </c>
    </row>
    <row r="4272" spans="1:9" x14ac:dyDescent="0.25">
      <c r="A4272">
        <v>1813</v>
      </c>
      <c r="B4272">
        <f>A4272+1</f>
        <v>1814</v>
      </c>
      <c r="C4272" t="s">
        <v>519</v>
      </c>
      <c r="D4272" t="s">
        <v>27</v>
      </c>
      <c r="E4272" s="208" t="s">
        <v>132</v>
      </c>
      <c r="F4272" t="s">
        <v>3</v>
      </c>
      <c r="G4272" s="18">
        <v>34</v>
      </c>
      <c r="H4272" t="s">
        <v>16</v>
      </c>
      <c r="I4272" t="s">
        <v>24</v>
      </c>
    </row>
    <row r="4273" spans="1:9" x14ac:dyDescent="0.25">
      <c r="A4273">
        <v>1813</v>
      </c>
      <c r="B4273">
        <f>A4273+1</f>
        <v>1814</v>
      </c>
      <c r="C4273" t="s">
        <v>519</v>
      </c>
      <c r="D4273" t="s">
        <v>27</v>
      </c>
      <c r="E4273" s="208" t="s">
        <v>142</v>
      </c>
      <c r="F4273" t="s">
        <v>3</v>
      </c>
      <c r="G4273" s="18">
        <v>134</v>
      </c>
      <c r="H4273" t="s">
        <v>16</v>
      </c>
      <c r="I4273" t="s">
        <v>24</v>
      </c>
    </row>
    <row r="4274" spans="1:9" x14ac:dyDescent="0.25">
      <c r="A4274">
        <v>1813</v>
      </c>
      <c r="B4274">
        <f>A4274+1</f>
        <v>1814</v>
      </c>
      <c r="C4274" t="s">
        <v>519</v>
      </c>
      <c r="D4274" t="s">
        <v>27</v>
      </c>
      <c r="E4274" s="208" t="s">
        <v>144</v>
      </c>
      <c r="F4274" t="s">
        <v>3</v>
      </c>
      <c r="G4274" s="18">
        <v>0</v>
      </c>
      <c r="H4274" t="s">
        <v>16</v>
      </c>
      <c r="I4274" t="s">
        <v>24</v>
      </c>
    </row>
    <row r="4275" spans="1:9" x14ac:dyDescent="0.25">
      <c r="A4275">
        <v>1813</v>
      </c>
      <c r="B4275">
        <f>A4275+1</f>
        <v>1814</v>
      </c>
      <c r="C4275" t="s">
        <v>519</v>
      </c>
      <c r="D4275" t="s">
        <v>27</v>
      </c>
      <c r="E4275" s="208" t="s">
        <v>124</v>
      </c>
      <c r="F4275" t="s">
        <v>3</v>
      </c>
      <c r="G4275" s="18">
        <v>90267</v>
      </c>
      <c r="H4275" t="s">
        <v>16</v>
      </c>
      <c r="I4275" t="s">
        <v>24</v>
      </c>
    </row>
    <row r="4276" spans="1:9" x14ac:dyDescent="0.25">
      <c r="A4276">
        <v>1813</v>
      </c>
      <c r="B4276">
        <f>A4276+1</f>
        <v>1814</v>
      </c>
      <c r="C4276" t="s">
        <v>519</v>
      </c>
      <c r="D4276" t="s">
        <v>26</v>
      </c>
      <c r="E4276" s="208" t="s">
        <v>62</v>
      </c>
      <c r="F4276" t="s">
        <v>3</v>
      </c>
      <c r="G4276" s="18">
        <v>7331</v>
      </c>
      <c r="H4276" t="s">
        <v>24</v>
      </c>
      <c r="I4276" t="s">
        <v>16</v>
      </c>
    </row>
    <row r="4277" spans="1:9" x14ac:dyDescent="0.25">
      <c r="A4277">
        <v>1813</v>
      </c>
      <c r="B4277">
        <f>A4277+1</f>
        <v>1814</v>
      </c>
      <c r="C4277" t="s">
        <v>519</v>
      </c>
      <c r="D4277" t="s">
        <v>26</v>
      </c>
      <c r="E4277" s="208" t="s">
        <v>35</v>
      </c>
      <c r="F4277" t="s">
        <v>3</v>
      </c>
      <c r="G4277" s="18">
        <v>432</v>
      </c>
      <c r="H4277" t="s">
        <v>24</v>
      </c>
      <c r="I4277" t="s">
        <v>16</v>
      </c>
    </row>
    <row r="4278" spans="1:9" x14ac:dyDescent="0.25">
      <c r="A4278">
        <v>1813</v>
      </c>
      <c r="B4278">
        <f>A4278+1</f>
        <v>1814</v>
      </c>
      <c r="C4278" t="s">
        <v>519</v>
      </c>
      <c r="D4278" t="s">
        <v>26</v>
      </c>
      <c r="E4278" s="208" t="s">
        <v>36</v>
      </c>
      <c r="F4278" t="s">
        <v>3</v>
      </c>
      <c r="G4278" s="18">
        <v>10</v>
      </c>
      <c r="H4278" t="s">
        <v>24</v>
      </c>
      <c r="I4278" t="s">
        <v>16</v>
      </c>
    </row>
    <row r="4279" spans="1:9" x14ac:dyDescent="0.25">
      <c r="A4279">
        <v>1813</v>
      </c>
      <c r="B4279">
        <f>A4279+1</f>
        <v>1814</v>
      </c>
      <c r="C4279" t="s">
        <v>519</v>
      </c>
      <c r="D4279" t="s">
        <v>26</v>
      </c>
      <c r="E4279" s="208" t="s">
        <v>99</v>
      </c>
      <c r="F4279" t="s">
        <v>3</v>
      </c>
      <c r="G4279" s="18">
        <v>793</v>
      </c>
      <c r="H4279" t="s">
        <v>24</v>
      </c>
      <c r="I4279" t="s">
        <v>16</v>
      </c>
    </row>
    <row r="4280" spans="1:9" x14ac:dyDescent="0.25">
      <c r="A4280">
        <v>1813</v>
      </c>
      <c r="B4280">
        <f>A4280+1</f>
        <v>1814</v>
      </c>
      <c r="C4280" t="s">
        <v>519</v>
      </c>
      <c r="D4280" t="s">
        <v>26</v>
      </c>
      <c r="E4280" s="208" t="s">
        <v>95</v>
      </c>
      <c r="F4280" t="s">
        <v>3</v>
      </c>
      <c r="G4280" s="18">
        <v>1</v>
      </c>
      <c r="H4280" t="s">
        <v>24</v>
      </c>
      <c r="I4280" t="s">
        <v>16</v>
      </c>
    </row>
    <row r="4281" spans="1:9" x14ac:dyDescent="0.25">
      <c r="A4281">
        <v>1813</v>
      </c>
      <c r="B4281">
        <f>A4281+1</f>
        <v>1814</v>
      </c>
      <c r="C4281" t="s">
        <v>519</v>
      </c>
      <c r="D4281" t="s">
        <v>26</v>
      </c>
      <c r="E4281" s="208" t="s">
        <v>94</v>
      </c>
      <c r="F4281" t="s">
        <v>3</v>
      </c>
      <c r="G4281" s="18">
        <v>0</v>
      </c>
      <c r="H4281" t="s">
        <v>24</v>
      </c>
      <c r="I4281" t="s">
        <v>16</v>
      </c>
    </row>
    <row r="4282" spans="1:9" x14ac:dyDescent="0.25">
      <c r="A4282">
        <v>1813</v>
      </c>
      <c r="B4282">
        <f>A4282+1</f>
        <v>1814</v>
      </c>
      <c r="C4282" t="s">
        <v>519</v>
      </c>
      <c r="D4282" t="s">
        <v>26</v>
      </c>
      <c r="E4282" s="208" t="s">
        <v>386</v>
      </c>
      <c r="F4282" t="s">
        <v>3</v>
      </c>
      <c r="G4282" s="18">
        <v>0</v>
      </c>
      <c r="H4282" t="s">
        <v>24</v>
      </c>
      <c r="I4282" t="s">
        <v>16</v>
      </c>
    </row>
    <row r="4283" spans="1:9" x14ac:dyDescent="0.25">
      <c r="A4283">
        <v>1813</v>
      </c>
      <c r="B4283">
        <f>A4283+1</f>
        <v>1814</v>
      </c>
      <c r="C4283" t="s">
        <v>519</v>
      </c>
      <c r="D4283" t="s">
        <v>26</v>
      </c>
      <c r="E4283" s="208" t="s">
        <v>387</v>
      </c>
      <c r="F4283" t="s">
        <v>3</v>
      </c>
      <c r="G4283" s="18">
        <v>0</v>
      </c>
      <c r="H4283" t="s">
        <v>24</v>
      </c>
      <c r="I4283" t="s">
        <v>16</v>
      </c>
    </row>
    <row r="4284" spans="1:9" x14ac:dyDescent="0.25">
      <c r="A4284">
        <v>1813</v>
      </c>
      <c r="B4284">
        <f>A4284+1</f>
        <v>1814</v>
      </c>
      <c r="C4284" t="s">
        <v>519</v>
      </c>
      <c r="D4284" t="s">
        <v>26</v>
      </c>
      <c r="E4284" s="208" t="s">
        <v>55</v>
      </c>
      <c r="F4284" t="s">
        <v>3</v>
      </c>
      <c r="G4284" s="18">
        <v>400</v>
      </c>
      <c r="H4284" t="s">
        <v>24</v>
      </c>
      <c r="I4284" t="s">
        <v>16</v>
      </c>
    </row>
    <row r="4285" spans="1:9" x14ac:dyDescent="0.25">
      <c r="A4285">
        <v>1813</v>
      </c>
      <c r="B4285">
        <f>A4285+1</f>
        <v>1814</v>
      </c>
      <c r="C4285" t="s">
        <v>519</v>
      </c>
      <c r="D4285" t="s">
        <v>26</v>
      </c>
      <c r="E4285" s="208" t="s">
        <v>383</v>
      </c>
      <c r="F4285" t="s">
        <v>3</v>
      </c>
      <c r="G4285" s="18">
        <v>0</v>
      </c>
      <c r="H4285" t="s">
        <v>24</v>
      </c>
      <c r="I4285" t="s">
        <v>16</v>
      </c>
    </row>
    <row r="4286" spans="1:9" x14ac:dyDescent="0.25">
      <c r="A4286">
        <v>1813</v>
      </c>
      <c r="B4286">
        <f>A4286+1</f>
        <v>1814</v>
      </c>
      <c r="C4286" t="s">
        <v>519</v>
      </c>
      <c r="D4286" t="s">
        <v>26</v>
      </c>
      <c r="E4286" s="208" t="s">
        <v>384</v>
      </c>
      <c r="F4286" t="s">
        <v>3</v>
      </c>
      <c r="G4286" s="18">
        <v>0</v>
      </c>
      <c r="H4286" t="s">
        <v>24</v>
      </c>
      <c r="I4286" t="s">
        <v>16</v>
      </c>
    </row>
    <row r="4287" spans="1:9" x14ac:dyDescent="0.25">
      <c r="A4287">
        <v>1813</v>
      </c>
      <c r="B4287">
        <f>A4287+1</f>
        <v>1814</v>
      </c>
      <c r="C4287" t="s">
        <v>519</v>
      </c>
      <c r="D4287" t="s">
        <v>26</v>
      </c>
      <c r="E4287" s="208" t="s">
        <v>28</v>
      </c>
      <c r="F4287" t="s">
        <v>3</v>
      </c>
      <c r="G4287" s="18">
        <v>20</v>
      </c>
      <c r="H4287" t="s">
        <v>24</v>
      </c>
      <c r="I4287" t="s">
        <v>16</v>
      </c>
    </row>
    <row r="4288" spans="1:9" x14ac:dyDescent="0.25">
      <c r="A4288">
        <v>1813</v>
      </c>
      <c r="B4288">
        <f>A4288+1</f>
        <v>1814</v>
      </c>
      <c r="C4288" t="s">
        <v>519</v>
      </c>
      <c r="D4288" t="s">
        <v>26</v>
      </c>
      <c r="E4288" s="208" t="s">
        <v>45</v>
      </c>
      <c r="F4288" t="s">
        <v>3</v>
      </c>
      <c r="G4288" s="18">
        <v>33</v>
      </c>
      <c r="H4288" t="s">
        <v>24</v>
      </c>
      <c r="I4288" t="s">
        <v>16</v>
      </c>
    </row>
    <row r="4289" spans="1:9" x14ac:dyDescent="0.25">
      <c r="A4289">
        <v>1813</v>
      </c>
      <c r="B4289">
        <f>A4289+1</f>
        <v>1814</v>
      </c>
      <c r="C4289" t="s">
        <v>519</v>
      </c>
      <c r="D4289" t="s">
        <v>26</v>
      </c>
      <c r="E4289" s="208" t="s">
        <v>392</v>
      </c>
      <c r="F4289" t="s">
        <v>3</v>
      </c>
      <c r="G4289" s="18">
        <v>16</v>
      </c>
      <c r="H4289" t="s">
        <v>24</v>
      </c>
      <c r="I4289" t="s">
        <v>16</v>
      </c>
    </row>
    <row r="4290" spans="1:9" x14ac:dyDescent="0.25">
      <c r="A4290">
        <v>1813</v>
      </c>
      <c r="B4290">
        <f>A4290+1</f>
        <v>1814</v>
      </c>
      <c r="C4290" t="s">
        <v>519</v>
      </c>
      <c r="D4290" t="s">
        <v>26</v>
      </c>
      <c r="E4290" s="208" t="s">
        <v>65</v>
      </c>
      <c r="F4290" t="s">
        <v>3</v>
      </c>
      <c r="G4290" s="18">
        <v>0</v>
      </c>
      <c r="H4290" t="s">
        <v>24</v>
      </c>
      <c r="I4290" t="s">
        <v>16</v>
      </c>
    </row>
    <row r="4291" spans="1:9" x14ac:dyDescent="0.25">
      <c r="A4291">
        <v>1813</v>
      </c>
      <c r="B4291">
        <f>A4291+1</f>
        <v>1814</v>
      </c>
      <c r="C4291" t="s">
        <v>519</v>
      </c>
      <c r="D4291" t="s">
        <v>26</v>
      </c>
      <c r="E4291" s="208" t="s">
        <v>88</v>
      </c>
      <c r="F4291" t="s">
        <v>3</v>
      </c>
      <c r="G4291" s="18">
        <v>0</v>
      </c>
      <c r="H4291" t="s">
        <v>24</v>
      </c>
      <c r="I4291" t="s">
        <v>16</v>
      </c>
    </row>
    <row r="4292" spans="1:9" x14ac:dyDescent="0.25">
      <c r="A4292">
        <v>1813</v>
      </c>
      <c r="B4292">
        <f>A4292+1</f>
        <v>1814</v>
      </c>
      <c r="C4292" t="s">
        <v>519</v>
      </c>
      <c r="D4292" t="s">
        <v>26</v>
      </c>
      <c r="E4292" s="208" t="s">
        <v>107</v>
      </c>
      <c r="F4292" t="s">
        <v>3</v>
      </c>
      <c r="G4292" s="18">
        <v>706334</v>
      </c>
      <c r="H4292" t="s">
        <v>24</v>
      </c>
      <c r="I4292" t="s">
        <v>16</v>
      </c>
    </row>
    <row r="4293" spans="1:9" x14ac:dyDescent="0.25">
      <c r="A4293">
        <v>1813</v>
      </c>
      <c r="B4293">
        <f>A4293+1</f>
        <v>1814</v>
      </c>
      <c r="C4293" t="s">
        <v>519</v>
      </c>
      <c r="D4293" t="s">
        <v>26</v>
      </c>
      <c r="E4293" s="208" t="s">
        <v>101</v>
      </c>
      <c r="F4293" t="s">
        <v>3</v>
      </c>
      <c r="G4293" s="18">
        <v>247970</v>
      </c>
      <c r="H4293" t="s">
        <v>24</v>
      </c>
      <c r="I4293" t="s">
        <v>16</v>
      </c>
    </row>
    <row r="4294" spans="1:9" x14ac:dyDescent="0.25">
      <c r="A4294">
        <v>1813</v>
      </c>
      <c r="B4294">
        <f>A4294+1</f>
        <v>1814</v>
      </c>
      <c r="C4294" t="s">
        <v>519</v>
      </c>
      <c r="D4294" t="s">
        <v>26</v>
      </c>
      <c r="E4294" s="208" t="s">
        <v>75</v>
      </c>
      <c r="F4294" t="s">
        <v>3</v>
      </c>
      <c r="G4294" s="18">
        <v>1551377</v>
      </c>
      <c r="H4294" t="s">
        <v>24</v>
      </c>
      <c r="I4294" t="s">
        <v>16</v>
      </c>
    </row>
    <row r="4295" spans="1:9" x14ac:dyDescent="0.25">
      <c r="A4295">
        <v>1813</v>
      </c>
      <c r="B4295">
        <f>A4295+1</f>
        <v>1814</v>
      </c>
      <c r="C4295" t="s">
        <v>519</v>
      </c>
      <c r="D4295" t="s">
        <v>26</v>
      </c>
      <c r="E4295" s="208" t="s">
        <v>330</v>
      </c>
      <c r="F4295" t="s">
        <v>3</v>
      </c>
      <c r="G4295" s="18">
        <v>4</v>
      </c>
      <c r="H4295" t="s">
        <v>24</v>
      </c>
      <c r="I4295" t="s">
        <v>16</v>
      </c>
    </row>
    <row r="4296" spans="1:9" x14ac:dyDescent="0.25">
      <c r="A4296">
        <v>1813</v>
      </c>
      <c r="B4296">
        <f>A4296+1</f>
        <v>1814</v>
      </c>
      <c r="C4296" t="s">
        <v>519</v>
      </c>
      <c r="D4296" t="s">
        <v>26</v>
      </c>
      <c r="E4296" s="208" t="s">
        <v>331</v>
      </c>
      <c r="F4296" t="s">
        <v>3</v>
      </c>
      <c r="G4296" s="18">
        <v>0</v>
      </c>
      <c r="H4296" t="s">
        <v>24</v>
      </c>
      <c r="I4296" t="s">
        <v>16</v>
      </c>
    </row>
    <row r="4297" spans="1:9" x14ac:dyDescent="0.25">
      <c r="A4297">
        <v>1813</v>
      </c>
      <c r="B4297">
        <f>A4297+1</f>
        <v>1814</v>
      </c>
      <c r="C4297" t="s">
        <v>519</v>
      </c>
      <c r="D4297" t="s">
        <v>26</v>
      </c>
      <c r="E4297" s="208" t="s">
        <v>332</v>
      </c>
      <c r="F4297" t="s">
        <v>3</v>
      </c>
      <c r="G4297" s="18">
        <v>0</v>
      </c>
      <c r="H4297" t="s">
        <v>24</v>
      </c>
      <c r="I4297" t="s">
        <v>16</v>
      </c>
    </row>
    <row r="4298" spans="1:9" x14ac:dyDescent="0.25">
      <c r="A4298">
        <v>1813</v>
      </c>
      <c r="B4298">
        <f>A4298+1</f>
        <v>1814</v>
      </c>
      <c r="C4298" t="s">
        <v>519</v>
      </c>
      <c r="D4298" t="s">
        <v>26</v>
      </c>
      <c r="E4298" s="208" t="s">
        <v>333</v>
      </c>
      <c r="F4298" t="s">
        <v>3</v>
      </c>
      <c r="G4298" s="18">
        <v>0</v>
      </c>
      <c r="H4298" t="s">
        <v>24</v>
      </c>
      <c r="I4298" t="s">
        <v>16</v>
      </c>
    </row>
    <row r="4299" spans="1:9" x14ac:dyDescent="0.25">
      <c r="A4299">
        <v>1813</v>
      </c>
      <c r="B4299">
        <f>A4299+1</f>
        <v>1814</v>
      </c>
      <c r="C4299" t="s">
        <v>519</v>
      </c>
      <c r="D4299" t="s">
        <v>27</v>
      </c>
      <c r="E4299" s="208" t="s">
        <v>155</v>
      </c>
      <c r="F4299" t="s">
        <v>0</v>
      </c>
      <c r="G4299" s="18">
        <v>23028</v>
      </c>
      <c r="H4299" t="s">
        <v>16</v>
      </c>
      <c r="I4299" t="s">
        <v>18</v>
      </c>
    </row>
    <row r="4300" spans="1:9" x14ac:dyDescent="0.25">
      <c r="A4300">
        <v>1813</v>
      </c>
      <c r="B4300">
        <f>A4300+1</f>
        <v>1814</v>
      </c>
      <c r="C4300" t="s">
        <v>519</v>
      </c>
      <c r="D4300" t="s">
        <v>27</v>
      </c>
      <c r="E4300" s="208" t="s">
        <v>156</v>
      </c>
      <c r="F4300" t="s">
        <v>0</v>
      </c>
      <c r="G4300" s="18">
        <v>1565</v>
      </c>
      <c r="H4300" t="s">
        <v>16</v>
      </c>
      <c r="I4300" t="s">
        <v>18</v>
      </c>
    </row>
    <row r="4301" spans="1:9" x14ac:dyDescent="0.25">
      <c r="A4301">
        <v>1813</v>
      </c>
      <c r="B4301">
        <f>A4301+1</f>
        <v>1814</v>
      </c>
      <c r="C4301" t="s">
        <v>519</v>
      </c>
      <c r="D4301" t="s">
        <v>27</v>
      </c>
      <c r="E4301" s="208" t="s">
        <v>154</v>
      </c>
      <c r="F4301" t="s">
        <v>0</v>
      </c>
      <c r="G4301" s="18">
        <v>371</v>
      </c>
      <c r="H4301" t="s">
        <v>16</v>
      </c>
      <c r="I4301" t="s">
        <v>18</v>
      </c>
    </row>
    <row r="4302" spans="1:9" x14ac:dyDescent="0.25">
      <c r="A4302">
        <v>1813</v>
      </c>
      <c r="B4302">
        <f>A4302+1</f>
        <v>1814</v>
      </c>
      <c r="C4302" t="s">
        <v>519</v>
      </c>
      <c r="D4302" t="s">
        <v>27</v>
      </c>
      <c r="E4302" s="208" t="s">
        <v>150</v>
      </c>
      <c r="F4302" t="s">
        <v>0</v>
      </c>
      <c r="G4302" s="18">
        <v>5667</v>
      </c>
      <c r="H4302" t="s">
        <v>16</v>
      </c>
      <c r="I4302" t="s">
        <v>18</v>
      </c>
    </row>
    <row r="4303" spans="1:9" x14ac:dyDescent="0.25">
      <c r="A4303">
        <v>1813</v>
      </c>
      <c r="B4303">
        <f>A4303+1</f>
        <v>1814</v>
      </c>
      <c r="C4303" t="s">
        <v>519</v>
      </c>
      <c r="D4303" t="s">
        <v>27</v>
      </c>
      <c r="E4303" s="208" t="s">
        <v>148</v>
      </c>
      <c r="F4303" t="s">
        <v>0</v>
      </c>
      <c r="G4303" s="18">
        <v>97</v>
      </c>
      <c r="H4303" t="s">
        <v>16</v>
      </c>
      <c r="I4303" t="s">
        <v>18</v>
      </c>
    </row>
    <row r="4304" spans="1:9" x14ac:dyDescent="0.25">
      <c r="A4304">
        <v>1813</v>
      </c>
      <c r="B4304">
        <f>A4304+1</f>
        <v>1814</v>
      </c>
      <c r="C4304" t="s">
        <v>519</v>
      </c>
      <c r="D4304" t="s">
        <v>27</v>
      </c>
      <c r="E4304" s="208" t="s">
        <v>147</v>
      </c>
      <c r="F4304" t="s">
        <v>0</v>
      </c>
      <c r="G4304" s="18">
        <v>0</v>
      </c>
      <c r="H4304" t="s">
        <v>16</v>
      </c>
      <c r="I4304" t="s">
        <v>18</v>
      </c>
    </row>
    <row r="4305" spans="1:9" x14ac:dyDescent="0.25">
      <c r="A4305">
        <v>1813</v>
      </c>
      <c r="B4305">
        <f>A4305+1</f>
        <v>1814</v>
      </c>
      <c r="C4305" t="s">
        <v>519</v>
      </c>
      <c r="D4305" t="s">
        <v>27</v>
      </c>
      <c r="E4305" s="208" t="s">
        <v>314</v>
      </c>
      <c r="F4305" t="s">
        <v>0</v>
      </c>
      <c r="G4305" s="18">
        <v>0</v>
      </c>
      <c r="H4305" t="s">
        <v>16</v>
      </c>
      <c r="I4305" t="s">
        <v>18</v>
      </c>
    </row>
    <row r="4306" spans="1:9" x14ac:dyDescent="0.25">
      <c r="A4306">
        <v>1813</v>
      </c>
      <c r="B4306">
        <f>A4306+1</f>
        <v>1814</v>
      </c>
      <c r="C4306" t="s">
        <v>519</v>
      </c>
      <c r="D4306" t="s">
        <v>27</v>
      </c>
      <c r="E4306" s="208" t="s">
        <v>139</v>
      </c>
      <c r="F4306" t="s">
        <v>0</v>
      </c>
      <c r="G4306" s="18">
        <v>20</v>
      </c>
      <c r="H4306" t="s">
        <v>16</v>
      </c>
      <c r="I4306" t="s">
        <v>18</v>
      </c>
    </row>
    <row r="4307" spans="1:9" x14ac:dyDescent="0.25">
      <c r="A4307">
        <v>1813</v>
      </c>
      <c r="B4307">
        <f>A4307+1</f>
        <v>1814</v>
      </c>
      <c r="C4307" t="s">
        <v>519</v>
      </c>
      <c r="D4307" t="s">
        <v>27</v>
      </c>
      <c r="E4307" s="208" t="s">
        <v>130</v>
      </c>
      <c r="F4307" t="s">
        <v>0</v>
      </c>
      <c r="G4307" s="18">
        <v>577</v>
      </c>
      <c r="H4307" t="s">
        <v>16</v>
      </c>
      <c r="I4307" t="s">
        <v>18</v>
      </c>
    </row>
    <row r="4308" spans="1:9" x14ac:dyDescent="0.25">
      <c r="A4308">
        <v>1813</v>
      </c>
      <c r="B4308">
        <f>A4308+1</f>
        <v>1814</v>
      </c>
      <c r="C4308" t="s">
        <v>519</v>
      </c>
      <c r="D4308" t="s">
        <v>27</v>
      </c>
      <c r="E4308" s="208" t="s">
        <v>132</v>
      </c>
      <c r="F4308" t="s">
        <v>0</v>
      </c>
      <c r="G4308" s="18">
        <v>574</v>
      </c>
      <c r="H4308" t="s">
        <v>16</v>
      </c>
      <c r="I4308" t="s">
        <v>18</v>
      </c>
    </row>
    <row r="4309" spans="1:9" x14ac:dyDescent="0.25">
      <c r="A4309">
        <v>1813</v>
      </c>
      <c r="B4309">
        <f>A4309+1</f>
        <v>1814</v>
      </c>
      <c r="C4309" t="s">
        <v>519</v>
      </c>
      <c r="D4309" t="s">
        <v>27</v>
      </c>
      <c r="E4309" s="208" t="s">
        <v>142</v>
      </c>
      <c r="F4309" t="s">
        <v>0</v>
      </c>
      <c r="G4309" s="18">
        <v>1414</v>
      </c>
      <c r="H4309" t="s">
        <v>16</v>
      </c>
      <c r="I4309" t="s">
        <v>18</v>
      </c>
    </row>
    <row r="4310" spans="1:9" x14ac:dyDescent="0.25">
      <c r="A4310">
        <v>1813</v>
      </c>
      <c r="B4310">
        <f>A4310+1</f>
        <v>1814</v>
      </c>
      <c r="C4310" t="s">
        <v>519</v>
      </c>
      <c r="D4310" t="s">
        <v>27</v>
      </c>
      <c r="E4310" s="208" t="s">
        <v>144</v>
      </c>
      <c r="F4310" t="s">
        <v>0</v>
      </c>
      <c r="G4310" s="18">
        <v>95</v>
      </c>
      <c r="H4310" t="s">
        <v>16</v>
      </c>
      <c r="I4310" t="s">
        <v>18</v>
      </c>
    </row>
    <row r="4311" spans="1:9" x14ac:dyDescent="0.25">
      <c r="A4311">
        <v>1813</v>
      </c>
      <c r="B4311">
        <f>A4311+1</f>
        <v>1814</v>
      </c>
      <c r="C4311" t="s">
        <v>519</v>
      </c>
      <c r="D4311" t="s">
        <v>27</v>
      </c>
      <c r="E4311" s="208" t="s">
        <v>124</v>
      </c>
      <c r="F4311" t="s">
        <v>0</v>
      </c>
      <c r="G4311" s="18">
        <v>18828959</v>
      </c>
      <c r="H4311" t="s">
        <v>16</v>
      </c>
      <c r="I4311" t="s">
        <v>18</v>
      </c>
    </row>
    <row r="4312" spans="1:9" x14ac:dyDescent="0.25">
      <c r="A4312">
        <v>1813</v>
      </c>
      <c r="B4312">
        <f>A4312+1</f>
        <v>1814</v>
      </c>
      <c r="C4312" t="s">
        <v>519</v>
      </c>
      <c r="D4312" t="s">
        <v>26</v>
      </c>
      <c r="E4312" s="208" t="s">
        <v>62</v>
      </c>
      <c r="F4312" t="s">
        <v>169</v>
      </c>
      <c r="G4312" s="18">
        <v>32115</v>
      </c>
      <c r="H4312" t="s">
        <v>160</v>
      </c>
      <c r="I4312" t="s">
        <v>16</v>
      </c>
    </row>
    <row r="4313" spans="1:9" x14ac:dyDescent="0.25">
      <c r="A4313">
        <v>1813</v>
      </c>
      <c r="B4313">
        <f>A4313+1</f>
        <v>1814</v>
      </c>
      <c r="C4313" t="s">
        <v>519</v>
      </c>
      <c r="D4313" t="s">
        <v>26</v>
      </c>
      <c r="E4313" s="208" t="s">
        <v>35</v>
      </c>
      <c r="F4313" t="s">
        <v>169</v>
      </c>
      <c r="G4313" s="18">
        <v>737</v>
      </c>
      <c r="H4313" t="s">
        <v>160</v>
      </c>
      <c r="I4313" t="s">
        <v>16</v>
      </c>
    </row>
    <row r="4314" spans="1:9" x14ac:dyDescent="0.25">
      <c r="A4314">
        <v>1813</v>
      </c>
      <c r="B4314">
        <f>A4314+1</f>
        <v>1814</v>
      </c>
      <c r="C4314" t="s">
        <v>519</v>
      </c>
      <c r="D4314" t="s">
        <v>26</v>
      </c>
      <c r="E4314" s="208" t="s">
        <v>36</v>
      </c>
      <c r="F4314" t="s">
        <v>169</v>
      </c>
      <c r="G4314" s="18">
        <v>6936</v>
      </c>
      <c r="H4314" t="s">
        <v>160</v>
      </c>
      <c r="I4314" t="s">
        <v>16</v>
      </c>
    </row>
    <row r="4315" spans="1:9" x14ac:dyDescent="0.25">
      <c r="A4315">
        <v>1813</v>
      </c>
      <c r="B4315">
        <f>A4315+1</f>
        <v>1814</v>
      </c>
      <c r="C4315" t="s">
        <v>519</v>
      </c>
      <c r="D4315" t="s">
        <v>26</v>
      </c>
      <c r="E4315" s="208" t="s">
        <v>99</v>
      </c>
      <c r="F4315" t="s">
        <v>169</v>
      </c>
      <c r="G4315" s="18">
        <v>0</v>
      </c>
      <c r="H4315" t="s">
        <v>160</v>
      </c>
      <c r="I4315" t="s">
        <v>16</v>
      </c>
    </row>
    <row r="4316" spans="1:9" x14ac:dyDescent="0.25">
      <c r="A4316">
        <v>1813</v>
      </c>
      <c r="B4316">
        <f>A4316+1</f>
        <v>1814</v>
      </c>
      <c r="C4316" t="s">
        <v>519</v>
      </c>
      <c r="D4316" t="s">
        <v>26</v>
      </c>
      <c r="E4316" s="208" t="s">
        <v>95</v>
      </c>
      <c r="F4316" t="s">
        <v>169</v>
      </c>
      <c r="G4316" s="18">
        <v>0</v>
      </c>
      <c r="H4316" t="s">
        <v>160</v>
      </c>
      <c r="I4316" t="s">
        <v>16</v>
      </c>
    </row>
    <row r="4317" spans="1:9" x14ac:dyDescent="0.25">
      <c r="A4317">
        <v>1813</v>
      </c>
      <c r="B4317">
        <f>A4317+1</f>
        <v>1814</v>
      </c>
      <c r="C4317" t="s">
        <v>519</v>
      </c>
      <c r="D4317" t="s">
        <v>26</v>
      </c>
      <c r="E4317" s="208" t="s">
        <v>94</v>
      </c>
      <c r="F4317" t="s">
        <v>169</v>
      </c>
      <c r="G4317" s="18">
        <v>612</v>
      </c>
      <c r="H4317" t="s">
        <v>160</v>
      </c>
      <c r="I4317" t="s">
        <v>16</v>
      </c>
    </row>
    <row r="4318" spans="1:9" x14ac:dyDescent="0.25">
      <c r="A4318">
        <v>1813</v>
      </c>
      <c r="B4318">
        <f>A4318+1</f>
        <v>1814</v>
      </c>
      <c r="C4318" t="s">
        <v>519</v>
      </c>
      <c r="D4318" t="s">
        <v>26</v>
      </c>
      <c r="E4318" s="208" t="s">
        <v>386</v>
      </c>
      <c r="F4318" t="s">
        <v>169</v>
      </c>
      <c r="G4318" s="18">
        <v>0</v>
      </c>
      <c r="H4318" t="s">
        <v>160</v>
      </c>
      <c r="I4318" t="s">
        <v>16</v>
      </c>
    </row>
    <row r="4319" spans="1:9" x14ac:dyDescent="0.25">
      <c r="A4319">
        <v>1813</v>
      </c>
      <c r="B4319">
        <f>A4319+1</f>
        <v>1814</v>
      </c>
      <c r="C4319" t="s">
        <v>519</v>
      </c>
      <c r="D4319" t="s">
        <v>26</v>
      </c>
      <c r="E4319" s="208" t="s">
        <v>387</v>
      </c>
      <c r="F4319" t="s">
        <v>169</v>
      </c>
      <c r="G4319" s="18">
        <v>0</v>
      </c>
      <c r="H4319" t="s">
        <v>160</v>
      </c>
      <c r="I4319" t="s">
        <v>16</v>
      </c>
    </row>
    <row r="4320" spans="1:9" x14ac:dyDescent="0.25">
      <c r="A4320">
        <v>1813</v>
      </c>
      <c r="B4320">
        <f>A4320+1</f>
        <v>1814</v>
      </c>
      <c r="C4320" t="s">
        <v>519</v>
      </c>
      <c r="D4320" t="s">
        <v>26</v>
      </c>
      <c r="E4320" s="208" t="s">
        <v>388</v>
      </c>
      <c r="F4320" t="s">
        <v>169</v>
      </c>
      <c r="G4320" s="18">
        <v>0</v>
      </c>
      <c r="H4320" t="s">
        <v>160</v>
      </c>
      <c r="I4320" t="s">
        <v>16</v>
      </c>
    </row>
    <row r="4321" spans="1:9" x14ac:dyDescent="0.25">
      <c r="A4321">
        <v>1813</v>
      </c>
      <c r="B4321">
        <f>A4321+1</f>
        <v>1814</v>
      </c>
      <c r="C4321" t="s">
        <v>519</v>
      </c>
      <c r="D4321" t="s">
        <v>26</v>
      </c>
      <c r="E4321" s="208" t="s">
        <v>383</v>
      </c>
      <c r="F4321" t="s">
        <v>169</v>
      </c>
      <c r="G4321" s="18">
        <v>100</v>
      </c>
      <c r="H4321" t="s">
        <v>160</v>
      </c>
      <c r="I4321" t="s">
        <v>16</v>
      </c>
    </row>
    <row r="4322" spans="1:9" x14ac:dyDescent="0.25">
      <c r="A4322">
        <v>1813</v>
      </c>
      <c r="B4322">
        <f>A4322+1</f>
        <v>1814</v>
      </c>
      <c r="C4322" t="s">
        <v>519</v>
      </c>
      <c r="D4322" t="s">
        <v>26</v>
      </c>
      <c r="E4322" s="208" t="s">
        <v>384</v>
      </c>
      <c r="F4322" t="s">
        <v>169</v>
      </c>
      <c r="G4322" s="18">
        <v>0</v>
      </c>
      <c r="H4322" t="s">
        <v>160</v>
      </c>
      <c r="I4322" t="s">
        <v>16</v>
      </c>
    </row>
    <row r="4323" spans="1:9" x14ac:dyDescent="0.25">
      <c r="A4323">
        <v>1813</v>
      </c>
      <c r="B4323">
        <f>A4323+1</f>
        <v>1814</v>
      </c>
      <c r="C4323" t="s">
        <v>519</v>
      </c>
      <c r="D4323" t="s">
        <v>26</v>
      </c>
      <c r="E4323" s="208" t="s">
        <v>65</v>
      </c>
      <c r="F4323" t="s">
        <v>169</v>
      </c>
      <c r="G4323" s="18">
        <v>9304</v>
      </c>
      <c r="H4323" t="s">
        <v>160</v>
      </c>
      <c r="I4323" t="s">
        <v>16</v>
      </c>
    </row>
    <row r="4324" spans="1:9" x14ac:dyDescent="0.25">
      <c r="A4324">
        <v>1813</v>
      </c>
      <c r="B4324">
        <f>A4324+1</f>
        <v>1814</v>
      </c>
      <c r="C4324" t="s">
        <v>519</v>
      </c>
      <c r="D4324" t="s">
        <v>26</v>
      </c>
      <c r="E4324" s="208" t="s">
        <v>88</v>
      </c>
      <c r="F4324" t="s">
        <v>169</v>
      </c>
      <c r="G4324" s="18">
        <v>3070</v>
      </c>
      <c r="H4324" t="s">
        <v>160</v>
      </c>
      <c r="I4324" t="s">
        <v>16</v>
      </c>
    </row>
    <row r="4325" spans="1:9" x14ac:dyDescent="0.25">
      <c r="A4325">
        <v>1813</v>
      </c>
      <c r="B4325">
        <f>A4325+1</f>
        <v>1814</v>
      </c>
      <c r="C4325" t="s">
        <v>519</v>
      </c>
      <c r="D4325" t="s">
        <v>26</v>
      </c>
      <c r="E4325" s="208" t="s">
        <v>107</v>
      </c>
      <c r="F4325" t="s">
        <v>169</v>
      </c>
      <c r="G4325" s="18">
        <v>0</v>
      </c>
      <c r="H4325" t="s">
        <v>160</v>
      </c>
      <c r="I4325" t="s">
        <v>16</v>
      </c>
    </row>
    <row r="4326" spans="1:9" x14ac:dyDescent="0.25">
      <c r="A4326">
        <v>1813</v>
      </c>
      <c r="B4326">
        <f>A4326+1</f>
        <v>1814</v>
      </c>
      <c r="C4326" t="s">
        <v>519</v>
      </c>
      <c r="D4326" t="s">
        <v>26</v>
      </c>
      <c r="E4326" s="208" t="s">
        <v>101</v>
      </c>
      <c r="F4326" t="s">
        <v>169</v>
      </c>
      <c r="G4326" s="18">
        <v>0</v>
      </c>
      <c r="H4326" t="s">
        <v>160</v>
      </c>
      <c r="I4326" t="s">
        <v>16</v>
      </c>
    </row>
    <row r="4327" spans="1:9" x14ac:dyDescent="0.25">
      <c r="A4327">
        <v>1813</v>
      </c>
      <c r="B4327">
        <f>A4327+1</f>
        <v>1814</v>
      </c>
      <c r="C4327" t="s">
        <v>519</v>
      </c>
      <c r="D4327" t="s">
        <v>26</v>
      </c>
      <c r="E4327" s="208" t="s">
        <v>75</v>
      </c>
      <c r="F4327" t="s">
        <v>169</v>
      </c>
      <c r="G4327" s="18">
        <v>0</v>
      </c>
      <c r="H4327" t="s">
        <v>160</v>
      </c>
      <c r="I4327" t="s">
        <v>16</v>
      </c>
    </row>
    <row r="4328" spans="1:9" x14ac:dyDescent="0.25">
      <c r="A4328">
        <v>1813</v>
      </c>
      <c r="B4328">
        <f>A4328+1</f>
        <v>1814</v>
      </c>
      <c r="C4328" t="s">
        <v>519</v>
      </c>
      <c r="D4328" t="s">
        <v>26</v>
      </c>
      <c r="E4328" s="208" t="s">
        <v>330</v>
      </c>
      <c r="F4328" t="s">
        <v>169</v>
      </c>
      <c r="G4328" s="18">
        <v>0</v>
      </c>
      <c r="H4328" t="s">
        <v>160</v>
      </c>
      <c r="I4328" t="s">
        <v>16</v>
      </c>
    </row>
    <row r="4329" spans="1:9" x14ac:dyDescent="0.25">
      <c r="A4329">
        <v>1813</v>
      </c>
      <c r="B4329">
        <f>A4329+1</f>
        <v>1814</v>
      </c>
      <c r="C4329" t="s">
        <v>519</v>
      </c>
      <c r="D4329" t="s">
        <v>26</v>
      </c>
      <c r="E4329" s="208" t="s">
        <v>331</v>
      </c>
      <c r="F4329" t="s">
        <v>169</v>
      </c>
      <c r="G4329" s="18">
        <v>0</v>
      </c>
      <c r="H4329" t="s">
        <v>160</v>
      </c>
      <c r="I4329" t="s">
        <v>16</v>
      </c>
    </row>
    <row r="4330" spans="1:9" x14ac:dyDescent="0.25">
      <c r="A4330">
        <v>1813</v>
      </c>
      <c r="B4330">
        <f>A4330+1</f>
        <v>1814</v>
      </c>
      <c r="C4330" t="s">
        <v>519</v>
      </c>
      <c r="D4330" t="s">
        <v>26</v>
      </c>
      <c r="E4330" s="208" t="s">
        <v>332</v>
      </c>
      <c r="F4330" t="s">
        <v>169</v>
      </c>
      <c r="G4330" s="18">
        <v>0</v>
      </c>
      <c r="H4330" t="s">
        <v>160</v>
      </c>
      <c r="I4330" t="s">
        <v>16</v>
      </c>
    </row>
    <row r="4331" spans="1:9" x14ac:dyDescent="0.25">
      <c r="A4331">
        <v>1813</v>
      </c>
      <c r="B4331">
        <f>A4331+1</f>
        <v>1814</v>
      </c>
      <c r="C4331" t="s">
        <v>519</v>
      </c>
      <c r="D4331" t="s">
        <v>26</v>
      </c>
      <c r="E4331" s="208" t="s">
        <v>333</v>
      </c>
      <c r="F4331" t="s">
        <v>169</v>
      </c>
      <c r="G4331" s="18">
        <v>0</v>
      </c>
      <c r="H4331" t="s">
        <v>160</v>
      </c>
      <c r="I4331" t="s">
        <v>16</v>
      </c>
    </row>
    <row r="4332" spans="1:9" x14ac:dyDescent="0.25">
      <c r="A4332">
        <v>1813</v>
      </c>
      <c r="B4332">
        <f>A4332+1</f>
        <v>1814</v>
      </c>
      <c r="C4332" t="s">
        <v>519</v>
      </c>
      <c r="D4332" t="s">
        <v>27</v>
      </c>
      <c r="E4332" s="208" t="s">
        <v>155</v>
      </c>
      <c r="F4332" t="s">
        <v>1</v>
      </c>
      <c r="G4332" s="18">
        <v>2531</v>
      </c>
      <c r="H4332" t="s">
        <v>16</v>
      </c>
      <c r="I4332" t="s">
        <v>21</v>
      </c>
    </row>
    <row r="4333" spans="1:9" x14ac:dyDescent="0.25">
      <c r="A4333">
        <v>1813</v>
      </c>
      <c r="B4333">
        <f>A4333+1</f>
        <v>1814</v>
      </c>
      <c r="C4333" t="s">
        <v>519</v>
      </c>
      <c r="D4333" t="s">
        <v>27</v>
      </c>
      <c r="E4333" s="208" t="s">
        <v>156</v>
      </c>
      <c r="F4333" t="s">
        <v>1</v>
      </c>
      <c r="G4333" s="18">
        <v>516</v>
      </c>
      <c r="H4333" t="s">
        <v>16</v>
      </c>
      <c r="I4333" t="s">
        <v>21</v>
      </c>
    </row>
    <row r="4334" spans="1:9" x14ac:dyDescent="0.25">
      <c r="A4334">
        <v>1813</v>
      </c>
      <c r="B4334">
        <f>A4334+1</f>
        <v>1814</v>
      </c>
      <c r="C4334" t="s">
        <v>519</v>
      </c>
      <c r="D4334" t="s">
        <v>27</v>
      </c>
      <c r="E4334" s="208" t="s">
        <v>154</v>
      </c>
      <c r="F4334" t="s">
        <v>1</v>
      </c>
      <c r="G4334" s="18">
        <v>302</v>
      </c>
      <c r="H4334" t="s">
        <v>16</v>
      </c>
      <c r="I4334" t="s">
        <v>21</v>
      </c>
    </row>
    <row r="4335" spans="1:9" x14ac:dyDescent="0.25">
      <c r="A4335">
        <v>1813</v>
      </c>
      <c r="B4335">
        <f>A4335+1</f>
        <v>1814</v>
      </c>
      <c r="C4335" t="s">
        <v>519</v>
      </c>
      <c r="D4335" t="s">
        <v>27</v>
      </c>
      <c r="E4335" s="208" t="s">
        <v>150</v>
      </c>
      <c r="F4335" t="s">
        <v>1</v>
      </c>
      <c r="G4335" s="18">
        <v>825</v>
      </c>
      <c r="H4335" t="s">
        <v>16</v>
      </c>
      <c r="I4335" t="s">
        <v>21</v>
      </c>
    </row>
    <row r="4336" spans="1:9" x14ac:dyDescent="0.25">
      <c r="A4336">
        <v>1813</v>
      </c>
      <c r="B4336">
        <f>A4336+1</f>
        <v>1814</v>
      </c>
      <c r="C4336" t="s">
        <v>519</v>
      </c>
      <c r="D4336" t="s">
        <v>27</v>
      </c>
      <c r="E4336" s="208" t="s">
        <v>148</v>
      </c>
      <c r="F4336" t="s">
        <v>1</v>
      </c>
      <c r="G4336" s="18">
        <v>111</v>
      </c>
      <c r="H4336" t="s">
        <v>16</v>
      </c>
      <c r="I4336" t="s">
        <v>21</v>
      </c>
    </row>
    <row r="4337" spans="1:9" x14ac:dyDescent="0.25">
      <c r="A4337">
        <v>1813</v>
      </c>
      <c r="B4337">
        <f>A4337+1</f>
        <v>1814</v>
      </c>
      <c r="C4337" t="s">
        <v>519</v>
      </c>
      <c r="D4337" t="s">
        <v>27</v>
      </c>
      <c r="E4337" s="208" t="s">
        <v>147</v>
      </c>
      <c r="F4337" t="s">
        <v>1</v>
      </c>
      <c r="G4337" s="18">
        <v>0</v>
      </c>
      <c r="H4337" t="s">
        <v>16</v>
      </c>
      <c r="I4337" t="s">
        <v>21</v>
      </c>
    </row>
    <row r="4338" spans="1:9" x14ac:dyDescent="0.25">
      <c r="A4338">
        <v>1813</v>
      </c>
      <c r="B4338">
        <f>A4338+1</f>
        <v>1814</v>
      </c>
      <c r="C4338" t="s">
        <v>519</v>
      </c>
      <c r="D4338" t="s">
        <v>27</v>
      </c>
      <c r="E4338" s="208" t="s">
        <v>314</v>
      </c>
      <c r="F4338" t="s">
        <v>1</v>
      </c>
      <c r="G4338" s="18">
        <v>0</v>
      </c>
      <c r="H4338" t="s">
        <v>16</v>
      </c>
      <c r="I4338" t="s">
        <v>21</v>
      </c>
    </row>
    <row r="4339" spans="1:9" x14ac:dyDescent="0.25">
      <c r="A4339">
        <v>1813</v>
      </c>
      <c r="B4339">
        <f>A4339+1</f>
        <v>1814</v>
      </c>
      <c r="C4339" t="s">
        <v>519</v>
      </c>
      <c r="D4339" t="s">
        <v>27</v>
      </c>
      <c r="E4339" s="208" t="s">
        <v>139</v>
      </c>
      <c r="F4339" t="s">
        <v>1</v>
      </c>
      <c r="G4339" s="18">
        <v>20</v>
      </c>
      <c r="H4339" t="s">
        <v>16</v>
      </c>
      <c r="I4339" t="s">
        <v>21</v>
      </c>
    </row>
    <row r="4340" spans="1:9" x14ac:dyDescent="0.25">
      <c r="A4340">
        <v>1813</v>
      </c>
      <c r="B4340">
        <f>A4340+1</f>
        <v>1814</v>
      </c>
      <c r="C4340" t="s">
        <v>519</v>
      </c>
      <c r="D4340" t="s">
        <v>27</v>
      </c>
      <c r="E4340" s="208" t="s">
        <v>130</v>
      </c>
      <c r="F4340" t="s">
        <v>1</v>
      </c>
      <c r="G4340" s="18">
        <v>22</v>
      </c>
      <c r="H4340" t="s">
        <v>16</v>
      </c>
      <c r="I4340" t="s">
        <v>21</v>
      </c>
    </row>
    <row r="4341" spans="1:9" x14ac:dyDescent="0.25">
      <c r="A4341">
        <v>1813</v>
      </c>
      <c r="B4341">
        <f>A4341+1</f>
        <v>1814</v>
      </c>
      <c r="C4341" t="s">
        <v>519</v>
      </c>
      <c r="D4341" t="s">
        <v>27</v>
      </c>
      <c r="E4341" s="208" t="s">
        <v>132</v>
      </c>
      <c r="F4341" t="s">
        <v>1</v>
      </c>
      <c r="G4341" s="18">
        <v>109</v>
      </c>
      <c r="H4341" t="s">
        <v>16</v>
      </c>
      <c r="I4341" t="s">
        <v>21</v>
      </c>
    </row>
    <row r="4342" spans="1:9" x14ac:dyDescent="0.25">
      <c r="A4342">
        <v>1813</v>
      </c>
      <c r="B4342">
        <f>A4342+1</f>
        <v>1814</v>
      </c>
      <c r="C4342" t="s">
        <v>519</v>
      </c>
      <c r="D4342" t="s">
        <v>27</v>
      </c>
      <c r="E4342" s="208" t="s">
        <v>142</v>
      </c>
      <c r="F4342" t="s">
        <v>1</v>
      </c>
      <c r="G4342" s="18">
        <v>85</v>
      </c>
      <c r="H4342" t="s">
        <v>16</v>
      </c>
      <c r="I4342" t="s">
        <v>21</v>
      </c>
    </row>
    <row r="4343" spans="1:9" x14ac:dyDescent="0.25">
      <c r="A4343">
        <v>1813</v>
      </c>
      <c r="B4343">
        <f>A4343+1</f>
        <v>1814</v>
      </c>
      <c r="C4343" t="s">
        <v>519</v>
      </c>
      <c r="D4343" t="s">
        <v>27</v>
      </c>
      <c r="E4343" s="208" t="s">
        <v>144</v>
      </c>
      <c r="F4343" t="s">
        <v>1</v>
      </c>
      <c r="G4343" s="18">
        <v>35</v>
      </c>
      <c r="H4343" t="s">
        <v>16</v>
      </c>
      <c r="I4343" t="s">
        <v>21</v>
      </c>
    </row>
    <row r="4344" spans="1:9" x14ac:dyDescent="0.25">
      <c r="A4344">
        <v>1813</v>
      </c>
      <c r="B4344">
        <f>A4344+1</f>
        <v>1814</v>
      </c>
      <c r="C4344" t="s">
        <v>519</v>
      </c>
      <c r="D4344" t="s">
        <v>27</v>
      </c>
      <c r="E4344" s="208" t="s">
        <v>124</v>
      </c>
      <c r="F4344" t="s">
        <v>1</v>
      </c>
      <c r="G4344" s="18">
        <v>1451193</v>
      </c>
      <c r="H4344" t="s">
        <v>16</v>
      </c>
      <c r="I4344" t="s">
        <v>21</v>
      </c>
    </row>
    <row r="4345" spans="1:9" x14ac:dyDescent="0.25">
      <c r="A4345">
        <v>1813</v>
      </c>
      <c r="B4345">
        <f>A4345+1</f>
        <v>1814</v>
      </c>
      <c r="C4345" t="s">
        <v>519</v>
      </c>
      <c r="D4345" t="s">
        <v>27</v>
      </c>
      <c r="E4345" s="208" t="s">
        <v>155</v>
      </c>
      <c r="F4345" t="s">
        <v>6</v>
      </c>
      <c r="G4345" s="18">
        <v>0</v>
      </c>
      <c r="H4345" t="s">
        <v>16</v>
      </c>
      <c r="I4345" t="s">
        <v>25</v>
      </c>
    </row>
    <row r="4346" spans="1:9" x14ac:dyDescent="0.25">
      <c r="A4346">
        <v>1813</v>
      </c>
      <c r="B4346">
        <f>A4346+1</f>
        <v>1814</v>
      </c>
      <c r="C4346" t="s">
        <v>519</v>
      </c>
      <c r="D4346" t="s">
        <v>27</v>
      </c>
      <c r="E4346" s="208" t="s">
        <v>156</v>
      </c>
      <c r="F4346" t="s">
        <v>6</v>
      </c>
      <c r="G4346" s="18">
        <v>0</v>
      </c>
      <c r="H4346" t="s">
        <v>16</v>
      </c>
      <c r="I4346" t="s">
        <v>25</v>
      </c>
    </row>
    <row r="4347" spans="1:9" x14ac:dyDescent="0.25">
      <c r="A4347">
        <v>1813</v>
      </c>
      <c r="B4347">
        <f>A4347+1</f>
        <v>1814</v>
      </c>
      <c r="C4347" t="s">
        <v>519</v>
      </c>
      <c r="D4347" t="s">
        <v>27</v>
      </c>
      <c r="E4347" s="208" t="s">
        <v>154</v>
      </c>
      <c r="F4347" t="s">
        <v>6</v>
      </c>
      <c r="G4347" s="18">
        <v>0</v>
      </c>
      <c r="H4347" t="s">
        <v>16</v>
      </c>
      <c r="I4347" t="s">
        <v>25</v>
      </c>
    </row>
    <row r="4348" spans="1:9" x14ac:dyDescent="0.25">
      <c r="A4348">
        <v>1813</v>
      </c>
      <c r="B4348">
        <f>A4348+1</f>
        <v>1814</v>
      </c>
      <c r="C4348" t="s">
        <v>519</v>
      </c>
      <c r="D4348" t="s">
        <v>27</v>
      </c>
      <c r="E4348" s="208" t="s">
        <v>150</v>
      </c>
      <c r="F4348" t="s">
        <v>6</v>
      </c>
      <c r="G4348" s="18">
        <v>279</v>
      </c>
      <c r="H4348" t="s">
        <v>16</v>
      </c>
      <c r="I4348" t="s">
        <v>25</v>
      </c>
    </row>
    <row r="4349" spans="1:9" x14ac:dyDescent="0.25">
      <c r="A4349">
        <v>1813</v>
      </c>
      <c r="B4349">
        <f>A4349+1</f>
        <v>1814</v>
      </c>
      <c r="C4349" t="s">
        <v>519</v>
      </c>
      <c r="D4349" t="s">
        <v>27</v>
      </c>
      <c r="E4349" s="208" t="s">
        <v>148</v>
      </c>
      <c r="F4349" t="s">
        <v>6</v>
      </c>
      <c r="G4349" s="18">
        <v>44</v>
      </c>
      <c r="H4349" t="s">
        <v>16</v>
      </c>
      <c r="I4349" t="s">
        <v>25</v>
      </c>
    </row>
    <row r="4350" spans="1:9" x14ac:dyDescent="0.25">
      <c r="A4350">
        <v>1813</v>
      </c>
      <c r="B4350">
        <f>A4350+1</f>
        <v>1814</v>
      </c>
      <c r="C4350" t="s">
        <v>519</v>
      </c>
      <c r="D4350" t="s">
        <v>27</v>
      </c>
      <c r="E4350" s="208" t="s">
        <v>147</v>
      </c>
      <c r="F4350" t="s">
        <v>6</v>
      </c>
      <c r="G4350" s="18">
        <v>201</v>
      </c>
      <c r="H4350" t="s">
        <v>16</v>
      </c>
      <c r="I4350" t="s">
        <v>25</v>
      </c>
    </row>
    <row r="4351" spans="1:9" x14ac:dyDescent="0.25">
      <c r="A4351">
        <v>1813</v>
      </c>
      <c r="B4351">
        <f>A4351+1</f>
        <v>1814</v>
      </c>
      <c r="C4351" t="s">
        <v>519</v>
      </c>
      <c r="D4351" t="s">
        <v>27</v>
      </c>
      <c r="E4351" s="208" t="s">
        <v>314</v>
      </c>
      <c r="F4351" t="s">
        <v>6</v>
      </c>
      <c r="G4351" s="18">
        <v>1130</v>
      </c>
      <c r="H4351" t="s">
        <v>16</v>
      </c>
      <c r="I4351" t="s">
        <v>25</v>
      </c>
    </row>
    <row r="4352" spans="1:9" x14ac:dyDescent="0.25">
      <c r="A4352">
        <v>1813</v>
      </c>
      <c r="B4352">
        <f>A4352+1</f>
        <v>1814</v>
      </c>
      <c r="C4352" t="s">
        <v>519</v>
      </c>
      <c r="D4352" t="s">
        <v>27</v>
      </c>
      <c r="E4352" s="208" t="s">
        <v>139</v>
      </c>
      <c r="F4352" t="s">
        <v>6</v>
      </c>
      <c r="G4352" s="18">
        <v>0</v>
      </c>
      <c r="H4352" t="s">
        <v>16</v>
      </c>
      <c r="I4352" t="s">
        <v>25</v>
      </c>
    </row>
    <row r="4353" spans="1:9" x14ac:dyDescent="0.25">
      <c r="A4353">
        <v>1813</v>
      </c>
      <c r="B4353">
        <f>A4353+1</f>
        <v>1814</v>
      </c>
      <c r="C4353" t="s">
        <v>519</v>
      </c>
      <c r="D4353" t="s">
        <v>27</v>
      </c>
      <c r="E4353" s="208" t="s">
        <v>130</v>
      </c>
      <c r="F4353" t="s">
        <v>6</v>
      </c>
      <c r="G4353" s="18">
        <v>0</v>
      </c>
      <c r="H4353" t="s">
        <v>16</v>
      </c>
      <c r="I4353" t="s">
        <v>25</v>
      </c>
    </row>
    <row r="4354" spans="1:9" x14ac:dyDescent="0.25">
      <c r="A4354">
        <v>1813</v>
      </c>
      <c r="B4354">
        <f>A4354+1</f>
        <v>1814</v>
      </c>
      <c r="C4354" t="s">
        <v>519</v>
      </c>
      <c r="D4354" t="s">
        <v>27</v>
      </c>
      <c r="E4354" s="208" t="s">
        <v>132</v>
      </c>
      <c r="F4354" t="s">
        <v>6</v>
      </c>
      <c r="G4354" s="18">
        <v>0</v>
      </c>
      <c r="H4354" t="s">
        <v>16</v>
      </c>
      <c r="I4354" t="s">
        <v>25</v>
      </c>
    </row>
    <row r="4355" spans="1:9" x14ac:dyDescent="0.25">
      <c r="A4355">
        <v>1813</v>
      </c>
      <c r="B4355">
        <f>A4355+1</f>
        <v>1814</v>
      </c>
      <c r="C4355" t="s">
        <v>519</v>
      </c>
      <c r="D4355" t="s">
        <v>27</v>
      </c>
      <c r="E4355" s="208" t="s">
        <v>142</v>
      </c>
      <c r="F4355" t="s">
        <v>6</v>
      </c>
      <c r="G4355" s="18">
        <v>0</v>
      </c>
      <c r="H4355" t="s">
        <v>16</v>
      </c>
      <c r="I4355" t="s">
        <v>25</v>
      </c>
    </row>
    <row r="4356" spans="1:9" x14ac:dyDescent="0.25">
      <c r="A4356">
        <v>1813</v>
      </c>
      <c r="B4356">
        <f>A4356+1</f>
        <v>1814</v>
      </c>
      <c r="C4356" t="s">
        <v>519</v>
      </c>
      <c r="D4356" t="s">
        <v>27</v>
      </c>
      <c r="E4356" s="208" t="s">
        <v>144</v>
      </c>
      <c r="F4356" t="s">
        <v>6</v>
      </c>
      <c r="G4356" s="18">
        <v>0</v>
      </c>
      <c r="H4356" t="s">
        <v>16</v>
      </c>
      <c r="I4356" t="s">
        <v>25</v>
      </c>
    </row>
    <row r="4357" spans="1:9" x14ac:dyDescent="0.25">
      <c r="A4357">
        <v>1813</v>
      </c>
      <c r="B4357">
        <f>A4357+1</f>
        <v>1814</v>
      </c>
      <c r="C4357" t="s">
        <v>519</v>
      </c>
      <c r="D4357" t="s">
        <v>27</v>
      </c>
      <c r="E4357" s="208" t="s">
        <v>124</v>
      </c>
      <c r="F4357" t="s">
        <v>6</v>
      </c>
      <c r="G4357" s="18">
        <v>0</v>
      </c>
      <c r="H4357" t="s">
        <v>16</v>
      </c>
      <c r="I4357" t="s">
        <v>25</v>
      </c>
    </row>
    <row r="4358" spans="1:9" x14ac:dyDescent="0.25">
      <c r="A4358">
        <v>1813</v>
      </c>
      <c r="B4358">
        <f>A4358+1</f>
        <v>1814</v>
      </c>
      <c r="C4358" t="s">
        <v>519</v>
      </c>
      <c r="D4358" t="s">
        <v>26</v>
      </c>
      <c r="E4358" s="208" t="s">
        <v>62</v>
      </c>
      <c r="F4358" t="s">
        <v>6</v>
      </c>
      <c r="G4358" s="18">
        <v>12176</v>
      </c>
      <c r="H4358" t="s">
        <v>25</v>
      </c>
      <c r="I4358" t="s">
        <v>16</v>
      </c>
    </row>
    <row r="4359" spans="1:9" x14ac:dyDescent="0.25">
      <c r="A4359">
        <v>1813</v>
      </c>
      <c r="B4359">
        <f>A4359+1</f>
        <v>1814</v>
      </c>
      <c r="C4359" t="s">
        <v>519</v>
      </c>
      <c r="D4359" t="s">
        <v>26</v>
      </c>
      <c r="E4359" s="208" t="s">
        <v>35</v>
      </c>
      <c r="F4359" t="s">
        <v>6</v>
      </c>
      <c r="G4359" s="18">
        <v>0</v>
      </c>
      <c r="H4359" t="s">
        <v>25</v>
      </c>
      <c r="I4359" t="s">
        <v>16</v>
      </c>
    </row>
    <row r="4360" spans="1:9" x14ac:dyDescent="0.25">
      <c r="A4360">
        <v>1813</v>
      </c>
      <c r="B4360">
        <f>A4360+1</f>
        <v>1814</v>
      </c>
      <c r="C4360" t="s">
        <v>519</v>
      </c>
      <c r="D4360" t="s">
        <v>26</v>
      </c>
      <c r="E4360" s="208" t="s">
        <v>36</v>
      </c>
      <c r="F4360" t="s">
        <v>6</v>
      </c>
      <c r="G4360" s="18">
        <v>200</v>
      </c>
      <c r="H4360" t="s">
        <v>25</v>
      </c>
      <c r="I4360" t="s">
        <v>16</v>
      </c>
    </row>
    <row r="4361" spans="1:9" x14ac:dyDescent="0.25">
      <c r="A4361">
        <v>1813</v>
      </c>
      <c r="B4361">
        <f>A4361+1</f>
        <v>1814</v>
      </c>
      <c r="C4361" t="s">
        <v>519</v>
      </c>
      <c r="D4361" t="s">
        <v>26</v>
      </c>
      <c r="E4361" s="208" t="s">
        <v>99</v>
      </c>
      <c r="F4361" t="s">
        <v>6</v>
      </c>
      <c r="G4361" s="18">
        <v>0</v>
      </c>
      <c r="H4361" t="s">
        <v>25</v>
      </c>
      <c r="I4361" t="s">
        <v>16</v>
      </c>
    </row>
    <row r="4362" spans="1:9" x14ac:dyDescent="0.25">
      <c r="A4362">
        <v>1813</v>
      </c>
      <c r="B4362">
        <f>A4362+1</f>
        <v>1814</v>
      </c>
      <c r="C4362" t="s">
        <v>519</v>
      </c>
      <c r="D4362" t="s">
        <v>26</v>
      </c>
      <c r="E4362" s="208" t="s">
        <v>95</v>
      </c>
      <c r="F4362" t="s">
        <v>6</v>
      </c>
      <c r="G4362" s="18">
        <v>3360</v>
      </c>
      <c r="H4362" t="s">
        <v>25</v>
      </c>
      <c r="I4362" t="s">
        <v>16</v>
      </c>
    </row>
    <row r="4363" spans="1:9" x14ac:dyDescent="0.25">
      <c r="A4363">
        <v>1813</v>
      </c>
      <c r="B4363">
        <f>A4363+1</f>
        <v>1814</v>
      </c>
      <c r="C4363" t="s">
        <v>519</v>
      </c>
      <c r="D4363" t="s">
        <v>26</v>
      </c>
      <c r="E4363" s="208" t="s">
        <v>94</v>
      </c>
      <c r="F4363" t="s">
        <v>6</v>
      </c>
      <c r="G4363" s="18">
        <v>5910</v>
      </c>
      <c r="H4363" t="s">
        <v>25</v>
      </c>
      <c r="I4363" t="s">
        <v>16</v>
      </c>
    </row>
    <row r="4364" spans="1:9" x14ac:dyDescent="0.25">
      <c r="A4364">
        <v>1813</v>
      </c>
      <c r="B4364">
        <f>A4364+1</f>
        <v>1814</v>
      </c>
      <c r="C4364" t="s">
        <v>519</v>
      </c>
      <c r="D4364" t="s">
        <v>26</v>
      </c>
      <c r="E4364" s="208" t="s">
        <v>386</v>
      </c>
      <c r="F4364" t="s">
        <v>6</v>
      </c>
      <c r="G4364" s="18">
        <v>62088</v>
      </c>
      <c r="H4364" t="s">
        <v>25</v>
      </c>
      <c r="I4364" t="s">
        <v>16</v>
      </c>
    </row>
    <row r="4365" spans="1:9" x14ac:dyDescent="0.25">
      <c r="A4365">
        <v>1813</v>
      </c>
      <c r="B4365">
        <f>A4365+1</f>
        <v>1814</v>
      </c>
      <c r="C4365" t="s">
        <v>519</v>
      </c>
      <c r="D4365" t="s">
        <v>26</v>
      </c>
      <c r="E4365" s="208" t="s">
        <v>387</v>
      </c>
      <c r="F4365" t="s">
        <v>6</v>
      </c>
      <c r="G4365" s="18">
        <v>667</v>
      </c>
      <c r="H4365" t="s">
        <v>25</v>
      </c>
      <c r="I4365" t="s">
        <v>16</v>
      </c>
    </row>
    <row r="4366" spans="1:9" x14ac:dyDescent="0.25">
      <c r="A4366">
        <v>1813</v>
      </c>
      <c r="B4366">
        <f>A4366+1</f>
        <v>1814</v>
      </c>
      <c r="C4366" t="s">
        <v>519</v>
      </c>
      <c r="D4366" t="s">
        <v>26</v>
      </c>
      <c r="E4366" s="208" t="s">
        <v>388</v>
      </c>
      <c r="F4366" t="s">
        <v>6</v>
      </c>
      <c r="G4366" s="18">
        <v>198</v>
      </c>
      <c r="H4366" t="s">
        <v>25</v>
      </c>
      <c r="I4366" t="s">
        <v>16</v>
      </c>
    </row>
    <row r="4367" spans="1:9" x14ac:dyDescent="0.25">
      <c r="A4367">
        <v>1813</v>
      </c>
      <c r="B4367">
        <f>A4367+1</f>
        <v>1814</v>
      </c>
      <c r="C4367" t="s">
        <v>519</v>
      </c>
      <c r="D4367" t="s">
        <v>26</v>
      </c>
      <c r="E4367" s="208" t="s">
        <v>383</v>
      </c>
      <c r="F4367" t="s">
        <v>6</v>
      </c>
      <c r="G4367" s="18">
        <v>1050</v>
      </c>
      <c r="H4367" t="s">
        <v>25</v>
      </c>
      <c r="I4367" t="s">
        <v>16</v>
      </c>
    </row>
    <row r="4368" spans="1:9" x14ac:dyDescent="0.25">
      <c r="A4368">
        <v>1813</v>
      </c>
      <c r="B4368">
        <f>A4368+1</f>
        <v>1814</v>
      </c>
      <c r="C4368" t="s">
        <v>519</v>
      </c>
      <c r="D4368" t="s">
        <v>26</v>
      </c>
      <c r="E4368" s="208" t="s">
        <v>384</v>
      </c>
      <c r="F4368" t="s">
        <v>6</v>
      </c>
      <c r="G4368" s="18">
        <v>426</v>
      </c>
      <c r="H4368" t="s">
        <v>25</v>
      </c>
      <c r="I4368" t="s">
        <v>16</v>
      </c>
    </row>
    <row r="4369" spans="1:9" x14ac:dyDescent="0.25">
      <c r="A4369">
        <v>1813</v>
      </c>
      <c r="B4369">
        <f>A4369+1</f>
        <v>1814</v>
      </c>
      <c r="C4369" t="s">
        <v>519</v>
      </c>
      <c r="D4369" t="s">
        <v>26</v>
      </c>
      <c r="E4369" s="208" t="s">
        <v>65</v>
      </c>
      <c r="F4369" t="s">
        <v>6</v>
      </c>
      <c r="G4369" s="18">
        <v>0</v>
      </c>
      <c r="H4369" t="s">
        <v>25</v>
      </c>
      <c r="I4369" t="s">
        <v>16</v>
      </c>
    </row>
    <row r="4370" spans="1:9" x14ac:dyDescent="0.25">
      <c r="A4370">
        <v>1813</v>
      </c>
      <c r="B4370">
        <f>A4370+1</f>
        <v>1814</v>
      </c>
      <c r="C4370" t="s">
        <v>519</v>
      </c>
      <c r="D4370" t="s">
        <v>26</v>
      </c>
      <c r="E4370" s="208" t="s">
        <v>88</v>
      </c>
      <c r="F4370" t="s">
        <v>6</v>
      </c>
      <c r="G4370" s="18">
        <v>0</v>
      </c>
      <c r="H4370" t="s">
        <v>25</v>
      </c>
      <c r="I4370" t="s">
        <v>16</v>
      </c>
    </row>
    <row r="4371" spans="1:9" x14ac:dyDescent="0.25">
      <c r="A4371">
        <v>1813</v>
      </c>
      <c r="B4371">
        <f>A4371+1</f>
        <v>1814</v>
      </c>
      <c r="C4371" t="s">
        <v>519</v>
      </c>
      <c r="D4371" t="s">
        <v>26</v>
      </c>
      <c r="E4371" s="208" t="s">
        <v>107</v>
      </c>
      <c r="F4371" t="s">
        <v>6</v>
      </c>
      <c r="G4371" s="18">
        <v>328492</v>
      </c>
      <c r="H4371" t="s">
        <v>25</v>
      </c>
      <c r="I4371" t="s">
        <v>16</v>
      </c>
    </row>
    <row r="4372" spans="1:9" x14ac:dyDescent="0.25">
      <c r="A4372">
        <v>1813</v>
      </c>
      <c r="B4372">
        <f>A4372+1</f>
        <v>1814</v>
      </c>
      <c r="C4372" t="s">
        <v>519</v>
      </c>
      <c r="D4372" t="s">
        <v>26</v>
      </c>
      <c r="E4372" s="208" t="s">
        <v>101</v>
      </c>
      <c r="F4372" t="s">
        <v>6</v>
      </c>
      <c r="G4372" s="18">
        <v>503530</v>
      </c>
      <c r="H4372" t="s">
        <v>25</v>
      </c>
      <c r="I4372" t="s">
        <v>16</v>
      </c>
    </row>
    <row r="4373" spans="1:9" x14ac:dyDescent="0.25">
      <c r="A4373">
        <v>1813</v>
      </c>
      <c r="B4373">
        <f>A4373+1</f>
        <v>1814</v>
      </c>
      <c r="C4373" t="s">
        <v>519</v>
      </c>
      <c r="D4373" t="s">
        <v>26</v>
      </c>
      <c r="E4373" s="208" t="s">
        <v>75</v>
      </c>
      <c r="F4373" t="s">
        <v>6</v>
      </c>
      <c r="G4373" s="18">
        <v>167682</v>
      </c>
      <c r="H4373" t="s">
        <v>25</v>
      </c>
      <c r="I4373" t="s">
        <v>16</v>
      </c>
    </row>
    <row r="4374" spans="1:9" x14ac:dyDescent="0.25">
      <c r="A4374">
        <v>1813</v>
      </c>
      <c r="B4374">
        <f>A4374+1</f>
        <v>1814</v>
      </c>
      <c r="C4374" t="s">
        <v>519</v>
      </c>
      <c r="D4374" t="s">
        <v>26</v>
      </c>
      <c r="E4374" s="208" t="s">
        <v>330</v>
      </c>
      <c r="F4374" t="s">
        <v>6</v>
      </c>
      <c r="G4374" s="18">
        <v>734</v>
      </c>
      <c r="H4374" t="s">
        <v>25</v>
      </c>
      <c r="I4374" t="s">
        <v>16</v>
      </c>
    </row>
    <row r="4375" spans="1:9" x14ac:dyDescent="0.25">
      <c r="A4375">
        <v>1813</v>
      </c>
      <c r="B4375">
        <f>A4375+1</f>
        <v>1814</v>
      </c>
      <c r="C4375" t="s">
        <v>519</v>
      </c>
      <c r="D4375" t="s">
        <v>26</v>
      </c>
      <c r="E4375" s="208" t="s">
        <v>331</v>
      </c>
      <c r="F4375" t="s">
        <v>6</v>
      </c>
      <c r="G4375" s="18">
        <v>1286</v>
      </c>
      <c r="H4375" t="s">
        <v>25</v>
      </c>
      <c r="I4375" t="s">
        <v>16</v>
      </c>
    </row>
    <row r="4376" spans="1:9" x14ac:dyDescent="0.25">
      <c r="A4376">
        <v>1813</v>
      </c>
      <c r="B4376">
        <f>A4376+1</f>
        <v>1814</v>
      </c>
      <c r="C4376" t="s">
        <v>519</v>
      </c>
      <c r="D4376" t="s">
        <v>26</v>
      </c>
      <c r="E4376" s="208" t="s">
        <v>332</v>
      </c>
      <c r="F4376" t="s">
        <v>6</v>
      </c>
      <c r="G4376" s="18">
        <v>245</v>
      </c>
      <c r="H4376" t="s">
        <v>25</v>
      </c>
      <c r="I4376" t="s">
        <v>16</v>
      </c>
    </row>
    <row r="4377" spans="1:9" x14ac:dyDescent="0.25">
      <c r="A4377">
        <v>1813</v>
      </c>
      <c r="B4377">
        <f>A4377+1</f>
        <v>1814</v>
      </c>
      <c r="C4377" t="s">
        <v>519</v>
      </c>
      <c r="D4377" t="s">
        <v>26</v>
      </c>
      <c r="E4377" s="208" t="s">
        <v>333</v>
      </c>
      <c r="F4377" t="s">
        <v>6</v>
      </c>
      <c r="G4377" s="18">
        <v>1250</v>
      </c>
      <c r="H4377" t="s">
        <v>25</v>
      </c>
      <c r="I4377" t="s">
        <v>16</v>
      </c>
    </row>
    <row r="4378" spans="1:9" x14ac:dyDescent="0.25">
      <c r="A4378">
        <v>1813</v>
      </c>
      <c r="B4378">
        <f>A4378+1</f>
        <v>1814</v>
      </c>
      <c r="C4378" t="s">
        <v>519</v>
      </c>
      <c r="D4378" t="s">
        <v>27</v>
      </c>
      <c r="E4378" s="208" t="s">
        <v>155</v>
      </c>
      <c r="F4378" t="s">
        <v>7</v>
      </c>
      <c r="G4378" s="18">
        <v>25654</v>
      </c>
      <c r="H4378" t="s">
        <v>16</v>
      </c>
      <c r="I4378" s="151" t="s">
        <v>562</v>
      </c>
    </row>
    <row r="4379" spans="1:9" x14ac:dyDescent="0.25">
      <c r="A4379">
        <v>1813</v>
      </c>
      <c r="B4379">
        <f>A4379+1</f>
        <v>1814</v>
      </c>
      <c r="C4379" t="s">
        <v>519</v>
      </c>
      <c r="D4379" t="s">
        <v>27</v>
      </c>
      <c r="E4379" s="208" t="s">
        <v>156</v>
      </c>
      <c r="F4379" t="s">
        <v>7</v>
      </c>
      <c r="G4379" s="18">
        <v>2143</v>
      </c>
      <c r="H4379" t="s">
        <v>16</v>
      </c>
      <c r="I4379" s="151" t="s">
        <v>562</v>
      </c>
    </row>
    <row r="4380" spans="1:9" x14ac:dyDescent="0.25">
      <c r="A4380">
        <v>1813</v>
      </c>
      <c r="B4380">
        <f>A4380+1</f>
        <v>1814</v>
      </c>
      <c r="C4380" t="s">
        <v>519</v>
      </c>
      <c r="D4380" t="s">
        <v>27</v>
      </c>
      <c r="E4380" s="208" t="s">
        <v>154</v>
      </c>
      <c r="F4380" t="s">
        <v>7</v>
      </c>
      <c r="G4380" s="18">
        <v>1713</v>
      </c>
      <c r="H4380" t="s">
        <v>16</v>
      </c>
      <c r="I4380" s="151" t="s">
        <v>562</v>
      </c>
    </row>
    <row r="4381" spans="1:9" x14ac:dyDescent="0.25">
      <c r="A4381">
        <v>1813</v>
      </c>
      <c r="B4381">
        <f>A4381+1</f>
        <v>1814</v>
      </c>
      <c r="C4381" t="s">
        <v>519</v>
      </c>
      <c r="D4381" t="s">
        <v>27</v>
      </c>
      <c r="E4381" s="208" t="s">
        <v>150</v>
      </c>
      <c r="F4381" t="s">
        <v>7</v>
      </c>
      <c r="G4381" s="18">
        <v>12463</v>
      </c>
      <c r="H4381" t="s">
        <v>16</v>
      </c>
      <c r="I4381" s="151" t="s">
        <v>562</v>
      </c>
    </row>
    <row r="4382" spans="1:9" x14ac:dyDescent="0.25">
      <c r="A4382">
        <v>1813</v>
      </c>
      <c r="B4382">
        <f>A4382+1</f>
        <v>1814</v>
      </c>
      <c r="C4382" t="s">
        <v>519</v>
      </c>
      <c r="D4382" t="s">
        <v>27</v>
      </c>
      <c r="E4382" s="208" t="s">
        <v>148</v>
      </c>
      <c r="F4382" t="s">
        <v>7</v>
      </c>
      <c r="G4382" s="18">
        <v>1029</v>
      </c>
      <c r="H4382" t="s">
        <v>16</v>
      </c>
      <c r="I4382" s="151" t="s">
        <v>562</v>
      </c>
    </row>
    <row r="4383" spans="1:9" x14ac:dyDescent="0.25">
      <c r="A4383">
        <v>1813</v>
      </c>
      <c r="B4383">
        <f>A4383+1</f>
        <v>1814</v>
      </c>
      <c r="C4383" t="s">
        <v>519</v>
      </c>
      <c r="D4383" t="s">
        <v>27</v>
      </c>
      <c r="E4383" s="208" t="s">
        <v>147</v>
      </c>
      <c r="F4383" t="s">
        <v>7</v>
      </c>
      <c r="G4383" s="18">
        <v>201</v>
      </c>
      <c r="H4383" t="s">
        <v>16</v>
      </c>
      <c r="I4383" s="151" t="s">
        <v>562</v>
      </c>
    </row>
    <row r="4384" spans="1:9" x14ac:dyDescent="0.25">
      <c r="A4384">
        <v>1813</v>
      </c>
      <c r="B4384">
        <f>A4384+1</f>
        <v>1814</v>
      </c>
      <c r="C4384" t="s">
        <v>519</v>
      </c>
      <c r="D4384" t="s">
        <v>27</v>
      </c>
      <c r="E4384" s="208" t="s">
        <v>314</v>
      </c>
      <c r="F4384" t="s">
        <v>7</v>
      </c>
      <c r="G4384" s="18">
        <v>1144</v>
      </c>
      <c r="H4384" t="s">
        <v>16</v>
      </c>
      <c r="I4384" s="151" t="s">
        <v>562</v>
      </c>
    </row>
    <row r="4385" spans="1:9" x14ac:dyDescent="0.25">
      <c r="A4385">
        <v>1813</v>
      </c>
      <c r="B4385">
        <f>A4385+1</f>
        <v>1814</v>
      </c>
      <c r="C4385" t="s">
        <v>519</v>
      </c>
      <c r="D4385" t="s">
        <v>27</v>
      </c>
      <c r="E4385" s="208" t="s">
        <v>149</v>
      </c>
      <c r="F4385" t="s">
        <v>7</v>
      </c>
      <c r="G4385" s="18">
        <v>0</v>
      </c>
      <c r="H4385" t="s">
        <v>16</v>
      </c>
      <c r="I4385" s="151" t="s">
        <v>562</v>
      </c>
    </row>
    <row r="4386" spans="1:9" x14ac:dyDescent="0.25">
      <c r="A4386">
        <v>1813</v>
      </c>
      <c r="B4386">
        <f>A4386+1</f>
        <v>1814</v>
      </c>
      <c r="C4386" t="s">
        <v>519</v>
      </c>
      <c r="D4386" t="s">
        <v>27</v>
      </c>
      <c r="E4386" s="208" t="s">
        <v>139</v>
      </c>
      <c r="F4386" t="s">
        <v>7</v>
      </c>
      <c r="G4386" s="18">
        <v>59</v>
      </c>
      <c r="H4386" t="s">
        <v>16</v>
      </c>
      <c r="I4386" s="151" t="s">
        <v>562</v>
      </c>
    </row>
    <row r="4387" spans="1:9" x14ac:dyDescent="0.25">
      <c r="A4387">
        <v>1813</v>
      </c>
      <c r="B4387">
        <f>A4387+1</f>
        <v>1814</v>
      </c>
      <c r="C4387" t="s">
        <v>519</v>
      </c>
      <c r="D4387" t="s">
        <v>27</v>
      </c>
      <c r="E4387" s="208" t="s">
        <v>130</v>
      </c>
      <c r="F4387" t="s">
        <v>7</v>
      </c>
      <c r="G4387" s="18">
        <v>633</v>
      </c>
      <c r="H4387" t="s">
        <v>16</v>
      </c>
      <c r="I4387" s="151" t="s">
        <v>562</v>
      </c>
    </row>
    <row r="4388" spans="1:9" x14ac:dyDescent="0.25">
      <c r="A4388">
        <v>1813</v>
      </c>
      <c r="B4388">
        <f>A4388+1</f>
        <v>1814</v>
      </c>
      <c r="C4388" t="s">
        <v>519</v>
      </c>
      <c r="D4388" t="s">
        <v>27</v>
      </c>
      <c r="E4388" s="208" t="s">
        <v>132</v>
      </c>
      <c r="F4388" t="s">
        <v>7</v>
      </c>
      <c r="G4388" s="18">
        <v>717</v>
      </c>
      <c r="H4388" t="s">
        <v>16</v>
      </c>
      <c r="I4388" s="151" t="s">
        <v>562</v>
      </c>
    </row>
    <row r="4389" spans="1:9" x14ac:dyDescent="0.25">
      <c r="A4389">
        <v>1813</v>
      </c>
      <c r="B4389">
        <f>A4389+1</f>
        <v>1814</v>
      </c>
      <c r="C4389" t="s">
        <v>519</v>
      </c>
      <c r="D4389" t="s">
        <v>27</v>
      </c>
      <c r="E4389" s="208" t="s">
        <v>142</v>
      </c>
      <c r="F4389" t="s">
        <v>7</v>
      </c>
      <c r="G4389" s="18">
        <v>1633</v>
      </c>
      <c r="H4389" t="s">
        <v>16</v>
      </c>
      <c r="I4389" s="151" t="s">
        <v>562</v>
      </c>
    </row>
    <row r="4390" spans="1:9" x14ac:dyDescent="0.25">
      <c r="A4390">
        <v>1813</v>
      </c>
      <c r="B4390">
        <f>A4390+1</f>
        <v>1814</v>
      </c>
      <c r="C4390" t="s">
        <v>519</v>
      </c>
      <c r="D4390" t="s">
        <v>27</v>
      </c>
      <c r="E4390" s="208" t="s">
        <v>144</v>
      </c>
      <c r="F4390" t="s">
        <v>7</v>
      </c>
      <c r="G4390" s="18">
        <v>130</v>
      </c>
      <c r="H4390" t="s">
        <v>16</v>
      </c>
      <c r="I4390" s="151" t="s">
        <v>562</v>
      </c>
    </row>
    <row r="4391" spans="1:9" x14ac:dyDescent="0.25">
      <c r="A4391">
        <v>1813</v>
      </c>
      <c r="B4391">
        <f>A4391+1</f>
        <v>1814</v>
      </c>
      <c r="C4391" t="s">
        <v>519</v>
      </c>
      <c r="D4391" t="s">
        <v>27</v>
      </c>
      <c r="E4391" s="208" t="s">
        <v>124</v>
      </c>
      <c r="F4391" t="s">
        <v>7</v>
      </c>
      <c r="G4391" s="18">
        <v>20370419</v>
      </c>
      <c r="H4391" t="s">
        <v>16</v>
      </c>
      <c r="I4391" s="151" t="s">
        <v>562</v>
      </c>
    </row>
    <row r="4392" spans="1:9" x14ac:dyDescent="0.25">
      <c r="A4392">
        <v>1813</v>
      </c>
      <c r="B4392">
        <f>A4392+1</f>
        <v>1814</v>
      </c>
      <c r="C4392" t="s">
        <v>519</v>
      </c>
      <c r="D4392" t="s">
        <v>26</v>
      </c>
      <c r="E4392" s="208" t="s">
        <v>62</v>
      </c>
      <c r="F4392" t="s">
        <v>7</v>
      </c>
      <c r="G4392" s="18">
        <v>51622</v>
      </c>
      <c r="H4392" s="151" t="s">
        <v>563</v>
      </c>
      <c r="I4392" t="s">
        <v>16</v>
      </c>
    </row>
    <row r="4393" spans="1:9" x14ac:dyDescent="0.25">
      <c r="A4393">
        <v>1813</v>
      </c>
      <c r="B4393">
        <f>A4393+1</f>
        <v>1814</v>
      </c>
      <c r="C4393" t="s">
        <v>519</v>
      </c>
      <c r="D4393" t="s">
        <v>26</v>
      </c>
      <c r="E4393" s="208" t="s">
        <v>35</v>
      </c>
      <c r="F4393" t="s">
        <v>7</v>
      </c>
      <c r="G4393" s="18">
        <v>1169</v>
      </c>
      <c r="H4393" s="151" t="s">
        <v>563</v>
      </c>
      <c r="I4393" t="s">
        <v>16</v>
      </c>
    </row>
    <row r="4394" spans="1:9" x14ac:dyDescent="0.25">
      <c r="A4394">
        <v>1813</v>
      </c>
      <c r="B4394">
        <f>A4394+1</f>
        <v>1814</v>
      </c>
      <c r="C4394" t="s">
        <v>519</v>
      </c>
      <c r="D4394" t="s">
        <v>26</v>
      </c>
      <c r="E4394" s="208" t="s">
        <v>36</v>
      </c>
      <c r="F4394" t="s">
        <v>7</v>
      </c>
      <c r="G4394" s="18">
        <v>7146</v>
      </c>
      <c r="H4394" s="151" t="s">
        <v>563</v>
      </c>
      <c r="I4394" t="s">
        <v>16</v>
      </c>
    </row>
    <row r="4395" spans="1:9" x14ac:dyDescent="0.25">
      <c r="A4395">
        <v>1813</v>
      </c>
      <c r="B4395">
        <f>A4395+1</f>
        <v>1814</v>
      </c>
      <c r="C4395" t="s">
        <v>519</v>
      </c>
      <c r="D4395" t="s">
        <v>26</v>
      </c>
      <c r="E4395" s="208" t="s">
        <v>39</v>
      </c>
      <c r="F4395" t="s">
        <v>7</v>
      </c>
      <c r="G4395" s="18">
        <v>0</v>
      </c>
      <c r="H4395" s="151" t="s">
        <v>563</v>
      </c>
      <c r="I4395" t="s">
        <v>16</v>
      </c>
    </row>
    <row r="4396" spans="1:9" x14ac:dyDescent="0.25">
      <c r="A4396">
        <v>1813</v>
      </c>
      <c r="B4396">
        <f>A4396+1</f>
        <v>1814</v>
      </c>
      <c r="C4396" t="s">
        <v>519</v>
      </c>
      <c r="D4396" t="s">
        <v>26</v>
      </c>
      <c r="E4396" s="208" t="s">
        <v>99</v>
      </c>
      <c r="F4396" t="s">
        <v>7</v>
      </c>
      <c r="G4396" s="18">
        <v>793</v>
      </c>
      <c r="H4396" s="151" t="s">
        <v>563</v>
      </c>
      <c r="I4396" t="s">
        <v>16</v>
      </c>
    </row>
    <row r="4397" spans="1:9" x14ac:dyDescent="0.25">
      <c r="A4397">
        <v>1813</v>
      </c>
      <c r="B4397">
        <f>A4397+1</f>
        <v>1814</v>
      </c>
      <c r="C4397" t="s">
        <v>519</v>
      </c>
      <c r="D4397" t="s">
        <v>26</v>
      </c>
      <c r="E4397" s="208" t="s">
        <v>95</v>
      </c>
      <c r="F4397" t="s">
        <v>7</v>
      </c>
      <c r="G4397" s="18">
        <v>3361</v>
      </c>
      <c r="H4397" s="151" t="s">
        <v>563</v>
      </c>
      <c r="I4397" t="s">
        <v>16</v>
      </c>
    </row>
    <row r="4398" spans="1:9" x14ac:dyDescent="0.25">
      <c r="A4398">
        <v>1813</v>
      </c>
      <c r="B4398">
        <f>A4398+1</f>
        <v>1814</v>
      </c>
      <c r="C4398" t="s">
        <v>519</v>
      </c>
      <c r="D4398" t="s">
        <v>26</v>
      </c>
      <c r="E4398" s="208" t="s">
        <v>94</v>
      </c>
      <c r="F4398" t="s">
        <v>7</v>
      </c>
      <c r="G4398" s="18">
        <v>6522</v>
      </c>
      <c r="H4398" s="151" t="s">
        <v>563</v>
      </c>
      <c r="I4398" t="s">
        <v>16</v>
      </c>
    </row>
    <row r="4399" spans="1:9" x14ac:dyDescent="0.25">
      <c r="A4399">
        <v>1813</v>
      </c>
      <c r="B4399">
        <f>A4399+1</f>
        <v>1814</v>
      </c>
      <c r="C4399" t="s">
        <v>519</v>
      </c>
      <c r="D4399" t="s">
        <v>26</v>
      </c>
      <c r="E4399" s="208" t="s">
        <v>386</v>
      </c>
      <c r="F4399" t="s">
        <v>7</v>
      </c>
      <c r="G4399" s="18">
        <v>62088</v>
      </c>
      <c r="H4399" s="151" t="s">
        <v>563</v>
      </c>
      <c r="I4399" t="s">
        <v>16</v>
      </c>
    </row>
    <row r="4400" spans="1:9" x14ac:dyDescent="0.25">
      <c r="A4400">
        <v>1813</v>
      </c>
      <c r="B4400">
        <f>A4400+1</f>
        <v>1814</v>
      </c>
      <c r="C4400" t="s">
        <v>519</v>
      </c>
      <c r="D4400" t="s">
        <v>26</v>
      </c>
      <c r="E4400" s="208" t="s">
        <v>387</v>
      </c>
      <c r="F4400" t="s">
        <v>7</v>
      </c>
      <c r="G4400" s="18">
        <v>667</v>
      </c>
      <c r="H4400" s="151" t="s">
        <v>563</v>
      </c>
      <c r="I4400" t="s">
        <v>16</v>
      </c>
    </row>
    <row r="4401" spans="1:9" x14ac:dyDescent="0.25">
      <c r="A4401">
        <v>1813</v>
      </c>
      <c r="B4401">
        <f>A4401+1</f>
        <v>1814</v>
      </c>
      <c r="C4401" t="s">
        <v>519</v>
      </c>
      <c r="D4401" t="s">
        <v>26</v>
      </c>
      <c r="E4401" s="208" t="s">
        <v>55</v>
      </c>
      <c r="F4401" t="s">
        <v>7</v>
      </c>
      <c r="G4401" s="18">
        <v>400</v>
      </c>
      <c r="H4401" s="151" t="s">
        <v>563</v>
      </c>
      <c r="I4401" t="s">
        <v>16</v>
      </c>
    </row>
    <row r="4402" spans="1:9" x14ac:dyDescent="0.25">
      <c r="A4402">
        <v>1813</v>
      </c>
      <c r="B4402">
        <f>A4402+1</f>
        <v>1814</v>
      </c>
      <c r="C4402" t="s">
        <v>519</v>
      </c>
      <c r="D4402" t="s">
        <v>26</v>
      </c>
      <c r="E4402" s="208" t="s">
        <v>388</v>
      </c>
      <c r="F4402" t="s">
        <v>7</v>
      </c>
      <c r="G4402" s="18">
        <v>198</v>
      </c>
      <c r="H4402" s="151" t="s">
        <v>563</v>
      </c>
      <c r="I4402" t="s">
        <v>16</v>
      </c>
    </row>
    <row r="4403" spans="1:9" x14ac:dyDescent="0.25">
      <c r="A4403">
        <v>1813</v>
      </c>
      <c r="B4403">
        <f>A4403+1</f>
        <v>1814</v>
      </c>
      <c r="C4403" t="s">
        <v>519</v>
      </c>
      <c r="D4403" t="s">
        <v>26</v>
      </c>
      <c r="E4403" s="208" t="s">
        <v>383</v>
      </c>
      <c r="F4403" t="s">
        <v>7</v>
      </c>
      <c r="G4403" s="18">
        <v>1150</v>
      </c>
      <c r="H4403" s="151" t="s">
        <v>563</v>
      </c>
      <c r="I4403" t="s">
        <v>16</v>
      </c>
    </row>
    <row r="4404" spans="1:9" x14ac:dyDescent="0.25">
      <c r="A4404">
        <v>1813</v>
      </c>
      <c r="B4404">
        <f>A4404+1</f>
        <v>1814</v>
      </c>
      <c r="C4404" t="s">
        <v>519</v>
      </c>
      <c r="D4404" t="s">
        <v>26</v>
      </c>
      <c r="E4404" s="208" t="s">
        <v>384</v>
      </c>
      <c r="F4404" t="s">
        <v>7</v>
      </c>
      <c r="G4404" s="18">
        <v>426</v>
      </c>
      <c r="H4404" s="151" t="s">
        <v>563</v>
      </c>
      <c r="I4404" t="s">
        <v>16</v>
      </c>
    </row>
    <row r="4405" spans="1:9" x14ac:dyDescent="0.25">
      <c r="A4405">
        <v>1813</v>
      </c>
      <c r="B4405">
        <f>A4405+1</f>
        <v>1814</v>
      </c>
      <c r="C4405" t="s">
        <v>519</v>
      </c>
      <c r="D4405" t="s">
        <v>26</v>
      </c>
      <c r="E4405" s="208" t="s">
        <v>277</v>
      </c>
      <c r="F4405" t="s">
        <v>7</v>
      </c>
      <c r="G4405" s="18">
        <v>0</v>
      </c>
      <c r="H4405" s="151" t="s">
        <v>563</v>
      </c>
      <c r="I4405" t="s">
        <v>16</v>
      </c>
    </row>
    <row r="4406" spans="1:9" x14ac:dyDescent="0.25">
      <c r="A4406">
        <v>1813</v>
      </c>
      <c r="B4406">
        <f>A4406+1</f>
        <v>1814</v>
      </c>
      <c r="C4406" t="s">
        <v>519</v>
      </c>
      <c r="D4406" t="s">
        <v>26</v>
      </c>
      <c r="E4406" s="208" t="s">
        <v>28</v>
      </c>
      <c r="F4406" t="s">
        <v>7</v>
      </c>
      <c r="G4406" s="18">
        <v>20</v>
      </c>
      <c r="H4406" s="151" t="s">
        <v>563</v>
      </c>
      <c r="I4406" t="s">
        <v>16</v>
      </c>
    </row>
    <row r="4407" spans="1:9" x14ac:dyDescent="0.25">
      <c r="A4407">
        <v>1813</v>
      </c>
      <c r="B4407">
        <f>A4407+1</f>
        <v>1814</v>
      </c>
      <c r="C4407" t="s">
        <v>519</v>
      </c>
      <c r="D4407" t="s">
        <v>26</v>
      </c>
      <c r="E4407" s="208" t="s">
        <v>89</v>
      </c>
      <c r="F4407" t="s">
        <v>7</v>
      </c>
      <c r="G4407" s="18">
        <v>0</v>
      </c>
      <c r="H4407" s="151" t="s">
        <v>563</v>
      </c>
      <c r="I4407" t="s">
        <v>16</v>
      </c>
    </row>
    <row r="4408" spans="1:9" x14ac:dyDescent="0.25">
      <c r="A4408">
        <v>1813</v>
      </c>
      <c r="B4408">
        <f>A4408+1</f>
        <v>1814</v>
      </c>
      <c r="C4408" t="s">
        <v>519</v>
      </c>
      <c r="D4408" t="s">
        <v>26</v>
      </c>
      <c r="E4408" s="208" t="s">
        <v>45</v>
      </c>
      <c r="F4408" t="s">
        <v>7</v>
      </c>
      <c r="G4408" s="18">
        <v>33</v>
      </c>
      <c r="H4408" s="151" t="s">
        <v>563</v>
      </c>
      <c r="I4408" t="s">
        <v>16</v>
      </c>
    </row>
    <row r="4409" spans="1:9" x14ac:dyDescent="0.25">
      <c r="A4409">
        <v>1813</v>
      </c>
      <c r="B4409">
        <f>A4409+1</f>
        <v>1814</v>
      </c>
      <c r="C4409" t="s">
        <v>519</v>
      </c>
      <c r="D4409" t="s">
        <v>26</v>
      </c>
      <c r="E4409" s="208" t="s">
        <v>392</v>
      </c>
      <c r="F4409" t="s">
        <v>7</v>
      </c>
      <c r="G4409" s="18">
        <v>16</v>
      </c>
      <c r="H4409" s="151" t="s">
        <v>563</v>
      </c>
      <c r="I4409" t="s">
        <v>16</v>
      </c>
    </row>
    <row r="4410" spans="1:9" x14ac:dyDescent="0.25">
      <c r="A4410">
        <v>1813</v>
      </c>
      <c r="B4410">
        <f>A4410+1</f>
        <v>1814</v>
      </c>
      <c r="C4410" t="s">
        <v>519</v>
      </c>
      <c r="D4410" t="s">
        <v>26</v>
      </c>
      <c r="E4410" s="208" t="s">
        <v>65</v>
      </c>
      <c r="F4410" t="s">
        <v>7</v>
      </c>
      <c r="G4410" s="18">
        <v>9304</v>
      </c>
      <c r="H4410" s="151" t="s">
        <v>563</v>
      </c>
      <c r="I4410" t="s">
        <v>16</v>
      </c>
    </row>
    <row r="4411" spans="1:9" x14ac:dyDescent="0.25">
      <c r="A4411">
        <v>1813</v>
      </c>
      <c r="B4411">
        <f>A4411+1</f>
        <v>1814</v>
      </c>
      <c r="C4411" t="s">
        <v>519</v>
      </c>
      <c r="D4411" t="s">
        <v>26</v>
      </c>
      <c r="E4411" s="208" t="s">
        <v>88</v>
      </c>
      <c r="F4411" t="s">
        <v>7</v>
      </c>
      <c r="G4411" s="18">
        <v>3070</v>
      </c>
      <c r="H4411" s="151" t="s">
        <v>563</v>
      </c>
      <c r="I4411" t="s">
        <v>16</v>
      </c>
    </row>
    <row r="4412" spans="1:9" x14ac:dyDescent="0.25">
      <c r="A4412">
        <v>1813</v>
      </c>
      <c r="B4412">
        <f>A4412+1</f>
        <v>1814</v>
      </c>
      <c r="C4412" t="s">
        <v>519</v>
      </c>
      <c r="D4412" t="s">
        <v>26</v>
      </c>
      <c r="E4412" s="208" t="s">
        <v>107</v>
      </c>
      <c r="F4412" t="s">
        <v>7</v>
      </c>
      <c r="G4412" s="18">
        <v>1034826</v>
      </c>
      <c r="H4412" s="151" t="s">
        <v>563</v>
      </c>
      <c r="I4412" t="s">
        <v>16</v>
      </c>
    </row>
    <row r="4413" spans="1:9" x14ac:dyDescent="0.25">
      <c r="A4413">
        <v>1813</v>
      </c>
      <c r="B4413">
        <f>A4413+1</f>
        <v>1814</v>
      </c>
      <c r="C4413" t="s">
        <v>519</v>
      </c>
      <c r="D4413" t="s">
        <v>26</v>
      </c>
      <c r="E4413" s="208" t="s">
        <v>101</v>
      </c>
      <c r="F4413" t="s">
        <v>7</v>
      </c>
      <c r="G4413" s="18">
        <v>751500</v>
      </c>
      <c r="H4413" s="151" t="s">
        <v>563</v>
      </c>
      <c r="I4413" t="s">
        <v>16</v>
      </c>
    </row>
    <row r="4414" spans="1:9" x14ac:dyDescent="0.25">
      <c r="A4414">
        <v>1813</v>
      </c>
      <c r="B4414">
        <f>A4414+1</f>
        <v>1814</v>
      </c>
      <c r="C4414" t="s">
        <v>519</v>
      </c>
      <c r="D4414" t="s">
        <v>26</v>
      </c>
      <c r="E4414" s="208" t="s">
        <v>75</v>
      </c>
      <c r="F4414" t="s">
        <v>7</v>
      </c>
      <c r="G4414" s="18">
        <v>1719059</v>
      </c>
      <c r="H4414" s="151" t="s">
        <v>563</v>
      </c>
      <c r="I4414" t="s">
        <v>16</v>
      </c>
    </row>
    <row r="4415" spans="1:9" x14ac:dyDescent="0.25">
      <c r="A4415">
        <v>1813</v>
      </c>
      <c r="B4415">
        <f>A4415+1</f>
        <v>1814</v>
      </c>
      <c r="C4415" t="s">
        <v>519</v>
      </c>
      <c r="D4415" t="s">
        <v>26</v>
      </c>
      <c r="E4415" s="208" t="s">
        <v>330</v>
      </c>
      <c r="F4415" t="s">
        <v>7</v>
      </c>
      <c r="G4415" s="18">
        <v>738</v>
      </c>
      <c r="H4415" s="151" t="s">
        <v>563</v>
      </c>
      <c r="I4415" t="s">
        <v>16</v>
      </c>
    </row>
    <row r="4416" spans="1:9" x14ac:dyDescent="0.25">
      <c r="A4416">
        <v>1813</v>
      </c>
      <c r="B4416">
        <f>A4416+1</f>
        <v>1814</v>
      </c>
      <c r="C4416" t="s">
        <v>519</v>
      </c>
      <c r="D4416" t="s">
        <v>26</v>
      </c>
      <c r="E4416" s="208" t="s">
        <v>331</v>
      </c>
      <c r="F4416" t="s">
        <v>7</v>
      </c>
      <c r="G4416" s="18">
        <v>1286</v>
      </c>
      <c r="H4416" s="151" t="s">
        <v>563</v>
      </c>
      <c r="I4416" t="s">
        <v>16</v>
      </c>
    </row>
    <row r="4417" spans="1:9" x14ac:dyDescent="0.25">
      <c r="A4417">
        <v>1813</v>
      </c>
      <c r="B4417">
        <f>A4417+1</f>
        <v>1814</v>
      </c>
      <c r="C4417" t="s">
        <v>519</v>
      </c>
      <c r="D4417" t="s">
        <v>26</v>
      </c>
      <c r="E4417" s="208" t="s">
        <v>332</v>
      </c>
      <c r="F4417" t="s">
        <v>7</v>
      </c>
      <c r="G4417" s="18">
        <v>245</v>
      </c>
      <c r="H4417" s="151" t="s">
        <v>563</v>
      </c>
      <c r="I4417" t="s">
        <v>16</v>
      </c>
    </row>
    <row r="4418" spans="1:9" x14ac:dyDescent="0.25">
      <c r="A4418">
        <v>1813</v>
      </c>
      <c r="B4418">
        <f>A4418+1</f>
        <v>1814</v>
      </c>
      <c r="C4418" t="s">
        <v>519</v>
      </c>
      <c r="D4418" t="s">
        <v>26</v>
      </c>
      <c r="E4418" s="208" t="s">
        <v>333</v>
      </c>
      <c r="F4418" t="s">
        <v>7</v>
      </c>
      <c r="G4418" s="18">
        <v>1250</v>
      </c>
      <c r="H4418" s="151" t="s">
        <v>563</v>
      </c>
      <c r="I4418" t="s">
        <v>16</v>
      </c>
    </row>
    <row r="4419" spans="1:9" x14ac:dyDescent="0.25">
      <c r="A4419">
        <v>1813</v>
      </c>
      <c r="B4419">
        <f>A4419+1</f>
        <v>1814</v>
      </c>
      <c r="C4419" t="s">
        <v>519</v>
      </c>
      <c r="D4419" t="s">
        <v>27</v>
      </c>
      <c r="E4419" s="208" t="s">
        <v>155</v>
      </c>
      <c r="F4419" t="s">
        <v>10</v>
      </c>
      <c r="G4419" s="18">
        <v>128</v>
      </c>
      <c r="H4419" t="s">
        <v>17</v>
      </c>
      <c r="I4419" t="s">
        <v>24</v>
      </c>
    </row>
    <row r="4420" spans="1:9" x14ac:dyDescent="0.25">
      <c r="A4420">
        <v>1813</v>
      </c>
      <c r="B4420">
        <f>A4420+1</f>
        <v>1814</v>
      </c>
      <c r="C4420" t="s">
        <v>519</v>
      </c>
      <c r="D4420" t="s">
        <v>27</v>
      </c>
      <c r="E4420" s="208" t="s">
        <v>156</v>
      </c>
      <c r="F4420" t="s">
        <v>10</v>
      </c>
      <c r="G4420" s="18">
        <v>15</v>
      </c>
      <c r="H4420" t="s">
        <v>17</v>
      </c>
      <c r="I4420" t="s">
        <v>24</v>
      </c>
    </row>
    <row r="4421" spans="1:9" x14ac:dyDescent="0.25">
      <c r="A4421">
        <v>1813</v>
      </c>
      <c r="B4421">
        <f>A4421+1</f>
        <v>1814</v>
      </c>
      <c r="C4421" t="s">
        <v>519</v>
      </c>
      <c r="D4421" t="s">
        <v>27</v>
      </c>
      <c r="E4421" s="208" t="s">
        <v>154</v>
      </c>
      <c r="F4421" t="s">
        <v>10</v>
      </c>
      <c r="G4421" s="18">
        <v>21</v>
      </c>
      <c r="H4421" t="s">
        <v>17</v>
      </c>
      <c r="I4421" t="s">
        <v>24</v>
      </c>
    </row>
    <row r="4422" spans="1:9" x14ac:dyDescent="0.25">
      <c r="A4422">
        <v>1813</v>
      </c>
      <c r="B4422">
        <f>A4422+1</f>
        <v>1814</v>
      </c>
      <c r="C4422" t="s">
        <v>519</v>
      </c>
      <c r="D4422" t="s">
        <v>27</v>
      </c>
      <c r="E4422" s="208" t="s">
        <v>150</v>
      </c>
      <c r="F4422" t="s">
        <v>10</v>
      </c>
      <c r="G4422" s="18">
        <v>1627</v>
      </c>
      <c r="H4422" t="s">
        <v>17</v>
      </c>
      <c r="I4422" t="s">
        <v>24</v>
      </c>
    </row>
    <row r="4423" spans="1:9" x14ac:dyDescent="0.25">
      <c r="A4423">
        <v>1813</v>
      </c>
      <c r="B4423">
        <f>A4423+1</f>
        <v>1814</v>
      </c>
      <c r="C4423" t="s">
        <v>519</v>
      </c>
      <c r="D4423" t="s">
        <v>27</v>
      </c>
      <c r="E4423" s="208" t="s">
        <v>148</v>
      </c>
      <c r="F4423" t="s">
        <v>10</v>
      </c>
      <c r="G4423" s="18">
        <v>66</v>
      </c>
      <c r="H4423" t="s">
        <v>17</v>
      </c>
      <c r="I4423" t="s">
        <v>24</v>
      </c>
    </row>
    <row r="4424" spans="1:9" x14ac:dyDescent="0.25">
      <c r="A4424">
        <v>1813</v>
      </c>
      <c r="B4424">
        <f>A4424+1</f>
        <v>1814</v>
      </c>
      <c r="C4424" t="s">
        <v>519</v>
      </c>
      <c r="D4424" t="s">
        <v>27</v>
      </c>
      <c r="E4424" s="208" t="s">
        <v>147</v>
      </c>
      <c r="F4424" t="s">
        <v>10</v>
      </c>
      <c r="G4424" s="18">
        <v>0</v>
      </c>
      <c r="H4424" t="s">
        <v>17</v>
      </c>
      <c r="I4424" t="s">
        <v>24</v>
      </c>
    </row>
    <row r="4425" spans="1:9" x14ac:dyDescent="0.25">
      <c r="A4425">
        <v>1813</v>
      </c>
      <c r="B4425">
        <f>A4425+1</f>
        <v>1814</v>
      </c>
      <c r="C4425" t="s">
        <v>519</v>
      </c>
      <c r="D4425" t="s">
        <v>27</v>
      </c>
      <c r="E4425" s="208" t="s">
        <v>314</v>
      </c>
      <c r="F4425" t="s">
        <v>10</v>
      </c>
      <c r="G4425" s="18">
        <v>0</v>
      </c>
      <c r="H4425" t="s">
        <v>17</v>
      </c>
      <c r="I4425" t="s">
        <v>24</v>
      </c>
    </row>
    <row r="4426" spans="1:9" x14ac:dyDescent="0.25">
      <c r="A4426">
        <v>1813</v>
      </c>
      <c r="B4426">
        <f>A4426+1</f>
        <v>1814</v>
      </c>
      <c r="C4426" t="s">
        <v>519</v>
      </c>
      <c r="D4426" t="s">
        <v>27</v>
      </c>
      <c r="E4426" s="208" t="s">
        <v>139</v>
      </c>
      <c r="F4426" t="s">
        <v>10</v>
      </c>
      <c r="G4426" s="18">
        <v>0</v>
      </c>
      <c r="H4426" t="s">
        <v>17</v>
      </c>
      <c r="I4426" t="s">
        <v>24</v>
      </c>
    </row>
    <row r="4427" spans="1:9" x14ac:dyDescent="0.25">
      <c r="A4427">
        <v>1813</v>
      </c>
      <c r="B4427">
        <f>A4427+1</f>
        <v>1814</v>
      </c>
      <c r="C4427" t="s">
        <v>519</v>
      </c>
      <c r="D4427" t="s">
        <v>27</v>
      </c>
      <c r="E4427" s="208" t="s">
        <v>130</v>
      </c>
      <c r="F4427" t="s">
        <v>10</v>
      </c>
      <c r="G4427" s="18">
        <v>0</v>
      </c>
      <c r="H4427" t="s">
        <v>17</v>
      </c>
      <c r="I4427" t="s">
        <v>24</v>
      </c>
    </row>
    <row r="4428" spans="1:9" x14ac:dyDescent="0.25">
      <c r="A4428">
        <v>1813</v>
      </c>
      <c r="B4428">
        <f>A4428+1</f>
        <v>1814</v>
      </c>
      <c r="C4428" t="s">
        <v>519</v>
      </c>
      <c r="D4428" t="s">
        <v>27</v>
      </c>
      <c r="E4428" s="208" t="s">
        <v>132</v>
      </c>
      <c r="F4428" t="s">
        <v>10</v>
      </c>
      <c r="G4428" s="18">
        <v>0</v>
      </c>
      <c r="H4428" t="s">
        <v>17</v>
      </c>
      <c r="I4428" t="s">
        <v>24</v>
      </c>
    </row>
    <row r="4429" spans="1:9" x14ac:dyDescent="0.25">
      <c r="A4429">
        <v>1813</v>
      </c>
      <c r="B4429">
        <f>A4429+1</f>
        <v>1814</v>
      </c>
      <c r="C4429" t="s">
        <v>519</v>
      </c>
      <c r="D4429" t="s">
        <v>27</v>
      </c>
      <c r="E4429" s="208" t="s">
        <v>142</v>
      </c>
      <c r="F4429" t="s">
        <v>10</v>
      </c>
      <c r="G4429" s="18">
        <v>7</v>
      </c>
      <c r="H4429" t="s">
        <v>17</v>
      </c>
      <c r="I4429" t="s">
        <v>24</v>
      </c>
    </row>
    <row r="4430" spans="1:9" x14ac:dyDescent="0.25">
      <c r="A4430">
        <v>1813</v>
      </c>
      <c r="B4430">
        <f>A4430+1</f>
        <v>1814</v>
      </c>
      <c r="C4430" t="s">
        <v>519</v>
      </c>
      <c r="D4430" t="s">
        <v>27</v>
      </c>
      <c r="E4430" s="208" t="s">
        <v>144</v>
      </c>
      <c r="F4430" t="s">
        <v>10</v>
      </c>
      <c r="G4430" s="18">
        <v>8</v>
      </c>
      <c r="H4430" t="s">
        <v>17</v>
      </c>
      <c r="I4430" t="s">
        <v>24</v>
      </c>
    </row>
    <row r="4431" spans="1:9" x14ac:dyDescent="0.25">
      <c r="A4431">
        <v>1813</v>
      </c>
      <c r="B4431">
        <f>A4431+1</f>
        <v>1814</v>
      </c>
      <c r="C4431" t="s">
        <v>519</v>
      </c>
      <c r="D4431" t="s">
        <v>27</v>
      </c>
      <c r="E4431" s="208" t="s">
        <v>124</v>
      </c>
      <c r="F4431" t="s">
        <v>10</v>
      </c>
      <c r="G4431" s="18">
        <v>4000</v>
      </c>
      <c r="H4431" t="s">
        <v>17</v>
      </c>
      <c r="I4431" t="s">
        <v>24</v>
      </c>
    </row>
    <row r="4432" spans="1:9" x14ac:dyDescent="0.25">
      <c r="A4432">
        <v>1813</v>
      </c>
      <c r="B4432">
        <f>A4432+1</f>
        <v>1814</v>
      </c>
      <c r="C4432" t="s">
        <v>519</v>
      </c>
      <c r="D4432" t="s">
        <v>26</v>
      </c>
      <c r="E4432" s="208" t="s">
        <v>62</v>
      </c>
      <c r="F4432" t="s">
        <v>10</v>
      </c>
      <c r="G4432" s="18">
        <v>1119</v>
      </c>
      <c r="H4432" t="s">
        <v>24</v>
      </c>
      <c r="I4432" t="s">
        <v>17</v>
      </c>
    </row>
    <row r="4433" spans="1:9" x14ac:dyDescent="0.25">
      <c r="A4433">
        <v>1813</v>
      </c>
      <c r="B4433">
        <f>A4433+1</f>
        <v>1814</v>
      </c>
      <c r="C4433" t="s">
        <v>519</v>
      </c>
      <c r="D4433" t="s">
        <v>26</v>
      </c>
      <c r="E4433" s="208" t="s">
        <v>35</v>
      </c>
      <c r="F4433" t="s">
        <v>10</v>
      </c>
      <c r="G4433" s="18">
        <v>250</v>
      </c>
      <c r="H4433" t="s">
        <v>24</v>
      </c>
      <c r="I4433" t="s">
        <v>17</v>
      </c>
    </row>
    <row r="4434" spans="1:9" x14ac:dyDescent="0.25">
      <c r="A4434">
        <v>1813</v>
      </c>
      <c r="B4434">
        <f>A4434+1</f>
        <v>1814</v>
      </c>
      <c r="C4434" t="s">
        <v>519</v>
      </c>
      <c r="D4434" t="s">
        <v>26</v>
      </c>
      <c r="E4434" s="208" t="s">
        <v>36</v>
      </c>
      <c r="F4434" t="s">
        <v>10</v>
      </c>
      <c r="G4434" s="18">
        <v>0</v>
      </c>
      <c r="H4434" t="s">
        <v>24</v>
      </c>
      <c r="I4434" t="s">
        <v>17</v>
      </c>
    </row>
    <row r="4435" spans="1:9" x14ac:dyDescent="0.25">
      <c r="A4435">
        <v>1813</v>
      </c>
      <c r="B4435">
        <f>A4435+1</f>
        <v>1814</v>
      </c>
      <c r="C4435" t="s">
        <v>519</v>
      </c>
      <c r="D4435" t="s">
        <v>26</v>
      </c>
      <c r="E4435" s="208" t="s">
        <v>99</v>
      </c>
      <c r="F4435" t="s">
        <v>10</v>
      </c>
      <c r="G4435" s="18">
        <v>364</v>
      </c>
      <c r="H4435" t="s">
        <v>24</v>
      </c>
      <c r="I4435" t="s">
        <v>17</v>
      </c>
    </row>
    <row r="4436" spans="1:9" x14ac:dyDescent="0.25">
      <c r="A4436">
        <v>1813</v>
      </c>
      <c r="B4436">
        <f>A4436+1</f>
        <v>1814</v>
      </c>
      <c r="C4436" t="s">
        <v>519</v>
      </c>
      <c r="D4436" t="s">
        <v>26</v>
      </c>
      <c r="E4436" s="208" t="s">
        <v>95</v>
      </c>
      <c r="F4436" t="s">
        <v>10</v>
      </c>
      <c r="G4436" s="18">
        <v>0</v>
      </c>
      <c r="H4436" t="s">
        <v>24</v>
      </c>
      <c r="I4436" t="s">
        <v>17</v>
      </c>
    </row>
    <row r="4437" spans="1:9" x14ac:dyDescent="0.25">
      <c r="A4437">
        <v>1813</v>
      </c>
      <c r="B4437">
        <f>A4437+1</f>
        <v>1814</v>
      </c>
      <c r="C4437" t="s">
        <v>519</v>
      </c>
      <c r="D4437" t="s">
        <v>26</v>
      </c>
      <c r="E4437" s="208" t="s">
        <v>94</v>
      </c>
      <c r="F4437" t="s">
        <v>10</v>
      </c>
      <c r="G4437" s="18">
        <v>0</v>
      </c>
      <c r="H4437" t="s">
        <v>24</v>
      </c>
      <c r="I4437" t="s">
        <v>17</v>
      </c>
    </row>
    <row r="4438" spans="1:9" x14ac:dyDescent="0.25">
      <c r="A4438">
        <v>1813</v>
      </c>
      <c r="B4438">
        <f>A4438+1</f>
        <v>1814</v>
      </c>
      <c r="C4438" t="s">
        <v>519</v>
      </c>
      <c r="D4438" t="s">
        <v>26</v>
      </c>
      <c r="E4438" s="208" t="s">
        <v>386</v>
      </c>
      <c r="F4438" t="s">
        <v>10</v>
      </c>
      <c r="G4438" s="18">
        <v>0</v>
      </c>
      <c r="H4438" t="s">
        <v>24</v>
      </c>
      <c r="I4438" t="s">
        <v>17</v>
      </c>
    </row>
    <row r="4439" spans="1:9" x14ac:dyDescent="0.25">
      <c r="A4439">
        <v>1813</v>
      </c>
      <c r="B4439">
        <f>A4439+1</f>
        <v>1814</v>
      </c>
      <c r="C4439" t="s">
        <v>519</v>
      </c>
      <c r="D4439" t="s">
        <v>26</v>
      </c>
      <c r="E4439" s="208" t="s">
        <v>387</v>
      </c>
      <c r="F4439" t="s">
        <v>10</v>
      </c>
      <c r="G4439" s="18">
        <v>0</v>
      </c>
      <c r="H4439" t="s">
        <v>24</v>
      </c>
      <c r="I4439" t="s">
        <v>17</v>
      </c>
    </row>
    <row r="4440" spans="1:9" x14ac:dyDescent="0.25">
      <c r="A4440">
        <v>1813</v>
      </c>
      <c r="B4440">
        <f>A4440+1</f>
        <v>1814</v>
      </c>
      <c r="C4440" t="s">
        <v>519</v>
      </c>
      <c r="D4440" t="s">
        <v>26</v>
      </c>
      <c r="E4440" s="208" t="s">
        <v>388</v>
      </c>
      <c r="F4440" t="s">
        <v>10</v>
      </c>
      <c r="G4440" s="18">
        <v>0</v>
      </c>
      <c r="H4440" t="s">
        <v>24</v>
      </c>
      <c r="I4440" t="s">
        <v>17</v>
      </c>
    </row>
    <row r="4441" spans="1:9" x14ac:dyDescent="0.25">
      <c r="A4441">
        <v>1813</v>
      </c>
      <c r="B4441">
        <f>A4441+1</f>
        <v>1814</v>
      </c>
      <c r="C4441" t="s">
        <v>519</v>
      </c>
      <c r="D4441" t="s">
        <v>26</v>
      </c>
      <c r="E4441" s="208" t="s">
        <v>383</v>
      </c>
      <c r="F4441" t="s">
        <v>10</v>
      </c>
      <c r="G4441" s="18">
        <v>0</v>
      </c>
      <c r="H4441" t="s">
        <v>24</v>
      </c>
      <c r="I4441" t="s">
        <v>17</v>
      </c>
    </row>
    <row r="4442" spans="1:9" x14ac:dyDescent="0.25">
      <c r="A4442">
        <v>1813</v>
      </c>
      <c r="B4442">
        <f>A4442+1</f>
        <v>1814</v>
      </c>
      <c r="C4442" t="s">
        <v>519</v>
      </c>
      <c r="D4442" t="s">
        <v>26</v>
      </c>
      <c r="E4442" s="208" t="s">
        <v>384</v>
      </c>
      <c r="F4442" t="s">
        <v>10</v>
      </c>
      <c r="G4442" s="18">
        <v>0</v>
      </c>
      <c r="H4442" t="s">
        <v>24</v>
      </c>
      <c r="I4442" t="s">
        <v>17</v>
      </c>
    </row>
    <row r="4443" spans="1:9" x14ac:dyDescent="0.25">
      <c r="A4443">
        <v>1813</v>
      </c>
      <c r="B4443">
        <f>A4443+1</f>
        <v>1814</v>
      </c>
      <c r="C4443" t="s">
        <v>519</v>
      </c>
      <c r="D4443" t="s">
        <v>26</v>
      </c>
      <c r="E4443" s="208" t="s">
        <v>28</v>
      </c>
      <c r="F4443" t="s">
        <v>10</v>
      </c>
      <c r="G4443" s="18">
        <v>0</v>
      </c>
      <c r="H4443" t="s">
        <v>24</v>
      </c>
      <c r="I4443" t="s">
        <v>17</v>
      </c>
    </row>
    <row r="4444" spans="1:9" x14ac:dyDescent="0.25">
      <c r="A4444">
        <v>1813</v>
      </c>
      <c r="B4444">
        <f>A4444+1</f>
        <v>1814</v>
      </c>
      <c r="C4444" t="s">
        <v>519</v>
      </c>
      <c r="D4444" t="s">
        <v>26</v>
      </c>
      <c r="E4444" s="208" t="s">
        <v>45</v>
      </c>
      <c r="F4444" t="s">
        <v>10</v>
      </c>
      <c r="G4444" s="18">
        <v>0</v>
      </c>
      <c r="H4444" t="s">
        <v>24</v>
      </c>
      <c r="I4444" t="s">
        <v>17</v>
      </c>
    </row>
    <row r="4445" spans="1:9" x14ac:dyDescent="0.25">
      <c r="A4445">
        <v>1813</v>
      </c>
      <c r="B4445">
        <f>A4445+1</f>
        <v>1814</v>
      </c>
      <c r="C4445" t="s">
        <v>519</v>
      </c>
      <c r="D4445" t="s">
        <v>26</v>
      </c>
      <c r="E4445" s="208" t="s">
        <v>392</v>
      </c>
      <c r="F4445" t="s">
        <v>10</v>
      </c>
      <c r="G4445" s="18">
        <v>0</v>
      </c>
      <c r="H4445" t="s">
        <v>24</v>
      </c>
      <c r="I4445" t="s">
        <v>17</v>
      </c>
    </row>
    <row r="4446" spans="1:9" x14ac:dyDescent="0.25">
      <c r="A4446">
        <v>1813</v>
      </c>
      <c r="B4446">
        <f>A4446+1</f>
        <v>1814</v>
      </c>
      <c r="C4446" t="s">
        <v>519</v>
      </c>
      <c r="D4446" t="s">
        <v>26</v>
      </c>
      <c r="E4446" s="208" t="s">
        <v>65</v>
      </c>
      <c r="F4446" t="s">
        <v>10</v>
      </c>
      <c r="G4446" s="18">
        <v>0</v>
      </c>
      <c r="H4446" t="s">
        <v>24</v>
      </c>
      <c r="I4446" t="s">
        <v>17</v>
      </c>
    </row>
    <row r="4447" spans="1:9" x14ac:dyDescent="0.25">
      <c r="A4447">
        <v>1813</v>
      </c>
      <c r="B4447">
        <f>A4447+1</f>
        <v>1814</v>
      </c>
      <c r="C4447" t="s">
        <v>519</v>
      </c>
      <c r="D4447" t="s">
        <v>26</v>
      </c>
      <c r="E4447" s="208" t="s">
        <v>88</v>
      </c>
      <c r="F4447" t="s">
        <v>10</v>
      </c>
      <c r="G4447" s="18">
        <v>0</v>
      </c>
      <c r="H4447" t="s">
        <v>24</v>
      </c>
      <c r="I4447" t="s">
        <v>17</v>
      </c>
    </row>
    <row r="4448" spans="1:9" x14ac:dyDescent="0.25">
      <c r="A4448">
        <v>1813</v>
      </c>
      <c r="B4448">
        <f>A4448+1</f>
        <v>1814</v>
      </c>
      <c r="C4448" t="s">
        <v>519</v>
      </c>
      <c r="D4448" t="s">
        <v>26</v>
      </c>
      <c r="E4448" s="208" t="s">
        <v>107</v>
      </c>
      <c r="F4448" t="s">
        <v>10</v>
      </c>
      <c r="G4448" s="18">
        <v>170050</v>
      </c>
      <c r="H4448" t="s">
        <v>24</v>
      </c>
      <c r="I4448" t="s">
        <v>17</v>
      </c>
    </row>
    <row r="4449" spans="1:9" x14ac:dyDescent="0.25">
      <c r="A4449">
        <v>1813</v>
      </c>
      <c r="B4449">
        <f>A4449+1</f>
        <v>1814</v>
      </c>
      <c r="C4449" t="s">
        <v>519</v>
      </c>
      <c r="D4449" t="s">
        <v>26</v>
      </c>
      <c r="E4449" s="208" t="s">
        <v>101</v>
      </c>
      <c r="F4449" t="s">
        <v>10</v>
      </c>
      <c r="G4449" s="18">
        <v>9000</v>
      </c>
      <c r="H4449" t="s">
        <v>24</v>
      </c>
      <c r="I4449" t="s">
        <v>17</v>
      </c>
    </row>
    <row r="4450" spans="1:9" x14ac:dyDescent="0.25">
      <c r="A4450">
        <v>1813</v>
      </c>
      <c r="B4450">
        <f>A4450+1</f>
        <v>1814</v>
      </c>
      <c r="C4450" t="s">
        <v>519</v>
      </c>
      <c r="D4450" t="s">
        <v>26</v>
      </c>
      <c r="E4450" s="208" t="s">
        <v>75</v>
      </c>
      <c r="F4450" t="s">
        <v>10</v>
      </c>
      <c r="G4450" s="18">
        <v>596193</v>
      </c>
      <c r="H4450" t="s">
        <v>24</v>
      </c>
      <c r="I4450" t="s">
        <v>17</v>
      </c>
    </row>
    <row r="4451" spans="1:9" x14ac:dyDescent="0.25">
      <c r="A4451">
        <v>1813</v>
      </c>
      <c r="B4451">
        <f>A4451+1</f>
        <v>1814</v>
      </c>
      <c r="C4451" t="s">
        <v>519</v>
      </c>
      <c r="D4451" t="s">
        <v>26</v>
      </c>
      <c r="E4451" s="208" t="s">
        <v>330</v>
      </c>
      <c r="F4451" t="s">
        <v>10</v>
      </c>
      <c r="G4451" s="18">
        <v>0</v>
      </c>
      <c r="H4451" t="s">
        <v>24</v>
      </c>
      <c r="I4451" t="s">
        <v>17</v>
      </c>
    </row>
    <row r="4452" spans="1:9" x14ac:dyDescent="0.25">
      <c r="A4452">
        <v>1813</v>
      </c>
      <c r="B4452">
        <f>A4452+1</f>
        <v>1814</v>
      </c>
      <c r="C4452" t="s">
        <v>519</v>
      </c>
      <c r="D4452" t="s">
        <v>26</v>
      </c>
      <c r="E4452" s="208" t="s">
        <v>331</v>
      </c>
      <c r="F4452" t="s">
        <v>10</v>
      </c>
      <c r="G4452" s="18">
        <v>0</v>
      </c>
      <c r="H4452" t="s">
        <v>24</v>
      </c>
      <c r="I4452" t="s">
        <v>17</v>
      </c>
    </row>
    <row r="4453" spans="1:9" x14ac:dyDescent="0.25">
      <c r="A4453">
        <v>1813</v>
      </c>
      <c r="B4453">
        <f>A4453+1</f>
        <v>1814</v>
      </c>
      <c r="C4453" t="s">
        <v>519</v>
      </c>
      <c r="D4453" t="s">
        <v>26</v>
      </c>
      <c r="E4453" s="208" t="s">
        <v>332</v>
      </c>
      <c r="F4453" t="s">
        <v>10</v>
      </c>
      <c r="G4453" s="18">
        <v>0</v>
      </c>
      <c r="H4453" t="s">
        <v>24</v>
      </c>
      <c r="I4453" t="s">
        <v>17</v>
      </c>
    </row>
    <row r="4454" spans="1:9" x14ac:dyDescent="0.25">
      <c r="A4454">
        <v>1813</v>
      </c>
      <c r="B4454">
        <f>A4454+1</f>
        <v>1814</v>
      </c>
      <c r="C4454" t="s">
        <v>519</v>
      </c>
      <c r="D4454" t="s">
        <v>26</v>
      </c>
      <c r="E4454" s="208" t="s">
        <v>333</v>
      </c>
      <c r="F4454" t="s">
        <v>10</v>
      </c>
      <c r="G4454" s="18">
        <v>0</v>
      </c>
      <c r="H4454" t="s">
        <v>24</v>
      </c>
      <c r="I4454" t="s">
        <v>17</v>
      </c>
    </row>
    <row r="4455" spans="1:9" x14ac:dyDescent="0.25">
      <c r="A4455">
        <v>1813</v>
      </c>
      <c r="B4455">
        <f>A4455+1</f>
        <v>1814</v>
      </c>
      <c r="C4455" t="s">
        <v>519</v>
      </c>
      <c r="D4455" t="s">
        <v>27</v>
      </c>
      <c r="E4455" s="208" t="s">
        <v>155</v>
      </c>
      <c r="F4455" t="s">
        <v>8</v>
      </c>
      <c r="G4455" s="18">
        <v>76064</v>
      </c>
      <c r="H4455" t="s">
        <v>17</v>
      </c>
      <c r="I4455" t="s">
        <v>18</v>
      </c>
    </row>
    <row r="4456" spans="1:9" x14ac:dyDescent="0.25">
      <c r="A4456">
        <v>1813</v>
      </c>
      <c r="B4456">
        <f>A4456+1</f>
        <v>1814</v>
      </c>
      <c r="C4456" t="s">
        <v>519</v>
      </c>
      <c r="D4456" t="s">
        <v>27</v>
      </c>
      <c r="E4456" s="208" t="s">
        <v>156</v>
      </c>
      <c r="F4456" t="s">
        <v>8</v>
      </c>
      <c r="G4456" s="18">
        <v>8327</v>
      </c>
      <c r="H4456" t="s">
        <v>17</v>
      </c>
      <c r="I4456" t="s">
        <v>18</v>
      </c>
    </row>
    <row r="4457" spans="1:9" x14ac:dyDescent="0.25">
      <c r="A4457">
        <v>1813</v>
      </c>
      <c r="B4457">
        <f>A4457+1</f>
        <v>1814</v>
      </c>
      <c r="C4457" t="s">
        <v>519</v>
      </c>
      <c r="D4457" t="s">
        <v>27</v>
      </c>
      <c r="E4457" s="208" t="s">
        <v>154</v>
      </c>
      <c r="F4457" t="s">
        <v>8</v>
      </c>
      <c r="G4457" s="18">
        <v>841</v>
      </c>
      <c r="H4457" t="s">
        <v>17</v>
      </c>
      <c r="I4457" t="s">
        <v>18</v>
      </c>
    </row>
    <row r="4458" spans="1:9" x14ac:dyDescent="0.25">
      <c r="A4458">
        <v>1813</v>
      </c>
      <c r="B4458">
        <f>A4458+1</f>
        <v>1814</v>
      </c>
      <c r="C4458" t="s">
        <v>519</v>
      </c>
      <c r="D4458" t="s">
        <v>27</v>
      </c>
      <c r="E4458" s="208" t="s">
        <v>150</v>
      </c>
      <c r="F4458" t="s">
        <v>8</v>
      </c>
      <c r="G4458" s="18">
        <v>29361</v>
      </c>
      <c r="H4458" t="s">
        <v>17</v>
      </c>
      <c r="I4458" t="s">
        <v>18</v>
      </c>
    </row>
    <row r="4459" spans="1:9" x14ac:dyDescent="0.25">
      <c r="A4459">
        <v>1813</v>
      </c>
      <c r="B4459">
        <f>A4459+1</f>
        <v>1814</v>
      </c>
      <c r="C4459" t="s">
        <v>519</v>
      </c>
      <c r="D4459" t="s">
        <v>27</v>
      </c>
      <c r="E4459" s="208" t="s">
        <v>148</v>
      </c>
      <c r="F4459" t="s">
        <v>8</v>
      </c>
      <c r="G4459" s="18">
        <v>453</v>
      </c>
      <c r="H4459" t="s">
        <v>17</v>
      </c>
      <c r="I4459" t="s">
        <v>18</v>
      </c>
    </row>
    <row r="4460" spans="1:9" x14ac:dyDescent="0.25">
      <c r="A4460">
        <v>1813</v>
      </c>
      <c r="B4460">
        <f>A4460+1</f>
        <v>1814</v>
      </c>
      <c r="C4460" t="s">
        <v>519</v>
      </c>
      <c r="D4460" t="s">
        <v>27</v>
      </c>
      <c r="E4460" s="208" t="s">
        <v>147</v>
      </c>
      <c r="F4460" t="s">
        <v>8</v>
      </c>
      <c r="G4460" s="18">
        <v>0</v>
      </c>
      <c r="H4460" t="s">
        <v>17</v>
      </c>
      <c r="I4460" t="s">
        <v>18</v>
      </c>
    </row>
    <row r="4461" spans="1:9" x14ac:dyDescent="0.25">
      <c r="A4461">
        <v>1813</v>
      </c>
      <c r="B4461">
        <f>A4461+1</f>
        <v>1814</v>
      </c>
      <c r="C4461" t="s">
        <v>519</v>
      </c>
      <c r="D4461" t="s">
        <v>27</v>
      </c>
      <c r="E4461" s="208" t="s">
        <v>314</v>
      </c>
      <c r="F4461" t="s">
        <v>8</v>
      </c>
      <c r="G4461" s="18">
        <v>0</v>
      </c>
      <c r="H4461" t="s">
        <v>17</v>
      </c>
      <c r="I4461" t="s">
        <v>18</v>
      </c>
    </row>
    <row r="4462" spans="1:9" x14ac:dyDescent="0.25">
      <c r="A4462">
        <v>1813</v>
      </c>
      <c r="B4462">
        <f>A4462+1</f>
        <v>1814</v>
      </c>
      <c r="C4462" t="s">
        <v>519</v>
      </c>
      <c r="D4462" t="s">
        <v>27</v>
      </c>
      <c r="E4462" s="208" t="s">
        <v>139</v>
      </c>
      <c r="F4462" t="s">
        <v>8</v>
      </c>
      <c r="G4462" s="18">
        <v>86</v>
      </c>
      <c r="H4462" t="s">
        <v>17</v>
      </c>
      <c r="I4462" t="s">
        <v>18</v>
      </c>
    </row>
    <row r="4463" spans="1:9" x14ac:dyDescent="0.25">
      <c r="A4463">
        <v>1813</v>
      </c>
      <c r="B4463">
        <f>A4463+1</f>
        <v>1814</v>
      </c>
      <c r="C4463" t="s">
        <v>519</v>
      </c>
      <c r="D4463" t="s">
        <v>27</v>
      </c>
      <c r="E4463" s="208" t="s">
        <v>130</v>
      </c>
      <c r="F4463" t="s">
        <v>8</v>
      </c>
      <c r="G4463" s="18">
        <v>1035</v>
      </c>
      <c r="H4463" t="s">
        <v>17</v>
      </c>
      <c r="I4463" t="s">
        <v>18</v>
      </c>
    </row>
    <row r="4464" spans="1:9" x14ac:dyDescent="0.25">
      <c r="A4464">
        <v>1813</v>
      </c>
      <c r="B4464">
        <f>A4464+1</f>
        <v>1814</v>
      </c>
      <c r="C4464" t="s">
        <v>519</v>
      </c>
      <c r="D4464" t="s">
        <v>27</v>
      </c>
      <c r="E4464" s="208" t="s">
        <v>132</v>
      </c>
      <c r="F4464" t="s">
        <v>8</v>
      </c>
      <c r="G4464" s="18">
        <v>167</v>
      </c>
      <c r="H4464" t="s">
        <v>17</v>
      </c>
      <c r="I4464" t="s">
        <v>18</v>
      </c>
    </row>
    <row r="4465" spans="1:9" x14ac:dyDescent="0.25">
      <c r="A4465">
        <v>1813</v>
      </c>
      <c r="B4465">
        <f>A4465+1</f>
        <v>1814</v>
      </c>
      <c r="C4465" t="s">
        <v>519</v>
      </c>
      <c r="D4465" t="s">
        <v>27</v>
      </c>
      <c r="E4465" s="208" t="s">
        <v>142</v>
      </c>
      <c r="F4465" t="s">
        <v>8</v>
      </c>
      <c r="G4465" s="18">
        <v>9071</v>
      </c>
      <c r="H4465" t="s">
        <v>17</v>
      </c>
      <c r="I4465" t="s">
        <v>18</v>
      </c>
    </row>
    <row r="4466" spans="1:9" x14ac:dyDescent="0.25">
      <c r="A4466">
        <v>1813</v>
      </c>
      <c r="B4466">
        <f>A4466+1</f>
        <v>1814</v>
      </c>
      <c r="C4466" t="s">
        <v>519</v>
      </c>
      <c r="D4466" t="s">
        <v>27</v>
      </c>
      <c r="E4466" s="208" t="s">
        <v>144</v>
      </c>
      <c r="F4466" t="s">
        <v>8</v>
      </c>
      <c r="G4466" s="18">
        <v>256</v>
      </c>
      <c r="H4466" t="s">
        <v>17</v>
      </c>
      <c r="I4466" t="s">
        <v>18</v>
      </c>
    </row>
    <row r="4467" spans="1:9" x14ac:dyDescent="0.25">
      <c r="A4467">
        <v>1813</v>
      </c>
      <c r="B4467">
        <f>A4467+1</f>
        <v>1814</v>
      </c>
      <c r="C4467" t="s">
        <v>519</v>
      </c>
      <c r="D4467" t="s">
        <v>27</v>
      </c>
      <c r="E4467" s="208" t="s">
        <v>124</v>
      </c>
      <c r="F4467" t="s">
        <v>8</v>
      </c>
      <c r="G4467" s="18">
        <v>13671166</v>
      </c>
      <c r="H4467" t="s">
        <v>17</v>
      </c>
      <c r="I4467" t="s">
        <v>18</v>
      </c>
    </row>
    <row r="4468" spans="1:9" x14ac:dyDescent="0.25">
      <c r="A4468">
        <v>1813</v>
      </c>
      <c r="B4468">
        <f>A4468+1</f>
        <v>1814</v>
      </c>
      <c r="C4468" t="s">
        <v>519</v>
      </c>
      <c r="D4468" t="s">
        <v>26</v>
      </c>
      <c r="E4468" s="208" t="s">
        <v>62</v>
      </c>
      <c r="F4468" t="s">
        <v>164</v>
      </c>
      <c r="G4468" s="18">
        <v>3684</v>
      </c>
      <c r="H4468" t="s">
        <v>160</v>
      </c>
      <c r="I4468" t="s">
        <v>17</v>
      </c>
    </row>
    <row r="4469" spans="1:9" x14ac:dyDescent="0.25">
      <c r="A4469">
        <v>1813</v>
      </c>
      <c r="B4469">
        <f>A4469+1</f>
        <v>1814</v>
      </c>
      <c r="C4469" t="s">
        <v>519</v>
      </c>
      <c r="D4469" t="s">
        <v>26</v>
      </c>
      <c r="E4469" s="208" t="s">
        <v>35</v>
      </c>
      <c r="F4469" t="s">
        <v>164</v>
      </c>
      <c r="G4469" s="18">
        <v>42</v>
      </c>
      <c r="H4469" t="s">
        <v>160</v>
      </c>
      <c r="I4469" t="s">
        <v>17</v>
      </c>
    </row>
    <row r="4470" spans="1:9" x14ac:dyDescent="0.25">
      <c r="A4470">
        <v>1813</v>
      </c>
      <c r="B4470">
        <f>A4470+1</f>
        <v>1814</v>
      </c>
      <c r="C4470" t="s">
        <v>519</v>
      </c>
      <c r="D4470" t="s">
        <v>26</v>
      </c>
      <c r="E4470" s="208" t="s">
        <v>36</v>
      </c>
      <c r="F4470" t="s">
        <v>164</v>
      </c>
      <c r="G4470" s="18">
        <v>0</v>
      </c>
      <c r="H4470" t="s">
        <v>160</v>
      </c>
      <c r="I4470" t="s">
        <v>17</v>
      </c>
    </row>
    <row r="4471" spans="1:9" x14ac:dyDescent="0.25">
      <c r="A4471">
        <v>1813</v>
      </c>
      <c r="B4471">
        <f>A4471+1</f>
        <v>1814</v>
      </c>
      <c r="C4471" t="s">
        <v>519</v>
      </c>
      <c r="D4471" t="s">
        <v>26</v>
      </c>
      <c r="E4471" s="208" t="s">
        <v>99</v>
      </c>
      <c r="F4471" t="s">
        <v>164</v>
      </c>
      <c r="G4471" s="18">
        <v>0</v>
      </c>
      <c r="H4471" t="s">
        <v>160</v>
      </c>
      <c r="I4471" t="s">
        <v>17</v>
      </c>
    </row>
    <row r="4472" spans="1:9" x14ac:dyDescent="0.25">
      <c r="A4472">
        <v>1813</v>
      </c>
      <c r="B4472">
        <f>A4472+1</f>
        <v>1814</v>
      </c>
      <c r="C4472" t="s">
        <v>519</v>
      </c>
      <c r="D4472" t="s">
        <v>26</v>
      </c>
      <c r="E4472" s="208" t="s">
        <v>95</v>
      </c>
      <c r="F4472" t="s">
        <v>164</v>
      </c>
      <c r="G4472" s="18">
        <v>0</v>
      </c>
      <c r="H4472" t="s">
        <v>160</v>
      </c>
      <c r="I4472" t="s">
        <v>17</v>
      </c>
    </row>
    <row r="4473" spans="1:9" x14ac:dyDescent="0.25">
      <c r="A4473">
        <v>1813</v>
      </c>
      <c r="B4473">
        <f>A4473+1</f>
        <v>1814</v>
      </c>
      <c r="C4473" t="s">
        <v>519</v>
      </c>
      <c r="D4473" t="s">
        <v>26</v>
      </c>
      <c r="E4473" s="208" t="s">
        <v>94</v>
      </c>
      <c r="F4473" t="s">
        <v>164</v>
      </c>
      <c r="G4473" s="18">
        <v>0</v>
      </c>
      <c r="H4473" t="s">
        <v>160</v>
      </c>
      <c r="I4473" t="s">
        <v>17</v>
      </c>
    </row>
    <row r="4474" spans="1:9" x14ac:dyDescent="0.25">
      <c r="A4474">
        <v>1813</v>
      </c>
      <c r="B4474">
        <f>A4474+1</f>
        <v>1814</v>
      </c>
      <c r="C4474" t="s">
        <v>519</v>
      </c>
      <c r="D4474" t="s">
        <v>26</v>
      </c>
      <c r="E4474" s="208" t="s">
        <v>387</v>
      </c>
      <c r="F4474" t="s">
        <v>164</v>
      </c>
      <c r="G4474" s="18">
        <v>0</v>
      </c>
      <c r="H4474" t="s">
        <v>160</v>
      </c>
      <c r="I4474" t="s">
        <v>17</v>
      </c>
    </row>
    <row r="4475" spans="1:9" x14ac:dyDescent="0.25">
      <c r="A4475">
        <v>1813</v>
      </c>
      <c r="B4475">
        <f>A4475+1</f>
        <v>1814</v>
      </c>
      <c r="C4475" t="s">
        <v>519</v>
      </c>
      <c r="D4475" t="s">
        <v>26</v>
      </c>
      <c r="E4475" s="208" t="s">
        <v>388</v>
      </c>
      <c r="F4475" t="s">
        <v>164</v>
      </c>
      <c r="G4475" s="18">
        <v>0</v>
      </c>
      <c r="H4475" t="s">
        <v>160</v>
      </c>
      <c r="I4475" t="s">
        <v>17</v>
      </c>
    </row>
    <row r="4476" spans="1:9" x14ac:dyDescent="0.25">
      <c r="A4476">
        <v>1813</v>
      </c>
      <c r="B4476">
        <f>A4476+1</f>
        <v>1814</v>
      </c>
      <c r="C4476" t="s">
        <v>519</v>
      </c>
      <c r="D4476" t="s">
        <v>26</v>
      </c>
      <c r="E4476" s="208" t="s">
        <v>383</v>
      </c>
      <c r="F4476" t="s">
        <v>164</v>
      </c>
      <c r="G4476" s="18">
        <v>0</v>
      </c>
      <c r="H4476" t="s">
        <v>160</v>
      </c>
      <c r="I4476" t="s">
        <v>17</v>
      </c>
    </row>
    <row r="4477" spans="1:9" x14ac:dyDescent="0.25">
      <c r="A4477">
        <v>1813</v>
      </c>
      <c r="B4477">
        <f>A4477+1</f>
        <v>1814</v>
      </c>
      <c r="C4477" t="s">
        <v>519</v>
      </c>
      <c r="D4477" t="s">
        <v>26</v>
      </c>
      <c r="E4477" s="208" t="s">
        <v>384</v>
      </c>
      <c r="F4477" t="s">
        <v>164</v>
      </c>
      <c r="G4477" s="18">
        <v>0</v>
      </c>
      <c r="H4477" t="s">
        <v>160</v>
      </c>
      <c r="I4477" t="s">
        <v>17</v>
      </c>
    </row>
    <row r="4478" spans="1:9" x14ac:dyDescent="0.25">
      <c r="A4478">
        <v>1813</v>
      </c>
      <c r="B4478">
        <f>A4478+1</f>
        <v>1814</v>
      </c>
      <c r="C4478" t="s">
        <v>519</v>
      </c>
      <c r="D4478" t="s">
        <v>26</v>
      </c>
      <c r="E4478" s="208" t="s">
        <v>65</v>
      </c>
      <c r="F4478" t="s">
        <v>164</v>
      </c>
      <c r="G4478" s="18">
        <v>25117</v>
      </c>
      <c r="H4478" t="s">
        <v>160</v>
      </c>
      <c r="I4478" t="s">
        <v>17</v>
      </c>
    </row>
    <row r="4479" spans="1:9" x14ac:dyDescent="0.25">
      <c r="A4479">
        <v>1813</v>
      </c>
      <c r="B4479">
        <f>A4479+1</f>
        <v>1814</v>
      </c>
      <c r="C4479" t="s">
        <v>519</v>
      </c>
      <c r="D4479" t="s">
        <v>26</v>
      </c>
      <c r="E4479" s="208" t="s">
        <v>88</v>
      </c>
      <c r="F4479" t="s">
        <v>164</v>
      </c>
      <c r="G4479" s="18">
        <v>3554</v>
      </c>
      <c r="H4479" t="s">
        <v>160</v>
      </c>
      <c r="I4479" t="s">
        <v>17</v>
      </c>
    </row>
    <row r="4480" spans="1:9" x14ac:dyDescent="0.25">
      <c r="A4480">
        <v>1813</v>
      </c>
      <c r="B4480">
        <f>A4480+1</f>
        <v>1814</v>
      </c>
      <c r="C4480" t="s">
        <v>519</v>
      </c>
      <c r="D4480" t="s">
        <v>26</v>
      </c>
      <c r="E4480" s="208" t="s">
        <v>107</v>
      </c>
      <c r="F4480" t="s">
        <v>164</v>
      </c>
      <c r="G4480" s="18">
        <v>0</v>
      </c>
      <c r="H4480" t="s">
        <v>160</v>
      </c>
      <c r="I4480" t="s">
        <v>17</v>
      </c>
    </row>
    <row r="4481" spans="1:9" x14ac:dyDescent="0.25">
      <c r="A4481">
        <v>1813</v>
      </c>
      <c r="B4481">
        <f>A4481+1</f>
        <v>1814</v>
      </c>
      <c r="C4481" t="s">
        <v>519</v>
      </c>
      <c r="D4481" t="s">
        <v>26</v>
      </c>
      <c r="E4481" s="208" t="s">
        <v>101</v>
      </c>
      <c r="F4481" t="s">
        <v>164</v>
      </c>
      <c r="G4481" s="18">
        <v>0</v>
      </c>
      <c r="H4481" t="s">
        <v>160</v>
      </c>
      <c r="I4481" t="s">
        <v>17</v>
      </c>
    </row>
    <row r="4482" spans="1:9" x14ac:dyDescent="0.25">
      <c r="A4482">
        <v>1813</v>
      </c>
      <c r="B4482">
        <f>A4482+1</f>
        <v>1814</v>
      </c>
      <c r="C4482" t="s">
        <v>519</v>
      </c>
      <c r="D4482" t="s">
        <v>26</v>
      </c>
      <c r="E4482" s="208" t="s">
        <v>75</v>
      </c>
      <c r="F4482" t="s">
        <v>164</v>
      </c>
      <c r="G4482" s="18">
        <v>0</v>
      </c>
      <c r="H4482" t="s">
        <v>160</v>
      </c>
      <c r="I4482" t="s">
        <v>17</v>
      </c>
    </row>
    <row r="4483" spans="1:9" x14ac:dyDescent="0.25">
      <c r="A4483">
        <v>1813</v>
      </c>
      <c r="B4483">
        <f>A4483+1</f>
        <v>1814</v>
      </c>
      <c r="C4483" t="s">
        <v>519</v>
      </c>
      <c r="D4483" t="s">
        <v>26</v>
      </c>
      <c r="E4483" s="208" t="s">
        <v>330</v>
      </c>
      <c r="F4483" t="s">
        <v>164</v>
      </c>
      <c r="G4483" s="18">
        <v>0</v>
      </c>
      <c r="H4483" t="s">
        <v>160</v>
      </c>
      <c r="I4483" t="s">
        <v>17</v>
      </c>
    </row>
    <row r="4484" spans="1:9" x14ac:dyDescent="0.25">
      <c r="A4484">
        <v>1813</v>
      </c>
      <c r="B4484">
        <f>A4484+1</f>
        <v>1814</v>
      </c>
      <c r="C4484" t="s">
        <v>519</v>
      </c>
      <c r="D4484" t="s">
        <v>26</v>
      </c>
      <c r="E4484" s="208" t="s">
        <v>331</v>
      </c>
      <c r="F4484" t="s">
        <v>164</v>
      </c>
      <c r="G4484" s="18">
        <v>0</v>
      </c>
      <c r="H4484" t="s">
        <v>160</v>
      </c>
      <c r="I4484" t="s">
        <v>17</v>
      </c>
    </row>
    <row r="4485" spans="1:9" x14ac:dyDescent="0.25">
      <c r="A4485">
        <v>1813</v>
      </c>
      <c r="B4485">
        <f>A4485+1</f>
        <v>1814</v>
      </c>
      <c r="C4485" t="s">
        <v>519</v>
      </c>
      <c r="D4485" t="s">
        <v>26</v>
      </c>
      <c r="E4485" s="208" t="s">
        <v>332</v>
      </c>
      <c r="F4485" t="s">
        <v>164</v>
      </c>
      <c r="G4485" s="18">
        <v>0</v>
      </c>
      <c r="H4485" t="s">
        <v>160</v>
      </c>
      <c r="I4485" t="s">
        <v>17</v>
      </c>
    </row>
    <row r="4486" spans="1:9" x14ac:dyDescent="0.25">
      <c r="A4486">
        <v>1813</v>
      </c>
      <c r="B4486">
        <f>A4486+1</f>
        <v>1814</v>
      </c>
      <c r="C4486" t="s">
        <v>519</v>
      </c>
      <c r="D4486" t="s">
        <v>26</v>
      </c>
      <c r="E4486" s="208" t="s">
        <v>333</v>
      </c>
      <c r="F4486" t="s">
        <v>164</v>
      </c>
      <c r="G4486" s="18">
        <v>0</v>
      </c>
      <c r="H4486" t="s">
        <v>160</v>
      </c>
      <c r="I4486" t="s">
        <v>17</v>
      </c>
    </row>
    <row r="4487" spans="1:9" x14ac:dyDescent="0.25">
      <c r="A4487">
        <v>1813</v>
      </c>
      <c r="B4487">
        <f>A4487+1</f>
        <v>1814</v>
      </c>
      <c r="C4487" t="s">
        <v>519</v>
      </c>
      <c r="D4487" t="s">
        <v>27</v>
      </c>
      <c r="E4487" s="208" t="s">
        <v>155</v>
      </c>
      <c r="F4487" t="s">
        <v>13</v>
      </c>
      <c r="G4487" s="18">
        <v>0</v>
      </c>
      <c r="H4487" t="s">
        <v>17</v>
      </c>
      <c r="I4487" t="s">
        <v>25</v>
      </c>
    </row>
    <row r="4488" spans="1:9" x14ac:dyDescent="0.25">
      <c r="A4488">
        <v>1813</v>
      </c>
      <c r="B4488">
        <f>A4488+1</f>
        <v>1814</v>
      </c>
      <c r="C4488" t="s">
        <v>519</v>
      </c>
      <c r="D4488" t="s">
        <v>27</v>
      </c>
      <c r="E4488" s="208" t="s">
        <v>156</v>
      </c>
      <c r="F4488" t="s">
        <v>13</v>
      </c>
      <c r="G4488" s="18">
        <v>0</v>
      </c>
      <c r="H4488" t="s">
        <v>17</v>
      </c>
      <c r="I4488" t="s">
        <v>25</v>
      </c>
    </row>
    <row r="4489" spans="1:9" x14ac:dyDescent="0.25">
      <c r="A4489">
        <v>1813</v>
      </c>
      <c r="B4489">
        <f>A4489+1</f>
        <v>1814</v>
      </c>
      <c r="C4489" t="s">
        <v>519</v>
      </c>
      <c r="D4489" t="s">
        <v>27</v>
      </c>
      <c r="E4489" s="208" t="s">
        <v>154</v>
      </c>
      <c r="F4489" t="s">
        <v>13</v>
      </c>
      <c r="G4489" s="18">
        <v>0</v>
      </c>
      <c r="H4489" t="s">
        <v>17</v>
      </c>
      <c r="I4489" t="s">
        <v>25</v>
      </c>
    </row>
    <row r="4490" spans="1:9" x14ac:dyDescent="0.25">
      <c r="A4490">
        <v>1813</v>
      </c>
      <c r="B4490">
        <f>A4490+1</f>
        <v>1814</v>
      </c>
      <c r="C4490" t="s">
        <v>519</v>
      </c>
      <c r="D4490" t="s">
        <v>27</v>
      </c>
      <c r="E4490" s="208" t="s">
        <v>150</v>
      </c>
      <c r="F4490" t="s">
        <v>13</v>
      </c>
      <c r="G4490" s="18">
        <v>35</v>
      </c>
      <c r="H4490" t="s">
        <v>17</v>
      </c>
      <c r="I4490" t="s">
        <v>25</v>
      </c>
    </row>
    <row r="4491" spans="1:9" x14ac:dyDescent="0.25">
      <c r="A4491">
        <v>1813</v>
      </c>
      <c r="B4491">
        <f>A4491+1</f>
        <v>1814</v>
      </c>
      <c r="C4491" t="s">
        <v>519</v>
      </c>
      <c r="D4491" t="s">
        <v>27</v>
      </c>
      <c r="E4491" s="208" t="s">
        <v>148</v>
      </c>
      <c r="F4491" t="s">
        <v>13</v>
      </c>
      <c r="G4491" s="18">
        <v>3</v>
      </c>
      <c r="H4491" t="s">
        <v>17</v>
      </c>
      <c r="I4491" t="s">
        <v>25</v>
      </c>
    </row>
    <row r="4492" spans="1:9" x14ac:dyDescent="0.25">
      <c r="A4492">
        <v>1813</v>
      </c>
      <c r="B4492">
        <f>A4492+1</f>
        <v>1814</v>
      </c>
      <c r="C4492" t="s">
        <v>519</v>
      </c>
      <c r="D4492" t="s">
        <v>27</v>
      </c>
      <c r="E4492" s="208" t="s">
        <v>147</v>
      </c>
      <c r="F4492" t="s">
        <v>13</v>
      </c>
      <c r="G4492" s="18">
        <v>1</v>
      </c>
      <c r="H4492" t="s">
        <v>17</v>
      </c>
      <c r="I4492" t="s">
        <v>25</v>
      </c>
    </row>
    <row r="4493" spans="1:9" x14ac:dyDescent="0.25">
      <c r="A4493">
        <v>1813</v>
      </c>
      <c r="B4493">
        <f>A4493+1</f>
        <v>1814</v>
      </c>
      <c r="C4493" t="s">
        <v>519</v>
      </c>
      <c r="D4493" t="s">
        <v>27</v>
      </c>
      <c r="E4493" s="208" t="s">
        <v>314</v>
      </c>
      <c r="F4493" t="s">
        <v>13</v>
      </c>
      <c r="G4493" s="18">
        <v>2</v>
      </c>
      <c r="H4493" t="s">
        <v>17</v>
      </c>
      <c r="I4493" t="s">
        <v>25</v>
      </c>
    </row>
    <row r="4494" spans="1:9" x14ac:dyDescent="0.25">
      <c r="A4494">
        <v>1813</v>
      </c>
      <c r="B4494">
        <f>A4494+1</f>
        <v>1814</v>
      </c>
      <c r="C4494" t="s">
        <v>519</v>
      </c>
      <c r="D4494" t="s">
        <v>27</v>
      </c>
      <c r="E4494" s="208" t="s">
        <v>139</v>
      </c>
      <c r="F4494" t="s">
        <v>13</v>
      </c>
      <c r="G4494" s="18">
        <v>0</v>
      </c>
      <c r="H4494" t="s">
        <v>17</v>
      </c>
      <c r="I4494" t="s">
        <v>25</v>
      </c>
    </row>
    <row r="4495" spans="1:9" x14ac:dyDescent="0.25">
      <c r="A4495">
        <v>1813</v>
      </c>
      <c r="B4495">
        <f>A4495+1</f>
        <v>1814</v>
      </c>
      <c r="C4495" t="s">
        <v>519</v>
      </c>
      <c r="D4495" t="s">
        <v>27</v>
      </c>
      <c r="E4495" s="208" t="s">
        <v>130</v>
      </c>
      <c r="F4495" t="s">
        <v>13</v>
      </c>
      <c r="G4495" s="18">
        <v>0</v>
      </c>
      <c r="H4495" t="s">
        <v>17</v>
      </c>
      <c r="I4495" t="s">
        <v>25</v>
      </c>
    </row>
    <row r="4496" spans="1:9" x14ac:dyDescent="0.25">
      <c r="A4496">
        <v>1813</v>
      </c>
      <c r="B4496">
        <f>A4496+1</f>
        <v>1814</v>
      </c>
      <c r="C4496" t="s">
        <v>519</v>
      </c>
      <c r="D4496" t="s">
        <v>27</v>
      </c>
      <c r="E4496" s="208" t="s">
        <v>132</v>
      </c>
      <c r="F4496" t="s">
        <v>13</v>
      </c>
      <c r="G4496" s="18">
        <v>0</v>
      </c>
      <c r="H4496" t="s">
        <v>17</v>
      </c>
      <c r="I4496" t="s">
        <v>25</v>
      </c>
    </row>
    <row r="4497" spans="1:9" x14ac:dyDescent="0.25">
      <c r="A4497">
        <v>1813</v>
      </c>
      <c r="B4497">
        <f>A4497+1</f>
        <v>1814</v>
      </c>
      <c r="C4497" t="s">
        <v>519</v>
      </c>
      <c r="D4497" t="s">
        <v>27</v>
      </c>
      <c r="E4497" s="208" t="s">
        <v>142</v>
      </c>
      <c r="F4497" t="s">
        <v>13</v>
      </c>
      <c r="G4497" s="18">
        <v>0</v>
      </c>
      <c r="H4497" t="s">
        <v>17</v>
      </c>
      <c r="I4497" t="s">
        <v>25</v>
      </c>
    </row>
    <row r="4498" spans="1:9" x14ac:dyDescent="0.25">
      <c r="A4498">
        <v>1813</v>
      </c>
      <c r="B4498">
        <f>A4498+1</f>
        <v>1814</v>
      </c>
      <c r="C4498" t="s">
        <v>519</v>
      </c>
      <c r="D4498" t="s">
        <v>27</v>
      </c>
      <c r="E4498" s="208" t="s">
        <v>144</v>
      </c>
      <c r="F4498" t="s">
        <v>13</v>
      </c>
      <c r="G4498" s="18">
        <v>0</v>
      </c>
      <c r="H4498" t="s">
        <v>17</v>
      </c>
      <c r="I4498" t="s">
        <v>25</v>
      </c>
    </row>
    <row r="4499" spans="1:9" x14ac:dyDescent="0.25">
      <c r="A4499">
        <v>1813</v>
      </c>
      <c r="B4499">
        <f>A4499+1</f>
        <v>1814</v>
      </c>
      <c r="C4499" t="s">
        <v>519</v>
      </c>
      <c r="D4499" t="s">
        <v>27</v>
      </c>
      <c r="E4499" s="208" t="s">
        <v>124</v>
      </c>
      <c r="F4499" t="s">
        <v>13</v>
      </c>
      <c r="G4499" s="18">
        <v>0</v>
      </c>
      <c r="H4499" t="s">
        <v>17</v>
      </c>
      <c r="I4499" t="s">
        <v>25</v>
      </c>
    </row>
    <row r="4500" spans="1:9" x14ac:dyDescent="0.25">
      <c r="A4500">
        <v>1813</v>
      </c>
      <c r="B4500">
        <f>A4500+1</f>
        <v>1814</v>
      </c>
      <c r="C4500" t="s">
        <v>519</v>
      </c>
      <c r="D4500" t="s">
        <v>26</v>
      </c>
      <c r="E4500" s="208" t="s">
        <v>62</v>
      </c>
      <c r="F4500" t="s">
        <v>13</v>
      </c>
      <c r="G4500" s="18">
        <v>25</v>
      </c>
      <c r="H4500" t="s">
        <v>25</v>
      </c>
      <c r="I4500" t="s">
        <v>17</v>
      </c>
    </row>
    <row r="4501" spans="1:9" x14ac:dyDescent="0.25">
      <c r="A4501">
        <v>1813</v>
      </c>
      <c r="B4501">
        <f>A4501+1</f>
        <v>1814</v>
      </c>
      <c r="C4501" t="s">
        <v>519</v>
      </c>
      <c r="D4501" t="s">
        <v>26</v>
      </c>
      <c r="E4501" s="208" t="s">
        <v>35</v>
      </c>
      <c r="F4501" t="s">
        <v>13</v>
      </c>
      <c r="G4501" s="18">
        <v>0</v>
      </c>
      <c r="H4501" t="s">
        <v>25</v>
      </c>
      <c r="I4501" t="s">
        <v>17</v>
      </c>
    </row>
    <row r="4502" spans="1:9" x14ac:dyDescent="0.25">
      <c r="A4502">
        <v>1813</v>
      </c>
      <c r="B4502">
        <f>A4502+1</f>
        <v>1814</v>
      </c>
      <c r="C4502" t="s">
        <v>519</v>
      </c>
      <c r="D4502" t="s">
        <v>26</v>
      </c>
      <c r="E4502" s="208" t="s">
        <v>36</v>
      </c>
      <c r="F4502" t="s">
        <v>13</v>
      </c>
      <c r="G4502" s="18">
        <v>0</v>
      </c>
      <c r="H4502" t="s">
        <v>25</v>
      </c>
      <c r="I4502" t="s">
        <v>17</v>
      </c>
    </row>
    <row r="4503" spans="1:9" x14ac:dyDescent="0.25">
      <c r="A4503">
        <v>1813</v>
      </c>
      <c r="B4503">
        <f>A4503+1</f>
        <v>1814</v>
      </c>
      <c r="C4503" t="s">
        <v>519</v>
      </c>
      <c r="D4503" t="s">
        <v>26</v>
      </c>
      <c r="E4503" s="208" t="s">
        <v>99</v>
      </c>
      <c r="F4503" t="s">
        <v>13</v>
      </c>
      <c r="G4503" s="18">
        <v>0</v>
      </c>
      <c r="H4503" t="s">
        <v>25</v>
      </c>
      <c r="I4503" t="s">
        <v>17</v>
      </c>
    </row>
    <row r="4504" spans="1:9" x14ac:dyDescent="0.25">
      <c r="A4504">
        <v>1813</v>
      </c>
      <c r="B4504">
        <f>A4504+1</f>
        <v>1814</v>
      </c>
      <c r="C4504" t="s">
        <v>519</v>
      </c>
      <c r="D4504" t="s">
        <v>26</v>
      </c>
      <c r="E4504" s="208" t="s">
        <v>95</v>
      </c>
      <c r="F4504" t="s">
        <v>13</v>
      </c>
      <c r="G4504" s="18">
        <v>142</v>
      </c>
      <c r="H4504" t="s">
        <v>25</v>
      </c>
      <c r="I4504" t="s">
        <v>17</v>
      </c>
    </row>
    <row r="4505" spans="1:9" x14ac:dyDescent="0.25">
      <c r="A4505">
        <v>1813</v>
      </c>
      <c r="B4505">
        <f>A4505+1</f>
        <v>1814</v>
      </c>
      <c r="C4505" t="s">
        <v>519</v>
      </c>
      <c r="D4505" t="s">
        <v>26</v>
      </c>
      <c r="E4505" s="208" t="s">
        <v>94</v>
      </c>
      <c r="F4505" t="s">
        <v>13</v>
      </c>
      <c r="G4505" s="18">
        <v>106</v>
      </c>
      <c r="H4505" t="s">
        <v>25</v>
      </c>
      <c r="I4505" t="s">
        <v>17</v>
      </c>
    </row>
    <row r="4506" spans="1:9" x14ac:dyDescent="0.25">
      <c r="A4506">
        <v>1813</v>
      </c>
      <c r="B4506">
        <f>A4506+1</f>
        <v>1814</v>
      </c>
      <c r="C4506" t="s">
        <v>519</v>
      </c>
      <c r="D4506" t="s">
        <v>26</v>
      </c>
      <c r="E4506" s="208" t="s">
        <v>386</v>
      </c>
      <c r="F4506" t="s">
        <v>13</v>
      </c>
      <c r="G4506" s="18">
        <v>4949</v>
      </c>
      <c r="H4506" t="s">
        <v>25</v>
      </c>
      <c r="I4506" t="s">
        <v>17</v>
      </c>
    </row>
    <row r="4507" spans="1:9" x14ac:dyDescent="0.25">
      <c r="A4507">
        <v>1813</v>
      </c>
      <c r="B4507">
        <f>A4507+1</f>
        <v>1814</v>
      </c>
      <c r="C4507" t="s">
        <v>519</v>
      </c>
      <c r="D4507" t="s">
        <v>26</v>
      </c>
      <c r="E4507" s="208" t="s">
        <v>387</v>
      </c>
      <c r="F4507" t="s">
        <v>13</v>
      </c>
      <c r="G4507" s="18">
        <v>10</v>
      </c>
      <c r="H4507" t="s">
        <v>25</v>
      </c>
      <c r="I4507" t="s">
        <v>17</v>
      </c>
    </row>
    <row r="4508" spans="1:9" x14ac:dyDescent="0.25">
      <c r="A4508">
        <v>1813</v>
      </c>
      <c r="B4508">
        <f>A4508+1</f>
        <v>1814</v>
      </c>
      <c r="C4508" t="s">
        <v>519</v>
      </c>
      <c r="D4508" t="s">
        <v>26</v>
      </c>
      <c r="E4508" s="208" t="s">
        <v>388</v>
      </c>
      <c r="F4508" t="s">
        <v>13</v>
      </c>
      <c r="G4508" s="18">
        <v>0</v>
      </c>
      <c r="H4508" t="s">
        <v>25</v>
      </c>
      <c r="I4508" t="s">
        <v>17</v>
      </c>
    </row>
    <row r="4509" spans="1:9" x14ac:dyDescent="0.25">
      <c r="A4509">
        <v>1813</v>
      </c>
      <c r="B4509">
        <f>A4509+1</f>
        <v>1814</v>
      </c>
      <c r="C4509" t="s">
        <v>519</v>
      </c>
      <c r="D4509" t="s">
        <v>26</v>
      </c>
      <c r="E4509" s="208" t="s">
        <v>383</v>
      </c>
      <c r="F4509" t="s">
        <v>13</v>
      </c>
      <c r="G4509" s="18">
        <v>33</v>
      </c>
      <c r="H4509" t="s">
        <v>25</v>
      </c>
      <c r="I4509" t="s">
        <v>17</v>
      </c>
    </row>
    <row r="4510" spans="1:9" x14ac:dyDescent="0.25">
      <c r="A4510">
        <v>1813</v>
      </c>
      <c r="B4510">
        <f>A4510+1</f>
        <v>1814</v>
      </c>
      <c r="C4510" t="s">
        <v>519</v>
      </c>
      <c r="D4510" t="s">
        <v>26</v>
      </c>
      <c r="E4510" s="208" t="s">
        <v>384</v>
      </c>
      <c r="F4510" t="s">
        <v>13</v>
      </c>
      <c r="G4510" s="18">
        <v>6</v>
      </c>
      <c r="H4510" t="s">
        <v>25</v>
      </c>
      <c r="I4510" t="s">
        <v>17</v>
      </c>
    </row>
    <row r="4511" spans="1:9" x14ac:dyDescent="0.25">
      <c r="A4511">
        <v>1813</v>
      </c>
      <c r="B4511">
        <f>A4511+1</f>
        <v>1814</v>
      </c>
      <c r="C4511" t="s">
        <v>519</v>
      </c>
      <c r="D4511" t="s">
        <v>26</v>
      </c>
      <c r="E4511" s="208" t="s">
        <v>65</v>
      </c>
      <c r="F4511" t="s">
        <v>13</v>
      </c>
      <c r="G4511" s="18">
        <v>0</v>
      </c>
      <c r="H4511" t="s">
        <v>25</v>
      </c>
      <c r="I4511" t="s">
        <v>17</v>
      </c>
    </row>
    <row r="4512" spans="1:9" x14ac:dyDescent="0.25">
      <c r="A4512">
        <v>1813</v>
      </c>
      <c r="B4512">
        <f>A4512+1</f>
        <v>1814</v>
      </c>
      <c r="C4512" t="s">
        <v>519</v>
      </c>
      <c r="D4512" t="s">
        <v>26</v>
      </c>
      <c r="E4512" s="208" t="s">
        <v>88</v>
      </c>
      <c r="F4512" t="s">
        <v>13</v>
      </c>
      <c r="G4512" s="18">
        <v>0</v>
      </c>
      <c r="H4512" t="s">
        <v>25</v>
      </c>
      <c r="I4512" t="s">
        <v>17</v>
      </c>
    </row>
    <row r="4513" spans="1:9" x14ac:dyDescent="0.25">
      <c r="A4513">
        <v>1813</v>
      </c>
      <c r="B4513">
        <f>A4513+1</f>
        <v>1814</v>
      </c>
      <c r="C4513" t="s">
        <v>519</v>
      </c>
      <c r="D4513" t="s">
        <v>26</v>
      </c>
      <c r="E4513" s="208" t="s">
        <v>107</v>
      </c>
      <c r="F4513" t="s">
        <v>13</v>
      </c>
      <c r="G4513" s="18">
        <v>43684</v>
      </c>
      <c r="H4513" t="s">
        <v>25</v>
      </c>
      <c r="I4513" t="s">
        <v>17</v>
      </c>
    </row>
    <row r="4514" spans="1:9" x14ac:dyDescent="0.25">
      <c r="A4514">
        <v>1813</v>
      </c>
      <c r="B4514">
        <f>A4514+1</f>
        <v>1814</v>
      </c>
      <c r="C4514" t="s">
        <v>519</v>
      </c>
      <c r="D4514" t="s">
        <v>26</v>
      </c>
      <c r="E4514" s="208" t="s">
        <v>101</v>
      </c>
      <c r="F4514" t="s">
        <v>13</v>
      </c>
      <c r="G4514" s="18">
        <v>300000</v>
      </c>
      <c r="H4514" t="s">
        <v>25</v>
      </c>
      <c r="I4514" t="s">
        <v>17</v>
      </c>
    </row>
    <row r="4515" spans="1:9" x14ac:dyDescent="0.25">
      <c r="A4515">
        <v>1813</v>
      </c>
      <c r="B4515">
        <f>A4515+1</f>
        <v>1814</v>
      </c>
      <c r="C4515" t="s">
        <v>519</v>
      </c>
      <c r="D4515" t="s">
        <v>26</v>
      </c>
      <c r="E4515" s="208" t="s">
        <v>75</v>
      </c>
      <c r="F4515" t="s">
        <v>13</v>
      </c>
      <c r="G4515" s="18">
        <v>7821</v>
      </c>
      <c r="H4515" t="s">
        <v>25</v>
      </c>
      <c r="I4515" t="s">
        <v>17</v>
      </c>
    </row>
    <row r="4516" spans="1:9" x14ac:dyDescent="0.25">
      <c r="A4516">
        <v>1813</v>
      </c>
      <c r="B4516">
        <f>A4516+1</f>
        <v>1814</v>
      </c>
      <c r="C4516" t="s">
        <v>519</v>
      </c>
      <c r="D4516" t="s">
        <v>26</v>
      </c>
      <c r="E4516" s="208" t="s">
        <v>330</v>
      </c>
      <c r="F4516" t="s">
        <v>13</v>
      </c>
      <c r="G4516" s="18">
        <v>348</v>
      </c>
      <c r="H4516" t="s">
        <v>25</v>
      </c>
      <c r="I4516" t="s">
        <v>17</v>
      </c>
    </row>
    <row r="4517" spans="1:9" x14ac:dyDescent="0.25">
      <c r="A4517">
        <v>1813</v>
      </c>
      <c r="B4517">
        <f>A4517+1</f>
        <v>1814</v>
      </c>
      <c r="C4517" t="s">
        <v>519</v>
      </c>
      <c r="D4517" t="s">
        <v>26</v>
      </c>
      <c r="E4517" s="208" t="s">
        <v>331</v>
      </c>
      <c r="F4517" t="s">
        <v>13</v>
      </c>
      <c r="G4517" s="18">
        <v>146</v>
      </c>
      <c r="H4517" t="s">
        <v>25</v>
      </c>
      <c r="I4517" t="s">
        <v>17</v>
      </c>
    </row>
    <row r="4518" spans="1:9" x14ac:dyDescent="0.25">
      <c r="A4518">
        <v>1813</v>
      </c>
      <c r="B4518">
        <f>A4518+1</f>
        <v>1814</v>
      </c>
      <c r="C4518" t="s">
        <v>519</v>
      </c>
      <c r="D4518" t="s">
        <v>26</v>
      </c>
      <c r="E4518" s="208" t="s">
        <v>332</v>
      </c>
      <c r="F4518" t="s">
        <v>13</v>
      </c>
      <c r="G4518" s="18">
        <v>21</v>
      </c>
      <c r="H4518" t="s">
        <v>25</v>
      </c>
      <c r="I4518" t="s">
        <v>17</v>
      </c>
    </row>
    <row r="4519" spans="1:9" x14ac:dyDescent="0.25">
      <c r="A4519">
        <v>1813</v>
      </c>
      <c r="B4519">
        <f>A4519+1</f>
        <v>1814</v>
      </c>
      <c r="C4519" t="s">
        <v>519</v>
      </c>
      <c r="D4519" t="s">
        <v>26</v>
      </c>
      <c r="E4519" s="208" t="s">
        <v>333</v>
      </c>
      <c r="F4519" t="s">
        <v>13</v>
      </c>
      <c r="G4519" s="18">
        <v>729</v>
      </c>
      <c r="H4519" t="s">
        <v>25</v>
      </c>
      <c r="I4519" t="s">
        <v>17</v>
      </c>
    </row>
    <row r="4520" spans="1:9" x14ac:dyDescent="0.25">
      <c r="A4520">
        <v>1813</v>
      </c>
      <c r="B4520">
        <f>A4520+1</f>
        <v>1814</v>
      </c>
      <c r="C4520" t="s">
        <v>519</v>
      </c>
      <c r="D4520" t="s">
        <v>27</v>
      </c>
      <c r="E4520" s="208" t="s">
        <v>155</v>
      </c>
      <c r="F4520" t="s">
        <v>14</v>
      </c>
      <c r="G4520" s="18">
        <v>76192</v>
      </c>
      <c r="H4520" t="s">
        <v>17</v>
      </c>
      <c r="I4520" s="151" t="s">
        <v>562</v>
      </c>
    </row>
    <row r="4521" spans="1:9" x14ac:dyDescent="0.25">
      <c r="A4521">
        <v>1813</v>
      </c>
      <c r="B4521">
        <f>A4521+1</f>
        <v>1814</v>
      </c>
      <c r="C4521" t="s">
        <v>519</v>
      </c>
      <c r="D4521" t="s">
        <v>27</v>
      </c>
      <c r="E4521" s="208" t="s">
        <v>156</v>
      </c>
      <c r="F4521" t="s">
        <v>14</v>
      </c>
      <c r="G4521" s="18">
        <v>8342</v>
      </c>
      <c r="H4521" t="s">
        <v>17</v>
      </c>
      <c r="I4521" s="151" t="s">
        <v>562</v>
      </c>
    </row>
    <row r="4522" spans="1:9" x14ac:dyDescent="0.25">
      <c r="A4522">
        <v>1813</v>
      </c>
      <c r="B4522">
        <f>A4522+1</f>
        <v>1814</v>
      </c>
      <c r="C4522" t="s">
        <v>519</v>
      </c>
      <c r="D4522" t="s">
        <v>27</v>
      </c>
      <c r="E4522" s="208" t="s">
        <v>154</v>
      </c>
      <c r="F4522" t="s">
        <v>14</v>
      </c>
      <c r="G4522" s="18">
        <v>862</v>
      </c>
      <c r="H4522" t="s">
        <v>17</v>
      </c>
      <c r="I4522" s="151" t="s">
        <v>562</v>
      </c>
    </row>
    <row r="4523" spans="1:9" x14ac:dyDescent="0.25">
      <c r="A4523">
        <v>1813</v>
      </c>
      <c r="B4523">
        <f>A4523+1</f>
        <v>1814</v>
      </c>
      <c r="C4523" t="s">
        <v>519</v>
      </c>
      <c r="D4523" t="s">
        <v>27</v>
      </c>
      <c r="E4523" s="208" t="s">
        <v>150</v>
      </c>
      <c r="F4523" t="s">
        <v>14</v>
      </c>
      <c r="G4523" s="18">
        <v>31023</v>
      </c>
      <c r="H4523" t="s">
        <v>17</v>
      </c>
      <c r="I4523" s="151" t="s">
        <v>562</v>
      </c>
    </row>
    <row r="4524" spans="1:9" x14ac:dyDescent="0.25">
      <c r="A4524">
        <v>1813</v>
      </c>
      <c r="B4524">
        <f>A4524+1</f>
        <v>1814</v>
      </c>
      <c r="C4524" t="s">
        <v>519</v>
      </c>
      <c r="D4524" t="s">
        <v>27</v>
      </c>
      <c r="E4524" s="208" t="s">
        <v>148</v>
      </c>
      <c r="F4524" t="s">
        <v>14</v>
      </c>
      <c r="G4524" s="18">
        <v>522</v>
      </c>
      <c r="H4524" t="s">
        <v>17</v>
      </c>
      <c r="I4524" s="151" t="s">
        <v>562</v>
      </c>
    </row>
    <row r="4525" spans="1:9" x14ac:dyDescent="0.25">
      <c r="A4525">
        <v>1813</v>
      </c>
      <c r="B4525">
        <f>A4525+1</f>
        <v>1814</v>
      </c>
      <c r="C4525" t="s">
        <v>519</v>
      </c>
      <c r="D4525" t="s">
        <v>27</v>
      </c>
      <c r="E4525" s="208" t="s">
        <v>147</v>
      </c>
      <c r="F4525" t="s">
        <v>14</v>
      </c>
      <c r="G4525" s="18">
        <v>1</v>
      </c>
      <c r="H4525" t="s">
        <v>17</v>
      </c>
      <c r="I4525" s="151" t="s">
        <v>562</v>
      </c>
    </row>
    <row r="4526" spans="1:9" x14ac:dyDescent="0.25">
      <c r="A4526">
        <v>1813</v>
      </c>
      <c r="B4526">
        <f>A4526+1</f>
        <v>1814</v>
      </c>
      <c r="C4526" t="s">
        <v>519</v>
      </c>
      <c r="D4526" t="s">
        <v>27</v>
      </c>
      <c r="E4526" s="208" t="s">
        <v>314</v>
      </c>
      <c r="F4526" t="s">
        <v>14</v>
      </c>
      <c r="G4526" s="18">
        <v>2</v>
      </c>
      <c r="H4526" t="s">
        <v>17</v>
      </c>
      <c r="I4526" s="151" t="s">
        <v>562</v>
      </c>
    </row>
    <row r="4527" spans="1:9" x14ac:dyDescent="0.25">
      <c r="A4527">
        <v>1813</v>
      </c>
      <c r="B4527">
        <f>A4527+1</f>
        <v>1814</v>
      </c>
      <c r="C4527" t="s">
        <v>519</v>
      </c>
      <c r="D4527" t="s">
        <v>27</v>
      </c>
      <c r="E4527" s="208" t="s">
        <v>149</v>
      </c>
      <c r="F4527" t="s">
        <v>14</v>
      </c>
      <c r="G4527" s="18">
        <v>0</v>
      </c>
      <c r="H4527" t="s">
        <v>17</v>
      </c>
      <c r="I4527" s="151" t="s">
        <v>562</v>
      </c>
    </row>
    <row r="4528" spans="1:9" x14ac:dyDescent="0.25">
      <c r="A4528">
        <v>1813</v>
      </c>
      <c r="B4528">
        <f>A4528+1</f>
        <v>1814</v>
      </c>
      <c r="C4528" t="s">
        <v>519</v>
      </c>
      <c r="D4528" t="s">
        <v>27</v>
      </c>
      <c r="E4528" s="208" t="s">
        <v>139</v>
      </c>
      <c r="F4528" t="s">
        <v>14</v>
      </c>
      <c r="G4528" s="18">
        <v>86</v>
      </c>
      <c r="H4528" t="s">
        <v>17</v>
      </c>
      <c r="I4528" s="151" t="s">
        <v>562</v>
      </c>
    </row>
    <row r="4529" spans="1:9" x14ac:dyDescent="0.25">
      <c r="A4529">
        <v>1813</v>
      </c>
      <c r="B4529">
        <f>A4529+1</f>
        <v>1814</v>
      </c>
      <c r="C4529" t="s">
        <v>519</v>
      </c>
      <c r="D4529" t="s">
        <v>27</v>
      </c>
      <c r="E4529" s="208" t="s">
        <v>130</v>
      </c>
      <c r="F4529" t="s">
        <v>14</v>
      </c>
      <c r="G4529" s="18">
        <v>1035</v>
      </c>
      <c r="H4529" t="s">
        <v>17</v>
      </c>
      <c r="I4529" s="151" t="s">
        <v>562</v>
      </c>
    </row>
    <row r="4530" spans="1:9" x14ac:dyDescent="0.25">
      <c r="A4530">
        <v>1813</v>
      </c>
      <c r="B4530">
        <f>A4530+1</f>
        <v>1814</v>
      </c>
      <c r="C4530" t="s">
        <v>519</v>
      </c>
      <c r="D4530" t="s">
        <v>27</v>
      </c>
      <c r="E4530" s="208" t="s">
        <v>132</v>
      </c>
      <c r="F4530" t="s">
        <v>14</v>
      </c>
      <c r="G4530" s="18">
        <v>167</v>
      </c>
      <c r="H4530" t="s">
        <v>17</v>
      </c>
      <c r="I4530" s="151" t="s">
        <v>562</v>
      </c>
    </row>
    <row r="4531" spans="1:9" x14ac:dyDescent="0.25">
      <c r="A4531">
        <v>1813</v>
      </c>
      <c r="B4531">
        <f>A4531+1</f>
        <v>1814</v>
      </c>
      <c r="C4531" t="s">
        <v>519</v>
      </c>
      <c r="D4531" t="s">
        <v>27</v>
      </c>
      <c r="E4531" s="208" t="s">
        <v>142</v>
      </c>
      <c r="F4531" t="s">
        <v>14</v>
      </c>
      <c r="G4531" s="18">
        <v>9078</v>
      </c>
      <c r="H4531" t="s">
        <v>17</v>
      </c>
      <c r="I4531" s="151" t="s">
        <v>562</v>
      </c>
    </row>
    <row r="4532" spans="1:9" x14ac:dyDescent="0.25">
      <c r="A4532">
        <v>1813</v>
      </c>
      <c r="B4532">
        <f>A4532+1</f>
        <v>1814</v>
      </c>
      <c r="C4532" t="s">
        <v>519</v>
      </c>
      <c r="D4532" t="s">
        <v>27</v>
      </c>
      <c r="E4532" s="208" t="s">
        <v>144</v>
      </c>
      <c r="F4532" t="s">
        <v>14</v>
      </c>
      <c r="G4532" s="18">
        <v>264</v>
      </c>
      <c r="H4532" t="s">
        <v>17</v>
      </c>
      <c r="I4532" s="151" t="s">
        <v>562</v>
      </c>
    </row>
    <row r="4533" spans="1:9" x14ac:dyDescent="0.25">
      <c r="A4533">
        <v>1813</v>
      </c>
      <c r="B4533">
        <f>A4533+1</f>
        <v>1814</v>
      </c>
      <c r="C4533" t="s">
        <v>519</v>
      </c>
      <c r="D4533" t="s">
        <v>27</v>
      </c>
      <c r="E4533" s="208" t="s">
        <v>124</v>
      </c>
      <c r="F4533" t="s">
        <v>14</v>
      </c>
      <c r="G4533" s="18">
        <v>13675166</v>
      </c>
      <c r="H4533" t="s">
        <v>17</v>
      </c>
      <c r="I4533" s="151" t="s">
        <v>562</v>
      </c>
    </row>
    <row r="4534" spans="1:9" x14ac:dyDescent="0.25">
      <c r="A4534">
        <v>1813</v>
      </c>
      <c r="B4534">
        <f>A4534+1</f>
        <v>1814</v>
      </c>
      <c r="C4534" t="s">
        <v>519</v>
      </c>
      <c r="D4534" t="s">
        <v>26</v>
      </c>
      <c r="E4534" s="208" t="s">
        <v>62</v>
      </c>
      <c r="F4534" t="s">
        <v>14</v>
      </c>
      <c r="G4534" s="18">
        <v>4828</v>
      </c>
      <c r="H4534" s="151" t="s">
        <v>563</v>
      </c>
      <c r="I4534" t="s">
        <v>17</v>
      </c>
    </row>
    <row r="4535" spans="1:9" x14ac:dyDescent="0.25">
      <c r="A4535">
        <v>1813</v>
      </c>
      <c r="B4535">
        <f>A4535+1</f>
        <v>1814</v>
      </c>
      <c r="C4535" t="s">
        <v>519</v>
      </c>
      <c r="D4535" t="s">
        <v>26</v>
      </c>
      <c r="E4535" s="208" t="s">
        <v>35</v>
      </c>
      <c r="F4535" t="s">
        <v>14</v>
      </c>
      <c r="G4535" s="18">
        <v>292</v>
      </c>
      <c r="H4535" s="151" t="s">
        <v>563</v>
      </c>
      <c r="I4535" t="s">
        <v>17</v>
      </c>
    </row>
    <row r="4536" spans="1:9" x14ac:dyDescent="0.25">
      <c r="A4536">
        <v>1813</v>
      </c>
      <c r="B4536">
        <f>A4536+1</f>
        <v>1814</v>
      </c>
      <c r="C4536" t="s">
        <v>519</v>
      </c>
      <c r="D4536" t="s">
        <v>26</v>
      </c>
      <c r="E4536" s="208" t="s">
        <v>36</v>
      </c>
      <c r="F4536" t="s">
        <v>14</v>
      </c>
      <c r="G4536" s="18">
        <v>0</v>
      </c>
      <c r="H4536" s="151" t="s">
        <v>563</v>
      </c>
      <c r="I4536" t="s">
        <v>17</v>
      </c>
    </row>
    <row r="4537" spans="1:9" x14ac:dyDescent="0.25">
      <c r="A4537">
        <v>1813</v>
      </c>
      <c r="B4537">
        <f>A4537+1</f>
        <v>1814</v>
      </c>
      <c r="C4537" t="s">
        <v>519</v>
      </c>
      <c r="D4537" t="s">
        <v>26</v>
      </c>
      <c r="E4537" s="208" t="s">
        <v>39</v>
      </c>
      <c r="F4537" t="s">
        <v>14</v>
      </c>
      <c r="G4537" s="18">
        <v>0</v>
      </c>
      <c r="H4537" s="151" t="s">
        <v>563</v>
      </c>
      <c r="I4537" t="s">
        <v>17</v>
      </c>
    </row>
    <row r="4538" spans="1:9" x14ac:dyDescent="0.25">
      <c r="A4538">
        <v>1813</v>
      </c>
      <c r="B4538">
        <f>A4538+1</f>
        <v>1814</v>
      </c>
      <c r="C4538" t="s">
        <v>519</v>
      </c>
      <c r="D4538" t="s">
        <v>26</v>
      </c>
      <c r="E4538" s="208" t="s">
        <v>99</v>
      </c>
      <c r="F4538" t="s">
        <v>14</v>
      </c>
      <c r="G4538" s="18">
        <v>364</v>
      </c>
      <c r="H4538" s="151" t="s">
        <v>563</v>
      </c>
      <c r="I4538" t="s">
        <v>17</v>
      </c>
    </row>
    <row r="4539" spans="1:9" x14ac:dyDescent="0.25">
      <c r="A4539">
        <v>1813</v>
      </c>
      <c r="B4539">
        <f>A4539+1</f>
        <v>1814</v>
      </c>
      <c r="C4539" t="s">
        <v>519</v>
      </c>
      <c r="D4539" t="s">
        <v>26</v>
      </c>
      <c r="E4539" s="208" t="s">
        <v>95</v>
      </c>
      <c r="F4539" t="s">
        <v>14</v>
      </c>
      <c r="G4539" s="18">
        <v>142</v>
      </c>
      <c r="H4539" s="151" t="s">
        <v>563</v>
      </c>
      <c r="I4539" t="s">
        <v>17</v>
      </c>
    </row>
    <row r="4540" spans="1:9" x14ac:dyDescent="0.25">
      <c r="A4540">
        <v>1813</v>
      </c>
      <c r="B4540">
        <f>A4540+1</f>
        <v>1814</v>
      </c>
      <c r="C4540" t="s">
        <v>519</v>
      </c>
      <c r="D4540" t="s">
        <v>26</v>
      </c>
      <c r="E4540" s="208" t="s">
        <v>94</v>
      </c>
      <c r="F4540" t="s">
        <v>14</v>
      </c>
      <c r="G4540" s="18">
        <v>106</v>
      </c>
      <c r="H4540" s="151" t="s">
        <v>563</v>
      </c>
      <c r="I4540" t="s">
        <v>17</v>
      </c>
    </row>
    <row r="4541" spans="1:9" x14ac:dyDescent="0.25">
      <c r="A4541">
        <v>1813</v>
      </c>
      <c r="B4541">
        <f>A4541+1</f>
        <v>1814</v>
      </c>
      <c r="C4541" t="s">
        <v>519</v>
      </c>
      <c r="D4541" t="s">
        <v>26</v>
      </c>
      <c r="E4541" s="208" t="s">
        <v>386</v>
      </c>
      <c r="F4541" t="s">
        <v>14</v>
      </c>
      <c r="G4541" s="18">
        <v>4949</v>
      </c>
      <c r="H4541" s="151" t="s">
        <v>563</v>
      </c>
      <c r="I4541" t="s">
        <v>17</v>
      </c>
    </row>
    <row r="4542" spans="1:9" x14ac:dyDescent="0.25">
      <c r="A4542">
        <v>1813</v>
      </c>
      <c r="B4542">
        <f>A4542+1</f>
        <v>1814</v>
      </c>
      <c r="C4542" t="s">
        <v>519</v>
      </c>
      <c r="D4542" t="s">
        <v>26</v>
      </c>
      <c r="E4542" s="208" t="s">
        <v>387</v>
      </c>
      <c r="F4542" t="s">
        <v>14</v>
      </c>
      <c r="G4542" s="18">
        <v>10</v>
      </c>
      <c r="H4542" s="151" t="s">
        <v>563</v>
      </c>
      <c r="I4542" t="s">
        <v>17</v>
      </c>
    </row>
    <row r="4543" spans="1:9" x14ac:dyDescent="0.25">
      <c r="A4543">
        <v>1813</v>
      </c>
      <c r="B4543">
        <f>A4543+1</f>
        <v>1814</v>
      </c>
      <c r="C4543" t="s">
        <v>519</v>
      </c>
      <c r="D4543" t="s">
        <v>26</v>
      </c>
      <c r="E4543" s="208" t="s">
        <v>55</v>
      </c>
      <c r="F4543" t="s">
        <v>14</v>
      </c>
      <c r="G4543" s="18">
        <v>0</v>
      </c>
      <c r="H4543" s="151" t="s">
        <v>563</v>
      </c>
      <c r="I4543" t="s">
        <v>17</v>
      </c>
    </row>
    <row r="4544" spans="1:9" x14ac:dyDescent="0.25">
      <c r="A4544">
        <v>1813</v>
      </c>
      <c r="B4544">
        <f>A4544+1</f>
        <v>1814</v>
      </c>
      <c r="C4544" t="s">
        <v>519</v>
      </c>
      <c r="D4544" t="s">
        <v>26</v>
      </c>
      <c r="E4544" s="208" t="s">
        <v>388</v>
      </c>
      <c r="F4544" t="s">
        <v>14</v>
      </c>
      <c r="G4544" s="18">
        <v>0</v>
      </c>
      <c r="H4544" s="151" t="s">
        <v>563</v>
      </c>
      <c r="I4544" t="s">
        <v>17</v>
      </c>
    </row>
    <row r="4545" spans="1:9" x14ac:dyDescent="0.25">
      <c r="A4545">
        <v>1813</v>
      </c>
      <c r="B4545">
        <f>A4545+1</f>
        <v>1814</v>
      </c>
      <c r="C4545" t="s">
        <v>519</v>
      </c>
      <c r="D4545" t="s">
        <v>26</v>
      </c>
      <c r="E4545" s="208" t="s">
        <v>383</v>
      </c>
      <c r="F4545" t="s">
        <v>14</v>
      </c>
      <c r="G4545" s="18">
        <v>33</v>
      </c>
      <c r="H4545" s="151" t="s">
        <v>563</v>
      </c>
      <c r="I4545" t="s">
        <v>17</v>
      </c>
    </row>
    <row r="4546" spans="1:9" x14ac:dyDescent="0.25">
      <c r="A4546">
        <v>1813</v>
      </c>
      <c r="B4546">
        <f>A4546+1</f>
        <v>1814</v>
      </c>
      <c r="C4546" t="s">
        <v>519</v>
      </c>
      <c r="D4546" t="s">
        <v>26</v>
      </c>
      <c r="E4546" s="208" t="s">
        <v>384</v>
      </c>
      <c r="F4546" t="s">
        <v>14</v>
      </c>
      <c r="G4546" s="18">
        <v>6</v>
      </c>
      <c r="H4546" s="151" t="s">
        <v>563</v>
      </c>
      <c r="I4546" t="s">
        <v>17</v>
      </c>
    </row>
    <row r="4547" spans="1:9" x14ac:dyDescent="0.25">
      <c r="A4547">
        <v>1813</v>
      </c>
      <c r="B4547">
        <f>A4547+1</f>
        <v>1814</v>
      </c>
      <c r="C4547" t="s">
        <v>519</v>
      </c>
      <c r="D4547" t="s">
        <v>26</v>
      </c>
      <c r="E4547" s="208" t="s">
        <v>277</v>
      </c>
      <c r="F4547" t="s">
        <v>14</v>
      </c>
      <c r="G4547" s="18">
        <v>0</v>
      </c>
      <c r="H4547" s="151" t="s">
        <v>563</v>
      </c>
      <c r="I4547" t="s">
        <v>17</v>
      </c>
    </row>
    <row r="4548" spans="1:9" x14ac:dyDescent="0.25">
      <c r="A4548">
        <v>1813</v>
      </c>
      <c r="B4548">
        <f>A4548+1</f>
        <v>1814</v>
      </c>
      <c r="C4548" t="s">
        <v>519</v>
      </c>
      <c r="D4548" t="s">
        <v>26</v>
      </c>
      <c r="E4548" s="208" t="s">
        <v>28</v>
      </c>
      <c r="F4548" t="s">
        <v>14</v>
      </c>
      <c r="G4548" s="18">
        <v>0</v>
      </c>
      <c r="H4548" s="151" t="s">
        <v>563</v>
      </c>
      <c r="I4548" t="s">
        <v>17</v>
      </c>
    </row>
    <row r="4549" spans="1:9" x14ac:dyDescent="0.25">
      <c r="A4549">
        <v>1813</v>
      </c>
      <c r="B4549">
        <f>A4549+1</f>
        <v>1814</v>
      </c>
      <c r="C4549" t="s">
        <v>519</v>
      </c>
      <c r="D4549" t="s">
        <v>26</v>
      </c>
      <c r="E4549" s="208" t="s">
        <v>89</v>
      </c>
      <c r="F4549" t="s">
        <v>14</v>
      </c>
      <c r="G4549" s="18">
        <v>0</v>
      </c>
      <c r="H4549" s="151" t="s">
        <v>563</v>
      </c>
      <c r="I4549" t="s">
        <v>17</v>
      </c>
    </row>
    <row r="4550" spans="1:9" x14ac:dyDescent="0.25">
      <c r="A4550">
        <v>1813</v>
      </c>
      <c r="B4550">
        <f>A4550+1</f>
        <v>1814</v>
      </c>
      <c r="C4550" t="s">
        <v>519</v>
      </c>
      <c r="D4550" t="s">
        <v>26</v>
      </c>
      <c r="E4550" s="208" t="s">
        <v>45</v>
      </c>
      <c r="F4550" t="s">
        <v>14</v>
      </c>
      <c r="G4550" s="18">
        <v>0</v>
      </c>
      <c r="H4550" s="151" t="s">
        <v>563</v>
      </c>
      <c r="I4550" t="s">
        <v>17</v>
      </c>
    </row>
    <row r="4551" spans="1:9" x14ac:dyDescent="0.25">
      <c r="A4551">
        <v>1813</v>
      </c>
      <c r="B4551">
        <f>A4551+1</f>
        <v>1814</v>
      </c>
      <c r="C4551" t="s">
        <v>519</v>
      </c>
      <c r="D4551" t="s">
        <v>26</v>
      </c>
      <c r="E4551" s="208" t="s">
        <v>392</v>
      </c>
      <c r="F4551" t="s">
        <v>14</v>
      </c>
      <c r="G4551" s="18">
        <v>0</v>
      </c>
      <c r="H4551" s="151" t="s">
        <v>563</v>
      </c>
      <c r="I4551" t="s">
        <v>17</v>
      </c>
    </row>
    <row r="4552" spans="1:9" x14ac:dyDescent="0.25">
      <c r="A4552">
        <v>1813</v>
      </c>
      <c r="B4552">
        <f>A4552+1</f>
        <v>1814</v>
      </c>
      <c r="C4552" t="s">
        <v>519</v>
      </c>
      <c r="D4552" t="s">
        <v>26</v>
      </c>
      <c r="E4552" s="208" t="s">
        <v>65</v>
      </c>
      <c r="F4552" t="s">
        <v>14</v>
      </c>
      <c r="G4552" s="18">
        <v>25117</v>
      </c>
      <c r="H4552" s="151" t="s">
        <v>563</v>
      </c>
      <c r="I4552" t="s">
        <v>17</v>
      </c>
    </row>
    <row r="4553" spans="1:9" x14ac:dyDescent="0.25">
      <c r="A4553">
        <v>1813</v>
      </c>
      <c r="B4553">
        <f>A4553+1</f>
        <v>1814</v>
      </c>
      <c r="C4553" t="s">
        <v>519</v>
      </c>
      <c r="D4553" t="s">
        <v>26</v>
      </c>
      <c r="E4553" s="208" t="s">
        <v>88</v>
      </c>
      <c r="F4553" t="s">
        <v>14</v>
      </c>
      <c r="G4553" s="18">
        <v>3554</v>
      </c>
      <c r="H4553" s="151" t="s">
        <v>563</v>
      </c>
      <c r="I4553" t="s">
        <v>17</v>
      </c>
    </row>
    <row r="4554" spans="1:9" x14ac:dyDescent="0.25">
      <c r="A4554">
        <v>1813</v>
      </c>
      <c r="B4554">
        <f>A4554+1</f>
        <v>1814</v>
      </c>
      <c r="C4554" t="s">
        <v>519</v>
      </c>
      <c r="D4554" t="s">
        <v>26</v>
      </c>
      <c r="E4554" s="208" t="s">
        <v>107</v>
      </c>
      <c r="F4554" t="s">
        <v>14</v>
      </c>
      <c r="G4554" s="18">
        <v>213734</v>
      </c>
      <c r="H4554" s="151" t="s">
        <v>563</v>
      </c>
      <c r="I4554" t="s">
        <v>17</v>
      </c>
    </row>
    <row r="4555" spans="1:9" x14ac:dyDescent="0.25">
      <c r="A4555">
        <v>1813</v>
      </c>
      <c r="B4555">
        <f>A4555+1</f>
        <v>1814</v>
      </c>
      <c r="C4555" t="s">
        <v>519</v>
      </c>
      <c r="D4555" t="s">
        <v>26</v>
      </c>
      <c r="E4555" s="208" t="s">
        <v>101</v>
      </c>
      <c r="F4555" t="s">
        <v>14</v>
      </c>
      <c r="G4555" s="18">
        <v>309000</v>
      </c>
      <c r="H4555" s="151" t="s">
        <v>563</v>
      </c>
      <c r="I4555" t="s">
        <v>17</v>
      </c>
    </row>
    <row r="4556" spans="1:9" x14ac:dyDescent="0.25">
      <c r="A4556">
        <v>1813</v>
      </c>
      <c r="B4556">
        <f>A4556+1</f>
        <v>1814</v>
      </c>
      <c r="C4556" t="s">
        <v>519</v>
      </c>
      <c r="D4556" t="s">
        <v>26</v>
      </c>
      <c r="E4556" s="208" t="s">
        <v>75</v>
      </c>
      <c r="F4556" t="s">
        <v>14</v>
      </c>
      <c r="G4556" s="18">
        <v>604014</v>
      </c>
      <c r="H4556" s="151" t="s">
        <v>563</v>
      </c>
      <c r="I4556" t="s">
        <v>17</v>
      </c>
    </row>
    <row r="4557" spans="1:9" x14ac:dyDescent="0.25">
      <c r="A4557">
        <v>1813</v>
      </c>
      <c r="B4557">
        <f>A4557+1</f>
        <v>1814</v>
      </c>
      <c r="C4557" t="s">
        <v>519</v>
      </c>
      <c r="D4557" t="s">
        <v>26</v>
      </c>
      <c r="E4557" s="208" t="s">
        <v>330</v>
      </c>
      <c r="F4557" t="s">
        <v>14</v>
      </c>
      <c r="G4557" s="18">
        <v>348</v>
      </c>
      <c r="H4557" s="151" t="s">
        <v>563</v>
      </c>
      <c r="I4557" t="s">
        <v>17</v>
      </c>
    </row>
    <row r="4558" spans="1:9" x14ac:dyDescent="0.25">
      <c r="A4558">
        <v>1813</v>
      </c>
      <c r="B4558">
        <f>A4558+1</f>
        <v>1814</v>
      </c>
      <c r="C4558" t="s">
        <v>519</v>
      </c>
      <c r="D4558" t="s">
        <v>26</v>
      </c>
      <c r="E4558" s="208" t="s">
        <v>331</v>
      </c>
      <c r="F4558" t="s">
        <v>14</v>
      </c>
      <c r="G4558" s="18">
        <v>146</v>
      </c>
      <c r="H4558" s="151" t="s">
        <v>563</v>
      </c>
      <c r="I4558" t="s">
        <v>17</v>
      </c>
    </row>
    <row r="4559" spans="1:9" x14ac:dyDescent="0.25">
      <c r="A4559">
        <v>1813</v>
      </c>
      <c r="B4559">
        <f>A4559+1</f>
        <v>1814</v>
      </c>
      <c r="C4559" t="s">
        <v>519</v>
      </c>
      <c r="D4559" t="s">
        <v>26</v>
      </c>
      <c r="E4559" s="208" t="s">
        <v>332</v>
      </c>
      <c r="F4559" t="s">
        <v>14</v>
      </c>
      <c r="G4559" s="18">
        <v>21</v>
      </c>
      <c r="H4559" s="151" t="s">
        <v>563</v>
      </c>
      <c r="I4559" t="s">
        <v>17</v>
      </c>
    </row>
    <row r="4560" spans="1:9" x14ac:dyDescent="0.25">
      <c r="A4560">
        <v>1813</v>
      </c>
      <c r="B4560">
        <f>A4560+1</f>
        <v>1814</v>
      </c>
      <c r="C4560" t="s">
        <v>519</v>
      </c>
      <c r="D4560" t="s">
        <v>26</v>
      </c>
      <c r="E4560" s="208" t="s">
        <v>333</v>
      </c>
      <c r="F4560" t="s">
        <v>14</v>
      </c>
      <c r="G4560" s="18">
        <v>729</v>
      </c>
      <c r="H4560" s="151" t="s">
        <v>563</v>
      </c>
      <c r="I4560" t="s">
        <v>17</v>
      </c>
    </row>
    <row r="4561" spans="1:9" x14ac:dyDescent="0.25">
      <c r="A4561">
        <v>1813</v>
      </c>
      <c r="B4561">
        <f>A4561+1</f>
        <v>1814</v>
      </c>
      <c r="C4561" t="s">
        <v>519</v>
      </c>
      <c r="D4561" t="s">
        <v>27</v>
      </c>
      <c r="E4561" s="208" t="s">
        <v>155</v>
      </c>
      <c r="F4561" t="s">
        <v>15</v>
      </c>
      <c r="G4561" s="18">
        <v>101846</v>
      </c>
      <c r="H4561" t="s">
        <v>561</v>
      </c>
      <c r="I4561" s="151" t="s">
        <v>562</v>
      </c>
    </row>
    <row r="4562" spans="1:9" x14ac:dyDescent="0.25">
      <c r="A4562">
        <v>1813</v>
      </c>
      <c r="B4562">
        <f>A4562+1</f>
        <v>1814</v>
      </c>
      <c r="C4562" t="s">
        <v>519</v>
      </c>
      <c r="D4562" t="s">
        <v>27</v>
      </c>
      <c r="E4562" s="208" t="s">
        <v>156</v>
      </c>
      <c r="F4562" t="s">
        <v>15</v>
      </c>
      <c r="G4562" s="18">
        <v>10485</v>
      </c>
      <c r="H4562" t="s">
        <v>561</v>
      </c>
      <c r="I4562" s="151" t="s">
        <v>562</v>
      </c>
    </row>
    <row r="4563" spans="1:9" x14ac:dyDescent="0.25">
      <c r="A4563">
        <v>1813</v>
      </c>
      <c r="B4563">
        <f>A4563+1</f>
        <v>1814</v>
      </c>
      <c r="C4563" t="s">
        <v>519</v>
      </c>
      <c r="D4563" t="s">
        <v>27</v>
      </c>
      <c r="E4563" s="208" t="s">
        <v>154</v>
      </c>
      <c r="F4563" t="s">
        <v>15</v>
      </c>
      <c r="G4563" s="18">
        <v>2575</v>
      </c>
      <c r="H4563" t="s">
        <v>561</v>
      </c>
      <c r="I4563" s="151" t="s">
        <v>562</v>
      </c>
    </row>
    <row r="4564" spans="1:9" x14ac:dyDescent="0.25">
      <c r="A4564">
        <v>1813</v>
      </c>
      <c r="B4564">
        <f>A4564+1</f>
        <v>1814</v>
      </c>
      <c r="C4564" t="s">
        <v>519</v>
      </c>
      <c r="D4564" t="s">
        <v>27</v>
      </c>
      <c r="E4564" s="208" t="s">
        <v>150</v>
      </c>
      <c r="F4564" t="s">
        <v>15</v>
      </c>
      <c r="G4564" s="18">
        <v>43486</v>
      </c>
      <c r="H4564" t="s">
        <v>561</v>
      </c>
      <c r="I4564" s="151" t="s">
        <v>562</v>
      </c>
    </row>
    <row r="4565" spans="1:9" x14ac:dyDescent="0.25">
      <c r="A4565">
        <v>1813</v>
      </c>
      <c r="B4565">
        <f>A4565+1</f>
        <v>1814</v>
      </c>
      <c r="C4565" t="s">
        <v>519</v>
      </c>
      <c r="D4565" t="s">
        <v>27</v>
      </c>
      <c r="E4565" s="208" t="s">
        <v>148</v>
      </c>
      <c r="F4565" t="s">
        <v>15</v>
      </c>
      <c r="G4565" s="18">
        <v>1551</v>
      </c>
      <c r="H4565" t="s">
        <v>561</v>
      </c>
      <c r="I4565" s="151" t="s">
        <v>562</v>
      </c>
    </row>
    <row r="4566" spans="1:9" x14ac:dyDescent="0.25">
      <c r="A4566">
        <v>1813</v>
      </c>
      <c r="B4566">
        <f>A4566+1</f>
        <v>1814</v>
      </c>
      <c r="C4566" t="s">
        <v>519</v>
      </c>
      <c r="D4566" t="s">
        <v>27</v>
      </c>
      <c r="E4566" s="208" t="s">
        <v>147</v>
      </c>
      <c r="F4566" t="s">
        <v>15</v>
      </c>
      <c r="G4566" s="18">
        <v>202</v>
      </c>
      <c r="H4566" t="s">
        <v>561</v>
      </c>
      <c r="I4566" s="151" t="s">
        <v>562</v>
      </c>
    </row>
    <row r="4567" spans="1:9" x14ac:dyDescent="0.25">
      <c r="A4567">
        <v>1813</v>
      </c>
      <c r="B4567">
        <f>A4567+1</f>
        <v>1814</v>
      </c>
      <c r="C4567" t="s">
        <v>519</v>
      </c>
      <c r="D4567" t="s">
        <v>27</v>
      </c>
      <c r="E4567" s="208" t="s">
        <v>314</v>
      </c>
      <c r="F4567" t="s">
        <v>15</v>
      </c>
      <c r="G4567" s="18">
        <v>1146</v>
      </c>
      <c r="H4567" t="s">
        <v>561</v>
      </c>
      <c r="I4567" s="151" t="s">
        <v>562</v>
      </c>
    </row>
    <row r="4568" spans="1:9" x14ac:dyDescent="0.25">
      <c r="A4568">
        <v>1813</v>
      </c>
      <c r="B4568">
        <f>A4568+1</f>
        <v>1814</v>
      </c>
      <c r="C4568" t="s">
        <v>519</v>
      </c>
      <c r="D4568" t="s">
        <v>27</v>
      </c>
      <c r="E4568" s="208" t="s">
        <v>149</v>
      </c>
      <c r="F4568" t="s">
        <v>15</v>
      </c>
      <c r="G4568" s="18">
        <v>0</v>
      </c>
      <c r="H4568" t="s">
        <v>561</v>
      </c>
      <c r="I4568" s="151" t="s">
        <v>562</v>
      </c>
    </row>
    <row r="4569" spans="1:9" x14ac:dyDescent="0.25">
      <c r="A4569">
        <v>1813</v>
      </c>
      <c r="B4569">
        <f>A4569+1</f>
        <v>1814</v>
      </c>
      <c r="C4569" t="s">
        <v>519</v>
      </c>
      <c r="D4569" t="s">
        <v>27</v>
      </c>
      <c r="E4569" s="208" t="s">
        <v>139</v>
      </c>
      <c r="F4569" t="s">
        <v>15</v>
      </c>
      <c r="G4569" s="18">
        <v>145</v>
      </c>
      <c r="H4569" t="s">
        <v>561</v>
      </c>
      <c r="I4569" s="151" t="s">
        <v>562</v>
      </c>
    </row>
    <row r="4570" spans="1:9" x14ac:dyDescent="0.25">
      <c r="A4570">
        <v>1813</v>
      </c>
      <c r="B4570">
        <f>A4570+1</f>
        <v>1814</v>
      </c>
      <c r="C4570" t="s">
        <v>519</v>
      </c>
      <c r="D4570" t="s">
        <v>27</v>
      </c>
      <c r="E4570" s="208" t="s">
        <v>130</v>
      </c>
      <c r="F4570" t="s">
        <v>15</v>
      </c>
      <c r="G4570" s="18">
        <v>1668</v>
      </c>
      <c r="H4570" t="s">
        <v>561</v>
      </c>
      <c r="I4570" s="151" t="s">
        <v>562</v>
      </c>
    </row>
    <row r="4571" spans="1:9" x14ac:dyDescent="0.25">
      <c r="A4571">
        <v>1813</v>
      </c>
      <c r="B4571">
        <f>A4571+1</f>
        <v>1814</v>
      </c>
      <c r="C4571" t="s">
        <v>519</v>
      </c>
      <c r="D4571" t="s">
        <v>27</v>
      </c>
      <c r="E4571" s="208" t="s">
        <v>132</v>
      </c>
      <c r="F4571" t="s">
        <v>15</v>
      </c>
      <c r="G4571" s="18">
        <v>884</v>
      </c>
      <c r="H4571" t="s">
        <v>561</v>
      </c>
      <c r="I4571" s="151" t="s">
        <v>562</v>
      </c>
    </row>
    <row r="4572" spans="1:9" x14ac:dyDescent="0.25">
      <c r="A4572">
        <v>1813</v>
      </c>
      <c r="B4572">
        <f>A4572+1</f>
        <v>1814</v>
      </c>
      <c r="C4572" t="s">
        <v>519</v>
      </c>
      <c r="D4572" t="s">
        <v>27</v>
      </c>
      <c r="E4572" s="208" t="s">
        <v>142</v>
      </c>
      <c r="F4572" t="s">
        <v>15</v>
      </c>
      <c r="G4572" s="18">
        <v>10711</v>
      </c>
      <c r="H4572" t="s">
        <v>561</v>
      </c>
      <c r="I4572" s="151" t="s">
        <v>562</v>
      </c>
    </row>
    <row r="4573" spans="1:9" x14ac:dyDescent="0.25">
      <c r="A4573">
        <v>1813</v>
      </c>
      <c r="B4573">
        <f>A4573+1</f>
        <v>1814</v>
      </c>
      <c r="C4573" t="s">
        <v>519</v>
      </c>
      <c r="D4573" t="s">
        <v>27</v>
      </c>
      <c r="E4573" s="208" t="s">
        <v>144</v>
      </c>
      <c r="F4573" t="s">
        <v>15</v>
      </c>
      <c r="G4573" s="18">
        <v>394</v>
      </c>
      <c r="H4573" t="s">
        <v>561</v>
      </c>
      <c r="I4573" s="151" t="s">
        <v>562</v>
      </c>
    </row>
    <row r="4574" spans="1:9" x14ac:dyDescent="0.25">
      <c r="A4574">
        <v>1813</v>
      </c>
      <c r="B4574">
        <f>A4574+1</f>
        <v>1814</v>
      </c>
      <c r="C4574" t="s">
        <v>519</v>
      </c>
      <c r="D4574" t="s">
        <v>27</v>
      </c>
      <c r="E4574" s="208" t="s">
        <v>124</v>
      </c>
      <c r="F4574" t="s">
        <v>15</v>
      </c>
      <c r="G4574" s="18">
        <v>34045585</v>
      </c>
      <c r="H4574" t="s">
        <v>561</v>
      </c>
      <c r="I4574" s="151" t="s">
        <v>562</v>
      </c>
    </row>
    <row r="4575" spans="1:9" x14ac:dyDescent="0.25">
      <c r="A4575">
        <v>1813</v>
      </c>
      <c r="B4575">
        <f>A4575+1</f>
        <v>1814</v>
      </c>
      <c r="C4575" t="s">
        <v>519</v>
      </c>
      <c r="D4575" t="s">
        <v>26</v>
      </c>
      <c r="E4575" s="208" t="s">
        <v>62</v>
      </c>
      <c r="F4575" t="s">
        <v>15</v>
      </c>
      <c r="G4575" s="18">
        <v>56450</v>
      </c>
      <c r="H4575" s="151" t="s">
        <v>563</v>
      </c>
      <c r="I4575" t="s">
        <v>561</v>
      </c>
    </row>
    <row r="4576" spans="1:9" x14ac:dyDescent="0.25">
      <c r="A4576">
        <v>1813</v>
      </c>
      <c r="B4576">
        <f>A4576+1</f>
        <v>1814</v>
      </c>
      <c r="C4576" t="s">
        <v>519</v>
      </c>
      <c r="D4576" t="s">
        <v>26</v>
      </c>
      <c r="E4576" s="208" t="s">
        <v>35</v>
      </c>
      <c r="F4576" t="s">
        <v>15</v>
      </c>
      <c r="G4576" s="18">
        <v>1461</v>
      </c>
      <c r="H4576" s="151" t="s">
        <v>563</v>
      </c>
      <c r="I4576" t="s">
        <v>561</v>
      </c>
    </row>
    <row r="4577" spans="1:9" x14ac:dyDescent="0.25">
      <c r="A4577">
        <v>1813</v>
      </c>
      <c r="B4577">
        <f>A4577+1</f>
        <v>1814</v>
      </c>
      <c r="C4577" t="s">
        <v>519</v>
      </c>
      <c r="D4577" t="s">
        <v>26</v>
      </c>
      <c r="E4577" s="208" t="s">
        <v>36</v>
      </c>
      <c r="F4577" t="s">
        <v>15</v>
      </c>
      <c r="G4577" s="18">
        <v>7146</v>
      </c>
      <c r="H4577" s="151" t="s">
        <v>563</v>
      </c>
      <c r="I4577" t="s">
        <v>561</v>
      </c>
    </row>
    <row r="4578" spans="1:9" x14ac:dyDescent="0.25">
      <c r="A4578">
        <v>1813</v>
      </c>
      <c r="B4578">
        <f>A4578+1</f>
        <v>1814</v>
      </c>
      <c r="C4578" t="s">
        <v>519</v>
      </c>
      <c r="D4578" t="s">
        <v>26</v>
      </c>
      <c r="E4578" s="208" t="s">
        <v>39</v>
      </c>
      <c r="F4578" t="s">
        <v>15</v>
      </c>
      <c r="G4578" s="18">
        <v>0</v>
      </c>
      <c r="H4578" s="151" t="s">
        <v>563</v>
      </c>
      <c r="I4578" t="s">
        <v>561</v>
      </c>
    </row>
    <row r="4579" spans="1:9" x14ac:dyDescent="0.25">
      <c r="A4579">
        <v>1813</v>
      </c>
      <c r="B4579">
        <f>A4579+1</f>
        <v>1814</v>
      </c>
      <c r="C4579" t="s">
        <v>519</v>
      </c>
      <c r="D4579" t="s">
        <v>26</v>
      </c>
      <c r="E4579" s="208" t="s">
        <v>99</v>
      </c>
      <c r="F4579" t="s">
        <v>15</v>
      </c>
      <c r="G4579" s="18">
        <v>1157</v>
      </c>
      <c r="H4579" s="151" t="s">
        <v>563</v>
      </c>
      <c r="I4579" t="s">
        <v>561</v>
      </c>
    </row>
    <row r="4580" spans="1:9" x14ac:dyDescent="0.25">
      <c r="A4580">
        <v>1813</v>
      </c>
      <c r="B4580">
        <f>A4580+1</f>
        <v>1814</v>
      </c>
      <c r="C4580" t="s">
        <v>519</v>
      </c>
      <c r="D4580" t="s">
        <v>26</v>
      </c>
      <c r="E4580" s="208" t="s">
        <v>95</v>
      </c>
      <c r="F4580" t="s">
        <v>15</v>
      </c>
      <c r="G4580" s="18">
        <v>3503</v>
      </c>
      <c r="H4580" s="151" t="s">
        <v>563</v>
      </c>
      <c r="I4580" t="s">
        <v>561</v>
      </c>
    </row>
    <row r="4581" spans="1:9" x14ac:dyDescent="0.25">
      <c r="A4581">
        <v>1813</v>
      </c>
      <c r="B4581">
        <f>A4581+1</f>
        <v>1814</v>
      </c>
      <c r="C4581" t="s">
        <v>519</v>
      </c>
      <c r="D4581" t="s">
        <v>26</v>
      </c>
      <c r="E4581" s="208" t="s">
        <v>94</v>
      </c>
      <c r="F4581" t="s">
        <v>15</v>
      </c>
      <c r="G4581" s="18">
        <v>6628</v>
      </c>
      <c r="H4581" s="151" t="s">
        <v>563</v>
      </c>
      <c r="I4581" t="s">
        <v>561</v>
      </c>
    </row>
    <row r="4582" spans="1:9" x14ac:dyDescent="0.25">
      <c r="A4582">
        <v>1813</v>
      </c>
      <c r="B4582">
        <f>A4582+1</f>
        <v>1814</v>
      </c>
      <c r="C4582" t="s">
        <v>519</v>
      </c>
      <c r="D4582" t="s">
        <v>26</v>
      </c>
      <c r="E4582" s="208" t="s">
        <v>386</v>
      </c>
      <c r="F4582" t="s">
        <v>15</v>
      </c>
      <c r="G4582" s="18">
        <v>67037</v>
      </c>
      <c r="H4582" s="151" t="s">
        <v>563</v>
      </c>
      <c r="I4582" t="s">
        <v>561</v>
      </c>
    </row>
    <row r="4583" spans="1:9" x14ac:dyDescent="0.25">
      <c r="A4583">
        <v>1813</v>
      </c>
      <c r="B4583">
        <f>A4583+1</f>
        <v>1814</v>
      </c>
      <c r="C4583" t="s">
        <v>519</v>
      </c>
      <c r="D4583" t="s">
        <v>26</v>
      </c>
      <c r="E4583" s="208" t="s">
        <v>387</v>
      </c>
      <c r="F4583" t="s">
        <v>15</v>
      </c>
      <c r="G4583" s="18">
        <v>677</v>
      </c>
      <c r="H4583" s="151" t="s">
        <v>563</v>
      </c>
      <c r="I4583" t="s">
        <v>561</v>
      </c>
    </row>
    <row r="4584" spans="1:9" x14ac:dyDescent="0.25">
      <c r="A4584">
        <v>1813</v>
      </c>
      <c r="B4584">
        <f>A4584+1</f>
        <v>1814</v>
      </c>
      <c r="C4584" t="s">
        <v>519</v>
      </c>
      <c r="D4584" t="s">
        <v>26</v>
      </c>
      <c r="E4584" s="208" t="s">
        <v>55</v>
      </c>
      <c r="F4584" t="s">
        <v>15</v>
      </c>
      <c r="G4584" s="18">
        <v>400</v>
      </c>
      <c r="H4584" s="151" t="s">
        <v>563</v>
      </c>
      <c r="I4584" t="s">
        <v>561</v>
      </c>
    </row>
    <row r="4585" spans="1:9" x14ac:dyDescent="0.25">
      <c r="A4585">
        <v>1813</v>
      </c>
      <c r="B4585">
        <f>A4585+1</f>
        <v>1814</v>
      </c>
      <c r="C4585" t="s">
        <v>519</v>
      </c>
      <c r="D4585" t="s">
        <v>26</v>
      </c>
      <c r="E4585" s="208" t="s">
        <v>388</v>
      </c>
      <c r="F4585" t="s">
        <v>15</v>
      </c>
      <c r="G4585" s="18">
        <v>198</v>
      </c>
      <c r="H4585" s="151" t="s">
        <v>563</v>
      </c>
      <c r="I4585" t="s">
        <v>561</v>
      </c>
    </row>
    <row r="4586" spans="1:9" x14ac:dyDescent="0.25">
      <c r="A4586">
        <v>1813</v>
      </c>
      <c r="B4586">
        <f>A4586+1</f>
        <v>1814</v>
      </c>
      <c r="C4586" t="s">
        <v>519</v>
      </c>
      <c r="D4586" t="s">
        <v>26</v>
      </c>
      <c r="E4586" s="208" t="s">
        <v>383</v>
      </c>
      <c r="F4586" t="s">
        <v>15</v>
      </c>
      <c r="G4586" s="18">
        <v>1183</v>
      </c>
      <c r="H4586" s="151" t="s">
        <v>563</v>
      </c>
      <c r="I4586" t="s">
        <v>561</v>
      </c>
    </row>
    <row r="4587" spans="1:9" x14ac:dyDescent="0.25">
      <c r="A4587">
        <v>1813</v>
      </c>
      <c r="B4587">
        <f>A4587+1</f>
        <v>1814</v>
      </c>
      <c r="C4587" t="s">
        <v>519</v>
      </c>
      <c r="D4587" t="s">
        <v>26</v>
      </c>
      <c r="E4587" s="208" t="s">
        <v>384</v>
      </c>
      <c r="F4587" t="s">
        <v>15</v>
      </c>
      <c r="G4587" s="18">
        <v>432</v>
      </c>
      <c r="H4587" s="151" t="s">
        <v>563</v>
      </c>
      <c r="I4587" t="s">
        <v>561</v>
      </c>
    </row>
    <row r="4588" spans="1:9" x14ac:dyDescent="0.25">
      <c r="A4588">
        <v>1813</v>
      </c>
      <c r="B4588">
        <f>A4588+1</f>
        <v>1814</v>
      </c>
      <c r="C4588" t="s">
        <v>519</v>
      </c>
      <c r="D4588" t="s">
        <v>26</v>
      </c>
      <c r="E4588" s="208" t="s">
        <v>277</v>
      </c>
      <c r="F4588" t="s">
        <v>15</v>
      </c>
      <c r="G4588" s="18">
        <v>0</v>
      </c>
      <c r="H4588" s="151" t="s">
        <v>563</v>
      </c>
      <c r="I4588" t="s">
        <v>561</v>
      </c>
    </row>
    <row r="4589" spans="1:9" x14ac:dyDescent="0.25">
      <c r="A4589">
        <v>1813</v>
      </c>
      <c r="B4589">
        <f>A4589+1</f>
        <v>1814</v>
      </c>
      <c r="C4589" t="s">
        <v>519</v>
      </c>
      <c r="D4589" t="s">
        <v>26</v>
      </c>
      <c r="E4589" s="208" t="s">
        <v>28</v>
      </c>
      <c r="F4589" t="s">
        <v>15</v>
      </c>
      <c r="G4589" s="18">
        <v>20</v>
      </c>
      <c r="H4589" s="151" t="s">
        <v>563</v>
      </c>
      <c r="I4589" t="s">
        <v>561</v>
      </c>
    </row>
    <row r="4590" spans="1:9" x14ac:dyDescent="0.25">
      <c r="A4590">
        <v>1813</v>
      </c>
      <c r="B4590">
        <f>A4590+1</f>
        <v>1814</v>
      </c>
      <c r="C4590" t="s">
        <v>519</v>
      </c>
      <c r="D4590" t="s">
        <v>26</v>
      </c>
      <c r="E4590" s="208" t="s">
        <v>89</v>
      </c>
      <c r="F4590" t="s">
        <v>15</v>
      </c>
      <c r="G4590" s="18">
        <v>0</v>
      </c>
      <c r="H4590" s="151" t="s">
        <v>563</v>
      </c>
      <c r="I4590" t="s">
        <v>561</v>
      </c>
    </row>
    <row r="4591" spans="1:9" x14ac:dyDescent="0.25">
      <c r="A4591">
        <v>1813</v>
      </c>
      <c r="B4591">
        <f>A4591+1</f>
        <v>1814</v>
      </c>
      <c r="C4591" t="s">
        <v>519</v>
      </c>
      <c r="D4591" t="s">
        <v>26</v>
      </c>
      <c r="E4591" s="208" t="s">
        <v>45</v>
      </c>
      <c r="F4591" t="s">
        <v>15</v>
      </c>
      <c r="G4591" s="18">
        <v>33</v>
      </c>
      <c r="H4591" s="151" t="s">
        <v>563</v>
      </c>
      <c r="I4591" t="s">
        <v>561</v>
      </c>
    </row>
    <row r="4592" spans="1:9" x14ac:dyDescent="0.25">
      <c r="A4592">
        <v>1813</v>
      </c>
      <c r="B4592">
        <f>A4592+1</f>
        <v>1814</v>
      </c>
      <c r="C4592" t="s">
        <v>519</v>
      </c>
      <c r="D4592" t="s">
        <v>26</v>
      </c>
      <c r="E4592" s="208" t="s">
        <v>392</v>
      </c>
      <c r="F4592" t="s">
        <v>15</v>
      </c>
      <c r="G4592" s="18">
        <v>16</v>
      </c>
      <c r="H4592" s="151" t="s">
        <v>563</v>
      </c>
      <c r="I4592" t="s">
        <v>561</v>
      </c>
    </row>
    <row r="4593" spans="1:9" x14ac:dyDescent="0.25">
      <c r="A4593">
        <v>1813</v>
      </c>
      <c r="B4593">
        <f>A4593+1</f>
        <v>1814</v>
      </c>
      <c r="C4593" t="s">
        <v>519</v>
      </c>
      <c r="D4593" t="s">
        <v>26</v>
      </c>
      <c r="E4593" s="208" t="s">
        <v>65</v>
      </c>
      <c r="F4593" t="s">
        <v>15</v>
      </c>
      <c r="G4593" s="18">
        <v>34421</v>
      </c>
      <c r="H4593" s="151" t="s">
        <v>563</v>
      </c>
      <c r="I4593" t="s">
        <v>561</v>
      </c>
    </row>
    <row r="4594" spans="1:9" x14ac:dyDescent="0.25">
      <c r="A4594">
        <v>1813</v>
      </c>
      <c r="B4594">
        <f>A4594+1</f>
        <v>1814</v>
      </c>
      <c r="C4594" t="s">
        <v>519</v>
      </c>
      <c r="D4594" t="s">
        <v>26</v>
      </c>
      <c r="E4594" s="208" t="s">
        <v>88</v>
      </c>
      <c r="F4594" t="s">
        <v>15</v>
      </c>
      <c r="G4594" s="18">
        <v>6624</v>
      </c>
      <c r="H4594" s="151" t="s">
        <v>563</v>
      </c>
      <c r="I4594" t="s">
        <v>561</v>
      </c>
    </row>
    <row r="4595" spans="1:9" x14ac:dyDescent="0.25">
      <c r="A4595">
        <v>1813</v>
      </c>
      <c r="B4595">
        <f>A4595+1</f>
        <v>1814</v>
      </c>
      <c r="C4595" t="s">
        <v>519</v>
      </c>
      <c r="D4595" t="s">
        <v>26</v>
      </c>
      <c r="E4595" s="208" t="s">
        <v>107</v>
      </c>
      <c r="F4595" t="s">
        <v>15</v>
      </c>
      <c r="G4595" s="18">
        <v>1248560</v>
      </c>
      <c r="H4595" s="151" t="s">
        <v>563</v>
      </c>
      <c r="I4595" t="s">
        <v>561</v>
      </c>
    </row>
    <row r="4596" spans="1:9" x14ac:dyDescent="0.25">
      <c r="A4596">
        <v>1813</v>
      </c>
      <c r="B4596">
        <f>A4596+1</f>
        <v>1814</v>
      </c>
      <c r="C4596" t="s">
        <v>519</v>
      </c>
      <c r="D4596" t="s">
        <v>26</v>
      </c>
      <c r="E4596" s="208" t="s">
        <v>101</v>
      </c>
      <c r="F4596" t="s">
        <v>15</v>
      </c>
      <c r="G4596" s="18">
        <v>1060500</v>
      </c>
      <c r="H4596" s="151" t="s">
        <v>563</v>
      </c>
      <c r="I4596" t="s">
        <v>561</v>
      </c>
    </row>
    <row r="4597" spans="1:9" x14ac:dyDescent="0.25">
      <c r="A4597">
        <v>1813</v>
      </c>
      <c r="B4597">
        <f>A4597+1</f>
        <v>1814</v>
      </c>
      <c r="C4597" t="s">
        <v>519</v>
      </c>
      <c r="D4597" t="s">
        <v>26</v>
      </c>
      <c r="E4597" s="208" t="s">
        <v>75</v>
      </c>
      <c r="F4597" t="s">
        <v>15</v>
      </c>
      <c r="G4597" s="18">
        <v>2323073</v>
      </c>
      <c r="H4597" s="151" t="s">
        <v>563</v>
      </c>
      <c r="I4597" t="s">
        <v>561</v>
      </c>
    </row>
    <row r="4598" spans="1:9" x14ac:dyDescent="0.25">
      <c r="A4598">
        <v>1813</v>
      </c>
      <c r="B4598">
        <f>A4598+1</f>
        <v>1814</v>
      </c>
      <c r="C4598" t="s">
        <v>519</v>
      </c>
      <c r="D4598" t="s">
        <v>26</v>
      </c>
      <c r="E4598" s="208" t="s">
        <v>330</v>
      </c>
      <c r="F4598" t="s">
        <v>15</v>
      </c>
      <c r="G4598" s="18">
        <v>1086</v>
      </c>
      <c r="H4598" s="151" t="s">
        <v>563</v>
      </c>
      <c r="I4598" t="s">
        <v>561</v>
      </c>
    </row>
    <row r="4599" spans="1:9" x14ac:dyDescent="0.25">
      <c r="A4599">
        <v>1813</v>
      </c>
      <c r="B4599">
        <f>A4599+1</f>
        <v>1814</v>
      </c>
      <c r="C4599" t="s">
        <v>519</v>
      </c>
      <c r="D4599" t="s">
        <v>26</v>
      </c>
      <c r="E4599" s="208" t="s">
        <v>331</v>
      </c>
      <c r="F4599" t="s">
        <v>15</v>
      </c>
      <c r="G4599" s="18">
        <v>1432</v>
      </c>
      <c r="H4599" s="151" t="s">
        <v>563</v>
      </c>
      <c r="I4599" t="s">
        <v>561</v>
      </c>
    </row>
    <row r="4600" spans="1:9" x14ac:dyDescent="0.25">
      <c r="A4600">
        <v>1813</v>
      </c>
      <c r="B4600">
        <f>A4600+1</f>
        <v>1814</v>
      </c>
      <c r="C4600" t="s">
        <v>519</v>
      </c>
      <c r="D4600" t="s">
        <v>26</v>
      </c>
      <c r="E4600" s="208" t="s">
        <v>332</v>
      </c>
      <c r="F4600" t="s">
        <v>15</v>
      </c>
      <c r="G4600" s="18">
        <v>266</v>
      </c>
      <c r="H4600" s="151" t="s">
        <v>563</v>
      </c>
      <c r="I4600" t="s">
        <v>561</v>
      </c>
    </row>
    <row r="4601" spans="1:9" x14ac:dyDescent="0.25">
      <c r="A4601">
        <v>1813</v>
      </c>
      <c r="B4601">
        <f>A4601+1</f>
        <v>1814</v>
      </c>
      <c r="C4601" t="s">
        <v>519</v>
      </c>
      <c r="D4601" t="s">
        <v>26</v>
      </c>
      <c r="E4601" s="208" t="s">
        <v>333</v>
      </c>
      <c r="F4601" t="s">
        <v>15</v>
      </c>
      <c r="G4601" s="18">
        <v>1979</v>
      </c>
      <c r="H4601" s="151" t="s">
        <v>563</v>
      </c>
      <c r="I4601" t="s">
        <v>561</v>
      </c>
    </row>
    <row r="4602" spans="1:9" x14ac:dyDescent="0.25">
      <c r="A4602">
        <v>1813</v>
      </c>
      <c r="B4602">
        <f>A4602+1</f>
        <v>1814</v>
      </c>
      <c r="C4602" t="s">
        <v>519</v>
      </c>
      <c r="D4602" t="s">
        <v>26</v>
      </c>
      <c r="E4602" s="208" t="s">
        <v>573</v>
      </c>
      <c r="F4602" t="s">
        <v>3</v>
      </c>
      <c r="G4602" s="18">
        <v>4</v>
      </c>
      <c r="H4602" t="s">
        <v>24</v>
      </c>
      <c r="I4602" t="s">
        <v>16</v>
      </c>
    </row>
    <row r="4603" spans="1:9" x14ac:dyDescent="0.25">
      <c r="A4603">
        <v>1813</v>
      </c>
      <c r="B4603">
        <f>A4603+1</f>
        <v>1814</v>
      </c>
      <c r="C4603" t="s">
        <v>519</v>
      </c>
      <c r="D4603" t="s">
        <v>26</v>
      </c>
      <c r="E4603" s="208" t="s">
        <v>573</v>
      </c>
      <c r="F4603" t="s">
        <v>169</v>
      </c>
      <c r="G4603" s="18">
        <v>0</v>
      </c>
      <c r="H4603" t="s">
        <v>160</v>
      </c>
      <c r="I4603" t="s">
        <v>16</v>
      </c>
    </row>
    <row r="4604" spans="1:9" x14ac:dyDescent="0.25">
      <c r="A4604">
        <v>1813</v>
      </c>
      <c r="B4604">
        <f>A4604+1</f>
        <v>1814</v>
      </c>
      <c r="C4604" t="s">
        <v>519</v>
      </c>
      <c r="D4604" t="s">
        <v>26</v>
      </c>
      <c r="E4604" s="208" t="s">
        <v>573</v>
      </c>
      <c r="F4604" t="s">
        <v>6</v>
      </c>
      <c r="G4604" s="18">
        <v>0</v>
      </c>
      <c r="H4604" t="s">
        <v>25</v>
      </c>
      <c r="I4604" t="s">
        <v>16</v>
      </c>
    </row>
    <row r="4605" spans="1:9" x14ac:dyDescent="0.25">
      <c r="A4605">
        <v>1813</v>
      </c>
      <c r="B4605">
        <f>A4605+1</f>
        <v>1814</v>
      </c>
      <c r="C4605" t="s">
        <v>519</v>
      </c>
      <c r="D4605" t="s">
        <v>26</v>
      </c>
      <c r="E4605" s="208" t="s">
        <v>573</v>
      </c>
      <c r="F4605" t="s">
        <v>7</v>
      </c>
      <c r="G4605" s="18">
        <v>4</v>
      </c>
      <c r="H4605" s="151" t="s">
        <v>563</v>
      </c>
      <c r="I4605" t="s">
        <v>16</v>
      </c>
    </row>
    <row r="4606" spans="1:9" x14ac:dyDescent="0.25">
      <c r="A4606">
        <v>1813</v>
      </c>
      <c r="B4606">
        <f>A4606+1</f>
        <v>1814</v>
      </c>
      <c r="C4606" t="s">
        <v>519</v>
      </c>
      <c r="D4606" t="s">
        <v>26</v>
      </c>
      <c r="E4606" s="208" t="s">
        <v>573</v>
      </c>
      <c r="F4606" t="s">
        <v>10</v>
      </c>
      <c r="G4606" s="18">
        <v>0</v>
      </c>
      <c r="H4606" t="s">
        <v>24</v>
      </c>
      <c r="I4606" t="s">
        <v>17</v>
      </c>
    </row>
    <row r="4607" spans="1:9" x14ac:dyDescent="0.25">
      <c r="A4607">
        <v>1813</v>
      </c>
      <c r="B4607">
        <f>A4607+1</f>
        <v>1814</v>
      </c>
      <c r="C4607" t="s">
        <v>519</v>
      </c>
      <c r="D4607" t="s">
        <v>26</v>
      </c>
      <c r="E4607" s="208" t="s">
        <v>573</v>
      </c>
      <c r="F4607" t="s">
        <v>164</v>
      </c>
      <c r="G4607" s="18">
        <v>0</v>
      </c>
      <c r="H4607" t="s">
        <v>160</v>
      </c>
      <c r="I4607" t="s">
        <v>17</v>
      </c>
    </row>
    <row r="4608" spans="1:9" x14ac:dyDescent="0.25">
      <c r="A4608">
        <v>1813</v>
      </c>
      <c r="B4608">
        <f>A4608+1</f>
        <v>1814</v>
      </c>
      <c r="C4608" t="s">
        <v>519</v>
      </c>
      <c r="D4608" t="s">
        <v>26</v>
      </c>
      <c r="E4608" s="208" t="s">
        <v>573</v>
      </c>
      <c r="F4608" t="s">
        <v>13</v>
      </c>
      <c r="G4608" s="18">
        <v>0</v>
      </c>
      <c r="H4608" t="s">
        <v>25</v>
      </c>
      <c r="I4608" t="s">
        <v>17</v>
      </c>
    </row>
    <row r="4609" spans="1:9" x14ac:dyDescent="0.25">
      <c r="A4609">
        <v>1813</v>
      </c>
      <c r="B4609">
        <f>A4609+1</f>
        <v>1814</v>
      </c>
      <c r="C4609" t="s">
        <v>519</v>
      </c>
      <c r="D4609" t="s">
        <v>26</v>
      </c>
      <c r="E4609" s="208" t="s">
        <v>573</v>
      </c>
      <c r="F4609" t="s">
        <v>14</v>
      </c>
      <c r="G4609" s="18">
        <v>0</v>
      </c>
      <c r="H4609" s="151" t="s">
        <v>563</v>
      </c>
      <c r="I4609" t="s">
        <v>17</v>
      </c>
    </row>
    <row r="4610" spans="1:9" x14ac:dyDescent="0.25">
      <c r="A4610">
        <v>1813</v>
      </c>
      <c r="B4610">
        <f>A4610+1</f>
        <v>1814</v>
      </c>
      <c r="C4610" t="s">
        <v>519</v>
      </c>
      <c r="D4610" t="s">
        <v>26</v>
      </c>
      <c r="E4610" s="208" t="s">
        <v>573</v>
      </c>
      <c r="F4610" t="s">
        <v>15</v>
      </c>
      <c r="G4610" s="18">
        <v>4</v>
      </c>
      <c r="H4610" s="151" t="s">
        <v>563</v>
      </c>
      <c r="I4610" t="s">
        <v>561</v>
      </c>
    </row>
    <row r="4611" spans="1:9" x14ac:dyDescent="0.25">
      <c r="A4611">
        <v>1813</v>
      </c>
      <c r="B4611">
        <f>A4611+1</f>
        <v>1814</v>
      </c>
      <c r="C4611" t="s">
        <v>519</v>
      </c>
      <c r="D4611" t="s">
        <v>26</v>
      </c>
      <c r="E4611" s="208" t="s">
        <v>567</v>
      </c>
      <c r="F4611" t="s">
        <v>3</v>
      </c>
      <c r="G4611" s="18">
        <v>18500</v>
      </c>
      <c r="H4611" t="s">
        <v>24</v>
      </c>
      <c r="I4611" t="s">
        <v>16</v>
      </c>
    </row>
    <row r="4612" spans="1:9" x14ac:dyDescent="0.25">
      <c r="A4612">
        <v>1813</v>
      </c>
      <c r="B4612">
        <f>A4612+1</f>
        <v>1814</v>
      </c>
      <c r="C4612" t="s">
        <v>519</v>
      </c>
      <c r="D4612" t="s">
        <v>26</v>
      </c>
      <c r="E4612" s="208" t="s">
        <v>567</v>
      </c>
      <c r="F4612" t="s">
        <v>169</v>
      </c>
      <c r="G4612" s="18">
        <v>0</v>
      </c>
      <c r="H4612" t="s">
        <v>160</v>
      </c>
      <c r="I4612" t="s">
        <v>16</v>
      </c>
    </row>
    <row r="4613" spans="1:9" x14ac:dyDescent="0.25">
      <c r="A4613">
        <v>1813</v>
      </c>
      <c r="B4613">
        <f>A4613+1</f>
        <v>1814</v>
      </c>
      <c r="C4613" t="s">
        <v>519</v>
      </c>
      <c r="D4613" t="s">
        <v>26</v>
      </c>
      <c r="E4613" s="208" t="s">
        <v>567</v>
      </c>
      <c r="F4613" t="s">
        <v>6</v>
      </c>
      <c r="G4613" s="18">
        <v>0</v>
      </c>
      <c r="H4613" t="s">
        <v>25</v>
      </c>
      <c r="I4613" t="s">
        <v>16</v>
      </c>
    </row>
    <row r="4614" spans="1:9" x14ac:dyDescent="0.25">
      <c r="A4614">
        <v>1813</v>
      </c>
      <c r="B4614">
        <f>A4614+1</f>
        <v>1814</v>
      </c>
      <c r="C4614" t="s">
        <v>519</v>
      </c>
      <c r="D4614" t="s">
        <v>26</v>
      </c>
      <c r="E4614" s="208" t="s">
        <v>567</v>
      </c>
      <c r="F4614" t="s">
        <v>7</v>
      </c>
      <c r="G4614" s="18">
        <v>18500</v>
      </c>
      <c r="H4614" s="151" t="s">
        <v>563</v>
      </c>
      <c r="I4614" t="s">
        <v>16</v>
      </c>
    </row>
    <row r="4615" spans="1:9" x14ac:dyDescent="0.25">
      <c r="A4615">
        <v>1813</v>
      </c>
      <c r="B4615">
        <f>A4615+1</f>
        <v>1814</v>
      </c>
      <c r="C4615" t="s">
        <v>519</v>
      </c>
      <c r="D4615" t="s">
        <v>26</v>
      </c>
      <c r="E4615" s="208" t="s">
        <v>567</v>
      </c>
      <c r="F4615" t="s">
        <v>10</v>
      </c>
      <c r="G4615" s="18">
        <v>4652</v>
      </c>
      <c r="H4615" t="s">
        <v>24</v>
      </c>
      <c r="I4615" t="s">
        <v>17</v>
      </c>
    </row>
    <row r="4616" spans="1:9" x14ac:dyDescent="0.25">
      <c r="A4616">
        <v>1813</v>
      </c>
      <c r="B4616">
        <f>A4616+1</f>
        <v>1814</v>
      </c>
      <c r="C4616" t="s">
        <v>519</v>
      </c>
      <c r="D4616" t="s">
        <v>26</v>
      </c>
      <c r="E4616" s="208" t="s">
        <v>567</v>
      </c>
      <c r="F4616" t="s">
        <v>164</v>
      </c>
      <c r="G4616" s="18">
        <v>0</v>
      </c>
      <c r="H4616" t="s">
        <v>160</v>
      </c>
      <c r="I4616" t="s">
        <v>17</v>
      </c>
    </row>
    <row r="4617" spans="1:9" x14ac:dyDescent="0.25">
      <c r="A4617">
        <v>1813</v>
      </c>
      <c r="B4617">
        <f>A4617+1</f>
        <v>1814</v>
      </c>
      <c r="C4617" t="s">
        <v>519</v>
      </c>
      <c r="D4617" t="s">
        <v>26</v>
      </c>
      <c r="E4617" s="208" t="s">
        <v>567</v>
      </c>
      <c r="F4617" t="s">
        <v>13</v>
      </c>
      <c r="G4617" s="18">
        <v>0</v>
      </c>
      <c r="H4617" t="s">
        <v>25</v>
      </c>
      <c r="I4617" t="s">
        <v>17</v>
      </c>
    </row>
    <row r="4618" spans="1:9" x14ac:dyDescent="0.25">
      <c r="A4618">
        <v>1813</v>
      </c>
      <c r="B4618">
        <f>A4618+1</f>
        <v>1814</v>
      </c>
      <c r="C4618" t="s">
        <v>519</v>
      </c>
      <c r="D4618" t="s">
        <v>26</v>
      </c>
      <c r="E4618" s="208" t="s">
        <v>567</v>
      </c>
      <c r="F4618" t="s">
        <v>14</v>
      </c>
      <c r="G4618" s="18">
        <v>4652</v>
      </c>
      <c r="H4618" s="151" t="s">
        <v>563</v>
      </c>
      <c r="I4618" t="s">
        <v>17</v>
      </c>
    </row>
    <row r="4619" spans="1:9" x14ac:dyDescent="0.25">
      <c r="A4619">
        <v>1813</v>
      </c>
      <c r="B4619">
        <f>A4619+1</f>
        <v>1814</v>
      </c>
      <c r="C4619" t="s">
        <v>519</v>
      </c>
      <c r="D4619" t="s">
        <v>26</v>
      </c>
      <c r="E4619" s="208" t="s">
        <v>567</v>
      </c>
      <c r="F4619" t="s">
        <v>15</v>
      </c>
      <c r="G4619" s="18">
        <v>23152</v>
      </c>
      <c r="H4619" s="151" t="s">
        <v>563</v>
      </c>
      <c r="I4619" t="s">
        <v>561</v>
      </c>
    </row>
    <row r="4620" spans="1:9" x14ac:dyDescent="0.25">
      <c r="A4620">
        <v>1813</v>
      </c>
      <c r="B4620">
        <f>A4620+1</f>
        <v>1814</v>
      </c>
      <c r="C4620" t="s">
        <v>519</v>
      </c>
      <c r="D4620" t="s">
        <v>26</v>
      </c>
      <c r="E4620" s="208" t="s">
        <v>569</v>
      </c>
      <c r="F4620" t="s">
        <v>3</v>
      </c>
      <c r="G4620" s="18">
        <v>599</v>
      </c>
      <c r="H4620" t="s">
        <v>24</v>
      </c>
      <c r="I4620" t="s">
        <v>16</v>
      </c>
    </row>
    <row r="4621" spans="1:9" x14ac:dyDescent="0.25">
      <c r="A4621">
        <v>1813</v>
      </c>
      <c r="B4621">
        <f>A4621+1</f>
        <v>1814</v>
      </c>
      <c r="C4621" t="s">
        <v>519</v>
      </c>
      <c r="D4621" t="s">
        <v>26</v>
      </c>
      <c r="E4621" s="208" t="s">
        <v>569</v>
      </c>
      <c r="F4621" t="s">
        <v>169</v>
      </c>
      <c r="G4621" s="18">
        <v>126</v>
      </c>
      <c r="H4621" t="s">
        <v>160</v>
      </c>
      <c r="I4621" t="s">
        <v>16</v>
      </c>
    </row>
    <row r="4622" spans="1:9" x14ac:dyDescent="0.25">
      <c r="A4622">
        <v>1813</v>
      </c>
      <c r="B4622">
        <f>A4622+1</f>
        <v>1814</v>
      </c>
      <c r="C4622" t="s">
        <v>519</v>
      </c>
      <c r="D4622" t="s">
        <v>26</v>
      </c>
      <c r="E4622" s="208" t="s">
        <v>569</v>
      </c>
      <c r="F4622" t="s">
        <v>6</v>
      </c>
      <c r="G4622" s="18">
        <v>0</v>
      </c>
      <c r="H4622" t="s">
        <v>25</v>
      </c>
      <c r="I4622" t="s">
        <v>16</v>
      </c>
    </row>
    <row r="4623" spans="1:9" x14ac:dyDescent="0.25">
      <c r="A4623">
        <v>1813</v>
      </c>
      <c r="B4623">
        <f>A4623+1</f>
        <v>1814</v>
      </c>
      <c r="C4623" t="s">
        <v>519</v>
      </c>
      <c r="D4623" t="s">
        <v>26</v>
      </c>
      <c r="E4623" s="208" t="s">
        <v>569</v>
      </c>
      <c r="F4623" t="s">
        <v>7</v>
      </c>
      <c r="G4623" s="18">
        <v>725</v>
      </c>
      <c r="H4623" s="151" t="s">
        <v>563</v>
      </c>
      <c r="I4623" t="s">
        <v>16</v>
      </c>
    </row>
    <row r="4624" spans="1:9" x14ac:dyDescent="0.25">
      <c r="A4624">
        <v>1813</v>
      </c>
      <c r="B4624">
        <f>A4624+1</f>
        <v>1814</v>
      </c>
      <c r="C4624" t="s">
        <v>519</v>
      </c>
      <c r="D4624" t="s">
        <v>26</v>
      </c>
      <c r="E4624" s="208" t="s">
        <v>569</v>
      </c>
      <c r="F4624" t="s">
        <v>10</v>
      </c>
      <c r="G4624" s="18">
        <v>0</v>
      </c>
      <c r="H4624" t="s">
        <v>24</v>
      </c>
      <c r="I4624" t="s">
        <v>17</v>
      </c>
    </row>
    <row r="4625" spans="1:9" x14ac:dyDescent="0.25">
      <c r="A4625">
        <v>1813</v>
      </c>
      <c r="B4625">
        <f>A4625+1</f>
        <v>1814</v>
      </c>
      <c r="C4625" t="s">
        <v>519</v>
      </c>
      <c r="D4625" t="s">
        <v>26</v>
      </c>
      <c r="E4625" s="208" t="s">
        <v>569</v>
      </c>
      <c r="F4625" t="s">
        <v>164</v>
      </c>
      <c r="G4625" s="18">
        <v>0</v>
      </c>
      <c r="H4625" t="s">
        <v>160</v>
      </c>
      <c r="I4625" t="s">
        <v>17</v>
      </c>
    </row>
    <row r="4626" spans="1:9" x14ac:dyDescent="0.25">
      <c r="A4626">
        <v>1813</v>
      </c>
      <c r="B4626">
        <f>A4626+1</f>
        <v>1814</v>
      </c>
      <c r="C4626" t="s">
        <v>519</v>
      </c>
      <c r="D4626" t="s">
        <v>26</v>
      </c>
      <c r="E4626" s="208" t="s">
        <v>569</v>
      </c>
      <c r="F4626" t="s">
        <v>13</v>
      </c>
      <c r="G4626" s="18">
        <v>0</v>
      </c>
      <c r="H4626" t="s">
        <v>25</v>
      </c>
      <c r="I4626" t="s">
        <v>17</v>
      </c>
    </row>
    <row r="4627" spans="1:9" x14ac:dyDescent="0.25">
      <c r="A4627">
        <v>1813</v>
      </c>
      <c r="B4627">
        <f>A4627+1</f>
        <v>1814</v>
      </c>
      <c r="C4627" t="s">
        <v>519</v>
      </c>
      <c r="D4627" t="s">
        <v>26</v>
      </c>
      <c r="E4627" s="208" t="s">
        <v>569</v>
      </c>
      <c r="F4627" t="s">
        <v>14</v>
      </c>
      <c r="G4627" s="18">
        <v>0</v>
      </c>
      <c r="H4627" s="151" t="s">
        <v>563</v>
      </c>
      <c r="I4627" t="s">
        <v>17</v>
      </c>
    </row>
    <row r="4628" spans="1:9" x14ac:dyDescent="0.25">
      <c r="A4628">
        <v>1813</v>
      </c>
      <c r="B4628">
        <f>A4628+1</f>
        <v>1814</v>
      </c>
      <c r="C4628" t="s">
        <v>519</v>
      </c>
      <c r="D4628" t="s">
        <v>26</v>
      </c>
      <c r="E4628" s="208" t="s">
        <v>569</v>
      </c>
      <c r="F4628" t="s">
        <v>15</v>
      </c>
      <c r="G4628" s="18">
        <v>725</v>
      </c>
      <c r="H4628" s="151" t="s">
        <v>563</v>
      </c>
      <c r="I4628" t="s">
        <v>561</v>
      </c>
    </row>
    <row r="4629" spans="1:9" x14ac:dyDescent="0.25">
      <c r="A4629">
        <v>1813</v>
      </c>
      <c r="B4629">
        <f>A4629+1</f>
        <v>1814</v>
      </c>
      <c r="C4629" t="s">
        <v>519</v>
      </c>
      <c r="D4629" t="s">
        <v>26</v>
      </c>
      <c r="E4629" s="208" t="s">
        <v>566</v>
      </c>
      <c r="F4629" t="s">
        <v>3</v>
      </c>
      <c r="G4629" s="18">
        <v>744</v>
      </c>
      <c r="H4629" t="s">
        <v>24</v>
      </c>
      <c r="I4629" t="s">
        <v>16</v>
      </c>
    </row>
    <row r="4630" spans="1:9" x14ac:dyDescent="0.25">
      <c r="A4630">
        <v>1813</v>
      </c>
      <c r="B4630">
        <f>A4630+1</f>
        <v>1814</v>
      </c>
      <c r="C4630" t="s">
        <v>519</v>
      </c>
      <c r="D4630" t="s">
        <v>26</v>
      </c>
      <c r="E4630" s="208" t="s">
        <v>566</v>
      </c>
      <c r="F4630" t="s">
        <v>169</v>
      </c>
      <c r="G4630" s="18">
        <v>0</v>
      </c>
      <c r="H4630" t="s">
        <v>160</v>
      </c>
      <c r="I4630" t="s">
        <v>16</v>
      </c>
    </row>
    <row r="4631" spans="1:9" x14ac:dyDescent="0.25">
      <c r="A4631">
        <v>1813</v>
      </c>
      <c r="B4631">
        <f>A4631+1</f>
        <v>1814</v>
      </c>
      <c r="C4631" t="s">
        <v>519</v>
      </c>
      <c r="D4631" t="s">
        <v>26</v>
      </c>
      <c r="E4631" s="208" t="s">
        <v>566</v>
      </c>
      <c r="F4631" t="s">
        <v>6</v>
      </c>
      <c r="G4631" s="18">
        <v>0</v>
      </c>
      <c r="H4631" t="s">
        <v>25</v>
      </c>
      <c r="I4631" t="s">
        <v>16</v>
      </c>
    </row>
    <row r="4632" spans="1:9" x14ac:dyDescent="0.25">
      <c r="A4632">
        <v>1813</v>
      </c>
      <c r="B4632">
        <f>A4632+1</f>
        <v>1814</v>
      </c>
      <c r="C4632" t="s">
        <v>519</v>
      </c>
      <c r="D4632" t="s">
        <v>26</v>
      </c>
      <c r="E4632" s="208" t="s">
        <v>566</v>
      </c>
      <c r="F4632" t="s">
        <v>7</v>
      </c>
      <c r="G4632" s="18">
        <v>744</v>
      </c>
      <c r="H4632" s="151" t="s">
        <v>563</v>
      </c>
      <c r="I4632" t="s">
        <v>16</v>
      </c>
    </row>
    <row r="4633" spans="1:9" x14ac:dyDescent="0.25">
      <c r="A4633">
        <v>1813</v>
      </c>
      <c r="B4633">
        <f>A4633+1</f>
        <v>1814</v>
      </c>
      <c r="C4633" t="s">
        <v>519</v>
      </c>
      <c r="D4633" t="s">
        <v>26</v>
      </c>
      <c r="E4633" s="208" t="s">
        <v>566</v>
      </c>
      <c r="F4633" t="s">
        <v>10</v>
      </c>
      <c r="G4633" s="18">
        <v>0</v>
      </c>
      <c r="H4633" t="s">
        <v>24</v>
      </c>
      <c r="I4633" t="s">
        <v>17</v>
      </c>
    </row>
    <row r="4634" spans="1:9" x14ac:dyDescent="0.25">
      <c r="A4634">
        <v>1813</v>
      </c>
      <c r="B4634">
        <f>A4634+1</f>
        <v>1814</v>
      </c>
      <c r="C4634" t="s">
        <v>519</v>
      </c>
      <c r="D4634" t="s">
        <v>26</v>
      </c>
      <c r="E4634" s="208" t="s">
        <v>566</v>
      </c>
      <c r="F4634" t="s">
        <v>164</v>
      </c>
      <c r="G4634" s="18">
        <v>0</v>
      </c>
      <c r="H4634" t="s">
        <v>160</v>
      </c>
      <c r="I4634" t="s">
        <v>17</v>
      </c>
    </row>
    <row r="4635" spans="1:9" x14ac:dyDescent="0.25">
      <c r="A4635">
        <v>1813</v>
      </c>
      <c r="B4635">
        <f>A4635+1</f>
        <v>1814</v>
      </c>
      <c r="C4635" t="s">
        <v>519</v>
      </c>
      <c r="D4635" t="s">
        <v>26</v>
      </c>
      <c r="E4635" s="208" t="s">
        <v>566</v>
      </c>
      <c r="F4635" t="s">
        <v>13</v>
      </c>
      <c r="G4635" s="18">
        <v>0</v>
      </c>
      <c r="H4635" t="s">
        <v>25</v>
      </c>
      <c r="I4635" t="s">
        <v>17</v>
      </c>
    </row>
    <row r="4636" spans="1:9" x14ac:dyDescent="0.25">
      <c r="A4636">
        <v>1813</v>
      </c>
      <c r="B4636">
        <f>A4636+1</f>
        <v>1814</v>
      </c>
      <c r="C4636" t="s">
        <v>519</v>
      </c>
      <c r="D4636" t="s">
        <v>26</v>
      </c>
      <c r="E4636" s="208" t="s">
        <v>566</v>
      </c>
      <c r="F4636" t="s">
        <v>14</v>
      </c>
      <c r="G4636" s="18">
        <v>0</v>
      </c>
      <c r="H4636" s="151" t="s">
        <v>563</v>
      </c>
      <c r="I4636" t="s">
        <v>17</v>
      </c>
    </row>
    <row r="4637" spans="1:9" x14ac:dyDescent="0.25">
      <c r="A4637">
        <v>1813</v>
      </c>
      <c r="B4637">
        <f>A4637+1</f>
        <v>1814</v>
      </c>
      <c r="C4637" t="s">
        <v>519</v>
      </c>
      <c r="D4637" t="s">
        <v>26</v>
      </c>
      <c r="E4637" s="208" t="s">
        <v>566</v>
      </c>
      <c r="F4637" t="s">
        <v>15</v>
      </c>
      <c r="G4637" s="18">
        <v>744</v>
      </c>
      <c r="H4637" s="151" t="s">
        <v>563</v>
      </c>
      <c r="I4637" t="s">
        <v>561</v>
      </c>
    </row>
    <row r="4638" spans="1:9" x14ac:dyDescent="0.25">
      <c r="A4638">
        <v>1814</v>
      </c>
      <c r="B4638">
        <f>A4638+1</f>
        <v>1815</v>
      </c>
      <c r="C4638" t="s">
        <v>520</v>
      </c>
      <c r="D4638" t="s">
        <v>26</v>
      </c>
      <c r="E4638" s="208" t="s">
        <v>572</v>
      </c>
      <c r="F4638" t="s">
        <v>3</v>
      </c>
      <c r="G4638" s="18">
        <v>3734</v>
      </c>
      <c r="H4638" t="s">
        <v>24</v>
      </c>
      <c r="I4638" t="s">
        <v>16</v>
      </c>
    </row>
    <row r="4639" spans="1:9" x14ac:dyDescent="0.25">
      <c r="A4639">
        <v>1814</v>
      </c>
      <c r="B4639">
        <f>A4639+1</f>
        <v>1815</v>
      </c>
      <c r="C4639" t="s">
        <v>520</v>
      </c>
      <c r="D4639" t="s">
        <v>26</v>
      </c>
      <c r="E4639" s="208" t="s">
        <v>572</v>
      </c>
      <c r="F4639" t="s">
        <v>169</v>
      </c>
      <c r="G4639" s="18">
        <v>0</v>
      </c>
      <c r="H4639" t="s">
        <v>160</v>
      </c>
      <c r="I4639" t="s">
        <v>16</v>
      </c>
    </row>
    <row r="4640" spans="1:9" x14ac:dyDescent="0.25">
      <c r="A4640">
        <v>1814</v>
      </c>
      <c r="B4640">
        <f>A4640+1</f>
        <v>1815</v>
      </c>
      <c r="C4640" t="s">
        <v>520</v>
      </c>
      <c r="D4640" t="s">
        <v>26</v>
      </c>
      <c r="E4640" s="208" t="s">
        <v>572</v>
      </c>
      <c r="F4640" t="s">
        <v>6</v>
      </c>
      <c r="G4640" s="18">
        <v>0</v>
      </c>
      <c r="H4640" t="s">
        <v>25</v>
      </c>
      <c r="I4640" t="s">
        <v>16</v>
      </c>
    </row>
    <row r="4641" spans="1:9" x14ac:dyDescent="0.25">
      <c r="A4641">
        <v>1814</v>
      </c>
      <c r="B4641">
        <f>A4641+1</f>
        <v>1815</v>
      </c>
      <c r="C4641" t="s">
        <v>520</v>
      </c>
      <c r="D4641" t="s">
        <v>26</v>
      </c>
      <c r="E4641" s="208" t="s">
        <v>572</v>
      </c>
      <c r="F4641" t="s">
        <v>4</v>
      </c>
      <c r="G4641" s="18">
        <v>0</v>
      </c>
      <c r="H4641" t="s">
        <v>23</v>
      </c>
      <c r="I4641" t="s">
        <v>16</v>
      </c>
    </row>
    <row r="4642" spans="1:9" x14ac:dyDescent="0.25">
      <c r="A4642">
        <v>1814</v>
      </c>
      <c r="B4642">
        <f>A4642+1</f>
        <v>1815</v>
      </c>
      <c r="C4642" t="s">
        <v>520</v>
      </c>
      <c r="D4642" t="s">
        <v>26</v>
      </c>
      <c r="E4642" s="208" t="s">
        <v>572</v>
      </c>
      <c r="F4642" t="s">
        <v>7</v>
      </c>
      <c r="G4642" s="18">
        <v>3734</v>
      </c>
      <c r="H4642" s="151" t="s">
        <v>563</v>
      </c>
      <c r="I4642" t="s">
        <v>16</v>
      </c>
    </row>
    <row r="4643" spans="1:9" x14ac:dyDescent="0.25">
      <c r="A4643">
        <v>1814</v>
      </c>
      <c r="B4643">
        <f>A4643+1</f>
        <v>1815</v>
      </c>
      <c r="C4643" t="s">
        <v>520</v>
      </c>
      <c r="D4643" t="s">
        <v>26</v>
      </c>
      <c r="E4643" s="208" t="s">
        <v>572</v>
      </c>
      <c r="F4643" t="s">
        <v>10</v>
      </c>
      <c r="G4643" s="18">
        <v>885</v>
      </c>
      <c r="H4643" t="s">
        <v>24</v>
      </c>
      <c r="I4643" t="s">
        <v>17</v>
      </c>
    </row>
    <row r="4644" spans="1:9" x14ac:dyDescent="0.25">
      <c r="A4644">
        <v>1814</v>
      </c>
      <c r="B4644">
        <f>A4644+1</f>
        <v>1815</v>
      </c>
      <c r="C4644" t="s">
        <v>520</v>
      </c>
      <c r="D4644" t="s">
        <v>26</v>
      </c>
      <c r="E4644" s="208" t="s">
        <v>572</v>
      </c>
      <c r="F4644" t="s">
        <v>164</v>
      </c>
      <c r="G4644" s="18">
        <v>0</v>
      </c>
      <c r="H4644" t="s">
        <v>160</v>
      </c>
      <c r="I4644" t="s">
        <v>17</v>
      </c>
    </row>
    <row r="4645" spans="1:9" x14ac:dyDescent="0.25">
      <c r="A4645">
        <v>1814</v>
      </c>
      <c r="B4645">
        <f>A4645+1</f>
        <v>1815</v>
      </c>
      <c r="C4645" t="s">
        <v>520</v>
      </c>
      <c r="D4645" t="s">
        <v>26</v>
      </c>
      <c r="E4645" s="208" t="s">
        <v>572</v>
      </c>
      <c r="F4645" t="s">
        <v>13</v>
      </c>
      <c r="G4645" s="18">
        <v>0</v>
      </c>
      <c r="H4645" t="s">
        <v>25</v>
      </c>
      <c r="I4645" t="s">
        <v>17</v>
      </c>
    </row>
    <row r="4646" spans="1:9" x14ac:dyDescent="0.25">
      <c r="A4646">
        <v>1814</v>
      </c>
      <c r="B4646">
        <f>A4646+1</f>
        <v>1815</v>
      </c>
      <c r="C4646" t="s">
        <v>520</v>
      </c>
      <c r="D4646" t="s">
        <v>26</v>
      </c>
      <c r="E4646" s="208" t="s">
        <v>572</v>
      </c>
      <c r="F4646" t="s">
        <v>11</v>
      </c>
      <c r="G4646" s="18">
        <v>0</v>
      </c>
      <c r="H4646" t="s">
        <v>23</v>
      </c>
      <c r="I4646" t="s">
        <v>17</v>
      </c>
    </row>
    <row r="4647" spans="1:9" x14ac:dyDescent="0.25">
      <c r="A4647">
        <v>1814</v>
      </c>
      <c r="B4647">
        <f>A4647+1</f>
        <v>1815</v>
      </c>
      <c r="C4647" t="s">
        <v>520</v>
      </c>
      <c r="D4647" t="s">
        <v>26</v>
      </c>
      <c r="E4647" s="208" t="s">
        <v>572</v>
      </c>
      <c r="F4647" t="s">
        <v>14</v>
      </c>
      <c r="G4647" s="18">
        <v>885</v>
      </c>
      <c r="H4647" s="151" t="s">
        <v>563</v>
      </c>
      <c r="I4647" t="s">
        <v>17</v>
      </c>
    </row>
    <row r="4648" spans="1:9" x14ac:dyDescent="0.25">
      <c r="A4648">
        <v>1814</v>
      </c>
      <c r="B4648">
        <f>A4648+1</f>
        <v>1815</v>
      </c>
      <c r="C4648" t="s">
        <v>520</v>
      </c>
      <c r="D4648" t="s">
        <v>26</v>
      </c>
      <c r="E4648" s="208" t="s">
        <v>572</v>
      </c>
      <c r="F4648" t="s">
        <v>15</v>
      </c>
      <c r="G4648" s="18">
        <v>4619</v>
      </c>
      <c r="H4648" s="151" t="s">
        <v>563</v>
      </c>
      <c r="I4648" t="s">
        <v>561</v>
      </c>
    </row>
    <row r="4649" spans="1:9" x14ac:dyDescent="0.25">
      <c r="A4649">
        <v>1814</v>
      </c>
      <c r="B4649">
        <f>A4649+1</f>
        <v>1815</v>
      </c>
      <c r="C4649" t="s">
        <v>520</v>
      </c>
      <c r="D4649" t="s">
        <v>26</v>
      </c>
      <c r="E4649" s="208" t="s">
        <v>571</v>
      </c>
      <c r="F4649" t="s">
        <v>3</v>
      </c>
      <c r="G4649" s="18">
        <v>3983</v>
      </c>
      <c r="H4649" t="s">
        <v>24</v>
      </c>
      <c r="I4649" t="s">
        <v>16</v>
      </c>
    </row>
    <row r="4650" spans="1:9" x14ac:dyDescent="0.25">
      <c r="A4650">
        <v>1814</v>
      </c>
      <c r="B4650">
        <f>A4650+1</f>
        <v>1815</v>
      </c>
      <c r="C4650" t="s">
        <v>520</v>
      </c>
      <c r="D4650" t="s">
        <v>26</v>
      </c>
      <c r="E4650" s="208" t="s">
        <v>571</v>
      </c>
      <c r="F4650" t="s">
        <v>169</v>
      </c>
      <c r="G4650" s="18">
        <v>0</v>
      </c>
      <c r="H4650" t="s">
        <v>160</v>
      </c>
      <c r="I4650" t="s">
        <v>16</v>
      </c>
    </row>
    <row r="4651" spans="1:9" x14ac:dyDescent="0.25">
      <c r="A4651">
        <v>1814</v>
      </c>
      <c r="B4651">
        <f>A4651+1</f>
        <v>1815</v>
      </c>
      <c r="C4651" t="s">
        <v>520</v>
      </c>
      <c r="D4651" t="s">
        <v>26</v>
      </c>
      <c r="E4651" s="208" t="s">
        <v>571</v>
      </c>
      <c r="F4651" t="s">
        <v>6</v>
      </c>
      <c r="G4651" s="18">
        <v>0</v>
      </c>
      <c r="H4651" t="s">
        <v>25</v>
      </c>
      <c r="I4651" t="s">
        <v>16</v>
      </c>
    </row>
    <row r="4652" spans="1:9" x14ac:dyDescent="0.25">
      <c r="A4652">
        <v>1814</v>
      </c>
      <c r="B4652">
        <f>A4652+1</f>
        <v>1815</v>
      </c>
      <c r="C4652" t="s">
        <v>520</v>
      </c>
      <c r="D4652" t="s">
        <v>26</v>
      </c>
      <c r="E4652" s="208" t="s">
        <v>571</v>
      </c>
      <c r="F4652" t="s">
        <v>4</v>
      </c>
      <c r="G4652" s="18">
        <v>0</v>
      </c>
      <c r="H4652" t="s">
        <v>23</v>
      </c>
      <c r="I4652" t="s">
        <v>16</v>
      </c>
    </row>
    <row r="4653" spans="1:9" x14ac:dyDescent="0.25">
      <c r="A4653">
        <v>1814</v>
      </c>
      <c r="B4653">
        <f>A4653+1</f>
        <v>1815</v>
      </c>
      <c r="C4653" t="s">
        <v>520</v>
      </c>
      <c r="D4653" t="s">
        <v>26</v>
      </c>
      <c r="E4653" s="208" t="s">
        <v>571</v>
      </c>
      <c r="F4653" t="s">
        <v>7</v>
      </c>
      <c r="G4653" s="18">
        <v>3983</v>
      </c>
      <c r="H4653" s="151" t="s">
        <v>563</v>
      </c>
      <c r="I4653" t="s">
        <v>16</v>
      </c>
    </row>
    <row r="4654" spans="1:9" x14ac:dyDescent="0.25">
      <c r="A4654">
        <v>1814</v>
      </c>
      <c r="B4654">
        <f>A4654+1</f>
        <v>1815</v>
      </c>
      <c r="C4654" t="s">
        <v>520</v>
      </c>
      <c r="D4654" t="s">
        <v>26</v>
      </c>
      <c r="E4654" s="208" t="s">
        <v>571</v>
      </c>
      <c r="F4654" t="s">
        <v>10</v>
      </c>
      <c r="G4654" s="18">
        <v>340</v>
      </c>
      <c r="H4654" t="s">
        <v>24</v>
      </c>
      <c r="I4654" t="s">
        <v>17</v>
      </c>
    </row>
    <row r="4655" spans="1:9" x14ac:dyDescent="0.25">
      <c r="A4655">
        <v>1814</v>
      </c>
      <c r="B4655">
        <f>A4655+1</f>
        <v>1815</v>
      </c>
      <c r="C4655" t="s">
        <v>520</v>
      </c>
      <c r="D4655" t="s">
        <v>26</v>
      </c>
      <c r="E4655" s="208" t="s">
        <v>571</v>
      </c>
      <c r="F4655" t="s">
        <v>164</v>
      </c>
      <c r="G4655" s="18">
        <v>0</v>
      </c>
      <c r="H4655" t="s">
        <v>160</v>
      </c>
      <c r="I4655" t="s">
        <v>17</v>
      </c>
    </row>
    <row r="4656" spans="1:9" x14ac:dyDescent="0.25">
      <c r="A4656">
        <v>1814</v>
      </c>
      <c r="B4656">
        <f>A4656+1</f>
        <v>1815</v>
      </c>
      <c r="C4656" t="s">
        <v>520</v>
      </c>
      <c r="D4656" t="s">
        <v>26</v>
      </c>
      <c r="E4656" s="208" t="s">
        <v>571</v>
      </c>
      <c r="F4656" t="s">
        <v>13</v>
      </c>
      <c r="G4656" s="18">
        <v>0</v>
      </c>
      <c r="H4656" t="s">
        <v>25</v>
      </c>
      <c r="I4656" t="s">
        <v>17</v>
      </c>
    </row>
    <row r="4657" spans="1:9" x14ac:dyDescent="0.25">
      <c r="A4657">
        <v>1814</v>
      </c>
      <c r="B4657">
        <f>A4657+1</f>
        <v>1815</v>
      </c>
      <c r="C4657" t="s">
        <v>520</v>
      </c>
      <c r="D4657" t="s">
        <v>26</v>
      </c>
      <c r="E4657" s="208" t="s">
        <v>571</v>
      </c>
      <c r="F4657" t="s">
        <v>11</v>
      </c>
      <c r="G4657" s="18">
        <v>0</v>
      </c>
      <c r="H4657" t="s">
        <v>23</v>
      </c>
      <c r="I4657" t="s">
        <v>17</v>
      </c>
    </row>
    <row r="4658" spans="1:9" x14ac:dyDescent="0.25">
      <c r="A4658">
        <v>1814</v>
      </c>
      <c r="B4658">
        <f>A4658+1</f>
        <v>1815</v>
      </c>
      <c r="C4658" t="s">
        <v>520</v>
      </c>
      <c r="D4658" t="s">
        <v>26</v>
      </c>
      <c r="E4658" s="208" t="s">
        <v>571</v>
      </c>
      <c r="F4658" t="s">
        <v>14</v>
      </c>
      <c r="G4658" s="18">
        <v>340</v>
      </c>
      <c r="H4658" s="151" t="s">
        <v>563</v>
      </c>
      <c r="I4658" t="s">
        <v>17</v>
      </c>
    </row>
    <row r="4659" spans="1:9" x14ac:dyDescent="0.25">
      <c r="A4659">
        <v>1814</v>
      </c>
      <c r="B4659">
        <f>A4659+1</f>
        <v>1815</v>
      </c>
      <c r="C4659" t="s">
        <v>520</v>
      </c>
      <c r="D4659" t="s">
        <v>26</v>
      </c>
      <c r="E4659" s="208" t="s">
        <v>571</v>
      </c>
      <c r="F4659" t="s">
        <v>15</v>
      </c>
      <c r="G4659" s="18">
        <v>4323</v>
      </c>
      <c r="H4659" s="151" t="s">
        <v>563</v>
      </c>
      <c r="I4659" t="s">
        <v>561</v>
      </c>
    </row>
    <row r="4660" spans="1:9" x14ac:dyDescent="0.25">
      <c r="A4660">
        <v>1814</v>
      </c>
      <c r="B4660">
        <f>A4660+1</f>
        <v>1815</v>
      </c>
      <c r="C4660" t="s">
        <v>520</v>
      </c>
      <c r="D4660" t="s">
        <v>26</v>
      </c>
      <c r="E4660" s="208" t="s">
        <v>570</v>
      </c>
      <c r="F4660" t="s">
        <v>3</v>
      </c>
      <c r="G4660" s="18">
        <v>1009</v>
      </c>
      <c r="H4660" t="s">
        <v>24</v>
      </c>
      <c r="I4660" t="s">
        <v>16</v>
      </c>
    </row>
    <row r="4661" spans="1:9" x14ac:dyDescent="0.25">
      <c r="A4661">
        <v>1814</v>
      </c>
      <c r="B4661">
        <f>A4661+1</f>
        <v>1815</v>
      </c>
      <c r="C4661" t="s">
        <v>520</v>
      </c>
      <c r="D4661" t="s">
        <v>26</v>
      </c>
      <c r="E4661" s="208" t="s">
        <v>570</v>
      </c>
      <c r="F4661" t="s">
        <v>169</v>
      </c>
      <c r="G4661" s="18">
        <v>0</v>
      </c>
      <c r="H4661" t="s">
        <v>160</v>
      </c>
      <c r="I4661" t="s">
        <v>16</v>
      </c>
    </row>
    <row r="4662" spans="1:9" x14ac:dyDescent="0.25">
      <c r="A4662">
        <v>1814</v>
      </c>
      <c r="B4662">
        <f>A4662+1</f>
        <v>1815</v>
      </c>
      <c r="C4662" t="s">
        <v>520</v>
      </c>
      <c r="D4662" t="s">
        <v>26</v>
      </c>
      <c r="E4662" s="208" t="s">
        <v>570</v>
      </c>
      <c r="F4662" t="s">
        <v>6</v>
      </c>
      <c r="G4662" s="18">
        <v>0</v>
      </c>
      <c r="H4662" t="s">
        <v>25</v>
      </c>
      <c r="I4662" t="s">
        <v>16</v>
      </c>
    </row>
    <row r="4663" spans="1:9" x14ac:dyDescent="0.25">
      <c r="A4663">
        <v>1814</v>
      </c>
      <c r="B4663">
        <f>A4663+1</f>
        <v>1815</v>
      </c>
      <c r="C4663" t="s">
        <v>520</v>
      </c>
      <c r="D4663" t="s">
        <v>26</v>
      </c>
      <c r="E4663" s="208" t="s">
        <v>570</v>
      </c>
      <c r="F4663" t="s">
        <v>4</v>
      </c>
      <c r="G4663" s="18">
        <v>0</v>
      </c>
      <c r="H4663" t="s">
        <v>23</v>
      </c>
      <c r="I4663" t="s">
        <v>16</v>
      </c>
    </row>
    <row r="4664" spans="1:9" x14ac:dyDescent="0.25">
      <c r="A4664">
        <v>1814</v>
      </c>
      <c r="B4664">
        <f>A4664+1</f>
        <v>1815</v>
      </c>
      <c r="C4664" t="s">
        <v>520</v>
      </c>
      <c r="D4664" t="s">
        <v>26</v>
      </c>
      <c r="E4664" s="208" t="s">
        <v>570</v>
      </c>
      <c r="F4664" t="s">
        <v>7</v>
      </c>
      <c r="G4664" s="18">
        <v>1009</v>
      </c>
      <c r="H4664" s="151" t="s">
        <v>563</v>
      </c>
      <c r="I4664" t="s">
        <v>16</v>
      </c>
    </row>
    <row r="4665" spans="1:9" x14ac:dyDescent="0.25">
      <c r="A4665">
        <v>1814</v>
      </c>
      <c r="B4665">
        <f>A4665+1</f>
        <v>1815</v>
      </c>
      <c r="C4665" t="s">
        <v>520</v>
      </c>
      <c r="D4665" t="s">
        <v>26</v>
      </c>
      <c r="E4665" s="208" t="s">
        <v>570</v>
      </c>
      <c r="F4665" t="s">
        <v>10</v>
      </c>
      <c r="G4665" s="18">
        <v>1080</v>
      </c>
      <c r="H4665" t="s">
        <v>24</v>
      </c>
      <c r="I4665" t="s">
        <v>17</v>
      </c>
    </row>
    <row r="4666" spans="1:9" x14ac:dyDescent="0.25">
      <c r="A4666">
        <v>1814</v>
      </c>
      <c r="B4666">
        <f>A4666+1</f>
        <v>1815</v>
      </c>
      <c r="C4666" t="s">
        <v>520</v>
      </c>
      <c r="D4666" t="s">
        <v>26</v>
      </c>
      <c r="E4666" s="208" t="s">
        <v>570</v>
      </c>
      <c r="F4666" t="s">
        <v>164</v>
      </c>
      <c r="G4666" s="18">
        <v>0</v>
      </c>
      <c r="H4666" t="s">
        <v>160</v>
      </c>
      <c r="I4666" t="s">
        <v>17</v>
      </c>
    </row>
    <row r="4667" spans="1:9" x14ac:dyDescent="0.25">
      <c r="A4667">
        <v>1814</v>
      </c>
      <c r="B4667">
        <f>A4667+1</f>
        <v>1815</v>
      </c>
      <c r="C4667" t="s">
        <v>520</v>
      </c>
      <c r="D4667" t="s">
        <v>26</v>
      </c>
      <c r="E4667" s="208" t="s">
        <v>570</v>
      </c>
      <c r="F4667" t="s">
        <v>13</v>
      </c>
      <c r="G4667" s="18">
        <v>0</v>
      </c>
      <c r="H4667" t="s">
        <v>25</v>
      </c>
      <c r="I4667" t="s">
        <v>17</v>
      </c>
    </row>
    <row r="4668" spans="1:9" x14ac:dyDescent="0.25">
      <c r="A4668">
        <v>1814</v>
      </c>
      <c r="B4668">
        <f>A4668+1</f>
        <v>1815</v>
      </c>
      <c r="C4668" t="s">
        <v>520</v>
      </c>
      <c r="D4668" t="s">
        <v>26</v>
      </c>
      <c r="E4668" s="208" t="s">
        <v>570</v>
      </c>
      <c r="F4668" t="s">
        <v>11</v>
      </c>
      <c r="G4668" s="18">
        <v>0</v>
      </c>
      <c r="H4668" t="s">
        <v>23</v>
      </c>
      <c r="I4668" t="s">
        <v>17</v>
      </c>
    </row>
    <row r="4669" spans="1:9" x14ac:dyDescent="0.25">
      <c r="A4669">
        <v>1814</v>
      </c>
      <c r="B4669">
        <f>A4669+1</f>
        <v>1815</v>
      </c>
      <c r="C4669" t="s">
        <v>520</v>
      </c>
      <c r="D4669" t="s">
        <v>26</v>
      </c>
      <c r="E4669" s="208" t="s">
        <v>570</v>
      </c>
      <c r="F4669" t="s">
        <v>14</v>
      </c>
      <c r="G4669" s="18">
        <v>1080</v>
      </c>
      <c r="H4669" s="151" t="s">
        <v>563</v>
      </c>
      <c r="I4669" t="s">
        <v>17</v>
      </c>
    </row>
    <row r="4670" spans="1:9" x14ac:dyDescent="0.25">
      <c r="A4670">
        <v>1814</v>
      </c>
      <c r="B4670">
        <f>A4670+1</f>
        <v>1815</v>
      </c>
      <c r="C4670" t="s">
        <v>520</v>
      </c>
      <c r="D4670" t="s">
        <v>26</v>
      </c>
      <c r="E4670" s="208" t="s">
        <v>570</v>
      </c>
      <c r="F4670" t="s">
        <v>15</v>
      </c>
      <c r="G4670" s="18">
        <v>2089</v>
      </c>
      <c r="H4670" s="151" t="s">
        <v>563</v>
      </c>
      <c r="I4670" t="s">
        <v>561</v>
      </c>
    </row>
    <row r="4671" spans="1:9" x14ac:dyDescent="0.25">
      <c r="A4671">
        <v>1814</v>
      </c>
      <c r="B4671">
        <f>A4671+1</f>
        <v>1815</v>
      </c>
      <c r="C4671" t="s">
        <v>520</v>
      </c>
      <c r="D4671" t="s">
        <v>27</v>
      </c>
      <c r="E4671" s="208" t="s">
        <v>155</v>
      </c>
      <c r="F4671" t="s">
        <v>3</v>
      </c>
      <c r="G4671" s="18">
        <v>131</v>
      </c>
      <c r="H4671" t="s">
        <v>16</v>
      </c>
      <c r="I4671" t="s">
        <v>24</v>
      </c>
    </row>
    <row r="4672" spans="1:9" x14ac:dyDescent="0.25">
      <c r="A4672">
        <v>1814</v>
      </c>
      <c r="B4672">
        <f>A4672+1</f>
        <v>1815</v>
      </c>
      <c r="C4672" t="s">
        <v>520</v>
      </c>
      <c r="D4672" t="s">
        <v>27</v>
      </c>
      <c r="E4672" s="208" t="s">
        <v>156</v>
      </c>
      <c r="F4672" t="s">
        <v>3</v>
      </c>
      <c r="G4672" s="18">
        <v>123</v>
      </c>
      <c r="H4672" t="s">
        <v>16</v>
      </c>
      <c r="I4672" t="s">
        <v>24</v>
      </c>
    </row>
    <row r="4673" spans="1:9" x14ac:dyDescent="0.25">
      <c r="A4673">
        <v>1814</v>
      </c>
      <c r="B4673">
        <f>A4673+1</f>
        <v>1815</v>
      </c>
      <c r="C4673" t="s">
        <v>520</v>
      </c>
      <c r="D4673" t="s">
        <v>27</v>
      </c>
      <c r="E4673" s="208" t="s">
        <v>154</v>
      </c>
      <c r="F4673" t="s">
        <v>3</v>
      </c>
      <c r="G4673" s="18">
        <v>620</v>
      </c>
      <c r="H4673" t="s">
        <v>16</v>
      </c>
      <c r="I4673" t="s">
        <v>24</v>
      </c>
    </row>
    <row r="4674" spans="1:9" x14ac:dyDescent="0.25">
      <c r="A4674">
        <v>1814</v>
      </c>
      <c r="B4674">
        <f>A4674+1</f>
        <v>1815</v>
      </c>
      <c r="C4674" t="s">
        <v>520</v>
      </c>
      <c r="D4674" t="s">
        <v>27</v>
      </c>
      <c r="E4674" s="208" t="s">
        <v>150</v>
      </c>
      <c r="F4674" t="s">
        <v>3</v>
      </c>
      <c r="G4674" s="18">
        <v>4001</v>
      </c>
      <c r="H4674" t="s">
        <v>16</v>
      </c>
      <c r="I4674" t="s">
        <v>24</v>
      </c>
    </row>
    <row r="4675" spans="1:9" x14ac:dyDescent="0.25">
      <c r="A4675">
        <v>1814</v>
      </c>
      <c r="B4675">
        <f>A4675+1</f>
        <v>1815</v>
      </c>
      <c r="C4675" t="s">
        <v>520</v>
      </c>
      <c r="D4675" t="s">
        <v>27</v>
      </c>
      <c r="E4675" s="208" t="s">
        <v>148</v>
      </c>
      <c r="F4675" t="s">
        <v>3</v>
      </c>
      <c r="G4675" s="18">
        <v>386</v>
      </c>
      <c r="H4675" t="s">
        <v>16</v>
      </c>
      <c r="I4675" t="s">
        <v>24</v>
      </c>
    </row>
    <row r="4676" spans="1:9" x14ac:dyDescent="0.25">
      <c r="A4676">
        <v>1814</v>
      </c>
      <c r="B4676">
        <f>A4676+1</f>
        <v>1815</v>
      </c>
      <c r="C4676" t="s">
        <v>520</v>
      </c>
      <c r="D4676" t="s">
        <v>27</v>
      </c>
      <c r="E4676" s="208" t="s">
        <v>147</v>
      </c>
      <c r="F4676" t="s">
        <v>3</v>
      </c>
      <c r="G4676" s="18">
        <v>67</v>
      </c>
      <c r="H4676" t="s">
        <v>16</v>
      </c>
      <c r="I4676" t="s">
        <v>24</v>
      </c>
    </row>
    <row r="4677" spans="1:9" x14ac:dyDescent="0.25">
      <c r="A4677">
        <v>1814</v>
      </c>
      <c r="B4677">
        <f>A4677+1</f>
        <v>1815</v>
      </c>
      <c r="C4677" t="s">
        <v>520</v>
      </c>
      <c r="D4677" t="s">
        <v>27</v>
      </c>
      <c r="E4677" s="208" t="s">
        <v>314</v>
      </c>
      <c r="F4677" t="s">
        <v>3</v>
      </c>
      <c r="G4677" s="18">
        <v>0</v>
      </c>
      <c r="H4677" t="s">
        <v>16</v>
      </c>
      <c r="I4677" t="s">
        <v>24</v>
      </c>
    </row>
    <row r="4678" spans="1:9" x14ac:dyDescent="0.25">
      <c r="A4678">
        <v>1814</v>
      </c>
      <c r="B4678">
        <f>A4678+1</f>
        <v>1815</v>
      </c>
      <c r="C4678" t="s">
        <v>520</v>
      </c>
      <c r="D4678" t="s">
        <v>27</v>
      </c>
      <c r="E4678" s="208" t="s">
        <v>139</v>
      </c>
      <c r="F4678" t="s">
        <v>3</v>
      </c>
      <c r="G4678" s="18">
        <v>1</v>
      </c>
      <c r="H4678" t="s">
        <v>16</v>
      </c>
      <c r="I4678" t="s">
        <v>24</v>
      </c>
    </row>
    <row r="4679" spans="1:9" x14ac:dyDescent="0.25">
      <c r="A4679">
        <v>1814</v>
      </c>
      <c r="B4679">
        <f>A4679+1</f>
        <v>1815</v>
      </c>
      <c r="C4679" t="s">
        <v>520</v>
      </c>
      <c r="D4679" t="s">
        <v>27</v>
      </c>
      <c r="E4679" s="208" t="s">
        <v>132</v>
      </c>
      <c r="F4679" t="s">
        <v>3</v>
      </c>
      <c r="G4679" s="18">
        <v>2</v>
      </c>
      <c r="H4679" t="s">
        <v>16</v>
      </c>
      <c r="I4679" t="s">
        <v>24</v>
      </c>
    </row>
    <row r="4680" spans="1:9" x14ac:dyDescent="0.25">
      <c r="A4680">
        <v>1814</v>
      </c>
      <c r="B4680">
        <f>A4680+1</f>
        <v>1815</v>
      </c>
      <c r="C4680" t="s">
        <v>520</v>
      </c>
      <c r="D4680" t="s">
        <v>27</v>
      </c>
      <c r="E4680" s="208" t="s">
        <v>130</v>
      </c>
      <c r="F4680" t="s">
        <v>3</v>
      </c>
      <c r="G4680" s="18">
        <v>24</v>
      </c>
      <c r="H4680" t="s">
        <v>16</v>
      </c>
      <c r="I4680" t="s">
        <v>24</v>
      </c>
    </row>
    <row r="4681" spans="1:9" x14ac:dyDescent="0.25">
      <c r="A4681">
        <v>1814</v>
      </c>
      <c r="B4681">
        <f>A4681+1</f>
        <v>1815</v>
      </c>
      <c r="C4681" t="s">
        <v>520</v>
      </c>
      <c r="D4681" t="s">
        <v>27</v>
      </c>
      <c r="E4681" s="208" t="s">
        <v>144</v>
      </c>
      <c r="F4681" t="s">
        <v>3</v>
      </c>
      <c r="G4681" s="18">
        <v>30</v>
      </c>
      <c r="H4681" t="s">
        <v>16</v>
      </c>
      <c r="I4681" t="s">
        <v>24</v>
      </c>
    </row>
    <row r="4682" spans="1:9" x14ac:dyDescent="0.25">
      <c r="A4682">
        <v>1814</v>
      </c>
      <c r="B4682">
        <f>A4682+1</f>
        <v>1815</v>
      </c>
      <c r="C4682" t="s">
        <v>520</v>
      </c>
      <c r="D4682" t="s">
        <v>27</v>
      </c>
      <c r="E4682" s="208" t="s">
        <v>142</v>
      </c>
      <c r="F4682" t="s">
        <v>3</v>
      </c>
      <c r="G4682" s="18">
        <v>156</v>
      </c>
      <c r="H4682" t="s">
        <v>16</v>
      </c>
      <c r="I4682" t="s">
        <v>24</v>
      </c>
    </row>
    <row r="4683" spans="1:9" x14ac:dyDescent="0.25">
      <c r="A4683">
        <v>1814</v>
      </c>
      <c r="B4683">
        <f>A4683+1</f>
        <v>1815</v>
      </c>
      <c r="C4683" t="s">
        <v>520</v>
      </c>
      <c r="D4683" t="s">
        <v>27</v>
      </c>
      <c r="E4683" s="208" t="s">
        <v>124</v>
      </c>
      <c r="F4683" t="s">
        <v>3</v>
      </c>
      <c r="G4683" s="18">
        <v>103894</v>
      </c>
      <c r="H4683" t="s">
        <v>16</v>
      </c>
      <c r="I4683" t="s">
        <v>24</v>
      </c>
    </row>
    <row r="4684" spans="1:9" x14ac:dyDescent="0.25">
      <c r="A4684">
        <v>1814</v>
      </c>
      <c r="B4684">
        <f>A4684+1</f>
        <v>1815</v>
      </c>
      <c r="C4684" t="s">
        <v>520</v>
      </c>
      <c r="D4684" t="s">
        <v>26</v>
      </c>
      <c r="E4684" s="208" t="s">
        <v>62</v>
      </c>
      <c r="F4684" t="s">
        <v>3</v>
      </c>
      <c r="G4684" s="18">
        <v>5492</v>
      </c>
      <c r="H4684" t="s">
        <v>24</v>
      </c>
      <c r="I4684" t="s">
        <v>16</v>
      </c>
    </row>
    <row r="4685" spans="1:9" x14ac:dyDescent="0.25">
      <c r="A4685">
        <v>1814</v>
      </c>
      <c r="B4685">
        <f>A4685+1</f>
        <v>1815</v>
      </c>
      <c r="C4685" t="s">
        <v>520</v>
      </c>
      <c r="D4685" t="s">
        <v>26</v>
      </c>
      <c r="E4685" s="208" t="s">
        <v>36</v>
      </c>
      <c r="F4685" t="s">
        <v>3</v>
      </c>
      <c r="G4685" s="18">
        <v>195</v>
      </c>
      <c r="H4685" t="s">
        <v>24</v>
      </c>
      <c r="I4685" t="s">
        <v>16</v>
      </c>
    </row>
    <row r="4686" spans="1:9" x14ac:dyDescent="0.25">
      <c r="A4686">
        <v>1814</v>
      </c>
      <c r="B4686">
        <f>A4686+1</f>
        <v>1815</v>
      </c>
      <c r="C4686" t="s">
        <v>520</v>
      </c>
      <c r="D4686" t="s">
        <v>26</v>
      </c>
      <c r="E4686" s="208" t="s">
        <v>35</v>
      </c>
      <c r="F4686" t="s">
        <v>3</v>
      </c>
      <c r="G4686" s="18">
        <v>500</v>
      </c>
      <c r="H4686" t="s">
        <v>24</v>
      </c>
      <c r="I4686" t="s">
        <v>16</v>
      </c>
    </row>
    <row r="4687" spans="1:9" x14ac:dyDescent="0.25">
      <c r="A4687">
        <v>1814</v>
      </c>
      <c r="B4687">
        <f>A4687+1</f>
        <v>1815</v>
      </c>
      <c r="C4687" t="s">
        <v>520</v>
      </c>
      <c r="D4687" t="s">
        <v>26</v>
      </c>
      <c r="E4687" s="208" t="s">
        <v>39</v>
      </c>
      <c r="F4687" t="s">
        <v>3</v>
      </c>
      <c r="G4687" s="18">
        <v>183</v>
      </c>
      <c r="H4687" t="s">
        <v>24</v>
      </c>
      <c r="I4687" t="s">
        <v>16</v>
      </c>
    </row>
    <row r="4688" spans="1:9" x14ac:dyDescent="0.25">
      <c r="A4688">
        <v>1814</v>
      </c>
      <c r="B4688">
        <f>A4688+1</f>
        <v>1815</v>
      </c>
      <c r="C4688" t="s">
        <v>520</v>
      </c>
      <c r="D4688" t="s">
        <v>26</v>
      </c>
      <c r="E4688" s="208" t="s">
        <v>99</v>
      </c>
      <c r="F4688" t="s">
        <v>3</v>
      </c>
      <c r="G4688" s="18">
        <v>450</v>
      </c>
      <c r="H4688" t="s">
        <v>24</v>
      </c>
      <c r="I4688" t="s">
        <v>16</v>
      </c>
    </row>
    <row r="4689" spans="1:9" x14ac:dyDescent="0.25">
      <c r="A4689">
        <v>1814</v>
      </c>
      <c r="B4689">
        <f>A4689+1</f>
        <v>1815</v>
      </c>
      <c r="C4689" t="s">
        <v>520</v>
      </c>
      <c r="D4689" t="s">
        <v>26</v>
      </c>
      <c r="E4689" s="208" t="s">
        <v>95</v>
      </c>
      <c r="F4689" t="s">
        <v>3</v>
      </c>
      <c r="G4689" s="18">
        <v>0</v>
      </c>
      <c r="H4689" t="s">
        <v>24</v>
      </c>
      <c r="I4689" t="s">
        <v>16</v>
      </c>
    </row>
    <row r="4690" spans="1:9" x14ac:dyDescent="0.25">
      <c r="A4690">
        <v>1814</v>
      </c>
      <c r="B4690">
        <f>A4690+1</f>
        <v>1815</v>
      </c>
      <c r="C4690" t="s">
        <v>520</v>
      </c>
      <c r="D4690" t="s">
        <v>26</v>
      </c>
      <c r="E4690" s="208" t="s">
        <v>94</v>
      </c>
      <c r="F4690" t="s">
        <v>3</v>
      </c>
      <c r="G4690" s="18">
        <v>13</v>
      </c>
      <c r="H4690" t="s">
        <v>24</v>
      </c>
      <c r="I4690" t="s">
        <v>16</v>
      </c>
    </row>
    <row r="4691" spans="1:9" x14ac:dyDescent="0.25">
      <c r="A4691">
        <v>1814</v>
      </c>
      <c r="B4691">
        <f>A4691+1</f>
        <v>1815</v>
      </c>
      <c r="C4691" t="s">
        <v>520</v>
      </c>
      <c r="D4691" t="s">
        <v>26</v>
      </c>
      <c r="E4691" s="208" t="s">
        <v>386</v>
      </c>
      <c r="F4691" t="s">
        <v>3</v>
      </c>
      <c r="G4691" s="18">
        <v>0</v>
      </c>
      <c r="H4691" t="s">
        <v>24</v>
      </c>
      <c r="I4691" t="s">
        <v>16</v>
      </c>
    </row>
    <row r="4692" spans="1:9" x14ac:dyDescent="0.25">
      <c r="A4692">
        <v>1814</v>
      </c>
      <c r="B4692">
        <f>A4692+1</f>
        <v>1815</v>
      </c>
      <c r="C4692" t="s">
        <v>520</v>
      </c>
      <c r="D4692" t="s">
        <v>26</v>
      </c>
      <c r="E4692" s="208" t="s">
        <v>387</v>
      </c>
      <c r="F4692" t="s">
        <v>3</v>
      </c>
      <c r="G4692" s="18">
        <v>0</v>
      </c>
      <c r="H4692" t="s">
        <v>24</v>
      </c>
      <c r="I4692" t="s">
        <v>16</v>
      </c>
    </row>
    <row r="4693" spans="1:9" x14ac:dyDescent="0.25">
      <c r="A4693">
        <v>1814</v>
      </c>
      <c r="B4693">
        <f>A4693+1</f>
        <v>1815</v>
      </c>
      <c r="C4693" t="s">
        <v>520</v>
      </c>
      <c r="D4693" t="s">
        <v>26</v>
      </c>
      <c r="E4693" s="208" t="s">
        <v>388</v>
      </c>
      <c r="F4693" t="s">
        <v>3</v>
      </c>
      <c r="G4693" s="18">
        <v>0</v>
      </c>
      <c r="H4693" t="s">
        <v>24</v>
      </c>
      <c r="I4693" t="s">
        <v>16</v>
      </c>
    </row>
    <row r="4694" spans="1:9" x14ac:dyDescent="0.25">
      <c r="A4694">
        <v>1814</v>
      </c>
      <c r="B4694">
        <f>A4694+1</f>
        <v>1815</v>
      </c>
      <c r="C4694" t="s">
        <v>520</v>
      </c>
      <c r="D4694" t="s">
        <v>26</v>
      </c>
      <c r="E4694" s="208" t="s">
        <v>383</v>
      </c>
      <c r="F4694" t="s">
        <v>3</v>
      </c>
      <c r="G4694" s="18">
        <v>0</v>
      </c>
      <c r="H4694" t="s">
        <v>24</v>
      </c>
      <c r="I4694" t="s">
        <v>16</v>
      </c>
    </row>
    <row r="4695" spans="1:9" x14ac:dyDescent="0.25">
      <c r="A4695">
        <v>1814</v>
      </c>
      <c r="B4695">
        <f>A4695+1</f>
        <v>1815</v>
      </c>
      <c r="C4695" t="s">
        <v>520</v>
      </c>
      <c r="D4695" t="s">
        <v>26</v>
      </c>
      <c r="E4695" s="208" t="s">
        <v>384</v>
      </c>
      <c r="F4695" t="s">
        <v>3</v>
      </c>
      <c r="G4695" s="18">
        <v>0</v>
      </c>
      <c r="H4695" t="s">
        <v>24</v>
      </c>
      <c r="I4695" t="s">
        <v>16</v>
      </c>
    </row>
    <row r="4696" spans="1:9" x14ac:dyDescent="0.25">
      <c r="A4696">
        <v>1814</v>
      </c>
      <c r="B4696">
        <f>A4696+1</f>
        <v>1815</v>
      </c>
      <c r="C4696" t="s">
        <v>520</v>
      </c>
      <c r="D4696" t="s">
        <v>26</v>
      </c>
      <c r="E4696" s="208" t="s">
        <v>65</v>
      </c>
      <c r="F4696" t="s">
        <v>3</v>
      </c>
      <c r="G4696" s="18">
        <v>0</v>
      </c>
      <c r="H4696" t="s">
        <v>24</v>
      </c>
      <c r="I4696" t="s">
        <v>16</v>
      </c>
    </row>
    <row r="4697" spans="1:9" x14ac:dyDescent="0.25">
      <c r="A4697">
        <v>1814</v>
      </c>
      <c r="B4697">
        <f>A4697+1</f>
        <v>1815</v>
      </c>
      <c r="C4697" t="s">
        <v>520</v>
      </c>
      <c r="D4697" t="s">
        <v>26</v>
      </c>
      <c r="E4697" s="208" t="s">
        <v>88</v>
      </c>
      <c r="F4697" t="s">
        <v>3</v>
      </c>
      <c r="G4697" s="18">
        <v>0</v>
      </c>
      <c r="H4697" t="s">
        <v>24</v>
      </c>
      <c r="I4697" t="s">
        <v>16</v>
      </c>
    </row>
    <row r="4698" spans="1:9" x14ac:dyDescent="0.25">
      <c r="A4698">
        <v>1814</v>
      </c>
      <c r="B4698">
        <f>A4698+1</f>
        <v>1815</v>
      </c>
      <c r="C4698" t="s">
        <v>520</v>
      </c>
      <c r="D4698" t="s">
        <v>26</v>
      </c>
      <c r="E4698" s="208" t="s">
        <v>107</v>
      </c>
      <c r="F4698" t="s">
        <v>3</v>
      </c>
      <c r="G4698" s="18">
        <v>487223</v>
      </c>
      <c r="H4698" t="s">
        <v>24</v>
      </c>
      <c r="I4698" t="s">
        <v>16</v>
      </c>
    </row>
    <row r="4699" spans="1:9" x14ac:dyDescent="0.25">
      <c r="A4699">
        <v>1814</v>
      </c>
      <c r="B4699">
        <f>A4699+1</f>
        <v>1815</v>
      </c>
      <c r="C4699" t="s">
        <v>520</v>
      </c>
      <c r="D4699" t="s">
        <v>26</v>
      </c>
      <c r="E4699" s="208" t="s">
        <v>101</v>
      </c>
      <c r="F4699" t="s">
        <v>3</v>
      </c>
      <c r="G4699" s="18">
        <v>248990</v>
      </c>
      <c r="H4699" t="s">
        <v>24</v>
      </c>
      <c r="I4699" t="s">
        <v>16</v>
      </c>
    </row>
    <row r="4700" spans="1:9" x14ac:dyDescent="0.25">
      <c r="A4700">
        <v>1814</v>
      </c>
      <c r="B4700">
        <f>A4700+1</f>
        <v>1815</v>
      </c>
      <c r="C4700" t="s">
        <v>520</v>
      </c>
      <c r="D4700" t="s">
        <v>26</v>
      </c>
      <c r="E4700" s="208" t="s">
        <v>75</v>
      </c>
      <c r="F4700" t="s">
        <v>3</v>
      </c>
      <c r="G4700" s="18">
        <v>899608</v>
      </c>
      <c r="H4700" t="s">
        <v>24</v>
      </c>
      <c r="I4700" t="s">
        <v>16</v>
      </c>
    </row>
    <row r="4701" spans="1:9" x14ac:dyDescent="0.25">
      <c r="A4701">
        <v>1814</v>
      </c>
      <c r="B4701">
        <f>A4701+1</f>
        <v>1815</v>
      </c>
      <c r="C4701" t="s">
        <v>520</v>
      </c>
      <c r="D4701" t="s">
        <v>26</v>
      </c>
      <c r="E4701" s="208" t="s">
        <v>330</v>
      </c>
      <c r="F4701" t="s">
        <v>3</v>
      </c>
      <c r="G4701" s="18">
        <v>2</v>
      </c>
      <c r="H4701" t="s">
        <v>24</v>
      </c>
      <c r="I4701" t="s">
        <v>16</v>
      </c>
    </row>
    <row r="4702" spans="1:9" x14ac:dyDescent="0.25">
      <c r="A4702">
        <v>1814</v>
      </c>
      <c r="B4702">
        <f>A4702+1</f>
        <v>1815</v>
      </c>
      <c r="C4702" t="s">
        <v>520</v>
      </c>
      <c r="D4702" t="s">
        <v>26</v>
      </c>
      <c r="E4702" s="208" t="s">
        <v>331</v>
      </c>
      <c r="F4702" t="s">
        <v>3</v>
      </c>
      <c r="G4702" s="18">
        <v>1</v>
      </c>
      <c r="H4702" t="s">
        <v>24</v>
      </c>
      <c r="I4702" t="s">
        <v>16</v>
      </c>
    </row>
    <row r="4703" spans="1:9" x14ac:dyDescent="0.25">
      <c r="A4703">
        <v>1814</v>
      </c>
      <c r="B4703">
        <f>A4703+1</f>
        <v>1815</v>
      </c>
      <c r="C4703" t="s">
        <v>520</v>
      </c>
      <c r="D4703" t="s">
        <v>26</v>
      </c>
      <c r="E4703" s="208" t="s">
        <v>332</v>
      </c>
      <c r="F4703" t="s">
        <v>3</v>
      </c>
      <c r="G4703" s="18">
        <v>0</v>
      </c>
      <c r="H4703" t="s">
        <v>24</v>
      </c>
      <c r="I4703" t="s">
        <v>16</v>
      </c>
    </row>
    <row r="4704" spans="1:9" x14ac:dyDescent="0.25">
      <c r="A4704">
        <v>1814</v>
      </c>
      <c r="B4704">
        <f>A4704+1</f>
        <v>1815</v>
      </c>
      <c r="C4704" t="s">
        <v>520</v>
      </c>
      <c r="D4704" t="s">
        <v>26</v>
      </c>
      <c r="E4704" s="208" t="s">
        <v>333</v>
      </c>
      <c r="F4704" t="s">
        <v>3</v>
      </c>
      <c r="G4704" s="18">
        <v>0</v>
      </c>
      <c r="H4704" t="s">
        <v>24</v>
      </c>
      <c r="I4704" t="s">
        <v>16</v>
      </c>
    </row>
    <row r="4705" spans="1:9" x14ac:dyDescent="0.25">
      <c r="A4705">
        <v>1814</v>
      </c>
      <c r="B4705">
        <f>A4705+1</f>
        <v>1815</v>
      </c>
      <c r="C4705" t="s">
        <v>520</v>
      </c>
      <c r="D4705" t="s">
        <v>27</v>
      </c>
      <c r="E4705" s="208" t="s">
        <v>155</v>
      </c>
      <c r="F4705" t="s">
        <v>0</v>
      </c>
      <c r="G4705" s="18">
        <v>23997</v>
      </c>
      <c r="H4705" t="s">
        <v>16</v>
      </c>
      <c r="I4705" t="s">
        <v>18</v>
      </c>
    </row>
    <row r="4706" spans="1:9" x14ac:dyDescent="0.25">
      <c r="A4706">
        <v>1814</v>
      </c>
      <c r="B4706">
        <f>A4706+1</f>
        <v>1815</v>
      </c>
      <c r="C4706" t="s">
        <v>520</v>
      </c>
      <c r="D4706" t="s">
        <v>27</v>
      </c>
      <c r="E4706" s="208" t="s">
        <v>156</v>
      </c>
      <c r="F4706" t="s">
        <v>0</v>
      </c>
      <c r="G4706" s="18">
        <v>1545</v>
      </c>
      <c r="H4706" t="s">
        <v>16</v>
      </c>
      <c r="I4706" t="s">
        <v>18</v>
      </c>
    </row>
    <row r="4707" spans="1:9" x14ac:dyDescent="0.25">
      <c r="A4707">
        <v>1814</v>
      </c>
      <c r="B4707">
        <f>A4707+1</f>
        <v>1815</v>
      </c>
      <c r="C4707" t="s">
        <v>520</v>
      </c>
      <c r="D4707" t="s">
        <v>27</v>
      </c>
      <c r="E4707" s="208" t="s">
        <v>154</v>
      </c>
      <c r="F4707" t="s">
        <v>0</v>
      </c>
      <c r="G4707" s="18">
        <v>473</v>
      </c>
      <c r="H4707" t="s">
        <v>16</v>
      </c>
      <c r="I4707" t="s">
        <v>18</v>
      </c>
    </row>
    <row r="4708" spans="1:9" x14ac:dyDescent="0.25">
      <c r="A4708">
        <v>1814</v>
      </c>
      <c r="B4708">
        <f>A4708+1</f>
        <v>1815</v>
      </c>
      <c r="C4708" t="s">
        <v>520</v>
      </c>
      <c r="D4708" t="s">
        <v>27</v>
      </c>
      <c r="E4708" s="208" t="s">
        <v>150</v>
      </c>
      <c r="F4708" t="s">
        <v>0</v>
      </c>
      <c r="G4708" s="18">
        <v>5554</v>
      </c>
      <c r="H4708" t="s">
        <v>16</v>
      </c>
      <c r="I4708" t="s">
        <v>18</v>
      </c>
    </row>
    <row r="4709" spans="1:9" x14ac:dyDescent="0.25">
      <c r="A4709">
        <v>1814</v>
      </c>
      <c r="B4709">
        <f>A4709+1</f>
        <v>1815</v>
      </c>
      <c r="C4709" t="s">
        <v>520</v>
      </c>
      <c r="D4709" t="s">
        <v>27</v>
      </c>
      <c r="E4709" s="208" t="s">
        <v>148</v>
      </c>
      <c r="F4709" t="s">
        <v>0</v>
      </c>
      <c r="G4709" s="18">
        <v>259</v>
      </c>
      <c r="H4709" t="s">
        <v>16</v>
      </c>
      <c r="I4709" t="s">
        <v>18</v>
      </c>
    </row>
    <row r="4710" spans="1:9" x14ac:dyDescent="0.25">
      <c r="A4710">
        <v>1814</v>
      </c>
      <c r="B4710">
        <f>A4710+1</f>
        <v>1815</v>
      </c>
      <c r="C4710" t="s">
        <v>520</v>
      </c>
      <c r="D4710" t="s">
        <v>27</v>
      </c>
      <c r="E4710" s="208" t="s">
        <v>147</v>
      </c>
      <c r="F4710" t="s">
        <v>0</v>
      </c>
      <c r="G4710" s="18">
        <v>0</v>
      </c>
      <c r="H4710" t="s">
        <v>16</v>
      </c>
      <c r="I4710" t="s">
        <v>18</v>
      </c>
    </row>
    <row r="4711" spans="1:9" x14ac:dyDescent="0.25">
      <c r="A4711">
        <v>1814</v>
      </c>
      <c r="B4711">
        <f>A4711+1</f>
        <v>1815</v>
      </c>
      <c r="C4711" t="s">
        <v>520</v>
      </c>
      <c r="D4711" t="s">
        <v>27</v>
      </c>
      <c r="E4711" s="208" t="s">
        <v>314</v>
      </c>
      <c r="F4711" t="s">
        <v>0</v>
      </c>
      <c r="G4711" s="18">
        <v>0</v>
      </c>
      <c r="H4711" t="s">
        <v>16</v>
      </c>
      <c r="I4711" t="s">
        <v>18</v>
      </c>
    </row>
    <row r="4712" spans="1:9" x14ac:dyDescent="0.25">
      <c r="A4712">
        <v>1814</v>
      </c>
      <c r="B4712">
        <f>A4712+1</f>
        <v>1815</v>
      </c>
      <c r="C4712" t="s">
        <v>520</v>
      </c>
      <c r="D4712" t="s">
        <v>27</v>
      </c>
      <c r="E4712" s="208" t="s">
        <v>139</v>
      </c>
      <c r="F4712" t="s">
        <v>0</v>
      </c>
      <c r="G4712" s="18">
        <v>0</v>
      </c>
      <c r="H4712" t="s">
        <v>16</v>
      </c>
      <c r="I4712" t="s">
        <v>18</v>
      </c>
    </row>
    <row r="4713" spans="1:9" x14ac:dyDescent="0.25">
      <c r="A4713">
        <v>1814</v>
      </c>
      <c r="B4713">
        <f>A4713+1</f>
        <v>1815</v>
      </c>
      <c r="C4713" t="s">
        <v>520</v>
      </c>
      <c r="D4713" t="s">
        <v>27</v>
      </c>
      <c r="E4713" s="208" t="s">
        <v>132</v>
      </c>
      <c r="F4713" t="s">
        <v>0</v>
      </c>
      <c r="G4713" s="18">
        <v>679</v>
      </c>
      <c r="H4713" t="s">
        <v>16</v>
      </c>
      <c r="I4713" t="s">
        <v>18</v>
      </c>
    </row>
    <row r="4714" spans="1:9" x14ac:dyDescent="0.25">
      <c r="A4714">
        <v>1814</v>
      </c>
      <c r="B4714">
        <f>A4714+1</f>
        <v>1815</v>
      </c>
      <c r="C4714" t="s">
        <v>520</v>
      </c>
      <c r="D4714" t="s">
        <v>27</v>
      </c>
      <c r="E4714" s="208" t="s">
        <v>130</v>
      </c>
      <c r="F4714" t="s">
        <v>0</v>
      </c>
      <c r="G4714" s="18">
        <v>587</v>
      </c>
      <c r="H4714" t="s">
        <v>16</v>
      </c>
      <c r="I4714" t="s">
        <v>18</v>
      </c>
    </row>
    <row r="4715" spans="1:9" x14ac:dyDescent="0.25">
      <c r="A4715">
        <v>1814</v>
      </c>
      <c r="B4715">
        <f>A4715+1</f>
        <v>1815</v>
      </c>
      <c r="C4715" t="s">
        <v>520</v>
      </c>
      <c r="D4715" t="s">
        <v>27</v>
      </c>
      <c r="E4715" s="208" t="s">
        <v>144</v>
      </c>
      <c r="F4715" t="s">
        <v>0</v>
      </c>
      <c r="G4715" s="18">
        <v>201</v>
      </c>
      <c r="H4715" t="s">
        <v>16</v>
      </c>
      <c r="I4715" t="s">
        <v>18</v>
      </c>
    </row>
    <row r="4716" spans="1:9" x14ac:dyDescent="0.25">
      <c r="A4716">
        <v>1814</v>
      </c>
      <c r="B4716">
        <f>A4716+1</f>
        <v>1815</v>
      </c>
      <c r="C4716" t="s">
        <v>520</v>
      </c>
      <c r="D4716" t="s">
        <v>27</v>
      </c>
      <c r="E4716" s="208" t="s">
        <v>142</v>
      </c>
      <c r="F4716" t="s">
        <v>0</v>
      </c>
      <c r="G4716" s="18">
        <v>1196</v>
      </c>
      <c r="H4716" t="s">
        <v>16</v>
      </c>
      <c r="I4716" t="s">
        <v>18</v>
      </c>
    </row>
    <row r="4717" spans="1:9" x14ac:dyDescent="0.25">
      <c r="A4717">
        <v>1814</v>
      </c>
      <c r="B4717">
        <f>A4717+1</f>
        <v>1815</v>
      </c>
      <c r="C4717" t="s">
        <v>520</v>
      </c>
      <c r="D4717" t="s">
        <v>27</v>
      </c>
      <c r="E4717" s="208" t="s">
        <v>124</v>
      </c>
      <c r="F4717" t="s">
        <v>0</v>
      </c>
      <c r="G4717" s="18">
        <v>12504981</v>
      </c>
      <c r="H4717" t="s">
        <v>16</v>
      </c>
      <c r="I4717" t="s">
        <v>18</v>
      </c>
    </row>
    <row r="4718" spans="1:9" x14ac:dyDescent="0.25">
      <c r="A4718">
        <v>1814</v>
      </c>
      <c r="B4718">
        <f>A4718+1</f>
        <v>1815</v>
      </c>
      <c r="C4718" t="s">
        <v>520</v>
      </c>
      <c r="D4718" t="s">
        <v>26</v>
      </c>
      <c r="E4718" s="208" t="s">
        <v>62</v>
      </c>
      <c r="F4718" t="s">
        <v>169</v>
      </c>
      <c r="G4718" s="18">
        <v>11327</v>
      </c>
      <c r="H4718" t="s">
        <v>160</v>
      </c>
      <c r="I4718" t="s">
        <v>16</v>
      </c>
    </row>
    <row r="4719" spans="1:9" x14ac:dyDescent="0.25">
      <c r="A4719">
        <v>1814</v>
      </c>
      <c r="B4719">
        <f>A4719+1</f>
        <v>1815</v>
      </c>
      <c r="C4719" t="s">
        <v>520</v>
      </c>
      <c r="D4719" t="s">
        <v>26</v>
      </c>
      <c r="E4719" s="208" t="s">
        <v>36</v>
      </c>
      <c r="F4719" t="s">
        <v>169</v>
      </c>
      <c r="G4719" s="18">
        <v>1047</v>
      </c>
      <c r="H4719" t="s">
        <v>160</v>
      </c>
      <c r="I4719" t="s">
        <v>16</v>
      </c>
    </row>
    <row r="4720" spans="1:9" x14ac:dyDescent="0.25">
      <c r="A4720">
        <v>1814</v>
      </c>
      <c r="B4720">
        <f>A4720+1</f>
        <v>1815</v>
      </c>
      <c r="C4720" t="s">
        <v>520</v>
      </c>
      <c r="D4720" t="s">
        <v>26</v>
      </c>
      <c r="E4720" s="208" t="s">
        <v>35</v>
      </c>
      <c r="F4720" t="s">
        <v>169</v>
      </c>
      <c r="G4720" s="18">
        <v>12149</v>
      </c>
      <c r="H4720" t="s">
        <v>160</v>
      </c>
      <c r="I4720" t="s">
        <v>16</v>
      </c>
    </row>
    <row r="4721" spans="1:9" x14ac:dyDescent="0.25">
      <c r="A4721">
        <v>1814</v>
      </c>
      <c r="B4721">
        <f>A4721+1</f>
        <v>1815</v>
      </c>
      <c r="C4721" t="s">
        <v>520</v>
      </c>
      <c r="D4721" t="s">
        <v>26</v>
      </c>
      <c r="E4721" s="208" t="s">
        <v>39</v>
      </c>
      <c r="F4721" t="s">
        <v>169</v>
      </c>
      <c r="G4721" s="18">
        <v>0</v>
      </c>
      <c r="H4721" t="s">
        <v>160</v>
      </c>
      <c r="I4721" t="s">
        <v>16</v>
      </c>
    </row>
    <row r="4722" spans="1:9" x14ac:dyDescent="0.25">
      <c r="A4722">
        <v>1814</v>
      </c>
      <c r="B4722">
        <f>A4722+1</f>
        <v>1815</v>
      </c>
      <c r="C4722" t="s">
        <v>520</v>
      </c>
      <c r="D4722" t="s">
        <v>26</v>
      </c>
      <c r="E4722" s="208" t="s">
        <v>99</v>
      </c>
      <c r="F4722" t="s">
        <v>169</v>
      </c>
      <c r="G4722" s="18">
        <v>0</v>
      </c>
      <c r="H4722" t="s">
        <v>160</v>
      </c>
      <c r="I4722" t="s">
        <v>16</v>
      </c>
    </row>
    <row r="4723" spans="1:9" x14ac:dyDescent="0.25">
      <c r="A4723">
        <v>1814</v>
      </c>
      <c r="B4723">
        <f>A4723+1</f>
        <v>1815</v>
      </c>
      <c r="C4723" t="s">
        <v>520</v>
      </c>
      <c r="D4723" t="s">
        <v>26</v>
      </c>
      <c r="E4723" s="208" t="s">
        <v>95</v>
      </c>
      <c r="F4723" t="s">
        <v>169</v>
      </c>
      <c r="G4723" s="18">
        <v>0</v>
      </c>
      <c r="H4723" t="s">
        <v>160</v>
      </c>
      <c r="I4723" t="s">
        <v>16</v>
      </c>
    </row>
    <row r="4724" spans="1:9" x14ac:dyDescent="0.25">
      <c r="A4724">
        <v>1814</v>
      </c>
      <c r="B4724">
        <f>A4724+1</f>
        <v>1815</v>
      </c>
      <c r="C4724" t="s">
        <v>520</v>
      </c>
      <c r="D4724" t="s">
        <v>26</v>
      </c>
      <c r="E4724" s="208" t="s">
        <v>94</v>
      </c>
      <c r="F4724" t="s">
        <v>169</v>
      </c>
      <c r="G4724" s="18">
        <v>0</v>
      </c>
      <c r="H4724" t="s">
        <v>160</v>
      </c>
      <c r="I4724" t="s">
        <v>16</v>
      </c>
    </row>
    <row r="4725" spans="1:9" x14ac:dyDescent="0.25">
      <c r="A4725">
        <v>1814</v>
      </c>
      <c r="B4725">
        <f>A4725+1</f>
        <v>1815</v>
      </c>
      <c r="C4725" t="s">
        <v>520</v>
      </c>
      <c r="D4725" t="s">
        <v>26</v>
      </c>
      <c r="E4725" s="208" t="s">
        <v>386</v>
      </c>
      <c r="F4725" t="s">
        <v>169</v>
      </c>
      <c r="G4725" s="18">
        <v>0</v>
      </c>
      <c r="H4725" t="s">
        <v>160</v>
      </c>
      <c r="I4725" t="s">
        <v>16</v>
      </c>
    </row>
    <row r="4726" spans="1:9" x14ac:dyDescent="0.25">
      <c r="A4726">
        <v>1814</v>
      </c>
      <c r="B4726">
        <f>A4726+1</f>
        <v>1815</v>
      </c>
      <c r="C4726" t="s">
        <v>520</v>
      </c>
      <c r="D4726" t="s">
        <v>26</v>
      </c>
      <c r="E4726" s="208" t="s">
        <v>387</v>
      </c>
      <c r="F4726" t="s">
        <v>169</v>
      </c>
      <c r="G4726" s="18">
        <v>0</v>
      </c>
      <c r="H4726" t="s">
        <v>160</v>
      </c>
      <c r="I4726" t="s">
        <v>16</v>
      </c>
    </row>
    <row r="4727" spans="1:9" x14ac:dyDescent="0.25">
      <c r="A4727">
        <v>1814</v>
      </c>
      <c r="B4727">
        <f>A4727+1</f>
        <v>1815</v>
      </c>
      <c r="C4727" t="s">
        <v>520</v>
      </c>
      <c r="D4727" t="s">
        <v>26</v>
      </c>
      <c r="E4727" s="208" t="s">
        <v>388</v>
      </c>
      <c r="F4727" t="s">
        <v>169</v>
      </c>
      <c r="G4727" s="18">
        <v>0</v>
      </c>
      <c r="H4727" t="s">
        <v>160</v>
      </c>
      <c r="I4727" t="s">
        <v>16</v>
      </c>
    </row>
    <row r="4728" spans="1:9" x14ac:dyDescent="0.25">
      <c r="A4728">
        <v>1814</v>
      </c>
      <c r="B4728">
        <f>A4728+1</f>
        <v>1815</v>
      </c>
      <c r="C4728" t="s">
        <v>520</v>
      </c>
      <c r="D4728" t="s">
        <v>26</v>
      </c>
      <c r="E4728" s="208" t="s">
        <v>383</v>
      </c>
      <c r="F4728" t="s">
        <v>169</v>
      </c>
      <c r="G4728" s="18">
        <v>916</v>
      </c>
      <c r="H4728" t="s">
        <v>160</v>
      </c>
      <c r="I4728" t="s">
        <v>16</v>
      </c>
    </row>
    <row r="4729" spans="1:9" x14ac:dyDescent="0.25">
      <c r="A4729">
        <v>1814</v>
      </c>
      <c r="B4729">
        <f>A4729+1</f>
        <v>1815</v>
      </c>
      <c r="C4729" t="s">
        <v>520</v>
      </c>
      <c r="D4729" t="s">
        <v>26</v>
      </c>
      <c r="E4729" s="208" t="s">
        <v>384</v>
      </c>
      <c r="F4729" t="s">
        <v>169</v>
      </c>
      <c r="G4729" s="18">
        <v>0</v>
      </c>
      <c r="H4729" t="s">
        <v>160</v>
      </c>
      <c r="I4729" t="s">
        <v>16</v>
      </c>
    </row>
    <row r="4730" spans="1:9" x14ac:dyDescent="0.25">
      <c r="A4730">
        <v>1814</v>
      </c>
      <c r="B4730">
        <f>A4730+1</f>
        <v>1815</v>
      </c>
      <c r="C4730" t="s">
        <v>520</v>
      </c>
      <c r="D4730" t="s">
        <v>26</v>
      </c>
      <c r="E4730" s="208" t="s">
        <v>65</v>
      </c>
      <c r="F4730" t="s">
        <v>169</v>
      </c>
      <c r="G4730" s="18">
        <v>10926</v>
      </c>
      <c r="H4730" t="s">
        <v>160</v>
      </c>
      <c r="I4730" t="s">
        <v>16</v>
      </c>
    </row>
    <row r="4731" spans="1:9" x14ac:dyDescent="0.25">
      <c r="A4731">
        <v>1814</v>
      </c>
      <c r="B4731">
        <f>A4731+1</f>
        <v>1815</v>
      </c>
      <c r="C4731" t="s">
        <v>520</v>
      </c>
      <c r="D4731" t="s">
        <v>26</v>
      </c>
      <c r="E4731" s="208" t="s">
        <v>88</v>
      </c>
      <c r="F4731" t="s">
        <v>169</v>
      </c>
      <c r="G4731" s="18">
        <v>2371</v>
      </c>
      <c r="H4731" t="s">
        <v>160</v>
      </c>
      <c r="I4731" t="s">
        <v>16</v>
      </c>
    </row>
    <row r="4732" spans="1:9" x14ac:dyDescent="0.25">
      <c r="A4732">
        <v>1814</v>
      </c>
      <c r="B4732">
        <f>A4732+1</f>
        <v>1815</v>
      </c>
      <c r="C4732" t="s">
        <v>520</v>
      </c>
      <c r="D4732" t="s">
        <v>26</v>
      </c>
      <c r="E4732" s="208" t="s">
        <v>107</v>
      </c>
      <c r="F4732" t="s">
        <v>169</v>
      </c>
      <c r="G4732" s="18">
        <v>11400</v>
      </c>
      <c r="H4732" t="s">
        <v>160</v>
      </c>
      <c r="I4732" t="s">
        <v>16</v>
      </c>
    </row>
    <row r="4733" spans="1:9" x14ac:dyDescent="0.25">
      <c r="A4733">
        <v>1814</v>
      </c>
      <c r="B4733">
        <f>A4733+1</f>
        <v>1815</v>
      </c>
      <c r="C4733" t="s">
        <v>520</v>
      </c>
      <c r="D4733" t="s">
        <v>26</v>
      </c>
      <c r="E4733" s="208" t="s">
        <v>101</v>
      </c>
      <c r="F4733" t="s">
        <v>169</v>
      </c>
      <c r="G4733" s="18">
        <v>0</v>
      </c>
      <c r="H4733" t="s">
        <v>160</v>
      </c>
      <c r="I4733" t="s">
        <v>16</v>
      </c>
    </row>
    <row r="4734" spans="1:9" x14ac:dyDescent="0.25">
      <c r="A4734">
        <v>1814</v>
      </c>
      <c r="B4734">
        <f>A4734+1</f>
        <v>1815</v>
      </c>
      <c r="C4734" t="s">
        <v>520</v>
      </c>
      <c r="D4734" t="s">
        <v>26</v>
      </c>
      <c r="E4734" s="208" t="s">
        <v>75</v>
      </c>
      <c r="F4734" t="s">
        <v>169</v>
      </c>
      <c r="G4734" s="18">
        <v>0</v>
      </c>
      <c r="H4734" t="s">
        <v>160</v>
      </c>
      <c r="I4734" t="s">
        <v>16</v>
      </c>
    </row>
    <row r="4735" spans="1:9" x14ac:dyDescent="0.25">
      <c r="A4735">
        <v>1814</v>
      </c>
      <c r="B4735">
        <f>A4735+1</f>
        <v>1815</v>
      </c>
      <c r="C4735" t="s">
        <v>520</v>
      </c>
      <c r="D4735" t="s">
        <v>26</v>
      </c>
      <c r="E4735" s="208" t="s">
        <v>330</v>
      </c>
      <c r="F4735" t="s">
        <v>169</v>
      </c>
      <c r="G4735" s="18">
        <v>0</v>
      </c>
      <c r="H4735" t="s">
        <v>160</v>
      </c>
      <c r="I4735" t="s">
        <v>16</v>
      </c>
    </row>
    <row r="4736" spans="1:9" x14ac:dyDescent="0.25">
      <c r="A4736">
        <v>1814</v>
      </c>
      <c r="B4736">
        <f>A4736+1</f>
        <v>1815</v>
      </c>
      <c r="C4736" t="s">
        <v>520</v>
      </c>
      <c r="D4736" t="s">
        <v>26</v>
      </c>
      <c r="E4736" s="208" t="s">
        <v>331</v>
      </c>
      <c r="F4736" t="s">
        <v>169</v>
      </c>
      <c r="G4736" s="18">
        <v>0</v>
      </c>
      <c r="H4736" t="s">
        <v>160</v>
      </c>
      <c r="I4736" t="s">
        <v>16</v>
      </c>
    </row>
    <row r="4737" spans="1:9" x14ac:dyDescent="0.25">
      <c r="A4737">
        <v>1814</v>
      </c>
      <c r="B4737">
        <f>A4737+1</f>
        <v>1815</v>
      </c>
      <c r="C4737" t="s">
        <v>520</v>
      </c>
      <c r="D4737" t="s">
        <v>26</v>
      </c>
      <c r="E4737" s="208" t="s">
        <v>332</v>
      </c>
      <c r="F4737" t="s">
        <v>169</v>
      </c>
      <c r="G4737" s="18">
        <v>0</v>
      </c>
      <c r="H4737" t="s">
        <v>160</v>
      </c>
      <c r="I4737" t="s">
        <v>16</v>
      </c>
    </row>
    <row r="4738" spans="1:9" x14ac:dyDescent="0.25">
      <c r="A4738">
        <v>1814</v>
      </c>
      <c r="B4738">
        <f>A4738+1</f>
        <v>1815</v>
      </c>
      <c r="C4738" t="s">
        <v>520</v>
      </c>
      <c r="D4738" t="s">
        <v>26</v>
      </c>
      <c r="E4738" s="208" t="s">
        <v>333</v>
      </c>
      <c r="F4738" t="s">
        <v>169</v>
      </c>
      <c r="G4738" s="18">
        <v>0</v>
      </c>
      <c r="H4738" t="s">
        <v>160</v>
      </c>
      <c r="I4738" t="s">
        <v>16</v>
      </c>
    </row>
    <row r="4739" spans="1:9" x14ac:dyDescent="0.25">
      <c r="A4739">
        <v>1814</v>
      </c>
      <c r="B4739">
        <f>A4739+1</f>
        <v>1815</v>
      </c>
      <c r="C4739" t="s">
        <v>520</v>
      </c>
      <c r="D4739" t="s">
        <v>27</v>
      </c>
      <c r="E4739" s="208" t="s">
        <v>155</v>
      </c>
      <c r="F4739" t="s">
        <v>1</v>
      </c>
      <c r="G4739" s="18">
        <v>2152</v>
      </c>
      <c r="H4739" t="s">
        <v>16</v>
      </c>
      <c r="I4739" t="s">
        <v>21</v>
      </c>
    </row>
    <row r="4740" spans="1:9" x14ac:dyDescent="0.25">
      <c r="A4740">
        <v>1814</v>
      </c>
      <c r="B4740">
        <f>A4740+1</f>
        <v>1815</v>
      </c>
      <c r="C4740" t="s">
        <v>520</v>
      </c>
      <c r="D4740" t="s">
        <v>27</v>
      </c>
      <c r="E4740" s="208" t="s">
        <v>156</v>
      </c>
      <c r="F4740" t="s">
        <v>1</v>
      </c>
      <c r="G4740" s="18">
        <v>397</v>
      </c>
      <c r="H4740" t="s">
        <v>16</v>
      </c>
      <c r="I4740" t="s">
        <v>21</v>
      </c>
    </row>
    <row r="4741" spans="1:9" x14ac:dyDescent="0.25">
      <c r="A4741">
        <v>1814</v>
      </c>
      <c r="B4741">
        <f>A4741+1</f>
        <v>1815</v>
      </c>
      <c r="C4741" t="s">
        <v>520</v>
      </c>
      <c r="D4741" t="s">
        <v>27</v>
      </c>
      <c r="E4741" s="208" t="s">
        <v>154</v>
      </c>
      <c r="F4741" t="s">
        <v>1</v>
      </c>
      <c r="G4741" s="18">
        <v>279</v>
      </c>
      <c r="H4741" t="s">
        <v>16</v>
      </c>
      <c r="I4741" t="s">
        <v>21</v>
      </c>
    </row>
    <row r="4742" spans="1:9" x14ac:dyDescent="0.25">
      <c r="A4742">
        <v>1814</v>
      </c>
      <c r="B4742">
        <f>A4742+1</f>
        <v>1815</v>
      </c>
      <c r="C4742" t="s">
        <v>520</v>
      </c>
      <c r="D4742" t="s">
        <v>27</v>
      </c>
      <c r="E4742" s="208" t="s">
        <v>150</v>
      </c>
      <c r="F4742" t="s">
        <v>1</v>
      </c>
      <c r="G4742" s="18">
        <v>486</v>
      </c>
      <c r="H4742" t="s">
        <v>16</v>
      </c>
      <c r="I4742" t="s">
        <v>21</v>
      </c>
    </row>
    <row r="4743" spans="1:9" x14ac:dyDescent="0.25">
      <c r="A4743">
        <v>1814</v>
      </c>
      <c r="B4743">
        <f>A4743+1</f>
        <v>1815</v>
      </c>
      <c r="C4743" t="s">
        <v>520</v>
      </c>
      <c r="D4743" t="s">
        <v>27</v>
      </c>
      <c r="E4743" s="208" t="s">
        <v>148</v>
      </c>
      <c r="F4743" t="s">
        <v>1</v>
      </c>
      <c r="G4743" s="18">
        <v>108</v>
      </c>
      <c r="H4743" t="s">
        <v>16</v>
      </c>
      <c r="I4743" t="s">
        <v>21</v>
      </c>
    </row>
    <row r="4744" spans="1:9" x14ac:dyDescent="0.25">
      <c r="A4744">
        <v>1814</v>
      </c>
      <c r="B4744">
        <f>A4744+1</f>
        <v>1815</v>
      </c>
      <c r="C4744" t="s">
        <v>520</v>
      </c>
      <c r="D4744" t="s">
        <v>27</v>
      </c>
      <c r="E4744" s="208" t="s">
        <v>147</v>
      </c>
      <c r="F4744" t="s">
        <v>1</v>
      </c>
      <c r="G4744" s="18">
        <v>0</v>
      </c>
      <c r="H4744" t="s">
        <v>16</v>
      </c>
      <c r="I4744" t="s">
        <v>21</v>
      </c>
    </row>
    <row r="4745" spans="1:9" x14ac:dyDescent="0.25">
      <c r="A4745">
        <v>1814</v>
      </c>
      <c r="B4745">
        <f>A4745+1</f>
        <v>1815</v>
      </c>
      <c r="C4745" t="s">
        <v>520</v>
      </c>
      <c r="D4745" t="s">
        <v>27</v>
      </c>
      <c r="E4745" s="208" t="s">
        <v>314</v>
      </c>
      <c r="F4745" t="s">
        <v>1</v>
      </c>
      <c r="G4745" s="18">
        <v>0</v>
      </c>
      <c r="H4745" t="s">
        <v>16</v>
      </c>
      <c r="I4745" t="s">
        <v>21</v>
      </c>
    </row>
    <row r="4746" spans="1:9" x14ac:dyDescent="0.25">
      <c r="A4746">
        <v>1814</v>
      </c>
      <c r="B4746">
        <f>A4746+1</f>
        <v>1815</v>
      </c>
      <c r="C4746" t="s">
        <v>520</v>
      </c>
      <c r="D4746" t="s">
        <v>27</v>
      </c>
      <c r="E4746" s="208" t="s">
        <v>139</v>
      </c>
      <c r="F4746" t="s">
        <v>1</v>
      </c>
      <c r="G4746" s="18">
        <v>0</v>
      </c>
      <c r="H4746" t="s">
        <v>16</v>
      </c>
      <c r="I4746" t="s">
        <v>21</v>
      </c>
    </row>
    <row r="4747" spans="1:9" x14ac:dyDescent="0.25">
      <c r="A4747">
        <v>1814</v>
      </c>
      <c r="B4747">
        <f>A4747+1</f>
        <v>1815</v>
      </c>
      <c r="C4747" t="s">
        <v>520</v>
      </c>
      <c r="D4747" t="s">
        <v>27</v>
      </c>
      <c r="E4747" s="208" t="s">
        <v>132</v>
      </c>
      <c r="F4747" t="s">
        <v>1</v>
      </c>
      <c r="G4747" s="18">
        <v>169</v>
      </c>
      <c r="H4747" t="s">
        <v>16</v>
      </c>
      <c r="I4747" t="s">
        <v>21</v>
      </c>
    </row>
    <row r="4748" spans="1:9" x14ac:dyDescent="0.25">
      <c r="A4748">
        <v>1814</v>
      </c>
      <c r="B4748">
        <f>A4748+1</f>
        <v>1815</v>
      </c>
      <c r="C4748" t="s">
        <v>520</v>
      </c>
      <c r="D4748" t="s">
        <v>27</v>
      </c>
      <c r="E4748" s="208" t="s">
        <v>130</v>
      </c>
      <c r="F4748" t="s">
        <v>1</v>
      </c>
      <c r="G4748" s="18">
        <v>0</v>
      </c>
      <c r="H4748" t="s">
        <v>16</v>
      </c>
      <c r="I4748" t="s">
        <v>21</v>
      </c>
    </row>
    <row r="4749" spans="1:9" x14ac:dyDescent="0.25">
      <c r="A4749">
        <v>1814</v>
      </c>
      <c r="B4749">
        <f>A4749+1</f>
        <v>1815</v>
      </c>
      <c r="C4749" t="s">
        <v>520</v>
      </c>
      <c r="D4749" t="s">
        <v>27</v>
      </c>
      <c r="E4749" s="208" t="s">
        <v>144</v>
      </c>
      <c r="F4749" t="s">
        <v>1</v>
      </c>
      <c r="G4749" s="18">
        <v>26</v>
      </c>
      <c r="H4749" t="s">
        <v>16</v>
      </c>
      <c r="I4749" t="s">
        <v>21</v>
      </c>
    </row>
    <row r="4750" spans="1:9" x14ac:dyDescent="0.25">
      <c r="A4750">
        <v>1814</v>
      </c>
      <c r="B4750">
        <f>A4750+1</f>
        <v>1815</v>
      </c>
      <c r="C4750" t="s">
        <v>520</v>
      </c>
      <c r="D4750" t="s">
        <v>27</v>
      </c>
      <c r="E4750" s="208" t="s">
        <v>142</v>
      </c>
      <c r="F4750" t="s">
        <v>1</v>
      </c>
      <c r="G4750" s="18">
        <v>164</v>
      </c>
      <c r="H4750" t="s">
        <v>16</v>
      </c>
      <c r="I4750" t="s">
        <v>21</v>
      </c>
    </row>
    <row r="4751" spans="1:9" x14ac:dyDescent="0.25">
      <c r="A4751">
        <v>1814</v>
      </c>
      <c r="B4751">
        <f>A4751+1</f>
        <v>1815</v>
      </c>
      <c r="C4751" t="s">
        <v>520</v>
      </c>
      <c r="D4751" t="s">
        <v>27</v>
      </c>
      <c r="E4751" s="208" t="s">
        <v>124</v>
      </c>
      <c r="F4751" t="s">
        <v>1</v>
      </c>
      <c r="G4751" s="18">
        <v>553479</v>
      </c>
      <c r="H4751" t="s">
        <v>16</v>
      </c>
      <c r="I4751" t="s">
        <v>21</v>
      </c>
    </row>
    <row r="4752" spans="1:9" x14ac:dyDescent="0.25">
      <c r="A4752">
        <v>1814</v>
      </c>
      <c r="B4752">
        <f>A4752+1</f>
        <v>1815</v>
      </c>
      <c r="C4752" t="s">
        <v>520</v>
      </c>
      <c r="D4752" t="s">
        <v>27</v>
      </c>
      <c r="E4752" s="208" t="s">
        <v>155</v>
      </c>
      <c r="F4752" t="s">
        <v>6</v>
      </c>
      <c r="G4752" s="18">
        <v>0</v>
      </c>
      <c r="H4752" t="s">
        <v>16</v>
      </c>
      <c r="I4752" t="s">
        <v>25</v>
      </c>
    </row>
    <row r="4753" spans="1:9" x14ac:dyDescent="0.25">
      <c r="A4753">
        <v>1814</v>
      </c>
      <c r="B4753">
        <f>A4753+1</f>
        <v>1815</v>
      </c>
      <c r="C4753" t="s">
        <v>520</v>
      </c>
      <c r="D4753" t="s">
        <v>27</v>
      </c>
      <c r="E4753" s="208" t="s">
        <v>156</v>
      </c>
      <c r="F4753" t="s">
        <v>6</v>
      </c>
      <c r="G4753" s="18">
        <v>3</v>
      </c>
      <c r="H4753" t="s">
        <v>16</v>
      </c>
      <c r="I4753" t="s">
        <v>25</v>
      </c>
    </row>
    <row r="4754" spans="1:9" x14ac:dyDescent="0.25">
      <c r="A4754">
        <v>1814</v>
      </c>
      <c r="B4754">
        <f>A4754+1</f>
        <v>1815</v>
      </c>
      <c r="C4754" t="s">
        <v>520</v>
      </c>
      <c r="D4754" t="s">
        <v>27</v>
      </c>
      <c r="E4754" s="208" t="s">
        <v>154</v>
      </c>
      <c r="F4754" t="s">
        <v>6</v>
      </c>
      <c r="G4754" s="18">
        <v>15</v>
      </c>
      <c r="H4754" t="s">
        <v>16</v>
      </c>
      <c r="I4754" t="s">
        <v>25</v>
      </c>
    </row>
    <row r="4755" spans="1:9" x14ac:dyDescent="0.25">
      <c r="A4755">
        <v>1814</v>
      </c>
      <c r="B4755">
        <f>A4755+1</f>
        <v>1815</v>
      </c>
      <c r="C4755" t="s">
        <v>520</v>
      </c>
      <c r="D4755" t="s">
        <v>27</v>
      </c>
      <c r="E4755" s="208" t="s">
        <v>150</v>
      </c>
      <c r="F4755" t="s">
        <v>6</v>
      </c>
      <c r="G4755" s="18">
        <v>539</v>
      </c>
      <c r="H4755" t="s">
        <v>16</v>
      </c>
      <c r="I4755" t="s">
        <v>25</v>
      </c>
    </row>
    <row r="4756" spans="1:9" x14ac:dyDescent="0.25">
      <c r="A4756">
        <v>1814</v>
      </c>
      <c r="B4756">
        <f>A4756+1</f>
        <v>1815</v>
      </c>
      <c r="C4756" t="s">
        <v>520</v>
      </c>
      <c r="D4756" t="s">
        <v>27</v>
      </c>
      <c r="E4756" s="208" t="s">
        <v>148</v>
      </c>
      <c r="F4756" t="s">
        <v>6</v>
      </c>
      <c r="G4756" s="18">
        <v>56</v>
      </c>
      <c r="H4756" t="s">
        <v>16</v>
      </c>
      <c r="I4756" t="s">
        <v>25</v>
      </c>
    </row>
    <row r="4757" spans="1:9" x14ac:dyDescent="0.25">
      <c r="A4757">
        <v>1814</v>
      </c>
      <c r="B4757">
        <f>A4757+1</f>
        <v>1815</v>
      </c>
      <c r="C4757" t="s">
        <v>520</v>
      </c>
      <c r="D4757" t="s">
        <v>27</v>
      </c>
      <c r="E4757" s="208" t="s">
        <v>147</v>
      </c>
      <c r="F4757" t="s">
        <v>6</v>
      </c>
      <c r="G4757" s="18">
        <v>502</v>
      </c>
      <c r="H4757" t="s">
        <v>16</v>
      </c>
      <c r="I4757" t="s">
        <v>25</v>
      </c>
    </row>
    <row r="4758" spans="1:9" x14ac:dyDescent="0.25">
      <c r="A4758">
        <v>1814</v>
      </c>
      <c r="B4758">
        <f>A4758+1</f>
        <v>1815</v>
      </c>
      <c r="C4758" t="s">
        <v>520</v>
      </c>
      <c r="D4758" t="s">
        <v>27</v>
      </c>
      <c r="E4758" s="208" t="s">
        <v>314</v>
      </c>
      <c r="F4758" t="s">
        <v>6</v>
      </c>
      <c r="G4758" s="18">
        <v>1393</v>
      </c>
      <c r="H4758" t="s">
        <v>16</v>
      </c>
      <c r="I4758" t="s">
        <v>25</v>
      </c>
    </row>
    <row r="4759" spans="1:9" x14ac:dyDescent="0.25">
      <c r="A4759">
        <v>1814</v>
      </c>
      <c r="B4759">
        <f>A4759+1</f>
        <v>1815</v>
      </c>
      <c r="C4759" t="s">
        <v>520</v>
      </c>
      <c r="D4759" t="s">
        <v>27</v>
      </c>
      <c r="E4759" s="208" t="s">
        <v>139</v>
      </c>
      <c r="F4759" t="s">
        <v>6</v>
      </c>
      <c r="G4759" s="18">
        <v>0</v>
      </c>
      <c r="H4759" t="s">
        <v>16</v>
      </c>
      <c r="I4759" t="s">
        <v>25</v>
      </c>
    </row>
    <row r="4760" spans="1:9" x14ac:dyDescent="0.25">
      <c r="A4760">
        <v>1814</v>
      </c>
      <c r="B4760">
        <f>A4760+1</f>
        <v>1815</v>
      </c>
      <c r="C4760" t="s">
        <v>520</v>
      </c>
      <c r="D4760" t="s">
        <v>27</v>
      </c>
      <c r="E4760" s="208" t="s">
        <v>132</v>
      </c>
      <c r="F4760" t="s">
        <v>6</v>
      </c>
      <c r="G4760" s="18">
        <v>0</v>
      </c>
      <c r="H4760" t="s">
        <v>16</v>
      </c>
      <c r="I4760" t="s">
        <v>25</v>
      </c>
    </row>
    <row r="4761" spans="1:9" x14ac:dyDescent="0.25">
      <c r="A4761">
        <v>1814</v>
      </c>
      <c r="B4761">
        <f>A4761+1</f>
        <v>1815</v>
      </c>
      <c r="C4761" t="s">
        <v>520</v>
      </c>
      <c r="D4761" t="s">
        <v>27</v>
      </c>
      <c r="E4761" s="208" t="s">
        <v>130</v>
      </c>
      <c r="F4761" t="s">
        <v>6</v>
      </c>
      <c r="G4761" s="18">
        <v>0</v>
      </c>
      <c r="H4761" t="s">
        <v>16</v>
      </c>
      <c r="I4761" t="s">
        <v>25</v>
      </c>
    </row>
    <row r="4762" spans="1:9" x14ac:dyDescent="0.25">
      <c r="A4762">
        <v>1814</v>
      </c>
      <c r="B4762">
        <f>A4762+1</f>
        <v>1815</v>
      </c>
      <c r="C4762" t="s">
        <v>520</v>
      </c>
      <c r="D4762" t="s">
        <v>27</v>
      </c>
      <c r="E4762" s="208" t="s">
        <v>144</v>
      </c>
      <c r="F4762" t="s">
        <v>6</v>
      </c>
      <c r="G4762" s="18">
        <v>0</v>
      </c>
      <c r="H4762" t="s">
        <v>16</v>
      </c>
      <c r="I4762" t="s">
        <v>25</v>
      </c>
    </row>
    <row r="4763" spans="1:9" x14ac:dyDescent="0.25">
      <c r="A4763">
        <v>1814</v>
      </c>
      <c r="B4763">
        <f>A4763+1</f>
        <v>1815</v>
      </c>
      <c r="C4763" t="s">
        <v>520</v>
      </c>
      <c r="D4763" t="s">
        <v>27</v>
      </c>
      <c r="E4763" s="208" t="s">
        <v>142</v>
      </c>
      <c r="F4763" t="s">
        <v>6</v>
      </c>
      <c r="G4763" s="18">
        <v>0</v>
      </c>
      <c r="H4763" t="s">
        <v>16</v>
      </c>
      <c r="I4763" t="s">
        <v>25</v>
      </c>
    </row>
    <row r="4764" spans="1:9" x14ac:dyDescent="0.25">
      <c r="A4764">
        <v>1814</v>
      </c>
      <c r="B4764">
        <f>A4764+1</f>
        <v>1815</v>
      </c>
      <c r="C4764" t="s">
        <v>520</v>
      </c>
      <c r="D4764" t="s">
        <v>27</v>
      </c>
      <c r="E4764" s="208" t="s">
        <v>124</v>
      </c>
      <c r="F4764" t="s">
        <v>6</v>
      </c>
      <c r="G4764" s="18">
        <v>1025</v>
      </c>
      <c r="H4764" t="s">
        <v>16</v>
      </c>
      <c r="I4764" t="s">
        <v>25</v>
      </c>
    </row>
    <row r="4765" spans="1:9" x14ac:dyDescent="0.25">
      <c r="A4765">
        <v>1814</v>
      </c>
      <c r="B4765">
        <f>A4765+1</f>
        <v>1815</v>
      </c>
      <c r="C4765" t="s">
        <v>520</v>
      </c>
      <c r="D4765" t="s">
        <v>26</v>
      </c>
      <c r="E4765" s="208" t="s">
        <v>62</v>
      </c>
      <c r="F4765" t="s">
        <v>6</v>
      </c>
      <c r="G4765" s="18">
        <v>25159</v>
      </c>
      <c r="H4765" t="s">
        <v>25</v>
      </c>
      <c r="I4765" t="s">
        <v>16</v>
      </c>
    </row>
    <row r="4766" spans="1:9" x14ac:dyDescent="0.25">
      <c r="A4766">
        <v>1814</v>
      </c>
      <c r="B4766">
        <f>A4766+1</f>
        <v>1815</v>
      </c>
      <c r="C4766" t="s">
        <v>520</v>
      </c>
      <c r="D4766" t="s">
        <v>26</v>
      </c>
      <c r="E4766" s="208" t="s">
        <v>36</v>
      </c>
      <c r="F4766" t="s">
        <v>6</v>
      </c>
      <c r="G4766" s="18">
        <v>336</v>
      </c>
      <c r="H4766" t="s">
        <v>25</v>
      </c>
      <c r="I4766" t="s">
        <v>16</v>
      </c>
    </row>
    <row r="4767" spans="1:9" x14ac:dyDescent="0.25">
      <c r="A4767">
        <v>1814</v>
      </c>
      <c r="B4767">
        <f>A4767+1</f>
        <v>1815</v>
      </c>
      <c r="C4767" t="s">
        <v>520</v>
      </c>
      <c r="D4767" t="s">
        <v>26</v>
      </c>
      <c r="E4767" s="208" t="s">
        <v>35</v>
      </c>
      <c r="F4767" t="s">
        <v>6</v>
      </c>
      <c r="G4767" s="18">
        <v>118</v>
      </c>
      <c r="H4767" t="s">
        <v>25</v>
      </c>
      <c r="I4767" t="s">
        <v>16</v>
      </c>
    </row>
    <row r="4768" spans="1:9" x14ac:dyDescent="0.25">
      <c r="A4768">
        <v>1814</v>
      </c>
      <c r="B4768">
        <f>A4768+1</f>
        <v>1815</v>
      </c>
      <c r="C4768" t="s">
        <v>520</v>
      </c>
      <c r="D4768" t="s">
        <v>26</v>
      </c>
      <c r="E4768" s="208" t="s">
        <v>39</v>
      </c>
      <c r="F4768" t="s">
        <v>6</v>
      </c>
      <c r="G4768" s="18">
        <v>397</v>
      </c>
      <c r="H4768" t="s">
        <v>25</v>
      </c>
      <c r="I4768" t="s">
        <v>16</v>
      </c>
    </row>
    <row r="4769" spans="1:9" x14ac:dyDescent="0.25">
      <c r="A4769">
        <v>1814</v>
      </c>
      <c r="B4769">
        <f>A4769+1</f>
        <v>1815</v>
      </c>
      <c r="C4769" t="s">
        <v>520</v>
      </c>
      <c r="D4769" t="s">
        <v>26</v>
      </c>
      <c r="E4769" s="208" t="s">
        <v>99</v>
      </c>
      <c r="F4769" t="s">
        <v>6</v>
      </c>
      <c r="G4769" s="18">
        <v>373</v>
      </c>
      <c r="H4769" t="s">
        <v>25</v>
      </c>
      <c r="I4769" t="s">
        <v>16</v>
      </c>
    </row>
    <row r="4770" spans="1:9" x14ac:dyDescent="0.25">
      <c r="A4770">
        <v>1814</v>
      </c>
      <c r="B4770">
        <f>A4770+1</f>
        <v>1815</v>
      </c>
      <c r="C4770" t="s">
        <v>520</v>
      </c>
      <c r="D4770" t="s">
        <v>26</v>
      </c>
      <c r="E4770" s="208" t="s">
        <v>95</v>
      </c>
      <c r="F4770" t="s">
        <v>6</v>
      </c>
      <c r="G4770" s="18">
        <v>2475</v>
      </c>
      <c r="H4770" t="s">
        <v>25</v>
      </c>
      <c r="I4770" t="s">
        <v>16</v>
      </c>
    </row>
    <row r="4771" spans="1:9" x14ac:dyDescent="0.25">
      <c r="A4771">
        <v>1814</v>
      </c>
      <c r="B4771">
        <f>A4771+1</f>
        <v>1815</v>
      </c>
      <c r="C4771" t="s">
        <v>520</v>
      </c>
      <c r="D4771" t="s">
        <v>26</v>
      </c>
      <c r="E4771" s="208" t="s">
        <v>94</v>
      </c>
      <c r="F4771" t="s">
        <v>6</v>
      </c>
      <c r="G4771" s="18">
        <v>3937</v>
      </c>
      <c r="H4771" t="s">
        <v>25</v>
      </c>
      <c r="I4771" t="s">
        <v>16</v>
      </c>
    </row>
    <row r="4772" spans="1:9" x14ac:dyDescent="0.25">
      <c r="A4772">
        <v>1814</v>
      </c>
      <c r="B4772">
        <f>A4772+1</f>
        <v>1815</v>
      </c>
      <c r="C4772" t="s">
        <v>520</v>
      </c>
      <c r="D4772" t="s">
        <v>26</v>
      </c>
      <c r="E4772" s="208" t="s">
        <v>386</v>
      </c>
      <c r="F4772" t="s">
        <v>6</v>
      </c>
      <c r="G4772" s="18">
        <v>31747</v>
      </c>
      <c r="H4772" t="s">
        <v>25</v>
      </c>
      <c r="I4772" t="s">
        <v>16</v>
      </c>
    </row>
    <row r="4773" spans="1:9" x14ac:dyDescent="0.25">
      <c r="A4773">
        <v>1814</v>
      </c>
      <c r="B4773">
        <f>A4773+1</f>
        <v>1815</v>
      </c>
      <c r="C4773" t="s">
        <v>520</v>
      </c>
      <c r="D4773" t="s">
        <v>26</v>
      </c>
      <c r="E4773" s="208" t="s">
        <v>387</v>
      </c>
      <c r="F4773" t="s">
        <v>6</v>
      </c>
      <c r="G4773" s="18">
        <v>1154</v>
      </c>
      <c r="H4773" t="s">
        <v>25</v>
      </c>
      <c r="I4773" t="s">
        <v>16</v>
      </c>
    </row>
    <row r="4774" spans="1:9" x14ac:dyDescent="0.25">
      <c r="A4774">
        <v>1814</v>
      </c>
      <c r="B4774">
        <f>A4774+1</f>
        <v>1815</v>
      </c>
      <c r="C4774" t="s">
        <v>520</v>
      </c>
      <c r="D4774" t="s">
        <v>26</v>
      </c>
      <c r="E4774" s="208" t="s">
        <v>388</v>
      </c>
      <c r="F4774" t="s">
        <v>6</v>
      </c>
      <c r="G4774" s="18">
        <v>1018</v>
      </c>
      <c r="H4774" t="s">
        <v>25</v>
      </c>
      <c r="I4774" t="s">
        <v>16</v>
      </c>
    </row>
    <row r="4775" spans="1:9" x14ac:dyDescent="0.25">
      <c r="A4775">
        <v>1814</v>
      </c>
      <c r="B4775">
        <f>A4775+1</f>
        <v>1815</v>
      </c>
      <c r="C4775" t="s">
        <v>520</v>
      </c>
      <c r="D4775" t="s">
        <v>26</v>
      </c>
      <c r="E4775" s="208" t="s">
        <v>383</v>
      </c>
      <c r="F4775" t="s">
        <v>6</v>
      </c>
      <c r="G4775" s="18">
        <v>369</v>
      </c>
      <c r="H4775" t="s">
        <v>25</v>
      </c>
      <c r="I4775" t="s">
        <v>16</v>
      </c>
    </row>
    <row r="4776" spans="1:9" x14ac:dyDescent="0.25">
      <c r="A4776">
        <v>1814</v>
      </c>
      <c r="B4776">
        <f>A4776+1</f>
        <v>1815</v>
      </c>
      <c r="C4776" t="s">
        <v>520</v>
      </c>
      <c r="D4776" t="s">
        <v>26</v>
      </c>
      <c r="E4776" s="208" t="s">
        <v>384</v>
      </c>
      <c r="F4776" t="s">
        <v>6</v>
      </c>
      <c r="G4776" s="18">
        <v>31</v>
      </c>
      <c r="H4776" t="s">
        <v>25</v>
      </c>
      <c r="I4776" t="s">
        <v>16</v>
      </c>
    </row>
    <row r="4777" spans="1:9" x14ac:dyDescent="0.25">
      <c r="A4777">
        <v>1814</v>
      </c>
      <c r="B4777">
        <f>A4777+1</f>
        <v>1815</v>
      </c>
      <c r="C4777" t="s">
        <v>520</v>
      </c>
      <c r="D4777" t="s">
        <v>26</v>
      </c>
      <c r="E4777" s="208" t="s">
        <v>65</v>
      </c>
      <c r="F4777" t="s">
        <v>6</v>
      </c>
      <c r="G4777" s="18">
        <v>0</v>
      </c>
      <c r="H4777" t="s">
        <v>25</v>
      </c>
      <c r="I4777" t="s">
        <v>16</v>
      </c>
    </row>
    <row r="4778" spans="1:9" x14ac:dyDescent="0.25">
      <c r="A4778">
        <v>1814</v>
      </c>
      <c r="B4778">
        <f>A4778+1</f>
        <v>1815</v>
      </c>
      <c r="C4778" t="s">
        <v>520</v>
      </c>
      <c r="D4778" t="s">
        <v>26</v>
      </c>
      <c r="E4778" s="208" t="s">
        <v>88</v>
      </c>
      <c r="F4778" t="s">
        <v>6</v>
      </c>
      <c r="G4778" s="18">
        <v>0</v>
      </c>
      <c r="H4778" t="s">
        <v>25</v>
      </c>
      <c r="I4778" t="s">
        <v>16</v>
      </c>
    </row>
    <row r="4779" spans="1:9" x14ac:dyDescent="0.25">
      <c r="A4779">
        <v>1814</v>
      </c>
      <c r="B4779">
        <f>A4779+1</f>
        <v>1815</v>
      </c>
      <c r="C4779" t="s">
        <v>520</v>
      </c>
      <c r="D4779" t="s">
        <v>26</v>
      </c>
      <c r="E4779" s="208" t="s">
        <v>107</v>
      </c>
      <c r="F4779" t="s">
        <v>6</v>
      </c>
      <c r="G4779" s="18">
        <v>201939</v>
      </c>
      <c r="H4779" t="s">
        <v>25</v>
      </c>
      <c r="I4779" t="s">
        <v>16</v>
      </c>
    </row>
    <row r="4780" spans="1:9" x14ac:dyDescent="0.25">
      <c r="A4780">
        <v>1814</v>
      </c>
      <c r="B4780">
        <f>A4780+1</f>
        <v>1815</v>
      </c>
      <c r="C4780" t="s">
        <v>520</v>
      </c>
      <c r="D4780" t="s">
        <v>26</v>
      </c>
      <c r="E4780" s="208" t="s">
        <v>101</v>
      </c>
      <c r="F4780" t="s">
        <v>6</v>
      </c>
      <c r="G4780" s="18">
        <v>562900</v>
      </c>
      <c r="H4780" t="s">
        <v>25</v>
      </c>
      <c r="I4780" t="s">
        <v>16</v>
      </c>
    </row>
    <row r="4781" spans="1:9" x14ac:dyDescent="0.25">
      <c r="A4781">
        <v>1814</v>
      </c>
      <c r="B4781">
        <f>A4781+1</f>
        <v>1815</v>
      </c>
      <c r="C4781" t="s">
        <v>520</v>
      </c>
      <c r="D4781" t="s">
        <v>26</v>
      </c>
      <c r="E4781" s="208" t="s">
        <v>75</v>
      </c>
      <c r="F4781" t="s">
        <v>6</v>
      </c>
      <c r="G4781" s="18">
        <v>403733</v>
      </c>
      <c r="H4781" t="s">
        <v>25</v>
      </c>
      <c r="I4781" t="s">
        <v>16</v>
      </c>
    </row>
    <row r="4782" spans="1:9" x14ac:dyDescent="0.25">
      <c r="A4782">
        <v>1814</v>
      </c>
      <c r="B4782">
        <f>A4782+1</f>
        <v>1815</v>
      </c>
      <c r="C4782" t="s">
        <v>520</v>
      </c>
      <c r="D4782" t="s">
        <v>26</v>
      </c>
      <c r="E4782" s="208" t="s">
        <v>330</v>
      </c>
      <c r="F4782" t="s">
        <v>6</v>
      </c>
      <c r="G4782" s="18">
        <v>976</v>
      </c>
      <c r="H4782" t="s">
        <v>25</v>
      </c>
      <c r="I4782" t="s">
        <v>16</v>
      </c>
    </row>
    <row r="4783" spans="1:9" x14ac:dyDescent="0.25">
      <c r="A4783">
        <v>1814</v>
      </c>
      <c r="B4783">
        <f>A4783+1</f>
        <v>1815</v>
      </c>
      <c r="C4783" t="s">
        <v>520</v>
      </c>
      <c r="D4783" t="s">
        <v>26</v>
      </c>
      <c r="E4783" s="208" t="s">
        <v>331</v>
      </c>
      <c r="F4783" t="s">
        <v>6</v>
      </c>
      <c r="G4783" s="18">
        <v>3242</v>
      </c>
      <c r="H4783" t="s">
        <v>25</v>
      </c>
      <c r="I4783" t="s">
        <v>16</v>
      </c>
    </row>
    <row r="4784" spans="1:9" x14ac:dyDescent="0.25">
      <c r="A4784">
        <v>1814</v>
      </c>
      <c r="B4784">
        <f>A4784+1</f>
        <v>1815</v>
      </c>
      <c r="C4784" t="s">
        <v>520</v>
      </c>
      <c r="D4784" t="s">
        <v>26</v>
      </c>
      <c r="E4784" s="208" t="s">
        <v>332</v>
      </c>
      <c r="F4784" t="s">
        <v>6</v>
      </c>
      <c r="G4784" s="18">
        <v>935</v>
      </c>
      <c r="H4784" t="s">
        <v>25</v>
      </c>
      <c r="I4784" t="s">
        <v>16</v>
      </c>
    </row>
    <row r="4785" spans="1:9" x14ac:dyDescent="0.25">
      <c r="A4785">
        <v>1814</v>
      </c>
      <c r="B4785">
        <f>A4785+1</f>
        <v>1815</v>
      </c>
      <c r="C4785" t="s">
        <v>520</v>
      </c>
      <c r="D4785" t="s">
        <v>26</v>
      </c>
      <c r="E4785" s="208" t="s">
        <v>333</v>
      </c>
      <c r="F4785" t="s">
        <v>6</v>
      </c>
      <c r="G4785" s="18">
        <v>2094</v>
      </c>
      <c r="H4785" t="s">
        <v>25</v>
      </c>
      <c r="I4785" t="s">
        <v>16</v>
      </c>
    </row>
    <row r="4786" spans="1:9" x14ac:dyDescent="0.25">
      <c r="A4786">
        <v>1814</v>
      </c>
      <c r="B4786">
        <f>A4786+1</f>
        <v>1815</v>
      </c>
      <c r="C4786" t="s">
        <v>520</v>
      </c>
      <c r="D4786" t="s">
        <v>27</v>
      </c>
      <c r="E4786" s="208" t="s">
        <v>155</v>
      </c>
      <c r="F4786" t="s">
        <v>4</v>
      </c>
      <c r="G4786" s="18">
        <v>217</v>
      </c>
      <c r="H4786" t="s">
        <v>16</v>
      </c>
      <c r="I4786" t="s">
        <v>23</v>
      </c>
    </row>
    <row r="4787" spans="1:9" x14ac:dyDescent="0.25">
      <c r="A4787">
        <v>1814</v>
      </c>
      <c r="B4787">
        <f>A4787+1</f>
        <v>1815</v>
      </c>
      <c r="C4787" t="s">
        <v>520</v>
      </c>
      <c r="D4787" t="s">
        <v>27</v>
      </c>
      <c r="E4787" s="208" t="s">
        <v>156</v>
      </c>
      <c r="F4787" t="s">
        <v>4</v>
      </c>
      <c r="G4787" s="18">
        <v>43</v>
      </c>
      <c r="H4787" t="s">
        <v>16</v>
      </c>
      <c r="I4787" t="s">
        <v>23</v>
      </c>
    </row>
    <row r="4788" spans="1:9" x14ac:dyDescent="0.25">
      <c r="A4788">
        <v>1814</v>
      </c>
      <c r="B4788">
        <f>A4788+1</f>
        <v>1815</v>
      </c>
      <c r="C4788" t="s">
        <v>520</v>
      </c>
      <c r="D4788" t="s">
        <v>27</v>
      </c>
      <c r="E4788" s="208" t="s">
        <v>154</v>
      </c>
      <c r="F4788" t="s">
        <v>4</v>
      </c>
      <c r="G4788" s="18">
        <v>225</v>
      </c>
      <c r="H4788" t="s">
        <v>16</v>
      </c>
      <c r="I4788" t="s">
        <v>23</v>
      </c>
    </row>
    <row r="4789" spans="1:9" x14ac:dyDescent="0.25">
      <c r="A4789">
        <v>1814</v>
      </c>
      <c r="B4789">
        <f>A4789+1</f>
        <v>1815</v>
      </c>
      <c r="C4789" t="s">
        <v>520</v>
      </c>
      <c r="D4789" t="s">
        <v>27</v>
      </c>
      <c r="E4789" s="208" t="s">
        <v>150</v>
      </c>
      <c r="F4789" t="s">
        <v>4</v>
      </c>
      <c r="G4789" s="18">
        <v>1340</v>
      </c>
      <c r="H4789" t="s">
        <v>16</v>
      </c>
      <c r="I4789" t="s">
        <v>23</v>
      </c>
    </row>
    <row r="4790" spans="1:9" x14ac:dyDescent="0.25">
      <c r="A4790">
        <v>1814</v>
      </c>
      <c r="B4790">
        <f>A4790+1</f>
        <v>1815</v>
      </c>
      <c r="C4790" t="s">
        <v>520</v>
      </c>
      <c r="D4790" t="s">
        <v>27</v>
      </c>
      <c r="E4790" s="208" t="s">
        <v>148</v>
      </c>
      <c r="F4790" t="s">
        <v>4</v>
      </c>
      <c r="G4790" s="18">
        <v>5</v>
      </c>
      <c r="H4790" t="s">
        <v>16</v>
      </c>
      <c r="I4790" t="s">
        <v>23</v>
      </c>
    </row>
    <row r="4791" spans="1:9" x14ac:dyDescent="0.25">
      <c r="A4791">
        <v>1814</v>
      </c>
      <c r="B4791">
        <f>A4791+1</f>
        <v>1815</v>
      </c>
      <c r="C4791" t="s">
        <v>520</v>
      </c>
      <c r="D4791" t="s">
        <v>27</v>
      </c>
      <c r="E4791" s="208" t="s">
        <v>147</v>
      </c>
      <c r="F4791" t="s">
        <v>4</v>
      </c>
      <c r="G4791" s="18">
        <v>0</v>
      </c>
      <c r="H4791" t="s">
        <v>16</v>
      </c>
      <c r="I4791" t="s">
        <v>23</v>
      </c>
    </row>
    <row r="4792" spans="1:9" x14ac:dyDescent="0.25">
      <c r="A4792">
        <v>1814</v>
      </c>
      <c r="B4792">
        <f>A4792+1</f>
        <v>1815</v>
      </c>
      <c r="C4792" t="s">
        <v>520</v>
      </c>
      <c r="D4792" t="s">
        <v>27</v>
      </c>
      <c r="E4792" s="208" t="s">
        <v>314</v>
      </c>
      <c r="F4792" t="s">
        <v>4</v>
      </c>
      <c r="G4792" s="18">
        <v>0</v>
      </c>
      <c r="H4792" t="s">
        <v>16</v>
      </c>
      <c r="I4792" t="s">
        <v>23</v>
      </c>
    </row>
    <row r="4793" spans="1:9" x14ac:dyDescent="0.25">
      <c r="A4793">
        <v>1814</v>
      </c>
      <c r="B4793">
        <f>A4793+1</f>
        <v>1815</v>
      </c>
      <c r="C4793" t="s">
        <v>520</v>
      </c>
      <c r="D4793" t="s">
        <v>27</v>
      </c>
      <c r="E4793" s="208" t="s">
        <v>139</v>
      </c>
      <c r="F4793" t="s">
        <v>4</v>
      </c>
      <c r="G4793" s="18">
        <v>38</v>
      </c>
      <c r="H4793" t="s">
        <v>16</v>
      </c>
      <c r="I4793" t="s">
        <v>23</v>
      </c>
    </row>
    <row r="4794" spans="1:9" x14ac:dyDescent="0.25">
      <c r="A4794">
        <v>1814</v>
      </c>
      <c r="B4794">
        <f>A4794+1</f>
        <v>1815</v>
      </c>
      <c r="C4794" t="s">
        <v>520</v>
      </c>
      <c r="D4794" t="s">
        <v>27</v>
      </c>
      <c r="E4794" s="208" t="s">
        <v>132</v>
      </c>
      <c r="F4794" t="s">
        <v>4</v>
      </c>
      <c r="G4794" s="18">
        <v>63</v>
      </c>
      <c r="H4794" t="s">
        <v>16</v>
      </c>
      <c r="I4794" t="s">
        <v>23</v>
      </c>
    </row>
    <row r="4795" spans="1:9" x14ac:dyDescent="0.25">
      <c r="A4795">
        <v>1814</v>
      </c>
      <c r="B4795">
        <f>A4795+1</f>
        <v>1815</v>
      </c>
      <c r="C4795" t="s">
        <v>520</v>
      </c>
      <c r="D4795" t="s">
        <v>27</v>
      </c>
      <c r="E4795" s="208" t="s">
        <v>130</v>
      </c>
      <c r="F4795" t="s">
        <v>4</v>
      </c>
      <c r="G4795" s="18">
        <v>107</v>
      </c>
      <c r="H4795" t="s">
        <v>16</v>
      </c>
      <c r="I4795" t="s">
        <v>23</v>
      </c>
    </row>
    <row r="4796" spans="1:9" x14ac:dyDescent="0.25">
      <c r="A4796">
        <v>1814</v>
      </c>
      <c r="B4796">
        <f>A4796+1</f>
        <v>1815</v>
      </c>
      <c r="C4796" t="s">
        <v>520</v>
      </c>
      <c r="D4796" t="s">
        <v>27</v>
      </c>
      <c r="E4796" s="208" t="s">
        <v>144</v>
      </c>
      <c r="F4796" t="s">
        <v>4</v>
      </c>
      <c r="G4796" s="18">
        <v>11</v>
      </c>
      <c r="H4796" t="s">
        <v>16</v>
      </c>
      <c r="I4796" t="s">
        <v>23</v>
      </c>
    </row>
    <row r="4797" spans="1:9" x14ac:dyDescent="0.25">
      <c r="A4797">
        <v>1814</v>
      </c>
      <c r="B4797">
        <f>A4797+1</f>
        <v>1815</v>
      </c>
      <c r="C4797" t="s">
        <v>520</v>
      </c>
      <c r="D4797" t="s">
        <v>27</v>
      </c>
      <c r="E4797" s="208" t="s">
        <v>142</v>
      </c>
      <c r="F4797" t="s">
        <v>4</v>
      </c>
      <c r="G4797" s="18">
        <v>317</v>
      </c>
      <c r="H4797" t="s">
        <v>16</v>
      </c>
      <c r="I4797" t="s">
        <v>23</v>
      </c>
    </row>
    <row r="4798" spans="1:9" x14ac:dyDescent="0.25">
      <c r="A4798">
        <v>1814</v>
      </c>
      <c r="B4798">
        <f>A4798+1</f>
        <v>1815</v>
      </c>
      <c r="C4798" t="s">
        <v>520</v>
      </c>
      <c r="D4798" t="s">
        <v>27</v>
      </c>
      <c r="E4798" s="208" t="s">
        <v>124</v>
      </c>
      <c r="F4798" t="s">
        <v>4</v>
      </c>
      <c r="G4798" s="18">
        <v>197359</v>
      </c>
      <c r="H4798" t="s">
        <v>16</v>
      </c>
      <c r="I4798" t="s">
        <v>23</v>
      </c>
    </row>
    <row r="4799" spans="1:9" x14ac:dyDescent="0.25">
      <c r="A4799">
        <v>1814</v>
      </c>
      <c r="B4799">
        <f>A4799+1</f>
        <v>1815</v>
      </c>
      <c r="C4799" t="s">
        <v>520</v>
      </c>
      <c r="D4799" t="s">
        <v>26</v>
      </c>
      <c r="E4799" s="208" t="s">
        <v>62</v>
      </c>
      <c r="F4799" t="s">
        <v>4</v>
      </c>
      <c r="G4799" s="18">
        <v>25154</v>
      </c>
      <c r="H4799" t="s">
        <v>23</v>
      </c>
      <c r="I4799" t="s">
        <v>16</v>
      </c>
    </row>
    <row r="4800" spans="1:9" x14ac:dyDescent="0.25">
      <c r="A4800">
        <v>1814</v>
      </c>
      <c r="B4800">
        <f>A4800+1</f>
        <v>1815</v>
      </c>
      <c r="C4800" t="s">
        <v>520</v>
      </c>
      <c r="D4800" t="s">
        <v>26</v>
      </c>
      <c r="E4800" s="208" t="s">
        <v>36</v>
      </c>
      <c r="F4800" t="s">
        <v>4</v>
      </c>
      <c r="G4800" s="18">
        <v>683</v>
      </c>
      <c r="H4800" t="s">
        <v>23</v>
      </c>
      <c r="I4800" t="s">
        <v>16</v>
      </c>
    </row>
    <row r="4801" spans="1:9" x14ac:dyDescent="0.25">
      <c r="A4801">
        <v>1814</v>
      </c>
      <c r="B4801">
        <f>A4801+1</f>
        <v>1815</v>
      </c>
      <c r="C4801" t="s">
        <v>520</v>
      </c>
      <c r="D4801" t="s">
        <v>26</v>
      </c>
      <c r="E4801" s="208" t="s">
        <v>35</v>
      </c>
      <c r="F4801" t="s">
        <v>4</v>
      </c>
      <c r="G4801" s="18">
        <v>100</v>
      </c>
      <c r="H4801" t="s">
        <v>23</v>
      </c>
      <c r="I4801" t="s">
        <v>16</v>
      </c>
    </row>
    <row r="4802" spans="1:9" x14ac:dyDescent="0.25">
      <c r="A4802">
        <v>1814</v>
      </c>
      <c r="B4802">
        <f>A4802+1</f>
        <v>1815</v>
      </c>
      <c r="C4802" t="s">
        <v>520</v>
      </c>
      <c r="D4802" t="s">
        <v>26</v>
      </c>
      <c r="E4802" s="208" t="s">
        <v>39</v>
      </c>
      <c r="F4802" t="s">
        <v>4</v>
      </c>
      <c r="G4802" s="18">
        <v>1368</v>
      </c>
      <c r="H4802" t="s">
        <v>23</v>
      </c>
      <c r="I4802" t="s">
        <v>16</v>
      </c>
    </row>
    <row r="4803" spans="1:9" x14ac:dyDescent="0.25">
      <c r="A4803">
        <v>1814</v>
      </c>
      <c r="B4803">
        <f>A4803+1</f>
        <v>1815</v>
      </c>
      <c r="C4803" t="s">
        <v>520</v>
      </c>
      <c r="D4803" t="s">
        <v>26</v>
      </c>
      <c r="E4803" s="208" t="s">
        <v>99</v>
      </c>
      <c r="F4803" t="s">
        <v>4</v>
      </c>
      <c r="G4803" s="18">
        <v>339</v>
      </c>
      <c r="H4803" t="s">
        <v>23</v>
      </c>
      <c r="I4803" t="s">
        <v>16</v>
      </c>
    </row>
    <row r="4804" spans="1:9" x14ac:dyDescent="0.25">
      <c r="A4804">
        <v>1814</v>
      </c>
      <c r="B4804">
        <f>A4804+1</f>
        <v>1815</v>
      </c>
      <c r="C4804" t="s">
        <v>520</v>
      </c>
      <c r="D4804" t="s">
        <v>26</v>
      </c>
      <c r="E4804" s="208" t="s">
        <v>95</v>
      </c>
      <c r="F4804" t="s">
        <v>4</v>
      </c>
      <c r="G4804" s="18">
        <v>2</v>
      </c>
      <c r="H4804" t="s">
        <v>23</v>
      </c>
      <c r="I4804" t="s">
        <v>16</v>
      </c>
    </row>
    <row r="4805" spans="1:9" x14ac:dyDescent="0.25">
      <c r="A4805">
        <v>1814</v>
      </c>
      <c r="B4805">
        <f>A4805+1</f>
        <v>1815</v>
      </c>
      <c r="C4805" t="s">
        <v>520</v>
      </c>
      <c r="D4805" t="s">
        <v>26</v>
      </c>
      <c r="E4805" s="208" t="s">
        <v>94</v>
      </c>
      <c r="F4805" t="s">
        <v>4</v>
      </c>
      <c r="G4805" s="18">
        <v>9</v>
      </c>
      <c r="H4805" t="s">
        <v>23</v>
      </c>
      <c r="I4805" t="s">
        <v>16</v>
      </c>
    </row>
    <row r="4806" spans="1:9" x14ac:dyDescent="0.25">
      <c r="A4806">
        <v>1814</v>
      </c>
      <c r="B4806">
        <f>A4806+1</f>
        <v>1815</v>
      </c>
      <c r="C4806" t="s">
        <v>520</v>
      </c>
      <c r="D4806" t="s">
        <v>26</v>
      </c>
      <c r="E4806" s="208" t="s">
        <v>386</v>
      </c>
      <c r="F4806" t="s">
        <v>4</v>
      </c>
      <c r="G4806" s="18">
        <v>6923</v>
      </c>
      <c r="H4806" t="s">
        <v>23</v>
      </c>
      <c r="I4806" t="s">
        <v>16</v>
      </c>
    </row>
    <row r="4807" spans="1:9" x14ac:dyDescent="0.25">
      <c r="A4807">
        <v>1814</v>
      </c>
      <c r="B4807">
        <f>A4807+1</f>
        <v>1815</v>
      </c>
      <c r="C4807" t="s">
        <v>520</v>
      </c>
      <c r="D4807" t="s">
        <v>26</v>
      </c>
      <c r="E4807" s="208" t="s">
        <v>387</v>
      </c>
      <c r="F4807" t="s">
        <v>4</v>
      </c>
      <c r="G4807" s="18">
        <v>225</v>
      </c>
      <c r="H4807" t="s">
        <v>23</v>
      </c>
      <c r="I4807" t="s">
        <v>16</v>
      </c>
    </row>
    <row r="4808" spans="1:9" x14ac:dyDescent="0.25">
      <c r="A4808">
        <v>1814</v>
      </c>
      <c r="B4808">
        <f>A4808+1</f>
        <v>1815</v>
      </c>
      <c r="C4808" t="s">
        <v>520</v>
      </c>
      <c r="D4808" t="s">
        <v>26</v>
      </c>
      <c r="E4808" s="208" t="s">
        <v>388</v>
      </c>
      <c r="F4808" t="s">
        <v>4</v>
      </c>
      <c r="G4808" s="18">
        <v>5884</v>
      </c>
      <c r="H4808" t="s">
        <v>23</v>
      </c>
      <c r="I4808" t="s">
        <v>16</v>
      </c>
    </row>
    <row r="4809" spans="1:9" x14ac:dyDescent="0.25">
      <c r="A4809">
        <v>1814</v>
      </c>
      <c r="B4809">
        <f>A4809+1</f>
        <v>1815</v>
      </c>
      <c r="C4809" t="s">
        <v>520</v>
      </c>
      <c r="D4809" t="s">
        <v>26</v>
      </c>
      <c r="E4809" s="208" t="s">
        <v>383</v>
      </c>
      <c r="F4809" t="s">
        <v>4</v>
      </c>
      <c r="G4809" s="18">
        <v>3</v>
      </c>
      <c r="H4809" t="s">
        <v>23</v>
      </c>
      <c r="I4809" t="s">
        <v>16</v>
      </c>
    </row>
    <row r="4810" spans="1:9" x14ac:dyDescent="0.25">
      <c r="A4810">
        <v>1814</v>
      </c>
      <c r="B4810">
        <f>A4810+1</f>
        <v>1815</v>
      </c>
      <c r="C4810" t="s">
        <v>520</v>
      </c>
      <c r="D4810" t="s">
        <v>26</v>
      </c>
      <c r="E4810" s="208" t="s">
        <v>384</v>
      </c>
      <c r="F4810" t="s">
        <v>4</v>
      </c>
      <c r="G4810" s="18">
        <v>47</v>
      </c>
      <c r="H4810" t="s">
        <v>23</v>
      </c>
      <c r="I4810" t="s">
        <v>16</v>
      </c>
    </row>
    <row r="4811" spans="1:9" x14ac:dyDescent="0.25">
      <c r="A4811">
        <v>1814</v>
      </c>
      <c r="B4811">
        <f>A4811+1</f>
        <v>1815</v>
      </c>
      <c r="C4811" t="s">
        <v>520</v>
      </c>
      <c r="D4811" t="s">
        <v>26</v>
      </c>
      <c r="E4811" s="208" t="s">
        <v>65</v>
      </c>
      <c r="F4811" t="s">
        <v>4</v>
      </c>
      <c r="G4811" s="18">
        <v>0</v>
      </c>
      <c r="H4811" t="s">
        <v>23</v>
      </c>
      <c r="I4811" t="s">
        <v>16</v>
      </c>
    </row>
    <row r="4812" spans="1:9" x14ac:dyDescent="0.25">
      <c r="A4812">
        <v>1814</v>
      </c>
      <c r="B4812">
        <f>A4812+1</f>
        <v>1815</v>
      </c>
      <c r="C4812" t="s">
        <v>520</v>
      </c>
      <c r="D4812" t="s">
        <v>26</v>
      </c>
      <c r="E4812" s="208" t="s">
        <v>88</v>
      </c>
      <c r="F4812" t="s">
        <v>4</v>
      </c>
      <c r="G4812" s="18">
        <v>0</v>
      </c>
      <c r="H4812" t="s">
        <v>23</v>
      </c>
      <c r="I4812" t="s">
        <v>16</v>
      </c>
    </row>
    <row r="4813" spans="1:9" x14ac:dyDescent="0.25">
      <c r="A4813">
        <v>1814</v>
      </c>
      <c r="B4813">
        <f>A4813+1</f>
        <v>1815</v>
      </c>
      <c r="C4813" t="s">
        <v>520</v>
      </c>
      <c r="D4813" t="s">
        <v>26</v>
      </c>
      <c r="E4813" s="208" t="s">
        <v>107</v>
      </c>
      <c r="F4813" t="s">
        <v>4</v>
      </c>
      <c r="G4813" s="18">
        <v>333325</v>
      </c>
      <c r="H4813" t="s">
        <v>23</v>
      </c>
      <c r="I4813" t="s">
        <v>16</v>
      </c>
    </row>
    <row r="4814" spans="1:9" x14ac:dyDescent="0.25">
      <c r="A4814">
        <v>1814</v>
      </c>
      <c r="B4814">
        <f>A4814+1</f>
        <v>1815</v>
      </c>
      <c r="C4814" t="s">
        <v>520</v>
      </c>
      <c r="D4814" t="s">
        <v>26</v>
      </c>
      <c r="E4814" s="208" t="s">
        <v>101</v>
      </c>
      <c r="F4814" t="s">
        <v>4</v>
      </c>
      <c r="G4814" s="18">
        <v>315290</v>
      </c>
      <c r="H4814" t="s">
        <v>23</v>
      </c>
      <c r="I4814" t="s">
        <v>16</v>
      </c>
    </row>
    <row r="4815" spans="1:9" x14ac:dyDescent="0.25">
      <c r="A4815">
        <v>1814</v>
      </c>
      <c r="B4815">
        <f>A4815+1</f>
        <v>1815</v>
      </c>
      <c r="C4815" t="s">
        <v>520</v>
      </c>
      <c r="D4815" t="s">
        <v>26</v>
      </c>
      <c r="E4815" s="208" t="s">
        <v>75</v>
      </c>
      <c r="F4815" t="s">
        <v>4</v>
      </c>
      <c r="G4815" s="18">
        <v>317678</v>
      </c>
      <c r="H4815" t="s">
        <v>23</v>
      </c>
      <c r="I4815" t="s">
        <v>16</v>
      </c>
    </row>
    <row r="4816" spans="1:9" x14ac:dyDescent="0.25">
      <c r="A4816">
        <v>1814</v>
      </c>
      <c r="B4816">
        <f>A4816+1</f>
        <v>1815</v>
      </c>
      <c r="C4816" t="s">
        <v>520</v>
      </c>
      <c r="D4816" t="s">
        <v>26</v>
      </c>
      <c r="E4816" s="208" t="s">
        <v>330</v>
      </c>
      <c r="F4816" t="s">
        <v>4</v>
      </c>
      <c r="G4816" s="18">
        <v>0</v>
      </c>
      <c r="H4816" t="s">
        <v>23</v>
      </c>
      <c r="I4816" t="s">
        <v>16</v>
      </c>
    </row>
    <row r="4817" spans="1:9" x14ac:dyDescent="0.25">
      <c r="A4817">
        <v>1814</v>
      </c>
      <c r="B4817">
        <f>A4817+1</f>
        <v>1815</v>
      </c>
      <c r="C4817" t="s">
        <v>520</v>
      </c>
      <c r="D4817" t="s">
        <v>26</v>
      </c>
      <c r="E4817" s="208" t="s">
        <v>331</v>
      </c>
      <c r="F4817" t="s">
        <v>4</v>
      </c>
      <c r="G4817" s="18">
        <v>0</v>
      </c>
      <c r="H4817" t="s">
        <v>23</v>
      </c>
      <c r="I4817" t="s">
        <v>16</v>
      </c>
    </row>
    <row r="4818" spans="1:9" x14ac:dyDescent="0.25">
      <c r="A4818">
        <v>1814</v>
      </c>
      <c r="B4818">
        <f>A4818+1</f>
        <v>1815</v>
      </c>
      <c r="C4818" t="s">
        <v>520</v>
      </c>
      <c r="D4818" t="s">
        <v>26</v>
      </c>
      <c r="E4818" s="208" t="s">
        <v>332</v>
      </c>
      <c r="F4818" t="s">
        <v>4</v>
      </c>
      <c r="G4818" s="18">
        <v>0</v>
      </c>
      <c r="H4818" t="s">
        <v>23</v>
      </c>
      <c r="I4818" t="s">
        <v>16</v>
      </c>
    </row>
    <row r="4819" spans="1:9" x14ac:dyDescent="0.25">
      <c r="A4819">
        <v>1814</v>
      </c>
      <c r="B4819">
        <f>A4819+1</f>
        <v>1815</v>
      </c>
      <c r="C4819" t="s">
        <v>520</v>
      </c>
      <c r="D4819" t="s">
        <v>26</v>
      </c>
      <c r="E4819" s="208" t="s">
        <v>333</v>
      </c>
      <c r="F4819" t="s">
        <v>4</v>
      </c>
      <c r="G4819" s="18">
        <v>0</v>
      </c>
      <c r="H4819" t="s">
        <v>23</v>
      </c>
      <c r="I4819" t="s">
        <v>16</v>
      </c>
    </row>
    <row r="4820" spans="1:9" x14ac:dyDescent="0.25">
      <c r="A4820">
        <v>1814</v>
      </c>
      <c r="B4820">
        <f>A4820+1</f>
        <v>1815</v>
      </c>
      <c r="C4820" t="s">
        <v>520</v>
      </c>
      <c r="D4820" t="s">
        <v>27</v>
      </c>
      <c r="E4820" s="208" t="s">
        <v>155</v>
      </c>
      <c r="F4820" t="s">
        <v>7</v>
      </c>
      <c r="G4820" s="18">
        <v>26497</v>
      </c>
      <c r="H4820" t="s">
        <v>16</v>
      </c>
      <c r="I4820" s="151" t="s">
        <v>562</v>
      </c>
    </row>
    <row r="4821" spans="1:9" x14ac:dyDescent="0.25">
      <c r="A4821">
        <v>1814</v>
      </c>
      <c r="B4821">
        <f>A4821+1</f>
        <v>1815</v>
      </c>
      <c r="C4821" t="s">
        <v>520</v>
      </c>
      <c r="D4821" t="s">
        <v>27</v>
      </c>
      <c r="E4821" s="208" t="s">
        <v>156</v>
      </c>
      <c r="F4821" t="s">
        <v>7</v>
      </c>
      <c r="G4821" s="18">
        <v>2111</v>
      </c>
      <c r="H4821" t="s">
        <v>16</v>
      </c>
      <c r="I4821" s="151" t="s">
        <v>562</v>
      </c>
    </row>
    <row r="4822" spans="1:9" x14ac:dyDescent="0.25">
      <c r="A4822">
        <v>1814</v>
      </c>
      <c r="B4822">
        <f>A4822+1</f>
        <v>1815</v>
      </c>
      <c r="C4822" t="s">
        <v>520</v>
      </c>
      <c r="D4822" t="s">
        <v>27</v>
      </c>
      <c r="E4822" s="208" t="s">
        <v>154</v>
      </c>
      <c r="F4822" t="s">
        <v>7</v>
      </c>
      <c r="G4822" s="18">
        <v>1612</v>
      </c>
      <c r="H4822" t="s">
        <v>16</v>
      </c>
      <c r="I4822" s="151" t="s">
        <v>562</v>
      </c>
    </row>
    <row r="4823" spans="1:9" x14ac:dyDescent="0.25">
      <c r="A4823">
        <v>1814</v>
      </c>
      <c r="B4823">
        <f>A4823+1</f>
        <v>1815</v>
      </c>
      <c r="C4823" t="s">
        <v>520</v>
      </c>
      <c r="D4823" t="s">
        <v>27</v>
      </c>
      <c r="E4823" s="208" t="s">
        <v>150</v>
      </c>
      <c r="F4823" t="s">
        <v>7</v>
      </c>
      <c r="G4823" s="18">
        <v>11920</v>
      </c>
      <c r="H4823" t="s">
        <v>16</v>
      </c>
      <c r="I4823" s="151" t="s">
        <v>562</v>
      </c>
    </row>
    <row r="4824" spans="1:9" x14ac:dyDescent="0.25">
      <c r="A4824">
        <v>1814</v>
      </c>
      <c r="B4824">
        <f>A4824+1</f>
        <v>1815</v>
      </c>
      <c r="C4824" t="s">
        <v>520</v>
      </c>
      <c r="D4824" t="s">
        <v>27</v>
      </c>
      <c r="E4824" s="208" t="s">
        <v>148</v>
      </c>
      <c r="F4824" t="s">
        <v>7</v>
      </c>
      <c r="G4824" s="18">
        <v>814</v>
      </c>
      <c r="H4824" t="s">
        <v>16</v>
      </c>
      <c r="I4824" s="151" t="s">
        <v>562</v>
      </c>
    </row>
    <row r="4825" spans="1:9" x14ac:dyDescent="0.25">
      <c r="A4825">
        <v>1814</v>
      </c>
      <c r="B4825">
        <f>A4825+1</f>
        <v>1815</v>
      </c>
      <c r="C4825" t="s">
        <v>520</v>
      </c>
      <c r="D4825" t="s">
        <v>27</v>
      </c>
      <c r="E4825" s="208" t="s">
        <v>147</v>
      </c>
      <c r="F4825" t="s">
        <v>7</v>
      </c>
      <c r="G4825" s="18">
        <v>569</v>
      </c>
      <c r="H4825" t="s">
        <v>16</v>
      </c>
      <c r="I4825" s="151" t="s">
        <v>562</v>
      </c>
    </row>
    <row r="4826" spans="1:9" x14ac:dyDescent="0.25">
      <c r="A4826">
        <v>1814</v>
      </c>
      <c r="B4826">
        <f>A4826+1</f>
        <v>1815</v>
      </c>
      <c r="C4826" t="s">
        <v>520</v>
      </c>
      <c r="D4826" t="s">
        <v>27</v>
      </c>
      <c r="E4826" s="208" t="s">
        <v>314</v>
      </c>
      <c r="F4826" t="s">
        <v>7</v>
      </c>
      <c r="G4826" s="18">
        <v>1393</v>
      </c>
      <c r="H4826" t="s">
        <v>16</v>
      </c>
      <c r="I4826" s="151" t="s">
        <v>562</v>
      </c>
    </row>
    <row r="4827" spans="1:9" x14ac:dyDescent="0.25">
      <c r="A4827">
        <v>1814</v>
      </c>
      <c r="B4827">
        <f>A4827+1</f>
        <v>1815</v>
      </c>
      <c r="C4827" t="s">
        <v>520</v>
      </c>
      <c r="D4827" t="s">
        <v>27</v>
      </c>
      <c r="E4827" s="208" t="s">
        <v>149</v>
      </c>
      <c r="F4827" t="s">
        <v>7</v>
      </c>
      <c r="G4827" s="18">
        <v>0</v>
      </c>
      <c r="H4827" t="s">
        <v>16</v>
      </c>
      <c r="I4827" s="151" t="s">
        <v>562</v>
      </c>
    </row>
    <row r="4828" spans="1:9" x14ac:dyDescent="0.25">
      <c r="A4828">
        <v>1814</v>
      </c>
      <c r="B4828">
        <f>A4828+1</f>
        <v>1815</v>
      </c>
      <c r="C4828" t="s">
        <v>520</v>
      </c>
      <c r="D4828" t="s">
        <v>27</v>
      </c>
      <c r="E4828" s="208" t="s">
        <v>139</v>
      </c>
      <c r="F4828" t="s">
        <v>7</v>
      </c>
      <c r="G4828" s="18">
        <v>39</v>
      </c>
      <c r="H4828" t="s">
        <v>16</v>
      </c>
      <c r="I4828" s="151" t="s">
        <v>562</v>
      </c>
    </row>
    <row r="4829" spans="1:9" x14ac:dyDescent="0.25">
      <c r="A4829">
        <v>1814</v>
      </c>
      <c r="B4829">
        <f>A4829+1</f>
        <v>1815</v>
      </c>
      <c r="C4829" t="s">
        <v>520</v>
      </c>
      <c r="D4829" t="s">
        <v>27</v>
      </c>
      <c r="E4829" s="208" t="s">
        <v>132</v>
      </c>
      <c r="F4829" t="s">
        <v>7</v>
      </c>
      <c r="G4829" s="18">
        <v>913</v>
      </c>
      <c r="H4829" t="s">
        <v>16</v>
      </c>
      <c r="I4829" s="151" t="s">
        <v>562</v>
      </c>
    </row>
    <row r="4830" spans="1:9" x14ac:dyDescent="0.25">
      <c r="A4830">
        <v>1814</v>
      </c>
      <c r="B4830">
        <f>A4830+1</f>
        <v>1815</v>
      </c>
      <c r="C4830" t="s">
        <v>520</v>
      </c>
      <c r="D4830" t="s">
        <v>27</v>
      </c>
      <c r="E4830" s="208" t="s">
        <v>130</v>
      </c>
      <c r="F4830" t="s">
        <v>7</v>
      </c>
      <c r="G4830" s="18">
        <v>718</v>
      </c>
      <c r="H4830" t="s">
        <v>16</v>
      </c>
      <c r="I4830" s="151" t="s">
        <v>562</v>
      </c>
    </row>
    <row r="4831" spans="1:9" x14ac:dyDescent="0.25">
      <c r="A4831">
        <v>1814</v>
      </c>
      <c r="B4831">
        <f>A4831+1</f>
        <v>1815</v>
      </c>
      <c r="C4831" t="s">
        <v>520</v>
      </c>
      <c r="D4831" t="s">
        <v>27</v>
      </c>
      <c r="E4831" s="208" t="s">
        <v>144</v>
      </c>
      <c r="F4831" t="s">
        <v>7</v>
      </c>
      <c r="G4831" s="18">
        <v>268</v>
      </c>
      <c r="H4831" t="s">
        <v>16</v>
      </c>
      <c r="I4831" s="151" t="s">
        <v>562</v>
      </c>
    </row>
    <row r="4832" spans="1:9" x14ac:dyDescent="0.25">
      <c r="A4832">
        <v>1814</v>
      </c>
      <c r="B4832">
        <f>A4832+1</f>
        <v>1815</v>
      </c>
      <c r="C4832" t="s">
        <v>520</v>
      </c>
      <c r="D4832" t="s">
        <v>27</v>
      </c>
      <c r="E4832" s="208" t="s">
        <v>142</v>
      </c>
      <c r="F4832" t="s">
        <v>7</v>
      </c>
      <c r="G4832" s="18">
        <v>1833</v>
      </c>
      <c r="H4832" t="s">
        <v>16</v>
      </c>
      <c r="I4832" s="151" t="s">
        <v>562</v>
      </c>
    </row>
    <row r="4833" spans="1:9" x14ac:dyDescent="0.25">
      <c r="A4833">
        <v>1814</v>
      </c>
      <c r="B4833">
        <f>A4833+1</f>
        <v>1815</v>
      </c>
      <c r="C4833" t="s">
        <v>520</v>
      </c>
      <c r="D4833" t="s">
        <v>27</v>
      </c>
      <c r="E4833" s="208" t="s">
        <v>124</v>
      </c>
      <c r="F4833" t="s">
        <v>7</v>
      </c>
      <c r="G4833" s="18">
        <v>13360738</v>
      </c>
      <c r="H4833" t="s">
        <v>16</v>
      </c>
      <c r="I4833" s="151" t="s">
        <v>562</v>
      </c>
    </row>
    <row r="4834" spans="1:9" x14ac:dyDescent="0.25">
      <c r="A4834">
        <v>1814</v>
      </c>
      <c r="B4834">
        <f>A4834+1</f>
        <v>1815</v>
      </c>
      <c r="C4834" t="s">
        <v>520</v>
      </c>
      <c r="D4834" t="s">
        <v>26</v>
      </c>
      <c r="E4834" s="208" t="s">
        <v>62</v>
      </c>
      <c r="F4834" t="s">
        <v>7</v>
      </c>
      <c r="G4834" s="18">
        <v>67132</v>
      </c>
      <c r="H4834" s="151" t="s">
        <v>563</v>
      </c>
      <c r="I4834" t="s">
        <v>16</v>
      </c>
    </row>
    <row r="4835" spans="1:9" x14ac:dyDescent="0.25">
      <c r="A4835">
        <v>1814</v>
      </c>
      <c r="B4835">
        <f>A4835+1</f>
        <v>1815</v>
      </c>
      <c r="C4835" t="s">
        <v>520</v>
      </c>
      <c r="D4835" t="s">
        <v>26</v>
      </c>
      <c r="E4835" s="208" t="s">
        <v>36</v>
      </c>
      <c r="F4835" t="s">
        <v>7</v>
      </c>
      <c r="G4835" s="18">
        <v>2261</v>
      </c>
      <c r="H4835" s="151" t="s">
        <v>563</v>
      </c>
      <c r="I4835" t="s">
        <v>16</v>
      </c>
    </row>
    <row r="4836" spans="1:9" x14ac:dyDescent="0.25">
      <c r="A4836">
        <v>1814</v>
      </c>
      <c r="B4836">
        <f>A4836+1</f>
        <v>1815</v>
      </c>
      <c r="C4836" t="s">
        <v>520</v>
      </c>
      <c r="D4836" t="s">
        <v>26</v>
      </c>
      <c r="E4836" s="208" t="s">
        <v>35</v>
      </c>
      <c r="F4836" t="s">
        <v>7</v>
      </c>
      <c r="G4836" s="18">
        <v>12867</v>
      </c>
      <c r="H4836" s="151" t="s">
        <v>563</v>
      </c>
      <c r="I4836" t="s">
        <v>16</v>
      </c>
    </row>
    <row r="4837" spans="1:9" x14ac:dyDescent="0.25">
      <c r="A4837">
        <v>1814</v>
      </c>
      <c r="B4837">
        <f>A4837+1</f>
        <v>1815</v>
      </c>
      <c r="C4837" t="s">
        <v>520</v>
      </c>
      <c r="D4837" t="s">
        <v>26</v>
      </c>
      <c r="E4837" s="208" t="s">
        <v>39</v>
      </c>
      <c r="F4837" t="s">
        <v>7</v>
      </c>
      <c r="G4837" s="18">
        <v>1948</v>
      </c>
      <c r="H4837" s="151" t="s">
        <v>563</v>
      </c>
      <c r="I4837" t="s">
        <v>16</v>
      </c>
    </row>
    <row r="4838" spans="1:9" x14ac:dyDescent="0.25">
      <c r="A4838">
        <v>1814</v>
      </c>
      <c r="B4838">
        <f>A4838+1</f>
        <v>1815</v>
      </c>
      <c r="C4838" t="s">
        <v>520</v>
      </c>
      <c r="D4838" t="s">
        <v>26</v>
      </c>
      <c r="E4838" s="208" t="s">
        <v>99</v>
      </c>
      <c r="F4838" t="s">
        <v>7</v>
      </c>
      <c r="G4838" s="18">
        <v>1162</v>
      </c>
      <c r="H4838" s="151" t="s">
        <v>563</v>
      </c>
      <c r="I4838" t="s">
        <v>16</v>
      </c>
    </row>
    <row r="4839" spans="1:9" x14ac:dyDescent="0.25">
      <c r="A4839">
        <v>1814</v>
      </c>
      <c r="B4839">
        <f>A4839+1</f>
        <v>1815</v>
      </c>
      <c r="C4839" t="s">
        <v>520</v>
      </c>
      <c r="D4839" t="s">
        <v>26</v>
      </c>
      <c r="E4839" s="208" t="s">
        <v>95</v>
      </c>
      <c r="F4839" t="s">
        <v>7</v>
      </c>
      <c r="G4839" s="18">
        <v>2477</v>
      </c>
      <c r="H4839" s="151" t="s">
        <v>563</v>
      </c>
      <c r="I4839" t="s">
        <v>16</v>
      </c>
    </row>
    <row r="4840" spans="1:9" x14ac:dyDescent="0.25">
      <c r="A4840">
        <v>1814</v>
      </c>
      <c r="B4840">
        <f>A4840+1</f>
        <v>1815</v>
      </c>
      <c r="C4840" t="s">
        <v>520</v>
      </c>
      <c r="D4840" t="s">
        <v>26</v>
      </c>
      <c r="E4840" s="208" t="s">
        <v>94</v>
      </c>
      <c r="F4840" t="s">
        <v>7</v>
      </c>
      <c r="G4840" s="18">
        <v>3959</v>
      </c>
      <c r="H4840" s="151" t="s">
        <v>563</v>
      </c>
      <c r="I4840" t="s">
        <v>16</v>
      </c>
    </row>
    <row r="4841" spans="1:9" x14ac:dyDescent="0.25">
      <c r="A4841">
        <v>1814</v>
      </c>
      <c r="B4841">
        <f>A4841+1</f>
        <v>1815</v>
      </c>
      <c r="C4841" t="s">
        <v>520</v>
      </c>
      <c r="D4841" t="s">
        <v>26</v>
      </c>
      <c r="E4841" s="208" t="s">
        <v>386</v>
      </c>
      <c r="F4841" t="s">
        <v>7</v>
      </c>
      <c r="G4841" s="18">
        <v>38670</v>
      </c>
      <c r="H4841" s="151" t="s">
        <v>563</v>
      </c>
      <c r="I4841" t="s">
        <v>16</v>
      </c>
    </row>
    <row r="4842" spans="1:9" x14ac:dyDescent="0.25">
      <c r="A4842">
        <v>1814</v>
      </c>
      <c r="B4842">
        <f>A4842+1</f>
        <v>1815</v>
      </c>
      <c r="C4842" t="s">
        <v>520</v>
      </c>
      <c r="D4842" t="s">
        <v>26</v>
      </c>
      <c r="E4842" s="208" t="s">
        <v>387</v>
      </c>
      <c r="F4842" t="s">
        <v>7</v>
      </c>
      <c r="G4842" s="18">
        <v>1379</v>
      </c>
      <c r="H4842" s="151" t="s">
        <v>563</v>
      </c>
      <c r="I4842" t="s">
        <v>16</v>
      </c>
    </row>
    <row r="4843" spans="1:9" x14ac:dyDescent="0.25">
      <c r="A4843">
        <v>1814</v>
      </c>
      <c r="B4843">
        <f>A4843+1</f>
        <v>1815</v>
      </c>
      <c r="C4843" t="s">
        <v>520</v>
      </c>
      <c r="D4843" t="s">
        <v>26</v>
      </c>
      <c r="E4843" s="208" t="s">
        <v>388</v>
      </c>
      <c r="F4843" t="s">
        <v>7</v>
      </c>
      <c r="G4843" s="18">
        <v>6902</v>
      </c>
      <c r="H4843" s="151" t="s">
        <v>563</v>
      </c>
      <c r="I4843" t="s">
        <v>16</v>
      </c>
    </row>
    <row r="4844" spans="1:9" x14ac:dyDescent="0.25">
      <c r="A4844">
        <v>1814</v>
      </c>
      <c r="B4844">
        <f>A4844+1</f>
        <v>1815</v>
      </c>
      <c r="C4844" t="s">
        <v>520</v>
      </c>
      <c r="D4844" t="s">
        <v>26</v>
      </c>
      <c r="E4844" s="208" t="s">
        <v>383</v>
      </c>
      <c r="F4844" t="s">
        <v>7</v>
      </c>
      <c r="G4844" s="18">
        <v>1288</v>
      </c>
      <c r="H4844" s="151" t="s">
        <v>563</v>
      </c>
      <c r="I4844" t="s">
        <v>16</v>
      </c>
    </row>
    <row r="4845" spans="1:9" x14ac:dyDescent="0.25">
      <c r="A4845">
        <v>1814</v>
      </c>
      <c r="B4845">
        <f>A4845+1</f>
        <v>1815</v>
      </c>
      <c r="C4845" t="s">
        <v>520</v>
      </c>
      <c r="D4845" t="s">
        <v>26</v>
      </c>
      <c r="E4845" s="208" t="s">
        <v>384</v>
      </c>
      <c r="F4845" t="s">
        <v>7</v>
      </c>
      <c r="G4845" s="18">
        <v>78</v>
      </c>
      <c r="H4845" s="151" t="s">
        <v>563</v>
      </c>
      <c r="I4845" t="s">
        <v>16</v>
      </c>
    </row>
    <row r="4846" spans="1:9" x14ac:dyDescent="0.25">
      <c r="A4846">
        <v>1814</v>
      </c>
      <c r="B4846">
        <f>A4846+1</f>
        <v>1815</v>
      </c>
      <c r="C4846" t="s">
        <v>520</v>
      </c>
      <c r="D4846" t="s">
        <v>26</v>
      </c>
      <c r="E4846" s="208" t="s">
        <v>65</v>
      </c>
      <c r="F4846" t="s">
        <v>7</v>
      </c>
      <c r="G4846" s="18">
        <v>10926</v>
      </c>
      <c r="H4846" s="151" t="s">
        <v>563</v>
      </c>
      <c r="I4846" t="s">
        <v>16</v>
      </c>
    </row>
    <row r="4847" spans="1:9" x14ac:dyDescent="0.25">
      <c r="A4847">
        <v>1814</v>
      </c>
      <c r="B4847">
        <f>A4847+1</f>
        <v>1815</v>
      </c>
      <c r="C4847" t="s">
        <v>520</v>
      </c>
      <c r="D4847" t="s">
        <v>26</v>
      </c>
      <c r="E4847" s="208" t="s">
        <v>88</v>
      </c>
      <c r="F4847" t="s">
        <v>7</v>
      </c>
      <c r="G4847" s="18">
        <v>2371</v>
      </c>
      <c r="H4847" s="151" t="s">
        <v>563</v>
      </c>
      <c r="I4847" t="s">
        <v>16</v>
      </c>
    </row>
    <row r="4848" spans="1:9" x14ac:dyDescent="0.25">
      <c r="A4848">
        <v>1814</v>
      </c>
      <c r="B4848">
        <f>A4848+1</f>
        <v>1815</v>
      </c>
      <c r="C4848" t="s">
        <v>520</v>
      </c>
      <c r="D4848" t="s">
        <v>26</v>
      </c>
      <c r="E4848" s="208" t="s">
        <v>107</v>
      </c>
      <c r="F4848" t="s">
        <v>7</v>
      </c>
      <c r="G4848" s="18">
        <v>1033887</v>
      </c>
      <c r="H4848" s="151" t="s">
        <v>563</v>
      </c>
      <c r="I4848" t="s">
        <v>16</v>
      </c>
    </row>
    <row r="4849" spans="1:9" x14ac:dyDescent="0.25">
      <c r="A4849">
        <v>1814</v>
      </c>
      <c r="B4849">
        <f>A4849+1</f>
        <v>1815</v>
      </c>
      <c r="C4849" t="s">
        <v>520</v>
      </c>
      <c r="D4849" t="s">
        <v>26</v>
      </c>
      <c r="E4849" s="208" t="s">
        <v>101</v>
      </c>
      <c r="F4849" t="s">
        <v>7</v>
      </c>
      <c r="G4849" s="18">
        <v>1127180</v>
      </c>
      <c r="H4849" s="151" t="s">
        <v>563</v>
      </c>
      <c r="I4849" t="s">
        <v>16</v>
      </c>
    </row>
    <row r="4850" spans="1:9" x14ac:dyDescent="0.25">
      <c r="A4850">
        <v>1814</v>
      </c>
      <c r="B4850">
        <f>A4850+1</f>
        <v>1815</v>
      </c>
      <c r="C4850" t="s">
        <v>520</v>
      </c>
      <c r="D4850" t="s">
        <v>26</v>
      </c>
      <c r="E4850" s="208" t="s">
        <v>75</v>
      </c>
      <c r="F4850" t="s">
        <v>7</v>
      </c>
      <c r="G4850" s="18">
        <v>1621019</v>
      </c>
      <c r="H4850" s="151" t="s">
        <v>563</v>
      </c>
      <c r="I4850" t="s">
        <v>16</v>
      </c>
    </row>
    <row r="4851" spans="1:9" x14ac:dyDescent="0.25">
      <c r="A4851">
        <v>1814</v>
      </c>
      <c r="B4851">
        <f>A4851+1</f>
        <v>1815</v>
      </c>
      <c r="C4851" t="s">
        <v>520</v>
      </c>
      <c r="D4851" t="s">
        <v>26</v>
      </c>
      <c r="E4851" s="208" t="s">
        <v>330</v>
      </c>
      <c r="F4851" t="s">
        <v>7</v>
      </c>
      <c r="G4851" s="18">
        <v>978</v>
      </c>
      <c r="H4851" s="151" t="s">
        <v>563</v>
      </c>
      <c r="I4851" t="s">
        <v>16</v>
      </c>
    </row>
    <row r="4852" spans="1:9" x14ac:dyDescent="0.25">
      <c r="A4852">
        <v>1814</v>
      </c>
      <c r="B4852">
        <f>A4852+1</f>
        <v>1815</v>
      </c>
      <c r="C4852" t="s">
        <v>520</v>
      </c>
      <c r="D4852" t="s">
        <v>26</v>
      </c>
      <c r="E4852" s="208" t="s">
        <v>331</v>
      </c>
      <c r="F4852" t="s">
        <v>7</v>
      </c>
      <c r="G4852" s="18">
        <v>3243</v>
      </c>
      <c r="H4852" s="151" t="s">
        <v>563</v>
      </c>
      <c r="I4852" t="s">
        <v>16</v>
      </c>
    </row>
    <row r="4853" spans="1:9" x14ac:dyDescent="0.25">
      <c r="A4853">
        <v>1814</v>
      </c>
      <c r="B4853">
        <f>A4853+1</f>
        <v>1815</v>
      </c>
      <c r="C4853" t="s">
        <v>520</v>
      </c>
      <c r="D4853" t="s">
        <v>26</v>
      </c>
      <c r="E4853" s="208" t="s">
        <v>332</v>
      </c>
      <c r="F4853" t="s">
        <v>7</v>
      </c>
      <c r="G4853" s="18">
        <v>935</v>
      </c>
      <c r="H4853" s="151" t="s">
        <v>563</v>
      </c>
      <c r="I4853" t="s">
        <v>16</v>
      </c>
    </row>
    <row r="4854" spans="1:9" x14ac:dyDescent="0.25">
      <c r="A4854">
        <v>1814</v>
      </c>
      <c r="B4854">
        <f>A4854+1</f>
        <v>1815</v>
      </c>
      <c r="C4854" t="s">
        <v>520</v>
      </c>
      <c r="D4854" t="s">
        <v>26</v>
      </c>
      <c r="E4854" s="208" t="s">
        <v>333</v>
      </c>
      <c r="F4854" t="s">
        <v>7</v>
      </c>
      <c r="G4854" s="18">
        <v>2094</v>
      </c>
      <c r="H4854" s="151" t="s">
        <v>563</v>
      </c>
      <c r="I4854" t="s">
        <v>16</v>
      </c>
    </row>
    <row r="4855" spans="1:9" x14ac:dyDescent="0.25">
      <c r="A4855">
        <v>1814</v>
      </c>
      <c r="B4855">
        <f>A4855+1</f>
        <v>1815</v>
      </c>
      <c r="C4855" t="s">
        <v>520</v>
      </c>
      <c r="D4855" t="s">
        <v>27</v>
      </c>
      <c r="E4855" s="208" t="s">
        <v>155</v>
      </c>
      <c r="F4855" t="s">
        <v>10</v>
      </c>
      <c r="G4855" s="18">
        <v>194</v>
      </c>
      <c r="H4855" t="s">
        <v>17</v>
      </c>
      <c r="I4855" t="s">
        <v>24</v>
      </c>
    </row>
    <row r="4856" spans="1:9" x14ac:dyDescent="0.25">
      <c r="A4856">
        <v>1814</v>
      </c>
      <c r="B4856">
        <f>A4856+1</f>
        <v>1815</v>
      </c>
      <c r="C4856" t="s">
        <v>520</v>
      </c>
      <c r="D4856" t="s">
        <v>27</v>
      </c>
      <c r="E4856" s="208" t="s">
        <v>156</v>
      </c>
      <c r="F4856" t="s">
        <v>10</v>
      </c>
      <c r="G4856" s="18">
        <v>37</v>
      </c>
      <c r="H4856" t="s">
        <v>17</v>
      </c>
      <c r="I4856" t="s">
        <v>24</v>
      </c>
    </row>
    <row r="4857" spans="1:9" x14ac:dyDescent="0.25">
      <c r="A4857">
        <v>1814</v>
      </c>
      <c r="B4857">
        <f>A4857+1</f>
        <v>1815</v>
      </c>
      <c r="C4857" t="s">
        <v>520</v>
      </c>
      <c r="D4857" t="s">
        <v>27</v>
      </c>
      <c r="E4857" s="208" t="s">
        <v>154</v>
      </c>
      <c r="F4857" t="s">
        <v>10</v>
      </c>
      <c r="G4857" s="18">
        <v>11</v>
      </c>
      <c r="H4857" t="s">
        <v>17</v>
      </c>
      <c r="I4857" t="s">
        <v>24</v>
      </c>
    </row>
    <row r="4858" spans="1:9" x14ac:dyDescent="0.25">
      <c r="A4858">
        <v>1814</v>
      </c>
      <c r="B4858">
        <f>A4858+1</f>
        <v>1815</v>
      </c>
      <c r="C4858" t="s">
        <v>520</v>
      </c>
      <c r="D4858" t="s">
        <v>27</v>
      </c>
      <c r="E4858" s="208" t="s">
        <v>150</v>
      </c>
      <c r="F4858" t="s">
        <v>10</v>
      </c>
      <c r="G4858" s="18">
        <v>2317</v>
      </c>
      <c r="H4858" t="s">
        <v>17</v>
      </c>
      <c r="I4858" t="s">
        <v>24</v>
      </c>
    </row>
    <row r="4859" spans="1:9" x14ac:dyDescent="0.25">
      <c r="A4859">
        <v>1814</v>
      </c>
      <c r="B4859">
        <f>A4859+1</f>
        <v>1815</v>
      </c>
      <c r="C4859" t="s">
        <v>520</v>
      </c>
      <c r="D4859" t="s">
        <v>27</v>
      </c>
      <c r="E4859" s="208" t="s">
        <v>148</v>
      </c>
      <c r="F4859" t="s">
        <v>10</v>
      </c>
      <c r="G4859" s="18">
        <v>73</v>
      </c>
      <c r="H4859" t="s">
        <v>17</v>
      </c>
      <c r="I4859" t="s">
        <v>24</v>
      </c>
    </row>
    <row r="4860" spans="1:9" x14ac:dyDescent="0.25">
      <c r="A4860">
        <v>1814</v>
      </c>
      <c r="B4860">
        <f>A4860+1</f>
        <v>1815</v>
      </c>
      <c r="C4860" t="s">
        <v>520</v>
      </c>
      <c r="D4860" t="s">
        <v>27</v>
      </c>
      <c r="E4860" s="208" t="s">
        <v>147</v>
      </c>
      <c r="F4860" t="s">
        <v>10</v>
      </c>
      <c r="G4860" s="18">
        <v>0</v>
      </c>
      <c r="H4860" t="s">
        <v>17</v>
      </c>
      <c r="I4860" t="s">
        <v>24</v>
      </c>
    </row>
    <row r="4861" spans="1:9" x14ac:dyDescent="0.25">
      <c r="A4861">
        <v>1814</v>
      </c>
      <c r="B4861">
        <f>A4861+1</f>
        <v>1815</v>
      </c>
      <c r="C4861" t="s">
        <v>520</v>
      </c>
      <c r="D4861" t="s">
        <v>27</v>
      </c>
      <c r="E4861" s="208" t="s">
        <v>314</v>
      </c>
      <c r="F4861" t="s">
        <v>10</v>
      </c>
      <c r="G4861" s="18">
        <v>5</v>
      </c>
      <c r="H4861" t="s">
        <v>17</v>
      </c>
      <c r="I4861" t="s">
        <v>24</v>
      </c>
    </row>
    <row r="4862" spans="1:9" x14ac:dyDescent="0.25">
      <c r="A4862">
        <v>1814</v>
      </c>
      <c r="B4862">
        <f>A4862+1</f>
        <v>1815</v>
      </c>
      <c r="C4862" t="s">
        <v>520</v>
      </c>
      <c r="D4862" t="s">
        <v>27</v>
      </c>
      <c r="E4862" s="208" t="s">
        <v>139</v>
      </c>
      <c r="F4862" t="s">
        <v>10</v>
      </c>
      <c r="G4862" s="18">
        <v>11</v>
      </c>
      <c r="H4862" t="s">
        <v>17</v>
      </c>
      <c r="I4862" t="s">
        <v>24</v>
      </c>
    </row>
    <row r="4863" spans="1:9" x14ac:dyDescent="0.25">
      <c r="A4863">
        <v>1814</v>
      </c>
      <c r="B4863">
        <f>A4863+1</f>
        <v>1815</v>
      </c>
      <c r="C4863" t="s">
        <v>520</v>
      </c>
      <c r="D4863" t="s">
        <v>27</v>
      </c>
      <c r="E4863" s="208" t="s">
        <v>132</v>
      </c>
      <c r="F4863" t="s">
        <v>10</v>
      </c>
      <c r="G4863" s="18">
        <v>0</v>
      </c>
      <c r="H4863" t="s">
        <v>17</v>
      </c>
      <c r="I4863" t="s">
        <v>24</v>
      </c>
    </row>
    <row r="4864" spans="1:9" x14ac:dyDescent="0.25">
      <c r="A4864">
        <v>1814</v>
      </c>
      <c r="B4864">
        <f>A4864+1</f>
        <v>1815</v>
      </c>
      <c r="C4864" t="s">
        <v>520</v>
      </c>
      <c r="D4864" t="s">
        <v>27</v>
      </c>
      <c r="E4864" s="208" t="s">
        <v>130</v>
      </c>
      <c r="F4864" t="s">
        <v>10</v>
      </c>
      <c r="G4864" s="18">
        <v>0</v>
      </c>
      <c r="H4864" t="s">
        <v>17</v>
      </c>
      <c r="I4864" t="s">
        <v>24</v>
      </c>
    </row>
    <row r="4865" spans="1:9" x14ac:dyDescent="0.25">
      <c r="A4865">
        <v>1814</v>
      </c>
      <c r="B4865">
        <f>A4865+1</f>
        <v>1815</v>
      </c>
      <c r="C4865" t="s">
        <v>520</v>
      </c>
      <c r="D4865" t="s">
        <v>27</v>
      </c>
      <c r="E4865" s="208" t="s">
        <v>144</v>
      </c>
      <c r="F4865" t="s">
        <v>10</v>
      </c>
      <c r="G4865" s="18">
        <v>0</v>
      </c>
      <c r="H4865" t="s">
        <v>17</v>
      </c>
      <c r="I4865" t="s">
        <v>24</v>
      </c>
    </row>
    <row r="4866" spans="1:9" x14ac:dyDescent="0.25">
      <c r="A4866">
        <v>1814</v>
      </c>
      <c r="B4866">
        <f>A4866+1</f>
        <v>1815</v>
      </c>
      <c r="C4866" t="s">
        <v>520</v>
      </c>
      <c r="D4866" t="s">
        <v>27</v>
      </c>
      <c r="E4866" s="208" t="s">
        <v>142</v>
      </c>
      <c r="F4866" t="s">
        <v>10</v>
      </c>
      <c r="G4866" s="18">
        <v>59</v>
      </c>
      <c r="H4866" t="s">
        <v>17</v>
      </c>
      <c r="I4866" t="s">
        <v>24</v>
      </c>
    </row>
    <row r="4867" spans="1:9" x14ac:dyDescent="0.25">
      <c r="A4867">
        <v>1814</v>
      </c>
      <c r="B4867">
        <f>A4867+1</f>
        <v>1815</v>
      </c>
      <c r="C4867" t="s">
        <v>520</v>
      </c>
      <c r="D4867" t="s">
        <v>27</v>
      </c>
      <c r="E4867" s="208" t="s">
        <v>124</v>
      </c>
      <c r="F4867" t="s">
        <v>10</v>
      </c>
      <c r="G4867" s="18">
        <v>55831</v>
      </c>
      <c r="H4867" t="s">
        <v>17</v>
      </c>
      <c r="I4867" t="s">
        <v>24</v>
      </c>
    </row>
    <row r="4868" spans="1:9" x14ac:dyDescent="0.25">
      <c r="A4868">
        <v>1814</v>
      </c>
      <c r="B4868">
        <f>A4868+1</f>
        <v>1815</v>
      </c>
      <c r="C4868" t="s">
        <v>520</v>
      </c>
      <c r="D4868" t="s">
        <v>26</v>
      </c>
      <c r="E4868" s="208" t="s">
        <v>62</v>
      </c>
      <c r="F4868" t="s">
        <v>10</v>
      </c>
      <c r="G4868" s="18">
        <v>492</v>
      </c>
      <c r="H4868" t="s">
        <v>24</v>
      </c>
      <c r="I4868" t="s">
        <v>17</v>
      </c>
    </row>
    <row r="4869" spans="1:9" x14ac:dyDescent="0.25">
      <c r="A4869">
        <v>1814</v>
      </c>
      <c r="B4869">
        <f>A4869+1</f>
        <v>1815</v>
      </c>
      <c r="C4869" t="s">
        <v>520</v>
      </c>
      <c r="D4869" t="s">
        <v>26</v>
      </c>
      <c r="E4869" s="208" t="s">
        <v>36</v>
      </c>
      <c r="F4869" t="s">
        <v>10</v>
      </c>
      <c r="G4869" s="18">
        <v>0</v>
      </c>
      <c r="H4869" t="s">
        <v>24</v>
      </c>
      <c r="I4869" t="s">
        <v>17</v>
      </c>
    </row>
    <row r="4870" spans="1:9" x14ac:dyDescent="0.25">
      <c r="A4870">
        <v>1814</v>
      </c>
      <c r="B4870">
        <f>A4870+1</f>
        <v>1815</v>
      </c>
      <c r="C4870" t="s">
        <v>520</v>
      </c>
      <c r="D4870" t="s">
        <v>26</v>
      </c>
      <c r="E4870" s="208" t="s">
        <v>35</v>
      </c>
      <c r="F4870" t="s">
        <v>10</v>
      </c>
      <c r="G4870" s="18">
        <v>0</v>
      </c>
      <c r="H4870" t="s">
        <v>24</v>
      </c>
      <c r="I4870" t="s">
        <v>17</v>
      </c>
    </row>
    <row r="4871" spans="1:9" x14ac:dyDescent="0.25">
      <c r="A4871">
        <v>1814</v>
      </c>
      <c r="B4871">
        <f>A4871+1</f>
        <v>1815</v>
      </c>
      <c r="C4871" t="s">
        <v>520</v>
      </c>
      <c r="D4871" t="s">
        <v>26</v>
      </c>
      <c r="E4871" s="208" t="s">
        <v>39</v>
      </c>
      <c r="F4871" t="s">
        <v>10</v>
      </c>
      <c r="G4871" s="18">
        <v>0</v>
      </c>
      <c r="H4871" t="s">
        <v>24</v>
      </c>
      <c r="I4871" t="s">
        <v>17</v>
      </c>
    </row>
    <row r="4872" spans="1:9" x14ac:dyDescent="0.25">
      <c r="A4872">
        <v>1814</v>
      </c>
      <c r="B4872">
        <f>A4872+1</f>
        <v>1815</v>
      </c>
      <c r="C4872" t="s">
        <v>520</v>
      </c>
      <c r="D4872" t="s">
        <v>26</v>
      </c>
      <c r="E4872" s="208" t="s">
        <v>99</v>
      </c>
      <c r="F4872" t="s">
        <v>10</v>
      </c>
      <c r="G4872" s="18">
        <v>44</v>
      </c>
      <c r="H4872" t="s">
        <v>24</v>
      </c>
      <c r="I4872" t="s">
        <v>17</v>
      </c>
    </row>
    <row r="4873" spans="1:9" x14ac:dyDescent="0.25">
      <c r="A4873">
        <v>1814</v>
      </c>
      <c r="B4873">
        <f>A4873+1</f>
        <v>1815</v>
      </c>
      <c r="C4873" t="s">
        <v>520</v>
      </c>
      <c r="D4873" t="s">
        <v>26</v>
      </c>
      <c r="E4873" s="208" t="s">
        <v>95</v>
      </c>
      <c r="F4873" t="s">
        <v>10</v>
      </c>
      <c r="G4873" s="18">
        <v>0</v>
      </c>
      <c r="H4873" t="s">
        <v>24</v>
      </c>
      <c r="I4873" t="s">
        <v>17</v>
      </c>
    </row>
    <row r="4874" spans="1:9" x14ac:dyDescent="0.25">
      <c r="A4874">
        <v>1814</v>
      </c>
      <c r="B4874">
        <f>A4874+1</f>
        <v>1815</v>
      </c>
      <c r="C4874" t="s">
        <v>520</v>
      </c>
      <c r="D4874" t="s">
        <v>26</v>
      </c>
      <c r="E4874" s="208" t="s">
        <v>94</v>
      </c>
      <c r="F4874" t="s">
        <v>10</v>
      </c>
      <c r="G4874" s="18">
        <v>0</v>
      </c>
      <c r="H4874" t="s">
        <v>24</v>
      </c>
      <c r="I4874" t="s">
        <v>17</v>
      </c>
    </row>
    <row r="4875" spans="1:9" x14ac:dyDescent="0.25">
      <c r="A4875">
        <v>1814</v>
      </c>
      <c r="B4875">
        <f>A4875+1</f>
        <v>1815</v>
      </c>
      <c r="C4875" t="s">
        <v>520</v>
      </c>
      <c r="D4875" t="s">
        <v>26</v>
      </c>
      <c r="E4875" s="208" t="s">
        <v>386</v>
      </c>
      <c r="F4875" t="s">
        <v>10</v>
      </c>
      <c r="G4875" s="18">
        <v>0</v>
      </c>
      <c r="H4875" t="s">
        <v>24</v>
      </c>
      <c r="I4875" t="s">
        <v>17</v>
      </c>
    </row>
    <row r="4876" spans="1:9" x14ac:dyDescent="0.25">
      <c r="A4876">
        <v>1814</v>
      </c>
      <c r="B4876">
        <f>A4876+1</f>
        <v>1815</v>
      </c>
      <c r="C4876" t="s">
        <v>520</v>
      </c>
      <c r="D4876" t="s">
        <v>26</v>
      </c>
      <c r="E4876" s="208" t="s">
        <v>387</v>
      </c>
      <c r="F4876" t="s">
        <v>10</v>
      </c>
      <c r="G4876" s="18">
        <v>0</v>
      </c>
      <c r="H4876" t="s">
        <v>24</v>
      </c>
      <c r="I4876" t="s">
        <v>17</v>
      </c>
    </row>
    <row r="4877" spans="1:9" x14ac:dyDescent="0.25">
      <c r="A4877">
        <v>1814</v>
      </c>
      <c r="B4877">
        <f>A4877+1</f>
        <v>1815</v>
      </c>
      <c r="C4877" t="s">
        <v>520</v>
      </c>
      <c r="D4877" t="s">
        <v>26</v>
      </c>
      <c r="E4877" s="208" t="s">
        <v>388</v>
      </c>
      <c r="F4877" t="s">
        <v>10</v>
      </c>
      <c r="G4877" s="18">
        <v>0</v>
      </c>
      <c r="H4877" t="s">
        <v>24</v>
      </c>
      <c r="I4877" t="s">
        <v>17</v>
      </c>
    </row>
    <row r="4878" spans="1:9" x14ac:dyDescent="0.25">
      <c r="A4878">
        <v>1814</v>
      </c>
      <c r="B4878">
        <f>A4878+1</f>
        <v>1815</v>
      </c>
      <c r="C4878" t="s">
        <v>520</v>
      </c>
      <c r="D4878" t="s">
        <v>26</v>
      </c>
      <c r="E4878" s="208" t="s">
        <v>383</v>
      </c>
      <c r="F4878" t="s">
        <v>10</v>
      </c>
      <c r="G4878" s="18">
        <v>0</v>
      </c>
      <c r="H4878" t="s">
        <v>24</v>
      </c>
      <c r="I4878" t="s">
        <v>17</v>
      </c>
    </row>
    <row r="4879" spans="1:9" x14ac:dyDescent="0.25">
      <c r="A4879">
        <v>1814</v>
      </c>
      <c r="B4879">
        <f>A4879+1</f>
        <v>1815</v>
      </c>
      <c r="C4879" t="s">
        <v>520</v>
      </c>
      <c r="D4879" t="s">
        <v>26</v>
      </c>
      <c r="E4879" s="208" t="s">
        <v>384</v>
      </c>
      <c r="F4879" t="s">
        <v>10</v>
      </c>
      <c r="G4879" s="18">
        <v>0</v>
      </c>
      <c r="H4879" t="s">
        <v>24</v>
      </c>
      <c r="I4879" t="s">
        <v>17</v>
      </c>
    </row>
    <row r="4880" spans="1:9" x14ac:dyDescent="0.25">
      <c r="A4880">
        <v>1814</v>
      </c>
      <c r="B4880">
        <f>A4880+1</f>
        <v>1815</v>
      </c>
      <c r="C4880" t="s">
        <v>520</v>
      </c>
      <c r="D4880" t="s">
        <v>26</v>
      </c>
      <c r="E4880" s="208" t="s">
        <v>65</v>
      </c>
      <c r="F4880" t="s">
        <v>10</v>
      </c>
      <c r="G4880" s="18">
        <v>0</v>
      </c>
      <c r="H4880" t="s">
        <v>24</v>
      </c>
      <c r="I4880" t="s">
        <v>17</v>
      </c>
    </row>
    <row r="4881" spans="1:9" x14ac:dyDescent="0.25">
      <c r="A4881">
        <v>1814</v>
      </c>
      <c r="B4881">
        <f>A4881+1</f>
        <v>1815</v>
      </c>
      <c r="C4881" t="s">
        <v>520</v>
      </c>
      <c r="D4881" t="s">
        <v>26</v>
      </c>
      <c r="E4881" s="208" t="s">
        <v>88</v>
      </c>
      <c r="F4881" t="s">
        <v>10</v>
      </c>
      <c r="G4881" s="18">
        <v>0</v>
      </c>
      <c r="H4881" t="s">
        <v>24</v>
      </c>
      <c r="I4881" t="s">
        <v>17</v>
      </c>
    </row>
    <row r="4882" spans="1:9" x14ac:dyDescent="0.25">
      <c r="A4882">
        <v>1814</v>
      </c>
      <c r="B4882">
        <f>A4882+1</f>
        <v>1815</v>
      </c>
      <c r="C4882" t="s">
        <v>520</v>
      </c>
      <c r="D4882" t="s">
        <v>26</v>
      </c>
      <c r="E4882" s="208" t="s">
        <v>107</v>
      </c>
      <c r="F4882" t="s">
        <v>10</v>
      </c>
      <c r="G4882" s="18">
        <v>108102</v>
      </c>
      <c r="H4882" t="s">
        <v>24</v>
      </c>
      <c r="I4882" t="s">
        <v>17</v>
      </c>
    </row>
    <row r="4883" spans="1:9" x14ac:dyDescent="0.25">
      <c r="A4883">
        <v>1814</v>
      </c>
      <c r="B4883">
        <f>A4883+1</f>
        <v>1815</v>
      </c>
      <c r="C4883" t="s">
        <v>520</v>
      </c>
      <c r="D4883" t="s">
        <v>26</v>
      </c>
      <c r="E4883" s="208" t="s">
        <v>101</v>
      </c>
      <c r="F4883" t="s">
        <v>10</v>
      </c>
      <c r="G4883" s="18">
        <v>136775</v>
      </c>
      <c r="H4883" t="s">
        <v>24</v>
      </c>
      <c r="I4883" t="s">
        <v>17</v>
      </c>
    </row>
    <row r="4884" spans="1:9" x14ac:dyDescent="0.25">
      <c r="A4884">
        <v>1814</v>
      </c>
      <c r="B4884">
        <f>A4884+1</f>
        <v>1815</v>
      </c>
      <c r="C4884" t="s">
        <v>520</v>
      </c>
      <c r="D4884" t="s">
        <v>26</v>
      </c>
      <c r="E4884" s="208" t="s">
        <v>75</v>
      </c>
      <c r="F4884" t="s">
        <v>10</v>
      </c>
      <c r="G4884" s="18">
        <v>568700</v>
      </c>
      <c r="H4884" t="s">
        <v>24</v>
      </c>
      <c r="I4884" t="s">
        <v>17</v>
      </c>
    </row>
    <row r="4885" spans="1:9" x14ac:dyDescent="0.25">
      <c r="A4885">
        <v>1814</v>
      </c>
      <c r="B4885">
        <f>A4885+1</f>
        <v>1815</v>
      </c>
      <c r="C4885" t="s">
        <v>520</v>
      </c>
      <c r="D4885" t="s">
        <v>26</v>
      </c>
      <c r="E4885" s="208" t="s">
        <v>330</v>
      </c>
      <c r="F4885" t="s">
        <v>10</v>
      </c>
      <c r="G4885" s="18">
        <v>0</v>
      </c>
      <c r="H4885" t="s">
        <v>24</v>
      </c>
      <c r="I4885" t="s">
        <v>17</v>
      </c>
    </row>
    <row r="4886" spans="1:9" x14ac:dyDescent="0.25">
      <c r="A4886">
        <v>1814</v>
      </c>
      <c r="B4886">
        <f>A4886+1</f>
        <v>1815</v>
      </c>
      <c r="C4886" t="s">
        <v>520</v>
      </c>
      <c r="D4886" t="s">
        <v>26</v>
      </c>
      <c r="E4886" s="208" t="s">
        <v>331</v>
      </c>
      <c r="F4886" t="s">
        <v>10</v>
      </c>
      <c r="G4886" s="18">
        <v>0</v>
      </c>
      <c r="H4886" t="s">
        <v>24</v>
      </c>
      <c r="I4886" t="s">
        <v>17</v>
      </c>
    </row>
    <row r="4887" spans="1:9" x14ac:dyDescent="0.25">
      <c r="A4887">
        <v>1814</v>
      </c>
      <c r="B4887">
        <f>A4887+1</f>
        <v>1815</v>
      </c>
      <c r="C4887" t="s">
        <v>520</v>
      </c>
      <c r="D4887" t="s">
        <v>26</v>
      </c>
      <c r="E4887" s="208" t="s">
        <v>332</v>
      </c>
      <c r="F4887" t="s">
        <v>10</v>
      </c>
      <c r="G4887" s="18">
        <v>0</v>
      </c>
      <c r="H4887" t="s">
        <v>24</v>
      </c>
      <c r="I4887" t="s">
        <v>17</v>
      </c>
    </row>
    <row r="4888" spans="1:9" x14ac:dyDescent="0.25">
      <c r="A4888">
        <v>1814</v>
      </c>
      <c r="B4888">
        <f>A4888+1</f>
        <v>1815</v>
      </c>
      <c r="C4888" t="s">
        <v>520</v>
      </c>
      <c r="D4888" t="s">
        <v>26</v>
      </c>
      <c r="E4888" s="208" t="s">
        <v>333</v>
      </c>
      <c r="F4888" t="s">
        <v>10</v>
      </c>
      <c r="G4888" s="18">
        <v>0</v>
      </c>
      <c r="H4888" t="s">
        <v>24</v>
      </c>
      <c r="I4888" t="s">
        <v>17</v>
      </c>
    </row>
    <row r="4889" spans="1:9" x14ac:dyDescent="0.25">
      <c r="A4889">
        <v>1814</v>
      </c>
      <c r="B4889">
        <f>A4889+1</f>
        <v>1815</v>
      </c>
      <c r="C4889" t="s">
        <v>520</v>
      </c>
      <c r="D4889" t="s">
        <v>27</v>
      </c>
      <c r="E4889" s="208" t="s">
        <v>155</v>
      </c>
      <c r="F4889" t="s">
        <v>8</v>
      </c>
      <c r="G4889" s="18">
        <v>93014</v>
      </c>
      <c r="H4889" t="s">
        <v>17</v>
      </c>
      <c r="I4889" t="s">
        <v>18</v>
      </c>
    </row>
    <row r="4890" spans="1:9" x14ac:dyDescent="0.25">
      <c r="A4890">
        <v>1814</v>
      </c>
      <c r="B4890">
        <f>A4890+1</f>
        <v>1815</v>
      </c>
      <c r="C4890" t="s">
        <v>520</v>
      </c>
      <c r="D4890" t="s">
        <v>27</v>
      </c>
      <c r="E4890" s="208" t="s">
        <v>156</v>
      </c>
      <c r="F4890" t="s">
        <v>8</v>
      </c>
      <c r="G4890" s="18">
        <v>9993</v>
      </c>
      <c r="H4890" t="s">
        <v>17</v>
      </c>
      <c r="I4890" t="s">
        <v>18</v>
      </c>
    </row>
    <row r="4891" spans="1:9" x14ac:dyDescent="0.25">
      <c r="A4891">
        <v>1814</v>
      </c>
      <c r="B4891">
        <f>A4891+1</f>
        <v>1815</v>
      </c>
      <c r="C4891" t="s">
        <v>520</v>
      </c>
      <c r="D4891" t="s">
        <v>27</v>
      </c>
      <c r="E4891" s="208" t="s">
        <v>154</v>
      </c>
      <c r="F4891" t="s">
        <v>8</v>
      </c>
      <c r="G4891" s="18">
        <v>1065</v>
      </c>
      <c r="H4891" t="s">
        <v>17</v>
      </c>
      <c r="I4891" t="s">
        <v>18</v>
      </c>
    </row>
    <row r="4892" spans="1:9" x14ac:dyDescent="0.25">
      <c r="A4892">
        <v>1814</v>
      </c>
      <c r="B4892">
        <f>A4892+1</f>
        <v>1815</v>
      </c>
      <c r="C4892" t="s">
        <v>520</v>
      </c>
      <c r="D4892" t="s">
        <v>27</v>
      </c>
      <c r="E4892" s="208" t="s">
        <v>150</v>
      </c>
      <c r="F4892" t="s">
        <v>8</v>
      </c>
      <c r="G4892" s="18">
        <v>35916</v>
      </c>
      <c r="H4892" t="s">
        <v>17</v>
      </c>
      <c r="I4892" t="s">
        <v>18</v>
      </c>
    </row>
    <row r="4893" spans="1:9" x14ac:dyDescent="0.25">
      <c r="A4893">
        <v>1814</v>
      </c>
      <c r="B4893">
        <f>A4893+1</f>
        <v>1815</v>
      </c>
      <c r="C4893" t="s">
        <v>520</v>
      </c>
      <c r="D4893" t="s">
        <v>27</v>
      </c>
      <c r="E4893" s="208" t="s">
        <v>148</v>
      </c>
      <c r="F4893" t="s">
        <v>8</v>
      </c>
      <c r="G4893" s="18">
        <v>575</v>
      </c>
      <c r="H4893" t="s">
        <v>17</v>
      </c>
      <c r="I4893" t="s">
        <v>18</v>
      </c>
    </row>
    <row r="4894" spans="1:9" x14ac:dyDescent="0.25">
      <c r="A4894">
        <v>1814</v>
      </c>
      <c r="B4894">
        <f>A4894+1</f>
        <v>1815</v>
      </c>
      <c r="C4894" t="s">
        <v>520</v>
      </c>
      <c r="D4894" t="s">
        <v>27</v>
      </c>
      <c r="E4894" s="208" t="s">
        <v>147</v>
      </c>
      <c r="F4894" t="s">
        <v>8</v>
      </c>
      <c r="G4894" s="18">
        <v>0</v>
      </c>
      <c r="H4894" t="s">
        <v>17</v>
      </c>
      <c r="I4894" t="s">
        <v>18</v>
      </c>
    </row>
    <row r="4895" spans="1:9" x14ac:dyDescent="0.25">
      <c r="A4895">
        <v>1814</v>
      </c>
      <c r="B4895">
        <f>A4895+1</f>
        <v>1815</v>
      </c>
      <c r="C4895" t="s">
        <v>520</v>
      </c>
      <c r="D4895" t="s">
        <v>27</v>
      </c>
      <c r="E4895" s="208" t="s">
        <v>314</v>
      </c>
      <c r="F4895" t="s">
        <v>8</v>
      </c>
      <c r="G4895" s="18">
        <v>0</v>
      </c>
      <c r="H4895" t="s">
        <v>17</v>
      </c>
      <c r="I4895" t="s">
        <v>18</v>
      </c>
    </row>
    <row r="4896" spans="1:9" x14ac:dyDescent="0.25">
      <c r="A4896">
        <v>1814</v>
      </c>
      <c r="B4896">
        <f>A4896+1</f>
        <v>1815</v>
      </c>
      <c r="C4896" t="s">
        <v>520</v>
      </c>
      <c r="D4896" t="s">
        <v>27</v>
      </c>
      <c r="E4896" s="208" t="s">
        <v>139</v>
      </c>
      <c r="F4896" t="s">
        <v>8</v>
      </c>
      <c r="G4896" s="18">
        <v>134</v>
      </c>
      <c r="H4896" t="s">
        <v>17</v>
      </c>
      <c r="I4896" t="s">
        <v>18</v>
      </c>
    </row>
    <row r="4897" spans="1:9" x14ac:dyDescent="0.25">
      <c r="A4897">
        <v>1814</v>
      </c>
      <c r="B4897">
        <f>A4897+1</f>
        <v>1815</v>
      </c>
      <c r="C4897" t="s">
        <v>520</v>
      </c>
      <c r="D4897" t="s">
        <v>27</v>
      </c>
      <c r="E4897" s="208" t="s">
        <v>132</v>
      </c>
      <c r="F4897" t="s">
        <v>8</v>
      </c>
      <c r="G4897" s="18">
        <v>572</v>
      </c>
      <c r="H4897" t="s">
        <v>17</v>
      </c>
      <c r="I4897" t="s">
        <v>18</v>
      </c>
    </row>
    <row r="4898" spans="1:9" x14ac:dyDescent="0.25">
      <c r="A4898">
        <v>1814</v>
      </c>
      <c r="B4898">
        <f>A4898+1</f>
        <v>1815</v>
      </c>
      <c r="C4898" t="s">
        <v>520</v>
      </c>
      <c r="D4898" t="s">
        <v>27</v>
      </c>
      <c r="E4898" s="208" t="s">
        <v>130</v>
      </c>
      <c r="F4898" t="s">
        <v>8</v>
      </c>
      <c r="G4898" s="18">
        <v>894</v>
      </c>
      <c r="H4898" t="s">
        <v>17</v>
      </c>
      <c r="I4898" t="s">
        <v>18</v>
      </c>
    </row>
    <row r="4899" spans="1:9" x14ac:dyDescent="0.25">
      <c r="A4899">
        <v>1814</v>
      </c>
      <c r="B4899">
        <f>A4899+1</f>
        <v>1815</v>
      </c>
      <c r="C4899" t="s">
        <v>520</v>
      </c>
      <c r="D4899" t="s">
        <v>27</v>
      </c>
      <c r="E4899" s="208" t="s">
        <v>144</v>
      </c>
      <c r="F4899" t="s">
        <v>8</v>
      </c>
      <c r="G4899" s="18">
        <v>524</v>
      </c>
      <c r="H4899" t="s">
        <v>17</v>
      </c>
      <c r="I4899" t="s">
        <v>18</v>
      </c>
    </row>
    <row r="4900" spans="1:9" x14ac:dyDescent="0.25">
      <c r="A4900">
        <v>1814</v>
      </c>
      <c r="B4900">
        <f>A4900+1</f>
        <v>1815</v>
      </c>
      <c r="C4900" t="s">
        <v>520</v>
      </c>
      <c r="D4900" t="s">
        <v>27</v>
      </c>
      <c r="E4900" s="208" t="s">
        <v>142</v>
      </c>
      <c r="F4900" t="s">
        <v>8</v>
      </c>
      <c r="G4900" s="18">
        <v>22310</v>
      </c>
      <c r="H4900" t="s">
        <v>17</v>
      </c>
      <c r="I4900" t="s">
        <v>18</v>
      </c>
    </row>
    <row r="4901" spans="1:9" x14ac:dyDescent="0.25">
      <c r="A4901">
        <v>1814</v>
      </c>
      <c r="B4901">
        <f>A4901+1</f>
        <v>1815</v>
      </c>
      <c r="C4901" t="s">
        <v>520</v>
      </c>
      <c r="D4901" t="s">
        <v>27</v>
      </c>
      <c r="E4901" s="208" t="s">
        <v>124</v>
      </c>
      <c r="F4901" t="s">
        <v>8</v>
      </c>
      <c r="G4901" s="18">
        <v>13888544</v>
      </c>
      <c r="H4901" t="s">
        <v>17</v>
      </c>
      <c r="I4901" t="s">
        <v>18</v>
      </c>
    </row>
    <row r="4902" spans="1:9" x14ac:dyDescent="0.25">
      <c r="A4902">
        <v>1814</v>
      </c>
      <c r="B4902">
        <f>A4902+1</f>
        <v>1815</v>
      </c>
      <c r="C4902" t="s">
        <v>520</v>
      </c>
      <c r="D4902" t="s">
        <v>26</v>
      </c>
      <c r="E4902" s="208" t="s">
        <v>62</v>
      </c>
      <c r="F4902" t="s">
        <v>164</v>
      </c>
      <c r="G4902" s="18">
        <v>891</v>
      </c>
      <c r="H4902" t="s">
        <v>160</v>
      </c>
      <c r="I4902" t="s">
        <v>17</v>
      </c>
    </row>
    <row r="4903" spans="1:9" x14ac:dyDescent="0.25">
      <c r="A4903">
        <v>1814</v>
      </c>
      <c r="B4903">
        <f>A4903+1</f>
        <v>1815</v>
      </c>
      <c r="C4903" t="s">
        <v>520</v>
      </c>
      <c r="D4903" t="s">
        <v>26</v>
      </c>
      <c r="E4903" s="208" t="s">
        <v>36</v>
      </c>
      <c r="F4903" t="s">
        <v>164</v>
      </c>
      <c r="G4903" s="18">
        <v>122</v>
      </c>
      <c r="H4903" t="s">
        <v>160</v>
      </c>
      <c r="I4903" t="s">
        <v>17</v>
      </c>
    </row>
    <row r="4904" spans="1:9" x14ac:dyDescent="0.25">
      <c r="A4904">
        <v>1814</v>
      </c>
      <c r="B4904">
        <f>A4904+1</f>
        <v>1815</v>
      </c>
      <c r="C4904" t="s">
        <v>520</v>
      </c>
      <c r="D4904" t="s">
        <v>26</v>
      </c>
      <c r="E4904" s="208" t="s">
        <v>35</v>
      </c>
      <c r="F4904" t="s">
        <v>164</v>
      </c>
      <c r="G4904" s="18">
        <v>110</v>
      </c>
      <c r="H4904" t="s">
        <v>160</v>
      </c>
      <c r="I4904" t="s">
        <v>17</v>
      </c>
    </row>
    <row r="4905" spans="1:9" x14ac:dyDescent="0.25">
      <c r="A4905">
        <v>1814</v>
      </c>
      <c r="B4905">
        <f>A4905+1</f>
        <v>1815</v>
      </c>
      <c r="C4905" t="s">
        <v>520</v>
      </c>
      <c r="D4905" t="s">
        <v>26</v>
      </c>
      <c r="E4905" s="208" t="s">
        <v>39</v>
      </c>
      <c r="F4905" t="s">
        <v>164</v>
      </c>
      <c r="G4905" s="18">
        <v>0</v>
      </c>
      <c r="H4905" t="s">
        <v>160</v>
      </c>
      <c r="I4905" t="s">
        <v>17</v>
      </c>
    </row>
    <row r="4906" spans="1:9" x14ac:dyDescent="0.25">
      <c r="A4906">
        <v>1814</v>
      </c>
      <c r="B4906">
        <f>A4906+1</f>
        <v>1815</v>
      </c>
      <c r="C4906" t="s">
        <v>520</v>
      </c>
      <c r="D4906" t="s">
        <v>26</v>
      </c>
      <c r="E4906" s="208" t="s">
        <v>99</v>
      </c>
      <c r="F4906" t="s">
        <v>164</v>
      </c>
      <c r="G4906" s="18">
        <v>0</v>
      </c>
      <c r="H4906" t="s">
        <v>160</v>
      </c>
      <c r="I4906" t="s">
        <v>17</v>
      </c>
    </row>
    <row r="4907" spans="1:9" x14ac:dyDescent="0.25">
      <c r="A4907">
        <v>1814</v>
      </c>
      <c r="B4907">
        <f>A4907+1</f>
        <v>1815</v>
      </c>
      <c r="C4907" t="s">
        <v>520</v>
      </c>
      <c r="D4907" t="s">
        <v>26</v>
      </c>
      <c r="E4907" s="208" t="s">
        <v>95</v>
      </c>
      <c r="F4907" t="s">
        <v>164</v>
      </c>
      <c r="G4907" s="18">
        <v>0</v>
      </c>
      <c r="H4907" t="s">
        <v>160</v>
      </c>
      <c r="I4907" t="s">
        <v>17</v>
      </c>
    </row>
    <row r="4908" spans="1:9" x14ac:dyDescent="0.25">
      <c r="A4908">
        <v>1814</v>
      </c>
      <c r="B4908">
        <f>A4908+1</f>
        <v>1815</v>
      </c>
      <c r="C4908" t="s">
        <v>520</v>
      </c>
      <c r="D4908" t="s">
        <v>26</v>
      </c>
      <c r="E4908" s="208" t="s">
        <v>94</v>
      </c>
      <c r="F4908" t="s">
        <v>164</v>
      </c>
      <c r="G4908" s="18">
        <v>0</v>
      </c>
      <c r="H4908" t="s">
        <v>160</v>
      </c>
      <c r="I4908" t="s">
        <v>17</v>
      </c>
    </row>
    <row r="4909" spans="1:9" x14ac:dyDescent="0.25">
      <c r="A4909">
        <v>1814</v>
      </c>
      <c r="B4909">
        <f>A4909+1</f>
        <v>1815</v>
      </c>
      <c r="C4909" t="s">
        <v>520</v>
      </c>
      <c r="D4909" t="s">
        <v>26</v>
      </c>
      <c r="E4909" s="208" t="s">
        <v>386</v>
      </c>
      <c r="F4909" t="s">
        <v>164</v>
      </c>
      <c r="G4909" s="18">
        <v>0</v>
      </c>
      <c r="H4909" t="s">
        <v>160</v>
      </c>
      <c r="I4909" t="s">
        <v>17</v>
      </c>
    </row>
    <row r="4910" spans="1:9" x14ac:dyDescent="0.25">
      <c r="A4910">
        <v>1814</v>
      </c>
      <c r="B4910">
        <f>A4910+1</f>
        <v>1815</v>
      </c>
      <c r="C4910" t="s">
        <v>520</v>
      </c>
      <c r="D4910" t="s">
        <v>26</v>
      </c>
      <c r="E4910" s="208" t="s">
        <v>387</v>
      </c>
      <c r="F4910" t="s">
        <v>164</v>
      </c>
      <c r="G4910" s="18">
        <v>0</v>
      </c>
      <c r="H4910" t="s">
        <v>160</v>
      </c>
      <c r="I4910" t="s">
        <v>17</v>
      </c>
    </row>
    <row r="4911" spans="1:9" x14ac:dyDescent="0.25">
      <c r="A4911">
        <v>1814</v>
      </c>
      <c r="B4911">
        <f>A4911+1</f>
        <v>1815</v>
      </c>
      <c r="C4911" t="s">
        <v>520</v>
      </c>
      <c r="D4911" t="s">
        <v>26</v>
      </c>
      <c r="E4911" s="208" t="s">
        <v>388</v>
      </c>
      <c r="F4911" t="s">
        <v>164</v>
      </c>
      <c r="G4911" s="18">
        <v>0</v>
      </c>
      <c r="H4911" t="s">
        <v>160</v>
      </c>
      <c r="I4911" t="s">
        <v>17</v>
      </c>
    </row>
    <row r="4912" spans="1:9" x14ac:dyDescent="0.25">
      <c r="A4912">
        <v>1814</v>
      </c>
      <c r="B4912">
        <f>A4912+1</f>
        <v>1815</v>
      </c>
      <c r="C4912" t="s">
        <v>520</v>
      </c>
      <c r="D4912" t="s">
        <v>26</v>
      </c>
      <c r="E4912" s="208" t="s">
        <v>383</v>
      </c>
      <c r="F4912" t="s">
        <v>164</v>
      </c>
      <c r="G4912" s="18">
        <v>0</v>
      </c>
      <c r="H4912" t="s">
        <v>160</v>
      </c>
      <c r="I4912" t="s">
        <v>17</v>
      </c>
    </row>
    <row r="4913" spans="1:9" x14ac:dyDescent="0.25">
      <c r="A4913">
        <v>1814</v>
      </c>
      <c r="B4913">
        <f>A4913+1</f>
        <v>1815</v>
      </c>
      <c r="C4913" t="s">
        <v>520</v>
      </c>
      <c r="D4913" t="s">
        <v>26</v>
      </c>
      <c r="E4913" s="208" t="s">
        <v>384</v>
      </c>
      <c r="F4913" t="s">
        <v>164</v>
      </c>
      <c r="G4913" s="18">
        <v>0</v>
      </c>
      <c r="H4913" t="s">
        <v>160</v>
      </c>
      <c r="I4913" t="s">
        <v>17</v>
      </c>
    </row>
    <row r="4914" spans="1:9" x14ac:dyDescent="0.25">
      <c r="A4914">
        <v>1814</v>
      </c>
      <c r="B4914">
        <f>A4914+1</f>
        <v>1815</v>
      </c>
      <c r="C4914" t="s">
        <v>520</v>
      </c>
      <c r="D4914" t="s">
        <v>26</v>
      </c>
      <c r="E4914" s="208" t="s">
        <v>65</v>
      </c>
      <c r="F4914" t="s">
        <v>164</v>
      </c>
      <c r="G4914" s="18">
        <v>20311</v>
      </c>
      <c r="H4914" t="s">
        <v>160</v>
      </c>
      <c r="I4914" t="s">
        <v>17</v>
      </c>
    </row>
    <row r="4915" spans="1:9" x14ac:dyDescent="0.25">
      <c r="A4915">
        <v>1814</v>
      </c>
      <c r="B4915">
        <f>A4915+1</f>
        <v>1815</v>
      </c>
      <c r="C4915" t="s">
        <v>520</v>
      </c>
      <c r="D4915" t="s">
        <v>26</v>
      </c>
      <c r="E4915" s="208" t="s">
        <v>88</v>
      </c>
      <c r="F4915" t="s">
        <v>164</v>
      </c>
      <c r="G4915" s="18">
        <v>1940</v>
      </c>
      <c r="H4915" t="s">
        <v>160</v>
      </c>
      <c r="I4915" t="s">
        <v>17</v>
      </c>
    </row>
    <row r="4916" spans="1:9" x14ac:dyDescent="0.25">
      <c r="A4916">
        <v>1814</v>
      </c>
      <c r="B4916">
        <f>A4916+1</f>
        <v>1815</v>
      </c>
      <c r="C4916" t="s">
        <v>520</v>
      </c>
      <c r="D4916" t="s">
        <v>26</v>
      </c>
      <c r="E4916" s="208" t="s">
        <v>107</v>
      </c>
      <c r="F4916" t="s">
        <v>164</v>
      </c>
      <c r="G4916" s="18">
        <v>0</v>
      </c>
      <c r="H4916" t="s">
        <v>160</v>
      </c>
      <c r="I4916" t="s">
        <v>17</v>
      </c>
    </row>
    <row r="4917" spans="1:9" x14ac:dyDescent="0.25">
      <c r="A4917">
        <v>1814</v>
      </c>
      <c r="B4917">
        <f>A4917+1</f>
        <v>1815</v>
      </c>
      <c r="C4917" t="s">
        <v>520</v>
      </c>
      <c r="D4917" t="s">
        <v>26</v>
      </c>
      <c r="E4917" s="208" t="s">
        <v>101</v>
      </c>
      <c r="F4917" t="s">
        <v>164</v>
      </c>
      <c r="G4917" s="18">
        <v>0</v>
      </c>
      <c r="H4917" t="s">
        <v>160</v>
      </c>
      <c r="I4917" t="s">
        <v>17</v>
      </c>
    </row>
    <row r="4918" spans="1:9" x14ac:dyDescent="0.25">
      <c r="A4918">
        <v>1814</v>
      </c>
      <c r="B4918">
        <f>A4918+1</f>
        <v>1815</v>
      </c>
      <c r="C4918" t="s">
        <v>520</v>
      </c>
      <c r="D4918" t="s">
        <v>26</v>
      </c>
      <c r="E4918" s="208" t="s">
        <v>75</v>
      </c>
      <c r="F4918" t="s">
        <v>164</v>
      </c>
      <c r="G4918" s="18">
        <v>0</v>
      </c>
      <c r="H4918" t="s">
        <v>160</v>
      </c>
      <c r="I4918" t="s">
        <v>17</v>
      </c>
    </row>
    <row r="4919" spans="1:9" x14ac:dyDescent="0.25">
      <c r="A4919">
        <v>1814</v>
      </c>
      <c r="B4919">
        <f>A4919+1</f>
        <v>1815</v>
      </c>
      <c r="C4919" t="s">
        <v>520</v>
      </c>
      <c r="D4919" t="s">
        <v>26</v>
      </c>
      <c r="E4919" s="208" t="s">
        <v>330</v>
      </c>
      <c r="F4919" t="s">
        <v>164</v>
      </c>
      <c r="G4919" s="18">
        <v>0</v>
      </c>
      <c r="H4919" t="s">
        <v>160</v>
      </c>
      <c r="I4919" t="s">
        <v>17</v>
      </c>
    </row>
    <row r="4920" spans="1:9" x14ac:dyDescent="0.25">
      <c r="A4920">
        <v>1814</v>
      </c>
      <c r="B4920">
        <f>A4920+1</f>
        <v>1815</v>
      </c>
      <c r="C4920" t="s">
        <v>520</v>
      </c>
      <c r="D4920" t="s">
        <v>26</v>
      </c>
      <c r="E4920" s="208" t="s">
        <v>331</v>
      </c>
      <c r="F4920" t="s">
        <v>164</v>
      </c>
      <c r="G4920" s="18">
        <v>0</v>
      </c>
      <c r="H4920" t="s">
        <v>160</v>
      </c>
      <c r="I4920" t="s">
        <v>17</v>
      </c>
    </row>
    <row r="4921" spans="1:9" x14ac:dyDescent="0.25">
      <c r="A4921">
        <v>1814</v>
      </c>
      <c r="B4921">
        <f>A4921+1</f>
        <v>1815</v>
      </c>
      <c r="C4921" t="s">
        <v>520</v>
      </c>
      <c r="D4921" t="s">
        <v>26</v>
      </c>
      <c r="E4921" s="208" t="s">
        <v>332</v>
      </c>
      <c r="F4921" t="s">
        <v>164</v>
      </c>
      <c r="G4921" s="18">
        <v>0</v>
      </c>
      <c r="H4921" t="s">
        <v>160</v>
      </c>
      <c r="I4921" t="s">
        <v>17</v>
      </c>
    </row>
    <row r="4922" spans="1:9" x14ac:dyDescent="0.25">
      <c r="A4922">
        <v>1814</v>
      </c>
      <c r="B4922">
        <f>A4922+1</f>
        <v>1815</v>
      </c>
      <c r="C4922" t="s">
        <v>520</v>
      </c>
      <c r="D4922" t="s">
        <v>26</v>
      </c>
      <c r="E4922" s="208" t="s">
        <v>333</v>
      </c>
      <c r="F4922" t="s">
        <v>164</v>
      </c>
      <c r="G4922" s="18">
        <v>0</v>
      </c>
      <c r="H4922" t="s">
        <v>160</v>
      </c>
      <c r="I4922" t="s">
        <v>17</v>
      </c>
    </row>
    <row r="4923" spans="1:9" x14ac:dyDescent="0.25">
      <c r="A4923">
        <v>1814</v>
      </c>
      <c r="B4923">
        <f>A4923+1</f>
        <v>1815</v>
      </c>
      <c r="C4923" t="s">
        <v>520</v>
      </c>
      <c r="D4923" t="s">
        <v>27</v>
      </c>
      <c r="E4923" s="208" t="s">
        <v>155</v>
      </c>
      <c r="F4923" t="s">
        <v>13</v>
      </c>
      <c r="G4923" s="18">
        <v>0</v>
      </c>
      <c r="H4923" t="s">
        <v>17</v>
      </c>
      <c r="I4923" t="s">
        <v>25</v>
      </c>
    </row>
    <row r="4924" spans="1:9" x14ac:dyDescent="0.25">
      <c r="A4924">
        <v>1814</v>
      </c>
      <c r="B4924">
        <f>A4924+1</f>
        <v>1815</v>
      </c>
      <c r="C4924" t="s">
        <v>520</v>
      </c>
      <c r="D4924" t="s">
        <v>27</v>
      </c>
      <c r="E4924" s="208" t="s">
        <v>156</v>
      </c>
      <c r="F4924" t="s">
        <v>13</v>
      </c>
      <c r="G4924" s="18">
        <v>0</v>
      </c>
      <c r="H4924" t="s">
        <v>17</v>
      </c>
      <c r="I4924" t="s">
        <v>25</v>
      </c>
    </row>
    <row r="4925" spans="1:9" x14ac:dyDescent="0.25">
      <c r="A4925">
        <v>1814</v>
      </c>
      <c r="B4925">
        <f>A4925+1</f>
        <v>1815</v>
      </c>
      <c r="C4925" t="s">
        <v>520</v>
      </c>
      <c r="D4925" t="s">
        <v>27</v>
      </c>
      <c r="E4925" s="208" t="s">
        <v>154</v>
      </c>
      <c r="F4925" t="s">
        <v>13</v>
      </c>
      <c r="G4925" s="18">
        <v>0</v>
      </c>
      <c r="H4925" t="s">
        <v>17</v>
      </c>
      <c r="I4925" t="s">
        <v>25</v>
      </c>
    </row>
    <row r="4926" spans="1:9" x14ac:dyDescent="0.25">
      <c r="A4926">
        <v>1814</v>
      </c>
      <c r="B4926">
        <f>A4926+1</f>
        <v>1815</v>
      </c>
      <c r="C4926" t="s">
        <v>520</v>
      </c>
      <c r="D4926" t="s">
        <v>27</v>
      </c>
      <c r="E4926" s="208" t="s">
        <v>150</v>
      </c>
      <c r="F4926" t="s">
        <v>13</v>
      </c>
      <c r="G4926" s="18">
        <v>107</v>
      </c>
      <c r="H4926" t="s">
        <v>17</v>
      </c>
      <c r="I4926" t="s">
        <v>25</v>
      </c>
    </row>
    <row r="4927" spans="1:9" x14ac:dyDescent="0.25">
      <c r="A4927">
        <v>1814</v>
      </c>
      <c r="B4927">
        <f>A4927+1</f>
        <v>1815</v>
      </c>
      <c r="C4927" t="s">
        <v>520</v>
      </c>
      <c r="D4927" t="s">
        <v>27</v>
      </c>
      <c r="E4927" s="208" t="s">
        <v>148</v>
      </c>
      <c r="F4927" t="s">
        <v>13</v>
      </c>
      <c r="G4927" s="18">
        <v>0</v>
      </c>
      <c r="H4927" t="s">
        <v>17</v>
      </c>
      <c r="I4927" t="s">
        <v>25</v>
      </c>
    </row>
    <row r="4928" spans="1:9" x14ac:dyDescent="0.25">
      <c r="A4928">
        <v>1814</v>
      </c>
      <c r="B4928">
        <f>A4928+1</f>
        <v>1815</v>
      </c>
      <c r="C4928" t="s">
        <v>520</v>
      </c>
      <c r="D4928" t="s">
        <v>27</v>
      </c>
      <c r="E4928" s="208" t="s">
        <v>147</v>
      </c>
      <c r="F4928" t="s">
        <v>13</v>
      </c>
      <c r="G4928" s="18">
        <v>5</v>
      </c>
      <c r="H4928" t="s">
        <v>17</v>
      </c>
      <c r="I4928" t="s">
        <v>25</v>
      </c>
    </row>
    <row r="4929" spans="1:9" x14ac:dyDescent="0.25">
      <c r="A4929">
        <v>1814</v>
      </c>
      <c r="B4929">
        <f>A4929+1</f>
        <v>1815</v>
      </c>
      <c r="C4929" t="s">
        <v>520</v>
      </c>
      <c r="D4929" t="s">
        <v>27</v>
      </c>
      <c r="E4929" s="208" t="s">
        <v>314</v>
      </c>
      <c r="F4929" t="s">
        <v>13</v>
      </c>
      <c r="G4929" s="18">
        <v>0</v>
      </c>
      <c r="H4929" t="s">
        <v>17</v>
      </c>
      <c r="I4929" t="s">
        <v>25</v>
      </c>
    </row>
    <row r="4930" spans="1:9" x14ac:dyDescent="0.25">
      <c r="A4930">
        <v>1814</v>
      </c>
      <c r="B4930">
        <f>A4930+1</f>
        <v>1815</v>
      </c>
      <c r="C4930" t="s">
        <v>520</v>
      </c>
      <c r="D4930" t="s">
        <v>27</v>
      </c>
      <c r="E4930" s="208" t="s">
        <v>139</v>
      </c>
      <c r="F4930" t="s">
        <v>13</v>
      </c>
      <c r="G4930" s="18">
        <v>0</v>
      </c>
      <c r="H4930" t="s">
        <v>17</v>
      </c>
      <c r="I4930" t="s">
        <v>25</v>
      </c>
    </row>
    <row r="4931" spans="1:9" x14ac:dyDescent="0.25">
      <c r="A4931">
        <v>1814</v>
      </c>
      <c r="B4931">
        <f>A4931+1</f>
        <v>1815</v>
      </c>
      <c r="C4931" t="s">
        <v>520</v>
      </c>
      <c r="D4931" t="s">
        <v>27</v>
      </c>
      <c r="E4931" s="208" t="s">
        <v>132</v>
      </c>
      <c r="F4931" t="s">
        <v>13</v>
      </c>
      <c r="G4931" s="18">
        <v>0</v>
      </c>
      <c r="H4931" t="s">
        <v>17</v>
      </c>
      <c r="I4931" t="s">
        <v>25</v>
      </c>
    </row>
    <row r="4932" spans="1:9" x14ac:dyDescent="0.25">
      <c r="A4932">
        <v>1814</v>
      </c>
      <c r="B4932">
        <f>A4932+1</f>
        <v>1815</v>
      </c>
      <c r="C4932" t="s">
        <v>520</v>
      </c>
      <c r="D4932" t="s">
        <v>27</v>
      </c>
      <c r="E4932" s="208" t="s">
        <v>130</v>
      </c>
      <c r="F4932" t="s">
        <v>13</v>
      </c>
      <c r="G4932" s="18">
        <v>0</v>
      </c>
      <c r="H4932" t="s">
        <v>17</v>
      </c>
      <c r="I4932" t="s">
        <v>25</v>
      </c>
    </row>
    <row r="4933" spans="1:9" x14ac:dyDescent="0.25">
      <c r="A4933">
        <v>1814</v>
      </c>
      <c r="B4933">
        <f>A4933+1</f>
        <v>1815</v>
      </c>
      <c r="C4933" t="s">
        <v>520</v>
      </c>
      <c r="D4933" t="s">
        <v>27</v>
      </c>
      <c r="E4933" s="208" t="s">
        <v>144</v>
      </c>
      <c r="F4933" t="s">
        <v>13</v>
      </c>
      <c r="G4933" s="18">
        <v>0</v>
      </c>
      <c r="H4933" t="s">
        <v>17</v>
      </c>
      <c r="I4933" t="s">
        <v>25</v>
      </c>
    </row>
    <row r="4934" spans="1:9" x14ac:dyDescent="0.25">
      <c r="A4934">
        <v>1814</v>
      </c>
      <c r="B4934">
        <f>A4934+1</f>
        <v>1815</v>
      </c>
      <c r="C4934" t="s">
        <v>520</v>
      </c>
      <c r="D4934" t="s">
        <v>27</v>
      </c>
      <c r="E4934" s="208" t="s">
        <v>142</v>
      </c>
      <c r="F4934" t="s">
        <v>13</v>
      </c>
      <c r="G4934" s="18">
        <v>0</v>
      </c>
      <c r="H4934" t="s">
        <v>17</v>
      </c>
      <c r="I4934" t="s">
        <v>25</v>
      </c>
    </row>
    <row r="4935" spans="1:9" x14ac:dyDescent="0.25">
      <c r="A4935">
        <v>1814</v>
      </c>
      <c r="B4935">
        <f>A4935+1</f>
        <v>1815</v>
      </c>
      <c r="C4935" t="s">
        <v>520</v>
      </c>
      <c r="D4935" t="s">
        <v>27</v>
      </c>
      <c r="E4935" s="208" t="s">
        <v>124</v>
      </c>
      <c r="F4935" t="s">
        <v>13</v>
      </c>
      <c r="G4935" s="18">
        <v>0</v>
      </c>
      <c r="H4935" t="s">
        <v>17</v>
      </c>
      <c r="I4935" t="s">
        <v>25</v>
      </c>
    </row>
    <row r="4936" spans="1:9" x14ac:dyDescent="0.25">
      <c r="A4936">
        <v>1814</v>
      </c>
      <c r="B4936">
        <f>A4936+1</f>
        <v>1815</v>
      </c>
      <c r="C4936" t="s">
        <v>520</v>
      </c>
      <c r="D4936" t="s">
        <v>26</v>
      </c>
      <c r="E4936" s="208" t="s">
        <v>62</v>
      </c>
      <c r="F4936" t="s">
        <v>13</v>
      </c>
      <c r="G4936" s="18">
        <v>2642</v>
      </c>
      <c r="H4936" t="s">
        <v>25</v>
      </c>
      <c r="I4936" t="s">
        <v>17</v>
      </c>
    </row>
    <row r="4937" spans="1:9" x14ac:dyDescent="0.25">
      <c r="A4937">
        <v>1814</v>
      </c>
      <c r="B4937">
        <f>A4937+1</f>
        <v>1815</v>
      </c>
      <c r="C4937" t="s">
        <v>520</v>
      </c>
      <c r="D4937" t="s">
        <v>26</v>
      </c>
      <c r="E4937" s="208" t="s">
        <v>36</v>
      </c>
      <c r="F4937" t="s">
        <v>13</v>
      </c>
      <c r="G4937" s="18">
        <v>6</v>
      </c>
      <c r="H4937" t="s">
        <v>25</v>
      </c>
      <c r="I4937" t="s">
        <v>17</v>
      </c>
    </row>
    <row r="4938" spans="1:9" x14ac:dyDescent="0.25">
      <c r="A4938">
        <v>1814</v>
      </c>
      <c r="B4938">
        <f>A4938+1</f>
        <v>1815</v>
      </c>
      <c r="C4938" t="s">
        <v>520</v>
      </c>
      <c r="D4938" t="s">
        <v>26</v>
      </c>
      <c r="E4938" s="208" t="s">
        <v>35</v>
      </c>
      <c r="F4938" t="s">
        <v>13</v>
      </c>
      <c r="G4938" s="18">
        <v>6</v>
      </c>
      <c r="H4938" t="s">
        <v>25</v>
      </c>
      <c r="I4938" t="s">
        <v>17</v>
      </c>
    </row>
    <row r="4939" spans="1:9" x14ac:dyDescent="0.25">
      <c r="A4939">
        <v>1814</v>
      </c>
      <c r="B4939">
        <f>A4939+1</f>
        <v>1815</v>
      </c>
      <c r="C4939" t="s">
        <v>520</v>
      </c>
      <c r="D4939" t="s">
        <v>26</v>
      </c>
      <c r="E4939" s="208" t="s">
        <v>39</v>
      </c>
      <c r="F4939" t="s">
        <v>13</v>
      </c>
      <c r="G4939" s="18">
        <v>20</v>
      </c>
      <c r="H4939" t="s">
        <v>25</v>
      </c>
      <c r="I4939" t="s">
        <v>17</v>
      </c>
    </row>
    <row r="4940" spans="1:9" x14ac:dyDescent="0.25">
      <c r="A4940">
        <v>1814</v>
      </c>
      <c r="B4940">
        <f>A4940+1</f>
        <v>1815</v>
      </c>
      <c r="C4940" t="s">
        <v>520</v>
      </c>
      <c r="D4940" t="s">
        <v>26</v>
      </c>
      <c r="E4940" s="208" t="s">
        <v>99</v>
      </c>
      <c r="F4940" t="s">
        <v>13</v>
      </c>
      <c r="G4940" s="18">
        <v>0</v>
      </c>
      <c r="H4940" t="s">
        <v>25</v>
      </c>
      <c r="I4940" t="s">
        <v>17</v>
      </c>
    </row>
    <row r="4941" spans="1:9" x14ac:dyDescent="0.25">
      <c r="A4941">
        <v>1814</v>
      </c>
      <c r="B4941">
        <f>A4941+1</f>
        <v>1815</v>
      </c>
      <c r="C4941" t="s">
        <v>520</v>
      </c>
      <c r="D4941" t="s">
        <v>26</v>
      </c>
      <c r="E4941" s="208" t="s">
        <v>95</v>
      </c>
      <c r="F4941" t="s">
        <v>13</v>
      </c>
      <c r="G4941" s="18">
        <v>41</v>
      </c>
      <c r="H4941" t="s">
        <v>25</v>
      </c>
      <c r="I4941" t="s">
        <v>17</v>
      </c>
    </row>
    <row r="4942" spans="1:9" x14ac:dyDescent="0.25">
      <c r="A4942">
        <v>1814</v>
      </c>
      <c r="B4942">
        <f>A4942+1</f>
        <v>1815</v>
      </c>
      <c r="C4942" t="s">
        <v>520</v>
      </c>
      <c r="D4942" t="s">
        <v>26</v>
      </c>
      <c r="E4942" s="208" t="s">
        <v>94</v>
      </c>
      <c r="F4942" t="s">
        <v>13</v>
      </c>
      <c r="G4942" s="18">
        <v>370</v>
      </c>
      <c r="H4942" t="s">
        <v>25</v>
      </c>
      <c r="I4942" t="s">
        <v>17</v>
      </c>
    </row>
    <row r="4943" spans="1:9" x14ac:dyDescent="0.25">
      <c r="A4943">
        <v>1814</v>
      </c>
      <c r="B4943">
        <f>A4943+1</f>
        <v>1815</v>
      </c>
      <c r="C4943" t="s">
        <v>520</v>
      </c>
      <c r="D4943" t="s">
        <v>26</v>
      </c>
      <c r="E4943" s="208" t="s">
        <v>386</v>
      </c>
      <c r="F4943" t="s">
        <v>13</v>
      </c>
      <c r="G4943" s="18">
        <v>200</v>
      </c>
      <c r="H4943" t="s">
        <v>25</v>
      </c>
      <c r="I4943" t="s">
        <v>17</v>
      </c>
    </row>
    <row r="4944" spans="1:9" x14ac:dyDescent="0.25">
      <c r="A4944">
        <v>1814</v>
      </c>
      <c r="B4944">
        <f>A4944+1</f>
        <v>1815</v>
      </c>
      <c r="C4944" t="s">
        <v>520</v>
      </c>
      <c r="D4944" t="s">
        <v>26</v>
      </c>
      <c r="E4944" s="208" t="s">
        <v>387</v>
      </c>
      <c r="F4944" t="s">
        <v>13</v>
      </c>
      <c r="G4944" s="18">
        <v>0</v>
      </c>
      <c r="H4944" t="s">
        <v>25</v>
      </c>
      <c r="I4944" t="s">
        <v>17</v>
      </c>
    </row>
    <row r="4945" spans="1:9" x14ac:dyDescent="0.25">
      <c r="A4945">
        <v>1814</v>
      </c>
      <c r="B4945">
        <f>A4945+1</f>
        <v>1815</v>
      </c>
      <c r="C4945" t="s">
        <v>520</v>
      </c>
      <c r="D4945" t="s">
        <v>26</v>
      </c>
      <c r="E4945" s="208" t="s">
        <v>388</v>
      </c>
      <c r="F4945" t="s">
        <v>13</v>
      </c>
      <c r="G4945" s="18">
        <v>3</v>
      </c>
      <c r="H4945" t="s">
        <v>25</v>
      </c>
      <c r="I4945" t="s">
        <v>17</v>
      </c>
    </row>
    <row r="4946" spans="1:9" x14ac:dyDescent="0.25">
      <c r="A4946">
        <v>1814</v>
      </c>
      <c r="B4946">
        <f>A4946+1</f>
        <v>1815</v>
      </c>
      <c r="C4946" t="s">
        <v>520</v>
      </c>
      <c r="D4946" t="s">
        <v>26</v>
      </c>
      <c r="E4946" s="208" t="s">
        <v>383</v>
      </c>
      <c r="F4946" t="s">
        <v>13</v>
      </c>
      <c r="G4946" s="18">
        <v>0</v>
      </c>
      <c r="H4946" t="s">
        <v>25</v>
      </c>
      <c r="I4946" t="s">
        <v>17</v>
      </c>
    </row>
    <row r="4947" spans="1:9" x14ac:dyDescent="0.25">
      <c r="A4947">
        <v>1814</v>
      </c>
      <c r="B4947">
        <f>A4947+1</f>
        <v>1815</v>
      </c>
      <c r="C4947" t="s">
        <v>520</v>
      </c>
      <c r="D4947" t="s">
        <v>26</v>
      </c>
      <c r="E4947" s="208" t="s">
        <v>384</v>
      </c>
      <c r="F4947" t="s">
        <v>13</v>
      </c>
      <c r="G4947" s="18">
        <v>0</v>
      </c>
      <c r="H4947" t="s">
        <v>25</v>
      </c>
      <c r="I4947" t="s">
        <v>17</v>
      </c>
    </row>
    <row r="4948" spans="1:9" x14ac:dyDescent="0.25">
      <c r="A4948">
        <v>1814</v>
      </c>
      <c r="B4948">
        <f>A4948+1</f>
        <v>1815</v>
      </c>
      <c r="C4948" t="s">
        <v>520</v>
      </c>
      <c r="D4948" t="s">
        <v>26</v>
      </c>
      <c r="E4948" s="208" t="s">
        <v>65</v>
      </c>
      <c r="F4948" t="s">
        <v>13</v>
      </c>
      <c r="G4948" s="18">
        <v>0</v>
      </c>
      <c r="H4948" t="s">
        <v>25</v>
      </c>
      <c r="I4948" t="s">
        <v>17</v>
      </c>
    </row>
    <row r="4949" spans="1:9" x14ac:dyDescent="0.25">
      <c r="A4949">
        <v>1814</v>
      </c>
      <c r="B4949">
        <f>A4949+1</f>
        <v>1815</v>
      </c>
      <c r="C4949" t="s">
        <v>520</v>
      </c>
      <c r="D4949" t="s">
        <v>26</v>
      </c>
      <c r="E4949" s="208" t="s">
        <v>88</v>
      </c>
      <c r="F4949" t="s">
        <v>13</v>
      </c>
      <c r="G4949" s="18">
        <v>0</v>
      </c>
      <c r="H4949" t="s">
        <v>25</v>
      </c>
      <c r="I4949" t="s">
        <v>17</v>
      </c>
    </row>
    <row r="4950" spans="1:9" x14ac:dyDescent="0.25">
      <c r="A4950">
        <v>1814</v>
      </c>
      <c r="B4950">
        <f>A4950+1</f>
        <v>1815</v>
      </c>
      <c r="C4950" t="s">
        <v>520</v>
      </c>
      <c r="D4950" t="s">
        <v>26</v>
      </c>
      <c r="E4950" s="208" t="s">
        <v>107</v>
      </c>
      <c r="F4950" t="s">
        <v>13</v>
      </c>
      <c r="G4950" s="18">
        <v>62818</v>
      </c>
      <c r="H4950" t="s">
        <v>25</v>
      </c>
      <c r="I4950" t="s">
        <v>17</v>
      </c>
    </row>
    <row r="4951" spans="1:9" x14ac:dyDescent="0.25">
      <c r="A4951">
        <v>1814</v>
      </c>
      <c r="B4951">
        <f>A4951+1</f>
        <v>1815</v>
      </c>
      <c r="C4951" t="s">
        <v>520</v>
      </c>
      <c r="D4951" t="s">
        <v>26</v>
      </c>
      <c r="E4951" s="208" t="s">
        <v>101</v>
      </c>
      <c r="F4951" t="s">
        <v>13</v>
      </c>
      <c r="G4951" s="18">
        <v>27000</v>
      </c>
      <c r="H4951" t="s">
        <v>25</v>
      </c>
      <c r="I4951" t="s">
        <v>17</v>
      </c>
    </row>
    <row r="4952" spans="1:9" x14ac:dyDescent="0.25">
      <c r="A4952">
        <v>1814</v>
      </c>
      <c r="B4952">
        <f>A4952+1</f>
        <v>1815</v>
      </c>
      <c r="C4952" t="s">
        <v>520</v>
      </c>
      <c r="D4952" t="s">
        <v>26</v>
      </c>
      <c r="E4952" s="208" t="s">
        <v>75</v>
      </c>
      <c r="F4952" t="s">
        <v>13</v>
      </c>
      <c r="G4952" s="18">
        <v>129811</v>
      </c>
      <c r="H4952" t="s">
        <v>25</v>
      </c>
      <c r="I4952" t="s">
        <v>17</v>
      </c>
    </row>
    <row r="4953" spans="1:9" x14ac:dyDescent="0.25">
      <c r="A4953">
        <v>1814</v>
      </c>
      <c r="B4953">
        <f>A4953+1</f>
        <v>1815</v>
      </c>
      <c r="C4953" t="s">
        <v>520</v>
      </c>
      <c r="D4953" t="s">
        <v>26</v>
      </c>
      <c r="E4953" s="208" t="s">
        <v>330</v>
      </c>
      <c r="F4953" t="s">
        <v>13</v>
      </c>
      <c r="G4953" s="18">
        <v>528</v>
      </c>
      <c r="H4953" t="s">
        <v>25</v>
      </c>
      <c r="I4953" t="s">
        <v>17</v>
      </c>
    </row>
    <row r="4954" spans="1:9" x14ac:dyDescent="0.25">
      <c r="A4954">
        <v>1814</v>
      </c>
      <c r="B4954">
        <f>A4954+1</f>
        <v>1815</v>
      </c>
      <c r="C4954" t="s">
        <v>520</v>
      </c>
      <c r="D4954" t="s">
        <v>26</v>
      </c>
      <c r="E4954" s="208" t="s">
        <v>331</v>
      </c>
      <c r="F4954" t="s">
        <v>13</v>
      </c>
      <c r="G4954" s="18">
        <v>451</v>
      </c>
      <c r="H4954" t="s">
        <v>25</v>
      </c>
      <c r="I4954" t="s">
        <v>17</v>
      </c>
    </row>
    <row r="4955" spans="1:9" x14ac:dyDescent="0.25">
      <c r="A4955">
        <v>1814</v>
      </c>
      <c r="B4955">
        <f>A4955+1</f>
        <v>1815</v>
      </c>
      <c r="C4955" t="s">
        <v>520</v>
      </c>
      <c r="D4955" t="s">
        <v>26</v>
      </c>
      <c r="E4955" s="208" t="s">
        <v>332</v>
      </c>
      <c r="F4955" t="s">
        <v>13</v>
      </c>
      <c r="G4955" s="18">
        <v>0</v>
      </c>
      <c r="H4955" t="s">
        <v>25</v>
      </c>
      <c r="I4955" t="s">
        <v>17</v>
      </c>
    </row>
    <row r="4956" spans="1:9" x14ac:dyDescent="0.25">
      <c r="A4956">
        <v>1814</v>
      </c>
      <c r="B4956">
        <f>A4956+1</f>
        <v>1815</v>
      </c>
      <c r="C4956" t="s">
        <v>520</v>
      </c>
      <c r="D4956" t="s">
        <v>26</v>
      </c>
      <c r="E4956" s="208" t="s">
        <v>333</v>
      </c>
      <c r="F4956" t="s">
        <v>13</v>
      </c>
      <c r="G4956" s="18">
        <v>2308</v>
      </c>
      <c r="H4956" t="s">
        <v>25</v>
      </c>
      <c r="I4956" t="s">
        <v>17</v>
      </c>
    </row>
    <row r="4957" spans="1:9" x14ac:dyDescent="0.25">
      <c r="A4957">
        <v>1814</v>
      </c>
      <c r="B4957">
        <f>A4957+1</f>
        <v>1815</v>
      </c>
      <c r="C4957" t="s">
        <v>520</v>
      </c>
      <c r="D4957" t="s">
        <v>27</v>
      </c>
      <c r="E4957" s="208" t="s">
        <v>155</v>
      </c>
      <c r="F4957" t="s">
        <v>11</v>
      </c>
      <c r="G4957" s="18">
        <v>62</v>
      </c>
      <c r="H4957" t="s">
        <v>17</v>
      </c>
      <c r="I4957" t="s">
        <v>23</v>
      </c>
    </row>
    <row r="4958" spans="1:9" x14ac:dyDescent="0.25">
      <c r="A4958">
        <v>1814</v>
      </c>
      <c r="B4958">
        <f>A4958+1</f>
        <v>1815</v>
      </c>
      <c r="C4958" t="s">
        <v>520</v>
      </c>
      <c r="D4958" t="s">
        <v>27</v>
      </c>
      <c r="E4958" s="208" t="s">
        <v>156</v>
      </c>
      <c r="F4958" t="s">
        <v>11</v>
      </c>
      <c r="G4958" s="18">
        <v>83</v>
      </c>
      <c r="H4958" t="s">
        <v>17</v>
      </c>
      <c r="I4958" t="s">
        <v>23</v>
      </c>
    </row>
    <row r="4959" spans="1:9" x14ac:dyDescent="0.25">
      <c r="A4959">
        <v>1814</v>
      </c>
      <c r="B4959">
        <f>A4959+1</f>
        <v>1815</v>
      </c>
      <c r="C4959" t="s">
        <v>520</v>
      </c>
      <c r="D4959" t="s">
        <v>27</v>
      </c>
      <c r="E4959" s="208" t="s">
        <v>154</v>
      </c>
      <c r="F4959" t="s">
        <v>11</v>
      </c>
      <c r="G4959" s="18">
        <v>69</v>
      </c>
      <c r="H4959" t="s">
        <v>17</v>
      </c>
      <c r="I4959" t="s">
        <v>23</v>
      </c>
    </row>
    <row r="4960" spans="1:9" x14ac:dyDescent="0.25">
      <c r="A4960">
        <v>1814</v>
      </c>
      <c r="B4960">
        <f>A4960+1</f>
        <v>1815</v>
      </c>
      <c r="C4960" t="s">
        <v>520</v>
      </c>
      <c r="D4960" t="s">
        <v>27</v>
      </c>
      <c r="E4960" s="208" t="s">
        <v>150</v>
      </c>
      <c r="F4960" t="s">
        <v>11</v>
      </c>
      <c r="G4960" s="18">
        <v>2736</v>
      </c>
      <c r="H4960" t="s">
        <v>17</v>
      </c>
      <c r="I4960" t="s">
        <v>23</v>
      </c>
    </row>
    <row r="4961" spans="1:9" x14ac:dyDescent="0.25">
      <c r="A4961">
        <v>1814</v>
      </c>
      <c r="B4961">
        <f>A4961+1</f>
        <v>1815</v>
      </c>
      <c r="C4961" t="s">
        <v>520</v>
      </c>
      <c r="D4961" t="s">
        <v>27</v>
      </c>
      <c r="E4961" s="208" t="s">
        <v>148</v>
      </c>
      <c r="F4961" t="s">
        <v>11</v>
      </c>
      <c r="G4961" s="18">
        <v>3</v>
      </c>
      <c r="H4961" t="s">
        <v>17</v>
      </c>
      <c r="I4961" t="s">
        <v>23</v>
      </c>
    </row>
    <row r="4962" spans="1:9" x14ac:dyDescent="0.25">
      <c r="A4962">
        <v>1814</v>
      </c>
      <c r="B4962">
        <f>A4962+1</f>
        <v>1815</v>
      </c>
      <c r="C4962" t="s">
        <v>520</v>
      </c>
      <c r="D4962" t="s">
        <v>27</v>
      </c>
      <c r="E4962" s="208" t="s">
        <v>147</v>
      </c>
      <c r="F4962" t="s">
        <v>11</v>
      </c>
      <c r="G4962" s="18">
        <v>0</v>
      </c>
      <c r="H4962" t="s">
        <v>17</v>
      </c>
      <c r="I4962" t="s">
        <v>23</v>
      </c>
    </row>
    <row r="4963" spans="1:9" x14ac:dyDescent="0.25">
      <c r="A4963">
        <v>1814</v>
      </c>
      <c r="B4963">
        <f>A4963+1</f>
        <v>1815</v>
      </c>
      <c r="C4963" t="s">
        <v>520</v>
      </c>
      <c r="D4963" t="s">
        <v>27</v>
      </c>
      <c r="E4963" s="208" t="s">
        <v>314</v>
      </c>
      <c r="F4963" t="s">
        <v>11</v>
      </c>
      <c r="G4963" s="18">
        <v>0</v>
      </c>
      <c r="H4963" t="s">
        <v>17</v>
      </c>
      <c r="I4963" t="s">
        <v>23</v>
      </c>
    </row>
    <row r="4964" spans="1:9" x14ac:dyDescent="0.25">
      <c r="A4964">
        <v>1814</v>
      </c>
      <c r="B4964">
        <f>A4964+1</f>
        <v>1815</v>
      </c>
      <c r="C4964" t="s">
        <v>520</v>
      </c>
      <c r="D4964" t="s">
        <v>27</v>
      </c>
      <c r="E4964" s="208" t="s">
        <v>139</v>
      </c>
      <c r="F4964" t="s">
        <v>11</v>
      </c>
      <c r="G4964" s="18">
        <v>58</v>
      </c>
      <c r="H4964" t="s">
        <v>17</v>
      </c>
      <c r="I4964" t="s">
        <v>23</v>
      </c>
    </row>
    <row r="4965" spans="1:9" x14ac:dyDescent="0.25">
      <c r="A4965">
        <v>1814</v>
      </c>
      <c r="B4965">
        <f>A4965+1</f>
        <v>1815</v>
      </c>
      <c r="C4965" t="s">
        <v>520</v>
      </c>
      <c r="D4965" t="s">
        <v>27</v>
      </c>
      <c r="E4965" s="208" t="s">
        <v>132</v>
      </c>
      <c r="F4965" t="s">
        <v>11</v>
      </c>
      <c r="G4965" s="18">
        <v>8</v>
      </c>
      <c r="H4965" t="s">
        <v>17</v>
      </c>
      <c r="I4965" t="s">
        <v>23</v>
      </c>
    </row>
    <row r="4966" spans="1:9" x14ac:dyDescent="0.25">
      <c r="A4966">
        <v>1814</v>
      </c>
      <c r="B4966">
        <f>A4966+1</f>
        <v>1815</v>
      </c>
      <c r="C4966" t="s">
        <v>520</v>
      </c>
      <c r="D4966" t="s">
        <v>27</v>
      </c>
      <c r="E4966" s="208" t="s">
        <v>130</v>
      </c>
      <c r="F4966" t="s">
        <v>11</v>
      </c>
      <c r="G4966" s="18">
        <v>55</v>
      </c>
      <c r="H4966" t="s">
        <v>17</v>
      </c>
      <c r="I4966" t="s">
        <v>23</v>
      </c>
    </row>
    <row r="4967" spans="1:9" x14ac:dyDescent="0.25">
      <c r="A4967">
        <v>1814</v>
      </c>
      <c r="B4967">
        <f>A4967+1</f>
        <v>1815</v>
      </c>
      <c r="C4967" t="s">
        <v>520</v>
      </c>
      <c r="D4967" t="s">
        <v>27</v>
      </c>
      <c r="E4967" s="208" t="s">
        <v>144</v>
      </c>
      <c r="F4967" t="s">
        <v>11</v>
      </c>
      <c r="G4967" s="18">
        <v>52</v>
      </c>
      <c r="H4967" t="s">
        <v>17</v>
      </c>
      <c r="I4967" t="s">
        <v>23</v>
      </c>
    </row>
    <row r="4968" spans="1:9" x14ac:dyDescent="0.25">
      <c r="A4968">
        <v>1814</v>
      </c>
      <c r="B4968">
        <f>A4968+1</f>
        <v>1815</v>
      </c>
      <c r="C4968" t="s">
        <v>520</v>
      </c>
      <c r="D4968" t="s">
        <v>27</v>
      </c>
      <c r="E4968" s="208" t="s">
        <v>142</v>
      </c>
      <c r="F4968" t="s">
        <v>11</v>
      </c>
      <c r="G4968" s="18">
        <v>3184</v>
      </c>
      <c r="H4968" t="s">
        <v>17</v>
      </c>
      <c r="I4968" t="s">
        <v>23</v>
      </c>
    </row>
    <row r="4969" spans="1:9" x14ac:dyDescent="0.25">
      <c r="A4969">
        <v>1814</v>
      </c>
      <c r="B4969">
        <f>A4969+1</f>
        <v>1815</v>
      </c>
      <c r="C4969" t="s">
        <v>520</v>
      </c>
      <c r="D4969" t="s">
        <v>27</v>
      </c>
      <c r="E4969" s="208" t="s">
        <v>124</v>
      </c>
      <c r="F4969" t="s">
        <v>11</v>
      </c>
      <c r="G4969" s="18">
        <v>57629</v>
      </c>
      <c r="H4969" t="s">
        <v>17</v>
      </c>
      <c r="I4969" t="s">
        <v>23</v>
      </c>
    </row>
    <row r="4970" spans="1:9" x14ac:dyDescent="0.25">
      <c r="A4970">
        <v>1814</v>
      </c>
      <c r="B4970">
        <f>A4970+1</f>
        <v>1815</v>
      </c>
      <c r="C4970" t="s">
        <v>520</v>
      </c>
      <c r="D4970" t="s">
        <v>26</v>
      </c>
      <c r="E4970" s="208" t="s">
        <v>62</v>
      </c>
      <c r="F4970" t="s">
        <v>11</v>
      </c>
      <c r="G4970" s="18">
        <v>1243</v>
      </c>
      <c r="H4970" t="s">
        <v>23</v>
      </c>
      <c r="I4970" t="s">
        <v>17</v>
      </c>
    </row>
    <row r="4971" spans="1:9" x14ac:dyDescent="0.25">
      <c r="A4971">
        <v>1814</v>
      </c>
      <c r="B4971">
        <f>A4971+1</f>
        <v>1815</v>
      </c>
      <c r="C4971" t="s">
        <v>520</v>
      </c>
      <c r="D4971" t="s">
        <v>26</v>
      </c>
      <c r="E4971" s="208" t="s">
        <v>36</v>
      </c>
      <c r="F4971" t="s">
        <v>11</v>
      </c>
      <c r="G4971" s="18">
        <v>413</v>
      </c>
      <c r="H4971" t="s">
        <v>23</v>
      </c>
      <c r="I4971" t="s">
        <v>17</v>
      </c>
    </row>
    <row r="4972" spans="1:9" x14ac:dyDescent="0.25">
      <c r="A4972">
        <v>1814</v>
      </c>
      <c r="B4972">
        <f>A4972+1</f>
        <v>1815</v>
      </c>
      <c r="C4972" t="s">
        <v>520</v>
      </c>
      <c r="D4972" t="s">
        <v>26</v>
      </c>
      <c r="E4972" s="208" t="s">
        <v>35</v>
      </c>
      <c r="F4972" t="s">
        <v>11</v>
      </c>
      <c r="G4972" s="18">
        <v>0</v>
      </c>
      <c r="H4972" t="s">
        <v>23</v>
      </c>
      <c r="I4972" t="s">
        <v>17</v>
      </c>
    </row>
    <row r="4973" spans="1:9" x14ac:dyDescent="0.25">
      <c r="A4973">
        <v>1814</v>
      </c>
      <c r="B4973">
        <f>A4973+1</f>
        <v>1815</v>
      </c>
      <c r="C4973" t="s">
        <v>520</v>
      </c>
      <c r="D4973" t="s">
        <v>26</v>
      </c>
      <c r="E4973" s="208" t="s">
        <v>39</v>
      </c>
      <c r="F4973" t="s">
        <v>11</v>
      </c>
      <c r="G4973" s="18">
        <v>290</v>
      </c>
      <c r="H4973" t="s">
        <v>23</v>
      </c>
      <c r="I4973" t="s">
        <v>17</v>
      </c>
    </row>
    <row r="4974" spans="1:9" x14ac:dyDescent="0.25">
      <c r="A4974">
        <v>1814</v>
      </c>
      <c r="B4974">
        <f>A4974+1</f>
        <v>1815</v>
      </c>
      <c r="C4974" t="s">
        <v>520</v>
      </c>
      <c r="D4974" t="s">
        <v>26</v>
      </c>
      <c r="E4974" s="208" t="s">
        <v>99</v>
      </c>
      <c r="F4974" t="s">
        <v>11</v>
      </c>
      <c r="G4974" s="18">
        <v>85</v>
      </c>
      <c r="H4974" t="s">
        <v>23</v>
      </c>
      <c r="I4974" t="s">
        <v>17</v>
      </c>
    </row>
    <row r="4975" spans="1:9" x14ac:dyDescent="0.25">
      <c r="A4975">
        <v>1814</v>
      </c>
      <c r="B4975">
        <f>A4975+1</f>
        <v>1815</v>
      </c>
      <c r="C4975" t="s">
        <v>520</v>
      </c>
      <c r="D4975" t="s">
        <v>26</v>
      </c>
      <c r="E4975" s="208" t="s">
        <v>95</v>
      </c>
      <c r="F4975" t="s">
        <v>11</v>
      </c>
      <c r="G4975" s="18">
        <v>85</v>
      </c>
      <c r="H4975" t="s">
        <v>23</v>
      </c>
      <c r="I4975" t="s">
        <v>17</v>
      </c>
    </row>
    <row r="4976" spans="1:9" x14ac:dyDescent="0.25">
      <c r="A4976">
        <v>1814</v>
      </c>
      <c r="B4976">
        <f>A4976+1</f>
        <v>1815</v>
      </c>
      <c r="C4976" t="s">
        <v>520</v>
      </c>
      <c r="D4976" t="s">
        <v>26</v>
      </c>
      <c r="E4976" s="208" t="s">
        <v>94</v>
      </c>
      <c r="F4976" t="s">
        <v>11</v>
      </c>
      <c r="G4976" s="18">
        <v>0</v>
      </c>
      <c r="H4976" t="s">
        <v>23</v>
      </c>
      <c r="I4976" t="s">
        <v>17</v>
      </c>
    </row>
    <row r="4977" spans="1:9" x14ac:dyDescent="0.25">
      <c r="A4977">
        <v>1814</v>
      </c>
      <c r="B4977">
        <f>A4977+1</f>
        <v>1815</v>
      </c>
      <c r="C4977" t="s">
        <v>520</v>
      </c>
      <c r="D4977" t="s">
        <v>26</v>
      </c>
      <c r="E4977" s="208" t="s">
        <v>386</v>
      </c>
      <c r="F4977" t="s">
        <v>11</v>
      </c>
      <c r="G4977" s="18">
        <v>1530</v>
      </c>
      <c r="H4977" t="s">
        <v>23</v>
      </c>
      <c r="I4977" t="s">
        <v>17</v>
      </c>
    </row>
    <row r="4978" spans="1:9" x14ac:dyDescent="0.25">
      <c r="A4978">
        <v>1814</v>
      </c>
      <c r="B4978">
        <f>A4978+1</f>
        <v>1815</v>
      </c>
      <c r="C4978" t="s">
        <v>520</v>
      </c>
      <c r="D4978" t="s">
        <v>26</v>
      </c>
      <c r="E4978" s="208" t="s">
        <v>387</v>
      </c>
      <c r="F4978" t="s">
        <v>11</v>
      </c>
      <c r="G4978" s="18">
        <v>197</v>
      </c>
      <c r="H4978" t="s">
        <v>23</v>
      </c>
      <c r="I4978" t="s">
        <v>17</v>
      </c>
    </row>
    <row r="4979" spans="1:9" x14ac:dyDescent="0.25">
      <c r="A4979">
        <v>1814</v>
      </c>
      <c r="B4979">
        <f>A4979+1</f>
        <v>1815</v>
      </c>
      <c r="C4979" t="s">
        <v>520</v>
      </c>
      <c r="D4979" t="s">
        <v>26</v>
      </c>
      <c r="E4979" s="208" t="s">
        <v>388</v>
      </c>
      <c r="F4979" t="s">
        <v>11</v>
      </c>
      <c r="G4979" s="18">
        <v>515</v>
      </c>
      <c r="H4979" t="s">
        <v>23</v>
      </c>
      <c r="I4979" t="s">
        <v>17</v>
      </c>
    </row>
    <row r="4980" spans="1:9" x14ac:dyDescent="0.25">
      <c r="A4980">
        <v>1814</v>
      </c>
      <c r="B4980">
        <f>A4980+1</f>
        <v>1815</v>
      </c>
      <c r="C4980" t="s">
        <v>520</v>
      </c>
      <c r="D4980" t="s">
        <v>26</v>
      </c>
      <c r="E4980" s="208" t="s">
        <v>383</v>
      </c>
      <c r="F4980" t="s">
        <v>11</v>
      </c>
      <c r="G4980" s="18">
        <v>66</v>
      </c>
      <c r="H4980" t="s">
        <v>23</v>
      </c>
      <c r="I4980" t="s">
        <v>17</v>
      </c>
    </row>
    <row r="4981" spans="1:9" x14ac:dyDescent="0.25">
      <c r="A4981">
        <v>1814</v>
      </c>
      <c r="B4981">
        <f>A4981+1</f>
        <v>1815</v>
      </c>
      <c r="C4981" t="s">
        <v>520</v>
      </c>
      <c r="D4981" t="s">
        <v>26</v>
      </c>
      <c r="E4981" s="208" t="s">
        <v>384</v>
      </c>
      <c r="F4981" t="s">
        <v>11</v>
      </c>
      <c r="G4981" s="18">
        <v>0</v>
      </c>
      <c r="H4981" t="s">
        <v>23</v>
      </c>
      <c r="I4981" t="s">
        <v>17</v>
      </c>
    </row>
    <row r="4982" spans="1:9" x14ac:dyDescent="0.25">
      <c r="A4982">
        <v>1814</v>
      </c>
      <c r="B4982">
        <f>A4982+1</f>
        <v>1815</v>
      </c>
      <c r="C4982" t="s">
        <v>520</v>
      </c>
      <c r="D4982" t="s">
        <v>26</v>
      </c>
      <c r="E4982" s="208" t="s">
        <v>65</v>
      </c>
      <c r="F4982" t="s">
        <v>11</v>
      </c>
      <c r="G4982" s="18">
        <v>0</v>
      </c>
      <c r="H4982" t="s">
        <v>23</v>
      </c>
      <c r="I4982" t="s">
        <v>17</v>
      </c>
    </row>
    <row r="4983" spans="1:9" x14ac:dyDescent="0.25">
      <c r="A4983">
        <v>1814</v>
      </c>
      <c r="B4983">
        <f>A4983+1</f>
        <v>1815</v>
      </c>
      <c r="C4983" t="s">
        <v>520</v>
      </c>
      <c r="D4983" t="s">
        <v>26</v>
      </c>
      <c r="E4983" s="208" t="s">
        <v>88</v>
      </c>
      <c r="F4983" t="s">
        <v>11</v>
      </c>
      <c r="G4983" s="18">
        <v>0</v>
      </c>
      <c r="H4983" t="s">
        <v>23</v>
      </c>
      <c r="I4983" t="s">
        <v>17</v>
      </c>
    </row>
    <row r="4984" spans="1:9" x14ac:dyDescent="0.25">
      <c r="A4984">
        <v>1814</v>
      </c>
      <c r="B4984">
        <f>A4984+1</f>
        <v>1815</v>
      </c>
      <c r="C4984" t="s">
        <v>520</v>
      </c>
      <c r="D4984" t="s">
        <v>26</v>
      </c>
      <c r="E4984" s="208" t="s">
        <v>107</v>
      </c>
      <c r="F4984" t="s">
        <v>11</v>
      </c>
      <c r="G4984" s="18">
        <v>360945</v>
      </c>
      <c r="H4984" t="s">
        <v>23</v>
      </c>
      <c r="I4984" t="s">
        <v>17</v>
      </c>
    </row>
    <row r="4985" spans="1:9" x14ac:dyDescent="0.25">
      <c r="A4985">
        <v>1814</v>
      </c>
      <c r="B4985">
        <f>A4985+1</f>
        <v>1815</v>
      </c>
      <c r="C4985" t="s">
        <v>520</v>
      </c>
      <c r="D4985" t="s">
        <v>26</v>
      </c>
      <c r="E4985" s="208" t="s">
        <v>101</v>
      </c>
      <c r="F4985" t="s">
        <v>11</v>
      </c>
      <c r="G4985" s="18">
        <v>105000</v>
      </c>
      <c r="H4985" t="s">
        <v>23</v>
      </c>
      <c r="I4985" t="s">
        <v>17</v>
      </c>
    </row>
    <row r="4986" spans="1:9" x14ac:dyDescent="0.25">
      <c r="A4986">
        <v>1814</v>
      </c>
      <c r="B4986">
        <f>A4986+1</f>
        <v>1815</v>
      </c>
      <c r="C4986" t="s">
        <v>520</v>
      </c>
      <c r="D4986" t="s">
        <v>26</v>
      </c>
      <c r="E4986" s="208" t="s">
        <v>75</v>
      </c>
      <c r="F4986" t="s">
        <v>11</v>
      </c>
      <c r="G4986" s="18">
        <v>46580</v>
      </c>
      <c r="H4986" t="s">
        <v>23</v>
      </c>
      <c r="I4986" t="s">
        <v>17</v>
      </c>
    </row>
    <row r="4987" spans="1:9" x14ac:dyDescent="0.25">
      <c r="A4987">
        <v>1814</v>
      </c>
      <c r="B4987">
        <f>A4987+1</f>
        <v>1815</v>
      </c>
      <c r="C4987" t="s">
        <v>520</v>
      </c>
      <c r="D4987" t="s">
        <v>26</v>
      </c>
      <c r="E4987" s="208" t="s">
        <v>330</v>
      </c>
      <c r="F4987" t="s">
        <v>11</v>
      </c>
      <c r="G4987" s="18">
        <v>0</v>
      </c>
      <c r="H4987" t="s">
        <v>23</v>
      </c>
      <c r="I4987" t="s">
        <v>17</v>
      </c>
    </row>
    <row r="4988" spans="1:9" x14ac:dyDescent="0.25">
      <c r="A4988">
        <v>1814</v>
      </c>
      <c r="B4988">
        <f>A4988+1</f>
        <v>1815</v>
      </c>
      <c r="C4988" t="s">
        <v>520</v>
      </c>
      <c r="D4988" t="s">
        <v>26</v>
      </c>
      <c r="E4988" s="208" t="s">
        <v>331</v>
      </c>
      <c r="F4988" t="s">
        <v>11</v>
      </c>
      <c r="G4988" s="18">
        <v>0</v>
      </c>
      <c r="H4988" t="s">
        <v>23</v>
      </c>
      <c r="I4988" t="s">
        <v>17</v>
      </c>
    </row>
    <row r="4989" spans="1:9" x14ac:dyDescent="0.25">
      <c r="A4989">
        <v>1814</v>
      </c>
      <c r="B4989">
        <f>A4989+1</f>
        <v>1815</v>
      </c>
      <c r="C4989" t="s">
        <v>520</v>
      </c>
      <c r="D4989" t="s">
        <v>26</v>
      </c>
      <c r="E4989" s="208" t="s">
        <v>332</v>
      </c>
      <c r="F4989" t="s">
        <v>11</v>
      </c>
      <c r="G4989" s="18">
        <v>0</v>
      </c>
      <c r="H4989" t="s">
        <v>23</v>
      </c>
      <c r="I4989" t="s">
        <v>17</v>
      </c>
    </row>
    <row r="4990" spans="1:9" x14ac:dyDescent="0.25">
      <c r="A4990">
        <v>1814</v>
      </c>
      <c r="B4990">
        <f>A4990+1</f>
        <v>1815</v>
      </c>
      <c r="C4990" t="s">
        <v>520</v>
      </c>
      <c r="D4990" t="s">
        <v>26</v>
      </c>
      <c r="E4990" s="208" t="s">
        <v>333</v>
      </c>
      <c r="F4990" t="s">
        <v>11</v>
      </c>
      <c r="G4990" s="18">
        <v>0</v>
      </c>
      <c r="H4990" t="s">
        <v>23</v>
      </c>
      <c r="I4990" t="s">
        <v>17</v>
      </c>
    </row>
    <row r="4991" spans="1:9" x14ac:dyDescent="0.25">
      <c r="A4991">
        <v>1814</v>
      </c>
      <c r="B4991">
        <f>A4991+1</f>
        <v>1815</v>
      </c>
      <c r="C4991" t="s">
        <v>520</v>
      </c>
      <c r="D4991" t="s">
        <v>27</v>
      </c>
      <c r="E4991" s="208" t="s">
        <v>155</v>
      </c>
      <c r="F4991" t="s">
        <v>14</v>
      </c>
      <c r="G4991" s="18">
        <v>93270</v>
      </c>
      <c r="H4991" t="s">
        <v>17</v>
      </c>
      <c r="I4991" s="151" t="s">
        <v>562</v>
      </c>
    </row>
    <row r="4992" spans="1:9" x14ac:dyDescent="0.25">
      <c r="A4992">
        <v>1814</v>
      </c>
      <c r="B4992">
        <f>A4992+1</f>
        <v>1815</v>
      </c>
      <c r="C4992" t="s">
        <v>520</v>
      </c>
      <c r="D4992" t="s">
        <v>27</v>
      </c>
      <c r="E4992" s="208" t="s">
        <v>156</v>
      </c>
      <c r="F4992" t="s">
        <v>14</v>
      </c>
      <c r="G4992" s="18">
        <v>10113</v>
      </c>
      <c r="H4992" t="s">
        <v>17</v>
      </c>
      <c r="I4992" s="151" t="s">
        <v>562</v>
      </c>
    </row>
    <row r="4993" spans="1:9" x14ac:dyDescent="0.25">
      <c r="A4993">
        <v>1814</v>
      </c>
      <c r="B4993">
        <f>A4993+1</f>
        <v>1815</v>
      </c>
      <c r="C4993" t="s">
        <v>520</v>
      </c>
      <c r="D4993" t="s">
        <v>27</v>
      </c>
      <c r="E4993" s="208" t="s">
        <v>154</v>
      </c>
      <c r="F4993" t="s">
        <v>14</v>
      </c>
      <c r="G4993" s="18">
        <v>1145</v>
      </c>
      <c r="H4993" t="s">
        <v>17</v>
      </c>
      <c r="I4993" s="151" t="s">
        <v>562</v>
      </c>
    </row>
    <row r="4994" spans="1:9" x14ac:dyDescent="0.25">
      <c r="A4994">
        <v>1814</v>
      </c>
      <c r="B4994">
        <f>A4994+1</f>
        <v>1815</v>
      </c>
      <c r="C4994" t="s">
        <v>520</v>
      </c>
      <c r="D4994" t="s">
        <v>27</v>
      </c>
      <c r="E4994" s="208" t="s">
        <v>150</v>
      </c>
      <c r="F4994" t="s">
        <v>14</v>
      </c>
      <c r="G4994" s="18">
        <v>41076</v>
      </c>
      <c r="H4994" t="s">
        <v>17</v>
      </c>
      <c r="I4994" s="151" t="s">
        <v>562</v>
      </c>
    </row>
    <row r="4995" spans="1:9" x14ac:dyDescent="0.25">
      <c r="A4995">
        <v>1814</v>
      </c>
      <c r="B4995">
        <f>A4995+1</f>
        <v>1815</v>
      </c>
      <c r="C4995" t="s">
        <v>520</v>
      </c>
      <c r="D4995" t="s">
        <v>27</v>
      </c>
      <c r="E4995" s="208" t="s">
        <v>148</v>
      </c>
      <c r="F4995" t="s">
        <v>14</v>
      </c>
      <c r="G4995" s="18">
        <v>651</v>
      </c>
      <c r="H4995" t="s">
        <v>17</v>
      </c>
      <c r="I4995" s="151" t="s">
        <v>562</v>
      </c>
    </row>
    <row r="4996" spans="1:9" x14ac:dyDescent="0.25">
      <c r="A4996">
        <v>1814</v>
      </c>
      <c r="B4996">
        <f>A4996+1</f>
        <v>1815</v>
      </c>
      <c r="C4996" t="s">
        <v>520</v>
      </c>
      <c r="D4996" t="s">
        <v>27</v>
      </c>
      <c r="E4996" s="208" t="s">
        <v>147</v>
      </c>
      <c r="F4996" t="s">
        <v>14</v>
      </c>
      <c r="G4996" s="18">
        <v>5</v>
      </c>
      <c r="H4996" t="s">
        <v>17</v>
      </c>
      <c r="I4996" s="151" t="s">
        <v>562</v>
      </c>
    </row>
    <row r="4997" spans="1:9" x14ac:dyDescent="0.25">
      <c r="A4997">
        <v>1814</v>
      </c>
      <c r="B4997">
        <f>A4997+1</f>
        <v>1815</v>
      </c>
      <c r="C4997" t="s">
        <v>520</v>
      </c>
      <c r="D4997" t="s">
        <v>27</v>
      </c>
      <c r="E4997" s="208" t="s">
        <v>314</v>
      </c>
      <c r="F4997" t="s">
        <v>14</v>
      </c>
      <c r="G4997" s="18">
        <v>5</v>
      </c>
      <c r="H4997" t="s">
        <v>17</v>
      </c>
      <c r="I4997" s="151" t="s">
        <v>562</v>
      </c>
    </row>
    <row r="4998" spans="1:9" x14ac:dyDescent="0.25">
      <c r="A4998">
        <v>1814</v>
      </c>
      <c r="B4998">
        <f>A4998+1</f>
        <v>1815</v>
      </c>
      <c r="C4998" t="s">
        <v>520</v>
      </c>
      <c r="D4998" t="s">
        <v>27</v>
      </c>
      <c r="E4998" s="208" t="s">
        <v>149</v>
      </c>
      <c r="F4998" t="s">
        <v>14</v>
      </c>
      <c r="G4998" s="18">
        <v>0</v>
      </c>
      <c r="H4998" t="s">
        <v>17</v>
      </c>
      <c r="I4998" s="151" t="s">
        <v>562</v>
      </c>
    </row>
    <row r="4999" spans="1:9" x14ac:dyDescent="0.25">
      <c r="A4999">
        <v>1814</v>
      </c>
      <c r="B4999">
        <f>A4999+1</f>
        <v>1815</v>
      </c>
      <c r="C4999" t="s">
        <v>520</v>
      </c>
      <c r="D4999" t="s">
        <v>27</v>
      </c>
      <c r="E4999" s="208" t="s">
        <v>139</v>
      </c>
      <c r="F4999" t="s">
        <v>14</v>
      </c>
      <c r="G4999" s="18">
        <v>203</v>
      </c>
      <c r="H4999" t="s">
        <v>17</v>
      </c>
      <c r="I4999" s="151" t="s">
        <v>562</v>
      </c>
    </row>
    <row r="5000" spans="1:9" x14ac:dyDescent="0.25">
      <c r="A5000">
        <v>1814</v>
      </c>
      <c r="B5000">
        <f>A5000+1</f>
        <v>1815</v>
      </c>
      <c r="C5000" t="s">
        <v>520</v>
      </c>
      <c r="D5000" t="s">
        <v>27</v>
      </c>
      <c r="E5000" s="208" t="s">
        <v>132</v>
      </c>
      <c r="F5000" t="s">
        <v>14</v>
      </c>
      <c r="G5000" s="18">
        <v>580</v>
      </c>
      <c r="H5000" t="s">
        <v>17</v>
      </c>
      <c r="I5000" s="151" t="s">
        <v>562</v>
      </c>
    </row>
    <row r="5001" spans="1:9" x14ac:dyDescent="0.25">
      <c r="A5001">
        <v>1814</v>
      </c>
      <c r="B5001">
        <f>A5001+1</f>
        <v>1815</v>
      </c>
      <c r="C5001" t="s">
        <v>520</v>
      </c>
      <c r="D5001" t="s">
        <v>27</v>
      </c>
      <c r="E5001" s="208" t="s">
        <v>130</v>
      </c>
      <c r="F5001" t="s">
        <v>14</v>
      </c>
      <c r="G5001" s="18">
        <v>949</v>
      </c>
      <c r="H5001" t="s">
        <v>17</v>
      </c>
      <c r="I5001" s="151" t="s">
        <v>562</v>
      </c>
    </row>
    <row r="5002" spans="1:9" x14ac:dyDescent="0.25">
      <c r="A5002">
        <v>1814</v>
      </c>
      <c r="B5002">
        <f>A5002+1</f>
        <v>1815</v>
      </c>
      <c r="C5002" t="s">
        <v>520</v>
      </c>
      <c r="D5002" t="s">
        <v>27</v>
      </c>
      <c r="E5002" s="208" t="s">
        <v>144</v>
      </c>
      <c r="F5002" t="s">
        <v>14</v>
      </c>
      <c r="G5002" s="18">
        <v>576</v>
      </c>
      <c r="H5002" t="s">
        <v>17</v>
      </c>
      <c r="I5002" s="151" t="s">
        <v>562</v>
      </c>
    </row>
    <row r="5003" spans="1:9" x14ac:dyDescent="0.25">
      <c r="A5003">
        <v>1814</v>
      </c>
      <c r="B5003">
        <f>A5003+1</f>
        <v>1815</v>
      </c>
      <c r="C5003" t="s">
        <v>520</v>
      </c>
      <c r="D5003" t="s">
        <v>27</v>
      </c>
      <c r="E5003" s="208" t="s">
        <v>142</v>
      </c>
      <c r="F5003" t="s">
        <v>14</v>
      </c>
      <c r="G5003" s="18">
        <v>25553</v>
      </c>
      <c r="H5003" t="s">
        <v>17</v>
      </c>
      <c r="I5003" s="151" t="s">
        <v>562</v>
      </c>
    </row>
    <row r="5004" spans="1:9" x14ac:dyDescent="0.25">
      <c r="A5004">
        <v>1814</v>
      </c>
      <c r="B5004">
        <f>A5004+1</f>
        <v>1815</v>
      </c>
      <c r="C5004" t="s">
        <v>520</v>
      </c>
      <c r="D5004" t="s">
        <v>27</v>
      </c>
      <c r="E5004" s="208" t="s">
        <v>124</v>
      </c>
      <c r="F5004" t="s">
        <v>14</v>
      </c>
      <c r="G5004" s="18">
        <v>14002004</v>
      </c>
      <c r="H5004" t="s">
        <v>17</v>
      </c>
      <c r="I5004" s="151" t="s">
        <v>562</v>
      </c>
    </row>
    <row r="5005" spans="1:9" x14ac:dyDescent="0.25">
      <c r="A5005">
        <v>1814</v>
      </c>
      <c r="B5005">
        <f>A5005+1</f>
        <v>1815</v>
      </c>
      <c r="C5005" t="s">
        <v>520</v>
      </c>
      <c r="D5005" t="s">
        <v>26</v>
      </c>
      <c r="E5005" s="208" t="s">
        <v>62</v>
      </c>
      <c r="F5005" t="s">
        <v>14</v>
      </c>
      <c r="G5005" s="18">
        <v>5268</v>
      </c>
      <c r="H5005" s="151" t="s">
        <v>563</v>
      </c>
      <c r="I5005" t="s">
        <v>17</v>
      </c>
    </row>
    <row r="5006" spans="1:9" x14ac:dyDescent="0.25">
      <c r="A5006">
        <v>1814</v>
      </c>
      <c r="B5006">
        <f>A5006+1</f>
        <v>1815</v>
      </c>
      <c r="C5006" t="s">
        <v>520</v>
      </c>
      <c r="D5006" t="s">
        <v>26</v>
      </c>
      <c r="E5006" s="208" t="s">
        <v>36</v>
      </c>
      <c r="F5006" t="s">
        <v>14</v>
      </c>
      <c r="G5006" s="18">
        <v>541</v>
      </c>
      <c r="H5006" s="151" t="s">
        <v>563</v>
      </c>
      <c r="I5006" t="s">
        <v>17</v>
      </c>
    </row>
    <row r="5007" spans="1:9" x14ac:dyDescent="0.25">
      <c r="A5007">
        <v>1814</v>
      </c>
      <c r="B5007">
        <f>A5007+1</f>
        <v>1815</v>
      </c>
      <c r="C5007" t="s">
        <v>520</v>
      </c>
      <c r="D5007" t="s">
        <v>26</v>
      </c>
      <c r="E5007" s="208" t="s">
        <v>35</v>
      </c>
      <c r="F5007" t="s">
        <v>14</v>
      </c>
      <c r="G5007" s="18">
        <v>116</v>
      </c>
      <c r="H5007" s="151" t="s">
        <v>563</v>
      </c>
      <c r="I5007" t="s">
        <v>17</v>
      </c>
    </row>
    <row r="5008" spans="1:9" x14ac:dyDescent="0.25">
      <c r="A5008">
        <v>1814</v>
      </c>
      <c r="B5008">
        <f>A5008+1</f>
        <v>1815</v>
      </c>
      <c r="C5008" t="s">
        <v>520</v>
      </c>
      <c r="D5008" t="s">
        <v>26</v>
      </c>
      <c r="E5008" s="208" t="s">
        <v>39</v>
      </c>
      <c r="F5008" t="s">
        <v>14</v>
      </c>
      <c r="G5008" s="18">
        <v>310</v>
      </c>
      <c r="H5008" s="151" t="s">
        <v>563</v>
      </c>
      <c r="I5008" t="s">
        <v>17</v>
      </c>
    </row>
    <row r="5009" spans="1:9" x14ac:dyDescent="0.25">
      <c r="A5009">
        <v>1814</v>
      </c>
      <c r="B5009">
        <f>A5009+1</f>
        <v>1815</v>
      </c>
      <c r="C5009" t="s">
        <v>520</v>
      </c>
      <c r="D5009" t="s">
        <v>26</v>
      </c>
      <c r="E5009" s="208" t="s">
        <v>99</v>
      </c>
      <c r="F5009" t="s">
        <v>14</v>
      </c>
      <c r="G5009" s="18">
        <v>129</v>
      </c>
      <c r="H5009" s="151" t="s">
        <v>563</v>
      </c>
      <c r="I5009" t="s">
        <v>17</v>
      </c>
    </row>
    <row r="5010" spans="1:9" x14ac:dyDescent="0.25">
      <c r="A5010">
        <v>1814</v>
      </c>
      <c r="B5010">
        <f>A5010+1</f>
        <v>1815</v>
      </c>
      <c r="C5010" t="s">
        <v>520</v>
      </c>
      <c r="D5010" t="s">
        <v>26</v>
      </c>
      <c r="E5010" s="208" t="s">
        <v>95</v>
      </c>
      <c r="F5010" t="s">
        <v>14</v>
      </c>
      <c r="G5010" s="18">
        <v>126</v>
      </c>
      <c r="H5010" s="151" t="s">
        <v>563</v>
      </c>
      <c r="I5010" t="s">
        <v>17</v>
      </c>
    </row>
    <row r="5011" spans="1:9" x14ac:dyDescent="0.25">
      <c r="A5011">
        <v>1814</v>
      </c>
      <c r="B5011">
        <f>A5011+1</f>
        <v>1815</v>
      </c>
      <c r="C5011" t="s">
        <v>520</v>
      </c>
      <c r="D5011" t="s">
        <v>26</v>
      </c>
      <c r="E5011" s="208" t="s">
        <v>94</v>
      </c>
      <c r="F5011" t="s">
        <v>14</v>
      </c>
      <c r="G5011" s="18">
        <v>370</v>
      </c>
      <c r="H5011" s="151" t="s">
        <v>563</v>
      </c>
      <c r="I5011" t="s">
        <v>17</v>
      </c>
    </row>
    <row r="5012" spans="1:9" x14ac:dyDescent="0.25">
      <c r="A5012">
        <v>1814</v>
      </c>
      <c r="B5012">
        <f>A5012+1</f>
        <v>1815</v>
      </c>
      <c r="C5012" t="s">
        <v>520</v>
      </c>
      <c r="D5012" t="s">
        <v>26</v>
      </c>
      <c r="E5012" s="208" t="s">
        <v>386</v>
      </c>
      <c r="F5012" t="s">
        <v>14</v>
      </c>
      <c r="G5012" s="18">
        <v>1730</v>
      </c>
      <c r="H5012" s="151" t="s">
        <v>563</v>
      </c>
      <c r="I5012" t="s">
        <v>17</v>
      </c>
    </row>
    <row r="5013" spans="1:9" x14ac:dyDescent="0.25">
      <c r="A5013">
        <v>1814</v>
      </c>
      <c r="B5013">
        <f>A5013+1</f>
        <v>1815</v>
      </c>
      <c r="C5013" t="s">
        <v>520</v>
      </c>
      <c r="D5013" t="s">
        <v>26</v>
      </c>
      <c r="E5013" s="208" t="s">
        <v>387</v>
      </c>
      <c r="F5013" t="s">
        <v>14</v>
      </c>
      <c r="G5013" s="18">
        <v>197</v>
      </c>
      <c r="H5013" s="151" t="s">
        <v>563</v>
      </c>
      <c r="I5013" t="s">
        <v>17</v>
      </c>
    </row>
    <row r="5014" spans="1:9" x14ac:dyDescent="0.25">
      <c r="A5014">
        <v>1814</v>
      </c>
      <c r="B5014">
        <f>A5014+1</f>
        <v>1815</v>
      </c>
      <c r="C5014" t="s">
        <v>520</v>
      </c>
      <c r="D5014" t="s">
        <v>26</v>
      </c>
      <c r="E5014" s="208" t="s">
        <v>388</v>
      </c>
      <c r="F5014" t="s">
        <v>14</v>
      </c>
      <c r="G5014" s="18">
        <v>518</v>
      </c>
      <c r="H5014" s="151" t="s">
        <v>563</v>
      </c>
      <c r="I5014" t="s">
        <v>17</v>
      </c>
    </row>
    <row r="5015" spans="1:9" x14ac:dyDescent="0.25">
      <c r="A5015">
        <v>1814</v>
      </c>
      <c r="B5015">
        <f>A5015+1</f>
        <v>1815</v>
      </c>
      <c r="C5015" t="s">
        <v>520</v>
      </c>
      <c r="D5015" t="s">
        <v>26</v>
      </c>
      <c r="E5015" s="208" t="s">
        <v>383</v>
      </c>
      <c r="F5015" t="s">
        <v>14</v>
      </c>
      <c r="G5015" s="18">
        <v>66</v>
      </c>
      <c r="H5015" s="151" t="s">
        <v>563</v>
      </c>
      <c r="I5015" t="s">
        <v>17</v>
      </c>
    </row>
    <row r="5016" spans="1:9" x14ac:dyDescent="0.25">
      <c r="A5016">
        <v>1814</v>
      </c>
      <c r="B5016">
        <f>A5016+1</f>
        <v>1815</v>
      </c>
      <c r="C5016" t="s">
        <v>520</v>
      </c>
      <c r="D5016" t="s">
        <v>26</v>
      </c>
      <c r="E5016" s="208" t="s">
        <v>384</v>
      </c>
      <c r="F5016" t="s">
        <v>14</v>
      </c>
      <c r="G5016" s="18">
        <v>0</v>
      </c>
      <c r="H5016" s="151" t="s">
        <v>563</v>
      </c>
      <c r="I5016" t="s">
        <v>17</v>
      </c>
    </row>
    <row r="5017" spans="1:9" x14ac:dyDescent="0.25">
      <c r="A5017">
        <v>1814</v>
      </c>
      <c r="B5017">
        <f>A5017+1</f>
        <v>1815</v>
      </c>
      <c r="C5017" t="s">
        <v>520</v>
      </c>
      <c r="D5017" t="s">
        <v>26</v>
      </c>
      <c r="E5017" s="208" t="s">
        <v>65</v>
      </c>
      <c r="F5017" t="s">
        <v>14</v>
      </c>
      <c r="G5017" s="18">
        <v>20311</v>
      </c>
      <c r="H5017" s="151" t="s">
        <v>563</v>
      </c>
      <c r="I5017" t="s">
        <v>17</v>
      </c>
    </row>
    <row r="5018" spans="1:9" x14ac:dyDescent="0.25">
      <c r="A5018">
        <v>1814</v>
      </c>
      <c r="B5018">
        <f>A5018+1</f>
        <v>1815</v>
      </c>
      <c r="C5018" t="s">
        <v>520</v>
      </c>
      <c r="D5018" t="s">
        <v>26</v>
      </c>
      <c r="E5018" s="208" t="s">
        <v>88</v>
      </c>
      <c r="F5018" t="s">
        <v>14</v>
      </c>
      <c r="G5018" s="18">
        <v>1940</v>
      </c>
      <c r="H5018" s="151" t="s">
        <v>563</v>
      </c>
      <c r="I5018" t="s">
        <v>17</v>
      </c>
    </row>
    <row r="5019" spans="1:9" x14ac:dyDescent="0.25">
      <c r="A5019">
        <v>1814</v>
      </c>
      <c r="B5019">
        <f>A5019+1</f>
        <v>1815</v>
      </c>
      <c r="C5019" t="s">
        <v>520</v>
      </c>
      <c r="D5019" t="s">
        <v>26</v>
      </c>
      <c r="E5019" s="208" t="s">
        <v>107</v>
      </c>
      <c r="F5019" t="s">
        <v>14</v>
      </c>
      <c r="G5019" s="18">
        <v>531865</v>
      </c>
      <c r="H5019" s="151" t="s">
        <v>563</v>
      </c>
      <c r="I5019" t="s">
        <v>17</v>
      </c>
    </row>
    <row r="5020" spans="1:9" x14ac:dyDescent="0.25">
      <c r="A5020">
        <v>1814</v>
      </c>
      <c r="B5020">
        <f>A5020+1</f>
        <v>1815</v>
      </c>
      <c r="C5020" t="s">
        <v>520</v>
      </c>
      <c r="D5020" t="s">
        <v>26</v>
      </c>
      <c r="E5020" s="208" t="s">
        <v>101</v>
      </c>
      <c r="F5020" t="s">
        <v>14</v>
      </c>
      <c r="G5020" s="18">
        <v>268775</v>
      </c>
      <c r="H5020" s="151" t="s">
        <v>563</v>
      </c>
      <c r="I5020" t="s">
        <v>17</v>
      </c>
    </row>
    <row r="5021" spans="1:9" x14ac:dyDescent="0.25">
      <c r="A5021">
        <v>1814</v>
      </c>
      <c r="B5021">
        <f>A5021+1</f>
        <v>1815</v>
      </c>
      <c r="C5021" t="s">
        <v>520</v>
      </c>
      <c r="D5021" t="s">
        <v>26</v>
      </c>
      <c r="E5021" s="208" t="s">
        <v>75</v>
      </c>
      <c r="F5021" t="s">
        <v>14</v>
      </c>
      <c r="G5021" s="18">
        <v>745091</v>
      </c>
      <c r="H5021" s="151" t="s">
        <v>563</v>
      </c>
      <c r="I5021" t="s">
        <v>17</v>
      </c>
    </row>
    <row r="5022" spans="1:9" x14ac:dyDescent="0.25">
      <c r="A5022">
        <v>1814</v>
      </c>
      <c r="B5022">
        <f>A5022+1</f>
        <v>1815</v>
      </c>
      <c r="C5022" t="s">
        <v>520</v>
      </c>
      <c r="D5022" t="s">
        <v>26</v>
      </c>
      <c r="E5022" s="208" t="s">
        <v>330</v>
      </c>
      <c r="F5022" t="s">
        <v>14</v>
      </c>
      <c r="G5022" s="18">
        <v>528</v>
      </c>
      <c r="H5022" s="151" t="s">
        <v>563</v>
      </c>
      <c r="I5022" t="s">
        <v>17</v>
      </c>
    </row>
    <row r="5023" spans="1:9" x14ac:dyDescent="0.25">
      <c r="A5023">
        <v>1814</v>
      </c>
      <c r="B5023">
        <f>A5023+1</f>
        <v>1815</v>
      </c>
      <c r="C5023" t="s">
        <v>520</v>
      </c>
      <c r="D5023" t="s">
        <v>26</v>
      </c>
      <c r="E5023" s="208" t="s">
        <v>331</v>
      </c>
      <c r="F5023" t="s">
        <v>14</v>
      </c>
      <c r="G5023" s="18">
        <v>451</v>
      </c>
      <c r="H5023" s="151" t="s">
        <v>563</v>
      </c>
      <c r="I5023" t="s">
        <v>17</v>
      </c>
    </row>
    <row r="5024" spans="1:9" x14ac:dyDescent="0.25">
      <c r="A5024">
        <v>1814</v>
      </c>
      <c r="B5024">
        <f>A5024+1</f>
        <v>1815</v>
      </c>
      <c r="C5024" t="s">
        <v>520</v>
      </c>
      <c r="D5024" t="s">
        <v>26</v>
      </c>
      <c r="E5024" s="208" t="s">
        <v>332</v>
      </c>
      <c r="F5024" t="s">
        <v>14</v>
      </c>
      <c r="G5024" s="18">
        <v>0</v>
      </c>
      <c r="H5024" s="151" t="s">
        <v>563</v>
      </c>
      <c r="I5024" t="s">
        <v>17</v>
      </c>
    </row>
    <row r="5025" spans="1:9" x14ac:dyDescent="0.25">
      <c r="A5025">
        <v>1814</v>
      </c>
      <c r="B5025">
        <f>A5025+1</f>
        <v>1815</v>
      </c>
      <c r="C5025" t="s">
        <v>520</v>
      </c>
      <c r="D5025" t="s">
        <v>26</v>
      </c>
      <c r="E5025" s="208" t="s">
        <v>333</v>
      </c>
      <c r="F5025" t="s">
        <v>14</v>
      </c>
      <c r="G5025" s="18">
        <v>2308</v>
      </c>
      <c r="H5025" s="151" t="s">
        <v>563</v>
      </c>
      <c r="I5025" t="s">
        <v>17</v>
      </c>
    </row>
    <row r="5026" spans="1:9" x14ac:dyDescent="0.25">
      <c r="A5026">
        <v>1814</v>
      </c>
      <c r="B5026">
        <f>A5026+1</f>
        <v>1815</v>
      </c>
      <c r="C5026" t="s">
        <v>520</v>
      </c>
      <c r="D5026" t="s">
        <v>27</v>
      </c>
      <c r="E5026" s="208" t="s">
        <v>155</v>
      </c>
      <c r="F5026" t="s">
        <v>15</v>
      </c>
      <c r="G5026" s="18">
        <v>119767</v>
      </c>
      <c r="H5026" t="s">
        <v>561</v>
      </c>
      <c r="I5026" s="151" t="s">
        <v>562</v>
      </c>
    </row>
    <row r="5027" spans="1:9" x14ac:dyDescent="0.25">
      <c r="A5027">
        <v>1814</v>
      </c>
      <c r="B5027">
        <f>A5027+1</f>
        <v>1815</v>
      </c>
      <c r="C5027" t="s">
        <v>520</v>
      </c>
      <c r="D5027" t="s">
        <v>27</v>
      </c>
      <c r="E5027" s="208" t="s">
        <v>156</v>
      </c>
      <c r="F5027" t="s">
        <v>15</v>
      </c>
      <c r="G5027" s="18">
        <v>12224</v>
      </c>
      <c r="H5027" t="s">
        <v>561</v>
      </c>
      <c r="I5027" s="151" t="s">
        <v>562</v>
      </c>
    </row>
    <row r="5028" spans="1:9" x14ac:dyDescent="0.25">
      <c r="A5028">
        <v>1814</v>
      </c>
      <c r="B5028">
        <f>A5028+1</f>
        <v>1815</v>
      </c>
      <c r="C5028" t="s">
        <v>520</v>
      </c>
      <c r="D5028" t="s">
        <v>27</v>
      </c>
      <c r="E5028" s="208" t="s">
        <v>154</v>
      </c>
      <c r="F5028" t="s">
        <v>15</v>
      </c>
      <c r="G5028" s="18">
        <v>2757</v>
      </c>
      <c r="H5028" t="s">
        <v>561</v>
      </c>
      <c r="I5028" s="151" t="s">
        <v>562</v>
      </c>
    </row>
    <row r="5029" spans="1:9" x14ac:dyDescent="0.25">
      <c r="A5029">
        <v>1814</v>
      </c>
      <c r="B5029">
        <f>A5029+1</f>
        <v>1815</v>
      </c>
      <c r="C5029" t="s">
        <v>520</v>
      </c>
      <c r="D5029" t="s">
        <v>27</v>
      </c>
      <c r="E5029" s="208" t="s">
        <v>150</v>
      </c>
      <c r="F5029" t="s">
        <v>15</v>
      </c>
      <c r="G5029" s="18">
        <v>52996</v>
      </c>
      <c r="H5029" t="s">
        <v>561</v>
      </c>
      <c r="I5029" s="151" t="s">
        <v>562</v>
      </c>
    </row>
    <row r="5030" spans="1:9" x14ac:dyDescent="0.25">
      <c r="A5030">
        <v>1814</v>
      </c>
      <c r="B5030">
        <f>A5030+1</f>
        <v>1815</v>
      </c>
      <c r="C5030" t="s">
        <v>520</v>
      </c>
      <c r="D5030" t="s">
        <v>27</v>
      </c>
      <c r="E5030" s="208" t="s">
        <v>148</v>
      </c>
      <c r="F5030" t="s">
        <v>15</v>
      </c>
      <c r="G5030" s="18">
        <v>1465</v>
      </c>
      <c r="H5030" t="s">
        <v>561</v>
      </c>
      <c r="I5030" s="151" t="s">
        <v>562</v>
      </c>
    </row>
    <row r="5031" spans="1:9" x14ac:dyDescent="0.25">
      <c r="A5031">
        <v>1814</v>
      </c>
      <c r="B5031">
        <f>A5031+1</f>
        <v>1815</v>
      </c>
      <c r="C5031" t="s">
        <v>520</v>
      </c>
      <c r="D5031" t="s">
        <v>27</v>
      </c>
      <c r="E5031" s="208" t="s">
        <v>147</v>
      </c>
      <c r="F5031" t="s">
        <v>15</v>
      </c>
      <c r="G5031" s="18">
        <v>574</v>
      </c>
      <c r="H5031" t="s">
        <v>561</v>
      </c>
      <c r="I5031" s="151" t="s">
        <v>562</v>
      </c>
    </row>
    <row r="5032" spans="1:9" x14ac:dyDescent="0.25">
      <c r="A5032">
        <v>1814</v>
      </c>
      <c r="B5032">
        <f>A5032+1</f>
        <v>1815</v>
      </c>
      <c r="C5032" t="s">
        <v>520</v>
      </c>
      <c r="D5032" t="s">
        <v>27</v>
      </c>
      <c r="E5032" s="208" t="s">
        <v>314</v>
      </c>
      <c r="F5032" t="s">
        <v>15</v>
      </c>
      <c r="G5032" s="18">
        <v>1398</v>
      </c>
      <c r="H5032" t="s">
        <v>561</v>
      </c>
      <c r="I5032" s="151" t="s">
        <v>562</v>
      </c>
    </row>
    <row r="5033" spans="1:9" x14ac:dyDescent="0.25">
      <c r="A5033">
        <v>1814</v>
      </c>
      <c r="B5033">
        <f>A5033+1</f>
        <v>1815</v>
      </c>
      <c r="C5033" t="s">
        <v>520</v>
      </c>
      <c r="D5033" t="s">
        <v>27</v>
      </c>
      <c r="E5033" s="208" t="s">
        <v>149</v>
      </c>
      <c r="F5033" t="s">
        <v>15</v>
      </c>
      <c r="G5033" s="18">
        <v>0</v>
      </c>
      <c r="H5033" t="s">
        <v>561</v>
      </c>
      <c r="I5033" s="151" t="s">
        <v>562</v>
      </c>
    </row>
    <row r="5034" spans="1:9" x14ac:dyDescent="0.25">
      <c r="A5034">
        <v>1814</v>
      </c>
      <c r="B5034">
        <f>A5034+1</f>
        <v>1815</v>
      </c>
      <c r="C5034" t="s">
        <v>520</v>
      </c>
      <c r="D5034" t="s">
        <v>27</v>
      </c>
      <c r="E5034" s="208" t="s">
        <v>139</v>
      </c>
      <c r="F5034" t="s">
        <v>15</v>
      </c>
      <c r="G5034" s="18">
        <v>242</v>
      </c>
      <c r="H5034" t="s">
        <v>561</v>
      </c>
      <c r="I5034" s="151" t="s">
        <v>562</v>
      </c>
    </row>
    <row r="5035" spans="1:9" x14ac:dyDescent="0.25">
      <c r="A5035">
        <v>1814</v>
      </c>
      <c r="B5035">
        <f>A5035+1</f>
        <v>1815</v>
      </c>
      <c r="C5035" t="s">
        <v>520</v>
      </c>
      <c r="D5035" t="s">
        <v>27</v>
      </c>
      <c r="E5035" s="208" t="s">
        <v>132</v>
      </c>
      <c r="F5035" t="s">
        <v>15</v>
      </c>
      <c r="G5035" s="18">
        <v>1493</v>
      </c>
      <c r="H5035" t="s">
        <v>561</v>
      </c>
      <c r="I5035" s="151" t="s">
        <v>562</v>
      </c>
    </row>
    <row r="5036" spans="1:9" x14ac:dyDescent="0.25">
      <c r="A5036">
        <v>1814</v>
      </c>
      <c r="B5036">
        <f>A5036+1</f>
        <v>1815</v>
      </c>
      <c r="C5036" t="s">
        <v>520</v>
      </c>
      <c r="D5036" t="s">
        <v>27</v>
      </c>
      <c r="E5036" s="208" t="s">
        <v>130</v>
      </c>
      <c r="F5036" t="s">
        <v>15</v>
      </c>
      <c r="G5036" s="18">
        <v>1667</v>
      </c>
      <c r="H5036" t="s">
        <v>561</v>
      </c>
      <c r="I5036" s="151" t="s">
        <v>562</v>
      </c>
    </row>
    <row r="5037" spans="1:9" x14ac:dyDescent="0.25">
      <c r="A5037">
        <v>1814</v>
      </c>
      <c r="B5037">
        <f>A5037+1</f>
        <v>1815</v>
      </c>
      <c r="C5037" t="s">
        <v>520</v>
      </c>
      <c r="D5037" t="s">
        <v>27</v>
      </c>
      <c r="E5037" s="208" t="s">
        <v>144</v>
      </c>
      <c r="F5037" t="s">
        <v>15</v>
      </c>
      <c r="G5037" s="18">
        <v>844</v>
      </c>
      <c r="H5037" t="s">
        <v>561</v>
      </c>
      <c r="I5037" s="151" t="s">
        <v>562</v>
      </c>
    </row>
    <row r="5038" spans="1:9" x14ac:dyDescent="0.25">
      <c r="A5038">
        <v>1814</v>
      </c>
      <c r="B5038">
        <f>A5038+1</f>
        <v>1815</v>
      </c>
      <c r="C5038" t="s">
        <v>520</v>
      </c>
      <c r="D5038" t="s">
        <v>27</v>
      </c>
      <c r="E5038" s="208" t="s">
        <v>142</v>
      </c>
      <c r="F5038" t="s">
        <v>15</v>
      </c>
      <c r="G5038" s="18">
        <v>27386</v>
      </c>
      <c r="H5038" t="s">
        <v>561</v>
      </c>
      <c r="I5038" s="151" t="s">
        <v>562</v>
      </c>
    </row>
    <row r="5039" spans="1:9" x14ac:dyDescent="0.25">
      <c r="A5039">
        <v>1814</v>
      </c>
      <c r="B5039">
        <f>A5039+1</f>
        <v>1815</v>
      </c>
      <c r="C5039" t="s">
        <v>520</v>
      </c>
      <c r="D5039" t="s">
        <v>27</v>
      </c>
      <c r="E5039" s="208" t="s">
        <v>124</v>
      </c>
      <c r="F5039" t="s">
        <v>15</v>
      </c>
      <c r="G5039" s="18">
        <v>27362742</v>
      </c>
      <c r="H5039" t="s">
        <v>561</v>
      </c>
      <c r="I5039" s="151" t="s">
        <v>562</v>
      </c>
    </row>
    <row r="5040" spans="1:9" x14ac:dyDescent="0.25">
      <c r="A5040">
        <v>1814</v>
      </c>
      <c r="B5040">
        <f>A5040+1</f>
        <v>1815</v>
      </c>
      <c r="C5040" t="s">
        <v>520</v>
      </c>
      <c r="D5040" t="s">
        <v>26</v>
      </c>
      <c r="E5040" s="208" t="s">
        <v>62</v>
      </c>
      <c r="F5040" t="s">
        <v>15</v>
      </c>
      <c r="G5040" s="18">
        <v>72400</v>
      </c>
      <c r="H5040" s="151" t="s">
        <v>563</v>
      </c>
      <c r="I5040" t="s">
        <v>561</v>
      </c>
    </row>
    <row r="5041" spans="1:9" x14ac:dyDescent="0.25">
      <c r="A5041">
        <v>1814</v>
      </c>
      <c r="B5041">
        <f>A5041+1</f>
        <v>1815</v>
      </c>
      <c r="C5041" t="s">
        <v>520</v>
      </c>
      <c r="D5041" t="s">
        <v>26</v>
      </c>
      <c r="E5041" s="208" t="s">
        <v>36</v>
      </c>
      <c r="F5041" t="s">
        <v>15</v>
      </c>
      <c r="G5041" s="18">
        <v>2802</v>
      </c>
      <c r="H5041" s="151" t="s">
        <v>563</v>
      </c>
      <c r="I5041" t="s">
        <v>561</v>
      </c>
    </row>
    <row r="5042" spans="1:9" x14ac:dyDescent="0.25">
      <c r="A5042">
        <v>1814</v>
      </c>
      <c r="B5042">
        <f>A5042+1</f>
        <v>1815</v>
      </c>
      <c r="C5042" t="s">
        <v>520</v>
      </c>
      <c r="D5042" t="s">
        <v>26</v>
      </c>
      <c r="E5042" s="208" t="s">
        <v>35</v>
      </c>
      <c r="F5042" t="s">
        <v>15</v>
      </c>
      <c r="G5042" s="18">
        <v>12983</v>
      </c>
      <c r="H5042" s="151" t="s">
        <v>563</v>
      </c>
      <c r="I5042" t="s">
        <v>561</v>
      </c>
    </row>
    <row r="5043" spans="1:9" x14ac:dyDescent="0.25">
      <c r="A5043">
        <v>1814</v>
      </c>
      <c r="B5043">
        <f>A5043+1</f>
        <v>1815</v>
      </c>
      <c r="C5043" t="s">
        <v>520</v>
      </c>
      <c r="D5043" t="s">
        <v>26</v>
      </c>
      <c r="E5043" s="208" t="s">
        <v>39</v>
      </c>
      <c r="F5043" t="s">
        <v>15</v>
      </c>
      <c r="G5043" s="18">
        <v>2258</v>
      </c>
      <c r="H5043" s="151" t="s">
        <v>563</v>
      </c>
      <c r="I5043" t="s">
        <v>561</v>
      </c>
    </row>
    <row r="5044" spans="1:9" x14ac:dyDescent="0.25">
      <c r="A5044">
        <v>1814</v>
      </c>
      <c r="B5044">
        <f>A5044+1</f>
        <v>1815</v>
      </c>
      <c r="C5044" t="s">
        <v>520</v>
      </c>
      <c r="D5044" t="s">
        <v>26</v>
      </c>
      <c r="E5044" s="208" t="s">
        <v>99</v>
      </c>
      <c r="F5044" t="s">
        <v>15</v>
      </c>
      <c r="G5044" s="18">
        <v>1291</v>
      </c>
      <c r="H5044" s="151" t="s">
        <v>563</v>
      </c>
      <c r="I5044" t="s">
        <v>561</v>
      </c>
    </row>
    <row r="5045" spans="1:9" x14ac:dyDescent="0.25">
      <c r="A5045">
        <v>1814</v>
      </c>
      <c r="B5045">
        <f>A5045+1</f>
        <v>1815</v>
      </c>
      <c r="C5045" t="s">
        <v>520</v>
      </c>
      <c r="D5045" t="s">
        <v>26</v>
      </c>
      <c r="E5045" s="208" t="s">
        <v>95</v>
      </c>
      <c r="F5045" t="s">
        <v>15</v>
      </c>
      <c r="G5045" s="18">
        <v>2603</v>
      </c>
      <c r="H5045" s="151" t="s">
        <v>563</v>
      </c>
      <c r="I5045" t="s">
        <v>561</v>
      </c>
    </row>
    <row r="5046" spans="1:9" x14ac:dyDescent="0.25">
      <c r="A5046">
        <v>1814</v>
      </c>
      <c r="B5046">
        <f>A5046+1</f>
        <v>1815</v>
      </c>
      <c r="C5046" t="s">
        <v>520</v>
      </c>
      <c r="D5046" t="s">
        <v>26</v>
      </c>
      <c r="E5046" s="208" t="s">
        <v>94</v>
      </c>
      <c r="F5046" t="s">
        <v>15</v>
      </c>
      <c r="G5046" s="18">
        <v>4329</v>
      </c>
      <c r="H5046" s="151" t="s">
        <v>563</v>
      </c>
      <c r="I5046" t="s">
        <v>561</v>
      </c>
    </row>
    <row r="5047" spans="1:9" x14ac:dyDescent="0.25">
      <c r="A5047">
        <v>1814</v>
      </c>
      <c r="B5047">
        <f>A5047+1</f>
        <v>1815</v>
      </c>
      <c r="C5047" t="s">
        <v>520</v>
      </c>
      <c r="D5047" t="s">
        <v>26</v>
      </c>
      <c r="E5047" s="208" t="s">
        <v>386</v>
      </c>
      <c r="F5047" t="s">
        <v>15</v>
      </c>
      <c r="G5047" s="18">
        <v>40400</v>
      </c>
      <c r="H5047" s="151" t="s">
        <v>563</v>
      </c>
      <c r="I5047" t="s">
        <v>561</v>
      </c>
    </row>
    <row r="5048" spans="1:9" x14ac:dyDescent="0.25">
      <c r="A5048">
        <v>1814</v>
      </c>
      <c r="B5048">
        <f>A5048+1</f>
        <v>1815</v>
      </c>
      <c r="C5048" t="s">
        <v>520</v>
      </c>
      <c r="D5048" t="s">
        <v>26</v>
      </c>
      <c r="E5048" s="208" t="s">
        <v>387</v>
      </c>
      <c r="F5048" t="s">
        <v>15</v>
      </c>
      <c r="G5048" s="18">
        <v>1576</v>
      </c>
      <c r="H5048" s="151" t="s">
        <v>563</v>
      </c>
      <c r="I5048" t="s">
        <v>561</v>
      </c>
    </row>
    <row r="5049" spans="1:9" x14ac:dyDescent="0.25">
      <c r="A5049">
        <v>1814</v>
      </c>
      <c r="B5049">
        <f>A5049+1</f>
        <v>1815</v>
      </c>
      <c r="C5049" t="s">
        <v>520</v>
      </c>
      <c r="D5049" t="s">
        <v>26</v>
      </c>
      <c r="E5049" s="208" t="s">
        <v>388</v>
      </c>
      <c r="F5049" t="s">
        <v>15</v>
      </c>
      <c r="G5049" s="18">
        <v>7420</v>
      </c>
      <c r="H5049" s="151" t="s">
        <v>563</v>
      </c>
      <c r="I5049" t="s">
        <v>561</v>
      </c>
    </row>
    <row r="5050" spans="1:9" x14ac:dyDescent="0.25">
      <c r="A5050">
        <v>1814</v>
      </c>
      <c r="B5050">
        <f>A5050+1</f>
        <v>1815</v>
      </c>
      <c r="C5050" t="s">
        <v>520</v>
      </c>
      <c r="D5050" t="s">
        <v>26</v>
      </c>
      <c r="E5050" s="208" t="s">
        <v>383</v>
      </c>
      <c r="F5050" t="s">
        <v>15</v>
      </c>
      <c r="G5050" s="18">
        <v>1354</v>
      </c>
      <c r="H5050" s="151" t="s">
        <v>563</v>
      </c>
      <c r="I5050" t="s">
        <v>561</v>
      </c>
    </row>
    <row r="5051" spans="1:9" x14ac:dyDescent="0.25">
      <c r="A5051">
        <v>1814</v>
      </c>
      <c r="B5051">
        <f>A5051+1</f>
        <v>1815</v>
      </c>
      <c r="C5051" t="s">
        <v>520</v>
      </c>
      <c r="D5051" t="s">
        <v>26</v>
      </c>
      <c r="E5051" s="208" t="s">
        <v>384</v>
      </c>
      <c r="F5051" t="s">
        <v>15</v>
      </c>
      <c r="G5051" s="18">
        <v>78</v>
      </c>
      <c r="H5051" s="151" t="s">
        <v>563</v>
      </c>
      <c r="I5051" t="s">
        <v>561</v>
      </c>
    </row>
    <row r="5052" spans="1:9" x14ac:dyDescent="0.25">
      <c r="A5052">
        <v>1814</v>
      </c>
      <c r="B5052">
        <f>A5052+1</f>
        <v>1815</v>
      </c>
      <c r="C5052" t="s">
        <v>520</v>
      </c>
      <c r="D5052" t="s">
        <v>26</v>
      </c>
      <c r="E5052" s="208" t="s">
        <v>65</v>
      </c>
      <c r="F5052" t="s">
        <v>15</v>
      </c>
      <c r="G5052" s="18">
        <v>31237</v>
      </c>
      <c r="H5052" s="151" t="s">
        <v>563</v>
      </c>
      <c r="I5052" t="s">
        <v>561</v>
      </c>
    </row>
    <row r="5053" spans="1:9" x14ac:dyDescent="0.25">
      <c r="A5053">
        <v>1814</v>
      </c>
      <c r="B5053">
        <f>A5053+1</f>
        <v>1815</v>
      </c>
      <c r="C5053" t="s">
        <v>520</v>
      </c>
      <c r="D5053" t="s">
        <v>26</v>
      </c>
      <c r="E5053" s="208" t="s">
        <v>88</v>
      </c>
      <c r="F5053" t="s">
        <v>15</v>
      </c>
      <c r="G5053" s="18">
        <v>4311</v>
      </c>
      <c r="H5053" s="151" t="s">
        <v>563</v>
      </c>
      <c r="I5053" t="s">
        <v>561</v>
      </c>
    </row>
    <row r="5054" spans="1:9" x14ac:dyDescent="0.25">
      <c r="A5054">
        <v>1814</v>
      </c>
      <c r="B5054">
        <f>A5054+1</f>
        <v>1815</v>
      </c>
      <c r="C5054" t="s">
        <v>520</v>
      </c>
      <c r="D5054" t="s">
        <v>26</v>
      </c>
      <c r="E5054" s="208" t="s">
        <v>107</v>
      </c>
      <c r="F5054" t="s">
        <v>15</v>
      </c>
      <c r="G5054" s="18">
        <v>1565752</v>
      </c>
      <c r="H5054" s="151" t="s">
        <v>563</v>
      </c>
      <c r="I5054" t="s">
        <v>561</v>
      </c>
    </row>
    <row r="5055" spans="1:9" x14ac:dyDescent="0.25">
      <c r="A5055">
        <v>1814</v>
      </c>
      <c r="B5055">
        <f>A5055+1</f>
        <v>1815</v>
      </c>
      <c r="C5055" t="s">
        <v>520</v>
      </c>
      <c r="D5055" t="s">
        <v>26</v>
      </c>
      <c r="E5055" s="208" t="s">
        <v>101</v>
      </c>
      <c r="F5055" t="s">
        <v>15</v>
      </c>
      <c r="G5055" s="18">
        <v>1395955</v>
      </c>
      <c r="H5055" s="151" t="s">
        <v>563</v>
      </c>
      <c r="I5055" t="s">
        <v>561</v>
      </c>
    </row>
    <row r="5056" spans="1:9" x14ac:dyDescent="0.25">
      <c r="A5056">
        <v>1814</v>
      </c>
      <c r="B5056">
        <f>A5056+1</f>
        <v>1815</v>
      </c>
      <c r="C5056" t="s">
        <v>520</v>
      </c>
      <c r="D5056" t="s">
        <v>26</v>
      </c>
      <c r="E5056" s="208" t="s">
        <v>75</v>
      </c>
      <c r="F5056" t="s">
        <v>15</v>
      </c>
      <c r="G5056" s="18">
        <v>2366110</v>
      </c>
      <c r="H5056" s="151" t="s">
        <v>563</v>
      </c>
      <c r="I5056" t="s">
        <v>561</v>
      </c>
    </row>
    <row r="5057" spans="1:9" x14ac:dyDescent="0.25">
      <c r="A5057">
        <v>1814</v>
      </c>
      <c r="B5057">
        <f>A5057+1</f>
        <v>1815</v>
      </c>
      <c r="C5057" t="s">
        <v>520</v>
      </c>
      <c r="D5057" t="s">
        <v>26</v>
      </c>
      <c r="E5057" s="208" t="s">
        <v>330</v>
      </c>
      <c r="F5057" t="s">
        <v>15</v>
      </c>
      <c r="G5057" s="18">
        <v>1506</v>
      </c>
      <c r="H5057" s="151" t="s">
        <v>563</v>
      </c>
      <c r="I5057" t="s">
        <v>561</v>
      </c>
    </row>
    <row r="5058" spans="1:9" x14ac:dyDescent="0.25">
      <c r="A5058">
        <v>1814</v>
      </c>
      <c r="B5058">
        <f>A5058+1</f>
        <v>1815</v>
      </c>
      <c r="C5058" t="s">
        <v>520</v>
      </c>
      <c r="D5058" t="s">
        <v>26</v>
      </c>
      <c r="E5058" s="208" t="s">
        <v>331</v>
      </c>
      <c r="F5058" t="s">
        <v>15</v>
      </c>
      <c r="G5058" s="18">
        <v>3694</v>
      </c>
      <c r="H5058" s="151" t="s">
        <v>563</v>
      </c>
      <c r="I5058" t="s">
        <v>561</v>
      </c>
    </row>
    <row r="5059" spans="1:9" x14ac:dyDescent="0.25">
      <c r="A5059">
        <v>1814</v>
      </c>
      <c r="B5059">
        <f>A5059+1</f>
        <v>1815</v>
      </c>
      <c r="C5059" t="s">
        <v>520</v>
      </c>
      <c r="D5059" t="s">
        <v>26</v>
      </c>
      <c r="E5059" s="208" t="s">
        <v>332</v>
      </c>
      <c r="F5059" t="s">
        <v>15</v>
      </c>
      <c r="G5059" s="18">
        <v>935</v>
      </c>
      <c r="H5059" s="151" t="s">
        <v>563</v>
      </c>
      <c r="I5059" t="s">
        <v>561</v>
      </c>
    </row>
    <row r="5060" spans="1:9" x14ac:dyDescent="0.25">
      <c r="A5060">
        <v>1814</v>
      </c>
      <c r="B5060">
        <f>A5060+1</f>
        <v>1815</v>
      </c>
      <c r="C5060" t="s">
        <v>520</v>
      </c>
      <c r="D5060" t="s">
        <v>26</v>
      </c>
      <c r="E5060" s="208" t="s">
        <v>333</v>
      </c>
      <c r="F5060" t="s">
        <v>15</v>
      </c>
      <c r="G5060" s="18">
        <v>4402</v>
      </c>
      <c r="H5060" s="151" t="s">
        <v>563</v>
      </c>
      <c r="I5060" t="s">
        <v>561</v>
      </c>
    </row>
    <row r="5061" spans="1:9" x14ac:dyDescent="0.25">
      <c r="A5061">
        <v>1814</v>
      </c>
      <c r="B5061">
        <f>A5061+1</f>
        <v>1815</v>
      </c>
      <c r="C5061" t="s">
        <v>520</v>
      </c>
      <c r="D5061" t="s">
        <v>26</v>
      </c>
      <c r="E5061" s="208" t="s">
        <v>567</v>
      </c>
      <c r="F5061" t="s">
        <v>3</v>
      </c>
      <c r="G5061" s="18">
        <v>18155</v>
      </c>
      <c r="H5061" t="s">
        <v>24</v>
      </c>
      <c r="I5061" t="s">
        <v>16</v>
      </c>
    </row>
    <row r="5062" spans="1:9" x14ac:dyDescent="0.25">
      <c r="A5062">
        <v>1814</v>
      </c>
      <c r="B5062">
        <f>A5062+1</f>
        <v>1815</v>
      </c>
      <c r="C5062" t="s">
        <v>520</v>
      </c>
      <c r="D5062" t="s">
        <v>26</v>
      </c>
      <c r="E5062" s="208" t="s">
        <v>567</v>
      </c>
      <c r="F5062" t="s">
        <v>169</v>
      </c>
      <c r="G5062" s="18">
        <v>0</v>
      </c>
      <c r="H5062" t="s">
        <v>160</v>
      </c>
      <c r="I5062" t="s">
        <v>16</v>
      </c>
    </row>
    <row r="5063" spans="1:9" x14ac:dyDescent="0.25">
      <c r="A5063">
        <v>1814</v>
      </c>
      <c r="B5063">
        <f>A5063+1</f>
        <v>1815</v>
      </c>
      <c r="C5063" t="s">
        <v>520</v>
      </c>
      <c r="D5063" t="s">
        <v>26</v>
      </c>
      <c r="E5063" s="208" t="s">
        <v>567</v>
      </c>
      <c r="F5063" t="s">
        <v>6</v>
      </c>
      <c r="G5063" s="18">
        <v>0</v>
      </c>
      <c r="H5063" t="s">
        <v>25</v>
      </c>
      <c r="I5063" t="s">
        <v>16</v>
      </c>
    </row>
    <row r="5064" spans="1:9" x14ac:dyDescent="0.25">
      <c r="A5064">
        <v>1814</v>
      </c>
      <c r="B5064">
        <f>A5064+1</f>
        <v>1815</v>
      </c>
      <c r="C5064" t="s">
        <v>520</v>
      </c>
      <c r="D5064" t="s">
        <v>26</v>
      </c>
      <c r="E5064" s="208" t="s">
        <v>567</v>
      </c>
      <c r="F5064" t="s">
        <v>4</v>
      </c>
      <c r="G5064" s="18">
        <v>0</v>
      </c>
      <c r="H5064" t="s">
        <v>23</v>
      </c>
      <c r="I5064" t="s">
        <v>16</v>
      </c>
    </row>
    <row r="5065" spans="1:9" x14ac:dyDescent="0.25">
      <c r="A5065">
        <v>1814</v>
      </c>
      <c r="B5065">
        <f>A5065+1</f>
        <v>1815</v>
      </c>
      <c r="C5065" t="s">
        <v>520</v>
      </c>
      <c r="D5065" t="s">
        <v>26</v>
      </c>
      <c r="E5065" s="208" t="s">
        <v>567</v>
      </c>
      <c r="F5065" t="s">
        <v>7</v>
      </c>
      <c r="G5065" s="18">
        <v>18155</v>
      </c>
      <c r="H5065" s="151" t="s">
        <v>563</v>
      </c>
      <c r="I5065" t="s">
        <v>16</v>
      </c>
    </row>
    <row r="5066" spans="1:9" x14ac:dyDescent="0.25">
      <c r="A5066">
        <v>1814</v>
      </c>
      <c r="B5066">
        <f>A5066+1</f>
        <v>1815</v>
      </c>
      <c r="C5066" t="s">
        <v>520</v>
      </c>
      <c r="D5066" t="s">
        <v>26</v>
      </c>
      <c r="E5066" s="208" t="s">
        <v>567</v>
      </c>
      <c r="F5066" t="s">
        <v>10</v>
      </c>
      <c r="G5066" s="18">
        <v>2969</v>
      </c>
      <c r="H5066" t="s">
        <v>24</v>
      </c>
      <c r="I5066" t="s">
        <v>17</v>
      </c>
    </row>
    <row r="5067" spans="1:9" x14ac:dyDescent="0.25">
      <c r="A5067">
        <v>1814</v>
      </c>
      <c r="B5067">
        <f>A5067+1</f>
        <v>1815</v>
      </c>
      <c r="C5067" t="s">
        <v>520</v>
      </c>
      <c r="D5067" t="s">
        <v>26</v>
      </c>
      <c r="E5067" s="208" t="s">
        <v>567</v>
      </c>
      <c r="F5067" t="s">
        <v>164</v>
      </c>
      <c r="G5067" s="18">
        <v>0</v>
      </c>
      <c r="H5067" t="s">
        <v>160</v>
      </c>
      <c r="I5067" t="s">
        <v>17</v>
      </c>
    </row>
    <row r="5068" spans="1:9" x14ac:dyDescent="0.25">
      <c r="A5068">
        <v>1814</v>
      </c>
      <c r="B5068">
        <f>A5068+1</f>
        <v>1815</v>
      </c>
      <c r="C5068" t="s">
        <v>520</v>
      </c>
      <c r="D5068" t="s">
        <v>26</v>
      </c>
      <c r="E5068" s="208" t="s">
        <v>567</v>
      </c>
      <c r="F5068" t="s">
        <v>13</v>
      </c>
      <c r="G5068" s="18">
        <v>0</v>
      </c>
      <c r="H5068" t="s">
        <v>25</v>
      </c>
      <c r="I5068" t="s">
        <v>17</v>
      </c>
    </row>
    <row r="5069" spans="1:9" x14ac:dyDescent="0.25">
      <c r="A5069">
        <v>1814</v>
      </c>
      <c r="B5069">
        <f>A5069+1</f>
        <v>1815</v>
      </c>
      <c r="C5069" t="s">
        <v>520</v>
      </c>
      <c r="D5069" t="s">
        <v>26</v>
      </c>
      <c r="E5069" s="208" t="s">
        <v>567</v>
      </c>
      <c r="F5069" t="s">
        <v>11</v>
      </c>
      <c r="G5069" s="18">
        <v>0</v>
      </c>
      <c r="H5069" t="s">
        <v>23</v>
      </c>
      <c r="I5069" t="s">
        <v>17</v>
      </c>
    </row>
    <row r="5070" spans="1:9" x14ac:dyDescent="0.25">
      <c r="A5070">
        <v>1814</v>
      </c>
      <c r="B5070">
        <f>A5070+1</f>
        <v>1815</v>
      </c>
      <c r="C5070" t="s">
        <v>520</v>
      </c>
      <c r="D5070" t="s">
        <v>26</v>
      </c>
      <c r="E5070" s="208" t="s">
        <v>567</v>
      </c>
      <c r="F5070" t="s">
        <v>14</v>
      </c>
      <c r="G5070" s="18">
        <v>2969</v>
      </c>
      <c r="H5070" s="151" t="s">
        <v>563</v>
      </c>
      <c r="I5070" t="s">
        <v>17</v>
      </c>
    </row>
    <row r="5071" spans="1:9" x14ac:dyDescent="0.25">
      <c r="A5071">
        <v>1814</v>
      </c>
      <c r="B5071">
        <f>A5071+1</f>
        <v>1815</v>
      </c>
      <c r="C5071" t="s">
        <v>520</v>
      </c>
      <c r="D5071" t="s">
        <v>26</v>
      </c>
      <c r="E5071" s="208" t="s">
        <v>567</v>
      </c>
      <c r="F5071" t="s">
        <v>15</v>
      </c>
      <c r="G5071" s="18">
        <v>21124</v>
      </c>
      <c r="H5071" s="151" t="s">
        <v>563</v>
      </c>
      <c r="I5071" t="s">
        <v>561</v>
      </c>
    </row>
    <row r="5072" spans="1:9" x14ac:dyDescent="0.25">
      <c r="A5072">
        <v>1814</v>
      </c>
      <c r="B5072">
        <f>A5072+1</f>
        <v>1815</v>
      </c>
      <c r="C5072" t="s">
        <v>520</v>
      </c>
      <c r="D5072" t="s">
        <v>26</v>
      </c>
      <c r="E5072" s="208" t="s">
        <v>569</v>
      </c>
      <c r="F5072" t="s">
        <v>3</v>
      </c>
      <c r="G5072" s="18">
        <v>535</v>
      </c>
      <c r="H5072" t="s">
        <v>24</v>
      </c>
      <c r="I5072" t="s">
        <v>16</v>
      </c>
    </row>
    <row r="5073" spans="1:9" x14ac:dyDescent="0.25">
      <c r="A5073">
        <v>1814</v>
      </c>
      <c r="B5073">
        <f>A5073+1</f>
        <v>1815</v>
      </c>
      <c r="C5073" t="s">
        <v>520</v>
      </c>
      <c r="D5073" t="s">
        <v>26</v>
      </c>
      <c r="E5073" s="208" t="s">
        <v>569</v>
      </c>
      <c r="F5073" t="s">
        <v>169</v>
      </c>
      <c r="G5073" s="18">
        <v>0</v>
      </c>
      <c r="H5073" t="s">
        <v>160</v>
      </c>
      <c r="I5073" t="s">
        <v>16</v>
      </c>
    </row>
    <row r="5074" spans="1:9" x14ac:dyDescent="0.25">
      <c r="A5074">
        <v>1814</v>
      </c>
      <c r="B5074">
        <f>A5074+1</f>
        <v>1815</v>
      </c>
      <c r="C5074" t="s">
        <v>520</v>
      </c>
      <c r="D5074" t="s">
        <v>26</v>
      </c>
      <c r="E5074" s="208" t="s">
        <v>569</v>
      </c>
      <c r="F5074" t="s">
        <v>6</v>
      </c>
      <c r="G5074" s="18">
        <v>0</v>
      </c>
      <c r="H5074" t="s">
        <v>25</v>
      </c>
      <c r="I5074" t="s">
        <v>16</v>
      </c>
    </row>
    <row r="5075" spans="1:9" x14ac:dyDescent="0.25">
      <c r="A5075">
        <v>1814</v>
      </c>
      <c r="B5075">
        <f>A5075+1</f>
        <v>1815</v>
      </c>
      <c r="C5075" t="s">
        <v>520</v>
      </c>
      <c r="D5075" t="s">
        <v>26</v>
      </c>
      <c r="E5075" s="208" t="s">
        <v>569</v>
      </c>
      <c r="F5075" t="s">
        <v>4</v>
      </c>
      <c r="G5075" s="18">
        <v>0</v>
      </c>
      <c r="H5075" t="s">
        <v>23</v>
      </c>
      <c r="I5075" t="s">
        <v>16</v>
      </c>
    </row>
    <row r="5076" spans="1:9" x14ac:dyDescent="0.25">
      <c r="A5076">
        <v>1814</v>
      </c>
      <c r="B5076">
        <f>A5076+1</f>
        <v>1815</v>
      </c>
      <c r="C5076" t="s">
        <v>520</v>
      </c>
      <c r="D5076" t="s">
        <v>26</v>
      </c>
      <c r="E5076" s="208" t="s">
        <v>569</v>
      </c>
      <c r="F5076" t="s">
        <v>7</v>
      </c>
      <c r="G5076" s="18">
        <v>535</v>
      </c>
      <c r="H5076" s="151" t="s">
        <v>563</v>
      </c>
      <c r="I5076" t="s">
        <v>16</v>
      </c>
    </row>
    <row r="5077" spans="1:9" x14ac:dyDescent="0.25">
      <c r="A5077">
        <v>1814</v>
      </c>
      <c r="B5077">
        <f>A5077+1</f>
        <v>1815</v>
      </c>
      <c r="C5077" t="s">
        <v>520</v>
      </c>
      <c r="D5077" t="s">
        <v>26</v>
      </c>
      <c r="E5077" s="208" t="s">
        <v>569</v>
      </c>
      <c r="F5077" t="s">
        <v>10</v>
      </c>
      <c r="G5077" s="18">
        <v>25</v>
      </c>
      <c r="H5077" t="s">
        <v>24</v>
      </c>
      <c r="I5077" t="s">
        <v>17</v>
      </c>
    </row>
    <row r="5078" spans="1:9" x14ac:dyDescent="0.25">
      <c r="A5078">
        <v>1814</v>
      </c>
      <c r="B5078">
        <f>A5078+1</f>
        <v>1815</v>
      </c>
      <c r="C5078" t="s">
        <v>520</v>
      </c>
      <c r="D5078" t="s">
        <v>26</v>
      </c>
      <c r="E5078" s="208" t="s">
        <v>569</v>
      </c>
      <c r="F5078" t="s">
        <v>164</v>
      </c>
      <c r="G5078" s="18">
        <v>0</v>
      </c>
      <c r="H5078" t="s">
        <v>160</v>
      </c>
      <c r="I5078" t="s">
        <v>17</v>
      </c>
    </row>
    <row r="5079" spans="1:9" x14ac:dyDescent="0.25">
      <c r="A5079">
        <v>1814</v>
      </c>
      <c r="B5079">
        <f>A5079+1</f>
        <v>1815</v>
      </c>
      <c r="C5079" t="s">
        <v>520</v>
      </c>
      <c r="D5079" t="s">
        <v>26</v>
      </c>
      <c r="E5079" s="208" t="s">
        <v>569</v>
      </c>
      <c r="F5079" t="s">
        <v>13</v>
      </c>
      <c r="G5079" s="18">
        <v>0</v>
      </c>
      <c r="H5079" t="s">
        <v>25</v>
      </c>
      <c r="I5079" t="s">
        <v>17</v>
      </c>
    </row>
    <row r="5080" spans="1:9" x14ac:dyDescent="0.25">
      <c r="A5080">
        <v>1814</v>
      </c>
      <c r="B5080">
        <f>A5080+1</f>
        <v>1815</v>
      </c>
      <c r="C5080" t="s">
        <v>520</v>
      </c>
      <c r="D5080" t="s">
        <v>26</v>
      </c>
      <c r="E5080" s="208" t="s">
        <v>569</v>
      </c>
      <c r="F5080" t="s">
        <v>11</v>
      </c>
      <c r="G5080" s="18">
        <v>0</v>
      </c>
      <c r="H5080" t="s">
        <v>23</v>
      </c>
      <c r="I5080" t="s">
        <v>17</v>
      </c>
    </row>
    <row r="5081" spans="1:9" x14ac:dyDescent="0.25">
      <c r="A5081">
        <v>1814</v>
      </c>
      <c r="B5081">
        <f>A5081+1</f>
        <v>1815</v>
      </c>
      <c r="C5081" t="s">
        <v>520</v>
      </c>
      <c r="D5081" t="s">
        <v>26</v>
      </c>
      <c r="E5081" s="208" t="s">
        <v>569</v>
      </c>
      <c r="F5081" t="s">
        <v>14</v>
      </c>
      <c r="G5081" s="18">
        <v>25</v>
      </c>
      <c r="H5081" s="151" t="s">
        <v>563</v>
      </c>
      <c r="I5081" t="s">
        <v>17</v>
      </c>
    </row>
    <row r="5082" spans="1:9" x14ac:dyDescent="0.25">
      <c r="A5082">
        <v>1814</v>
      </c>
      <c r="B5082">
        <f>A5082+1</f>
        <v>1815</v>
      </c>
      <c r="C5082" t="s">
        <v>520</v>
      </c>
      <c r="D5082" t="s">
        <v>26</v>
      </c>
      <c r="E5082" s="208" t="s">
        <v>569</v>
      </c>
      <c r="F5082" t="s">
        <v>15</v>
      </c>
      <c r="G5082" s="18">
        <v>560</v>
      </c>
      <c r="H5082" s="151" t="s">
        <v>563</v>
      </c>
      <c r="I5082" t="s">
        <v>561</v>
      </c>
    </row>
    <row r="5083" spans="1:9" x14ac:dyDescent="0.25">
      <c r="A5083">
        <v>1814</v>
      </c>
      <c r="B5083">
        <f>A5083+1</f>
        <v>1815</v>
      </c>
      <c r="C5083" t="s">
        <v>520</v>
      </c>
      <c r="D5083" t="s">
        <v>26</v>
      </c>
      <c r="E5083" s="208" t="s">
        <v>566</v>
      </c>
      <c r="F5083" t="s">
        <v>3</v>
      </c>
      <c r="G5083" s="18">
        <v>227</v>
      </c>
      <c r="H5083" t="s">
        <v>24</v>
      </c>
      <c r="I5083" t="s">
        <v>16</v>
      </c>
    </row>
    <row r="5084" spans="1:9" x14ac:dyDescent="0.25">
      <c r="A5084">
        <v>1814</v>
      </c>
      <c r="B5084">
        <f>A5084+1</f>
        <v>1815</v>
      </c>
      <c r="C5084" t="s">
        <v>520</v>
      </c>
      <c r="D5084" t="s">
        <v>26</v>
      </c>
      <c r="E5084" s="208" t="s">
        <v>566</v>
      </c>
      <c r="F5084" t="s">
        <v>169</v>
      </c>
      <c r="G5084" s="18">
        <v>0</v>
      </c>
      <c r="H5084" t="s">
        <v>160</v>
      </c>
      <c r="I5084" t="s">
        <v>16</v>
      </c>
    </row>
    <row r="5085" spans="1:9" x14ac:dyDescent="0.25">
      <c r="A5085">
        <v>1814</v>
      </c>
      <c r="B5085">
        <f>A5085+1</f>
        <v>1815</v>
      </c>
      <c r="C5085" t="s">
        <v>520</v>
      </c>
      <c r="D5085" t="s">
        <v>26</v>
      </c>
      <c r="E5085" s="208" t="s">
        <v>566</v>
      </c>
      <c r="F5085" t="s">
        <v>6</v>
      </c>
      <c r="G5085" s="18">
        <v>0</v>
      </c>
      <c r="H5085" t="s">
        <v>25</v>
      </c>
      <c r="I5085" t="s">
        <v>16</v>
      </c>
    </row>
    <row r="5086" spans="1:9" x14ac:dyDescent="0.25">
      <c r="A5086">
        <v>1814</v>
      </c>
      <c r="B5086">
        <f>A5086+1</f>
        <v>1815</v>
      </c>
      <c r="C5086" t="s">
        <v>520</v>
      </c>
      <c r="D5086" t="s">
        <v>26</v>
      </c>
      <c r="E5086" s="208" t="s">
        <v>566</v>
      </c>
      <c r="F5086" t="s">
        <v>4</v>
      </c>
      <c r="G5086" s="18">
        <v>0</v>
      </c>
      <c r="H5086" t="s">
        <v>23</v>
      </c>
      <c r="I5086" t="s">
        <v>16</v>
      </c>
    </row>
    <row r="5087" spans="1:9" x14ac:dyDescent="0.25">
      <c r="A5087">
        <v>1814</v>
      </c>
      <c r="B5087">
        <f>A5087+1</f>
        <v>1815</v>
      </c>
      <c r="C5087" t="s">
        <v>520</v>
      </c>
      <c r="D5087" t="s">
        <v>26</v>
      </c>
      <c r="E5087" s="208" t="s">
        <v>566</v>
      </c>
      <c r="F5087" t="s">
        <v>7</v>
      </c>
      <c r="G5087" s="18">
        <v>227</v>
      </c>
      <c r="H5087" s="151" t="s">
        <v>563</v>
      </c>
      <c r="I5087" t="s">
        <v>16</v>
      </c>
    </row>
    <row r="5088" spans="1:9" x14ac:dyDescent="0.25">
      <c r="A5088">
        <v>1814</v>
      </c>
      <c r="B5088">
        <f>A5088+1</f>
        <v>1815</v>
      </c>
      <c r="C5088" t="s">
        <v>520</v>
      </c>
      <c r="D5088" t="s">
        <v>26</v>
      </c>
      <c r="E5088" s="208" t="s">
        <v>566</v>
      </c>
      <c r="F5088" t="s">
        <v>10</v>
      </c>
      <c r="G5088" s="18">
        <v>44</v>
      </c>
      <c r="H5088" t="s">
        <v>24</v>
      </c>
      <c r="I5088" t="s">
        <v>17</v>
      </c>
    </row>
    <row r="5089" spans="1:9" x14ac:dyDescent="0.25">
      <c r="A5089">
        <v>1814</v>
      </c>
      <c r="B5089">
        <f>A5089+1</f>
        <v>1815</v>
      </c>
      <c r="C5089" t="s">
        <v>520</v>
      </c>
      <c r="D5089" t="s">
        <v>26</v>
      </c>
      <c r="E5089" s="208" t="s">
        <v>566</v>
      </c>
      <c r="F5089" t="s">
        <v>164</v>
      </c>
      <c r="G5089" s="18">
        <v>0</v>
      </c>
      <c r="H5089" t="s">
        <v>160</v>
      </c>
      <c r="I5089" t="s">
        <v>17</v>
      </c>
    </row>
    <row r="5090" spans="1:9" x14ac:dyDescent="0.25">
      <c r="A5090">
        <v>1814</v>
      </c>
      <c r="B5090">
        <f>A5090+1</f>
        <v>1815</v>
      </c>
      <c r="C5090" t="s">
        <v>520</v>
      </c>
      <c r="D5090" t="s">
        <v>26</v>
      </c>
      <c r="E5090" s="208" t="s">
        <v>566</v>
      </c>
      <c r="F5090" t="s">
        <v>13</v>
      </c>
      <c r="G5090" s="18">
        <v>0</v>
      </c>
      <c r="H5090" t="s">
        <v>25</v>
      </c>
      <c r="I5090" t="s">
        <v>17</v>
      </c>
    </row>
    <row r="5091" spans="1:9" x14ac:dyDescent="0.25">
      <c r="A5091">
        <v>1814</v>
      </c>
      <c r="B5091">
        <f>A5091+1</f>
        <v>1815</v>
      </c>
      <c r="C5091" t="s">
        <v>520</v>
      </c>
      <c r="D5091" t="s">
        <v>26</v>
      </c>
      <c r="E5091" s="208" t="s">
        <v>566</v>
      </c>
      <c r="F5091" t="s">
        <v>11</v>
      </c>
      <c r="G5091" s="18">
        <v>0</v>
      </c>
      <c r="H5091" t="s">
        <v>23</v>
      </c>
      <c r="I5091" t="s">
        <v>17</v>
      </c>
    </row>
    <row r="5092" spans="1:9" x14ac:dyDescent="0.25">
      <c r="A5092">
        <v>1814</v>
      </c>
      <c r="B5092">
        <f>A5092+1</f>
        <v>1815</v>
      </c>
      <c r="C5092" t="s">
        <v>520</v>
      </c>
      <c r="D5092" t="s">
        <v>26</v>
      </c>
      <c r="E5092" s="208" t="s">
        <v>566</v>
      </c>
      <c r="F5092" t="s">
        <v>14</v>
      </c>
      <c r="G5092" s="18">
        <v>44</v>
      </c>
      <c r="H5092" s="151" t="s">
        <v>563</v>
      </c>
      <c r="I5092" t="s">
        <v>17</v>
      </c>
    </row>
    <row r="5093" spans="1:9" x14ac:dyDescent="0.25">
      <c r="A5093">
        <v>1814</v>
      </c>
      <c r="B5093">
        <f>A5093+1</f>
        <v>1815</v>
      </c>
      <c r="C5093" t="s">
        <v>520</v>
      </c>
      <c r="D5093" t="s">
        <v>26</v>
      </c>
      <c r="E5093" s="208" t="s">
        <v>566</v>
      </c>
      <c r="F5093" t="s">
        <v>15</v>
      </c>
      <c r="G5093" s="18">
        <v>271</v>
      </c>
      <c r="H5093" s="151" t="s">
        <v>563</v>
      </c>
      <c r="I5093" t="s">
        <v>561</v>
      </c>
    </row>
    <row r="5094" spans="1:9" x14ac:dyDescent="0.25">
      <c r="A5094">
        <v>1815</v>
      </c>
      <c r="B5094">
        <f>A5094+1</f>
        <v>1816</v>
      </c>
      <c r="C5094" t="s">
        <v>521</v>
      </c>
      <c r="D5094" t="s">
        <v>26</v>
      </c>
      <c r="E5094" s="208" t="s">
        <v>572</v>
      </c>
      <c r="F5094" t="s">
        <v>3</v>
      </c>
      <c r="G5094" s="18">
        <v>2754</v>
      </c>
      <c r="H5094" t="s">
        <v>24</v>
      </c>
      <c r="I5094" t="s">
        <v>16</v>
      </c>
    </row>
    <row r="5095" spans="1:9" x14ac:dyDescent="0.25">
      <c r="A5095">
        <v>1815</v>
      </c>
      <c r="B5095">
        <f>A5095+1</f>
        <v>1816</v>
      </c>
      <c r="C5095" t="s">
        <v>521</v>
      </c>
      <c r="D5095" t="s">
        <v>26</v>
      </c>
      <c r="E5095" s="208" t="s">
        <v>572</v>
      </c>
      <c r="F5095" t="s">
        <v>169</v>
      </c>
      <c r="G5095" s="18">
        <v>0</v>
      </c>
      <c r="H5095" t="s">
        <v>160</v>
      </c>
      <c r="I5095" t="s">
        <v>16</v>
      </c>
    </row>
    <row r="5096" spans="1:9" x14ac:dyDescent="0.25">
      <c r="A5096">
        <v>1815</v>
      </c>
      <c r="B5096">
        <f>A5096+1</f>
        <v>1816</v>
      </c>
      <c r="C5096" t="s">
        <v>521</v>
      </c>
      <c r="D5096" t="s">
        <v>26</v>
      </c>
      <c r="E5096" s="208" t="s">
        <v>572</v>
      </c>
      <c r="F5096" t="s">
        <v>6</v>
      </c>
      <c r="G5096" s="18">
        <v>0</v>
      </c>
      <c r="H5096" t="s">
        <v>25</v>
      </c>
      <c r="I5096" t="s">
        <v>16</v>
      </c>
    </row>
    <row r="5097" spans="1:9" x14ac:dyDescent="0.25">
      <c r="A5097">
        <v>1815</v>
      </c>
      <c r="B5097">
        <f>A5097+1</f>
        <v>1816</v>
      </c>
      <c r="C5097" t="s">
        <v>521</v>
      </c>
      <c r="D5097" t="s">
        <v>26</v>
      </c>
      <c r="E5097" s="208" t="s">
        <v>572</v>
      </c>
      <c r="F5097" t="s">
        <v>4</v>
      </c>
      <c r="G5097" s="18">
        <v>0</v>
      </c>
      <c r="H5097" t="s">
        <v>23</v>
      </c>
      <c r="I5097" t="s">
        <v>16</v>
      </c>
    </row>
    <row r="5098" spans="1:9" x14ac:dyDescent="0.25">
      <c r="A5098">
        <v>1815</v>
      </c>
      <c r="B5098">
        <f>A5098+1</f>
        <v>1816</v>
      </c>
      <c r="C5098" t="s">
        <v>521</v>
      </c>
      <c r="D5098" t="s">
        <v>26</v>
      </c>
      <c r="E5098" s="208" t="s">
        <v>572</v>
      </c>
      <c r="F5098" t="s">
        <v>7</v>
      </c>
      <c r="G5098" s="18">
        <v>2754</v>
      </c>
      <c r="H5098" s="151" t="s">
        <v>563</v>
      </c>
      <c r="I5098" t="s">
        <v>16</v>
      </c>
    </row>
    <row r="5099" spans="1:9" x14ac:dyDescent="0.25">
      <c r="A5099">
        <v>1815</v>
      </c>
      <c r="B5099">
        <f>A5099+1</f>
        <v>1816</v>
      </c>
      <c r="C5099" t="s">
        <v>521</v>
      </c>
      <c r="D5099" t="s">
        <v>26</v>
      </c>
      <c r="E5099" s="208" t="s">
        <v>572</v>
      </c>
      <c r="F5099" t="s">
        <v>10</v>
      </c>
      <c r="G5099" s="18">
        <v>604</v>
      </c>
      <c r="H5099" t="s">
        <v>24</v>
      </c>
      <c r="I5099" t="s">
        <v>17</v>
      </c>
    </row>
    <row r="5100" spans="1:9" x14ac:dyDescent="0.25">
      <c r="A5100">
        <v>1815</v>
      </c>
      <c r="B5100">
        <f>A5100+1</f>
        <v>1816</v>
      </c>
      <c r="C5100" t="s">
        <v>521</v>
      </c>
      <c r="D5100" t="s">
        <v>26</v>
      </c>
      <c r="E5100" s="208" t="s">
        <v>572</v>
      </c>
      <c r="F5100" t="s">
        <v>13</v>
      </c>
      <c r="G5100" s="18">
        <v>0</v>
      </c>
      <c r="H5100" t="s">
        <v>25</v>
      </c>
      <c r="I5100" t="s">
        <v>17</v>
      </c>
    </row>
    <row r="5101" spans="1:9" x14ac:dyDescent="0.25">
      <c r="A5101">
        <v>1815</v>
      </c>
      <c r="B5101">
        <f>A5101+1</f>
        <v>1816</v>
      </c>
      <c r="C5101" t="s">
        <v>521</v>
      </c>
      <c r="D5101" t="s">
        <v>26</v>
      </c>
      <c r="E5101" s="208" t="s">
        <v>572</v>
      </c>
      <c r="F5101" t="s">
        <v>11</v>
      </c>
      <c r="G5101" s="18">
        <v>0</v>
      </c>
      <c r="H5101" t="s">
        <v>23</v>
      </c>
      <c r="I5101" t="s">
        <v>17</v>
      </c>
    </row>
    <row r="5102" spans="1:9" x14ac:dyDescent="0.25">
      <c r="A5102">
        <v>1815</v>
      </c>
      <c r="B5102">
        <f>A5102+1</f>
        <v>1816</v>
      </c>
      <c r="C5102" t="s">
        <v>521</v>
      </c>
      <c r="D5102" t="s">
        <v>26</v>
      </c>
      <c r="E5102" s="208" t="s">
        <v>572</v>
      </c>
      <c r="F5102" t="s">
        <v>14</v>
      </c>
      <c r="G5102" s="18">
        <v>604</v>
      </c>
      <c r="H5102" s="151" t="s">
        <v>563</v>
      </c>
      <c r="I5102" t="s">
        <v>17</v>
      </c>
    </row>
    <row r="5103" spans="1:9" x14ac:dyDescent="0.25">
      <c r="A5103">
        <v>1815</v>
      </c>
      <c r="B5103">
        <f>A5103+1</f>
        <v>1816</v>
      </c>
      <c r="C5103" t="s">
        <v>521</v>
      </c>
      <c r="D5103" t="s">
        <v>26</v>
      </c>
      <c r="E5103" s="208" t="s">
        <v>572</v>
      </c>
      <c r="F5103" t="s">
        <v>15</v>
      </c>
      <c r="G5103" s="18">
        <v>3358</v>
      </c>
      <c r="H5103" s="151" t="s">
        <v>563</v>
      </c>
      <c r="I5103" t="s">
        <v>561</v>
      </c>
    </row>
    <row r="5104" spans="1:9" x14ac:dyDescent="0.25">
      <c r="A5104">
        <v>1815</v>
      </c>
      <c r="B5104">
        <f>A5104+1</f>
        <v>1816</v>
      </c>
      <c r="C5104" t="s">
        <v>521</v>
      </c>
      <c r="D5104" t="s">
        <v>26</v>
      </c>
      <c r="E5104" s="208" t="s">
        <v>571</v>
      </c>
      <c r="F5104" t="s">
        <v>3</v>
      </c>
      <c r="G5104" s="18">
        <v>5092</v>
      </c>
      <c r="H5104" t="s">
        <v>24</v>
      </c>
      <c r="I5104" t="s">
        <v>16</v>
      </c>
    </row>
    <row r="5105" spans="1:9" x14ac:dyDescent="0.25">
      <c r="A5105">
        <v>1815</v>
      </c>
      <c r="B5105">
        <f>A5105+1</f>
        <v>1816</v>
      </c>
      <c r="C5105" t="s">
        <v>521</v>
      </c>
      <c r="D5105" t="s">
        <v>26</v>
      </c>
      <c r="E5105" s="208" t="s">
        <v>571</v>
      </c>
      <c r="F5105" t="s">
        <v>169</v>
      </c>
      <c r="G5105" s="18">
        <v>0</v>
      </c>
      <c r="H5105" t="s">
        <v>160</v>
      </c>
      <c r="I5105" t="s">
        <v>16</v>
      </c>
    </row>
    <row r="5106" spans="1:9" x14ac:dyDescent="0.25">
      <c r="A5106">
        <v>1815</v>
      </c>
      <c r="B5106">
        <f>A5106+1</f>
        <v>1816</v>
      </c>
      <c r="C5106" t="s">
        <v>521</v>
      </c>
      <c r="D5106" t="s">
        <v>26</v>
      </c>
      <c r="E5106" s="208" t="s">
        <v>571</v>
      </c>
      <c r="F5106" t="s">
        <v>6</v>
      </c>
      <c r="G5106" s="18">
        <v>0</v>
      </c>
      <c r="H5106" t="s">
        <v>25</v>
      </c>
      <c r="I5106" t="s">
        <v>16</v>
      </c>
    </row>
    <row r="5107" spans="1:9" x14ac:dyDescent="0.25">
      <c r="A5107">
        <v>1815</v>
      </c>
      <c r="B5107">
        <f>A5107+1</f>
        <v>1816</v>
      </c>
      <c r="C5107" t="s">
        <v>521</v>
      </c>
      <c r="D5107" t="s">
        <v>26</v>
      </c>
      <c r="E5107" s="208" t="s">
        <v>571</v>
      </c>
      <c r="F5107" t="s">
        <v>4</v>
      </c>
      <c r="G5107" s="18">
        <v>0</v>
      </c>
      <c r="H5107" t="s">
        <v>23</v>
      </c>
      <c r="I5107" t="s">
        <v>16</v>
      </c>
    </row>
    <row r="5108" spans="1:9" x14ac:dyDescent="0.25">
      <c r="A5108">
        <v>1815</v>
      </c>
      <c r="B5108">
        <f>A5108+1</f>
        <v>1816</v>
      </c>
      <c r="C5108" t="s">
        <v>521</v>
      </c>
      <c r="D5108" t="s">
        <v>26</v>
      </c>
      <c r="E5108" s="208" t="s">
        <v>571</v>
      </c>
      <c r="F5108" t="s">
        <v>7</v>
      </c>
      <c r="G5108" s="18">
        <v>5092</v>
      </c>
      <c r="H5108" s="151" t="s">
        <v>563</v>
      </c>
      <c r="I5108" t="s">
        <v>16</v>
      </c>
    </row>
    <row r="5109" spans="1:9" x14ac:dyDescent="0.25">
      <c r="A5109">
        <v>1815</v>
      </c>
      <c r="B5109">
        <f>A5109+1</f>
        <v>1816</v>
      </c>
      <c r="C5109" t="s">
        <v>521</v>
      </c>
      <c r="D5109" t="s">
        <v>26</v>
      </c>
      <c r="E5109" s="208" t="s">
        <v>571</v>
      </c>
      <c r="F5109" t="s">
        <v>10</v>
      </c>
      <c r="G5109" s="18">
        <v>2017</v>
      </c>
      <c r="H5109" t="s">
        <v>24</v>
      </c>
      <c r="I5109" t="s">
        <v>17</v>
      </c>
    </row>
    <row r="5110" spans="1:9" x14ac:dyDescent="0.25">
      <c r="A5110">
        <v>1815</v>
      </c>
      <c r="B5110">
        <f>A5110+1</f>
        <v>1816</v>
      </c>
      <c r="C5110" t="s">
        <v>521</v>
      </c>
      <c r="D5110" t="s">
        <v>26</v>
      </c>
      <c r="E5110" s="208" t="s">
        <v>571</v>
      </c>
      <c r="F5110" t="s">
        <v>13</v>
      </c>
      <c r="G5110" s="18">
        <v>0</v>
      </c>
      <c r="H5110" t="s">
        <v>25</v>
      </c>
      <c r="I5110" t="s">
        <v>17</v>
      </c>
    </row>
    <row r="5111" spans="1:9" x14ac:dyDescent="0.25">
      <c r="A5111">
        <v>1815</v>
      </c>
      <c r="B5111">
        <f>A5111+1</f>
        <v>1816</v>
      </c>
      <c r="C5111" t="s">
        <v>521</v>
      </c>
      <c r="D5111" t="s">
        <v>26</v>
      </c>
      <c r="E5111" s="208" t="s">
        <v>571</v>
      </c>
      <c r="F5111" t="s">
        <v>11</v>
      </c>
      <c r="G5111" s="18">
        <v>0</v>
      </c>
      <c r="H5111" t="s">
        <v>23</v>
      </c>
      <c r="I5111" t="s">
        <v>17</v>
      </c>
    </row>
    <row r="5112" spans="1:9" x14ac:dyDescent="0.25">
      <c r="A5112">
        <v>1815</v>
      </c>
      <c r="B5112">
        <f>A5112+1</f>
        <v>1816</v>
      </c>
      <c r="C5112" t="s">
        <v>521</v>
      </c>
      <c r="D5112" t="s">
        <v>26</v>
      </c>
      <c r="E5112" s="208" t="s">
        <v>571</v>
      </c>
      <c r="F5112" t="s">
        <v>14</v>
      </c>
      <c r="G5112" s="18">
        <v>2017</v>
      </c>
      <c r="H5112" s="151" t="s">
        <v>563</v>
      </c>
      <c r="I5112" t="s">
        <v>17</v>
      </c>
    </row>
    <row r="5113" spans="1:9" x14ac:dyDescent="0.25">
      <c r="A5113">
        <v>1815</v>
      </c>
      <c r="B5113">
        <f>A5113+1</f>
        <v>1816</v>
      </c>
      <c r="C5113" t="s">
        <v>521</v>
      </c>
      <c r="D5113" t="s">
        <v>26</v>
      </c>
      <c r="E5113" s="208" t="s">
        <v>571</v>
      </c>
      <c r="F5113" t="s">
        <v>15</v>
      </c>
      <c r="G5113" s="18">
        <v>7109</v>
      </c>
      <c r="H5113" s="151" t="s">
        <v>563</v>
      </c>
      <c r="I5113" t="s">
        <v>561</v>
      </c>
    </row>
    <row r="5114" spans="1:9" x14ac:dyDescent="0.25">
      <c r="A5114">
        <v>1815</v>
      </c>
      <c r="B5114">
        <f>A5114+1</f>
        <v>1816</v>
      </c>
      <c r="C5114" t="s">
        <v>521</v>
      </c>
      <c r="D5114" t="s">
        <v>26</v>
      </c>
      <c r="E5114" s="208" t="s">
        <v>570</v>
      </c>
      <c r="F5114" t="s">
        <v>3</v>
      </c>
      <c r="G5114" s="18">
        <v>1335</v>
      </c>
      <c r="H5114" t="s">
        <v>24</v>
      </c>
      <c r="I5114" t="s">
        <v>16</v>
      </c>
    </row>
    <row r="5115" spans="1:9" x14ac:dyDescent="0.25">
      <c r="A5115">
        <v>1815</v>
      </c>
      <c r="B5115">
        <f>A5115+1</f>
        <v>1816</v>
      </c>
      <c r="C5115" t="s">
        <v>521</v>
      </c>
      <c r="D5115" t="s">
        <v>26</v>
      </c>
      <c r="E5115" s="208" t="s">
        <v>570</v>
      </c>
      <c r="F5115" t="s">
        <v>169</v>
      </c>
      <c r="G5115" s="18">
        <v>0</v>
      </c>
      <c r="H5115" t="s">
        <v>160</v>
      </c>
      <c r="I5115" t="s">
        <v>16</v>
      </c>
    </row>
    <row r="5116" spans="1:9" x14ac:dyDescent="0.25">
      <c r="A5116">
        <v>1815</v>
      </c>
      <c r="B5116">
        <f>A5116+1</f>
        <v>1816</v>
      </c>
      <c r="C5116" t="s">
        <v>521</v>
      </c>
      <c r="D5116" t="s">
        <v>26</v>
      </c>
      <c r="E5116" s="208" t="s">
        <v>570</v>
      </c>
      <c r="F5116" t="s">
        <v>6</v>
      </c>
      <c r="G5116" s="18">
        <v>0</v>
      </c>
      <c r="H5116" t="s">
        <v>25</v>
      </c>
      <c r="I5116" t="s">
        <v>16</v>
      </c>
    </row>
    <row r="5117" spans="1:9" x14ac:dyDescent="0.25">
      <c r="A5117">
        <v>1815</v>
      </c>
      <c r="B5117">
        <f>A5117+1</f>
        <v>1816</v>
      </c>
      <c r="C5117" t="s">
        <v>521</v>
      </c>
      <c r="D5117" t="s">
        <v>26</v>
      </c>
      <c r="E5117" s="208" t="s">
        <v>570</v>
      </c>
      <c r="F5117" t="s">
        <v>4</v>
      </c>
      <c r="G5117" s="18">
        <v>0</v>
      </c>
      <c r="H5117" t="s">
        <v>23</v>
      </c>
      <c r="I5117" t="s">
        <v>16</v>
      </c>
    </row>
    <row r="5118" spans="1:9" x14ac:dyDescent="0.25">
      <c r="A5118">
        <v>1815</v>
      </c>
      <c r="B5118">
        <f>A5118+1</f>
        <v>1816</v>
      </c>
      <c r="C5118" t="s">
        <v>521</v>
      </c>
      <c r="D5118" t="s">
        <v>26</v>
      </c>
      <c r="E5118" s="208" t="s">
        <v>570</v>
      </c>
      <c r="F5118" t="s">
        <v>7</v>
      </c>
      <c r="G5118" s="18">
        <v>1335</v>
      </c>
      <c r="H5118" s="151" t="s">
        <v>563</v>
      </c>
      <c r="I5118" t="s">
        <v>16</v>
      </c>
    </row>
    <row r="5119" spans="1:9" x14ac:dyDescent="0.25">
      <c r="A5119">
        <v>1815</v>
      </c>
      <c r="B5119">
        <f>A5119+1</f>
        <v>1816</v>
      </c>
      <c r="C5119" t="s">
        <v>521</v>
      </c>
      <c r="D5119" t="s">
        <v>26</v>
      </c>
      <c r="E5119" s="208" t="s">
        <v>570</v>
      </c>
      <c r="F5119" t="s">
        <v>10</v>
      </c>
      <c r="G5119" s="18">
        <v>637</v>
      </c>
      <c r="H5119" t="s">
        <v>24</v>
      </c>
      <c r="I5119" t="s">
        <v>17</v>
      </c>
    </row>
    <row r="5120" spans="1:9" x14ac:dyDescent="0.25">
      <c r="A5120">
        <v>1815</v>
      </c>
      <c r="B5120">
        <f>A5120+1</f>
        <v>1816</v>
      </c>
      <c r="C5120" t="s">
        <v>521</v>
      </c>
      <c r="D5120" t="s">
        <v>26</v>
      </c>
      <c r="E5120" s="208" t="s">
        <v>570</v>
      </c>
      <c r="F5120" t="s">
        <v>164</v>
      </c>
      <c r="G5120" s="18">
        <v>0</v>
      </c>
      <c r="H5120" t="s">
        <v>160</v>
      </c>
      <c r="I5120" t="s">
        <v>17</v>
      </c>
    </row>
    <row r="5121" spans="1:9" x14ac:dyDescent="0.25">
      <c r="A5121">
        <v>1815</v>
      </c>
      <c r="B5121">
        <f>A5121+1</f>
        <v>1816</v>
      </c>
      <c r="C5121" t="s">
        <v>521</v>
      </c>
      <c r="D5121" t="s">
        <v>26</v>
      </c>
      <c r="E5121" s="208" t="s">
        <v>570</v>
      </c>
      <c r="F5121" t="s">
        <v>13</v>
      </c>
      <c r="G5121" s="18">
        <v>0</v>
      </c>
      <c r="H5121" t="s">
        <v>25</v>
      </c>
      <c r="I5121" t="s">
        <v>17</v>
      </c>
    </row>
    <row r="5122" spans="1:9" x14ac:dyDescent="0.25">
      <c r="A5122">
        <v>1815</v>
      </c>
      <c r="B5122">
        <f>A5122+1</f>
        <v>1816</v>
      </c>
      <c r="C5122" t="s">
        <v>521</v>
      </c>
      <c r="D5122" t="s">
        <v>26</v>
      </c>
      <c r="E5122" s="208" t="s">
        <v>570</v>
      </c>
      <c r="F5122" t="s">
        <v>11</v>
      </c>
      <c r="G5122" s="18">
        <v>0</v>
      </c>
      <c r="H5122" t="s">
        <v>23</v>
      </c>
      <c r="I5122" t="s">
        <v>17</v>
      </c>
    </row>
    <row r="5123" spans="1:9" x14ac:dyDescent="0.25">
      <c r="A5123">
        <v>1815</v>
      </c>
      <c r="B5123">
        <f>A5123+1</f>
        <v>1816</v>
      </c>
      <c r="C5123" t="s">
        <v>521</v>
      </c>
      <c r="D5123" t="s">
        <v>26</v>
      </c>
      <c r="E5123" s="208" t="s">
        <v>570</v>
      </c>
      <c r="F5123" t="s">
        <v>14</v>
      </c>
      <c r="G5123" s="18">
        <v>637</v>
      </c>
      <c r="H5123" s="151" t="s">
        <v>563</v>
      </c>
      <c r="I5123" t="s">
        <v>17</v>
      </c>
    </row>
    <row r="5124" spans="1:9" x14ac:dyDescent="0.25">
      <c r="A5124">
        <v>1815</v>
      </c>
      <c r="B5124">
        <f>A5124+1</f>
        <v>1816</v>
      </c>
      <c r="C5124" t="s">
        <v>521</v>
      </c>
      <c r="D5124" t="s">
        <v>26</v>
      </c>
      <c r="E5124" s="208" t="s">
        <v>570</v>
      </c>
      <c r="F5124" t="s">
        <v>15</v>
      </c>
      <c r="G5124" s="18">
        <v>1972</v>
      </c>
      <c r="H5124" s="151" t="s">
        <v>563</v>
      </c>
      <c r="I5124" t="s">
        <v>561</v>
      </c>
    </row>
    <row r="5125" spans="1:9" x14ac:dyDescent="0.25">
      <c r="A5125">
        <v>1815</v>
      </c>
      <c r="B5125">
        <f>A5125+1</f>
        <v>1816</v>
      </c>
      <c r="C5125" t="s">
        <v>521</v>
      </c>
      <c r="D5125" t="s">
        <v>26</v>
      </c>
      <c r="E5125" s="208" t="s">
        <v>573</v>
      </c>
      <c r="F5125" t="s">
        <v>3</v>
      </c>
      <c r="G5125" s="18">
        <v>778</v>
      </c>
      <c r="H5125" t="s">
        <v>24</v>
      </c>
      <c r="I5125" t="s">
        <v>16</v>
      </c>
    </row>
    <row r="5126" spans="1:9" x14ac:dyDescent="0.25">
      <c r="A5126">
        <v>1815</v>
      </c>
      <c r="B5126">
        <f>A5126+1</f>
        <v>1816</v>
      </c>
      <c r="C5126" t="s">
        <v>521</v>
      </c>
      <c r="D5126" t="s">
        <v>26</v>
      </c>
      <c r="E5126" s="208" t="s">
        <v>573</v>
      </c>
      <c r="F5126" t="s">
        <v>169</v>
      </c>
      <c r="G5126" s="18">
        <v>0</v>
      </c>
      <c r="H5126" t="s">
        <v>160</v>
      </c>
      <c r="I5126" t="s">
        <v>16</v>
      </c>
    </row>
    <row r="5127" spans="1:9" x14ac:dyDescent="0.25">
      <c r="A5127">
        <v>1815</v>
      </c>
      <c r="B5127">
        <f>A5127+1</f>
        <v>1816</v>
      </c>
      <c r="C5127" t="s">
        <v>521</v>
      </c>
      <c r="D5127" t="s">
        <v>26</v>
      </c>
      <c r="E5127" s="208" t="s">
        <v>573</v>
      </c>
      <c r="F5127" t="s">
        <v>6</v>
      </c>
      <c r="G5127" s="18">
        <v>0</v>
      </c>
      <c r="H5127" t="s">
        <v>25</v>
      </c>
      <c r="I5127" t="s">
        <v>16</v>
      </c>
    </row>
    <row r="5128" spans="1:9" x14ac:dyDescent="0.25">
      <c r="A5128">
        <v>1815</v>
      </c>
      <c r="B5128">
        <f>A5128+1</f>
        <v>1816</v>
      </c>
      <c r="C5128" t="s">
        <v>521</v>
      </c>
      <c r="D5128" t="s">
        <v>26</v>
      </c>
      <c r="E5128" s="208" t="s">
        <v>573</v>
      </c>
      <c r="F5128" t="s">
        <v>4</v>
      </c>
      <c r="G5128" s="18">
        <v>0</v>
      </c>
      <c r="H5128" t="s">
        <v>23</v>
      </c>
      <c r="I5128" t="s">
        <v>16</v>
      </c>
    </row>
    <row r="5129" spans="1:9" x14ac:dyDescent="0.25">
      <c r="A5129">
        <v>1815</v>
      </c>
      <c r="B5129">
        <f>A5129+1</f>
        <v>1816</v>
      </c>
      <c r="C5129" t="s">
        <v>521</v>
      </c>
      <c r="D5129" t="s">
        <v>26</v>
      </c>
      <c r="E5129" s="208" t="s">
        <v>573</v>
      </c>
      <c r="F5129" t="s">
        <v>7</v>
      </c>
      <c r="G5129" s="18">
        <v>778</v>
      </c>
      <c r="H5129" s="151" t="s">
        <v>563</v>
      </c>
      <c r="I5129" t="s">
        <v>16</v>
      </c>
    </row>
    <row r="5130" spans="1:9" x14ac:dyDescent="0.25">
      <c r="A5130">
        <v>1815</v>
      </c>
      <c r="B5130">
        <f>A5130+1</f>
        <v>1816</v>
      </c>
      <c r="C5130" t="s">
        <v>521</v>
      </c>
      <c r="D5130" t="s">
        <v>26</v>
      </c>
      <c r="E5130" s="208" t="s">
        <v>573</v>
      </c>
      <c r="F5130" t="s">
        <v>10</v>
      </c>
      <c r="G5130" s="18">
        <v>0</v>
      </c>
      <c r="H5130" t="s">
        <v>24</v>
      </c>
      <c r="I5130" t="s">
        <v>17</v>
      </c>
    </row>
    <row r="5131" spans="1:9" x14ac:dyDescent="0.25">
      <c r="A5131">
        <v>1815</v>
      </c>
      <c r="B5131">
        <f>A5131+1</f>
        <v>1816</v>
      </c>
      <c r="C5131" t="s">
        <v>521</v>
      </c>
      <c r="D5131" t="s">
        <v>26</v>
      </c>
      <c r="E5131" s="208" t="s">
        <v>573</v>
      </c>
      <c r="F5131" t="s">
        <v>13</v>
      </c>
      <c r="G5131" s="18">
        <v>0</v>
      </c>
      <c r="H5131" t="s">
        <v>25</v>
      </c>
      <c r="I5131" t="s">
        <v>17</v>
      </c>
    </row>
    <row r="5132" spans="1:9" x14ac:dyDescent="0.25">
      <c r="A5132">
        <v>1815</v>
      </c>
      <c r="B5132">
        <f>A5132+1</f>
        <v>1816</v>
      </c>
      <c r="C5132" t="s">
        <v>521</v>
      </c>
      <c r="D5132" t="s">
        <v>26</v>
      </c>
      <c r="E5132" s="208" t="s">
        <v>573</v>
      </c>
      <c r="F5132" t="s">
        <v>11</v>
      </c>
      <c r="G5132" s="18">
        <v>0</v>
      </c>
      <c r="H5132" t="s">
        <v>23</v>
      </c>
      <c r="I5132" t="s">
        <v>17</v>
      </c>
    </row>
    <row r="5133" spans="1:9" x14ac:dyDescent="0.25">
      <c r="A5133">
        <v>1815</v>
      </c>
      <c r="B5133">
        <f>A5133+1</f>
        <v>1816</v>
      </c>
      <c r="C5133" t="s">
        <v>521</v>
      </c>
      <c r="D5133" t="s">
        <v>26</v>
      </c>
      <c r="E5133" s="208" t="s">
        <v>573</v>
      </c>
      <c r="F5133" t="s">
        <v>14</v>
      </c>
      <c r="G5133" s="18">
        <v>0</v>
      </c>
      <c r="H5133" s="151" t="s">
        <v>563</v>
      </c>
      <c r="I5133" t="s">
        <v>17</v>
      </c>
    </row>
    <row r="5134" spans="1:9" x14ac:dyDescent="0.25">
      <c r="A5134">
        <v>1815</v>
      </c>
      <c r="B5134">
        <f>A5134+1</f>
        <v>1816</v>
      </c>
      <c r="C5134" t="s">
        <v>521</v>
      </c>
      <c r="D5134" t="s">
        <v>26</v>
      </c>
      <c r="E5134" s="208" t="s">
        <v>573</v>
      </c>
      <c r="F5134" t="s">
        <v>15</v>
      </c>
      <c r="G5134" s="18">
        <v>778</v>
      </c>
      <c r="H5134" s="151" t="s">
        <v>563</v>
      </c>
      <c r="I5134" t="s">
        <v>561</v>
      </c>
    </row>
    <row r="5135" spans="1:9" x14ac:dyDescent="0.25">
      <c r="A5135">
        <v>1815</v>
      </c>
      <c r="B5135">
        <f>A5135+1</f>
        <v>1816</v>
      </c>
      <c r="C5135" t="s">
        <v>521</v>
      </c>
      <c r="D5135" t="s">
        <v>27</v>
      </c>
      <c r="E5135" s="208" t="s">
        <v>155</v>
      </c>
      <c r="F5135" t="s">
        <v>3</v>
      </c>
      <c r="G5135" s="18">
        <v>437</v>
      </c>
      <c r="H5135" t="s">
        <v>16</v>
      </c>
      <c r="I5135" t="s">
        <v>24</v>
      </c>
    </row>
    <row r="5136" spans="1:9" x14ac:dyDescent="0.25">
      <c r="A5136">
        <v>1815</v>
      </c>
      <c r="B5136">
        <f>A5136+1</f>
        <v>1816</v>
      </c>
      <c r="C5136" t="s">
        <v>521</v>
      </c>
      <c r="D5136" t="s">
        <v>27</v>
      </c>
      <c r="E5136" s="208" t="s">
        <v>156</v>
      </c>
      <c r="F5136" t="s">
        <v>3</v>
      </c>
      <c r="G5136" s="18">
        <v>25</v>
      </c>
      <c r="H5136" t="s">
        <v>16</v>
      </c>
      <c r="I5136" t="s">
        <v>24</v>
      </c>
    </row>
    <row r="5137" spans="1:9" x14ac:dyDescent="0.25">
      <c r="A5137">
        <v>1815</v>
      </c>
      <c r="B5137">
        <f>A5137+1</f>
        <v>1816</v>
      </c>
      <c r="C5137" t="s">
        <v>521</v>
      </c>
      <c r="D5137" t="s">
        <v>27</v>
      </c>
      <c r="E5137" s="208" t="s">
        <v>154</v>
      </c>
      <c r="F5137" t="s">
        <v>3</v>
      </c>
      <c r="G5137" s="18">
        <v>650</v>
      </c>
      <c r="H5137" t="s">
        <v>16</v>
      </c>
      <c r="I5137" t="s">
        <v>24</v>
      </c>
    </row>
    <row r="5138" spans="1:9" x14ac:dyDescent="0.25">
      <c r="A5138">
        <v>1815</v>
      </c>
      <c r="B5138">
        <f>A5138+1</f>
        <v>1816</v>
      </c>
      <c r="C5138" t="s">
        <v>521</v>
      </c>
      <c r="D5138" t="s">
        <v>27</v>
      </c>
      <c r="E5138" s="208" t="s">
        <v>150</v>
      </c>
      <c r="F5138" t="s">
        <v>3</v>
      </c>
      <c r="G5138" s="18">
        <v>2498</v>
      </c>
      <c r="H5138" t="s">
        <v>16</v>
      </c>
      <c r="I5138" t="s">
        <v>24</v>
      </c>
    </row>
    <row r="5139" spans="1:9" x14ac:dyDescent="0.25">
      <c r="A5139">
        <v>1815</v>
      </c>
      <c r="B5139">
        <f>A5139+1</f>
        <v>1816</v>
      </c>
      <c r="C5139" t="s">
        <v>521</v>
      </c>
      <c r="D5139" t="s">
        <v>27</v>
      </c>
      <c r="E5139" s="208" t="s">
        <v>148</v>
      </c>
      <c r="F5139" t="s">
        <v>3</v>
      </c>
      <c r="G5139" s="18">
        <v>91</v>
      </c>
      <c r="H5139" t="s">
        <v>16</v>
      </c>
      <c r="I5139" t="s">
        <v>24</v>
      </c>
    </row>
    <row r="5140" spans="1:9" x14ac:dyDescent="0.25">
      <c r="A5140">
        <v>1815</v>
      </c>
      <c r="B5140">
        <f>A5140+1</f>
        <v>1816</v>
      </c>
      <c r="C5140" t="s">
        <v>521</v>
      </c>
      <c r="D5140" t="s">
        <v>27</v>
      </c>
      <c r="E5140" s="208" t="s">
        <v>147</v>
      </c>
      <c r="F5140" t="s">
        <v>3</v>
      </c>
      <c r="G5140" s="18">
        <v>1</v>
      </c>
      <c r="H5140" t="s">
        <v>16</v>
      </c>
      <c r="I5140" t="s">
        <v>24</v>
      </c>
    </row>
    <row r="5141" spans="1:9" x14ac:dyDescent="0.25">
      <c r="A5141">
        <v>1815</v>
      </c>
      <c r="B5141">
        <f>A5141+1</f>
        <v>1816</v>
      </c>
      <c r="C5141" t="s">
        <v>521</v>
      </c>
      <c r="D5141" t="s">
        <v>27</v>
      </c>
      <c r="E5141" s="208" t="s">
        <v>314</v>
      </c>
      <c r="F5141" t="s">
        <v>3</v>
      </c>
      <c r="G5141" s="18">
        <v>0</v>
      </c>
      <c r="H5141" t="s">
        <v>16</v>
      </c>
      <c r="I5141" t="s">
        <v>24</v>
      </c>
    </row>
    <row r="5142" spans="1:9" x14ac:dyDescent="0.25">
      <c r="A5142">
        <v>1815</v>
      </c>
      <c r="B5142">
        <f>A5142+1</f>
        <v>1816</v>
      </c>
      <c r="C5142" t="s">
        <v>521</v>
      </c>
      <c r="D5142" t="s">
        <v>27</v>
      </c>
      <c r="E5142" s="208" t="s">
        <v>139</v>
      </c>
      <c r="F5142" t="s">
        <v>3</v>
      </c>
      <c r="G5142" s="18">
        <v>3</v>
      </c>
      <c r="H5142" t="s">
        <v>16</v>
      </c>
      <c r="I5142" t="s">
        <v>24</v>
      </c>
    </row>
    <row r="5143" spans="1:9" x14ac:dyDescent="0.25">
      <c r="A5143">
        <v>1815</v>
      </c>
      <c r="B5143">
        <f>A5143+1</f>
        <v>1816</v>
      </c>
      <c r="C5143" t="s">
        <v>521</v>
      </c>
      <c r="D5143" t="s">
        <v>27</v>
      </c>
      <c r="E5143" s="208" t="s">
        <v>132</v>
      </c>
      <c r="F5143" t="s">
        <v>3</v>
      </c>
      <c r="G5143" s="18">
        <v>18</v>
      </c>
      <c r="H5143" t="s">
        <v>16</v>
      </c>
      <c r="I5143" t="s">
        <v>24</v>
      </c>
    </row>
    <row r="5144" spans="1:9" x14ac:dyDescent="0.25">
      <c r="A5144">
        <v>1815</v>
      </c>
      <c r="B5144">
        <f>A5144+1</f>
        <v>1816</v>
      </c>
      <c r="C5144" t="s">
        <v>521</v>
      </c>
      <c r="D5144" t="s">
        <v>27</v>
      </c>
      <c r="E5144" s="208" t="s">
        <v>130</v>
      </c>
      <c r="F5144" t="s">
        <v>3</v>
      </c>
      <c r="G5144" s="18">
        <v>32</v>
      </c>
      <c r="H5144" t="s">
        <v>16</v>
      </c>
      <c r="I5144" t="s">
        <v>24</v>
      </c>
    </row>
    <row r="5145" spans="1:9" x14ac:dyDescent="0.25">
      <c r="A5145">
        <v>1815</v>
      </c>
      <c r="B5145">
        <f>A5145+1</f>
        <v>1816</v>
      </c>
      <c r="C5145" t="s">
        <v>521</v>
      </c>
      <c r="D5145" t="s">
        <v>27</v>
      </c>
      <c r="E5145" s="208" t="s">
        <v>144</v>
      </c>
      <c r="F5145" t="s">
        <v>3</v>
      </c>
      <c r="G5145" s="18">
        <v>6</v>
      </c>
      <c r="H5145" t="s">
        <v>16</v>
      </c>
      <c r="I5145" t="s">
        <v>24</v>
      </c>
    </row>
    <row r="5146" spans="1:9" x14ac:dyDescent="0.25">
      <c r="A5146">
        <v>1815</v>
      </c>
      <c r="B5146">
        <f>A5146+1</f>
        <v>1816</v>
      </c>
      <c r="C5146" t="s">
        <v>521</v>
      </c>
      <c r="D5146" t="s">
        <v>27</v>
      </c>
      <c r="E5146" s="208" t="s">
        <v>142</v>
      </c>
      <c r="F5146" t="s">
        <v>3</v>
      </c>
      <c r="G5146" s="18">
        <v>232</v>
      </c>
      <c r="H5146" t="s">
        <v>16</v>
      </c>
      <c r="I5146" t="s">
        <v>24</v>
      </c>
    </row>
    <row r="5147" spans="1:9" x14ac:dyDescent="0.25">
      <c r="A5147">
        <v>1815</v>
      </c>
      <c r="B5147">
        <f>A5147+1</f>
        <v>1816</v>
      </c>
      <c r="C5147" t="s">
        <v>521</v>
      </c>
      <c r="D5147" t="s">
        <v>27</v>
      </c>
      <c r="E5147" s="208" t="s">
        <v>124</v>
      </c>
      <c r="F5147" t="s">
        <v>3</v>
      </c>
      <c r="G5147" s="18">
        <v>544056</v>
      </c>
      <c r="H5147" t="s">
        <v>16</v>
      </c>
      <c r="I5147" t="s">
        <v>24</v>
      </c>
    </row>
    <row r="5148" spans="1:9" x14ac:dyDescent="0.25">
      <c r="A5148">
        <v>1815</v>
      </c>
      <c r="B5148">
        <f>A5148+1</f>
        <v>1816</v>
      </c>
      <c r="C5148" t="s">
        <v>521</v>
      </c>
      <c r="D5148" t="s">
        <v>26</v>
      </c>
      <c r="E5148" s="208" t="s">
        <v>62</v>
      </c>
      <c r="F5148" t="s">
        <v>3</v>
      </c>
      <c r="G5148" s="18">
        <v>4106</v>
      </c>
      <c r="H5148" t="s">
        <v>24</v>
      </c>
      <c r="I5148" t="s">
        <v>16</v>
      </c>
    </row>
    <row r="5149" spans="1:9" x14ac:dyDescent="0.25">
      <c r="A5149">
        <v>1815</v>
      </c>
      <c r="B5149">
        <f>A5149+1</f>
        <v>1816</v>
      </c>
      <c r="C5149" t="s">
        <v>521</v>
      </c>
      <c r="D5149" t="s">
        <v>26</v>
      </c>
      <c r="E5149" s="208" t="s">
        <v>36</v>
      </c>
      <c r="F5149" t="s">
        <v>3</v>
      </c>
      <c r="G5149" s="18">
        <v>504</v>
      </c>
      <c r="H5149" t="s">
        <v>24</v>
      </c>
      <c r="I5149" t="s">
        <v>16</v>
      </c>
    </row>
    <row r="5150" spans="1:9" x14ac:dyDescent="0.25">
      <c r="A5150">
        <v>1815</v>
      </c>
      <c r="B5150">
        <f>A5150+1</f>
        <v>1816</v>
      </c>
      <c r="C5150" t="s">
        <v>521</v>
      </c>
      <c r="D5150" t="s">
        <v>26</v>
      </c>
      <c r="E5150" s="208" t="s">
        <v>35</v>
      </c>
      <c r="F5150" t="s">
        <v>3</v>
      </c>
      <c r="G5150" s="18">
        <v>15</v>
      </c>
      <c r="H5150" t="s">
        <v>24</v>
      </c>
      <c r="I5150" t="s">
        <v>16</v>
      </c>
    </row>
    <row r="5151" spans="1:9" x14ac:dyDescent="0.25">
      <c r="A5151">
        <v>1815</v>
      </c>
      <c r="B5151">
        <f>A5151+1</f>
        <v>1816</v>
      </c>
      <c r="C5151" t="s">
        <v>521</v>
      </c>
      <c r="D5151" t="s">
        <v>26</v>
      </c>
      <c r="E5151" s="208" t="s">
        <v>39</v>
      </c>
      <c r="F5151" t="s">
        <v>3</v>
      </c>
      <c r="G5151" s="18">
        <v>430</v>
      </c>
      <c r="H5151" t="s">
        <v>24</v>
      </c>
      <c r="I5151" t="s">
        <v>16</v>
      </c>
    </row>
    <row r="5152" spans="1:9" x14ac:dyDescent="0.25">
      <c r="A5152">
        <v>1815</v>
      </c>
      <c r="B5152">
        <f>A5152+1</f>
        <v>1816</v>
      </c>
      <c r="C5152" t="s">
        <v>521</v>
      </c>
      <c r="D5152" t="s">
        <v>26</v>
      </c>
      <c r="E5152" s="208" t="s">
        <v>99</v>
      </c>
      <c r="F5152" t="s">
        <v>3</v>
      </c>
      <c r="G5152" s="18">
        <v>29</v>
      </c>
      <c r="H5152" t="s">
        <v>24</v>
      </c>
      <c r="I5152" t="s">
        <v>16</v>
      </c>
    </row>
    <row r="5153" spans="1:9" x14ac:dyDescent="0.25">
      <c r="A5153">
        <v>1815</v>
      </c>
      <c r="B5153">
        <f>A5153+1</f>
        <v>1816</v>
      </c>
      <c r="C5153" t="s">
        <v>521</v>
      </c>
      <c r="D5153" t="s">
        <v>26</v>
      </c>
      <c r="E5153" s="208" t="s">
        <v>95</v>
      </c>
      <c r="F5153" t="s">
        <v>3</v>
      </c>
      <c r="G5153" s="18">
        <v>22</v>
      </c>
      <c r="H5153" t="s">
        <v>24</v>
      </c>
      <c r="I5153" t="s">
        <v>16</v>
      </c>
    </row>
    <row r="5154" spans="1:9" x14ac:dyDescent="0.25">
      <c r="A5154">
        <v>1815</v>
      </c>
      <c r="B5154">
        <f>A5154+1</f>
        <v>1816</v>
      </c>
      <c r="C5154" t="s">
        <v>521</v>
      </c>
      <c r="D5154" t="s">
        <v>26</v>
      </c>
      <c r="E5154" s="208" t="s">
        <v>94</v>
      </c>
      <c r="F5154" t="s">
        <v>3</v>
      </c>
      <c r="G5154" s="18">
        <v>0</v>
      </c>
      <c r="H5154" t="s">
        <v>24</v>
      </c>
      <c r="I5154" t="s">
        <v>16</v>
      </c>
    </row>
    <row r="5155" spans="1:9" x14ac:dyDescent="0.25">
      <c r="A5155">
        <v>1815</v>
      </c>
      <c r="B5155">
        <f>A5155+1</f>
        <v>1816</v>
      </c>
      <c r="C5155" t="s">
        <v>521</v>
      </c>
      <c r="D5155" t="s">
        <v>26</v>
      </c>
      <c r="E5155" s="208" t="s">
        <v>386</v>
      </c>
      <c r="F5155" t="s">
        <v>3</v>
      </c>
      <c r="G5155" s="18">
        <v>0</v>
      </c>
      <c r="H5155" t="s">
        <v>24</v>
      </c>
      <c r="I5155" t="s">
        <v>16</v>
      </c>
    </row>
    <row r="5156" spans="1:9" x14ac:dyDescent="0.25">
      <c r="A5156">
        <v>1815</v>
      </c>
      <c r="B5156">
        <f>A5156+1</f>
        <v>1816</v>
      </c>
      <c r="C5156" t="s">
        <v>521</v>
      </c>
      <c r="D5156" t="s">
        <v>26</v>
      </c>
      <c r="E5156" s="208" t="s">
        <v>387</v>
      </c>
      <c r="F5156" t="s">
        <v>3</v>
      </c>
      <c r="G5156" s="18">
        <v>41</v>
      </c>
      <c r="H5156" t="s">
        <v>24</v>
      </c>
      <c r="I5156" t="s">
        <v>16</v>
      </c>
    </row>
    <row r="5157" spans="1:9" x14ac:dyDescent="0.25">
      <c r="A5157">
        <v>1815</v>
      </c>
      <c r="B5157">
        <f>A5157+1</f>
        <v>1816</v>
      </c>
      <c r="C5157" t="s">
        <v>521</v>
      </c>
      <c r="D5157" t="s">
        <v>26</v>
      </c>
      <c r="E5157" s="208" t="s">
        <v>388</v>
      </c>
      <c r="F5157" t="s">
        <v>3</v>
      </c>
      <c r="G5157" s="18">
        <v>1068</v>
      </c>
      <c r="H5157" t="s">
        <v>24</v>
      </c>
      <c r="I5157" t="s">
        <v>16</v>
      </c>
    </row>
    <row r="5158" spans="1:9" x14ac:dyDescent="0.25">
      <c r="A5158">
        <v>1815</v>
      </c>
      <c r="B5158">
        <f>A5158+1</f>
        <v>1816</v>
      </c>
      <c r="C5158" t="s">
        <v>521</v>
      </c>
      <c r="D5158" t="s">
        <v>26</v>
      </c>
      <c r="E5158" s="208" t="s">
        <v>85</v>
      </c>
      <c r="F5158" t="s">
        <v>3</v>
      </c>
      <c r="G5158" s="18">
        <v>0</v>
      </c>
      <c r="H5158" t="s">
        <v>24</v>
      </c>
      <c r="I5158" t="s">
        <v>16</v>
      </c>
    </row>
    <row r="5159" spans="1:9" x14ac:dyDescent="0.25">
      <c r="A5159">
        <v>1815</v>
      </c>
      <c r="B5159">
        <f>A5159+1</f>
        <v>1816</v>
      </c>
      <c r="C5159" t="s">
        <v>521</v>
      </c>
      <c r="D5159" t="s">
        <v>26</v>
      </c>
      <c r="E5159" s="208" t="s">
        <v>398</v>
      </c>
      <c r="F5159" t="s">
        <v>3</v>
      </c>
      <c r="G5159" s="18">
        <v>112</v>
      </c>
      <c r="H5159" t="s">
        <v>24</v>
      </c>
      <c r="I5159" t="s">
        <v>16</v>
      </c>
    </row>
    <row r="5160" spans="1:9" x14ac:dyDescent="0.25">
      <c r="A5160">
        <v>1815</v>
      </c>
      <c r="B5160">
        <f>A5160+1</f>
        <v>1816</v>
      </c>
      <c r="C5160" t="s">
        <v>521</v>
      </c>
      <c r="D5160" t="s">
        <v>26</v>
      </c>
      <c r="E5160" s="208" t="s">
        <v>65</v>
      </c>
      <c r="F5160" t="s">
        <v>3</v>
      </c>
      <c r="G5160" s="18">
        <v>0</v>
      </c>
      <c r="H5160" t="s">
        <v>24</v>
      </c>
      <c r="I5160" t="s">
        <v>16</v>
      </c>
    </row>
    <row r="5161" spans="1:9" x14ac:dyDescent="0.25">
      <c r="A5161">
        <v>1815</v>
      </c>
      <c r="B5161">
        <f>A5161+1</f>
        <v>1816</v>
      </c>
      <c r="C5161" t="s">
        <v>521</v>
      </c>
      <c r="D5161" t="s">
        <v>26</v>
      </c>
      <c r="E5161" s="208" t="s">
        <v>107</v>
      </c>
      <c r="F5161" t="s">
        <v>3</v>
      </c>
      <c r="G5161" s="18">
        <v>578835</v>
      </c>
      <c r="H5161" t="s">
        <v>24</v>
      </c>
      <c r="I5161" t="s">
        <v>16</v>
      </c>
    </row>
    <row r="5162" spans="1:9" x14ac:dyDescent="0.25">
      <c r="A5162">
        <v>1815</v>
      </c>
      <c r="B5162">
        <f>A5162+1</f>
        <v>1816</v>
      </c>
      <c r="C5162" t="s">
        <v>521</v>
      </c>
      <c r="D5162" t="s">
        <v>26</v>
      </c>
      <c r="E5162" s="208" t="s">
        <v>101</v>
      </c>
      <c r="F5162" t="s">
        <v>3</v>
      </c>
      <c r="G5162" s="18">
        <v>698695</v>
      </c>
      <c r="H5162" t="s">
        <v>24</v>
      </c>
      <c r="I5162" t="s">
        <v>16</v>
      </c>
    </row>
    <row r="5163" spans="1:9" x14ac:dyDescent="0.25">
      <c r="A5163">
        <v>1815</v>
      </c>
      <c r="B5163">
        <f>A5163+1</f>
        <v>1816</v>
      </c>
      <c r="C5163" t="s">
        <v>521</v>
      </c>
      <c r="D5163" t="s">
        <v>26</v>
      </c>
      <c r="E5163" s="208" t="s">
        <v>75</v>
      </c>
      <c r="F5163" t="s">
        <v>3</v>
      </c>
      <c r="G5163" s="18">
        <v>1067783</v>
      </c>
      <c r="H5163" t="s">
        <v>24</v>
      </c>
      <c r="I5163" t="s">
        <v>16</v>
      </c>
    </row>
    <row r="5164" spans="1:9" x14ac:dyDescent="0.25">
      <c r="A5164">
        <v>1815</v>
      </c>
      <c r="B5164">
        <f>A5164+1</f>
        <v>1816</v>
      </c>
      <c r="C5164" t="s">
        <v>521</v>
      </c>
      <c r="D5164" t="s">
        <v>26</v>
      </c>
      <c r="E5164" s="208" t="s">
        <v>330</v>
      </c>
      <c r="F5164" t="s">
        <v>3</v>
      </c>
      <c r="G5164" s="18">
        <v>20</v>
      </c>
      <c r="H5164" t="s">
        <v>24</v>
      </c>
      <c r="I5164" t="s">
        <v>16</v>
      </c>
    </row>
    <row r="5165" spans="1:9" x14ac:dyDescent="0.25">
      <c r="A5165">
        <v>1815</v>
      </c>
      <c r="B5165">
        <f>A5165+1</f>
        <v>1816</v>
      </c>
      <c r="C5165" t="s">
        <v>521</v>
      </c>
      <c r="D5165" t="s">
        <v>26</v>
      </c>
      <c r="E5165" s="208" t="s">
        <v>331</v>
      </c>
      <c r="F5165" t="s">
        <v>3</v>
      </c>
      <c r="G5165" s="18">
        <v>2</v>
      </c>
      <c r="H5165" t="s">
        <v>24</v>
      </c>
      <c r="I5165" t="s">
        <v>16</v>
      </c>
    </row>
    <row r="5166" spans="1:9" x14ac:dyDescent="0.25">
      <c r="A5166">
        <v>1815</v>
      </c>
      <c r="B5166">
        <f>A5166+1</f>
        <v>1816</v>
      </c>
      <c r="C5166" t="s">
        <v>521</v>
      </c>
      <c r="D5166" t="s">
        <v>26</v>
      </c>
      <c r="E5166" s="208" t="s">
        <v>332</v>
      </c>
      <c r="F5166" t="s">
        <v>3</v>
      </c>
      <c r="G5166" s="18">
        <v>0</v>
      </c>
      <c r="H5166" t="s">
        <v>24</v>
      </c>
      <c r="I5166" t="s">
        <v>16</v>
      </c>
    </row>
    <row r="5167" spans="1:9" x14ac:dyDescent="0.25">
      <c r="A5167">
        <v>1815</v>
      </c>
      <c r="B5167">
        <f>A5167+1</f>
        <v>1816</v>
      </c>
      <c r="C5167" t="s">
        <v>521</v>
      </c>
      <c r="D5167" t="s">
        <v>26</v>
      </c>
      <c r="E5167" s="208" t="s">
        <v>333</v>
      </c>
      <c r="F5167" t="s">
        <v>3</v>
      </c>
      <c r="G5167" s="18">
        <v>0</v>
      </c>
      <c r="H5167" t="s">
        <v>24</v>
      </c>
      <c r="I5167" t="s">
        <v>16</v>
      </c>
    </row>
    <row r="5168" spans="1:9" x14ac:dyDescent="0.25">
      <c r="A5168">
        <v>1815</v>
      </c>
      <c r="B5168">
        <f>A5168+1</f>
        <v>1816</v>
      </c>
      <c r="C5168" t="s">
        <v>521</v>
      </c>
      <c r="D5168" t="s">
        <v>27</v>
      </c>
      <c r="E5168" s="208" t="s">
        <v>155</v>
      </c>
      <c r="F5168" t="s">
        <v>0</v>
      </c>
      <c r="G5168" s="18">
        <v>17780</v>
      </c>
      <c r="H5168" t="s">
        <v>16</v>
      </c>
      <c r="I5168" t="s">
        <v>18</v>
      </c>
    </row>
    <row r="5169" spans="1:9" x14ac:dyDescent="0.25">
      <c r="A5169">
        <v>1815</v>
      </c>
      <c r="B5169">
        <f>A5169+1</f>
        <v>1816</v>
      </c>
      <c r="C5169" t="s">
        <v>521</v>
      </c>
      <c r="D5169" t="s">
        <v>27</v>
      </c>
      <c r="E5169" s="208" t="s">
        <v>156</v>
      </c>
      <c r="F5169" t="s">
        <v>0</v>
      </c>
      <c r="G5169" s="18">
        <v>1409</v>
      </c>
      <c r="H5169" t="s">
        <v>16</v>
      </c>
      <c r="I5169" t="s">
        <v>18</v>
      </c>
    </row>
    <row r="5170" spans="1:9" x14ac:dyDescent="0.25">
      <c r="A5170">
        <v>1815</v>
      </c>
      <c r="B5170">
        <f>A5170+1</f>
        <v>1816</v>
      </c>
      <c r="C5170" t="s">
        <v>521</v>
      </c>
      <c r="D5170" t="s">
        <v>27</v>
      </c>
      <c r="E5170" s="208" t="s">
        <v>154</v>
      </c>
      <c r="F5170" t="s">
        <v>0</v>
      </c>
      <c r="G5170" s="18">
        <v>357</v>
      </c>
      <c r="H5170" t="s">
        <v>16</v>
      </c>
      <c r="I5170" t="s">
        <v>18</v>
      </c>
    </row>
    <row r="5171" spans="1:9" x14ac:dyDescent="0.25">
      <c r="A5171">
        <v>1815</v>
      </c>
      <c r="B5171">
        <f>A5171+1</f>
        <v>1816</v>
      </c>
      <c r="C5171" t="s">
        <v>521</v>
      </c>
      <c r="D5171" t="s">
        <v>27</v>
      </c>
      <c r="E5171" s="208" t="s">
        <v>150</v>
      </c>
      <c r="F5171" t="s">
        <v>0</v>
      </c>
      <c r="G5171" s="18">
        <v>2468</v>
      </c>
      <c r="H5171" t="s">
        <v>16</v>
      </c>
      <c r="I5171" t="s">
        <v>18</v>
      </c>
    </row>
    <row r="5172" spans="1:9" x14ac:dyDescent="0.25">
      <c r="A5172">
        <v>1815</v>
      </c>
      <c r="B5172">
        <f>A5172+1</f>
        <v>1816</v>
      </c>
      <c r="C5172" t="s">
        <v>521</v>
      </c>
      <c r="D5172" t="s">
        <v>27</v>
      </c>
      <c r="E5172" s="208" t="s">
        <v>148</v>
      </c>
      <c r="F5172" t="s">
        <v>0</v>
      </c>
      <c r="G5172" s="18">
        <v>174</v>
      </c>
      <c r="H5172" t="s">
        <v>16</v>
      </c>
      <c r="I5172" t="s">
        <v>18</v>
      </c>
    </row>
    <row r="5173" spans="1:9" x14ac:dyDescent="0.25">
      <c r="A5173">
        <v>1815</v>
      </c>
      <c r="B5173">
        <f>A5173+1</f>
        <v>1816</v>
      </c>
      <c r="C5173" t="s">
        <v>521</v>
      </c>
      <c r="D5173" t="s">
        <v>27</v>
      </c>
      <c r="E5173" s="208" t="s">
        <v>147</v>
      </c>
      <c r="F5173" t="s">
        <v>0</v>
      </c>
      <c r="G5173" s="18">
        <v>0</v>
      </c>
      <c r="H5173" t="s">
        <v>16</v>
      </c>
      <c r="I5173" t="s">
        <v>18</v>
      </c>
    </row>
    <row r="5174" spans="1:9" x14ac:dyDescent="0.25">
      <c r="A5174">
        <v>1815</v>
      </c>
      <c r="B5174">
        <f>A5174+1</f>
        <v>1816</v>
      </c>
      <c r="C5174" t="s">
        <v>521</v>
      </c>
      <c r="D5174" t="s">
        <v>27</v>
      </c>
      <c r="E5174" s="208" t="s">
        <v>314</v>
      </c>
      <c r="F5174" t="s">
        <v>0</v>
      </c>
      <c r="G5174" s="18">
        <v>0</v>
      </c>
      <c r="H5174" t="s">
        <v>16</v>
      </c>
      <c r="I5174" t="s">
        <v>18</v>
      </c>
    </row>
    <row r="5175" spans="1:9" x14ac:dyDescent="0.25">
      <c r="A5175">
        <v>1815</v>
      </c>
      <c r="B5175">
        <f>A5175+1</f>
        <v>1816</v>
      </c>
      <c r="C5175" t="s">
        <v>521</v>
      </c>
      <c r="D5175" t="s">
        <v>27</v>
      </c>
      <c r="E5175" s="208" t="s">
        <v>139</v>
      </c>
      <c r="F5175" t="s">
        <v>0</v>
      </c>
      <c r="G5175" s="18">
        <v>0</v>
      </c>
      <c r="H5175" t="s">
        <v>16</v>
      </c>
      <c r="I5175" t="s">
        <v>18</v>
      </c>
    </row>
    <row r="5176" spans="1:9" x14ac:dyDescent="0.25">
      <c r="A5176">
        <v>1815</v>
      </c>
      <c r="B5176">
        <f>A5176+1</f>
        <v>1816</v>
      </c>
      <c r="C5176" t="s">
        <v>521</v>
      </c>
      <c r="D5176" t="s">
        <v>27</v>
      </c>
      <c r="E5176" s="208" t="s">
        <v>132</v>
      </c>
      <c r="F5176" t="s">
        <v>0</v>
      </c>
      <c r="G5176" s="18">
        <v>1427</v>
      </c>
      <c r="H5176" t="s">
        <v>16</v>
      </c>
      <c r="I5176" t="s">
        <v>18</v>
      </c>
    </row>
    <row r="5177" spans="1:9" x14ac:dyDescent="0.25">
      <c r="A5177">
        <v>1815</v>
      </c>
      <c r="B5177">
        <f>A5177+1</f>
        <v>1816</v>
      </c>
      <c r="C5177" t="s">
        <v>521</v>
      </c>
      <c r="D5177" t="s">
        <v>27</v>
      </c>
      <c r="E5177" s="208" t="s">
        <v>130</v>
      </c>
      <c r="F5177" t="s">
        <v>0</v>
      </c>
      <c r="G5177" s="18">
        <v>119</v>
      </c>
      <c r="H5177" t="s">
        <v>16</v>
      </c>
      <c r="I5177" t="s">
        <v>18</v>
      </c>
    </row>
    <row r="5178" spans="1:9" x14ac:dyDescent="0.25">
      <c r="A5178">
        <v>1815</v>
      </c>
      <c r="B5178">
        <f>A5178+1</f>
        <v>1816</v>
      </c>
      <c r="C5178" t="s">
        <v>521</v>
      </c>
      <c r="D5178" t="s">
        <v>27</v>
      </c>
      <c r="E5178" s="208" t="s">
        <v>144</v>
      </c>
      <c r="F5178" t="s">
        <v>0</v>
      </c>
      <c r="G5178" s="18">
        <v>239</v>
      </c>
      <c r="H5178" t="s">
        <v>16</v>
      </c>
      <c r="I5178" t="s">
        <v>18</v>
      </c>
    </row>
    <row r="5179" spans="1:9" x14ac:dyDescent="0.25">
      <c r="A5179">
        <v>1815</v>
      </c>
      <c r="B5179">
        <f>A5179+1</f>
        <v>1816</v>
      </c>
      <c r="C5179" t="s">
        <v>521</v>
      </c>
      <c r="D5179" t="s">
        <v>27</v>
      </c>
      <c r="E5179" s="208" t="s">
        <v>142</v>
      </c>
      <c r="F5179" t="s">
        <v>0</v>
      </c>
      <c r="G5179" s="18">
        <v>833</v>
      </c>
      <c r="H5179" t="s">
        <v>16</v>
      </c>
      <c r="I5179" t="s">
        <v>18</v>
      </c>
    </row>
    <row r="5180" spans="1:9" x14ac:dyDescent="0.25">
      <c r="A5180">
        <v>1815</v>
      </c>
      <c r="B5180">
        <f>A5180+1</f>
        <v>1816</v>
      </c>
      <c r="C5180" t="s">
        <v>521</v>
      </c>
      <c r="D5180" t="s">
        <v>27</v>
      </c>
      <c r="E5180" s="208" t="s">
        <v>124</v>
      </c>
      <c r="F5180" t="s">
        <v>0</v>
      </c>
      <c r="G5180" s="18">
        <v>7486398</v>
      </c>
      <c r="H5180" t="s">
        <v>16</v>
      </c>
      <c r="I5180" t="s">
        <v>18</v>
      </c>
    </row>
    <row r="5181" spans="1:9" x14ac:dyDescent="0.25">
      <c r="A5181">
        <v>1815</v>
      </c>
      <c r="B5181">
        <f>A5181+1</f>
        <v>1816</v>
      </c>
      <c r="C5181" t="s">
        <v>521</v>
      </c>
      <c r="D5181" t="s">
        <v>26</v>
      </c>
      <c r="E5181" s="208" t="s">
        <v>62</v>
      </c>
      <c r="F5181" t="s">
        <v>169</v>
      </c>
      <c r="G5181" s="18">
        <v>3445</v>
      </c>
      <c r="H5181" t="s">
        <v>160</v>
      </c>
      <c r="I5181" t="s">
        <v>16</v>
      </c>
    </row>
    <row r="5182" spans="1:9" x14ac:dyDescent="0.25">
      <c r="A5182">
        <v>1815</v>
      </c>
      <c r="B5182">
        <f>A5182+1</f>
        <v>1816</v>
      </c>
      <c r="C5182" t="s">
        <v>521</v>
      </c>
      <c r="D5182" t="s">
        <v>26</v>
      </c>
      <c r="E5182" s="208" t="s">
        <v>36</v>
      </c>
      <c r="F5182" t="s">
        <v>169</v>
      </c>
      <c r="G5182" s="18">
        <v>136</v>
      </c>
      <c r="H5182" t="s">
        <v>160</v>
      </c>
      <c r="I5182" t="s">
        <v>16</v>
      </c>
    </row>
    <row r="5183" spans="1:9" x14ac:dyDescent="0.25">
      <c r="A5183">
        <v>1815</v>
      </c>
      <c r="B5183">
        <f>A5183+1</f>
        <v>1816</v>
      </c>
      <c r="C5183" t="s">
        <v>521</v>
      </c>
      <c r="D5183" t="s">
        <v>26</v>
      </c>
      <c r="E5183" s="208" t="s">
        <v>35</v>
      </c>
      <c r="F5183" t="s">
        <v>169</v>
      </c>
      <c r="G5183" s="18">
        <v>7144</v>
      </c>
      <c r="H5183" t="s">
        <v>160</v>
      </c>
      <c r="I5183" t="s">
        <v>16</v>
      </c>
    </row>
    <row r="5184" spans="1:9" x14ac:dyDescent="0.25">
      <c r="A5184">
        <v>1815</v>
      </c>
      <c r="B5184">
        <f>A5184+1</f>
        <v>1816</v>
      </c>
      <c r="C5184" t="s">
        <v>521</v>
      </c>
      <c r="D5184" t="s">
        <v>26</v>
      </c>
      <c r="E5184" s="208" t="s">
        <v>39</v>
      </c>
      <c r="F5184" t="s">
        <v>169</v>
      </c>
      <c r="G5184" s="18">
        <v>0</v>
      </c>
      <c r="H5184" t="s">
        <v>160</v>
      </c>
      <c r="I5184" t="s">
        <v>16</v>
      </c>
    </row>
    <row r="5185" spans="1:9" x14ac:dyDescent="0.25">
      <c r="A5185">
        <v>1815</v>
      </c>
      <c r="B5185">
        <f>A5185+1</f>
        <v>1816</v>
      </c>
      <c r="C5185" t="s">
        <v>521</v>
      </c>
      <c r="D5185" t="s">
        <v>26</v>
      </c>
      <c r="E5185" s="208" t="s">
        <v>99</v>
      </c>
      <c r="F5185" t="s">
        <v>169</v>
      </c>
      <c r="G5185" s="18">
        <v>0</v>
      </c>
      <c r="H5185" t="s">
        <v>160</v>
      </c>
      <c r="I5185" t="s">
        <v>16</v>
      </c>
    </row>
    <row r="5186" spans="1:9" x14ac:dyDescent="0.25">
      <c r="A5186">
        <v>1815</v>
      </c>
      <c r="B5186">
        <f>A5186+1</f>
        <v>1816</v>
      </c>
      <c r="C5186" t="s">
        <v>521</v>
      </c>
      <c r="D5186" t="s">
        <v>26</v>
      </c>
      <c r="E5186" s="208" t="s">
        <v>95</v>
      </c>
      <c r="F5186" t="s">
        <v>169</v>
      </c>
      <c r="G5186" s="18">
        <v>0</v>
      </c>
      <c r="H5186" t="s">
        <v>160</v>
      </c>
      <c r="I5186" t="s">
        <v>16</v>
      </c>
    </row>
    <row r="5187" spans="1:9" x14ac:dyDescent="0.25">
      <c r="A5187">
        <v>1815</v>
      </c>
      <c r="B5187">
        <f>A5187+1</f>
        <v>1816</v>
      </c>
      <c r="C5187" t="s">
        <v>521</v>
      </c>
      <c r="D5187" t="s">
        <v>26</v>
      </c>
      <c r="E5187" s="208" t="s">
        <v>94</v>
      </c>
      <c r="F5187" t="s">
        <v>169</v>
      </c>
      <c r="G5187" s="18">
        <v>0</v>
      </c>
      <c r="H5187" t="s">
        <v>160</v>
      </c>
      <c r="I5187" t="s">
        <v>16</v>
      </c>
    </row>
    <row r="5188" spans="1:9" x14ac:dyDescent="0.25">
      <c r="A5188">
        <v>1815</v>
      </c>
      <c r="B5188">
        <f>A5188+1</f>
        <v>1816</v>
      </c>
      <c r="C5188" t="s">
        <v>521</v>
      </c>
      <c r="D5188" t="s">
        <v>26</v>
      </c>
      <c r="E5188" s="208" t="s">
        <v>386</v>
      </c>
      <c r="F5188" t="s">
        <v>169</v>
      </c>
      <c r="G5188" s="18">
        <v>0</v>
      </c>
      <c r="H5188" t="s">
        <v>160</v>
      </c>
      <c r="I5188" t="s">
        <v>16</v>
      </c>
    </row>
    <row r="5189" spans="1:9" x14ac:dyDescent="0.25">
      <c r="A5189">
        <v>1815</v>
      </c>
      <c r="B5189">
        <f>A5189+1</f>
        <v>1816</v>
      </c>
      <c r="C5189" t="s">
        <v>521</v>
      </c>
      <c r="D5189" t="s">
        <v>26</v>
      </c>
      <c r="E5189" s="208" t="s">
        <v>387</v>
      </c>
      <c r="F5189" t="s">
        <v>169</v>
      </c>
      <c r="G5189" s="18">
        <v>0</v>
      </c>
      <c r="H5189" t="s">
        <v>160</v>
      </c>
      <c r="I5189" t="s">
        <v>16</v>
      </c>
    </row>
    <row r="5190" spans="1:9" x14ac:dyDescent="0.25">
      <c r="A5190">
        <v>1815</v>
      </c>
      <c r="B5190">
        <f>A5190+1</f>
        <v>1816</v>
      </c>
      <c r="C5190" t="s">
        <v>521</v>
      </c>
      <c r="D5190" t="s">
        <v>26</v>
      </c>
      <c r="E5190" s="208" t="s">
        <v>388</v>
      </c>
      <c r="F5190" t="s">
        <v>169</v>
      </c>
      <c r="G5190" s="18">
        <v>0</v>
      </c>
      <c r="H5190" t="s">
        <v>160</v>
      </c>
      <c r="I5190" t="s">
        <v>16</v>
      </c>
    </row>
    <row r="5191" spans="1:9" x14ac:dyDescent="0.25">
      <c r="A5191">
        <v>1815</v>
      </c>
      <c r="B5191">
        <f>A5191+1</f>
        <v>1816</v>
      </c>
      <c r="C5191" t="s">
        <v>521</v>
      </c>
      <c r="D5191" t="s">
        <v>26</v>
      </c>
      <c r="E5191" s="208" t="s">
        <v>85</v>
      </c>
      <c r="F5191" t="s">
        <v>169</v>
      </c>
      <c r="G5191" s="18">
        <v>207</v>
      </c>
      <c r="H5191" t="s">
        <v>160</v>
      </c>
      <c r="I5191" t="s">
        <v>16</v>
      </c>
    </row>
    <row r="5192" spans="1:9" x14ac:dyDescent="0.25">
      <c r="A5192">
        <v>1815</v>
      </c>
      <c r="B5192">
        <f>A5192+1</f>
        <v>1816</v>
      </c>
      <c r="C5192" t="s">
        <v>521</v>
      </c>
      <c r="D5192" t="s">
        <v>26</v>
      </c>
      <c r="E5192" s="208" t="s">
        <v>398</v>
      </c>
      <c r="F5192" t="s">
        <v>169</v>
      </c>
      <c r="G5192" s="18">
        <v>0</v>
      </c>
      <c r="H5192" t="s">
        <v>160</v>
      </c>
      <c r="I5192" t="s">
        <v>16</v>
      </c>
    </row>
    <row r="5193" spans="1:9" x14ac:dyDescent="0.25">
      <c r="A5193">
        <v>1815</v>
      </c>
      <c r="B5193">
        <f>A5193+1</f>
        <v>1816</v>
      </c>
      <c r="C5193" t="s">
        <v>521</v>
      </c>
      <c r="D5193" t="s">
        <v>26</v>
      </c>
      <c r="E5193" s="208" t="s">
        <v>65</v>
      </c>
      <c r="F5193" t="s">
        <v>169</v>
      </c>
      <c r="G5193" s="18">
        <v>15070</v>
      </c>
      <c r="H5193" t="s">
        <v>160</v>
      </c>
      <c r="I5193" t="s">
        <v>16</v>
      </c>
    </row>
    <row r="5194" spans="1:9" x14ac:dyDescent="0.25">
      <c r="A5194">
        <v>1815</v>
      </c>
      <c r="B5194">
        <f>A5194+1</f>
        <v>1816</v>
      </c>
      <c r="C5194" t="s">
        <v>521</v>
      </c>
      <c r="D5194" t="s">
        <v>26</v>
      </c>
      <c r="E5194" s="208" t="s">
        <v>107</v>
      </c>
      <c r="F5194" t="s">
        <v>169</v>
      </c>
      <c r="G5194" s="18">
        <v>0</v>
      </c>
      <c r="H5194" t="s">
        <v>160</v>
      </c>
      <c r="I5194" t="s">
        <v>16</v>
      </c>
    </row>
    <row r="5195" spans="1:9" x14ac:dyDescent="0.25">
      <c r="A5195">
        <v>1815</v>
      </c>
      <c r="B5195">
        <f>A5195+1</f>
        <v>1816</v>
      </c>
      <c r="C5195" t="s">
        <v>521</v>
      </c>
      <c r="D5195" t="s">
        <v>26</v>
      </c>
      <c r="E5195" s="208" t="s">
        <v>101</v>
      </c>
      <c r="F5195" t="s">
        <v>169</v>
      </c>
      <c r="G5195" s="18">
        <v>0</v>
      </c>
      <c r="H5195" t="s">
        <v>160</v>
      </c>
      <c r="I5195" t="s">
        <v>16</v>
      </c>
    </row>
    <row r="5196" spans="1:9" x14ac:dyDescent="0.25">
      <c r="A5196">
        <v>1815</v>
      </c>
      <c r="B5196">
        <f>A5196+1</f>
        <v>1816</v>
      </c>
      <c r="C5196" t="s">
        <v>521</v>
      </c>
      <c r="D5196" t="s">
        <v>26</v>
      </c>
      <c r="E5196" s="208" t="s">
        <v>75</v>
      </c>
      <c r="F5196" t="s">
        <v>169</v>
      </c>
      <c r="G5196" s="18">
        <v>0</v>
      </c>
      <c r="H5196" t="s">
        <v>160</v>
      </c>
      <c r="I5196" t="s">
        <v>16</v>
      </c>
    </row>
    <row r="5197" spans="1:9" x14ac:dyDescent="0.25">
      <c r="A5197">
        <v>1815</v>
      </c>
      <c r="B5197">
        <f>A5197+1</f>
        <v>1816</v>
      </c>
      <c r="C5197" t="s">
        <v>521</v>
      </c>
      <c r="D5197" t="s">
        <v>26</v>
      </c>
      <c r="E5197" s="208" t="s">
        <v>330</v>
      </c>
      <c r="F5197" t="s">
        <v>169</v>
      </c>
      <c r="G5197" s="18">
        <v>0</v>
      </c>
      <c r="H5197" t="s">
        <v>160</v>
      </c>
      <c r="I5197" t="s">
        <v>16</v>
      </c>
    </row>
    <row r="5198" spans="1:9" x14ac:dyDescent="0.25">
      <c r="A5198">
        <v>1815</v>
      </c>
      <c r="B5198">
        <f>A5198+1</f>
        <v>1816</v>
      </c>
      <c r="C5198" t="s">
        <v>521</v>
      </c>
      <c r="D5198" t="s">
        <v>26</v>
      </c>
      <c r="E5198" s="208" t="s">
        <v>331</v>
      </c>
      <c r="F5198" t="s">
        <v>169</v>
      </c>
      <c r="G5198" s="18">
        <v>0</v>
      </c>
      <c r="H5198" t="s">
        <v>160</v>
      </c>
      <c r="I5198" t="s">
        <v>16</v>
      </c>
    </row>
    <row r="5199" spans="1:9" x14ac:dyDescent="0.25">
      <c r="A5199">
        <v>1815</v>
      </c>
      <c r="B5199">
        <f>A5199+1</f>
        <v>1816</v>
      </c>
      <c r="C5199" t="s">
        <v>521</v>
      </c>
      <c r="D5199" t="s">
        <v>26</v>
      </c>
      <c r="E5199" s="208" t="s">
        <v>332</v>
      </c>
      <c r="F5199" t="s">
        <v>169</v>
      </c>
      <c r="G5199" s="18">
        <v>0</v>
      </c>
      <c r="H5199" t="s">
        <v>160</v>
      </c>
      <c r="I5199" t="s">
        <v>16</v>
      </c>
    </row>
    <row r="5200" spans="1:9" x14ac:dyDescent="0.25">
      <c r="A5200">
        <v>1815</v>
      </c>
      <c r="B5200">
        <f>A5200+1</f>
        <v>1816</v>
      </c>
      <c r="C5200" t="s">
        <v>521</v>
      </c>
      <c r="D5200" t="s">
        <v>26</v>
      </c>
      <c r="E5200" s="208" t="s">
        <v>333</v>
      </c>
      <c r="F5200" t="s">
        <v>169</v>
      </c>
      <c r="G5200" s="18">
        <v>0</v>
      </c>
      <c r="H5200" t="s">
        <v>160</v>
      </c>
      <c r="I5200" t="s">
        <v>16</v>
      </c>
    </row>
    <row r="5201" spans="1:9" x14ac:dyDescent="0.25">
      <c r="A5201">
        <v>1815</v>
      </c>
      <c r="B5201">
        <f>A5201+1</f>
        <v>1816</v>
      </c>
      <c r="C5201" t="s">
        <v>521</v>
      </c>
      <c r="D5201" t="s">
        <v>27</v>
      </c>
      <c r="E5201" s="208" t="s">
        <v>155</v>
      </c>
      <c r="F5201" t="s">
        <v>1</v>
      </c>
      <c r="G5201" s="18">
        <v>462</v>
      </c>
      <c r="H5201" t="s">
        <v>16</v>
      </c>
      <c r="I5201" t="s">
        <v>21</v>
      </c>
    </row>
    <row r="5202" spans="1:9" x14ac:dyDescent="0.25">
      <c r="A5202">
        <v>1815</v>
      </c>
      <c r="B5202">
        <f>A5202+1</f>
        <v>1816</v>
      </c>
      <c r="C5202" t="s">
        <v>521</v>
      </c>
      <c r="D5202" t="s">
        <v>27</v>
      </c>
      <c r="E5202" s="208" t="s">
        <v>156</v>
      </c>
      <c r="F5202" t="s">
        <v>1</v>
      </c>
      <c r="G5202" s="18">
        <v>91</v>
      </c>
      <c r="H5202" t="s">
        <v>16</v>
      </c>
      <c r="I5202" t="s">
        <v>21</v>
      </c>
    </row>
    <row r="5203" spans="1:9" x14ac:dyDescent="0.25">
      <c r="A5203">
        <v>1815</v>
      </c>
      <c r="B5203">
        <f>A5203+1</f>
        <v>1816</v>
      </c>
      <c r="C5203" t="s">
        <v>521</v>
      </c>
      <c r="D5203" t="s">
        <v>27</v>
      </c>
      <c r="E5203" s="208" t="s">
        <v>154</v>
      </c>
      <c r="F5203" t="s">
        <v>1</v>
      </c>
      <c r="G5203" s="18">
        <v>22</v>
      </c>
      <c r="H5203" t="s">
        <v>16</v>
      </c>
      <c r="I5203" t="s">
        <v>21</v>
      </c>
    </row>
    <row r="5204" spans="1:9" x14ac:dyDescent="0.25">
      <c r="A5204">
        <v>1815</v>
      </c>
      <c r="B5204">
        <f>A5204+1</f>
        <v>1816</v>
      </c>
      <c r="C5204" t="s">
        <v>521</v>
      </c>
      <c r="D5204" t="s">
        <v>27</v>
      </c>
      <c r="E5204" s="208" t="s">
        <v>150</v>
      </c>
      <c r="F5204" t="s">
        <v>1</v>
      </c>
      <c r="G5204" s="18">
        <v>44</v>
      </c>
      <c r="H5204" t="s">
        <v>16</v>
      </c>
      <c r="I5204" t="s">
        <v>21</v>
      </c>
    </row>
    <row r="5205" spans="1:9" x14ac:dyDescent="0.25">
      <c r="A5205">
        <v>1815</v>
      </c>
      <c r="B5205">
        <f>A5205+1</f>
        <v>1816</v>
      </c>
      <c r="C5205" t="s">
        <v>521</v>
      </c>
      <c r="D5205" t="s">
        <v>27</v>
      </c>
      <c r="E5205" s="208" t="s">
        <v>148</v>
      </c>
      <c r="F5205" t="s">
        <v>1</v>
      </c>
      <c r="G5205" s="18">
        <v>39</v>
      </c>
      <c r="H5205" t="s">
        <v>16</v>
      </c>
      <c r="I5205" t="s">
        <v>21</v>
      </c>
    </row>
    <row r="5206" spans="1:9" x14ac:dyDescent="0.25">
      <c r="A5206">
        <v>1815</v>
      </c>
      <c r="B5206">
        <f>A5206+1</f>
        <v>1816</v>
      </c>
      <c r="C5206" t="s">
        <v>521</v>
      </c>
      <c r="D5206" t="s">
        <v>27</v>
      </c>
      <c r="E5206" s="208" t="s">
        <v>147</v>
      </c>
      <c r="F5206" t="s">
        <v>1</v>
      </c>
      <c r="G5206" s="18">
        <v>0</v>
      </c>
      <c r="H5206" t="s">
        <v>16</v>
      </c>
      <c r="I5206" t="s">
        <v>21</v>
      </c>
    </row>
    <row r="5207" spans="1:9" x14ac:dyDescent="0.25">
      <c r="A5207">
        <v>1815</v>
      </c>
      <c r="B5207">
        <f>A5207+1</f>
        <v>1816</v>
      </c>
      <c r="C5207" t="s">
        <v>521</v>
      </c>
      <c r="D5207" t="s">
        <v>27</v>
      </c>
      <c r="E5207" s="208" t="s">
        <v>314</v>
      </c>
      <c r="F5207" t="s">
        <v>1</v>
      </c>
      <c r="G5207" s="18">
        <v>0</v>
      </c>
      <c r="H5207" t="s">
        <v>16</v>
      </c>
      <c r="I5207" t="s">
        <v>21</v>
      </c>
    </row>
    <row r="5208" spans="1:9" x14ac:dyDescent="0.25">
      <c r="A5208">
        <v>1815</v>
      </c>
      <c r="B5208">
        <f>A5208+1</f>
        <v>1816</v>
      </c>
      <c r="C5208" t="s">
        <v>521</v>
      </c>
      <c r="D5208" t="s">
        <v>27</v>
      </c>
      <c r="E5208" s="208" t="s">
        <v>139</v>
      </c>
      <c r="F5208" t="s">
        <v>1</v>
      </c>
      <c r="G5208" s="18">
        <v>0</v>
      </c>
      <c r="H5208" t="s">
        <v>16</v>
      </c>
      <c r="I5208" t="s">
        <v>21</v>
      </c>
    </row>
    <row r="5209" spans="1:9" x14ac:dyDescent="0.25">
      <c r="A5209">
        <v>1815</v>
      </c>
      <c r="B5209">
        <f>A5209+1</f>
        <v>1816</v>
      </c>
      <c r="C5209" t="s">
        <v>521</v>
      </c>
      <c r="D5209" t="s">
        <v>27</v>
      </c>
      <c r="E5209" s="208" t="s">
        <v>132</v>
      </c>
      <c r="F5209" t="s">
        <v>1</v>
      </c>
      <c r="G5209" s="18">
        <v>215</v>
      </c>
      <c r="H5209" t="s">
        <v>16</v>
      </c>
      <c r="I5209" t="s">
        <v>21</v>
      </c>
    </row>
    <row r="5210" spans="1:9" x14ac:dyDescent="0.25">
      <c r="A5210">
        <v>1815</v>
      </c>
      <c r="B5210">
        <f>A5210+1</f>
        <v>1816</v>
      </c>
      <c r="C5210" t="s">
        <v>521</v>
      </c>
      <c r="D5210" t="s">
        <v>27</v>
      </c>
      <c r="E5210" s="208" t="s">
        <v>130</v>
      </c>
      <c r="F5210" t="s">
        <v>1</v>
      </c>
      <c r="G5210" s="18">
        <v>92</v>
      </c>
      <c r="H5210" t="s">
        <v>16</v>
      </c>
      <c r="I5210" t="s">
        <v>21</v>
      </c>
    </row>
    <row r="5211" spans="1:9" x14ac:dyDescent="0.25">
      <c r="A5211">
        <v>1815</v>
      </c>
      <c r="B5211">
        <f>A5211+1</f>
        <v>1816</v>
      </c>
      <c r="C5211" t="s">
        <v>521</v>
      </c>
      <c r="D5211" t="s">
        <v>27</v>
      </c>
      <c r="E5211" s="208" t="s">
        <v>144</v>
      </c>
      <c r="F5211" t="s">
        <v>1</v>
      </c>
      <c r="G5211" s="18">
        <v>94</v>
      </c>
      <c r="H5211" t="s">
        <v>16</v>
      </c>
      <c r="I5211" t="s">
        <v>21</v>
      </c>
    </row>
    <row r="5212" spans="1:9" x14ac:dyDescent="0.25">
      <c r="A5212">
        <v>1815</v>
      </c>
      <c r="B5212">
        <f>A5212+1</f>
        <v>1816</v>
      </c>
      <c r="C5212" t="s">
        <v>521</v>
      </c>
      <c r="D5212" t="s">
        <v>27</v>
      </c>
      <c r="E5212" s="208" t="s">
        <v>142</v>
      </c>
      <c r="F5212" t="s">
        <v>1</v>
      </c>
      <c r="G5212" s="18">
        <v>0</v>
      </c>
      <c r="H5212" t="s">
        <v>16</v>
      </c>
      <c r="I5212" t="s">
        <v>21</v>
      </c>
    </row>
    <row r="5213" spans="1:9" x14ac:dyDescent="0.25">
      <c r="A5213">
        <v>1815</v>
      </c>
      <c r="B5213">
        <f>A5213+1</f>
        <v>1816</v>
      </c>
      <c r="C5213" t="s">
        <v>521</v>
      </c>
      <c r="D5213" t="s">
        <v>27</v>
      </c>
      <c r="E5213" s="208" t="s">
        <v>124</v>
      </c>
      <c r="F5213" t="s">
        <v>1</v>
      </c>
      <c r="G5213" s="18">
        <v>174205</v>
      </c>
      <c r="H5213" t="s">
        <v>16</v>
      </c>
      <c r="I5213" t="s">
        <v>21</v>
      </c>
    </row>
    <row r="5214" spans="1:9" x14ac:dyDescent="0.25">
      <c r="A5214">
        <v>1815</v>
      </c>
      <c r="B5214">
        <f>A5214+1</f>
        <v>1816</v>
      </c>
      <c r="C5214" t="s">
        <v>521</v>
      </c>
      <c r="D5214" t="s">
        <v>27</v>
      </c>
      <c r="E5214" s="208" t="s">
        <v>155</v>
      </c>
      <c r="F5214" t="s">
        <v>6</v>
      </c>
      <c r="G5214" s="18">
        <v>0</v>
      </c>
      <c r="H5214" t="s">
        <v>16</v>
      </c>
      <c r="I5214" t="s">
        <v>25</v>
      </c>
    </row>
    <row r="5215" spans="1:9" x14ac:dyDescent="0.25">
      <c r="A5215">
        <v>1815</v>
      </c>
      <c r="B5215">
        <f>A5215+1</f>
        <v>1816</v>
      </c>
      <c r="C5215" t="s">
        <v>521</v>
      </c>
      <c r="D5215" t="s">
        <v>27</v>
      </c>
      <c r="E5215" s="208" t="s">
        <v>156</v>
      </c>
      <c r="F5215" t="s">
        <v>6</v>
      </c>
      <c r="G5215" s="18">
        <v>0</v>
      </c>
      <c r="H5215" t="s">
        <v>16</v>
      </c>
      <c r="I5215" t="s">
        <v>25</v>
      </c>
    </row>
    <row r="5216" spans="1:9" x14ac:dyDescent="0.25">
      <c r="A5216">
        <v>1815</v>
      </c>
      <c r="B5216">
        <f>A5216+1</f>
        <v>1816</v>
      </c>
      <c r="C5216" t="s">
        <v>521</v>
      </c>
      <c r="D5216" t="s">
        <v>27</v>
      </c>
      <c r="E5216" s="208" t="s">
        <v>154</v>
      </c>
      <c r="F5216" t="s">
        <v>6</v>
      </c>
      <c r="G5216" s="18">
        <v>14</v>
      </c>
      <c r="H5216" t="s">
        <v>16</v>
      </c>
      <c r="I5216" t="s">
        <v>25</v>
      </c>
    </row>
    <row r="5217" spans="1:9" x14ac:dyDescent="0.25">
      <c r="A5217">
        <v>1815</v>
      </c>
      <c r="B5217">
        <f>A5217+1</f>
        <v>1816</v>
      </c>
      <c r="C5217" t="s">
        <v>521</v>
      </c>
      <c r="D5217" t="s">
        <v>27</v>
      </c>
      <c r="E5217" s="208" t="s">
        <v>150</v>
      </c>
      <c r="F5217" t="s">
        <v>6</v>
      </c>
      <c r="G5217" s="18">
        <v>534</v>
      </c>
      <c r="H5217" t="s">
        <v>16</v>
      </c>
      <c r="I5217" t="s">
        <v>25</v>
      </c>
    </row>
    <row r="5218" spans="1:9" x14ac:dyDescent="0.25">
      <c r="A5218">
        <v>1815</v>
      </c>
      <c r="B5218">
        <f>A5218+1</f>
        <v>1816</v>
      </c>
      <c r="C5218" t="s">
        <v>521</v>
      </c>
      <c r="D5218" t="s">
        <v>27</v>
      </c>
      <c r="E5218" s="208" t="s">
        <v>148</v>
      </c>
      <c r="F5218" t="s">
        <v>6</v>
      </c>
      <c r="G5218" s="18">
        <v>33</v>
      </c>
      <c r="H5218" t="s">
        <v>16</v>
      </c>
      <c r="I5218" t="s">
        <v>25</v>
      </c>
    </row>
    <row r="5219" spans="1:9" x14ac:dyDescent="0.25">
      <c r="A5219">
        <v>1815</v>
      </c>
      <c r="B5219">
        <f>A5219+1</f>
        <v>1816</v>
      </c>
      <c r="C5219" t="s">
        <v>521</v>
      </c>
      <c r="D5219" t="s">
        <v>27</v>
      </c>
      <c r="E5219" s="208" t="s">
        <v>147</v>
      </c>
      <c r="F5219" t="s">
        <v>6</v>
      </c>
      <c r="G5219" s="18">
        <v>276</v>
      </c>
      <c r="H5219" t="s">
        <v>16</v>
      </c>
      <c r="I5219" t="s">
        <v>25</v>
      </c>
    </row>
    <row r="5220" spans="1:9" x14ac:dyDescent="0.25">
      <c r="A5220">
        <v>1815</v>
      </c>
      <c r="B5220">
        <f>A5220+1</f>
        <v>1816</v>
      </c>
      <c r="C5220" t="s">
        <v>521</v>
      </c>
      <c r="D5220" t="s">
        <v>27</v>
      </c>
      <c r="E5220" s="208" t="s">
        <v>314</v>
      </c>
      <c r="F5220" t="s">
        <v>6</v>
      </c>
      <c r="G5220" s="18">
        <v>903</v>
      </c>
      <c r="H5220" t="s">
        <v>16</v>
      </c>
      <c r="I5220" t="s">
        <v>25</v>
      </c>
    </row>
    <row r="5221" spans="1:9" x14ac:dyDescent="0.25">
      <c r="A5221">
        <v>1815</v>
      </c>
      <c r="B5221">
        <f>A5221+1</f>
        <v>1816</v>
      </c>
      <c r="C5221" t="s">
        <v>521</v>
      </c>
      <c r="D5221" t="s">
        <v>27</v>
      </c>
      <c r="E5221" s="208" t="s">
        <v>139</v>
      </c>
      <c r="F5221" t="s">
        <v>6</v>
      </c>
      <c r="G5221" s="18">
        <v>0</v>
      </c>
      <c r="H5221" t="s">
        <v>16</v>
      </c>
      <c r="I5221" t="s">
        <v>25</v>
      </c>
    </row>
    <row r="5222" spans="1:9" x14ac:dyDescent="0.25">
      <c r="A5222">
        <v>1815</v>
      </c>
      <c r="B5222">
        <f>A5222+1</f>
        <v>1816</v>
      </c>
      <c r="C5222" t="s">
        <v>521</v>
      </c>
      <c r="D5222" t="s">
        <v>27</v>
      </c>
      <c r="E5222" s="208" t="s">
        <v>132</v>
      </c>
      <c r="F5222" t="s">
        <v>6</v>
      </c>
      <c r="G5222" s="18">
        <v>0</v>
      </c>
      <c r="H5222" t="s">
        <v>16</v>
      </c>
      <c r="I5222" t="s">
        <v>25</v>
      </c>
    </row>
    <row r="5223" spans="1:9" x14ac:dyDescent="0.25">
      <c r="A5223">
        <v>1815</v>
      </c>
      <c r="B5223">
        <f>A5223+1</f>
        <v>1816</v>
      </c>
      <c r="C5223" t="s">
        <v>521</v>
      </c>
      <c r="D5223" t="s">
        <v>27</v>
      </c>
      <c r="E5223" s="208" t="s">
        <v>130</v>
      </c>
      <c r="F5223" t="s">
        <v>6</v>
      </c>
      <c r="G5223" s="18">
        <v>0</v>
      </c>
      <c r="H5223" t="s">
        <v>16</v>
      </c>
      <c r="I5223" t="s">
        <v>25</v>
      </c>
    </row>
    <row r="5224" spans="1:9" x14ac:dyDescent="0.25">
      <c r="A5224">
        <v>1815</v>
      </c>
      <c r="B5224">
        <f>A5224+1</f>
        <v>1816</v>
      </c>
      <c r="C5224" t="s">
        <v>521</v>
      </c>
      <c r="D5224" t="s">
        <v>27</v>
      </c>
      <c r="E5224" s="208" t="s">
        <v>144</v>
      </c>
      <c r="F5224" t="s">
        <v>6</v>
      </c>
      <c r="G5224" s="18">
        <v>0</v>
      </c>
      <c r="H5224" t="s">
        <v>16</v>
      </c>
      <c r="I5224" t="s">
        <v>25</v>
      </c>
    </row>
    <row r="5225" spans="1:9" x14ac:dyDescent="0.25">
      <c r="A5225">
        <v>1815</v>
      </c>
      <c r="B5225">
        <f>A5225+1</f>
        <v>1816</v>
      </c>
      <c r="C5225" t="s">
        <v>521</v>
      </c>
      <c r="D5225" t="s">
        <v>27</v>
      </c>
      <c r="E5225" s="208" t="s">
        <v>142</v>
      </c>
      <c r="F5225" t="s">
        <v>6</v>
      </c>
      <c r="G5225" s="18">
        <v>0</v>
      </c>
      <c r="H5225" t="s">
        <v>16</v>
      </c>
      <c r="I5225" t="s">
        <v>25</v>
      </c>
    </row>
    <row r="5226" spans="1:9" x14ac:dyDescent="0.25">
      <c r="A5226">
        <v>1815</v>
      </c>
      <c r="B5226">
        <f>A5226+1</f>
        <v>1816</v>
      </c>
      <c r="C5226" t="s">
        <v>521</v>
      </c>
      <c r="D5226" t="s">
        <v>27</v>
      </c>
      <c r="E5226" s="208" t="s">
        <v>124</v>
      </c>
      <c r="F5226" t="s">
        <v>6</v>
      </c>
      <c r="G5226" s="18">
        <v>0</v>
      </c>
      <c r="H5226" t="s">
        <v>16</v>
      </c>
      <c r="I5226" t="s">
        <v>25</v>
      </c>
    </row>
    <row r="5227" spans="1:9" x14ac:dyDescent="0.25">
      <c r="A5227">
        <v>1815</v>
      </c>
      <c r="B5227">
        <f>A5227+1</f>
        <v>1816</v>
      </c>
      <c r="C5227" t="s">
        <v>521</v>
      </c>
      <c r="D5227" t="s">
        <v>26</v>
      </c>
      <c r="E5227" s="208" t="s">
        <v>62</v>
      </c>
      <c r="F5227" t="s">
        <v>6</v>
      </c>
      <c r="G5227" s="18">
        <v>7569</v>
      </c>
      <c r="H5227" t="s">
        <v>25</v>
      </c>
      <c r="I5227" t="s">
        <v>16</v>
      </c>
    </row>
    <row r="5228" spans="1:9" x14ac:dyDescent="0.25">
      <c r="A5228">
        <v>1815</v>
      </c>
      <c r="B5228">
        <f>A5228+1</f>
        <v>1816</v>
      </c>
      <c r="C5228" t="s">
        <v>521</v>
      </c>
      <c r="D5228" t="s">
        <v>26</v>
      </c>
      <c r="E5228" s="208" t="s">
        <v>36</v>
      </c>
      <c r="F5228" t="s">
        <v>6</v>
      </c>
      <c r="G5228" s="18">
        <v>204</v>
      </c>
      <c r="H5228" t="s">
        <v>25</v>
      </c>
      <c r="I5228" t="s">
        <v>16</v>
      </c>
    </row>
    <row r="5229" spans="1:9" x14ac:dyDescent="0.25">
      <c r="A5229">
        <v>1815</v>
      </c>
      <c r="B5229">
        <f>A5229+1</f>
        <v>1816</v>
      </c>
      <c r="C5229" t="s">
        <v>521</v>
      </c>
      <c r="D5229" t="s">
        <v>26</v>
      </c>
      <c r="E5229" s="208" t="s">
        <v>35</v>
      </c>
      <c r="F5229" t="s">
        <v>6</v>
      </c>
      <c r="G5229" s="18">
        <v>276</v>
      </c>
      <c r="H5229" t="s">
        <v>25</v>
      </c>
      <c r="I5229" t="s">
        <v>16</v>
      </c>
    </row>
    <row r="5230" spans="1:9" x14ac:dyDescent="0.25">
      <c r="A5230">
        <v>1815</v>
      </c>
      <c r="B5230">
        <f>A5230+1</f>
        <v>1816</v>
      </c>
      <c r="C5230" t="s">
        <v>521</v>
      </c>
      <c r="D5230" t="s">
        <v>26</v>
      </c>
      <c r="E5230" s="208" t="s">
        <v>39</v>
      </c>
      <c r="F5230" t="s">
        <v>6</v>
      </c>
      <c r="G5230" s="18">
        <v>916</v>
      </c>
      <c r="H5230" t="s">
        <v>25</v>
      </c>
      <c r="I5230" t="s">
        <v>16</v>
      </c>
    </row>
    <row r="5231" spans="1:9" x14ac:dyDescent="0.25">
      <c r="A5231">
        <v>1815</v>
      </c>
      <c r="B5231">
        <f>A5231+1</f>
        <v>1816</v>
      </c>
      <c r="C5231" t="s">
        <v>521</v>
      </c>
      <c r="D5231" t="s">
        <v>26</v>
      </c>
      <c r="E5231" s="208" t="s">
        <v>99</v>
      </c>
      <c r="F5231" t="s">
        <v>6</v>
      </c>
      <c r="G5231" s="18">
        <v>15</v>
      </c>
      <c r="H5231" t="s">
        <v>25</v>
      </c>
      <c r="I5231" t="s">
        <v>16</v>
      </c>
    </row>
    <row r="5232" spans="1:9" x14ac:dyDescent="0.25">
      <c r="A5232">
        <v>1815</v>
      </c>
      <c r="B5232">
        <f>A5232+1</f>
        <v>1816</v>
      </c>
      <c r="C5232" t="s">
        <v>521</v>
      </c>
      <c r="D5232" t="s">
        <v>26</v>
      </c>
      <c r="E5232" s="208" t="s">
        <v>95</v>
      </c>
      <c r="F5232" t="s">
        <v>6</v>
      </c>
      <c r="G5232" s="18">
        <v>294</v>
      </c>
      <c r="H5232" t="s">
        <v>25</v>
      </c>
      <c r="I5232" t="s">
        <v>16</v>
      </c>
    </row>
    <row r="5233" spans="1:9" x14ac:dyDescent="0.25">
      <c r="A5233">
        <v>1815</v>
      </c>
      <c r="B5233">
        <f>A5233+1</f>
        <v>1816</v>
      </c>
      <c r="C5233" t="s">
        <v>521</v>
      </c>
      <c r="D5233" t="s">
        <v>26</v>
      </c>
      <c r="E5233" s="208" t="s">
        <v>94</v>
      </c>
      <c r="F5233" t="s">
        <v>6</v>
      </c>
      <c r="G5233" s="18">
        <v>2450</v>
      </c>
      <c r="H5233" t="s">
        <v>25</v>
      </c>
      <c r="I5233" t="s">
        <v>16</v>
      </c>
    </row>
    <row r="5234" spans="1:9" x14ac:dyDescent="0.25">
      <c r="A5234">
        <v>1815</v>
      </c>
      <c r="B5234">
        <f>A5234+1</f>
        <v>1816</v>
      </c>
      <c r="C5234" t="s">
        <v>521</v>
      </c>
      <c r="D5234" t="s">
        <v>26</v>
      </c>
      <c r="E5234" s="208" t="s">
        <v>386</v>
      </c>
      <c r="F5234" t="s">
        <v>6</v>
      </c>
      <c r="G5234" s="18">
        <v>40116</v>
      </c>
      <c r="H5234" t="s">
        <v>25</v>
      </c>
      <c r="I5234" t="s">
        <v>16</v>
      </c>
    </row>
    <row r="5235" spans="1:9" x14ac:dyDescent="0.25">
      <c r="A5235">
        <v>1815</v>
      </c>
      <c r="B5235">
        <f>A5235+1</f>
        <v>1816</v>
      </c>
      <c r="C5235" t="s">
        <v>521</v>
      </c>
      <c r="D5235" t="s">
        <v>26</v>
      </c>
      <c r="E5235" s="208" t="s">
        <v>387</v>
      </c>
      <c r="F5235" t="s">
        <v>6</v>
      </c>
      <c r="G5235" s="18">
        <v>864</v>
      </c>
      <c r="H5235" t="s">
        <v>25</v>
      </c>
      <c r="I5235" t="s">
        <v>16</v>
      </c>
    </row>
    <row r="5236" spans="1:9" x14ac:dyDescent="0.25">
      <c r="A5236">
        <v>1815</v>
      </c>
      <c r="B5236">
        <f>A5236+1</f>
        <v>1816</v>
      </c>
      <c r="C5236" t="s">
        <v>521</v>
      </c>
      <c r="D5236" t="s">
        <v>26</v>
      </c>
      <c r="E5236" s="208" t="s">
        <v>388</v>
      </c>
      <c r="F5236" t="s">
        <v>6</v>
      </c>
      <c r="G5236" s="18">
        <v>245</v>
      </c>
      <c r="H5236" t="s">
        <v>25</v>
      </c>
      <c r="I5236" t="s">
        <v>16</v>
      </c>
    </row>
    <row r="5237" spans="1:9" x14ac:dyDescent="0.25">
      <c r="A5237">
        <v>1815</v>
      </c>
      <c r="B5237">
        <f>A5237+1</f>
        <v>1816</v>
      </c>
      <c r="C5237" t="s">
        <v>521</v>
      </c>
      <c r="D5237" t="s">
        <v>26</v>
      </c>
      <c r="E5237" s="208" t="s">
        <v>85</v>
      </c>
      <c r="F5237" t="s">
        <v>6</v>
      </c>
      <c r="G5237" s="18">
        <v>40</v>
      </c>
      <c r="H5237" t="s">
        <v>25</v>
      </c>
      <c r="I5237" t="s">
        <v>16</v>
      </c>
    </row>
    <row r="5238" spans="1:9" x14ac:dyDescent="0.25">
      <c r="A5238">
        <v>1815</v>
      </c>
      <c r="B5238">
        <f>A5238+1</f>
        <v>1816</v>
      </c>
      <c r="C5238" t="s">
        <v>521</v>
      </c>
      <c r="D5238" t="s">
        <v>26</v>
      </c>
      <c r="E5238" s="208" t="s">
        <v>398</v>
      </c>
      <c r="F5238" t="s">
        <v>6</v>
      </c>
      <c r="G5238" s="18">
        <v>30</v>
      </c>
      <c r="H5238" t="s">
        <v>25</v>
      </c>
      <c r="I5238" t="s">
        <v>16</v>
      </c>
    </row>
    <row r="5239" spans="1:9" x14ac:dyDescent="0.25">
      <c r="A5239">
        <v>1815</v>
      </c>
      <c r="B5239">
        <f>A5239+1</f>
        <v>1816</v>
      </c>
      <c r="C5239" t="s">
        <v>521</v>
      </c>
      <c r="D5239" t="s">
        <v>26</v>
      </c>
      <c r="E5239" s="208" t="s">
        <v>65</v>
      </c>
      <c r="F5239" t="s">
        <v>6</v>
      </c>
      <c r="G5239" s="18">
        <v>0</v>
      </c>
      <c r="H5239" t="s">
        <v>25</v>
      </c>
      <c r="I5239" t="s">
        <v>16</v>
      </c>
    </row>
    <row r="5240" spans="1:9" x14ac:dyDescent="0.25">
      <c r="A5240">
        <v>1815</v>
      </c>
      <c r="B5240">
        <f>A5240+1</f>
        <v>1816</v>
      </c>
      <c r="C5240" t="s">
        <v>521</v>
      </c>
      <c r="D5240" t="s">
        <v>26</v>
      </c>
      <c r="E5240" s="208" t="s">
        <v>107</v>
      </c>
      <c r="F5240" t="s">
        <v>6</v>
      </c>
      <c r="G5240" s="18">
        <v>93630</v>
      </c>
      <c r="H5240" t="s">
        <v>25</v>
      </c>
      <c r="I5240" t="s">
        <v>16</v>
      </c>
    </row>
    <row r="5241" spans="1:9" x14ac:dyDescent="0.25">
      <c r="A5241">
        <v>1815</v>
      </c>
      <c r="B5241">
        <f>A5241+1</f>
        <v>1816</v>
      </c>
      <c r="C5241" t="s">
        <v>521</v>
      </c>
      <c r="D5241" t="s">
        <v>26</v>
      </c>
      <c r="E5241" s="208" t="s">
        <v>101</v>
      </c>
      <c r="F5241" t="s">
        <v>6</v>
      </c>
      <c r="G5241" s="18">
        <v>322517</v>
      </c>
      <c r="H5241" t="s">
        <v>25</v>
      </c>
      <c r="I5241" t="s">
        <v>16</v>
      </c>
    </row>
    <row r="5242" spans="1:9" x14ac:dyDescent="0.25">
      <c r="A5242">
        <v>1815</v>
      </c>
      <c r="B5242">
        <f>A5242+1</f>
        <v>1816</v>
      </c>
      <c r="C5242" t="s">
        <v>521</v>
      </c>
      <c r="D5242" t="s">
        <v>26</v>
      </c>
      <c r="E5242" s="208" t="s">
        <v>75</v>
      </c>
      <c r="F5242" t="s">
        <v>6</v>
      </c>
      <c r="G5242" s="18">
        <v>474111</v>
      </c>
      <c r="H5242" t="s">
        <v>25</v>
      </c>
      <c r="I5242" t="s">
        <v>16</v>
      </c>
    </row>
    <row r="5243" spans="1:9" x14ac:dyDescent="0.25">
      <c r="A5243">
        <v>1815</v>
      </c>
      <c r="B5243">
        <f>A5243+1</f>
        <v>1816</v>
      </c>
      <c r="C5243" t="s">
        <v>521</v>
      </c>
      <c r="D5243" t="s">
        <v>26</v>
      </c>
      <c r="E5243" s="208" t="s">
        <v>330</v>
      </c>
      <c r="F5243" t="s">
        <v>6</v>
      </c>
      <c r="G5243" s="18">
        <v>1335</v>
      </c>
      <c r="H5243" t="s">
        <v>25</v>
      </c>
      <c r="I5243" t="s">
        <v>16</v>
      </c>
    </row>
    <row r="5244" spans="1:9" x14ac:dyDescent="0.25">
      <c r="A5244">
        <v>1815</v>
      </c>
      <c r="B5244">
        <f>A5244+1</f>
        <v>1816</v>
      </c>
      <c r="C5244" t="s">
        <v>521</v>
      </c>
      <c r="D5244" t="s">
        <v>26</v>
      </c>
      <c r="E5244" s="208" t="s">
        <v>331</v>
      </c>
      <c r="F5244" t="s">
        <v>6</v>
      </c>
      <c r="G5244" s="18">
        <v>4751</v>
      </c>
      <c r="H5244" t="s">
        <v>25</v>
      </c>
      <c r="I5244" t="s">
        <v>16</v>
      </c>
    </row>
    <row r="5245" spans="1:9" x14ac:dyDescent="0.25">
      <c r="A5245">
        <v>1815</v>
      </c>
      <c r="B5245">
        <f>A5245+1</f>
        <v>1816</v>
      </c>
      <c r="C5245" t="s">
        <v>521</v>
      </c>
      <c r="D5245" t="s">
        <v>26</v>
      </c>
      <c r="E5245" s="208" t="s">
        <v>332</v>
      </c>
      <c r="F5245" t="s">
        <v>6</v>
      </c>
      <c r="G5245" s="18">
        <v>438</v>
      </c>
      <c r="H5245" t="s">
        <v>25</v>
      </c>
      <c r="I5245" t="s">
        <v>16</v>
      </c>
    </row>
    <row r="5246" spans="1:9" x14ac:dyDescent="0.25">
      <c r="A5246">
        <v>1815</v>
      </c>
      <c r="B5246">
        <f>A5246+1</f>
        <v>1816</v>
      </c>
      <c r="C5246" t="s">
        <v>521</v>
      </c>
      <c r="D5246" t="s">
        <v>26</v>
      </c>
      <c r="E5246" s="208" t="s">
        <v>333</v>
      </c>
      <c r="F5246" t="s">
        <v>6</v>
      </c>
      <c r="G5246" s="18">
        <v>3561</v>
      </c>
      <c r="H5246" t="s">
        <v>25</v>
      </c>
      <c r="I5246" t="s">
        <v>16</v>
      </c>
    </row>
    <row r="5247" spans="1:9" x14ac:dyDescent="0.25">
      <c r="A5247">
        <v>1815</v>
      </c>
      <c r="B5247">
        <f>A5247+1</f>
        <v>1816</v>
      </c>
      <c r="C5247" t="s">
        <v>521</v>
      </c>
      <c r="D5247" t="s">
        <v>27</v>
      </c>
      <c r="E5247" s="208" t="s">
        <v>155</v>
      </c>
      <c r="F5247" t="s">
        <v>4</v>
      </c>
      <c r="G5247" s="18">
        <v>506</v>
      </c>
      <c r="H5247" t="s">
        <v>16</v>
      </c>
      <c r="I5247" t="s">
        <v>23</v>
      </c>
    </row>
    <row r="5248" spans="1:9" x14ac:dyDescent="0.25">
      <c r="A5248">
        <v>1815</v>
      </c>
      <c r="B5248">
        <f>A5248+1</f>
        <v>1816</v>
      </c>
      <c r="C5248" t="s">
        <v>521</v>
      </c>
      <c r="D5248" t="s">
        <v>27</v>
      </c>
      <c r="E5248" s="208" t="s">
        <v>156</v>
      </c>
      <c r="F5248" t="s">
        <v>4</v>
      </c>
      <c r="G5248" s="18">
        <v>68</v>
      </c>
      <c r="H5248" t="s">
        <v>16</v>
      </c>
      <c r="I5248" t="s">
        <v>23</v>
      </c>
    </row>
    <row r="5249" spans="1:9" x14ac:dyDescent="0.25">
      <c r="A5249">
        <v>1815</v>
      </c>
      <c r="B5249">
        <f>A5249+1</f>
        <v>1816</v>
      </c>
      <c r="C5249" t="s">
        <v>521</v>
      </c>
      <c r="D5249" t="s">
        <v>27</v>
      </c>
      <c r="E5249" s="208" t="s">
        <v>154</v>
      </c>
      <c r="F5249" t="s">
        <v>4</v>
      </c>
      <c r="G5249" s="18">
        <v>272</v>
      </c>
      <c r="H5249" t="s">
        <v>16</v>
      </c>
      <c r="I5249" t="s">
        <v>23</v>
      </c>
    </row>
    <row r="5250" spans="1:9" x14ac:dyDescent="0.25">
      <c r="A5250">
        <v>1815</v>
      </c>
      <c r="B5250">
        <f>A5250+1</f>
        <v>1816</v>
      </c>
      <c r="C5250" t="s">
        <v>521</v>
      </c>
      <c r="D5250" t="s">
        <v>27</v>
      </c>
      <c r="E5250" s="208" t="s">
        <v>150</v>
      </c>
      <c r="F5250" t="s">
        <v>4</v>
      </c>
      <c r="G5250" s="18">
        <v>1825</v>
      </c>
      <c r="H5250" t="s">
        <v>16</v>
      </c>
      <c r="I5250" t="s">
        <v>23</v>
      </c>
    </row>
    <row r="5251" spans="1:9" x14ac:dyDescent="0.25">
      <c r="A5251">
        <v>1815</v>
      </c>
      <c r="B5251">
        <f>A5251+1</f>
        <v>1816</v>
      </c>
      <c r="C5251" t="s">
        <v>521</v>
      </c>
      <c r="D5251" t="s">
        <v>27</v>
      </c>
      <c r="E5251" s="208" t="s">
        <v>148</v>
      </c>
      <c r="F5251" t="s">
        <v>4</v>
      </c>
      <c r="G5251" s="18">
        <v>3</v>
      </c>
      <c r="H5251" t="s">
        <v>16</v>
      </c>
      <c r="I5251" t="s">
        <v>23</v>
      </c>
    </row>
    <row r="5252" spans="1:9" x14ac:dyDescent="0.25">
      <c r="A5252">
        <v>1815</v>
      </c>
      <c r="B5252">
        <f>A5252+1</f>
        <v>1816</v>
      </c>
      <c r="C5252" t="s">
        <v>521</v>
      </c>
      <c r="D5252" t="s">
        <v>27</v>
      </c>
      <c r="E5252" s="208" t="s">
        <v>147</v>
      </c>
      <c r="F5252" t="s">
        <v>4</v>
      </c>
      <c r="G5252" s="18">
        <v>4</v>
      </c>
      <c r="H5252" t="s">
        <v>16</v>
      </c>
      <c r="I5252" t="s">
        <v>23</v>
      </c>
    </row>
    <row r="5253" spans="1:9" x14ac:dyDescent="0.25">
      <c r="A5253">
        <v>1815</v>
      </c>
      <c r="B5253">
        <f>A5253+1</f>
        <v>1816</v>
      </c>
      <c r="C5253" t="s">
        <v>521</v>
      </c>
      <c r="D5253" t="s">
        <v>27</v>
      </c>
      <c r="E5253" s="208" t="s">
        <v>314</v>
      </c>
      <c r="F5253" t="s">
        <v>4</v>
      </c>
      <c r="G5253" s="18">
        <v>0</v>
      </c>
      <c r="H5253" t="s">
        <v>16</v>
      </c>
      <c r="I5253" t="s">
        <v>23</v>
      </c>
    </row>
    <row r="5254" spans="1:9" x14ac:dyDescent="0.25">
      <c r="A5254">
        <v>1815</v>
      </c>
      <c r="B5254">
        <f>A5254+1</f>
        <v>1816</v>
      </c>
      <c r="C5254" t="s">
        <v>521</v>
      </c>
      <c r="D5254" t="s">
        <v>27</v>
      </c>
      <c r="E5254" s="208" t="s">
        <v>139</v>
      </c>
      <c r="F5254" t="s">
        <v>4</v>
      </c>
      <c r="G5254" s="18">
        <v>19</v>
      </c>
      <c r="H5254" t="s">
        <v>16</v>
      </c>
      <c r="I5254" t="s">
        <v>23</v>
      </c>
    </row>
    <row r="5255" spans="1:9" x14ac:dyDescent="0.25">
      <c r="A5255">
        <v>1815</v>
      </c>
      <c r="B5255">
        <f>A5255+1</f>
        <v>1816</v>
      </c>
      <c r="C5255" t="s">
        <v>521</v>
      </c>
      <c r="D5255" t="s">
        <v>27</v>
      </c>
      <c r="E5255" s="208" t="s">
        <v>132</v>
      </c>
      <c r="F5255" t="s">
        <v>4</v>
      </c>
      <c r="G5255" s="18">
        <v>212</v>
      </c>
      <c r="H5255" t="s">
        <v>16</v>
      </c>
      <c r="I5255" t="s">
        <v>23</v>
      </c>
    </row>
    <row r="5256" spans="1:9" x14ac:dyDescent="0.25">
      <c r="A5256">
        <v>1815</v>
      </c>
      <c r="B5256">
        <f>A5256+1</f>
        <v>1816</v>
      </c>
      <c r="C5256" t="s">
        <v>521</v>
      </c>
      <c r="D5256" t="s">
        <v>27</v>
      </c>
      <c r="E5256" s="208" t="s">
        <v>130</v>
      </c>
      <c r="F5256" t="s">
        <v>4</v>
      </c>
      <c r="G5256" s="18">
        <v>102</v>
      </c>
      <c r="H5256" t="s">
        <v>16</v>
      </c>
      <c r="I5256" t="s">
        <v>23</v>
      </c>
    </row>
    <row r="5257" spans="1:9" x14ac:dyDescent="0.25">
      <c r="A5257">
        <v>1815</v>
      </c>
      <c r="B5257">
        <f>A5257+1</f>
        <v>1816</v>
      </c>
      <c r="C5257" t="s">
        <v>521</v>
      </c>
      <c r="D5257" t="s">
        <v>27</v>
      </c>
      <c r="E5257" s="208" t="s">
        <v>144</v>
      </c>
      <c r="F5257" t="s">
        <v>4</v>
      </c>
      <c r="G5257" s="18">
        <v>180</v>
      </c>
      <c r="H5257" t="s">
        <v>16</v>
      </c>
      <c r="I5257" t="s">
        <v>23</v>
      </c>
    </row>
    <row r="5258" spans="1:9" x14ac:dyDescent="0.25">
      <c r="A5258">
        <v>1815</v>
      </c>
      <c r="B5258">
        <f>A5258+1</f>
        <v>1816</v>
      </c>
      <c r="C5258" t="s">
        <v>521</v>
      </c>
      <c r="D5258" t="s">
        <v>27</v>
      </c>
      <c r="E5258" s="208" t="s">
        <v>142</v>
      </c>
      <c r="F5258" t="s">
        <v>4</v>
      </c>
      <c r="G5258" s="18">
        <v>3044</v>
      </c>
      <c r="H5258" t="s">
        <v>16</v>
      </c>
      <c r="I5258" t="s">
        <v>23</v>
      </c>
    </row>
    <row r="5259" spans="1:9" x14ac:dyDescent="0.25">
      <c r="A5259">
        <v>1815</v>
      </c>
      <c r="B5259">
        <f>A5259+1</f>
        <v>1816</v>
      </c>
      <c r="C5259" t="s">
        <v>521</v>
      </c>
      <c r="D5259" t="s">
        <v>27</v>
      </c>
      <c r="E5259" s="208" t="s">
        <v>124</v>
      </c>
      <c r="F5259" t="s">
        <v>4</v>
      </c>
      <c r="G5259" s="18">
        <v>1644814</v>
      </c>
      <c r="H5259" t="s">
        <v>16</v>
      </c>
      <c r="I5259" t="s">
        <v>23</v>
      </c>
    </row>
    <row r="5260" spans="1:9" x14ac:dyDescent="0.25">
      <c r="A5260">
        <v>1815</v>
      </c>
      <c r="B5260">
        <f>A5260+1</f>
        <v>1816</v>
      </c>
      <c r="C5260" t="s">
        <v>521</v>
      </c>
      <c r="D5260" t="s">
        <v>26</v>
      </c>
      <c r="E5260" s="208" t="s">
        <v>62</v>
      </c>
      <c r="F5260" t="s">
        <v>4</v>
      </c>
      <c r="G5260" s="18">
        <v>39553</v>
      </c>
      <c r="H5260" t="s">
        <v>23</v>
      </c>
      <c r="I5260" t="s">
        <v>16</v>
      </c>
    </row>
    <row r="5261" spans="1:9" x14ac:dyDescent="0.25">
      <c r="A5261">
        <v>1815</v>
      </c>
      <c r="B5261">
        <f>A5261+1</f>
        <v>1816</v>
      </c>
      <c r="C5261" t="s">
        <v>521</v>
      </c>
      <c r="D5261" t="s">
        <v>26</v>
      </c>
      <c r="E5261" s="208" t="s">
        <v>36</v>
      </c>
      <c r="F5261" t="s">
        <v>4</v>
      </c>
      <c r="G5261" s="18">
        <v>2853</v>
      </c>
      <c r="H5261" t="s">
        <v>23</v>
      </c>
      <c r="I5261" t="s">
        <v>16</v>
      </c>
    </row>
    <row r="5262" spans="1:9" x14ac:dyDescent="0.25">
      <c r="A5262">
        <v>1815</v>
      </c>
      <c r="B5262">
        <f>A5262+1</f>
        <v>1816</v>
      </c>
      <c r="C5262" t="s">
        <v>521</v>
      </c>
      <c r="D5262" t="s">
        <v>26</v>
      </c>
      <c r="E5262" s="208" t="s">
        <v>35</v>
      </c>
      <c r="F5262" t="s">
        <v>4</v>
      </c>
      <c r="G5262" s="18">
        <v>0</v>
      </c>
      <c r="H5262" t="s">
        <v>23</v>
      </c>
      <c r="I5262" t="s">
        <v>16</v>
      </c>
    </row>
    <row r="5263" spans="1:9" x14ac:dyDescent="0.25">
      <c r="A5263">
        <v>1815</v>
      </c>
      <c r="B5263">
        <f>A5263+1</f>
        <v>1816</v>
      </c>
      <c r="C5263" t="s">
        <v>521</v>
      </c>
      <c r="D5263" t="s">
        <v>26</v>
      </c>
      <c r="E5263" s="208" t="s">
        <v>39</v>
      </c>
      <c r="F5263" t="s">
        <v>4</v>
      </c>
      <c r="G5263" s="18">
        <v>4488</v>
      </c>
      <c r="H5263" t="s">
        <v>23</v>
      </c>
      <c r="I5263" t="s">
        <v>16</v>
      </c>
    </row>
    <row r="5264" spans="1:9" x14ac:dyDescent="0.25">
      <c r="A5264">
        <v>1815</v>
      </c>
      <c r="B5264">
        <f>A5264+1</f>
        <v>1816</v>
      </c>
      <c r="C5264" t="s">
        <v>521</v>
      </c>
      <c r="D5264" t="s">
        <v>26</v>
      </c>
      <c r="E5264" s="208" t="s">
        <v>99</v>
      </c>
      <c r="F5264" t="s">
        <v>4</v>
      </c>
      <c r="G5264" s="18">
        <v>1968</v>
      </c>
      <c r="H5264" t="s">
        <v>23</v>
      </c>
      <c r="I5264" t="s">
        <v>16</v>
      </c>
    </row>
    <row r="5265" spans="1:9" x14ac:dyDescent="0.25">
      <c r="A5265">
        <v>1815</v>
      </c>
      <c r="B5265">
        <f>A5265+1</f>
        <v>1816</v>
      </c>
      <c r="C5265" t="s">
        <v>521</v>
      </c>
      <c r="D5265" t="s">
        <v>26</v>
      </c>
      <c r="E5265" s="208" t="s">
        <v>95</v>
      </c>
      <c r="F5265" t="s">
        <v>4</v>
      </c>
      <c r="G5265" s="18">
        <v>1067</v>
      </c>
      <c r="H5265" t="s">
        <v>23</v>
      </c>
      <c r="I5265" t="s">
        <v>16</v>
      </c>
    </row>
    <row r="5266" spans="1:9" x14ac:dyDescent="0.25">
      <c r="A5266">
        <v>1815</v>
      </c>
      <c r="B5266">
        <f>A5266+1</f>
        <v>1816</v>
      </c>
      <c r="C5266" t="s">
        <v>521</v>
      </c>
      <c r="D5266" t="s">
        <v>26</v>
      </c>
      <c r="E5266" s="208" t="s">
        <v>94</v>
      </c>
      <c r="F5266" t="s">
        <v>4</v>
      </c>
      <c r="G5266" s="18">
        <v>399</v>
      </c>
      <c r="H5266" t="s">
        <v>23</v>
      </c>
      <c r="I5266" t="s">
        <v>16</v>
      </c>
    </row>
    <row r="5267" spans="1:9" x14ac:dyDescent="0.25">
      <c r="A5267">
        <v>1815</v>
      </c>
      <c r="B5267">
        <f>A5267+1</f>
        <v>1816</v>
      </c>
      <c r="C5267" t="s">
        <v>521</v>
      </c>
      <c r="D5267" t="s">
        <v>26</v>
      </c>
      <c r="E5267" s="208" t="s">
        <v>386</v>
      </c>
      <c r="F5267" t="s">
        <v>4</v>
      </c>
      <c r="G5267" s="18">
        <v>4196</v>
      </c>
      <c r="H5267" t="s">
        <v>23</v>
      </c>
      <c r="I5267" t="s">
        <v>16</v>
      </c>
    </row>
    <row r="5268" spans="1:9" x14ac:dyDescent="0.25">
      <c r="A5268">
        <v>1815</v>
      </c>
      <c r="B5268">
        <f>A5268+1</f>
        <v>1816</v>
      </c>
      <c r="C5268" t="s">
        <v>521</v>
      </c>
      <c r="D5268" t="s">
        <v>26</v>
      </c>
      <c r="E5268" s="208" t="s">
        <v>387</v>
      </c>
      <c r="F5268" t="s">
        <v>4</v>
      </c>
      <c r="G5268" s="18">
        <v>173</v>
      </c>
      <c r="H5268" t="s">
        <v>23</v>
      </c>
      <c r="I5268" t="s">
        <v>16</v>
      </c>
    </row>
    <row r="5269" spans="1:9" x14ac:dyDescent="0.25">
      <c r="A5269">
        <v>1815</v>
      </c>
      <c r="B5269">
        <f>A5269+1</f>
        <v>1816</v>
      </c>
      <c r="C5269" t="s">
        <v>521</v>
      </c>
      <c r="D5269" t="s">
        <v>26</v>
      </c>
      <c r="E5269" s="208" t="s">
        <v>388</v>
      </c>
      <c r="F5269" t="s">
        <v>4</v>
      </c>
      <c r="G5269" s="18">
        <v>12188</v>
      </c>
      <c r="H5269" t="s">
        <v>23</v>
      </c>
      <c r="I5269" t="s">
        <v>16</v>
      </c>
    </row>
    <row r="5270" spans="1:9" x14ac:dyDescent="0.25">
      <c r="A5270">
        <v>1815</v>
      </c>
      <c r="B5270">
        <f>A5270+1</f>
        <v>1816</v>
      </c>
      <c r="C5270" t="s">
        <v>521</v>
      </c>
      <c r="D5270" t="s">
        <v>26</v>
      </c>
      <c r="E5270" s="208" t="s">
        <v>85</v>
      </c>
      <c r="F5270" t="s">
        <v>4</v>
      </c>
      <c r="G5270" s="18">
        <v>65</v>
      </c>
      <c r="H5270" t="s">
        <v>23</v>
      </c>
      <c r="I5270" t="s">
        <v>16</v>
      </c>
    </row>
    <row r="5271" spans="1:9" x14ac:dyDescent="0.25">
      <c r="A5271">
        <v>1815</v>
      </c>
      <c r="B5271">
        <f>A5271+1</f>
        <v>1816</v>
      </c>
      <c r="C5271" t="s">
        <v>521</v>
      </c>
      <c r="D5271" t="s">
        <v>26</v>
      </c>
      <c r="E5271" s="208" t="s">
        <v>398</v>
      </c>
      <c r="F5271" t="s">
        <v>4</v>
      </c>
      <c r="G5271" s="18">
        <v>290</v>
      </c>
      <c r="H5271" t="s">
        <v>23</v>
      </c>
      <c r="I5271" t="s">
        <v>16</v>
      </c>
    </row>
    <row r="5272" spans="1:9" x14ac:dyDescent="0.25">
      <c r="A5272">
        <v>1815</v>
      </c>
      <c r="B5272">
        <f>A5272+1</f>
        <v>1816</v>
      </c>
      <c r="C5272" t="s">
        <v>521</v>
      </c>
      <c r="D5272" t="s">
        <v>26</v>
      </c>
      <c r="E5272" s="208" t="s">
        <v>65</v>
      </c>
      <c r="F5272" t="s">
        <v>4</v>
      </c>
      <c r="G5272" s="18">
        <v>0</v>
      </c>
      <c r="H5272" t="s">
        <v>23</v>
      </c>
      <c r="I5272" t="s">
        <v>16</v>
      </c>
    </row>
    <row r="5273" spans="1:9" x14ac:dyDescent="0.25">
      <c r="A5273">
        <v>1815</v>
      </c>
      <c r="B5273">
        <f>A5273+1</f>
        <v>1816</v>
      </c>
      <c r="C5273" t="s">
        <v>521</v>
      </c>
      <c r="D5273" t="s">
        <v>26</v>
      </c>
      <c r="E5273" s="208" t="s">
        <v>107</v>
      </c>
      <c r="F5273" t="s">
        <v>4</v>
      </c>
      <c r="G5273" s="18">
        <v>3444798</v>
      </c>
      <c r="H5273" t="s">
        <v>23</v>
      </c>
      <c r="I5273" t="s">
        <v>16</v>
      </c>
    </row>
    <row r="5274" spans="1:9" x14ac:dyDescent="0.25">
      <c r="A5274">
        <v>1815</v>
      </c>
      <c r="B5274">
        <f>A5274+1</f>
        <v>1816</v>
      </c>
      <c r="C5274" t="s">
        <v>521</v>
      </c>
      <c r="D5274" t="s">
        <v>26</v>
      </c>
      <c r="E5274" s="208" t="s">
        <v>101</v>
      </c>
      <c r="F5274" t="s">
        <v>4</v>
      </c>
      <c r="G5274" s="18">
        <v>5540203</v>
      </c>
      <c r="H5274" t="s">
        <v>23</v>
      </c>
      <c r="I5274" t="s">
        <v>16</v>
      </c>
    </row>
    <row r="5275" spans="1:9" x14ac:dyDescent="0.25">
      <c r="A5275">
        <v>1815</v>
      </c>
      <c r="B5275">
        <f>A5275+1</f>
        <v>1816</v>
      </c>
      <c r="C5275" t="s">
        <v>521</v>
      </c>
      <c r="D5275" t="s">
        <v>26</v>
      </c>
      <c r="E5275" s="208" t="s">
        <v>75</v>
      </c>
      <c r="F5275" t="s">
        <v>4</v>
      </c>
      <c r="G5275" s="18">
        <v>4978260</v>
      </c>
      <c r="H5275" t="s">
        <v>23</v>
      </c>
      <c r="I5275" t="s">
        <v>16</v>
      </c>
    </row>
    <row r="5276" spans="1:9" x14ac:dyDescent="0.25">
      <c r="A5276">
        <v>1815</v>
      </c>
      <c r="B5276">
        <f>A5276+1</f>
        <v>1816</v>
      </c>
      <c r="C5276" t="s">
        <v>521</v>
      </c>
      <c r="D5276" t="s">
        <v>26</v>
      </c>
      <c r="E5276" s="208" t="s">
        <v>330</v>
      </c>
      <c r="F5276" t="s">
        <v>4</v>
      </c>
      <c r="G5276" s="18">
        <v>115</v>
      </c>
      <c r="H5276" t="s">
        <v>23</v>
      </c>
      <c r="I5276" t="s">
        <v>16</v>
      </c>
    </row>
    <row r="5277" spans="1:9" x14ac:dyDescent="0.25">
      <c r="A5277">
        <v>1815</v>
      </c>
      <c r="B5277">
        <f>A5277+1</f>
        <v>1816</v>
      </c>
      <c r="C5277" t="s">
        <v>521</v>
      </c>
      <c r="D5277" t="s">
        <v>26</v>
      </c>
      <c r="E5277" s="208" t="s">
        <v>331</v>
      </c>
      <c r="F5277" t="s">
        <v>4</v>
      </c>
      <c r="G5277" s="18">
        <v>0</v>
      </c>
      <c r="H5277" t="s">
        <v>23</v>
      </c>
      <c r="I5277" t="s">
        <v>16</v>
      </c>
    </row>
    <row r="5278" spans="1:9" x14ac:dyDescent="0.25">
      <c r="A5278">
        <v>1815</v>
      </c>
      <c r="B5278">
        <f>A5278+1</f>
        <v>1816</v>
      </c>
      <c r="C5278" t="s">
        <v>521</v>
      </c>
      <c r="D5278" t="s">
        <v>26</v>
      </c>
      <c r="E5278" s="208" t="s">
        <v>332</v>
      </c>
      <c r="F5278" t="s">
        <v>4</v>
      </c>
      <c r="G5278" s="18">
        <v>0</v>
      </c>
      <c r="H5278" t="s">
        <v>23</v>
      </c>
      <c r="I5278" t="s">
        <v>16</v>
      </c>
    </row>
    <row r="5279" spans="1:9" x14ac:dyDescent="0.25">
      <c r="A5279">
        <v>1815</v>
      </c>
      <c r="B5279">
        <f>A5279+1</f>
        <v>1816</v>
      </c>
      <c r="C5279" t="s">
        <v>521</v>
      </c>
      <c r="D5279" t="s">
        <v>26</v>
      </c>
      <c r="E5279" s="208" t="s">
        <v>333</v>
      </c>
      <c r="F5279" t="s">
        <v>4</v>
      </c>
      <c r="G5279" s="18">
        <v>67</v>
      </c>
      <c r="H5279" t="s">
        <v>23</v>
      </c>
      <c r="I5279" t="s">
        <v>16</v>
      </c>
    </row>
    <row r="5280" spans="1:9" x14ac:dyDescent="0.25">
      <c r="A5280">
        <v>1815</v>
      </c>
      <c r="B5280">
        <f>A5280+1</f>
        <v>1816</v>
      </c>
      <c r="C5280" t="s">
        <v>521</v>
      </c>
      <c r="D5280" t="s">
        <v>27</v>
      </c>
      <c r="E5280" s="208" t="s">
        <v>155</v>
      </c>
      <c r="F5280" t="s">
        <v>7</v>
      </c>
      <c r="G5280" s="18">
        <v>19185</v>
      </c>
      <c r="H5280" t="s">
        <v>16</v>
      </c>
      <c r="I5280" s="151" t="s">
        <v>562</v>
      </c>
    </row>
    <row r="5281" spans="1:9" x14ac:dyDescent="0.25">
      <c r="A5281">
        <v>1815</v>
      </c>
      <c r="B5281">
        <f>A5281+1</f>
        <v>1816</v>
      </c>
      <c r="C5281" t="s">
        <v>521</v>
      </c>
      <c r="D5281" t="s">
        <v>27</v>
      </c>
      <c r="E5281" s="208" t="s">
        <v>156</v>
      </c>
      <c r="F5281" t="s">
        <v>7</v>
      </c>
      <c r="G5281" s="18">
        <v>1593</v>
      </c>
      <c r="H5281" t="s">
        <v>16</v>
      </c>
      <c r="I5281" s="151" t="s">
        <v>562</v>
      </c>
    </row>
    <row r="5282" spans="1:9" x14ac:dyDescent="0.25">
      <c r="A5282">
        <v>1815</v>
      </c>
      <c r="B5282">
        <f>A5282+1</f>
        <v>1816</v>
      </c>
      <c r="C5282" t="s">
        <v>521</v>
      </c>
      <c r="D5282" t="s">
        <v>27</v>
      </c>
      <c r="E5282" s="208" t="s">
        <v>154</v>
      </c>
      <c r="F5282" t="s">
        <v>7</v>
      </c>
      <c r="G5282" s="18">
        <v>1315</v>
      </c>
      <c r="H5282" t="s">
        <v>16</v>
      </c>
      <c r="I5282" s="151" t="s">
        <v>562</v>
      </c>
    </row>
    <row r="5283" spans="1:9" x14ac:dyDescent="0.25">
      <c r="A5283">
        <v>1815</v>
      </c>
      <c r="B5283">
        <f>A5283+1</f>
        <v>1816</v>
      </c>
      <c r="C5283" t="s">
        <v>521</v>
      </c>
      <c r="D5283" t="s">
        <v>27</v>
      </c>
      <c r="E5283" s="208" t="s">
        <v>150</v>
      </c>
      <c r="F5283" t="s">
        <v>7</v>
      </c>
      <c r="G5283" s="18">
        <v>7369</v>
      </c>
      <c r="H5283" t="s">
        <v>16</v>
      </c>
      <c r="I5283" s="151" t="s">
        <v>562</v>
      </c>
    </row>
    <row r="5284" spans="1:9" x14ac:dyDescent="0.25">
      <c r="A5284">
        <v>1815</v>
      </c>
      <c r="B5284">
        <f>A5284+1</f>
        <v>1816</v>
      </c>
      <c r="C5284" t="s">
        <v>521</v>
      </c>
      <c r="D5284" t="s">
        <v>27</v>
      </c>
      <c r="E5284" s="208" t="s">
        <v>148</v>
      </c>
      <c r="F5284" t="s">
        <v>7</v>
      </c>
      <c r="G5284" s="18">
        <v>340</v>
      </c>
      <c r="H5284" t="s">
        <v>16</v>
      </c>
      <c r="I5284" s="151" t="s">
        <v>562</v>
      </c>
    </row>
    <row r="5285" spans="1:9" x14ac:dyDescent="0.25">
      <c r="A5285">
        <v>1815</v>
      </c>
      <c r="B5285">
        <f>A5285+1</f>
        <v>1816</v>
      </c>
      <c r="C5285" t="s">
        <v>521</v>
      </c>
      <c r="D5285" t="s">
        <v>27</v>
      </c>
      <c r="E5285" s="208" t="s">
        <v>147</v>
      </c>
      <c r="F5285" t="s">
        <v>7</v>
      </c>
      <c r="G5285" s="18">
        <v>281</v>
      </c>
      <c r="H5285" t="s">
        <v>16</v>
      </c>
      <c r="I5285" s="151" t="s">
        <v>562</v>
      </c>
    </row>
    <row r="5286" spans="1:9" x14ac:dyDescent="0.25">
      <c r="A5286">
        <v>1815</v>
      </c>
      <c r="B5286">
        <f>A5286+1</f>
        <v>1816</v>
      </c>
      <c r="C5286" t="s">
        <v>521</v>
      </c>
      <c r="D5286" t="s">
        <v>27</v>
      </c>
      <c r="E5286" s="208" t="s">
        <v>314</v>
      </c>
      <c r="F5286" t="s">
        <v>7</v>
      </c>
      <c r="G5286" s="18">
        <v>903</v>
      </c>
      <c r="H5286" t="s">
        <v>16</v>
      </c>
      <c r="I5286" s="151" t="s">
        <v>562</v>
      </c>
    </row>
    <row r="5287" spans="1:9" x14ac:dyDescent="0.25">
      <c r="A5287">
        <v>1815</v>
      </c>
      <c r="B5287">
        <f>A5287+1</f>
        <v>1816</v>
      </c>
      <c r="C5287" t="s">
        <v>521</v>
      </c>
      <c r="D5287" t="s">
        <v>27</v>
      </c>
      <c r="E5287" s="208" t="s">
        <v>139</v>
      </c>
      <c r="F5287" t="s">
        <v>7</v>
      </c>
      <c r="G5287" s="18">
        <v>22</v>
      </c>
      <c r="H5287" t="s">
        <v>16</v>
      </c>
      <c r="I5287" s="151" t="s">
        <v>562</v>
      </c>
    </row>
    <row r="5288" spans="1:9" x14ac:dyDescent="0.25">
      <c r="A5288">
        <v>1815</v>
      </c>
      <c r="B5288">
        <f>A5288+1</f>
        <v>1816</v>
      </c>
      <c r="C5288" t="s">
        <v>521</v>
      </c>
      <c r="D5288" t="s">
        <v>27</v>
      </c>
      <c r="E5288" s="208" t="s">
        <v>132</v>
      </c>
      <c r="F5288" t="s">
        <v>7</v>
      </c>
      <c r="G5288" s="18">
        <v>1872</v>
      </c>
      <c r="H5288" t="s">
        <v>16</v>
      </c>
      <c r="I5288" s="151" t="s">
        <v>562</v>
      </c>
    </row>
    <row r="5289" spans="1:9" x14ac:dyDescent="0.25">
      <c r="A5289">
        <v>1815</v>
      </c>
      <c r="B5289">
        <f>A5289+1</f>
        <v>1816</v>
      </c>
      <c r="C5289" t="s">
        <v>521</v>
      </c>
      <c r="D5289" t="s">
        <v>27</v>
      </c>
      <c r="E5289" s="208" t="s">
        <v>130</v>
      </c>
      <c r="F5289" t="s">
        <v>7</v>
      </c>
      <c r="G5289" s="18">
        <v>345</v>
      </c>
      <c r="H5289" t="s">
        <v>16</v>
      </c>
      <c r="I5289" s="151" t="s">
        <v>562</v>
      </c>
    </row>
    <row r="5290" spans="1:9" x14ac:dyDescent="0.25">
      <c r="A5290">
        <v>1815</v>
      </c>
      <c r="B5290">
        <f>A5290+1</f>
        <v>1816</v>
      </c>
      <c r="C5290" t="s">
        <v>521</v>
      </c>
      <c r="D5290" t="s">
        <v>27</v>
      </c>
      <c r="E5290" s="208" t="s">
        <v>144</v>
      </c>
      <c r="F5290" t="s">
        <v>7</v>
      </c>
      <c r="G5290" s="18">
        <v>519</v>
      </c>
      <c r="H5290" t="s">
        <v>16</v>
      </c>
      <c r="I5290" s="151" t="s">
        <v>562</v>
      </c>
    </row>
    <row r="5291" spans="1:9" x14ac:dyDescent="0.25">
      <c r="A5291">
        <v>1815</v>
      </c>
      <c r="B5291">
        <f>A5291+1</f>
        <v>1816</v>
      </c>
      <c r="C5291" t="s">
        <v>521</v>
      </c>
      <c r="D5291" t="s">
        <v>27</v>
      </c>
      <c r="E5291" s="208" t="s">
        <v>142</v>
      </c>
      <c r="F5291" t="s">
        <v>7</v>
      </c>
      <c r="G5291" s="18">
        <v>4109</v>
      </c>
      <c r="H5291" t="s">
        <v>16</v>
      </c>
      <c r="I5291" s="151" t="s">
        <v>562</v>
      </c>
    </row>
    <row r="5292" spans="1:9" x14ac:dyDescent="0.25">
      <c r="A5292">
        <v>1815</v>
      </c>
      <c r="B5292">
        <f>A5292+1</f>
        <v>1816</v>
      </c>
      <c r="C5292" t="s">
        <v>521</v>
      </c>
      <c r="D5292" t="s">
        <v>27</v>
      </c>
      <c r="E5292" s="208" t="s">
        <v>124</v>
      </c>
      <c r="F5292" t="s">
        <v>7</v>
      </c>
      <c r="G5292" s="18">
        <v>9849473</v>
      </c>
      <c r="H5292" t="s">
        <v>16</v>
      </c>
      <c r="I5292" s="151" t="s">
        <v>562</v>
      </c>
    </row>
    <row r="5293" spans="1:9" x14ac:dyDescent="0.25">
      <c r="A5293">
        <v>1815</v>
      </c>
      <c r="B5293">
        <f>A5293+1</f>
        <v>1816</v>
      </c>
      <c r="C5293" t="s">
        <v>521</v>
      </c>
      <c r="D5293" t="s">
        <v>26</v>
      </c>
      <c r="E5293" s="208" t="s">
        <v>62</v>
      </c>
      <c r="F5293" t="s">
        <v>7</v>
      </c>
      <c r="G5293" s="18">
        <v>54673</v>
      </c>
      <c r="H5293" s="151" t="s">
        <v>563</v>
      </c>
      <c r="I5293" t="s">
        <v>16</v>
      </c>
    </row>
    <row r="5294" spans="1:9" x14ac:dyDescent="0.25">
      <c r="A5294">
        <v>1815</v>
      </c>
      <c r="B5294">
        <f>A5294+1</f>
        <v>1816</v>
      </c>
      <c r="C5294" t="s">
        <v>521</v>
      </c>
      <c r="D5294" t="s">
        <v>26</v>
      </c>
      <c r="E5294" s="208" t="s">
        <v>36</v>
      </c>
      <c r="F5294" t="s">
        <v>7</v>
      </c>
      <c r="G5294" s="18">
        <v>3697</v>
      </c>
      <c r="H5294" s="151" t="s">
        <v>563</v>
      </c>
      <c r="I5294" t="s">
        <v>16</v>
      </c>
    </row>
    <row r="5295" spans="1:9" x14ac:dyDescent="0.25">
      <c r="A5295">
        <v>1815</v>
      </c>
      <c r="B5295">
        <f>A5295+1</f>
        <v>1816</v>
      </c>
      <c r="C5295" t="s">
        <v>521</v>
      </c>
      <c r="D5295" t="s">
        <v>26</v>
      </c>
      <c r="E5295" s="208" t="s">
        <v>35</v>
      </c>
      <c r="F5295" t="s">
        <v>7</v>
      </c>
      <c r="G5295" s="18">
        <v>7435</v>
      </c>
      <c r="H5295" s="151" t="s">
        <v>563</v>
      </c>
      <c r="I5295" t="s">
        <v>16</v>
      </c>
    </row>
    <row r="5296" spans="1:9" x14ac:dyDescent="0.25">
      <c r="A5296">
        <v>1815</v>
      </c>
      <c r="B5296">
        <f>A5296+1</f>
        <v>1816</v>
      </c>
      <c r="C5296" t="s">
        <v>521</v>
      </c>
      <c r="D5296" t="s">
        <v>26</v>
      </c>
      <c r="E5296" s="208" t="s">
        <v>39</v>
      </c>
      <c r="F5296" t="s">
        <v>7</v>
      </c>
      <c r="G5296" s="18">
        <v>5834</v>
      </c>
      <c r="H5296" s="151" t="s">
        <v>563</v>
      </c>
      <c r="I5296" t="s">
        <v>16</v>
      </c>
    </row>
    <row r="5297" spans="1:9" x14ac:dyDescent="0.25">
      <c r="A5297">
        <v>1815</v>
      </c>
      <c r="B5297">
        <f>A5297+1</f>
        <v>1816</v>
      </c>
      <c r="C5297" t="s">
        <v>521</v>
      </c>
      <c r="D5297" t="s">
        <v>26</v>
      </c>
      <c r="E5297" s="208" t="s">
        <v>99</v>
      </c>
      <c r="F5297" t="s">
        <v>7</v>
      </c>
      <c r="G5297" s="18">
        <v>2012</v>
      </c>
      <c r="H5297" s="151" t="s">
        <v>563</v>
      </c>
      <c r="I5297" t="s">
        <v>16</v>
      </c>
    </row>
    <row r="5298" spans="1:9" x14ac:dyDescent="0.25">
      <c r="A5298">
        <v>1815</v>
      </c>
      <c r="B5298">
        <f>A5298+1</f>
        <v>1816</v>
      </c>
      <c r="C5298" t="s">
        <v>521</v>
      </c>
      <c r="D5298" t="s">
        <v>26</v>
      </c>
      <c r="E5298" s="208" t="s">
        <v>95</v>
      </c>
      <c r="F5298" t="s">
        <v>7</v>
      </c>
      <c r="G5298" s="18">
        <v>1383</v>
      </c>
      <c r="H5298" s="151" t="s">
        <v>563</v>
      </c>
      <c r="I5298" t="s">
        <v>16</v>
      </c>
    </row>
    <row r="5299" spans="1:9" x14ac:dyDescent="0.25">
      <c r="A5299">
        <v>1815</v>
      </c>
      <c r="B5299">
        <f>A5299+1</f>
        <v>1816</v>
      </c>
      <c r="C5299" t="s">
        <v>521</v>
      </c>
      <c r="D5299" t="s">
        <v>26</v>
      </c>
      <c r="E5299" s="208" t="s">
        <v>94</v>
      </c>
      <c r="F5299" t="s">
        <v>7</v>
      </c>
      <c r="G5299" s="18">
        <v>2849</v>
      </c>
      <c r="H5299" s="151" t="s">
        <v>563</v>
      </c>
      <c r="I5299" t="s">
        <v>16</v>
      </c>
    </row>
    <row r="5300" spans="1:9" x14ac:dyDescent="0.25">
      <c r="A5300">
        <v>1815</v>
      </c>
      <c r="B5300">
        <f>A5300+1</f>
        <v>1816</v>
      </c>
      <c r="C5300" t="s">
        <v>521</v>
      </c>
      <c r="D5300" t="s">
        <v>26</v>
      </c>
      <c r="E5300" s="208" t="s">
        <v>386</v>
      </c>
      <c r="F5300" t="s">
        <v>7</v>
      </c>
      <c r="G5300" s="18">
        <v>44312</v>
      </c>
      <c r="H5300" s="151" t="s">
        <v>563</v>
      </c>
      <c r="I5300" t="s">
        <v>16</v>
      </c>
    </row>
    <row r="5301" spans="1:9" x14ac:dyDescent="0.25">
      <c r="A5301">
        <v>1815</v>
      </c>
      <c r="B5301">
        <f>A5301+1</f>
        <v>1816</v>
      </c>
      <c r="C5301" t="s">
        <v>521</v>
      </c>
      <c r="D5301" t="s">
        <v>26</v>
      </c>
      <c r="E5301" s="208" t="s">
        <v>387</v>
      </c>
      <c r="F5301" t="s">
        <v>7</v>
      </c>
      <c r="G5301" s="18">
        <v>1078</v>
      </c>
      <c r="H5301" s="151" t="s">
        <v>563</v>
      </c>
      <c r="I5301" t="s">
        <v>16</v>
      </c>
    </row>
    <row r="5302" spans="1:9" x14ac:dyDescent="0.25">
      <c r="A5302">
        <v>1815</v>
      </c>
      <c r="B5302">
        <f>A5302+1</f>
        <v>1816</v>
      </c>
      <c r="C5302" t="s">
        <v>521</v>
      </c>
      <c r="D5302" t="s">
        <v>26</v>
      </c>
      <c r="E5302" s="208" t="s">
        <v>388</v>
      </c>
      <c r="F5302" t="s">
        <v>7</v>
      </c>
      <c r="G5302" s="18">
        <v>13501</v>
      </c>
      <c r="H5302" s="151" t="s">
        <v>563</v>
      </c>
      <c r="I5302" t="s">
        <v>16</v>
      </c>
    </row>
    <row r="5303" spans="1:9" x14ac:dyDescent="0.25">
      <c r="A5303">
        <v>1815</v>
      </c>
      <c r="B5303">
        <f>A5303+1</f>
        <v>1816</v>
      </c>
      <c r="C5303" t="s">
        <v>521</v>
      </c>
      <c r="D5303" t="s">
        <v>26</v>
      </c>
      <c r="E5303" s="208" t="s">
        <v>85</v>
      </c>
      <c r="F5303" t="s">
        <v>7</v>
      </c>
      <c r="G5303" s="18">
        <v>312</v>
      </c>
      <c r="H5303" s="151" t="s">
        <v>563</v>
      </c>
      <c r="I5303" t="s">
        <v>16</v>
      </c>
    </row>
    <row r="5304" spans="1:9" x14ac:dyDescent="0.25">
      <c r="A5304">
        <v>1815</v>
      </c>
      <c r="B5304">
        <f>A5304+1</f>
        <v>1816</v>
      </c>
      <c r="C5304" t="s">
        <v>521</v>
      </c>
      <c r="D5304" t="s">
        <v>26</v>
      </c>
      <c r="E5304" s="208" t="s">
        <v>398</v>
      </c>
      <c r="F5304" t="s">
        <v>7</v>
      </c>
      <c r="G5304" s="18">
        <v>432</v>
      </c>
      <c r="H5304" s="151" t="s">
        <v>563</v>
      </c>
      <c r="I5304" t="s">
        <v>16</v>
      </c>
    </row>
    <row r="5305" spans="1:9" x14ac:dyDescent="0.25">
      <c r="A5305">
        <v>1815</v>
      </c>
      <c r="B5305">
        <f>A5305+1</f>
        <v>1816</v>
      </c>
      <c r="C5305" t="s">
        <v>521</v>
      </c>
      <c r="D5305" t="s">
        <v>26</v>
      </c>
      <c r="E5305" s="208" t="s">
        <v>65</v>
      </c>
      <c r="F5305" t="s">
        <v>7</v>
      </c>
      <c r="G5305" s="18">
        <v>15070</v>
      </c>
      <c r="H5305" s="151" t="s">
        <v>563</v>
      </c>
      <c r="I5305" t="s">
        <v>16</v>
      </c>
    </row>
    <row r="5306" spans="1:9" x14ac:dyDescent="0.25">
      <c r="A5306">
        <v>1815</v>
      </c>
      <c r="B5306">
        <f>A5306+1</f>
        <v>1816</v>
      </c>
      <c r="C5306" t="s">
        <v>521</v>
      </c>
      <c r="D5306" t="s">
        <v>26</v>
      </c>
      <c r="E5306" s="208" t="s">
        <v>107</v>
      </c>
      <c r="F5306" t="s">
        <v>7</v>
      </c>
      <c r="G5306" s="18">
        <v>4117263</v>
      </c>
      <c r="H5306" s="151" t="s">
        <v>563</v>
      </c>
      <c r="I5306" t="s">
        <v>16</v>
      </c>
    </row>
    <row r="5307" spans="1:9" x14ac:dyDescent="0.25">
      <c r="A5307">
        <v>1815</v>
      </c>
      <c r="B5307">
        <f>A5307+1</f>
        <v>1816</v>
      </c>
      <c r="C5307" t="s">
        <v>521</v>
      </c>
      <c r="D5307" t="s">
        <v>26</v>
      </c>
      <c r="E5307" s="208" t="s">
        <v>101</v>
      </c>
      <c r="F5307" t="s">
        <v>7</v>
      </c>
      <c r="G5307" s="18">
        <v>6561415</v>
      </c>
      <c r="H5307" s="151" t="s">
        <v>563</v>
      </c>
      <c r="I5307" t="s">
        <v>16</v>
      </c>
    </row>
    <row r="5308" spans="1:9" x14ac:dyDescent="0.25">
      <c r="A5308">
        <v>1815</v>
      </c>
      <c r="B5308">
        <f>A5308+1</f>
        <v>1816</v>
      </c>
      <c r="C5308" t="s">
        <v>521</v>
      </c>
      <c r="D5308" t="s">
        <v>26</v>
      </c>
      <c r="E5308" s="208" t="s">
        <v>75</v>
      </c>
      <c r="F5308" t="s">
        <v>7</v>
      </c>
      <c r="G5308" s="18">
        <v>6520154</v>
      </c>
      <c r="H5308" s="151" t="s">
        <v>563</v>
      </c>
      <c r="I5308" t="s">
        <v>16</v>
      </c>
    </row>
    <row r="5309" spans="1:9" x14ac:dyDescent="0.25">
      <c r="A5309">
        <v>1815</v>
      </c>
      <c r="B5309">
        <f>A5309+1</f>
        <v>1816</v>
      </c>
      <c r="C5309" t="s">
        <v>521</v>
      </c>
      <c r="D5309" t="s">
        <v>26</v>
      </c>
      <c r="E5309" s="208" t="s">
        <v>330</v>
      </c>
      <c r="F5309" t="s">
        <v>7</v>
      </c>
      <c r="G5309" s="18">
        <v>1470</v>
      </c>
      <c r="H5309" s="151" t="s">
        <v>563</v>
      </c>
      <c r="I5309" t="s">
        <v>16</v>
      </c>
    </row>
    <row r="5310" spans="1:9" x14ac:dyDescent="0.25">
      <c r="A5310">
        <v>1815</v>
      </c>
      <c r="B5310">
        <f>A5310+1</f>
        <v>1816</v>
      </c>
      <c r="C5310" t="s">
        <v>521</v>
      </c>
      <c r="D5310" t="s">
        <v>26</v>
      </c>
      <c r="E5310" s="208" t="s">
        <v>331</v>
      </c>
      <c r="F5310" t="s">
        <v>7</v>
      </c>
      <c r="G5310" s="18">
        <v>4753</v>
      </c>
      <c r="H5310" s="151" t="s">
        <v>563</v>
      </c>
      <c r="I5310" t="s">
        <v>16</v>
      </c>
    </row>
    <row r="5311" spans="1:9" x14ac:dyDescent="0.25">
      <c r="A5311">
        <v>1815</v>
      </c>
      <c r="B5311">
        <f>A5311+1</f>
        <v>1816</v>
      </c>
      <c r="C5311" t="s">
        <v>521</v>
      </c>
      <c r="D5311" t="s">
        <v>26</v>
      </c>
      <c r="E5311" s="208" t="s">
        <v>332</v>
      </c>
      <c r="F5311" t="s">
        <v>7</v>
      </c>
      <c r="G5311" s="18">
        <v>438</v>
      </c>
      <c r="H5311" s="151" t="s">
        <v>563</v>
      </c>
      <c r="I5311" t="s">
        <v>16</v>
      </c>
    </row>
    <row r="5312" spans="1:9" x14ac:dyDescent="0.25">
      <c r="A5312">
        <v>1815</v>
      </c>
      <c r="B5312">
        <f>A5312+1</f>
        <v>1816</v>
      </c>
      <c r="C5312" t="s">
        <v>521</v>
      </c>
      <c r="D5312" t="s">
        <v>26</v>
      </c>
      <c r="E5312" s="208" t="s">
        <v>333</v>
      </c>
      <c r="F5312" t="s">
        <v>7</v>
      </c>
      <c r="G5312" s="18">
        <v>3628</v>
      </c>
      <c r="H5312" s="151" t="s">
        <v>563</v>
      </c>
      <c r="I5312" t="s">
        <v>16</v>
      </c>
    </row>
    <row r="5313" spans="1:9" x14ac:dyDescent="0.25">
      <c r="A5313">
        <v>1815</v>
      </c>
      <c r="B5313">
        <f>A5313+1</f>
        <v>1816</v>
      </c>
      <c r="C5313" t="s">
        <v>521</v>
      </c>
      <c r="D5313" t="s">
        <v>27</v>
      </c>
      <c r="E5313" s="208" t="s">
        <v>155</v>
      </c>
      <c r="F5313" t="s">
        <v>10</v>
      </c>
      <c r="G5313" s="18">
        <v>83</v>
      </c>
      <c r="H5313" t="s">
        <v>17</v>
      </c>
      <c r="I5313" t="s">
        <v>24</v>
      </c>
    </row>
    <row r="5314" spans="1:9" x14ac:dyDescent="0.25">
      <c r="A5314">
        <v>1815</v>
      </c>
      <c r="B5314">
        <f>A5314+1</f>
        <v>1816</v>
      </c>
      <c r="C5314" t="s">
        <v>521</v>
      </c>
      <c r="D5314" t="s">
        <v>27</v>
      </c>
      <c r="E5314" s="208" t="s">
        <v>156</v>
      </c>
      <c r="F5314" t="s">
        <v>10</v>
      </c>
      <c r="G5314" s="18">
        <v>41</v>
      </c>
      <c r="H5314" t="s">
        <v>17</v>
      </c>
      <c r="I5314" t="s">
        <v>24</v>
      </c>
    </row>
    <row r="5315" spans="1:9" x14ac:dyDescent="0.25">
      <c r="A5315">
        <v>1815</v>
      </c>
      <c r="B5315">
        <f>A5315+1</f>
        <v>1816</v>
      </c>
      <c r="C5315" t="s">
        <v>521</v>
      </c>
      <c r="D5315" t="s">
        <v>27</v>
      </c>
      <c r="E5315" s="208" t="s">
        <v>154</v>
      </c>
      <c r="F5315" t="s">
        <v>10</v>
      </c>
      <c r="G5315" s="18">
        <v>30</v>
      </c>
      <c r="H5315" t="s">
        <v>17</v>
      </c>
      <c r="I5315" t="s">
        <v>24</v>
      </c>
    </row>
    <row r="5316" spans="1:9" x14ac:dyDescent="0.25">
      <c r="A5316">
        <v>1815</v>
      </c>
      <c r="B5316">
        <f>A5316+1</f>
        <v>1816</v>
      </c>
      <c r="C5316" t="s">
        <v>521</v>
      </c>
      <c r="D5316" t="s">
        <v>27</v>
      </c>
      <c r="E5316" s="208" t="s">
        <v>150</v>
      </c>
      <c r="F5316" t="s">
        <v>10</v>
      </c>
      <c r="G5316" s="18">
        <v>2968</v>
      </c>
      <c r="H5316" t="s">
        <v>17</v>
      </c>
      <c r="I5316" t="s">
        <v>24</v>
      </c>
    </row>
    <row r="5317" spans="1:9" x14ac:dyDescent="0.25">
      <c r="A5317">
        <v>1815</v>
      </c>
      <c r="B5317">
        <f>A5317+1</f>
        <v>1816</v>
      </c>
      <c r="C5317" t="s">
        <v>521</v>
      </c>
      <c r="D5317" t="s">
        <v>27</v>
      </c>
      <c r="E5317" s="208" t="s">
        <v>148</v>
      </c>
      <c r="F5317" t="s">
        <v>10</v>
      </c>
      <c r="G5317" s="18">
        <v>47</v>
      </c>
      <c r="H5317" t="s">
        <v>17</v>
      </c>
      <c r="I5317" t="s">
        <v>24</v>
      </c>
    </row>
    <row r="5318" spans="1:9" x14ac:dyDescent="0.25">
      <c r="A5318">
        <v>1815</v>
      </c>
      <c r="B5318">
        <f>A5318+1</f>
        <v>1816</v>
      </c>
      <c r="C5318" t="s">
        <v>521</v>
      </c>
      <c r="D5318" t="s">
        <v>27</v>
      </c>
      <c r="E5318" s="208" t="s">
        <v>147</v>
      </c>
      <c r="F5318" t="s">
        <v>10</v>
      </c>
      <c r="G5318" s="18">
        <v>0</v>
      </c>
      <c r="H5318" t="s">
        <v>17</v>
      </c>
      <c r="I5318" t="s">
        <v>24</v>
      </c>
    </row>
    <row r="5319" spans="1:9" x14ac:dyDescent="0.25">
      <c r="A5319">
        <v>1815</v>
      </c>
      <c r="B5319">
        <f>A5319+1</f>
        <v>1816</v>
      </c>
      <c r="C5319" t="s">
        <v>521</v>
      </c>
      <c r="D5319" t="s">
        <v>27</v>
      </c>
      <c r="E5319" s="208" t="s">
        <v>314</v>
      </c>
      <c r="F5319" t="s">
        <v>10</v>
      </c>
      <c r="G5319" s="18">
        <v>0</v>
      </c>
      <c r="H5319" t="s">
        <v>17</v>
      </c>
      <c r="I5319" t="s">
        <v>24</v>
      </c>
    </row>
    <row r="5320" spans="1:9" x14ac:dyDescent="0.25">
      <c r="A5320">
        <v>1815</v>
      </c>
      <c r="B5320">
        <f>A5320+1</f>
        <v>1816</v>
      </c>
      <c r="C5320" t="s">
        <v>521</v>
      </c>
      <c r="D5320" t="s">
        <v>27</v>
      </c>
      <c r="E5320" s="208" t="s">
        <v>139</v>
      </c>
      <c r="F5320" t="s">
        <v>10</v>
      </c>
      <c r="G5320" s="18">
        <v>3</v>
      </c>
      <c r="H5320" t="s">
        <v>17</v>
      </c>
      <c r="I5320" t="s">
        <v>24</v>
      </c>
    </row>
    <row r="5321" spans="1:9" x14ac:dyDescent="0.25">
      <c r="A5321">
        <v>1815</v>
      </c>
      <c r="B5321">
        <f>A5321+1</f>
        <v>1816</v>
      </c>
      <c r="C5321" t="s">
        <v>521</v>
      </c>
      <c r="D5321" t="s">
        <v>27</v>
      </c>
      <c r="E5321" s="208" t="s">
        <v>132</v>
      </c>
      <c r="F5321" t="s">
        <v>10</v>
      </c>
      <c r="G5321" s="18">
        <v>0</v>
      </c>
      <c r="H5321" t="s">
        <v>17</v>
      </c>
      <c r="I5321" t="s">
        <v>24</v>
      </c>
    </row>
    <row r="5322" spans="1:9" x14ac:dyDescent="0.25">
      <c r="A5322">
        <v>1815</v>
      </c>
      <c r="B5322">
        <f>A5322+1</f>
        <v>1816</v>
      </c>
      <c r="C5322" t="s">
        <v>521</v>
      </c>
      <c r="D5322" t="s">
        <v>27</v>
      </c>
      <c r="E5322" s="208" t="s">
        <v>130</v>
      </c>
      <c r="F5322" t="s">
        <v>10</v>
      </c>
      <c r="G5322" s="18">
        <v>0</v>
      </c>
      <c r="H5322" t="s">
        <v>17</v>
      </c>
      <c r="I5322" t="s">
        <v>24</v>
      </c>
    </row>
    <row r="5323" spans="1:9" x14ac:dyDescent="0.25">
      <c r="A5323">
        <v>1815</v>
      </c>
      <c r="B5323">
        <f>A5323+1</f>
        <v>1816</v>
      </c>
      <c r="C5323" t="s">
        <v>521</v>
      </c>
      <c r="D5323" t="s">
        <v>27</v>
      </c>
      <c r="E5323" s="208" t="s">
        <v>144</v>
      </c>
      <c r="F5323" t="s">
        <v>10</v>
      </c>
      <c r="G5323" s="18">
        <v>5</v>
      </c>
      <c r="H5323" t="s">
        <v>17</v>
      </c>
      <c r="I5323" t="s">
        <v>24</v>
      </c>
    </row>
    <row r="5324" spans="1:9" x14ac:dyDescent="0.25">
      <c r="A5324">
        <v>1815</v>
      </c>
      <c r="B5324">
        <f>A5324+1</f>
        <v>1816</v>
      </c>
      <c r="C5324" t="s">
        <v>521</v>
      </c>
      <c r="D5324" t="s">
        <v>27</v>
      </c>
      <c r="E5324" s="208" t="s">
        <v>142</v>
      </c>
      <c r="F5324" t="s">
        <v>10</v>
      </c>
      <c r="G5324" s="18">
        <v>299</v>
      </c>
      <c r="H5324" t="s">
        <v>17</v>
      </c>
      <c r="I5324" t="s">
        <v>24</v>
      </c>
    </row>
    <row r="5325" spans="1:9" x14ac:dyDescent="0.25">
      <c r="A5325">
        <v>1815</v>
      </c>
      <c r="B5325">
        <f>A5325+1</f>
        <v>1816</v>
      </c>
      <c r="C5325" t="s">
        <v>521</v>
      </c>
      <c r="D5325" t="s">
        <v>27</v>
      </c>
      <c r="E5325" s="208" t="s">
        <v>124</v>
      </c>
      <c r="F5325" t="s">
        <v>10</v>
      </c>
      <c r="G5325" s="18">
        <v>68129</v>
      </c>
      <c r="H5325" t="s">
        <v>17</v>
      </c>
      <c r="I5325" t="s">
        <v>24</v>
      </c>
    </row>
    <row r="5326" spans="1:9" x14ac:dyDescent="0.25">
      <c r="A5326">
        <v>1815</v>
      </c>
      <c r="B5326">
        <f>A5326+1</f>
        <v>1816</v>
      </c>
      <c r="C5326" t="s">
        <v>521</v>
      </c>
      <c r="D5326" t="s">
        <v>26</v>
      </c>
      <c r="E5326" s="208" t="s">
        <v>62</v>
      </c>
      <c r="F5326" t="s">
        <v>10</v>
      </c>
      <c r="G5326" s="18">
        <v>50</v>
      </c>
      <c r="H5326" t="s">
        <v>24</v>
      </c>
      <c r="I5326" t="s">
        <v>17</v>
      </c>
    </row>
    <row r="5327" spans="1:9" x14ac:dyDescent="0.25">
      <c r="A5327">
        <v>1815</v>
      </c>
      <c r="B5327">
        <f>A5327+1</f>
        <v>1816</v>
      </c>
      <c r="C5327" t="s">
        <v>521</v>
      </c>
      <c r="D5327" t="s">
        <v>26</v>
      </c>
      <c r="E5327" s="208" t="s">
        <v>36</v>
      </c>
      <c r="F5327" t="s">
        <v>10</v>
      </c>
      <c r="G5327" s="18">
        <v>16</v>
      </c>
      <c r="H5327" t="s">
        <v>24</v>
      </c>
      <c r="I5327" t="s">
        <v>17</v>
      </c>
    </row>
    <row r="5328" spans="1:9" x14ac:dyDescent="0.25">
      <c r="A5328">
        <v>1815</v>
      </c>
      <c r="B5328">
        <f>A5328+1</f>
        <v>1816</v>
      </c>
      <c r="C5328" t="s">
        <v>521</v>
      </c>
      <c r="D5328" t="s">
        <v>26</v>
      </c>
      <c r="E5328" s="208" t="s">
        <v>35</v>
      </c>
      <c r="F5328" t="s">
        <v>10</v>
      </c>
      <c r="G5328" s="18">
        <v>0</v>
      </c>
      <c r="H5328" t="s">
        <v>24</v>
      </c>
      <c r="I5328" t="s">
        <v>17</v>
      </c>
    </row>
    <row r="5329" spans="1:9" x14ac:dyDescent="0.25">
      <c r="A5329">
        <v>1815</v>
      </c>
      <c r="B5329">
        <f>A5329+1</f>
        <v>1816</v>
      </c>
      <c r="C5329" t="s">
        <v>521</v>
      </c>
      <c r="D5329" t="s">
        <v>26</v>
      </c>
      <c r="E5329" s="208" t="s">
        <v>39</v>
      </c>
      <c r="F5329" t="s">
        <v>10</v>
      </c>
      <c r="G5329" s="18">
        <v>0</v>
      </c>
      <c r="H5329" t="s">
        <v>24</v>
      </c>
      <c r="I5329" t="s">
        <v>17</v>
      </c>
    </row>
    <row r="5330" spans="1:9" x14ac:dyDescent="0.25">
      <c r="A5330">
        <v>1815</v>
      </c>
      <c r="B5330">
        <f>A5330+1</f>
        <v>1816</v>
      </c>
      <c r="C5330" t="s">
        <v>521</v>
      </c>
      <c r="D5330" t="s">
        <v>26</v>
      </c>
      <c r="E5330" s="208" t="s">
        <v>99</v>
      </c>
      <c r="F5330" t="s">
        <v>10</v>
      </c>
      <c r="G5330" s="18">
        <v>0</v>
      </c>
      <c r="H5330" t="s">
        <v>24</v>
      </c>
      <c r="I5330" t="s">
        <v>17</v>
      </c>
    </row>
    <row r="5331" spans="1:9" x14ac:dyDescent="0.25">
      <c r="A5331">
        <v>1815</v>
      </c>
      <c r="B5331">
        <f>A5331+1</f>
        <v>1816</v>
      </c>
      <c r="C5331" t="s">
        <v>521</v>
      </c>
      <c r="D5331" t="s">
        <v>26</v>
      </c>
      <c r="E5331" s="208" t="s">
        <v>95</v>
      </c>
      <c r="F5331" t="s">
        <v>10</v>
      </c>
      <c r="G5331" s="18">
        <v>0</v>
      </c>
      <c r="H5331" t="s">
        <v>24</v>
      </c>
      <c r="I5331" t="s">
        <v>17</v>
      </c>
    </row>
    <row r="5332" spans="1:9" x14ac:dyDescent="0.25">
      <c r="A5332">
        <v>1815</v>
      </c>
      <c r="B5332">
        <f>A5332+1</f>
        <v>1816</v>
      </c>
      <c r="C5332" t="s">
        <v>521</v>
      </c>
      <c r="D5332" t="s">
        <v>26</v>
      </c>
      <c r="E5332" s="208" t="s">
        <v>94</v>
      </c>
      <c r="F5332" t="s">
        <v>10</v>
      </c>
      <c r="G5332" s="18">
        <v>0</v>
      </c>
      <c r="H5332" t="s">
        <v>24</v>
      </c>
      <c r="I5332" t="s">
        <v>17</v>
      </c>
    </row>
    <row r="5333" spans="1:9" x14ac:dyDescent="0.25">
      <c r="A5333">
        <v>1815</v>
      </c>
      <c r="B5333">
        <f>A5333+1</f>
        <v>1816</v>
      </c>
      <c r="C5333" t="s">
        <v>521</v>
      </c>
      <c r="D5333" t="s">
        <v>26</v>
      </c>
      <c r="E5333" s="208" t="s">
        <v>386</v>
      </c>
      <c r="F5333" t="s">
        <v>10</v>
      </c>
      <c r="G5333" s="18">
        <v>0</v>
      </c>
      <c r="H5333" t="s">
        <v>24</v>
      </c>
      <c r="I5333" t="s">
        <v>17</v>
      </c>
    </row>
    <row r="5334" spans="1:9" x14ac:dyDescent="0.25">
      <c r="A5334">
        <v>1815</v>
      </c>
      <c r="B5334">
        <f>A5334+1</f>
        <v>1816</v>
      </c>
      <c r="C5334" t="s">
        <v>521</v>
      </c>
      <c r="D5334" t="s">
        <v>26</v>
      </c>
      <c r="E5334" s="208" t="s">
        <v>387</v>
      </c>
      <c r="F5334" t="s">
        <v>10</v>
      </c>
      <c r="G5334" s="18">
        <v>200</v>
      </c>
      <c r="H5334" t="s">
        <v>24</v>
      </c>
      <c r="I5334" t="s">
        <v>17</v>
      </c>
    </row>
    <row r="5335" spans="1:9" x14ac:dyDescent="0.25">
      <c r="A5335">
        <v>1815</v>
      </c>
      <c r="B5335">
        <f>A5335+1</f>
        <v>1816</v>
      </c>
      <c r="C5335" t="s">
        <v>521</v>
      </c>
      <c r="D5335" t="s">
        <v>26</v>
      </c>
      <c r="E5335" s="208" t="s">
        <v>388</v>
      </c>
      <c r="F5335" t="s">
        <v>10</v>
      </c>
      <c r="G5335" s="18">
        <v>10</v>
      </c>
      <c r="H5335" t="s">
        <v>24</v>
      </c>
      <c r="I5335" t="s">
        <v>17</v>
      </c>
    </row>
    <row r="5336" spans="1:9" x14ac:dyDescent="0.25">
      <c r="A5336">
        <v>1815</v>
      </c>
      <c r="B5336">
        <f>A5336+1</f>
        <v>1816</v>
      </c>
      <c r="C5336" t="s">
        <v>521</v>
      </c>
      <c r="D5336" t="s">
        <v>26</v>
      </c>
      <c r="E5336" s="208" t="s">
        <v>85</v>
      </c>
      <c r="F5336" t="s">
        <v>10</v>
      </c>
      <c r="G5336" s="18">
        <v>0</v>
      </c>
      <c r="H5336" t="s">
        <v>24</v>
      </c>
      <c r="I5336" t="s">
        <v>17</v>
      </c>
    </row>
    <row r="5337" spans="1:9" x14ac:dyDescent="0.25">
      <c r="A5337">
        <v>1815</v>
      </c>
      <c r="B5337">
        <f>A5337+1</f>
        <v>1816</v>
      </c>
      <c r="C5337" t="s">
        <v>521</v>
      </c>
      <c r="D5337" t="s">
        <v>26</v>
      </c>
      <c r="E5337" s="208" t="s">
        <v>398</v>
      </c>
      <c r="F5337" t="s">
        <v>10</v>
      </c>
      <c r="G5337" s="18">
        <v>0</v>
      </c>
      <c r="H5337" t="s">
        <v>24</v>
      </c>
      <c r="I5337" t="s">
        <v>17</v>
      </c>
    </row>
    <row r="5338" spans="1:9" x14ac:dyDescent="0.25">
      <c r="A5338">
        <v>1815</v>
      </c>
      <c r="B5338">
        <f>A5338+1</f>
        <v>1816</v>
      </c>
      <c r="C5338" t="s">
        <v>521</v>
      </c>
      <c r="D5338" t="s">
        <v>26</v>
      </c>
      <c r="E5338" s="208" t="s">
        <v>65</v>
      </c>
      <c r="F5338" t="s">
        <v>10</v>
      </c>
      <c r="G5338" s="18">
        <v>0</v>
      </c>
      <c r="H5338" t="s">
        <v>24</v>
      </c>
      <c r="I5338" t="s">
        <v>17</v>
      </c>
    </row>
    <row r="5339" spans="1:9" x14ac:dyDescent="0.25">
      <c r="A5339">
        <v>1815</v>
      </c>
      <c r="B5339">
        <f>A5339+1</f>
        <v>1816</v>
      </c>
      <c r="C5339" t="s">
        <v>521</v>
      </c>
      <c r="D5339" t="s">
        <v>26</v>
      </c>
      <c r="E5339" s="208" t="s">
        <v>107</v>
      </c>
      <c r="F5339" t="s">
        <v>10</v>
      </c>
      <c r="G5339" s="18">
        <v>317108</v>
      </c>
      <c r="H5339" t="s">
        <v>24</v>
      </c>
      <c r="I5339" t="s">
        <v>17</v>
      </c>
    </row>
    <row r="5340" spans="1:9" x14ac:dyDescent="0.25">
      <c r="A5340">
        <v>1815</v>
      </c>
      <c r="B5340">
        <f>A5340+1</f>
        <v>1816</v>
      </c>
      <c r="C5340" t="s">
        <v>521</v>
      </c>
      <c r="D5340" t="s">
        <v>26</v>
      </c>
      <c r="E5340" s="208" t="s">
        <v>101</v>
      </c>
      <c r="F5340" t="s">
        <v>10</v>
      </c>
      <c r="G5340" s="18">
        <v>69450</v>
      </c>
      <c r="H5340" t="s">
        <v>24</v>
      </c>
      <c r="I5340" t="s">
        <v>17</v>
      </c>
    </row>
    <row r="5341" spans="1:9" x14ac:dyDescent="0.25">
      <c r="A5341">
        <v>1815</v>
      </c>
      <c r="B5341">
        <f>A5341+1</f>
        <v>1816</v>
      </c>
      <c r="C5341" t="s">
        <v>521</v>
      </c>
      <c r="D5341" t="s">
        <v>26</v>
      </c>
      <c r="E5341" s="208" t="s">
        <v>75</v>
      </c>
      <c r="F5341" t="s">
        <v>10</v>
      </c>
      <c r="G5341" s="18">
        <v>444100</v>
      </c>
      <c r="H5341" t="s">
        <v>24</v>
      </c>
      <c r="I5341" t="s">
        <v>17</v>
      </c>
    </row>
    <row r="5342" spans="1:9" x14ac:dyDescent="0.25">
      <c r="A5342">
        <v>1815</v>
      </c>
      <c r="B5342">
        <f>A5342+1</f>
        <v>1816</v>
      </c>
      <c r="C5342" t="s">
        <v>521</v>
      </c>
      <c r="D5342" t="s">
        <v>26</v>
      </c>
      <c r="E5342" s="208" t="s">
        <v>330</v>
      </c>
      <c r="F5342" t="s">
        <v>10</v>
      </c>
      <c r="G5342" s="18">
        <v>0</v>
      </c>
      <c r="H5342" t="s">
        <v>24</v>
      </c>
      <c r="I5342" t="s">
        <v>17</v>
      </c>
    </row>
    <row r="5343" spans="1:9" x14ac:dyDescent="0.25">
      <c r="A5343">
        <v>1815</v>
      </c>
      <c r="B5343">
        <f>A5343+1</f>
        <v>1816</v>
      </c>
      <c r="C5343" t="s">
        <v>521</v>
      </c>
      <c r="D5343" t="s">
        <v>26</v>
      </c>
      <c r="E5343" s="208" t="s">
        <v>331</v>
      </c>
      <c r="F5343" t="s">
        <v>10</v>
      </c>
      <c r="G5343" s="18">
        <v>0</v>
      </c>
      <c r="H5343" t="s">
        <v>24</v>
      </c>
      <c r="I5343" t="s">
        <v>17</v>
      </c>
    </row>
    <row r="5344" spans="1:9" x14ac:dyDescent="0.25">
      <c r="A5344">
        <v>1815</v>
      </c>
      <c r="B5344">
        <f>A5344+1</f>
        <v>1816</v>
      </c>
      <c r="C5344" t="s">
        <v>521</v>
      </c>
      <c r="D5344" t="s">
        <v>26</v>
      </c>
      <c r="E5344" s="208" t="s">
        <v>332</v>
      </c>
      <c r="F5344" t="s">
        <v>10</v>
      </c>
      <c r="G5344" s="18">
        <v>0</v>
      </c>
      <c r="H5344" t="s">
        <v>24</v>
      </c>
      <c r="I5344" t="s">
        <v>17</v>
      </c>
    </row>
    <row r="5345" spans="1:9" x14ac:dyDescent="0.25">
      <c r="A5345">
        <v>1815</v>
      </c>
      <c r="B5345">
        <f>A5345+1</f>
        <v>1816</v>
      </c>
      <c r="C5345" t="s">
        <v>521</v>
      </c>
      <c r="D5345" t="s">
        <v>26</v>
      </c>
      <c r="E5345" s="208" t="s">
        <v>333</v>
      </c>
      <c r="F5345" t="s">
        <v>10</v>
      </c>
      <c r="G5345" s="18">
        <v>0</v>
      </c>
      <c r="H5345" t="s">
        <v>24</v>
      </c>
      <c r="I5345" t="s">
        <v>17</v>
      </c>
    </row>
    <row r="5346" spans="1:9" x14ac:dyDescent="0.25">
      <c r="A5346">
        <v>1815</v>
      </c>
      <c r="B5346">
        <f>A5346+1</f>
        <v>1816</v>
      </c>
      <c r="C5346" t="s">
        <v>521</v>
      </c>
      <c r="D5346" t="s">
        <v>27</v>
      </c>
      <c r="E5346" s="208" t="s">
        <v>155</v>
      </c>
      <c r="F5346" t="s">
        <v>8</v>
      </c>
      <c r="G5346" s="18">
        <v>74340</v>
      </c>
      <c r="H5346" t="s">
        <v>17</v>
      </c>
      <c r="I5346" t="s">
        <v>18</v>
      </c>
    </row>
    <row r="5347" spans="1:9" x14ac:dyDescent="0.25">
      <c r="A5347">
        <v>1815</v>
      </c>
      <c r="B5347">
        <f>A5347+1</f>
        <v>1816</v>
      </c>
      <c r="C5347" t="s">
        <v>521</v>
      </c>
      <c r="D5347" t="s">
        <v>27</v>
      </c>
      <c r="E5347" s="208" t="s">
        <v>156</v>
      </c>
      <c r="F5347" t="s">
        <v>8</v>
      </c>
      <c r="G5347" s="18">
        <v>7551</v>
      </c>
      <c r="H5347" t="s">
        <v>17</v>
      </c>
      <c r="I5347" t="s">
        <v>18</v>
      </c>
    </row>
    <row r="5348" spans="1:9" x14ac:dyDescent="0.25">
      <c r="A5348">
        <v>1815</v>
      </c>
      <c r="B5348">
        <f>A5348+1</f>
        <v>1816</v>
      </c>
      <c r="C5348" t="s">
        <v>521</v>
      </c>
      <c r="D5348" t="s">
        <v>27</v>
      </c>
      <c r="E5348" s="208" t="s">
        <v>154</v>
      </c>
      <c r="F5348" t="s">
        <v>8</v>
      </c>
      <c r="G5348" s="18">
        <v>781</v>
      </c>
      <c r="H5348" t="s">
        <v>17</v>
      </c>
      <c r="I5348" t="s">
        <v>18</v>
      </c>
    </row>
    <row r="5349" spans="1:9" x14ac:dyDescent="0.25">
      <c r="A5349">
        <v>1815</v>
      </c>
      <c r="B5349">
        <f>A5349+1</f>
        <v>1816</v>
      </c>
      <c r="C5349" t="s">
        <v>521</v>
      </c>
      <c r="D5349" t="s">
        <v>27</v>
      </c>
      <c r="E5349" s="208" t="s">
        <v>150</v>
      </c>
      <c r="F5349" t="s">
        <v>8</v>
      </c>
      <c r="G5349" s="18">
        <v>21753</v>
      </c>
      <c r="H5349" t="s">
        <v>17</v>
      </c>
      <c r="I5349" t="s">
        <v>18</v>
      </c>
    </row>
    <row r="5350" spans="1:9" x14ac:dyDescent="0.25">
      <c r="A5350">
        <v>1815</v>
      </c>
      <c r="B5350">
        <f>A5350+1</f>
        <v>1816</v>
      </c>
      <c r="C5350" t="s">
        <v>521</v>
      </c>
      <c r="D5350" t="s">
        <v>27</v>
      </c>
      <c r="E5350" s="208" t="s">
        <v>148</v>
      </c>
      <c r="F5350" t="s">
        <v>8</v>
      </c>
      <c r="G5350" s="18">
        <v>376</v>
      </c>
      <c r="H5350" t="s">
        <v>17</v>
      </c>
      <c r="I5350" t="s">
        <v>18</v>
      </c>
    </row>
    <row r="5351" spans="1:9" x14ac:dyDescent="0.25">
      <c r="A5351">
        <v>1815</v>
      </c>
      <c r="B5351">
        <f>A5351+1</f>
        <v>1816</v>
      </c>
      <c r="C5351" t="s">
        <v>521</v>
      </c>
      <c r="D5351" t="s">
        <v>27</v>
      </c>
      <c r="E5351" s="208" t="s">
        <v>147</v>
      </c>
      <c r="F5351" t="s">
        <v>8</v>
      </c>
      <c r="G5351" s="18">
        <v>0</v>
      </c>
      <c r="H5351" t="s">
        <v>17</v>
      </c>
      <c r="I5351" t="s">
        <v>18</v>
      </c>
    </row>
    <row r="5352" spans="1:9" x14ac:dyDescent="0.25">
      <c r="A5352">
        <v>1815</v>
      </c>
      <c r="B5352">
        <f>A5352+1</f>
        <v>1816</v>
      </c>
      <c r="C5352" t="s">
        <v>521</v>
      </c>
      <c r="D5352" t="s">
        <v>27</v>
      </c>
      <c r="E5352" s="208" t="s">
        <v>314</v>
      </c>
      <c r="F5352" t="s">
        <v>8</v>
      </c>
      <c r="G5352" s="18">
        <v>0</v>
      </c>
      <c r="H5352" t="s">
        <v>17</v>
      </c>
      <c r="I5352" t="s">
        <v>18</v>
      </c>
    </row>
    <row r="5353" spans="1:9" x14ac:dyDescent="0.25">
      <c r="A5353">
        <v>1815</v>
      </c>
      <c r="B5353">
        <f>A5353+1</f>
        <v>1816</v>
      </c>
      <c r="C5353" t="s">
        <v>521</v>
      </c>
      <c r="D5353" t="s">
        <v>27</v>
      </c>
      <c r="E5353" s="208" t="s">
        <v>139</v>
      </c>
      <c r="F5353" t="s">
        <v>8</v>
      </c>
      <c r="G5353" s="18">
        <v>8</v>
      </c>
      <c r="H5353" t="s">
        <v>17</v>
      </c>
      <c r="I5353" t="s">
        <v>18</v>
      </c>
    </row>
    <row r="5354" spans="1:9" x14ac:dyDescent="0.25">
      <c r="A5354">
        <v>1815</v>
      </c>
      <c r="B5354">
        <f>A5354+1</f>
        <v>1816</v>
      </c>
      <c r="C5354" t="s">
        <v>521</v>
      </c>
      <c r="D5354" t="s">
        <v>27</v>
      </c>
      <c r="E5354" s="208" t="s">
        <v>132</v>
      </c>
      <c r="F5354" t="s">
        <v>8</v>
      </c>
      <c r="G5354" s="18">
        <v>461</v>
      </c>
      <c r="H5354" t="s">
        <v>17</v>
      </c>
      <c r="I5354" t="s">
        <v>18</v>
      </c>
    </row>
    <row r="5355" spans="1:9" x14ac:dyDescent="0.25">
      <c r="A5355">
        <v>1815</v>
      </c>
      <c r="B5355">
        <f>A5355+1</f>
        <v>1816</v>
      </c>
      <c r="C5355" t="s">
        <v>521</v>
      </c>
      <c r="D5355" t="s">
        <v>27</v>
      </c>
      <c r="E5355" s="208" t="s">
        <v>130</v>
      </c>
      <c r="F5355" t="s">
        <v>8</v>
      </c>
      <c r="G5355" s="18">
        <v>725</v>
      </c>
      <c r="H5355" t="s">
        <v>17</v>
      </c>
      <c r="I5355" t="s">
        <v>18</v>
      </c>
    </row>
    <row r="5356" spans="1:9" x14ac:dyDescent="0.25">
      <c r="A5356">
        <v>1815</v>
      </c>
      <c r="B5356">
        <f>A5356+1</f>
        <v>1816</v>
      </c>
      <c r="C5356" t="s">
        <v>521</v>
      </c>
      <c r="D5356" t="s">
        <v>27</v>
      </c>
      <c r="E5356" s="208" t="s">
        <v>144</v>
      </c>
      <c r="F5356" t="s">
        <v>8</v>
      </c>
      <c r="G5356" s="18">
        <v>167</v>
      </c>
      <c r="H5356" t="s">
        <v>17</v>
      </c>
      <c r="I5356" t="s">
        <v>18</v>
      </c>
    </row>
    <row r="5357" spans="1:9" x14ac:dyDescent="0.25">
      <c r="A5357">
        <v>1815</v>
      </c>
      <c r="B5357">
        <f>A5357+1</f>
        <v>1816</v>
      </c>
      <c r="C5357" t="s">
        <v>521</v>
      </c>
      <c r="D5357" t="s">
        <v>27</v>
      </c>
      <c r="E5357" s="208" t="s">
        <v>142</v>
      </c>
      <c r="F5357" t="s">
        <v>8</v>
      </c>
      <c r="G5357" s="18">
        <v>15471</v>
      </c>
      <c r="H5357" t="s">
        <v>17</v>
      </c>
      <c r="I5357" t="s">
        <v>18</v>
      </c>
    </row>
    <row r="5358" spans="1:9" x14ac:dyDescent="0.25">
      <c r="A5358">
        <v>1815</v>
      </c>
      <c r="B5358">
        <f>A5358+1</f>
        <v>1816</v>
      </c>
      <c r="C5358" t="s">
        <v>521</v>
      </c>
      <c r="D5358" t="s">
        <v>27</v>
      </c>
      <c r="E5358" s="208" t="s">
        <v>124</v>
      </c>
      <c r="F5358" t="s">
        <v>8</v>
      </c>
      <c r="G5358" s="18">
        <v>7227218</v>
      </c>
      <c r="H5358" t="s">
        <v>17</v>
      </c>
      <c r="I5358" t="s">
        <v>18</v>
      </c>
    </row>
    <row r="5359" spans="1:9" x14ac:dyDescent="0.25">
      <c r="A5359">
        <v>1815</v>
      </c>
      <c r="B5359">
        <f>A5359+1</f>
        <v>1816</v>
      </c>
      <c r="C5359" t="s">
        <v>521</v>
      </c>
      <c r="D5359" t="s">
        <v>26</v>
      </c>
      <c r="E5359" s="208" t="s">
        <v>62</v>
      </c>
      <c r="F5359" t="s">
        <v>164</v>
      </c>
      <c r="G5359" s="18">
        <v>49</v>
      </c>
      <c r="H5359" t="s">
        <v>160</v>
      </c>
      <c r="I5359" t="s">
        <v>17</v>
      </c>
    </row>
    <row r="5360" spans="1:9" x14ac:dyDescent="0.25">
      <c r="A5360">
        <v>1815</v>
      </c>
      <c r="B5360">
        <f>A5360+1</f>
        <v>1816</v>
      </c>
      <c r="C5360" t="s">
        <v>521</v>
      </c>
      <c r="D5360" t="s">
        <v>26</v>
      </c>
      <c r="E5360" s="208" t="s">
        <v>36</v>
      </c>
      <c r="F5360" t="s">
        <v>164</v>
      </c>
      <c r="G5360" s="18">
        <v>9</v>
      </c>
      <c r="H5360" t="s">
        <v>160</v>
      </c>
      <c r="I5360" t="s">
        <v>17</v>
      </c>
    </row>
    <row r="5361" spans="1:9" x14ac:dyDescent="0.25">
      <c r="A5361">
        <v>1815</v>
      </c>
      <c r="B5361">
        <f>A5361+1</f>
        <v>1816</v>
      </c>
      <c r="C5361" t="s">
        <v>521</v>
      </c>
      <c r="D5361" t="s">
        <v>26</v>
      </c>
      <c r="E5361" s="208" t="s">
        <v>35</v>
      </c>
      <c r="F5361" t="s">
        <v>164</v>
      </c>
      <c r="G5361" s="18">
        <v>0</v>
      </c>
      <c r="H5361" t="s">
        <v>160</v>
      </c>
      <c r="I5361" t="s">
        <v>17</v>
      </c>
    </row>
    <row r="5362" spans="1:9" x14ac:dyDescent="0.25">
      <c r="A5362">
        <v>1815</v>
      </c>
      <c r="B5362">
        <f>A5362+1</f>
        <v>1816</v>
      </c>
      <c r="C5362" t="s">
        <v>521</v>
      </c>
      <c r="D5362" t="s">
        <v>26</v>
      </c>
      <c r="E5362" s="208" t="s">
        <v>39</v>
      </c>
      <c r="F5362" t="s">
        <v>164</v>
      </c>
      <c r="G5362" s="18">
        <v>0</v>
      </c>
      <c r="H5362" t="s">
        <v>160</v>
      </c>
      <c r="I5362" t="s">
        <v>17</v>
      </c>
    </row>
    <row r="5363" spans="1:9" x14ac:dyDescent="0.25">
      <c r="A5363">
        <v>1815</v>
      </c>
      <c r="B5363">
        <f>A5363+1</f>
        <v>1816</v>
      </c>
      <c r="C5363" t="s">
        <v>521</v>
      </c>
      <c r="D5363" t="s">
        <v>26</v>
      </c>
      <c r="E5363" s="208" t="s">
        <v>99</v>
      </c>
      <c r="F5363" t="s">
        <v>164</v>
      </c>
      <c r="G5363" s="18">
        <v>0</v>
      </c>
      <c r="H5363" t="s">
        <v>160</v>
      </c>
      <c r="I5363" t="s">
        <v>17</v>
      </c>
    </row>
    <row r="5364" spans="1:9" x14ac:dyDescent="0.25">
      <c r="A5364">
        <v>1815</v>
      </c>
      <c r="B5364">
        <f>A5364+1</f>
        <v>1816</v>
      </c>
      <c r="C5364" t="s">
        <v>521</v>
      </c>
      <c r="D5364" t="s">
        <v>26</v>
      </c>
      <c r="E5364" s="208" t="s">
        <v>95</v>
      </c>
      <c r="F5364" t="s">
        <v>164</v>
      </c>
      <c r="G5364" s="18">
        <v>0</v>
      </c>
      <c r="H5364" t="s">
        <v>160</v>
      </c>
      <c r="I5364" t="s">
        <v>17</v>
      </c>
    </row>
    <row r="5365" spans="1:9" x14ac:dyDescent="0.25">
      <c r="A5365">
        <v>1815</v>
      </c>
      <c r="B5365">
        <f>A5365+1</f>
        <v>1816</v>
      </c>
      <c r="C5365" t="s">
        <v>521</v>
      </c>
      <c r="D5365" t="s">
        <v>26</v>
      </c>
      <c r="E5365" s="208" t="s">
        <v>94</v>
      </c>
      <c r="F5365" t="s">
        <v>164</v>
      </c>
      <c r="G5365" s="18">
        <v>0</v>
      </c>
      <c r="H5365" t="s">
        <v>160</v>
      </c>
      <c r="I5365" t="s">
        <v>17</v>
      </c>
    </row>
    <row r="5366" spans="1:9" x14ac:dyDescent="0.25">
      <c r="A5366">
        <v>1815</v>
      </c>
      <c r="B5366">
        <f>A5366+1</f>
        <v>1816</v>
      </c>
      <c r="C5366" t="s">
        <v>521</v>
      </c>
      <c r="D5366" t="s">
        <v>26</v>
      </c>
      <c r="E5366" s="208" t="s">
        <v>386</v>
      </c>
      <c r="F5366" t="s">
        <v>164</v>
      </c>
      <c r="G5366" s="18">
        <v>0</v>
      </c>
      <c r="H5366" t="s">
        <v>160</v>
      </c>
      <c r="I5366" t="s">
        <v>17</v>
      </c>
    </row>
    <row r="5367" spans="1:9" x14ac:dyDescent="0.25">
      <c r="A5367">
        <v>1815</v>
      </c>
      <c r="B5367">
        <f>A5367+1</f>
        <v>1816</v>
      </c>
      <c r="C5367" t="s">
        <v>521</v>
      </c>
      <c r="D5367" t="s">
        <v>26</v>
      </c>
      <c r="E5367" s="208" t="s">
        <v>387</v>
      </c>
      <c r="F5367" t="s">
        <v>164</v>
      </c>
      <c r="G5367" s="18">
        <v>0</v>
      </c>
      <c r="H5367" t="s">
        <v>160</v>
      </c>
      <c r="I5367" t="s">
        <v>17</v>
      </c>
    </row>
    <row r="5368" spans="1:9" x14ac:dyDescent="0.25">
      <c r="A5368">
        <v>1815</v>
      </c>
      <c r="B5368">
        <f>A5368+1</f>
        <v>1816</v>
      </c>
      <c r="C5368" t="s">
        <v>521</v>
      </c>
      <c r="D5368" t="s">
        <v>26</v>
      </c>
      <c r="E5368" s="208" t="s">
        <v>388</v>
      </c>
      <c r="F5368" t="s">
        <v>164</v>
      </c>
      <c r="G5368" s="18">
        <v>0</v>
      </c>
      <c r="H5368" t="s">
        <v>160</v>
      </c>
      <c r="I5368" t="s">
        <v>17</v>
      </c>
    </row>
    <row r="5369" spans="1:9" x14ac:dyDescent="0.25">
      <c r="A5369">
        <v>1815</v>
      </c>
      <c r="B5369">
        <f>A5369+1</f>
        <v>1816</v>
      </c>
      <c r="C5369" t="s">
        <v>521</v>
      </c>
      <c r="D5369" t="s">
        <v>26</v>
      </c>
      <c r="E5369" s="208" t="s">
        <v>85</v>
      </c>
      <c r="F5369" t="s">
        <v>164</v>
      </c>
      <c r="G5369" s="18">
        <v>0</v>
      </c>
      <c r="H5369" t="s">
        <v>160</v>
      </c>
      <c r="I5369" t="s">
        <v>17</v>
      </c>
    </row>
    <row r="5370" spans="1:9" x14ac:dyDescent="0.25">
      <c r="A5370">
        <v>1815</v>
      </c>
      <c r="B5370">
        <f>A5370+1</f>
        <v>1816</v>
      </c>
      <c r="C5370" t="s">
        <v>521</v>
      </c>
      <c r="D5370" t="s">
        <v>26</v>
      </c>
      <c r="E5370" s="208" t="s">
        <v>398</v>
      </c>
      <c r="F5370" t="s">
        <v>164</v>
      </c>
      <c r="G5370" s="18">
        <v>0</v>
      </c>
      <c r="H5370" t="s">
        <v>160</v>
      </c>
      <c r="I5370" t="s">
        <v>17</v>
      </c>
    </row>
    <row r="5371" spans="1:9" x14ac:dyDescent="0.25">
      <c r="A5371">
        <v>1815</v>
      </c>
      <c r="B5371">
        <f>A5371+1</f>
        <v>1816</v>
      </c>
      <c r="C5371" t="s">
        <v>521</v>
      </c>
      <c r="D5371" t="s">
        <v>26</v>
      </c>
      <c r="E5371" s="208" t="s">
        <v>65</v>
      </c>
      <c r="F5371" t="s">
        <v>164</v>
      </c>
      <c r="G5371" s="18">
        <v>25134</v>
      </c>
      <c r="H5371" t="s">
        <v>160</v>
      </c>
      <c r="I5371" t="s">
        <v>17</v>
      </c>
    </row>
    <row r="5372" spans="1:9" x14ac:dyDescent="0.25">
      <c r="A5372">
        <v>1815</v>
      </c>
      <c r="B5372">
        <f>A5372+1</f>
        <v>1816</v>
      </c>
      <c r="C5372" t="s">
        <v>521</v>
      </c>
      <c r="D5372" t="s">
        <v>26</v>
      </c>
      <c r="E5372" s="208" t="s">
        <v>107</v>
      </c>
      <c r="F5372" t="s">
        <v>164</v>
      </c>
      <c r="G5372" s="18">
        <v>0</v>
      </c>
      <c r="H5372" t="s">
        <v>160</v>
      </c>
      <c r="I5372" t="s">
        <v>17</v>
      </c>
    </row>
    <row r="5373" spans="1:9" x14ac:dyDescent="0.25">
      <c r="A5373">
        <v>1815</v>
      </c>
      <c r="B5373">
        <f>A5373+1</f>
        <v>1816</v>
      </c>
      <c r="C5373" t="s">
        <v>521</v>
      </c>
      <c r="D5373" t="s">
        <v>26</v>
      </c>
      <c r="E5373" s="208" t="s">
        <v>101</v>
      </c>
      <c r="F5373" t="s">
        <v>164</v>
      </c>
      <c r="G5373" s="18">
        <v>0</v>
      </c>
      <c r="H5373" t="s">
        <v>160</v>
      </c>
      <c r="I5373" t="s">
        <v>17</v>
      </c>
    </row>
    <row r="5374" spans="1:9" x14ac:dyDescent="0.25">
      <c r="A5374">
        <v>1815</v>
      </c>
      <c r="B5374">
        <f>A5374+1</f>
        <v>1816</v>
      </c>
      <c r="C5374" t="s">
        <v>521</v>
      </c>
      <c r="D5374" t="s">
        <v>26</v>
      </c>
      <c r="E5374" s="208" t="s">
        <v>75</v>
      </c>
      <c r="F5374" t="s">
        <v>164</v>
      </c>
      <c r="G5374" s="18">
        <v>0</v>
      </c>
      <c r="H5374" t="s">
        <v>160</v>
      </c>
      <c r="I5374" t="s">
        <v>17</v>
      </c>
    </row>
    <row r="5375" spans="1:9" x14ac:dyDescent="0.25">
      <c r="A5375">
        <v>1815</v>
      </c>
      <c r="B5375">
        <f>A5375+1</f>
        <v>1816</v>
      </c>
      <c r="C5375" t="s">
        <v>521</v>
      </c>
      <c r="D5375" t="s">
        <v>26</v>
      </c>
      <c r="E5375" s="208" t="s">
        <v>330</v>
      </c>
      <c r="F5375" t="s">
        <v>164</v>
      </c>
      <c r="G5375" s="18">
        <v>0</v>
      </c>
      <c r="H5375" t="s">
        <v>160</v>
      </c>
      <c r="I5375" t="s">
        <v>17</v>
      </c>
    </row>
    <row r="5376" spans="1:9" x14ac:dyDescent="0.25">
      <c r="A5376">
        <v>1815</v>
      </c>
      <c r="B5376">
        <f>A5376+1</f>
        <v>1816</v>
      </c>
      <c r="C5376" t="s">
        <v>521</v>
      </c>
      <c r="D5376" t="s">
        <v>26</v>
      </c>
      <c r="E5376" s="208" t="s">
        <v>331</v>
      </c>
      <c r="F5376" t="s">
        <v>164</v>
      </c>
      <c r="G5376" s="18">
        <v>0</v>
      </c>
      <c r="H5376" t="s">
        <v>160</v>
      </c>
      <c r="I5376" t="s">
        <v>17</v>
      </c>
    </row>
    <row r="5377" spans="1:9" x14ac:dyDescent="0.25">
      <c r="A5377">
        <v>1815</v>
      </c>
      <c r="B5377">
        <f>A5377+1</f>
        <v>1816</v>
      </c>
      <c r="C5377" t="s">
        <v>521</v>
      </c>
      <c r="D5377" t="s">
        <v>26</v>
      </c>
      <c r="E5377" s="208" t="s">
        <v>332</v>
      </c>
      <c r="F5377" t="s">
        <v>164</v>
      </c>
      <c r="G5377" s="18">
        <v>0</v>
      </c>
      <c r="H5377" t="s">
        <v>160</v>
      </c>
      <c r="I5377" t="s">
        <v>17</v>
      </c>
    </row>
    <row r="5378" spans="1:9" x14ac:dyDescent="0.25">
      <c r="A5378">
        <v>1815</v>
      </c>
      <c r="B5378">
        <f>A5378+1</f>
        <v>1816</v>
      </c>
      <c r="C5378" t="s">
        <v>521</v>
      </c>
      <c r="D5378" t="s">
        <v>26</v>
      </c>
      <c r="E5378" s="208" t="s">
        <v>333</v>
      </c>
      <c r="F5378" t="s">
        <v>164</v>
      </c>
      <c r="G5378" s="18">
        <v>0</v>
      </c>
      <c r="H5378" t="s">
        <v>160</v>
      </c>
      <c r="I5378" t="s">
        <v>17</v>
      </c>
    </row>
    <row r="5379" spans="1:9" x14ac:dyDescent="0.25">
      <c r="A5379">
        <v>1815</v>
      </c>
      <c r="B5379">
        <f>A5379+1</f>
        <v>1816</v>
      </c>
      <c r="C5379" t="s">
        <v>521</v>
      </c>
      <c r="D5379" t="s">
        <v>27</v>
      </c>
      <c r="E5379" s="208" t="s">
        <v>155</v>
      </c>
      <c r="F5379" t="s">
        <v>9</v>
      </c>
      <c r="G5379" s="18">
        <v>169</v>
      </c>
      <c r="H5379" t="s">
        <v>17</v>
      </c>
      <c r="I5379" t="s">
        <v>21</v>
      </c>
    </row>
    <row r="5380" spans="1:9" x14ac:dyDescent="0.25">
      <c r="A5380">
        <v>1815</v>
      </c>
      <c r="B5380">
        <f>A5380+1</f>
        <v>1816</v>
      </c>
      <c r="C5380" t="s">
        <v>521</v>
      </c>
      <c r="D5380" t="s">
        <v>27</v>
      </c>
      <c r="E5380" s="208" t="s">
        <v>156</v>
      </c>
      <c r="F5380" t="s">
        <v>9</v>
      </c>
      <c r="G5380" s="18">
        <v>60</v>
      </c>
      <c r="H5380" t="s">
        <v>17</v>
      </c>
      <c r="I5380" t="s">
        <v>21</v>
      </c>
    </row>
    <row r="5381" spans="1:9" x14ac:dyDescent="0.25">
      <c r="A5381">
        <v>1815</v>
      </c>
      <c r="B5381">
        <f>A5381+1</f>
        <v>1816</v>
      </c>
      <c r="C5381" t="s">
        <v>521</v>
      </c>
      <c r="D5381" t="s">
        <v>27</v>
      </c>
      <c r="E5381" s="208" t="s">
        <v>154</v>
      </c>
      <c r="F5381" t="s">
        <v>9</v>
      </c>
      <c r="G5381" s="18">
        <v>2</v>
      </c>
      <c r="H5381" t="s">
        <v>17</v>
      </c>
      <c r="I5381" t="s">
        <v>21</v>
      </c>
    </row>
    <row r="5382" spans="1:9" x14ac:dyDescent="0.25">
      <c r="A5382">
        <v>1815</v>
      </c>
      <c r="B5382">
        <f>A5382+1</f>
        <v>1816</v>
      </c>
      <c r="C5382" t="s">
        <v>521</v>
      </c>
      <c r="D5382" t="s">
        <v>27</v>
      </c>
      <c r="E5382" s="208" t="s">
        <v>150</v>
      </c>
      <c r="F5382" t="s">
        <v>9</v>
      </c>
      <c r="G5382" s="18">
        <v>315</v>
      </c>
      <c r="H5382" t="s">
        <v>17</v>
      </c>
      <c r="I5382" t="s">
        <v>21</v>
      </c>
    </row>
    <row r="5383" spans="1:9" x14ac:dyDescent="0.25">
      <c r="A5383">
        <v>1815</v>
      </c>
      <c r="B5383">
        <f>A5383+1</f>
        <v>1816</v>
      </c>
      <c r="C5383" t="s">
        <v>521</v>
      </c>
      <c r="D5383" t="s">
        <v>27</v>
      </c>
      <c r="E5383" s="208" t="s">
        <v>148</v>
      </c>
      <c r="F5383" t="s">
        <v>9</v>
      </c>
      <c r="G5383" s="18">
        <v>0</v>
      </c>
      <c r="H5383" t="s">
        <v>17</v>
      </c>
      <c r="I5383" t="s">
        <v>21</v>
      </c>
    </row>
    <row r="5384" spans="1:9" x14ac:dyDescent="0.25">
      <c r="A5384">
        <v>1815</v>
      </c>
      <c r="B5384">
        <f>A5384+1</f>
        <v>1816</v>
      </c>
      <c r="C5384" t="s">
        <v>521</v>
      </c>
      <c r="D5384" t="s">
        <v>27</v>
      </c>
      <c r="E5384" s="208" t="s">
        <v>147</v>
      </c>
      <c r="F5384" t="s">
        <v>9</v>
      </c>
      <c r="G5384" s="18">
        <v>0</v>
      </c>
      <c r="H5384" t="s">
        <v>17</v>
      </c>
      <c r="I5384" t="s">
        <v>21</v>
      </c>
    </row>
    <row r="5385" spans="1:9" x14ac:dyDescent="0.25">
      <c r="A5385">
        <v>1815</v>
      </c>
      <c r="B5385">
        <f>A5385+1</f>
        <v>1816</v>
      </c>
      <c r="C5385" t="s">
        <v>521</v>
      </c>
      <c r="D5385" t="s">
        <v>27</v>
      </c>
      <c r="E5385" s="208" t="s">
        <v>314</v>
      </c>
      <c r="F5385" t="s">
        <v>9</v>
      </c>
      <c r="G5385" s="18">
        <v>0</v>
      </c>
      <c r="H5385" t="s">
        <v>17</v>
      </c>
      <c r="I5385" t="s">
        <v>21</v>
      </c>
    </row>
    <row r="5386" spans="1:9" x14ac:dyDescent="0.25">
      <c r="A5386">
        <v>1815</v>
      </c>
      <c r="B5386">
        <f>A5386+1</f>
        <v>1816</v>
      </c>
      <c r="C5386" t="s">
        <v>521</v>
      </c>
      <c r="D5386" t="s">
        <v>27</v>
      </c>
      <c r="E5386" s="208" t="s">
        <v>139</v>
      </c>
      <c r="F5386" t="s">
        <v>9</v>
      </c>
      <c r="G5386" s="18">
        <v>0</v>
      </c>
      <c r="H5386" t="s">
        <v>17</v>
      </c>
      <c r="I5386" t="s">
        <v>21</v>
      </c>
    </row>
    <row r="5387" spans="1:9" x14ac:dyDescent="0.25">
      <c r="A5387">
        <v>1815</v>
      </c>
      <c r="B5387">
        <f>A5387+1</f>
        <v>1816</v>
      </c>
      <c r="C5387" t="s">
        <v>521</v>
      </c>
      <c r="D5387" t="s">
        <v>27</v>
      </c>
      <c r="E5387" s="208" t="s">
        <v>132</v>
      </c>
      <c r="F5387" t="s">
        <v>9</v>
      </c>
      <c r="G5387" s="18">
        <v>2</v>
      </c>
      <c r="H5387" t="s">
        <v>17</v>
      </c>
      <c r="I5387" t="s">
        <v>21</v>
      </c>
    </row>
    <row r="5388" spans="1:9" x14ac:dyDescent="0.25">
      <c r="A5388">
        <v>1815</v>
      </c>
      <c r="B5388">
        <f>A5388+1</f>
        <v>1816</v>
      </c>
      <c r="C5388" t="s">
        <v>521</v>
      </c>
      <c r="D5388" t="s">
        <v>27</v>
      </c>
      <c r="E5388" s="208" t="s">
        <v>130</v>
      </c>
      <c r="F5388" t="s">
        <v>9</v>
      </c>
      <c r="G5388" s="18">
        <v>0</v>
      </c>
      <c r="H5388" t="s">
        <v>17</v>
      </c>
      <c r="I5388" t="s">
        <v>21</v>
      </c>
    </row>
    <row r="5389" spans="1:9" x14ac:dyDescent="0.25">
      <c r="A5389">
        <v>1815</v>
      </c>
      <c r="B5389">
        <f>A5389+1</f>
        <v>1816</v>
      </c>
      <c r="C5389" t="s">
        <v>521</v>
      </c>
      <c r="D5389" t="s">
        <v>27</v>
      </c>
      <c r="E5389" s="208" t="s">
        <v>144</v>
      </c>
      <c r="F5389" t="s">
        <v>9</v>
      </c>
      <c r="G5389" s="18">
        <v>10</v>
      </c>
      <c r="H5389" t="s">
        <v>17</v>
      </c>
      <c r="I5389" t="s">
        <v>21</v>
      </c>
    </row>
    <row r="5390" spans="1:9" x14ac:dyDescent="0.25">
      <c r="A5390">
        <v>1815</v>
      </c>
      <c r="B5390">
        <f>A5390+1</f>
        <v>1816</v>
      </c>
      <c r="C5390" t="s">
        <v>521</v>
      </c>
      <c r="D5390" t="s">
        <v>27</v>
      </c>
      <c r="E5390" s="208" t="s">
        <v>142</v>
      </c>
      <c r="F5390" t="s">
        <v>9</v>
      </c>
      <c r="G5390" s="18">
        <v>69</v>
      </c>
      <c r="H5390" t="s">
        <v>17</v>
      </c>
      <c r="I5390" t="s">
        <v>21</v>
      </c>
    </row>
    <row r="5391" spans="1:9" x14ac:dyDescent="0.25">
      <c r="A5391">
        <v>1815</v>
      </c>
      <c r="B5391">
        <f>A5391+1</f>
        <v>1816</v>
      </c>
      <c r="C5391" t="s">
        <v>521</v>
      </c>
      <c r="D5391" t="s">
        <v>27</v>
      </c>
      <c r="E5391" s="208" t="s">
        <v>124</v>
      </c>
      <c r="F5391" t="s">
        <v>9</v>
      </c>
      <c r="G5391" s="18">
        <v>4180</v>
      </c>
      <c r="H5391" t="s">
        <v>17</v>
      </c>
      <c r="I5391" t="s">
        <v>21</v>
      </c>
    </row>
    <row r="5392" spans="1:9" x14ac:dyDescent="0.25">
      <c r="A5392">
        <v>1815</v>
      </c>
      <c r="B5392">
        <f>A5392+1</f>
        <v>1816</v>
      </c>
      <c r="C5392" t="s">
        <v>521</v>
      </c>
      <c r="D5392" t="s">
        <v>27</v>
      </c>
      <c r="E5392" s="208" t="s">
        <v>155</v>
      </c>
      <c r="F5392" t="s">
        <v>13</v>
      </c>
      <c r="G5392" s="18">
        <v>0</v>
      </c>
      <c r="H5392" t="s">
        <v>17</v>
      </c>
      <c r="I5392" t="s">
        <v>25</v>
      </c>
    </row>
    <row r="5393" spans="1:9" x14ac:dyDescent="0.25">
      <c r="A5393">
        <v>1815</v>
      </c>
      <c r="B5393">
        <f>A5393+1</f>
        <v>1816</v>
      </c>
      <c r="C5393" t="s">
        <v>521</v>
      </c>
      <c r="D5393" t="s">
        <v>27</v>
      </c>
      <c r="E5393" s="208" t="s">
        <v>156</v>
      </c>
      <c r="F5393" t="s">
        <v>13</v>
      </c>
      <c r="G5393" s="18">
        <v>0</v>
      </c>
      <c r="H5393" t="s">
        <v>17</v>
      </c>
      <c r="I5393" t="s">
        <v>25</v>
      </c>
    </row>
    <row r="5394" spans="1:9" x14ac:dyDescent="0.25">
      <c r="A5394">
        <v>1815</v>
      </c>
      <c r="B5394">
        <f>A5394+1</f>
        <v>1816</v>
      </c>
      <c r="C5394" t="s">
        <v>521</v>
      </c>
      <c r="D5394" t="s">
        <v>27</v>
      </c>
      <c r="E5394" s="208" t="s">
        <v>154</v>
      </c>
      <c r="F5394" t="s">
        <v>13</v>
      </c>
      <c r="G5394" s="18">
        <v>0</v>
      </c>
      <c r="H5394" t="s">
        <v>17</v>
      </c>
      <c r="I5394" t="s">
        <v>25</v>
      </c>
    </row>
    <row r="5395" spans="1:9" x14ac:dyDescent="0.25">
      <c r="A5395">
        <v>1815</v>
      </c>
      <c r="B5395">
        <f>A5395+1</f>
        <v>1816</v>
      </c>
      <c r="C5395" t="s">
        <v>521</v>
      </c>
      <c r="D5395" t="s">
        <v>27</v>
      </c>
      <c r="E5395" s="208" t="s">
        <v>150</v>
      </c>
      <c r="F5395" t="s">
        <v>13</v>
      </c>
      <c r="G5395" s="18">
        <v>21</v>
      </c>
      <c r="H5395" t="s">
        <v>17</v>
      </c>
      <c r="I5395" t="s">
        <v>25</v>
      </c>
    </row>
    <row r="5396" spans="1:9" x14ac:dyDescent="0.25">
      <c r="A5396">
        <v>1815</v>
      </c>
      <c r="B5396">
        <f>A5396+1</f>
        <v>1816</v>
      </c>
      <c r="C5396" t="s">
        <v>521</v>
      </c>
      <c r="D5396" t="s">
        <v>27</v>
      </c>
      <c r="E5396" s="208" t="s">
        <v>148</v>
      </c>
      <c r="F5396" t="s">
        <v>13</v>
      </c>
      <c r="G5396" s="18">
        <v>0</v>
      </c>
      <c r="H5396" t="s">
        <v>17</v>
      </c>
      <c r="I5396" t="s">
        <v>25</v>
      </c>
    </row>
    <row r="5397" spans="1:9" x14ac:dyDescent="0.25">
      <c r="A5397">
        <v>1815</v>
      </c>
      <c r="B5397">
        <f>A5397+1</f>
        <v>1816</v>
      </c>
      <c r="C5397" t="s">
        <v>521</v>
      </c>
      <c r="D5397" t="s">
        <v>27</v>
      </c>
      <c r="E5397" s="208" t="s">
        <v>147</v>
      </c>
      <c r="F5397" t="s">
        <v>13</v>
      </c>
      <c r="G5397" s="18">
        <v>0</v>
      </c>
      <c r="H5397" t="s">
        <v>17</v>
      </c>
      <c r="I5397" t="s">
        <v>25</v>
      </c>
    </row>
    <row r="5398" spans="1:9" x14ac:dyDescent="0.25">
      <c r="A5398">
        <v>1815</v>
      </c>
      <c r="B5398">
        <f>A5398+1</f>
        <v>1816</v>
      </c>
      <c r="C5398" t="s">
        <v>521</v>
      </c>
      <c r="D5398" t="s">
        <v>27</v>
      </c>
      <c r="E5398" s="208" t="s">
        <v>314</v>
      </c>
      <c r="F5398" t="s">
        <v>13</v>
      </c>
      <c r="G5398" s="18">
        <v>0</v>
      </c>
      <c r="H5398" t="s">
        <v>17</v>
      </c>
      <c r="I5398" t="s">
        <v>25</v>
      </c>
    </row>
    <row r="5399" spans="1:9" x14ac:dyDescent="0.25">
      <c r="A5399">
        <v>1815</v>
      </c>
      <c r="B5399">
        <f>A5399+1</f>
        <v>1816</v>
      </c>
      <c r="C5399" t="s">
        <v>521</v>
      </c>
      <c r="D5399" t="s">
        <v>27</v>
      </c>
      <c r="E5399" s="208" t="s">
        <v>139</v>
      </c>
      <c r="F5399" t="s">
        <v>13</v>
      </c>
      <c r="G5399" s="18">
        <v>0</v>
      </c>
      <c r="H5399" t="s">
        <v>17</v>
      </c>
      <c r="I5399" t="s">
        <v>25</v>
      </c>
    </row>
    <row r="5400" spans="1:9" x14ac:dyDescent="0.25">
      <c r="A5400">
        <v>1815</v>
      </c>
      <c r="B5400">
        <f>A5400+1</f>
        <v>1816</v>
      </c>
      <c r="C5400" t="s">
        <v>521</v>
      </c>
      <c r="D5400" t="s">
        <v>27</v>
      </c>
      <c r="E5400" s="208" t="s">
        <v>132</v>
      </c>
      <c r="F5400" t="s">
        <v>13</v>
      </c>
      <c r="G5400" s="18">
        <v>0</v>
      </c>
      <c r="H5400" t="s">
        <v>17</v>
      </c>
      <c r="I5400" t="s">
        <v>25</v>
      </c>
    </row>
    <row r="5401" spans="1:9" x14ac:dyDescent="0.25">
      <c r="A5401">
        <v>1815</v>
      </c>
      <c r="B5401">
        <f>A5401+1</f>
        <v>1816</v>
      </c>
      <c r="C5401" t="s">
        <v>521</v>
      </c>
      <c r="D5401" t="s">
        <v>27</v>
      </c>
      <c r="E5401" s="208" t="s">
        <v>130</v>
      </c>
      <c r="F5401" t="s">
        <v>13</v>
      </c>
      <c r="G5401" s="18">
        <v>0</v>
      </c>
      <c r="H5401" t="s">
        <v>17</v>
      </c>
      <c r="I5401" t="s">
        <v>25</v>
      </c>
    </row>
    <row r="5402" spans="1:9" x14ac:dyDescent="0.25">
      <c r="A5402">
        <v>1815</v>
      </c>
      <c r="B5402">
        <f>A5402+1</f>
        <v>1816</v>
      </c>
      <c r="C5402" t="s">
        <v>521</v>
      </c>
      <c r="D5402" t="s">
        <v>27</v>
      </c>
      <c r="E5402" s="208" t="s">
        <v>144</v>
      </c>
      <c r="F5402" t="s">
        <v>13</v>
      </c>
      <c r="G5402" s="18">
        <v>0</v>
      </c>
      <c r="H5402" t="s">
        <v>17</v>
      </c>
      <c r="I5402" t="s">
        <v>25</v>
      </c>
    </row>
    <row r="5403" spans="1:9" x14ac:dyDescent="0.25">
      <c r="A5403">
        <v>1815</v>
      </c>
      <c r="B5403">
        <f>A5403+1</f>
        <v>1816</v>
      </c>
      <c r="C5403" t="s">
        <v>521</v>
      </c>
      <c r="D5403" t="s">
        <v>27</v>
      </c>
      <c r="E5403" s="208" t="s">
        <v>142</v>
      </c>
      <c r="F5403" t="s">
        <v>13</v>
      </c>
      <c r="G5403" s="18">
        <v>0</v>
      </c>
      <c r="H5403" t="s">
        <v>17</v>
      </c>
      <c r="I5403" t="s">
        <v>25</v>
      </c>
    </row>
    <row r="5404" spans="1:9" x14ac:dyDescent="0.25">
      <c r="A5404">
        <v>1815</v>
      </c>
      <c r="B5404">
        <f>A5404+1</f>
        <v>1816</v>
      </c>
      <c r="C5404" t="s">
        <v>521</v>
      </c>
      <c r="D5404" t="s">
        <v>27</v>
      </c>
      <c r="E5404" s="208" t="s">
        <v>124</v>
      </c>
      <c r="F5404" t="s">
        <v>13</v>
      </c>
      <c r="G5404" s="18">
        <v>0</v>
      </c>
      <c r="H5404" t="s">
        <v>17</v>
      </c>
      <c r="I5404" t="s">
        <v>25</v>
      </c>
    </row>
    <row r="5405" spans="1:9" x14ac:dyDescent="0.25">
      <c r="A5405">
        <v>1815</v>
      </c>
      <c r="B5405">
        <f>A5405+1</f>
        <v>1816</v>
      </c>
      <c r="C5405" t="s">
        <v>521</v>
      </c>
      <c r="D5405" t="s">
        <v>26</v>
      </c>
      <c r="E5405" s="208" t="s">
        <v>62</v>
      </c>
      <c r="F5405" t="s">
        <v>13</v>
      </c>
      <c r="G5405" s="18">
        <v>160</v>
      </c>
      <c r="H5405" t="s">
        <v>25</v>
      </c>
      <c r="I5405" t="s">
        <v>17</v>
      </c>
    </row>
    <row r="5406" spans="1:9" x14ac:dyDescent="0.25">
      <c r="A5406">
        <v>1815</v>
      </c>
      <c r="B5406">
        <f>A5406+1</f>
        <v>1816</v>
      </c>
      <c r="C5406" t="s">
        <v>521</v>
      </c>
      <c r="D5406" t="s">
        <v>26</v>
      </c>
      <c r="E5406" s="208" t="s">
        <v>36</v>
      </c>
      <c r="F5406" t="s">
        <v>13</v>
      </c>
      <c r="G5406" s="18">
        <v>10</v>
      </c>
      <c r="H5406" t="s">
        <v>25</v>
      </c>
      <c r="I5406" t="s">
        <v>17</v>
      </c>
    </row>
    <row r="5407" spans="1:9" x14ac:dyDescent="0.25">
      <c r="A5407">
        <v>1815</v>
      </c>
      <c r="B5407">
        <f>A5407+1</f>
        <v>1816</v>
      </c>
      <c r="C5407" t="s">
        <v>521</v>
      </c>
      <c r="D5407" t="s">
        <v>26</v>
      </c>
      <c r="E5407" s="208" t="s">
        <v>35</v>
      </c>
      <c r="F5407" t="s">
        <v>13</v>
      </c>
      <c r="G5407" s="18">
        <v>0</v>
      </c>
      <c r="H5407" t="s">
        <v>25</v>
      </c>
      <c r="I5407" t="s">
        <v>17</v>
      </c>
    </row>
    <row r="5408" spans="1:9" x14ac:dyDescent="0.25">
      <c r="A5408">
        <v>1815</v>
      </c>
      <c r="B5408">
        <f>A5408+1</f>
        <v>1816</v>
      </c>
      <c r="C5408" t="s">
        <v>521</v>
      </c>
      <c r="D5408" t="s">
        <v>26</v>
      </c>
      <c r="E5408" s="208" t="s">
        <v>39</v>
      </c>
      <c r="F5408" t="s">
        <v>13</v>
      </c>
      <c r="G5408" s="18">
        <v>50</v>
      </c>
      <c r="H5408" t="s">
        <v>25</v>
      </c>
      <c r="I5408" t="s">
        <v>17</v>
      </c>
    </row>
    <row r="5409" spans="1:9" x14ac:dyDescent="0.25">
      <c r="A5409">
        <v>1815</v>
      </c>
      <c r="B5409">
        <f>A5409+1</f>
        <v>1816</v>
      </c>
      <c r="C5409" t="s">
        <v>521</v>
      </c>
      <c r="D5409" t="s">
        <v>26</v>
      </c>
      <c r="E5409" s="208" t="s">
        <v>99</v>
      </c>
      <c r="F5409" t="s">
        <v>13</v>
      </c>
      <c r="G5409" s="18">
        <v>12</v>
      </c>
      <c r="H5409" t="s">
        <v>25</v>
      </c>
      <c r="I5409" t="s">
        <v>17</v>
      </c>
    </row>
    <row r="5410" spans="1:9" x14ac:dyDescent="0.25">
      <c r="A5410">
        <v>1815</v>
      </c>
      <c r="B5410">
        <f>A5410+1</f>
        <v>1816</v>
      </c>
      <c r="C5410" t="s">
        <v>521</v>
      </c>
      <c r="D5410" t="s">
        <v>26</v>
      </c>
      <c r="E5410" s="208" t="s">
        <v>95</v>
      </c>
      <c r="F5410" t="s">
        <v>13</v>
      </c>
      <c r="G5410" s="18">
        <v>0</v>
      </c>
      <c r="H5410" t="s">
        <v>25</v>
      </c>
      <c r="I5410" t="s">
        <v>17</v>
      </c>
    </row>
    <row r="5411" spans="1:9" x14ac:dyDescent="0.25">
      <c r="A5411">
        <v>1815</v>
      </c>
      <c r="B5411">
        <f>A5411+1</f>
        <v>1816</v>
      </c>
      <c r="C5411" t="s">
        <v>521</v>
      </c>
      <c r="D5411" t="s">
        <v>26</v>
      </c>
      <c r="E5411" s="208" t="s">
        <v>94</v>
      </c>
      <c r="F5411" t="s">
        <v>13</v>
      </c>
      <c r="G5411" s="18">
        <v>0</v>
      </c>
      <c r="H5411" t="s">
        <v>25</v>
      </c>
      <c r="I5411" t="s">
        <v>17</v>
      </c>
    </row>
    <row r="5412" spans="1:9" x14ac:dyDescent="0.25">
      <c r="A5412">
        <v>1815</v>
      </c>
      <c r="B5412">
        <f>A5412+1</f>
        <v>1816</v>
      </c>
      <c r="C5412" t="s">
        <v>521</v>
      </c>
      <c r="D5412" t="s">
        <v>26</v>
      </c>
      <c r="E5412" s="208" t="s">
        <v>386</v>
      </c>
      <c r="F5412" t="s">
        <v>13</v>
      </c>
      <c r="G5412" s="18">
        <v>3000</v>
      </c>
      <c r="H5412" t="s">
        <v>25</v>
      </c>
      <c r="I5412" t="s">
        <v>17</v>
      </c>
    </row>
    <row r="5413" spans="1:9" x14ac:dyDescent="0.25">
      <c r="A5413">
        <v>1815</v>
      </c>
      <c r="B5413">
        <f>A5413+1</f>
        <v>1816</v>
      </c>
      <c r="C5413" t="s">
        <v>521</v>
      </c>
      <c r="D5413" t="s">
        <v>26</v>
      </c>
      <c r="E5413" s="208" t="s">
        <v>387</v>
      </c>
      <c r="F5413" t="s">
        <v>13</v>
      </c>
      <c r="G5413" s="18">
        <v>0</v>
      </c>
      <c r="H5413" t="s">
        <v>25</v>
      </c>
      <c r="I5413" t="s">
        <v>17</v>
      </c>
    </row>
    <row r="5414" spans="1:9" x14ac:dyDescent="0.25">
      <c r="A5414">
        <v>1815</v>
      </c>
      <c r="B5414">
        <f>A5414+1</f>
        <v>1816</v>
      </c>
      <c r="C5414" t="s">
        <v>521</v>
      </c>
      <c r="D5414" t="s">
        <v>26</v>
      </c>
      <c r="E5414" s="208" t="s">
        <v>388</v>
      </c>
      <c r="F5414" t="s">
        <v>13</v>
      </c>
      <c r="G5414" s="18">
        <v>60</v>
      </c>
      <c r="H5414" t="s">
        <v>25</v>
      </c>
      <c r="I5414" t="s">
        <v>17</v>
      </c>
    </row>
    <row r="5415" spans="1:9" x14ac:dyDescent="0.25">
      <c r="A5415">
        <v>1815</v>
      </c>
      <c r="B5415">
        <f>A5415+1</f>
        <v>1816</v>
      </c>
      <c r="C5415" t="s">
        <v>521</v>
      </c>
      <c r="D5415" t="s">
        <v>26</v>
      </c>
      <c r="E5415" s="208" t="s">
        <v>85</v>
      </c>
      <c r="F5415" t="s">
        <v>13</v>
      </c>
      <c r="G5415" s="18">
        <v>0</v>
      </c>
      <c r="H5415" t="s">
        <v>25</v>
      </c>
      <c r="I5415" t="s">
        <v>17</v>
      </c>
    </row>
    <row r="5416" spans="1:9" x14ac:dyDescent="0.25">
      <c r="A5416">
        <v>1815</v>
      </c>
      <c r="B5416">
        <f>A5416+1</f>
        <v>1816</v>
      </c>
      <c r="C5416" t="s">
        <v>521</v>
      </c>
      <c r="D5416" t="s">
        <v>26</v>
      </c>
      <c r="E5416" s="208" t="s">
        <v>398</v>
      </c>
      <c r="F5416" t="s">
        <v>13</v>
      </c>
      <c r="G5416" s="18">
        <v>242</v>
      </c>
      <c r="H5416" t="s">
        <v>25</v>
      </c>
      <c r="I5416" t="s">
        <v>17</v>
      </c>
    </row>
    <row r="5417" spans="1:9" x14ac:dyDescent="0.25">
      <c r="A5417">
        <v>1815</v>
      </c>
      <c r="B5417">
        <f>A5417+1</f>
        <v>1816</v>
      </c>
      <c r="C5417" t="s">
        <v>521</v>
      </c>
      <c r="D5417" t="s">
        <v>26</v>
      </c>
      <c r="E5417" s="208" t="s">
        <v>65</v>
      </c>
      <c r="F5417" t="s">
        <v>13</v>
      </c>
      <c r="G5417" s="18">
        <v>0</v>
      </c>
      <c r="H5417" t="s">
        <v>25</v>
      </c>
      <c r="I5417" t="s">
        <v>17</v>
      </c>
    </row>
    <row r="5418" spans="1:9" x14ac:dyDescent="0.25">
      <c r="A5418">
        <v>1815</v>
      </c>
      <c r="B5418">
        <f>A5418+1</f>
        <v>1816</v>
      </c>
      <c r="C5418" t="s">
        <v>521</v>
      </c>
      <c r="D5418" t="s">
        <v>26</v>
      </c>
      <c r="E5418" s="208" t="s">
        <v>107</v>
      </c>
      <c r="F5418" t="s">
        <v>13</v>
      </c>
      <c r="G5418" s="18">
        <v>45716</v>
      </c>
      <c r="H5418" t="s">
        <v>25</v>
      </c>
      <c r="I5418" t="s">
        <v>17</v>
      </c>
    </row>
    <row r="5419" spans="1:9" x14ac:dyDescent="0.25">
      <c r="A5419">
        <v>1815</v>
      </c>
      <c r="B5419">
        <f>A5419+1</f>
        <v>1816</v>
      </c>
      <c r="C5419" t="s">
        <v>521</v>
      </c>
      <c r="D5419" t="s">
        <v>26</v>
      </c>
      <c r="E5419" s="208" t="s">
        <v>101</v>
      </c>
      <c r="F5419" t="s">
        <v>13</v>
      </c>
      <c r="G5419" s="18">
        <v>134000</v>
      </c>
      <c r="H5419" t="s">
        <v>25</v>
      </c>
      <c r="I5419" t="s">
        <v>17</v>
      </c>
    </row>
    <row r="5420" spans="1:9" x14ac:dyDescent="0.25">
      <c r="A5420">
        <v>1815</v>
      </c>
      <c r="B5420">
        <f>A5420+1</f>
        <v>1816</v>
      </c>
      <c r="C5420" t="s">
        <v>521</v>
      </c>
      <c r="D5420" t="s">
        <v>26</v>
      </c>
      <c r="E5420" s="208" t="s">
        <v>75</v>
      </c>
      <c r="F5420" t="s">
        <v>13</v>
      </c>
      <c r="G5420" s="18">
        <v>55729</v>
      </c>
      <c r="H5420" t="s">
        <v>25</v>
      </c>
      <c r="I5420" t="s">
        <v>17</v>
      </c>
    </row>
    <row r="5421" spans="1:9" x14ac:dyDescent="0.25">
      <c r="A5421">
        <v>1815</v>
      </c>
      <c r="B5421">
        <f>A5421+1</f>
        <v>1816</v>
      </c>
      <c r="C5421" t="s">
        <v>521</v>
      </c>
      <c r="D5421" t="s">
        <v>26</v>
      </c>
      <c r="E5421" s="208" t="s">
        <v>330</v>
      </c>
      <c r="F5421" t="s">
        <v>13</v>
      </c>
      <c r="G5421" s="18">
        <v>557</v>
      </c>
      <c r="H5421" t="s">
        <v>25</v>
      </c>
      <c r="I5421" t="s">
        <v>17</v>
      </c>
    </row>
    <row r="5422" spans="1:9" x14ac:dyDescent="0.25">
      <c r="A5422">
        <v>1815</v>
      </c>
      <c r="B5422">
        <f>A5422+1</f>
        <v>1816</v>
      </c>
      <c r="C5422" t="s">
        <v>521</v>
      </c>
      <c r="D5422" t="s">
        <v>26</v>
      </c>
      <c r="E5422" s="208" t="s">
        <v>331</v>
      </c>
      <c r="F5422" t="s">
        <v>13</v>
      </c>
      <c r="G5422" s="18">
        <v>1458</v>
      </c>
      <c r="H5422" t="s">
        <v>25</v>
      </c>
      <c r="I5422" t="s">
        <v>17</v>
      </c>
    </row>
    <row r="5423" spans="1:9" x14ac:dyDescent="0.25">
      <c r="A5423">
        <v>1815</v>
      </c>
      <c r="B5423">
        <f>A5423+1</f>
        <v>1816</v>
      </c>
      <c r="C5423" t="s">
        <v>521</v>
      </c>
      <c r="D5423" t="s">
        <v>26</v>
      </c>
      <c r="E5423" s="208" t="s">
        <v>332</v>
      </c>
      <c r="F5423" t="s">
        <v>13</v>
      </c>
      <c r="G5423" s="18">
        <v>63</v>
      </c>
      <c r="H5423" t="s">
        <v>25</v>
      </c>
      <c r="I5423" t="s">
        <v>17</v>
      </c>
    </row>
    <row r="5424" spans="1:9" x14ac:dyDescent="0.25">
      <c r="A5424">
        <v>1815</v>
      </c>
      <c r="B5424">
        <f>A5424+1</f>
        <v>1816</v>
      </c>
      <c r="C5424" t="s">
        <v>521</v>
      </c>
      <c r="D5424" t="s">
        <v>26</v>
      </c>
      <c r="E5424" s="208" t="s">
        <v>333</v>
      </c>
      <c r="F5424" t="s">
        <v>13</v>
      </c>
      <c r="G5424" s="18">
        <v>2047</v>
      </c>
      <c r="H5424" t="s">
        <v>25</v>
      </c>
      <c r="I5424" t="s">
        <v>17</v>
      </c>
    </row>
    <row r="5425" spans="1:9" x14ac:dyDescent="0.25">
      <c r="A5425">
        <v>1815</v>
      </c>
      <c r="B5425">
        <f>A5425+1</f>
        <v>1816</v>
      </c>
      <c r="C5425" t="s">
        <v>521</v>
      </c>
      <c r="D5425" t="s">
        <v>27</v>
      </c>
      <c r="E5425" s="208" t="s">
        <v>155</v>
      </c>
      <c r="F5425" t="s">
        <v>11</v>
      </c>
      <c r="G5425" s="18">
        <v>104</v>
      </c>
      <c r="H5425" t="s">
        <v>17</v>
      </c>
      <c r="I5425" t="s">
        <v>23</v>
      </c>
    </row>
    <row r="5426" spans="1:9" x14ac:dyDescent="0.25">
      <c r="A5426">
        <v>1815</v>
      </c>
      <c r="B5426">
        <f>A5426+1</f>
        <v>1816</v>
      </c>
      <c r="C5426" t="s">
        <v>521</v>
      </c>
      <c r="D5426" t="s">
        <v>27</v>
      </c>
      <c r="E5426" s="208" t="s">
        <v>156</v>
      </c>
      <c r="F5426" t="s">
        <v>11</v>
      </c>
      <c r="G5426" s="18">
        <v>87</v>
      </c>
      <c r="H5426" t="s">
        <v>17</v>
      </c>
      <c r="I5426" t="s">
        <v>23</v>
      </c>
    </row>
    <row r="5427" spans="1:9" x14ac:dyDescent="0.25">
      <c r="A5427">
        <v>1815</v>
      </c>
      <c r="B5427">
        <f>A5427+1</f>
        <v>1816</v>
      </c>
      <c r="C5427" t="s">
        <v>521</v>
      </c>
      <c r="D5427" t="s">
        <v>27</v>
      </c>
      <c r="E5427" s="208" t="s">
        <v>154</v>
      </c>
      <c r="F5427" t="s">
        <v>11</v>
      </c>
      <c r="G5427" s="18">
        <v>128</v>
      </c>
      <c r="H5427" t="s">
        <v>17</v>
      </c>
      <c r="I5427" t="s">
        <v>23</v>
      </c>
    </row>
    <row r="5428" spans="1:9" x14ac:dyDescent="0.25">
      <c r="A5428">
        <v>1815</v>
      </c>
      <c r="B5428">
        <f>A5428+1</f>
        <v>1816</v>
      </c>
      <c r="C5428" t="s">
        <v>521</v>
      </c>
      <c r="D5428" t="s">
        <v>27</v>
      </c>
      <c r="E5428" s="208" t="s">
        <v>150</v>
      </c>
      <c r="F5428" t="s">
        <v>11</v>
      </c>
      <c r="G5428" s="18">
        <v>3310</v>
      </c>
      <c r="H5428" t="s">
        <v>17</v>
      </c>
      <c r="I5428" t="s">
        <v>23</v>
      </c>
    </row>
    <row r="5429" spans="1:9" x14ac:dyDescent="0.25">
      <c r="A5429">
        <v>1815</v>
      </c>
      <c r="B5429">
        <f>A5429+1</f>
        <v>1816</v>
      </c>
      <c r="C5429" t="s">
        <v>521</v>
      </c>
      <c r="D5429" t="s">
        <v>27</v>
      </c>
      <c r="E5429" s="208" t="s">
        <v>148</v>
      </c>
      <c r="F5429" t="s">
        <v>11</v>
      </c>
      <c r="G5429" s="18">
        <v>6</v>
      </c>
      <c r="H5429" t="s">
        <v>17</v>
      </c>
      <c r="I5429" t="s">
        <v>23</v>
      </c>
    </row>
    <row r="5430" spans="1:9" x14ac:dyDescent="0.25">
      <c r="A5430">
        <v>1815</v>
      </c>
      <c r="B5430">
        <f>A5430+1</f>
        <v>1816</v>
      </c>
      <c r="C5430" t="s">
        <v>521</v>
      </c>
      <c r="D5430" t="s">
        <v>27</v>
      </c>
      <c r="E5430" s="208" t="s">
        <v>147</v>
      </c>
      <c r="F5430" t="s">
        <v>11</v>
      </c>
      <c r="G5430" s="18">
        <v>0</v>
      </c>
      <c r="H5430" t="s">
        <v>17</v>
      </c>
      <c r="I5430" t="s">
        <v>23</v>
      </c>
    </row>
    <row r="5431" spans="1:9" x14ac:dyDescent="0.25">
      <c r="A5431">
        <v>1815</v>
      </c>
      <c r="B5431">
        <f>A5431+1</f>
        <v>1816</v>
      </c>
      <c r="C5431" t="s">
        <v>521</v>
      </c>
      <c r="D5431" t="s">
        <v>27</v>
      </c>
      <c r="E5431" s="208" t="s">
        <v>314</v>
      </c>
      <c r="F5431" t="s">
        <v>11</v>
      </c>
      <c r="G5431" s="18">
        <v>0</v>
      </c>
      <c r="H5431" t="s">
        <v>17</v>
      </c>
      <c r="I5431" t="s">
        <v>23</v>
      </c>
    </row>
    <row r="5432" spans="1:9" x14ac:dyDescent="0.25">
      <c r="A5432">
        <v>1815</v>
      </c>
      <c r="B5432">
        <f>A5432+1</f>
        <v>1816</v>
      </c>
      <c r="C5432" t="s">
        <v>521</v>
      </c>
      <c r="D5432" t="s">
        <v>27</v>
      </c>
      <c r="E5432" s="208" t="s">
        <v>139</v>
      </c>
      <c r="F5432" t="s">
        <v>11</v>
      </c>
      <c r="G5432" s="18">
        <v>133</v>
      </c>
      <c r="H5432" t="s">
        <v>17</v>
      </c>
      <c r="I5432" t="s">
        <v>23</v>
      </c>
    </row>
    <row r="5433" spans="1:9" x14ac:dyDescent="0.25">
      <c r="A5433">
        <v>1815</v>
      </c>
      <c r="B5433">
        <f>A5433+1</f>
        <v>1816</v>
      </c>
      <c r="C5433" t="s">
        <v>521</v>
      </c>
      <c r="D5433" t="s">
        <v>27</v>
      </c>
      <c r="E5433" s="208" t="s">
        <v>132</v>
      </c>
      <c r="F5433" t="s">
        <v>11</v>
      </c>
      <c r="G5433" s="18">
        <v>19</v>
      </c>
      <c r="H5433" t="s">
        <v>17</v>
      </c>
      <c r="I5433" t="s">
        <v>23</v>
      </c>
    </row>
    <row r="5434" spans="1:9" x14ac:dyDescent="0.25">
      <c r="A5434">
        <v>1815</v>
      </c>
      <c r="B5434">
        <f>A5434+1</f>
        <v>1816</v>
      </c>
      <c r="C5434" t="s">
        <v>521</v>
      </c>
      <c r="D5434" t="s">
        <v>27</v>
      </c>
      <c r="E5434" s="208" t="s">
        <v>130</v>
      </c>
      <c r="F5434" t="s">
        <v>11</v>
      </c>
      <c r="G5434" s="18">
        <v>48</v>
      </c>
      <c r="H5434" t="s">
        <v>17</v>
      </c>
      <c r="I5434" t="s">
        <v>23</v>
      </c>
    </row>
    <row r="5435" spans="1:9" x14ac:dyDescent="0.25">
      <c r="A5435">
        <v>1815</v>
      </c>
      <c r="B5435">
        <f>A5435+1</f>
        <v>1816</v>
      </c>
      <c r="C5435" t="s">
        <v>521</v>
      </c>
      <c r="D5435" t="s">
        <v>27</v>
      </c>
      <c r="E5435" s="208" t="s">
        <v>144</v>
      </c>
      <c r="F5435" t="s">
        <v>11</v>
      </c>
      <c r="G5435" s="18">
        <v>150</v>
      </c>
      <c r="H5435" t="s">
        <v>17</v>
      </c>
      <c r="I5435" t="s">
        <v>23</v>
      </c>
    </row>
    <row r="5436" spans="1:9" x14ac:dyDescent="0.25">
      <c r="A5436">
        <v>1815</v>
      </c>
      <c r="B5436">
        <f>A5436+1</f>
        <v>1816</v>
      </c>
      <c r="C5436" t="s">
        <v>521</v>
      </c>
      <c r="D5436" t="s">
        <v>27</v>
      </c>
      <c r="E5436" s="208" t="s">
        <v>142</v>
      </c>
      <c r="F5436" t="s">
        <v>11</v>
      </c>
      <c r="G5436" s="18">
        <v>8108</v>
      </c>
      <c r="H5436" t="s">
        <v>17</v>
      </c>
      <c r="I5436" t="s">
        <v>23</v>
      </c>
    </row>
    <row r="5437" spans="1:9" x14ac:dyDescent="0.25">
      <c r="A5437">
        <v>1815</v>
      </c>
      <c r="B5437">
        <f>A5437+1</f>
        <v>1816</v>
      </c>
      <c r="C5437" t="s">
        <v>521</v>
      </c>
      <c r="D5437" t="s">
        <v>27</v>
      </c>
      <c r="E5437" s="208" t="s">
        <v>124</v>
      </c>
      <c r="F5437" t="s">
        <v>11</v>
      </c>
      <c r="G5437" s="18">
        <v>140393</v>
      </c>
      <c r="H5437" t="s">
        <v>17</v>
      </c>
      <c r="I5437" t="s">
        <v>23</v>
      </c>
    </row>
    <row r="5438" spans="1:9" x14ac:dyDescent="0.25">
      <c r="A5438">
        <v>1815</v>
      </c>
      <c r="B5438">
        <f>A5438+1</f>
        <v>1816</v>
      </c>
      <c r="C5438" t="s">
        <v>521</v>
      </c>
      <c r="D5438" t="s">
        <v>26</v>
      </c>
      <c r="E5438" s="208" t="s">
        <v>62</v>
      </c>
      <c r="F5438" t="s">
        <v>11</v>
      </c>
      <c r="G5438" s="18">
        <v>6015</v>
      </c>
      <c r="H5438" t="s">
        <v>23</v>
      </c>
      <c r="I5438" t="s">
        <v>17</v>
      </c>
    </row>
    <row r="5439" spans="1:9" x14ac:dyDescent="0.25">
      <c r="A5439">
        <v>1815</v>
      </c>
      <c r="B5439">
        <f>A5439+1</f>
        <v>1816</v>
      </c>
      <c r="C5439" t="s">
        <v>521</v>
      </c>
      <c r="D5439" t="s">
        <v>26</v>
      </c>
      <c r="E5439" s="208" t="s">
        <v>36</v>
      </c>
      <c r="F5439" t="s">
        <v>11</v>
      </c>
      <c r="G5439" s="18">
        <v>1143</v>
      </c>
      <c r="H5439" t="s">
        <v>23</v>
      </c>
      <c r="I5439" t="s">
        <v>17</v>
      </c>
    </row>
    <row r="5440" spans="1:9" x14ac:dyDescent="0.25">
      <c r="A5440">
        <v>1815</v>
      </c>
      <c r="B5440">
        <f>A5440+1</f>
        <v>1816</v>
      </c>
      <c r="C5440" t="s">
        <v>521</v>
      </c>
      <c r="D5440" t="s">
        <v>26</v>
      </c>
      <c r="E5440" s="208" t="s">
        <v>35</v>
      </c>
      <c r="F5440" t="s">
        <v>11</v>
      </c>
      <c r="G5440" s="18">
        <v>50</v>
      </c>
      <c r="H5440" t="s">
        <v>23</v>
      </c>
      <c r="I5440" t="s">
        <v>17</v>
      </c>
    </row>
    <row r="5441" spans="1:9" x14ac:dyDescent="0.25">
      <c r="A5441">
        <v>1815</v>
      </c>
      <c r="B5441">
        <f>A5441+1</f>
        <v>1816</v>
      </c>
      <c r="C5441" t="s">
        <v>521</v>
      </c>
      <c r="D5441" t="s">
        <v>26</v>
      </c>
      <c r="E5441" s="208" t="s">
        <v>39</v>
      </c>
      <c r="F5441" t="s">
        <v>11</v>
      </c>
      <c r="G5441" s="18">
        <v>1314</v>
      </c>
      <c r="H5441" t="s">
        <v>23</v>
      </c>
      <c r="I5441" t="s">
        <v>17</v>
      </c>
    </row>
    <row r="5442" spans="1:9" x14ac:dyDescent="0.25">
      <c r="A5442">
        <v>1815</v>
      </c>
      <c r="B5442">
        <f>A5442+1</f>
        <v>1816</v>
      </c>
      <c r="C5442" t="s">
        <v>521</v>
      </c>
      <c r="D5442" t="s">
        <v>26</v>
      </c>
      <c r="E5442" s="208" t="s">
        <v>99</v>
      </c>
      <c r="F5442" t="s">
        <v>11</v>
      </c>
      <c r="G5442" s="18">
        <v>918</v>
      </c>
      <c r="H5442" t="s">
        <v>23</v>
      </c>
      <c r="I5442" t="s">
        <v>17</v>
      </c>
    </row>
    <row r="5443" spans="1:9" x14ac:dyDescent="0.25">
      <c r="A5443">
        <v>1815</v>
      </c>
      <c r="B5443">
        <f>A5443+1</f>
        <v>1816</v>
      </c>
      <c r="C5443" t="s">
        <v>521</v>
      </c>
      <c r="D5443" t="s">
        <v>26</v>
      </c>
      <c r="E5443" s="208" t="s">
        <v>95</v>
      </c>
      <c r="F5443" t="s">
        <v>11</v>
      </c>
      <c r="G5443" s="18">
        <v>357</v>
      </c>
      <c r="H5443" t="s">
        <v>23</v>
      </c>
      <c r="I5443" t="s">
        <v>17</v>
      </c>
    </row>
    <row r="5444" spans="1:9" x14ac:dyDescent="0.25">
      <c r="A5444">
        <v>1815</v>
      </c>
      <c r="B5444">
        <f>A5444+1</f>
        <v>1816</v>
      </c>
      <c r="C5444" t="s">
        <v>521</v>
      </c>
      <c r="D5444" t="s">
        <v>26</v>
      </c>
      <c r="E5444" s="208" t="s">
        <v>94</v>
      </c>
      <c r="F5444" t="s">
        <v>11</v>
      </c>
      <c r="G5444" s="18">
        <v>0</v>
      </c>
      <c r="H5444" t="s">
        <v>23</v>
      </c>
      <c r="I5444" t="s">
        <v>17</v>
      </c>
    </row>
    <row r="5445" spans="1:9" x14ac:dyDescent="0.25">
      <c r="A5445">
        <v>1815</v>
      </c>
      <c r="B5445">
        <f>A5445+1</f>
        <v>1816</v>
      </c>
      <c r="C5445" t="s">
        <v>521</v>
      </c>
      <c r="D5445" t="s">
        <v>26</v>
      </c>
      <c r="E5445" s="208" t="s">
        <v>386</v>
      </c>
      <c r="F5445" t="s">
        <v>11</v>
      </c>
      <c r="G5445" s="18">
        <v>4878</v>
      </c>
      <c r="H5445" t="s">
        <v>23</v>
      </c>
      <c r="I5445" t="s">
        <v>17</v>
      </c>
    </row>
    <row r="5446" spans="1:9" x14ac:dyDescent="0.25">
      <c r="A5446">
        <v>1815</v>
      </c>
      <c r="B5446">
        <f>A5446+1</f>
        <v>1816</v>
      </c>
      <c r="C5446" t="s">
        <v>521</v>
      </c>
      <c r="D5446" t="s">
        <v>26</v>
      </c>
      <c r="E5446" s="208" t="s">
        <v>387</v>
      </c>
      <c r="F5446" t="s">
        <v>11</v>
      </c>
      <c r="G5446" s="18">
        <v>300</v>
      </c>
      <c r="H5446" t="s">
        <v>23</v>
      </c>
      <c r="I5446" t="s">
        <v>17</v>
      </c>
    </row>
    <row r="5447" spans="1:9" x14ac:dyDescent="0.25">
      <c r="A5447">
        <v>1815</v>
      </c>
      <c r="B5447">
        <f>A5447+1</f>
        <v>1816</v>
      </c>
      <c r="C5447" t="s">
        <v>521</v>
      </c>
      <c r="D5447" t="s">
        <v>26</v>
      </c>
      <c r="E5447" s="208" t="s">
        <v>388</v>
      </c>
      <c r="F5447" t="s">
        <v>11</v>
      </c>
      <c r="G5447" s="18">
        <v>2472</v>
      </c>
      <c r="H5447" t="s">
        <v>23</v>
      </c>
      <c r="I5447" t="s">
        <v>17</v>
      </c>
    </row>
    <row r="5448" spans="1:9" x14ac:dyDescent="0.25">
      <c r="A5448">
        <v>1815</v>
      </c>
      <c r="B5448">
        <f>A5448+1</f>
        <v>1816</v>
      </c>
      <c r="C5448" t="s">
        <v>521</v>
      </c>
      <c r="D5448" t="s">
        <v>26</v>
      </c>
      <c r="E5448" s="208" t="s">
        <v>85</v>
      </c>
      <c r="F5448" t="s">
        <v>11</v>
      </c>
      <c r="G5448" s="18">
        <v>185</v>
      </c>
      <c r="H5448" t="s">
        <v>23</v>
      </c>
      <c r="I5448" t="s">
        <v>17</v>
      </c>
    </row>
    <row r="5449" spans="1:9" x14ac:dyDescent="0.25">
      <c r="A5449">
        <v>1815</v>
      </c>
      <c r="B5449">
        <f>A5449+1</f>
        <v>1816</v>
      </c>
      <c r="C5449" t="s">
        <v>521</v>
      </c>
      <c r="D5449" t="s">
        <v>26</v>
      </c>
      <c r="E5449" s="208" t="s">
        <v>398</v>
      </c>
      <c r="F5449" t="s">
        <v>11</v>
      </c>
      <c r="G5449" s="18">
        <v>126</v>
      </c>
      <c r="H5449" t="s">
        <v>23</v>
      </c>
      <c r="I5449" t="s">
        <v>17</v>
      </c>
    </row>
    <row r="5450" spans="1:9" x14ac:dyDescent="0.25">
      <c r="A5450">
        <v>1815</v>
      </c>
      <c r="B5450">
        <f>A5450+1</f>
        <v>1816</v>
      </c>
      <c r="C5450" t="s">
        <v>521</v>
      </c>
      <c r="D5450" t="s">
        <v>26</v>
      </c>
      <c r="E5450" s="208" t="s">
        <v>65</v>
      </c>
      <c r="F5450" t="s">
        <v>11</v>
      </c>
      <c r="G5450" s="18">
        <v>0</v>
      </c>
      <c r="H5450" t="s">
        <v>23</v>
      </c>
      <c r="I5450" t="s">
        <v>17</v>
      </c>
    </row>
    <row r="5451" spans="1:9" x14ac:dyDescent="0.25">
      <c r="A5451">
        <v>1815</v>
      </c>
      <c r="B5451">
        <f>A5451+1</f>
        <v>1816</v>
      </c>
      <c r="C5451" t="s">
        <v>521</v>
      </c>
      <c r="D5451" t="s">
        <v>26</v>
      </c>
      <c r="E5451" s="208" t="s">
        <v>107</v>
      </c>
      <c r="F5451" t="s">
        <v>11</v>
      </c>
      <c r="G5451" s="18">
        <v>4895856</v>
      </c>
      <c r="H5451" t="s">
        <v>23</v>
      </c>
      <c r="I5451" t="s">
        <v>17</v>
      </c>
    </row>
    <row r="5452" spans="1:9" x14ac:dyDescent="0.25">
      <c r="A5452">
        <v>1815</v>
      </c>
      <c r="B5452">
        <f>A5452+1</f>
        <v>1816</v>
      </c>
      <c r="C5452" t="s">
        <v>521</v>
      </c>
      <c r="D5452" t="s">
        <v>26</v>
      </c>
      <c r="E5452" s="208" t="s">
        <v>101</v>
      </c>
      <c r="F5452" t="s">
        <v>11</v>
      </c>
      <c r="G5452" s="18">
        <v>3306965</v>
      </c>
      <c r="H5452" t="s">
        <v>23</v>
      </c>
      <c r="I5452" t="s">
        <v>17</v>
      </c>
    </row>
    <row r="5453" spans="1:9" x14ac:dyDescent="0.25">
      <c r="A5453">
        <v>1815</v>
      </c>
      <c r="B5453">
        <f>A5453+1</f>
        <v>1816</v>
      </c>
      <c r="C5453" t="s">
        <v>521</v>
      </c>
      <c r="D5453" t="s">
        <v>26</v>
      </c>
      <c r="E5453" s="208" t="s">
        <v>75</v>
      </c>
      <c r="F5453" t="s">
        <v>11</v>
      </c>
      <c r="G5453" s="18">
        <v>2172792</v>
      </c>
      <c r="H5453" t="s">
        <v>23</v>
      </c>
      <c r="I5453" t="s">
        <v>17</v>
      </c>
    </row>
    <row r="5454" spans="1:9" x14ac:dyDescent="0.25">
      <c r="A5454">
        <v>1815</v>
      </c>
      <c r="B5454">
        <f>A5454+1</f>
        <v>1816</v>
      </c>
      <c r="C5454" t="s">
        <v>521</v>
      </c>
      <c r="D5454" t="s">
        <v>26</v>
      </c>
      <c r="E5454" s="208" t="s">
        <v>330</v>
      </c>
      <c r="F5454" t="s">
        <v>11</v>
      </c>
      <c r="G5454" s="18">
        <v>8</v>
      </c>
      <c r="H5454" t="s">
        <v>23</v>
      </c>
      <c r="I5454" t="s">
        <v>17</v>
      </c>
    </row>
    <row r="5455" spans="1:9" x14ac:dyDescent="0.25">
      <c r="A5455">
        <v>1815</v>
      </c>
      <c r="B5455">
        <f>A5455+1</f>
        <v>1816</v>
      </c>
      <c r="C5455" t="s">
        <v>521</v>
      </c>
      <c r="D5455" t="s">
        <v>26</v>
      </c>
      <c r="E5455" s="208" t="s">
        <v>331</v>
      </c>
      <c r="F5455" t="s">
        <v>11</v>
      </c>
      <c r="G5455" s="18">
        <v>0</v>
      </c>
      <c r="H5455" t="s">
        <v>23</v>
      </c>
      <c r="I5455" t="s">
        <v>17</v>
      </c>
    </row>
    <row r="5456" spans="1:9" x14ac:dyDescent="0.25">
      <c r="A5456">
        <v>1815</v>
      </c>
      <c r="B5456">
        <f>A5456+1</f>
        <v>1816</v>
      </c>
      <c r="C5456" t="s">
        <v>521</v>
      </c>
      <c r="D5456" t="s">
        <v>26</v>
      </c>
      <c r="E5456" s="208" t="s">
        <v>332</v>
      </c>
      <c r="F5456" t="s">
        <v>11</v>
      </c>
      <c r="G5456" s="18">
        <v>0</v>
      </c>
      <c r="H5456" t="s">
        <v>23</v>
      </c>
      <c r="I5456" t="s">
        <v>17</v>
      </c>
    </row>
    <row r="5457" spans="1:9" x14ac:dyDescent="0.25">
      <c r="A5457">
        <v>1815</v>
      </c>
      <c r="B5457">
        <f>A5457+1</f>
        <v>1816</v>
      </c>
      <c r="C5457" t="s">
        <v>521</v>
      </c>
      <c r="D5457" t="s">
        <v>26</v>
      </c>
      <c r="E5457" s="208" t="s">
        <v>333</v>
      </c>
      <c r="F5457" t="s">
        <v>11</v>
      </c>
      <c r="G5457" s="18">
        <v>0</v>
      </c>
      <c r="H5457" t="s">
        <v>23</v>
      </c>
      <c r="I5457" t="s">
        <v>17</v>
      </c>
    </row>
    <row r="5458" spans="1:9" x14ac:dyDescent="0.25">
      <c r="A5458">
        <v>1815</v>
      </c>
      <c r="B5458">
        <f>A5458+1</f>
        <v>1816</v>
      </c>
      <c r="C5458" t="s">
        <v>521</v>
      </c>
      <c r="D5458" t="s">
        <v>27</v>
      </c>
      <c r="E5458" s="208" t="s">
        <v>155</v>
      </c>
      <c r="F5458" t="s">
        <v>14</v>
      </c>
      <c r="G5458" s="18">
        <v>74696</v>
      </c>
      <c r="H5458" t="s">
        <v>17</v>
      </c>
      <c r="I5458" s="151" t="s">
        <v>562</v>
      </c>
    </row>
    <row r="5459" spans="1:9" x14ac:dyDescent="0.25">
      <c r="A5459">
        <v>1815</v>
      </c>
      <c r="B5459">
        <f>A5459+1</f>
        <v>1816</v>
      </c>
      <c r="C5459" t="s">
        <v>521</v>
      </c>
      <c r="D5459" t="s">
        <v>27</v>
      </c>
      <c r="E5459" s="208" t="s">
        <v>156</v>
      </c>
      <c r="F5459" t="s">
        <v>14</v>
      </c>
      <c r="G5459" s="18">
        <v>7739</v>
      </c>
      <c r="H5459" t="s">
        <v>17</v>
      </c>
      <c r="I5459" s="151" t="s">
        <v>562</v>
      </c>
    </row>
    <row r="5460" spans="1:9" x14ac:dyDescent="0.25">
      <c r="A5460">
        <v>1815</v>
      </c>
      <c r="B5460">
        <f>A5460+1</f>
        <v>1816</v>
      </c>
      <c r="C5460" t="s">
        <v>521</v>
      </c>
      <c r="D5460" t="s">
        <v>27</v>
      </c>
      <c r="E5460" s="208" t="s">
        <v>154</v>
      </c>
      <c r="F5460" t="s">
        <v>14</v>
      </c>
      <c r="G5460" s="18">
        <v>941</v>
      </c>
      <c r="H5460" t="s">
        <v>17</v>
      </c>
      <c r="I5460" s="151" t="s">
        <v>562</v>
      </c>
    </row>
    <row r="5461" spans="1:9" x14ac:dyDescent="0.25">
      <c r="A5461">
        <v>1815</v>
      </c>
      <c r="B5461">
        <f>A5461+1</f>
        <v>1816</v>
      </c>
      <c r="C5461" t="s">
        <v>521</v>
      </c>
      <c r="D5461" t="s">
        <v>27</v>
      </c>
      <c r="E5461" s="208" t="s">
        <v>150</v>
      </c>
      <c r="F5461" t="s">
        <v>14</v>
      </c>
      <c r="G5461" s="18">
        <v>28367</v>
      </c>
      <c r="H5461" t="s">
        <v>17</v>
      </c>
      <c r="I5461" s="151" t="s">
        <v>562</v>
      </c>
    </row>
    <row r="5462" spans="1:9" x14ac:dyDescent="0.25">
      <c r="A5462">
        <v>1815</v>
      </c>
      <c r="B5462">
        <f>A5462+1</f>
        <v>1816</v>
      </c>
      <c r="C5462" t="s">
        <v>521</v>
      </c>
      <c r="D5462" t="s">
        <v>27</v>
      </c>
      <c r="E5462" s="208" t="s">
        <v>148</v>
      </c>
      <c r="F5462" t="s">
        <v>14</v>
      </c>
      <c r="G5462" s="18">
        <v>429</v>
      </c>
      <c r="H5462" t="s">
        <v>17</v>
      </c>
      <c r="I5462" s="151" t="s">
        <v>562</v>
      </c>
    </row>
    <row r="5463" spans="1:9" x14ac:dyDescent="0.25">
      <c r="A5463">
        <v>1815</v>
      </c>
      <c r="B5463">
        <f>A5463+1</f>
        <v>1816</v>
      </c>
      <c r="C5463" t="s">
        <v>521</v>
      </c>
      <c r="D5463" t="s">
        <v>27</v>
      </c>
      <c r="E5463" s="208" t="s">
        <v>147</v>
      </c>
      <c r="F5463" t="s">
        <v>14</v>
      </c>
      <c r="G5463" s="18">
        <v>0</v>
      </c>
      <c r="H5463" t="s">
        <v>17</v>
      </c>
      <c r="I5463" s="151" t="s">
        <v>562</v>
      </c>
    </row>
    <row r="5464" spans="1:9" x14ac:dyDescent="0.25">
      <c r="A5464">
        <v>1815</v>
      </c>
      <c r="B5464">
        <f>A5464+1</f>
        <v>1816</v>
      </c>
      <c r="C5464" t="s">
        <v>521</v>
      </c>
      <c r="D5464" t="s">
        <v>27</v>
      </c>
      <c r="E5464" s="208" t="s">
        <v>314</v>
      </c>
      <c r="F5464" t="s">
        <v>14</v>
      </c>
      <c r="G5464" s="18">
        <v>0</v>
      </c>
      <c r="H5464" t="s">
        <v>17</v>
      </c>
      <c r="I5464" s="151" t="s">
        <v>562</v>
      </c>
    </row>
    <row r="5465" spans="1:9" x14ac:dyDescent="0.25">
      <c r="A5465">
        <v>1815</v>
      </c>
      <c r="B5465">
        <f>A5465+1</f>
        <v>1816</v>
      </c>
      <c r="C5465" t="s">
        <v>521</v>
      </c>
      <c r="D5465" t="s">
        <v>27</v>
      </c>
      <c r="E5465" s="208" t="s">
        <v>139</v>
      </c>
      <c r="F5465" t="s">
        <v>14</v>
      </c>
      <c r="G5465" s="18">
        <v>144</v>
      </c>
      <c r="H5465" t="s">
        <v>17</v>
      </c>
      <c r="I5465" s="151" t="s">
        <v>562</v>
      </c>
    </row>
    <row r="5466" spans="1:9" x14ac:dyDescent="0.25">
      <c r="A5466">
        <v>1815</v>
      </c>
      <c r="B5466">
        <f>A5466+1</f>
        <v>1816</v>
      </c>
      <c r="C5466" t="s">
        <v>521</v>
      </c>
      <c r="D5466" t="s">
        <v>27</v>
      </c>
      <c r="E5466" s="208" t="s">
        <v>132</v>
      </c>
      <c r="F5466" t="s">
        <v>14</v>
      </c>
      <c r="G5466" s="18">
        <v>482</v>
      </c>
      <c r="H5466" t="s">
        <v>17</v>
      </c>
      <c r="I5466" s="151" t="s">
        <v>562</v>
      </c>
    </row>
    <row r="5467" spans="1:9" x14ac:dyDescent="0.25">
      <c r="A5467">
        <v>1815</v>
      </c>
      <c r="B5467">
        <f>A5467+1</f>
        <v>1816</v>
      </c>
      <c r="C5467" t="s">
        <v>521</v>
      </c>
      <c r="D5467" t="s">
        <v>27</v>
      </c>
      <c r="E5467" s="208" t="s">
        <v>130</v>
      </c>
      <c r="F5467" t="s">
        <v>14</v>
      </c>
      <c r="G5467" s="18">
        <v>773</v>
      </c>
      <c r="H5467" t="s">
        <v>17</v>
      </c>
      <c r="I5467" s="151" t="s">
        <v>562</v>
      </c>
    </row>
    <row r="5468" spans="1:9" x14ac:dyDescent="0.25">
      <c r="A5468">
        <v>1815</v>
      </c>
      <c r="B5468">
        <f>A5468+1</f>
        <v>1816</v>
      </c>
      <c r="C5468" t="s">
        <v>521</v>
      </c>
      <c r="D5468" t="s">
        <v>27</v>
      </c>
      <c r="E5468" s="208" t="s">
        <v>144</v>
      </c>
      <c r="F5468" t="s">
        <v>14</v>
      </c>
      <c r="G5468" s="18">
        <v>332</v>
      </c>
      <c r="H5468" t="s">
        <v>17</v>
      </c>
      <c r="I5468" s="151" t="s">
        <v>562</v>
      </c>
    </row>
    <row r="5469" spans="1:9" x14ac:dyDescent="0.25">
      <c r="A5469">
        <v>1815</v>
      </c>
      <c r="B5469">
        <f>A5469+1</f>
        <v>1816</v>
      </c>
      <c r="C5469" t="s">
        <v>521</v>
      </c>
      <c r="D5469" t="s">
        <v>27</v>
      </c>
      <c r="E5469" s="208" t="s">
        <v>142</v>
      </c>
      <c r="F5469" t="s">
        <v>14</v>
      </c>
      <c r="G5469" s="18">
        <v>23947</v>
      </c>
      <c r="H5469" t="s">
        <v>17</v>
      </c>
      <c r="I5469" s="151" t="s">
        <v>562</v>
      </c>
    </row>
    <row r="5470" spans="1:9" x14ac:dyDescent="0.25">
      <c r="A5470">
        <v>1815</v>
      </c>
      <c r="B5470">
        <f>A5470+1</f>
        <v>1816</v>
      </c>
      <c r="C5470" t="s">
        <v>521</v>
      </c>
      <c r="D5470" t="s">
        <v>27</v>
      </c>
      <c r="E5470" s="208" t="s">
        <v>124</v>
      </c>
      <c r="F5470" t="s">
        <v>14</v>
      </c>
      <c r="G5470" s="18">
        <v>7439920</v>
      </c>
      <c r="H5470" t="s">
        <v>17</v>
      </c>
      <c r="I5470" s="151" t="s">
        <v>562</v>
      </c>
    </row>
    <row r="5471" spans="1:9" x14ac:dyDescent="0.25">
      <c r="A5471">
        <v>1815</v>
      </c>
      <c r="B5471">
        <f>A5471+1</f>
        <v>1816</v>
      </c>
      <c r="C5471" t="s">
        <v>521</v>
      </c>
      <c r="D5471" t="s">
        <v>26</v>
      </c>
      <c r="E5471" s="208" t="s">
        <v>62</v>
      </c>
      <c r="F5471" t="s">
        <v>14</v>
      </c>
      <c r="G5471" s="18">
        <v>6274</v>
      </c>
      <c r="H5471" s="151" t="s">
        <v>563</v>
      </c>
      <c r="I5471" t="s">
        <v>17</v>
      </c>
    </row>
    <row r="5472" spans="1:9" x14ac:dyDescent="0.25">
      <c r="A5472">
        <v>1815</v>
      </c>
      <c r="B5472">
        <f>A5472+1</f>
        <v>1816</v>
      </c>
      <c r="C5472" t="s">
        <v>521</v>
      </c>
      <c r="D5472" t="s">
        <v>26</v>
      </c>
      <c r="E5472" s="208" t="s">
        <v>36</v>
      </c>
      <c r="F5472" t="s">
        <v>14</v>
      </c>
      <c r="G5472" s="18">
        <v>1178</v>
      </c>
      <c r="H5472" s="151" t="s">
        <v>563</v>
      </c>
      <c r="I5472" t="s">
        <v>17</v>
      </c>
    </row>
    <row r="5473" spans="1:9" x14ac:dyDescent="0.25">
      <c r="A5473">
        <v>1815</v>
      </c>
      <c r="B5473">
        <f>A5473+1</f>
        <v>1816</v>
      </c>
      <c r="C5473" t="s">
        <v>521</v>
      </c>
      <c r="D5473" t="s">
        <v>26</v>
      </c>
      <c r="E5473" s="208" t="s">
        <v>35</v>
      </c>
      <c r="F5473" t="s">
        <v>14</v>
      </c>
      <c r="G5473" s="18">
        <v>50</v>
      </c>
      <c r="H5473" s="151" t="s">
        <v>563</v>
      </c>
      <c r="I5473" t="s">
        <v>17</v>
      </c>
    </row>
    <row r="5474" spans="1:9" x14ac:dyDescent="0.25">
      <c r="A5474">
        <v>1815</v>
      </c>
      <c r="B5474">
        <f>A5474+1</f>
        <v>1816</v>
      </c>
      <c r="C5474" t="s">
        <v>521</v>
      </c>
      <c r="D5474" t="s">
        <v>26</v>
      </c>
      <c r="E5474" s="208" t="s">
        <v>39</v>
      </c>
      <c r="F5474" t="s">
        <v>14</v>
      </c>
      <c r="G5474" s="18">
        <v>1364</v>
      </c>
      <c r="H5474" s="151" t="s">
        <v>563</v>
      </c>
      <c r="I5474" t="s">
        <v>17</v>
      </c>
    </row>
    <row r="5475" spans="1:9" x14ac:dyDescent="0.25">
      <c r="A5475">
        <v>1815</v>
      </c>
      <c r="B5475">
        <f>A5475+1</f>
        <v>1816</v>
      </c>
      <c r="C5475" t="s">
        <v>521</v>
      </c>
      <c r="D5475" t="s">
        <v>26</v>
      </c>
      <c r="E5475" s="208" t="s">
        <v>99</v>
      </c>
      <c r="F5475" t="s">
        <v>14</v>
      </c>
      <c r="G5475" s="18">
        <v>930</v>
      </c>
      <c r="H5475" s="151" t="s">
        <v>563</v>
      </c>
      <c r="I5475" t="s">
        <v>17</v>
      </c>
    </row>
    <row r="5476" spans="1:9" x14ac:dyDescent="0.25">
      <c r="A5476">
        <v>1815</v>
      </c>
      <c r="B5476">
        <f>A5476+1</f>
        <v>1816</v>
      </c>
      <c r="C5476" t="s">
        <v>521</v>
      </c>
      <c r="D5476" t="s">
        <v>26</v>
      </c>
      <c r="E5476" s="208" t="s">
        <v>95</v>
      </c>
      <c r="F5476" t="s">
        <v>14</v>
      </c>
      <c r="G5476" s="18">
        <v>357</v>
      </c>
      <c r="H5476" s="151" t="s">
        <v>563</v>
      </c>
      <c r="I5476" t="s">
        <v>17</v>
      </c>
    </row>
    <row r="5477" spans="1:9" x14ac:dyDescent="0.25">
      <c r="A5477">
        <v>1815</v>
      </c>
      <c r="B5477">
        <f>A5477+1</f>
        <v>1816</v>
      </c>
      <c r="C5477" t="s">
        <v>521</v>
      </c>
      <c r="D5477" t="s">
        <v>26</v>
      </c>
      <c r="E5477" s="208" t="s">
        <v>94</v>
      </c>
      <c r="F5477" t="s">
        <v>14</v>
      </c>
      <c r="G5477" s="18">
        <v>0</v>
      </c>
      <c r="H5477" s="151" t="s">
        <v>563</v>
      </c>
      <c r="I5477" t="s">
        <v>17</v>
      </c>
    </row>
    <row r="5478" spans="1:9" x14ac:dyDescent="0.25">
      <c r="A5478">
        <v>1815</v>
      </c>
      <c r="B5478">
        <f>A5478+1</f>
        <v>1816</v>
      </c>
      <c r="C5478" t="s">
        <v>521</v>
      </c>
      <c r="D5478" t="s">
        <v>26</v>
      </c>
      <c r="E5478" s="208" t="s">
        <v>386</v>
      </c>
      <c r="F5478" t="s">
        <v>14</v>
      </c>
      <c r="G5478" s="18">
        <v>7878</v>
      </c>
      <c r="H5478" s="151" t="s">
        <v>563</v>
      </c>
      <c r="I5478" t="s">
        <v>17</v>
      </c>
    </row>
    <row r="5479" spans="1:9" x14ac:dyDescent="0.25">
      <c r="A5479">
        <v>1815</v>
      </c>
      <c r="B5479">
        <f>A5479+1</f>
        <v>1816</v>
      </c>
      <c r="C5479" t="s">
        <v>521</v>
      </c>
      <c r="D5479" t="s">
        <v>26</v>
      </c>
      <c r="E5479" s="208" t="s">
        <v>387</v>
      </c>
      <c r="F5479" t="s">
        <v>14</v>
      </c>
      <c r="G5479" s="18">
        <v>500</v>
      </c>
      <c r="H5479" s="151" t="s">
        <v>563</v>
      </c>
      <c r="I5479" t="s">
        <v>17</v>
      </c>
    </row>
    <row r="5480" spans="1:9" x14ac:dyDescent="0.25">
      <c r="A5480">
        <v>1815</v>
      </c>
      <c r="B5480">
        <f>A5480+1</f>
        <v>1816</v>
      </c>
      <c r="C5480" t="s">
        <v>521</v>
      </c>
      <c r="D5480" t="s">
        <v>26</v>
      </c>
      <c r="E5480" s="208" t="s">
        <v>388</v>
      </c>
      <c r="F5480" t="s">
        <v>14</v>
      </c>
      <c r="G5480" s="18">
        <v>2542</v>
      </c>
      <c r="H5480" s="151" t="s">
        <v>563</v>
      </c>
      <c r="I5480" t="s">
        <v>17</v>
      </c>
    </row>
    <row r="5481" spans="1:9" x14ac:dyDescent="0.25">
      <c r="A5481">
        <v>1815</v>
      </c>
      <c r="B5481">
        <f>A5481+1</f>
        <v>1816</v>
      </c>
      <c r="C5481" t="s">
        <v>521</v>
      </c>
      <c r="D5481" t="s">
        <v>26</v>
      </c>
      <c r="E5481" s="208" t="s">
        <v>85</v>
      </c>
      <c r="F5481" t="s">
        <v>14</v>
      </c>
      <c r="G5481" s="18">
        <v>185</v>
      </c>
      <c r="H5481" s="151" t="s">
        <v>563</v>
      </c>
      <c r="I5481" t="s">
        <v>17</v>
      </c>
    </row>
    <row r="5482" spans="1:9" x14ac:dyDescent="0.25">
      <c r="A5482">
        <v>1815</v>
      </c>
      <c r="B5482">
        <f>A5482+1</f>
        <v>1816</v>
      </c>
      <c r="C5482" t="s">
        <v>521</v>
      </c>
      <c r="D5482" t="s">
        <v>26</v>
      </c>
      <c r="E5482" s="208" t="s">
        <v>398</v>
      </c>
      <c r="F5482" t="s">
        <v>14</v>
      </c>
      <c r="G5482" s="18">
        <v>368</v>
      </c>
      <c r="H5482" s="151" t="s">
        <v>563</v>
      </c>
      <c r="I5482" t="s">
        <v>17</v>
      </c>
    </row>
    <row r="5483" spans="1:9" x14ac:dyDescent="0.25">
      <c r="A5483">
        <v>1815</v>
      </c>
      <c r="B5483">
        <f>A5483+1</f>
        <v>1816</v>
      </c>
      <c r="C5483" t="s">
        <v>521</v>
      </c>
      <c r="D5483" t="s">
        <v>26</v>
      </c>
      <c r="E5483" s="208" t="s">
        <v>65</v>
      </c>
      <c r="F5483" t="s">
        <v>14</v>
      </c>
      <c r="G5483" s="18">
        <v>25134</v>
      </c>
      <c r="H5483" s="151" t="s">
        <v>563</v>
      </c>
      <c r="I5483" t="s">
        <v>17</v>
      </c>
    </row>
    <row r="5484" spans="1:9" x14ac:dyDescent="0.25">
      <c r="A5484">
        <v>1815</v>
      </c>
      <c r="B5484">
        <f>A5484+1</f>
        <v>1816</v>
      </c>
      <c r="C5484" t="s">
        <v>521</v>
      </c>
      <c r="D5484" t="s">
        <v>26</v>
      </c>
      <c r="E5484" s="208" t="s">
        <v>107</v>
      </c>
      <c r="F5484" t="s">
        <v>14</v>
      </c>
      <c r="G5484" s="18">
        <v>5258680</v>
      </c>
      <c r="H5484" s="151" t="s">
        <v>563</v>
      </c>
      <c r="I5484" t="s">
        <v>17</v>
      </c>
    </row>
    <row r="5485" spans="1:9" x14ac:dyDescent="0.25">
      <c r="A5485">
        <v>1815</v>
      </c>
      <c r="B5485">
        <f>A5485+1</f>
        <v>1816</v>
      </c>
      <c r="C5485" t="s">
        <v>521</v>
      </c>
      <c r="D5485" t="s">
        <v>26</v>
      </c>
      <c r="E5485" s="208" t="s">
        <v>101</v>
      </c>
      <c r="F5485" t="s">
        <v>14</v>
      </c>
      <c r="G5485" s="18">
        <v>3510415</v>
      </c>
      <c r="H5485" s="151" t="s">
        <v>563</v>
      </c>
      <c r="I5485" t="s">
        <v>17</v>
      </c>
    </row>
    <row r="5486" spans="1:9" x14ac:dyDescent="0.25">
      <c r="A5486">
        <v>1815</v>
      </c>
      <c r="B5486">
        <f>A5486+1</f>
        <v>1816</v>
      </c>
      <c r="C5486" t="s">
        <v>521</v>
      </c>
      <c r="D5486" t="s">
        <v>26</v>
      </c>
      <c r="E5486" s="208" t="s">
        <v>75</v>
      </c>
      <c r="F5486" t="s">
        <v>14</v>
      </c>
      <c r="G5486" s="18">
        <v>2672621</v>
      </c>
      <c r="H5486" s="151" t="s">
        <v>563</v>
      </c>
      <c r="I5486" t="s">
        <v>17</v>
      </c>
    </row>
    <row r="5487" spans="1:9" x14ac:dyDescent="0.25">
      <c r="A5487">
        <v>1815</v>
      </c>
      <c r="B5487">
        <f>A5487+1</f>
        <v>1816</v>
      </c>
      <c r="C5487" t="s">
        <v>521</v>
      </c>
      <c r="D5487" t="s">
        <v>26</v>
      </c>
      <c r="E5487" s="208" t="s">
        <v>330</v>
      </c>
      <c r="F5487" t="s">
        <v>14</v>
      </c>
      <c r="G5487" s="18">
        <v>565</v>
      </c>
      <c r="H5487" s="151" t="s">
        <v>563</v>
      </c>
      <c r="I5487" t="s">
        <v>17</v>
      </c>
    </row>
    <row r="5488" spans="1:9" x14ac:dyDescent="0.25">
      <c r="A5488">
        <v>1815</v>
      </c>
      <c r="B5488">
        <f>A5488+1</f>
        <v>1816</v>
      </c>
      <c r="C5488" t="s">
        <v>521</v>
      </c>
      <c r="D5488" t="s">
        <v>26</v>
      </c>
      <c r="E5488" s="208" t="s">
        <v>331</v>
      </c>
      <c r="F5488" t="s">
        <v>14</v>
      </c>
      <c r="G5488" s="18">
        <v>1458</v>
      </c>
      <c r="H5488" s="151" t="s">
        <v>563</v>
      </c>
      <c r="I5488" t="s">
        <v>17</v>
      </c>
    </row>
    <row r="5489" spans="1:9" x14ac:dyDescent="0.25">
      <c r="A5489">
        <v>1815</v>
      </c>
      <c r="B5489">
        <f>A5489+1</f>
        <v>1816</v>
      </c>
      <c r="C5489" t="s">
        <v>521</v>
      </c>
      <c r="D5489" t="s">
        <v>26</v>
      </c>
      <c r="E5489" s="208" t="s">
        <v>332</v>
      </c>
      <c r="F5489" t="s">
        <v>14</v>
      </c>
      <c r="G5489" s="18">
        <v>63</v>
      </c>
      <c r="H5489" s="151" t="s">
        <v>563</v>
      </c>
      <c r="I5489" t="s">
        <v>17</v>
      </c>
    </row>
    <row r="5490" spans="1:9" x14ac:dyDescent="0.25">
      <c r="A5490">
        <v>1815</v>
      </c>
      <c r="B5490">
        <f>A5490+1</f>
        <v>1816</v>
      </c>
      <c r="C5490" t="s">
        <v>521</v>
      </c>
      <c r="D5490" t="s">
        <v>26</v>
      </c>
      <c r="E5490" s="208" t="s">
        <v>333</v>
      </c>
      <c r="F5490" t="s">
        <v>14</v>
      </c>
      <c r="G5490" s="18">
        <v>2047</v>
      </c>
      <c r="H5490" s="151" t="s">
        <v>563</v>
      </c>
      <c r="I5490" t="s">
        <v>17</v>
      </c>
    </row>
    <row r="5491" spans="1:9" x14ac:dyDescent="0.25">
      <c r="A5491">
        <v>1815</v>
      </c>
      <c r="B5491">
        <f>A5491+1</f>
        <v>1816</v>
      </c>
      <c r="C5491" t="s">
        <v>521</v>
      </c>
      <c r="D5491" t="s">
        <v>27</v>
      </c>
      <c r="E5491" s="208" t="s">
        <v>155</v>
      </c>
      <c r="F5491" t="s">
        <v>15</v>
      </c>
      <c r="G5491" s="18">
        <v>93881</v>
      </c>
      <c r="H5491" t="s">
        <v>561</v>
      </c>
      <c r="I5491" s="151" t="s">
        <v>562</v>
      </c>
    </row>
    <row r="5492" spans="1:9" x14ac:dyDescent="0.25">
      <c r="A5492">
        <v>1815</v>
      </c>
      <c r="B5492">
        <f>A5492+1</f>
        <v>1816</v>
      </c>
      <c r="C5492" t="s">
        <v>521</v>
      </c>
      <c r="D5492" t="s">
        <v>27</v>
      </c>
      <c r="E5492" s="208" t="s">
        <v>156</v>
      </c>
      <c r="F5492" t="s">
        <v>15</v>
      </c>
      <c r="G5492" s="18">
        <v>9332</v>
      </c>
      <c r="H5492" t="s">
        <v>561</v>
      </c>
      <c r="I5492" s="151" t="s">
        <v>562</v>
      </c>
    </row>
    <row r="5493" spans="1:9" x14ac:dyDescent="0.25">
      <c r="A5493">
        <v>1815</v>
      </c>
      <c r="B5493">
        <f>A5493+1</f>
        <v>1816</v>
      </c>
      <c r="C5493" t="s">
        <v>521</v>
      </c>
      <c r="D5493" t="s">
        <v>27</v>
      </c>
      <c r="E5493" s="208" t="s">
        <v>154</v>
      </c>
      <c r="F5493" t="s">
        <v>15</v>
      </c>
      <c r="G5493" s="18">
        <v>2256</v>
      </c>
      <c r="H5493" t="s">
        <v>561</v>
      </c>
      <c r="I5493" s="151" t="s">
        <v>562</v>
      </c>
    </row>
    <row r="5494" spans="1:9" x14ac:dyDescent="0.25">
      <c r="A5494">
        <v>1815</v>
      </c>
      <c r="B5494">
        <f>A5494+1</f>
        <v>1816</v>
      </c>
      <c r="C5494" t="s">
        <v>521</v>
      </c>
      <c r="D5494" t="s">
        <v>27</v>
      </c>
      <c r="E5494" s="208" t="s">
        <v>150</v>
      </c>
      <c r="F5494" t="s">
        <v>15</v>
      </c>
      <c r="G5494" s="18">
        <v>35736</v>
      </c>
      <c r="H5494" t="s">
        <v>561</v>
      </c>
      <c r="I5494" s="151" t="s">
        <v>562</v>
      </c>
    </row>
    <row r="5495" spans="1:9" x14ac:dyDescent="0.25">
      <c r="A5495">
        <v>1815</v>
      </c>
      <c r="B5495">
        <f>A5495+1</f>
        <v>1816</v>
      </c>
      <c r="C5495" t="s">
        <v>521</v>
      </c>
      <c r="D5495" t="s">
        <v>27</v>
      </c>
      <c r="E5495" s="208" t="s">
        <v>148</v>
      </c>
      <c r="F5495" t="s">
        <v>15</v>
      </c>
      <c r="G5495" s="18">
        <v>769</v>
      </c>
      <c r="H5495" t="s">
        <v>561</v>
      </c>
      <c r="I5495" s="151" t="s">
        <v>562</v>
      </c>
    </row>
    <row r="5496" spans="1:9" x14ac:dyDescent="0.25">
      <c r="A5496">
        <v>1815</v>
      </c>
      <c r="B5496">
        <f>A5496+1</f>
        <v>1816</v>
      </c>
      <c r="C5496" t="s">
        <v>521</v>
      </c>
      <c r="D5496" t="s">
        <v>27</v>
      </c>
      <c r="E5496" s="208" t="s">
        <v>147</v>
      </c>
      <c r="F5496" t="s">
        <v>15</v>
      </c>
      <c r="G5496" s="18">
        <v>281</v>
      </c>
      <c r="H5496" t="s">
        <v>561</v>
      </c>
      <c r="I5496" s="151" t="s">
        <v>562</v>
      </c>
    </row>
    <row r="5497" spans="1:9" x14ac:dyDescent="0.25">
      <c r="A5497">
        <v>1815</v>
      </c>
      <c r="B5497">
        <f>A5497+1</f>
        <v>1816</v>
      </c>
      <c r="C5497" t="s">
        <v>521</v>
      </c>
      <c r="D5497" t="s">
        <v>27</v>
      </c>
      <c r="E5497" s="208" t="s">
        <v>314</v>
      </c>
      <c r="F5497" t="s">
        <v>15</v>
      </c>
      <c r="G5497" s="18">
        <v>903</v>
      </c>
      <c r="H5497" t="s">
        <v>561</v>
      </c>
      <c r="I5497" s="151" t="s">
        <v>562</v>
      </c>
    </row>
    <row r="5498" spans="1:9" x14ac:dyDescent="0.25">
      <c r="A5498">
        <v>1815</v>
      </c>
      <c r="B5498">
        <f>A5498+1</f>
        <v>1816</v>
      </c>
      <c r="C5498" t="s">
        <v>521</v>
      </c>
      <c r="D5498" t="s">
        <v>27</v>
      </c>
      <c r="E5498" s="208" t="s">
        <v>139</v>
      </c>
      <c r="F5498" t="s">
        <v>15</v>
      </c>
      <c r="G5498" s="18">
        <v>166</v>
      </c>
      <c r="H5498" t="s">
        <v>561</v>
      </c>
      <c r="I5498" s="151" t="s">
        <v>562</v>
      </c>
    </row>
    <row r="5499" spans="1:9" x14ac:dyDescent="0.25">
      <c r="A5499">
        <v>1815</v>
      </c>
      <c r="B5499">
        <f>A5499+1</f>
        <v>1816</v>
      </c>
      <c r="C5499" t="s">
        <v>521</v>
      </c>
      <c r="D5499" t="s">
        <v>27</v>
      </c>
      <c r="E5499" s="208" t="s">
        <v>132</v>
      </c>
      <c r="F5499" t="s">
        <v>15</v>
      </c>
      <c r="G5499" s="18">
        <v>2354</v>
      </c>
      <c r="H5499" t="s">
        <v>561</v>
      </c>
      <c r="I5499" s="151" t="s">
        <v>562</v>
      </c>
    </row>
    <row r="5500" spans="1:9" x14ac:dyDescent="0.25">
      <c r="A5500">
        <v>1815</v>
      </c>
      <c r="B5500">
        <f>A5500+1</f>
        <v>1816</v>
      </c>
      <c r="C5500" t="s">
        <v>521</v>
      </c>
      <c r="D5500" t="s">
        <v>27</v>
      </c>
      <c r="E5500" s="208" t="s">
        <v>130</v>
      </c>
      <c r="F5500" t="s">
        <v>15</v>
      </c>
      <c r="G5500" s="18">
        <v>1118</v>
      </c>
      <c r="H5500" t="s">
        <v>561</v>
      </c>
      <c r="I5500" s="151" t="s">
        <v>562</v>
      </c>
    </row>
    <row r="5501" spans="1:9" x14ac:dyDescent="0.25">
      <c r="A5501">
        <v>1815</v>
      </c>
      <c r="B5501">
        <f>A5501+1</f>
        <v>1816</v>
      </c>
      <c r="C5501" t="s">
        <v>521</v>
      </c>
      <c r="D5501" t="s">
        <v>27</v>
      </c>
      <c r="E5501" s="208" t="s">
        <v>144</v>
      </c>
      <c r="F5501" t="s">
        <v>15</v>
      </c>
      <c r="G5501" s="18">
        <v>851</v>
      </c>
      <c r="H5501" t="s">
        <v>561</v>
      </c>
      <c r="I5501" s="151" t="s">
        <v>562</v>
      </c>
    </row>
    <row r="5502" spans="1:9" x14ac:dyDescent="0.25">
      <c r="A5502">
        <v>1815</v>
      </c>
      <c r="B5502">
        <f>A5502+1</f>
        <v>1816</v>
      </c>
      <c r="C5502" t="s">
        <v>521</v>
      </c>
      <c r="D5502" t="s">
        <v>27</v>
      </c>
      <c r="E5502" s="208" t="s">
        <v>142</v>
      </c>
      <c r="F5502" t="s">
        <v>15</v>
      </c>
      <c r="G5502" s="18">
        <v>28056</v>
      </c>
      <c r="H5502" t="s">
        <v>561</v>
      </c>
      <c r="I5502" s="151" t="s">
        <v>562</v>
      </c>
    </row>
    <row r="5503" spans="1:9" x14ac:dyDescent="0.25">
      <c r="A5503">
        <v>1815</v>
      </c>
      <c r="B5503">
        <f>A5503+1</f>
        <v>1816</v>
      </c>
      <c r="C5503" t="s">
        <v>521</v>
      </c>
      <c r="D5503" t="s">
        <v>27</v>
      </c>
      <c r="E5503" s="208" t="s">
        <v>124</v>
      </c>
      <c r="F5503" t="s">
        <v>15</v>
      </c>
      <c r="G5503" s="18">
        <v>17289393</v>
      </c>
      <c r="H5503" t="s">
        <v>561</v>
      </c>
      <c r="I5503" s="151" t="s">
        <v>562</v>
      </c>
    </row>
    <row r="5504" spans="1:9" x14ac:dyDescent="0.25">
      <c r="A5504">
        <v>1815</v>
      </c>
      <c r="B5504">
        <f>A5504+1</f>
        <v>1816</v>
      </c>
      <c r="C5504" t="s">
        <v>521</v>
      </c>
      <c r="D5504" t="s">
        <v>26</v>
      </c>
      <c r="E5504" s="208" t="s">
        <v>62</v>
      </c>
      <c r="F5504" t="s">
        <v>15</v>
      </c>
      <c r="G5504" s="18">
        <v>60947</v>
      </c>
      <c r="H5504" s="151" t="s">
        <v>563</v>
      </c>
      <c r="I5504" t="s">
        <v>561</v>
      </c>
    </row>
    <row r="5505" spans="1:9" x14ac:dyDescent="0.25">
      <c r="A5505">
        <v>1815</v>
      </c>
      <c r="B5505">
        <f>A5505+1</f>
        <v>1816</v>
      </c>
      <c r="C5505" t="s">
        <v>521</v>
      </c>
      <c r="D5505" t="s">
        <v>26</v>
      </c>
      <c r="E5505" s="208" t="s">
        <v>36</v>
      </c>
      <c r="F5505" t="s">
        <v>15</v>
      </c>
      <c r="G5505" s="18">
        <v>4875</v>
      </c>
      <c r="H5505" s="151" t="s">
        <v>563</v>
      </c>
      <c r="I5505" t="s">
        <v>561</v>
      </c>
    </row>
    <row r="5506" spans="1:9" x14ac:dyDescent="0.25">
      <c r="A5506">
        <v>1815</v>
      </c>
      <c r="B5506">
        <f>A5506+1</f>
        <v>1816</v>
      </c>
      <c r="C5506" t="s">
        <v>521</v>
      </c>
      <c r="D5506" t="s">
        <v>26</v>
      </c>
      <c r="E5506" s="208" t="s">
        <v>35</v>
      </c>
      <c r="F5506" t="s">
        <v>15</v>
      </c>
      <c r="G5506" s="18">
        <v>7485</v>
      </c>
      <c r="H5506" s="151" t="s">
        <v>563</v>
      </c>
      <c r="I5506" t="s">
        <v>561</v>
      </c>
    </row>
    <row r="5507" spans="1:9" x14ac:dyDescent="0.25">
      <c r="A5507">
        <v>1815</v>
      </c>
      <c r="B5507">
        <f>A5507+1</f>
        <v>1816</v>
      </c>
      <c r="C5507" t="s">
        <v>521</v>
      </c>
      <c r="D5507" t="s">
        <v>26</v>
      </c>
      <c r="E5507" s="208" t="s">
        <v>39</v>
      </c>
      <c r="F5507" t="s">
        <v>15</v>
      </c>
      <c r="G5507" s="18">
        <v>7198</v>
      </c>
      <c r="H5507" s="151" t="s">
        <v>563</v>
      </c>
      <c r="I5507" t="s">
        <v>561</v>
      </c>
    </row>
    <row r="5508" spans="1:9" x14ac:dyDescent="0.25">
      <c r="A5508">
        <v>1815</v>
      </c>
      <c r="B5508">
        <f>A5508+1</f>
        <v>1816</v>
      </c>
      <c r="C5508" t="s">
        <v>521</v>
      </c>
      <c r="D5508" t="s">
        <v>26</v>
      </c>
      <c r="E5508" s="208" t="s">
        <v>99</v>
      </c>
      <c r="F5508" t="s">
        <v>15</v>
      </c>
      <c r="G5508" s="18">
        <v>2942</v>
      </c>
      <c r="H5508" s="151" t="s">
        <v>563</v>
      </c>
      <c r="I5508" t="s">
        <v>561</v>
      </c>
    </row>
    <row r="5509" spans="1:9" x14ac:dyDescent="0.25">
      <c r="A5509">
        <v>1815</v>
      </c>
      <c r="B5509">
        <f>A5509+1</f>
        <v>1816</v>
      </c>
      <c r="C5509" t="s">
        <v>521</v>
      </c>
      <c r="D5509" t="s">
        <v>26</v>
      </c>
      <c r="E5509" s="208" t="s">
        <v>95</v>
      </c>
      <c r="F5509" t="s">
        <v>15</v>
      </c>
      <c r="G5509" s="18">
        <v>1740</v>
      </c>
      <c r="H5509" s="151" t="s">
        <v>563</v>
      </c>
      <c r="I5509" t="s">
        <v>561</v>
      </c>
    </row>
    <row r="5510" spans="1:9" x14ac:dyDescent="0.25">
      <c r="A5510">
        <v>1815</v>
      </c>
      <c r="B5510">
        <f>A5510+1</f>
        <v>1816</v>
      </c>
      <c r="C5510" t="s">
        <v>521</v>
      </c>
      <c r="D5510" t="s">
        <v>26</v>
      </c>
      <c r="E5510" s="208" t="s">
        <v>94</v>
      </c>
      <c r="F5510" t="s">
        <v>15</v>
      </c>
      <c r="G5510" s="18">
        <v>2849</v>
      </c>
      <c r="H5510" s="151" t="s">
        <v>563</v>
      </c>
      <c r="I5510" t="s">
        <v>561</v>
      </c>
    </row>
    <row r="5511" spans="1:9" x14ac:dyDescent="0.25">
      <c r="A5511">
        <v>1815</v>
      </c>
      <c r="B5511">
        <f>A5511+1</f>
        <v>1816</v>
      </c>
      <c r="C5511" t="s">
        <v>521</v>
      </c>
      <c r="D5511" t="s">
        <v>26</v>
      </c>
      <c r="E5511" s="208" t="s">
        <v>386</v>
      </c>
      <c r="F5511" t="s">
        <v>15</v>
      </c>
      <c r="G5511" s="18">
        <v>52190</v>
      </c>
      <c r="H5511" s="151" t="s">
        <v>563</v>
      </c>
      <c r="I5511" t="s">
        <v>561</v>
      </c>
    </row>
    <row r="5512" spans="1:9" x14ac:dyDescent="0.25">
      <c r="A5512">
        <v>1815</v>
      </c>
      <c r="B5512">
        <f>A5512+1</f>
        <v>1816</v>
      </c>
      <c r="C5512" t="s">
        <v>521</v>
      </c>
      <c r="D5512" t="s">
        <v>26</v>
      </c>
      <c r="E5512" s="208" t="s">
        <v>387</v>
      </c>
      <c r="F5512" t="s">
        <v>15</v>
      </c>
      <c r="G5512" s="18">
        <v>1578</v>
      </c>
      <c r="H5512" s="151" t="s">
        <v>563</v>
      </c>
      <c r="I5512" t="s">
        <v>561</v>
      </c>
    </row>
    <row r="5513" spans="1:9" x14ac:dyDescent="0.25">
      <c r="A5513">
        <v>1815</v>
      </c>
      <c r="B5513">
        <f>A5513+1</f>
        <v>1816</v>
      </c>
      <c r="C5513" t="s">
        <v>521</v>
      </c>
      <c r="D5513" t="s">
        <v>26</v>
      </c>
      <c r="E5513" s="208" t="s">
        <v>388</v>
      </c>
      <c r="F5513" t="s">
        <v>15</v>
      </c>
      <c r="G5513" s="18">
        <v>16043</v>
      </c>
      <c r="H5513" s="151" t="s">
        <v>563</v>
      </c>
      <c r="I5513" t="s">
        <v>561</v>
      </c>
    </row>
    <row r="5514" spans="1:9" x14ac:dyDescent="0.25">
      <c r="A5514">
        <v>1815</v>
      </c>
      <c r="B5514">
        <f>A5514+1</f>
        <v>1816</v>
      </c>
      <c r="C5514" t="s">
        <v>521</v>
      </c>
      <c r="D5514" t="s">
        <v>26</v>
      </c>
      <c r="E5514" s="208" t="s">
        <v>85</v>
      </c>
      <c r="F5514" t="s">
        <v>15</v>
      </c>
      <c r="G5514" s="18">
        <v>497</v>
      </c>
      <c r="H5514" s="151" t="s">
        <v>563</v>
      </c>
      <c r="I5514" t="s">
        <v>561</v>
      </c>
    </row>
    <row r="5515" spans="1:9" x14ac:dyDescent="0.25">
      <c r="A5515">
        <v>1815</v>
      </c>
      <c r="B5515">
        <f>A5515+1</f>
        <v>1816</v>
      </c>
      <c r="C5515" t="s">
        <v>521</v>
      </c>
      <c r="D5515" t="s">
        <v>26</v>
      </c>
      <c r="E5515" s="208" t="s">
        <v>398</v>
      </c>
      <c r="F5515" t="s">
        <v>15</v>
      </c>
      <c r="G5515" s="18">
        <v>800</v>
      </c>
      <c r="H5515" s="151" t="s">
        <v>563</v>
      </c>
      <c r="I5515" t="s">
        <v>561</v>
      </c>
    </row>
    <row r="5516" spans="1:9" x14ac:dyDescent="0.25">
      <c r="A5516">
        <v>1815</v>
      </c>
      <c r="B5516">
        <f>A5516+1</f>
        <v>1816</v>
      </c>
      <c r="C5516" t="s">
        <v>521</v>
      </c>
      <c r="D5516" t="s">
        <v>26</v>
      </c>
      <c r="E5516" s="208" t="s">
        <v>65</v>
      </c>
      <c r="F5516" t="s">
        <v>15</v>
      </c>
      <c r="G5516" s="18">
        <v>40204</v>
      </c>
      <c r="H5516" s="151" t="s">
        <v>563</v>
      </c>
      <c r="I5516" t="s">
        <v>561</v>
      </c>
    </row>
    <row r="5517" spans="1:9" x14ac:dyDescent="0.25">
      <c r="A5517">
        <v>1815</v>
      </c>
      <c r="B5517">
        <f>A5517+1</f>
        <v>1816</v>
      </c>
      <c r="C5517" t="s">
        <v>521</v>
      </c>
      <c r="D5517" t="s">
        <v>26</v>
      </c>
      <c r="E5517" s="208" t="s">
        <v>107</v>
      </c>
      <c r="F5517" t="s">
        <v>15</v>
      </c>
      <c r="G5517" s="18">
        <v>9375943</v>
      </c>
      <c r="H5517" s="151" t="s">
        <v>563</v>
      </c>
      <c r="I5517" t="s">
        <v>561</v>
      </c>
    </row>
    <row r="5518" spans="1:9" x14ac:dyDescent="0.25">
      <c r="A5518">
        <v>1815</v>
      </c>
      <c r="B5518">
        <f>A5518+1</f>
        <v>1816</v>
      </c>
      <c r="C5518" t="s">
        <v>521</v>
      </c>
      <c r="D5518" t="s">
        <v>26</v>
      </c>
      <c r="E5518" s="208" t="s">
        <v>101</v>
      </c>
      <c r="F5518" t="s">
        <v>15</v>
      </c>
      <c r="G5518" s="18">
        <v>10071830</v>
      </c>
      <c r="H5518" s="151" t="s">
        <v>563</v>
      </c>
      <c r="I5518" t="s">
        <v>561</v>
      </c>
    </row>
    <row r="5519" spans="1:9" x14ac:dyDescent="0.25">
      <c r="A5519">
        <v>1815</v>
      </c>
      <c r="B5519">
        <f>A5519+1</f>
        <v>1816</v>
      </c>
      <c r="C5519" t="s">
        <v>521</v>
      </c>
      <c r="D5519" t="s">
        <v>26</v>
      </c>
      <c r="E5519" s="208" t="s">
        <v>75</v>
      </c>
      <c r="F5519" t="s">
        <v>15</v>
      </c>
      <c r="G5519" s="18">
        <v>9192775</v>
      </c>
      <c r="H5519" s="151" t="s">
        <v>563</v>
      </c>
      <c r="I5519" t="s">
        <v>561</v>
      </c>
    </row>
    <row r="5520" spans="1:9" x14ac:dyDescent="0.25">
      <c r="A5520">
        <v>1815</v>
      </c>
      <c r="B5520">
        <f>A5520+1</f>
        <v>1816</v>
      </c>
      <c r="C5520" t="s">
        <v>521</v>
      </c>
      <c r="D5520" t="s">
        <v>26</v>
      </c>
      <c r="E5520" s="208" t="s">
        <v>330</v>
      </c>
      <c r="F5520" t="s">
        <v>15</v>
      </c>
      <c r="G5520" s="18">
        <v>2035</v>
      </c>
      <c r="H5520" s="151" t="s">
        <v>563</v>
      </c>
      <c r="I5520" t="s">
        <v>561</v>
      </c>
    </row>
    <row r="5521" spans="1:9" x14ac:dyDescent="0.25">
      <c r="A5521">
        <v>1815</v>
      </c>
      <c r="B5521">
        <f>A5521+1</f>
        <v>1816</v>
      </c>
      <c r="C5521" t="s">
        <v>521</v>
      </c>
      <c r="D5521" t="s">
        <v>26</v>
      </c>
      <c r="E5521" s="208" t="s">
        <v>331</v>
      </c>
      <c r="F5521" t="s">
        <v>15</v>
      </c>
      <c r="G5521" s="18">
        <v>6211</v>
      </c>
      <c r="H5521" s="151" t="s">
        <v>563</v>
      </c>
      <c r="I5521" t="s">
        <v>561</v>
      </c>
    </row>
    <row r="5522" spans="1:9" x14ac:dyDescent="0.25">
      <c r="A5522">
        <v>1815</v>
      </c>
      <c r="B5522">
        <f>A5522+1</f>
        <v>1816</v>
      </c>
      <c r="C5522" t="s">
        <v>521</v>
      </c>
      <c r="D5522" t="s">
        <v>26</v>
      </c>
      <c r="E5522" s="208" t="s">
        <v>332</v>
      </c>
      <c r="F5522" t="s">
        <v>15</v>
      </c>
      <c r="G5522" s="18">
        <v>501</v>
      </c>
      <c r="H5522" s="151" t="s">
        <v>563</v>
      </c>
      <c r="I5522" t="s">
        <v>561</v>
      </c>
    </row>
    <row r="5523" spans="1:9" x14ac:dyDescent="0.25">
      <c r="A5523">
        <v>1815</v>
      </c>
      <c r="B5523">
        <f>A5523+1</f>
        <v>1816</v>
      </c>
      <c r="C5523" t="s">
        <v>521</v>
      </c>
      <c r="D5523" t="s">
        <v>26</v>
      </c>
      <c r="E5523" s="208" t="s">
        <v>333</v>
      </c>
      <c r="F5523" t="s">
        <v>15</v>
      </c>
      <c r="G5523" s="18">
        <v>5675</v>
      </c>
      <c r="H5523" s="151" t="s">
        <v>563</v>
      </c>
      <c r="I5523" t="s">
        <v>561</v>
      </c>
    </row>
    <row r="5524" spans="1:9" x14ac:dyDescent="0.25">
      <c r="A5524">
        <v>1815</v>
      </c>
      <c r="B5524">
        <f>A5524+1</f>
        <v>1816</v>
      </c>
      <c r="C5524" t="s">
        <v>521</v>
      </c>
      <c r="D5524" t="s">
        <v>26</v>
      </c>
      <c r="E5524" s="208" t="s">
        <v>567</v>
      </c>
      <c r="F5524" t="s">
        <v>3</v>
      </c>
      <c r="G5524" s="18">
        <v>14654</v>
      </c>
      <c r="H5524" t="s">
        <v>24</v>
      </c>
      <c r="I5524" t="s">
        <v>16</v>
      </c>
    </row>
    <row r="5525" spans="1:9" x14ac:dyDescent="0.25">
      <c r="A5525">
        <v>1815</v>
      </c>
      <c r="B5525">
        <f>A5525+1</f>
        <v>1816</v>
      </c>
      <c r="C5525" t="s">
        <v>521</v>
      </c>
      <c r="D5525" t="s">
        <v>26</v>
      </c>
      <c r="E5525" s="208" t="s">
        <v>567</v>
      </c>
      <c r="F5525" t="s">
        <v>169</v>
      </c>
      <c r="G5525" s="18">
        <v>0</v>
      </c>
      <c r="H5525" t="s">
        <v>160</v>
      </c>
      <c r="I5525" t="s">
        <v>16</v>
      </c>
    </row>
    <row r="5526" spans="1:9" x14ac:dyDescent="0.25">
      <c r="A5526">
        <v>1815</v>
      </c>
      <c r="B5526">
        <f>A5526+1</f>
        <v>1816</v>
      </c>
      <c r="C5526" t="s">
        <v>521</v>
      </c>
      <c r="D5526" t="s">
        <v>26</v>
      </c>
      <c r="E5526" s="208" t="s">
        <v>567</v>
      </c>
      <c r="F5526" t="s">
        <v>6</v>
      </c>
      <c r="G5526" s="18">
        <v>0</v>
      </c>
      <c r="H5526" t="s">
        <v>25</v>
      </c>
      <c r="I5526" t="s">
        <v>16</v>
      </c>
    </row>
    <row r="5527" spans="1:9" x14ac:dyDescent="0.25">
      <c r="A5527">
        <v>1815</v>
      </c>
      <c r="B5527">
        <f>A5527+1</f>
        <v>1816</v>
      </c>
      <c r="C5527" t="s">
        <v>521</v>
      </c>
      <c r="D5527" t="s">
        <v>26</v>
      </c>
      <c r="E5527" s="208" t="s">
        <v>567</v>
      </c>
      <c r="F5527" t="s">
        <v>4</v>
      </c>
      <c r="G5527" s="18">
        <v>0</v>
      </c>
      <c r="H5527" t="s">
        <v>23</v>
      </c>
      <c r="I5527" t="s">
        <v>16</v>
      </c>
    </row>
    <row r="5528" spans="1:9" x14ac:dyDescent="0.25">
      <c r="A5528">
        <v>1815</v>
      </c>
      <c r="B5528">
        <f>A5528+1</f>
        <v>1816</v>
      </c>
      <c r="C5528" t="s">
        <v>521</v>
      </c>
      <c r="D5528" t="s">
        <v>26</v>
      </c>
      <c r="E5528" s="208" t="s">
        <v>567</v>
      </c>
      <c r="F5528" t="s">
        <v>7</v>
      </c>
      <c r="G5528" s="18">
        <v>14654</v>
      </c>
      <c r="H5528" s="151" t="s">
        <v>563</v>
      </c>
      <c r="I5528" t="s">
        <v>16</v>
      </c>
    </row>
    <row r="5529" spans="1:9" x14ac:dyDescent="0.25">
      <c r="A5529">
        <v>1815</v>
      </c>
      <c r="B5529">
        <f>A5529+1</f>
        <v>1816</v>
      </c>
      <c r="C5529" t="s">
        <v>521</v>
      </c>
      <c r="D5529" t="s">
        <v>26</v>
      </c>
      <c r="E5529" s="208" t="s">
        <v>567</v>
      </c>
      <c r="F5529" t="s">
        <v>10</v>
      </c>
      <c r="G5529" s="18">
        <v>4516</v>
      </c>
      <c r="H5529" t="s">
        <v>24</v>
      </c>
      <c r="I5529" t="s">
        <v>17</v>
      </c>
    </row>
    <row r="5530" spans="1:9" x14ac:dyDescent="0.25">
      <c r="A5530">
        <v>1815</v>
      </c>
      <c r="B5530">
        <f>A5530+1</f>
        <v>1816</v>
      </c>
      <c r="C5530" t="s">
        <v>521</v>
      </c>
      <c r="D5530" t="s">
        <v>26</v>
      </c>
      <c r="E5530" s="208" t="s">
        <v>567</v>
      </c>
      <c r="F5530" t="s">
        <v>13</v>
      </c>
      <c r="G5530" s="18">
        <v>0</v>
      </c>
      <c r="H5530" t="s">
        <v>25</v>
      </c>
      <c r="I5530" t="s">
        <v>17</v>
      </c>
    </row>
    <row r="5531" spans="1:9" x14ac:dyDescent="0.25">
      <c r="A5531">
        <v>1815</v>
      </c>
      <c r="B5531">
        <f>A5531+1</f>
        <v>1816</v>
      </c>
      <c r="C5531" t="s">
        <v>521</v>
      </c>
      <c r="D5531" t="s">
        <v>26</v>
      </c>
      <c r="E5531" s="208" t="s">
        <v>567</v>
      </c>
      <c r="F5531" t="s">
        <v>11</v>
      </c>
      <c r="G5531" s="18">
        <v>0</v>
      </c>
      <c r="H5531" t="s">
        <v>23</v>
      </c>
      <c r="I5531" t="s">
        <v>17</v>
      </c>
    </row>
    <row r="5532" spans="1:9" x14ac:dyDescent="0.25">
      <c r="A5532">
        <v>1815</v>
      </c>
      <c r="B5532">
        <f>A5532+1</f>
        <v>1816</v>
      </c>
      <c r="C5532" t="s">
        <v>521</v>
      </c>
      <c r="D5532" t="s">
        <v>26</v>
      </c>
      <c r="E5532" s="208" t="s">
        <v>567</v>
      </c>
      <c r="F5532" t="s">
        <v>14</v>
      </c>
      <c r="G5532" s="18">
        <v>4516</v>
      </c>
      <c r="H5532" s="151" t="s">
        <v>563</v>
      </c>
      <c r="I5532" t="s">
        <v>17</v>
      </c>
    </row>
    <row r="5533" spans="1:9" x14ac:dyDescent="0.25">
      <c r="A5533">
        <v>1815</v>
      </c>
      <c r="B5533">
        <f>A5533+1</f>
        <v>1816</v>
      </c>
      <c r="C5533" t="s">
        <v>521</v>
      </c>
      <c r="D5533" t="s">
        <v>26</v>
      </c>
      <c r="E5533" s="208" t="s">
        <v>567</v>
      </c>
      <c r="F5533" t="s">
        <v>15</v>
      </c>
      <c r="G5533" s="18">
        <v>19170</v>
      </c>
      <c r="H5533" s="151" t="s">
        <v>563</v>
      </c>
      <c r="I5533" t="s">
        <v>561</v>
      </c>
    </row>
    <row r="5534" spans="1:9" x14ac:dyDescent="0.25">
      <c r="A5534">
        <v>1815</v>
      </c>
      <c r="B5534">
        <f>A5534+1</f>
        <v>1816</v>
      </c>
      <c r="C5534" t="s">
        <v>521</v>
      </c>
      <c r="D5534" t="s">
        <v>26</v>
      </c>
      <c r="E5534" s="208" t="s">
        <v>569</v>
      </c>
      <c r="F5534" t="s">
        <v>3</v>
      </c>
      <c r="G5534" s="18">
        <v>773</v>
      </c>
      <c r="H5534" t="s">
        <v>24</v>
      </c>
      <c r="I5534" t="s">
        <v>16</v>
      </c>
    </row>
    <row r="5535" spans="1:9" x14ac:dyDescent="0.25">
      <c r="A5535">
        <v>1815</v>
      </c>
      <c r="B5535">
        <f>A5535+1</f>
        <v>1816</v>
      </c>
      <c r="C5535" t="s">
        <v>521</v>
      </c>
      <c r="D5535" t="s">
        <v>26</v>
      </c>
      <c r="E5535" s="208" t="s">
        <v>569</v>
      </c>
      <c r="F5535" t="s">
        <v>169</v>
      </c>
      <c r="G5535" s="18">
        <v>0</v>
      </c>
      <c r="H5535" t="s">
        <v>160</v>
      </c>
      <c r="I5535" t="s">
        <v>16</v>
      </c>
    </row>
    <row r="5536" spans="1:9" x14ac:dyDescent="0.25">
      <c r="A5536">
        <v>1815</v>
      </c>
      <c r="B5536">
        <f>A5536+1</f>
        <v>1816</v>
      </c>
      <c r="C5536" t="s">
        <v>521</v>
      </c>
      <c r="D5536" t="s">
        <v>26</v>
      </c>
      <c r="E5536" s="208" t="s">
        <v>569</v>
      </c>
      <c r="F5536" t="s">
        <v>6</v>
      </c>
      <c r="G5536" s="18">
        <v>0</v>
      </c>
      <c r="H5536" t="s">
        <v>25</v>
      </c>
      <c r="I5536" t="s">
        <v>16</v>
      </c>
    </row>
    <row r="5537" spans="1:9" x14ac:dyDescent="0.25">
      <c r="A5537">
        <v>1815</v>
      </c>
      <c r="B5537">
        <f>A5537+1</f>
        <v>1816</v>
      </c>
      <c r="C5537" t="s">
        <v>521</v>
      </c>
      <c r="D5537" t="s">
        <v>26</v>
      </c>
      <c r="E5537" s="208" t="s">
        <v>569</v>
      </c>
      <c r="F5537" t="s">
        <v>4</v>
      </c>
      <c r="G5537" s="18">
        <v>0</v>
      </c>
      <c r="H5537" t="s">
        <v>23</v>
      </c>
      <c r="I5537" t="s">
        <v>16</v>
      </c>
    </row>
    <row r="5538" spans="1:9" x14ac:dyDescent="0.25">
      <c r="A5538">
        <v>1815</v>
      </c>
      <c r="B5538">
        <f>A5538+1</f>
        <v>1816</v>
      </c>
      <c r="C5538" t="s">
        <v>521</v>
      </c>
      <c r="D5538" t="s">
        <v>26</v>
      </c>
      <c r="E5538" s="208" t="s">
        <v>569</v>
      </c>
      <c r="F5538" t="s">
        <v>7</v>
      </c>
      <c r="G5538" s="18">
        <v>773</v>
      </c>
      <c r="H5538" s="151" t="s">
        <v>563</v>
      </c>
      <c r="I5538" t="s">
        <v>16</v>
      </c>
    </row>
    <row r="5539" spans="1:9" x14ac:dyDescent="0.25">
      <c r="A5539">
        <v>1815</v>
      </c>
      <c r="B5539">
        <f>A5539+1</f>
        <v>1816</v>
      </c>
      <c r="C5539" t="s">
        <v>521</v>
      </c>
      <c r="D5539" t="s">
        <v>26</v>
      </c>
      <c r="E5539" s="208" t="s">
        <v>569</v>
      </c>
      <c r="F5539" t="s">
        <v>10</v>
      </c>
      <c r="G5539" s="18">
        <v>218</v>
      </c>
      <c r="H5539" t="s">
        <v>24</v>
      </c>
      <c r="I5539" t="s">
        <v>17</v>
      </c>
    </row>
    <row r="5540" spans="1:9" x14ac:dyDescent="0.25">
      <c r="A5540">
        <v>1815</v>
      </c>
      <c r="B5540">
        <f>A5540+1</f>
        <v>1816</v>
      </c>
      <c r="C5540" t="s">
        <v>521</v>
      </c>
      <c r="D5540" t="s">
        <v>26</v>
      </c>
      <c r="E5540" s="208" t="s">
        <v>569</v>
      </c>
      <c r="F5540" t="s">
        <v>13</v>
      </c>
      <c r="G5540" s="18">
        <v>0</v>
      </c>
      <c r="H5540" t="s">
        <v>25</v>
      </c>
      <c r="I5540" t="s">
        <v>17</v>
      </c>
    </row>
    <row r="5541" spans="1:9" x14ac:dyDescent="0.25">
      <c r="A5541">
        <v>1815</v>
      </c>
      <c r="B5541">
        <f>A5541+1</f>
        <v>1816</v>
      </c>
      <c r="C5541" t="s">
        <v>521</v>
      </c>
      <c r="D5541" t="s">
        <v>26</v>
      </c>
      <c r="E5541" s="208" t="s">
        <v>569</v>
      </c>
      <c r="F5541" t="s">
        <v>11</v>
      </c>
      <c r="G5541" s="18">
        <v>0</v>
      </c>
      <c r="H5541" t="s">
        <v>23</v>
      </c>
      <c r="I5541" t="s">
        <v>17</v>
      </c>
    </row>
    <row r="5542" spans="1:9" x14ac:dyDescent="0.25">
      <c r="A5542">
        <v>1815</v>
      </c>
      <c r="B5542">
        <f>A5542+1</f>
        <v>1816</v>
      </c>
      <c r="C5542" t="s">
        <v>521</v>
      </c>
      <c r="D5542" t="s">
        <v>26</v>
      </c>
      <c r="E5542" s="208" t="s">
        <v>569</v>
      </c>
      <c r="F5542" t="s">
        <v>14</v>
      </c>
      <c r="G5542" s="18">
        <v>218</v>
      </c>
      <c r="H5542" s="151" t="s">
        <v>563</v>
      </c>
      <c r="I5542" t="s">
        <v>17</v>
      </c>
    </row>
    <row r="5543" spans="1:9" x14ac:dyDescent="0.25">
      <c r="A5543">
        <v>1815</v>
      </c>
      <c r="B5543">
        <f>A5543+1</f>
        <v>1816</v>
      </c>
      <c r="C5543" t="s">
        <v>521</v>
      </c>
      <c r="D5543" t="s">
        <v>26</v>
      </c>
      <c r="E5543" s="208" t="s">
        <v>569</v>
      </c>
      <c r="F5543" t="s">
        <v>15</v>
      </c>
      <c r="G5543" s="18">
        <v>991</v>
      </c>
      <c r="H5543" s="151" t="s">
        <v>563</v>
      </c>
      <c r="I5543" t="s">
        <v>561</v>
      </c>
    </row>
    <row r="5544" spans="1:9" x14ac:dyDescent="0.25">
      <c r="A5544">
        <v>1815</v>
      </c>
      <c r="B5544">
        <f>A5544+1</f>
        <v>1816</v>
      </c>
      <c r="C5544" t="s">
        <v>521</v>
      </c>
      <c r="D5544" t="s">
        <v>26</v>
      </c>
      <c r="E5544" s="208" t="s">
        <v>566</v>
      </c>
      <c r="F5544" t="s">
        <v>3</v>
      </c>
      <c r="G5544" s="18">
        <v>499</v>
      </c>
      <c r="H5544" t="s">
        <v>24</v>
      </c>
      <c r="I5544" t="s">
        <v>16</v>
      </c>
    </row>
    <row r="5545" spans="1:9" x14ac:dyDescent="0.25">
      <c r="A5545">
        <v>1815</v>
      </c>
      <c r="B5545">
        <f>A5545+1</f>
        <v>1816</v>
      </c>
      <c r="C5545" t="s">
        <v>521</v>
      </c>
      <c r="D5545" t="s">
        <v>26</v>
      </c>
      <c r="E5545" s="208" t="s">
        <v>566</v>
      </c>
      <c r="F5545" t="s">
        <v>169</v>
      </c>
      <c r="G5545" s="18">
        <v>0</v>
      </c>
      <c r="H5545" t="s">
        <v>160</v>
      </c>
      <c r="I5545" t="s">
        <v>16</v>
      </c>
    </row>
    <row r="5546" spans="1:9" x14ac:dyDescent="0.25">
      <c r="A5546">
        <v>1815</v>
      </c>
      <c r="B5546">
        <f>A5546+1</f>
        <v>1816</v>
      </c>
      <c r="C5546" t="s">
        <v>521</v>
      </c>
      <c r="D5546" t="s">
        <v>26</v>
      </c>
      <c r="E5546" s="208" t="s">
        <v>566</v>
      </c>
      <c r="F5546" t="s">
        <v>6</v>
      </c>
      <c r="G5546" s="18">
        <v>0</v>
      </c>
      <c r="H5546" t="s">
        <v>25</v>
      </c>
      <c r="I5546" t="s">
        <v>16</v>
      </c>
    </row>
    <row r="5547" spans="1:9" x14ac:dyDescent="0.25">
      <c r="A5547">
        <v>1815</v>
      </c>
      <c r="B5547">
        <f>A5547+1</f>
        <v>1816</v>
      </c>
      <c r="C5547" t="s">
        <v>521</v>
      </c>
      <c r="D5547" t="s">
        <v>26</v>
      </c>
      <c r="E5547" s="208" t="s">
        <v>566</v>
      </c>
      <c r="F5547" t="s">
        <v>4</v>
      </c>
      <c r="G5547" s="18">
        <v>0</v>
      </c>
      <c r="H5547" t="s">
        <v>23</v>
      </c>
      <c r="I5547" t="s">
        <v>16</v>
      </c>
    </row>
    <row r="5548" spans="1:9" x14ac:dyDescent="0.25">
      <c r="A5548">
        <v>1815</v>
      </c>
      <c r="B5548">
        <f>A5548+1</f>
        <v>1816</v>
      </c>
      <c r="C5548" t="s">
        <v>521</v>
      </c>
      <c r="D5548" t="s">
        <v>26</v>
      </c>
      <c r="E5548" s="208" t="s">
        <v>566</v>
      </c>
      <c r="F5548" t="s">
        <v>7</v>
      </c>
      <c r="G5548" s="18">
        <v>499</v>
      </c>
      <c r="H5548" s="151" t="s">
        <v>563</v>
      </c>
      <c r="I5548" t="s">
        <v>16</v>
      </c>
    </row>
    <row r="5549" spans="1:9" x14ac:dyDescent="0.25">
      <c r="A5549">
        <v>1815</v>
      </c>
      <c r="B5549">
        <f>A5549+1</f>
        <v>1816</v>
      </c>
      <c r="C5549" t="s">
        <v>521</v>
      </c>
      <c r="D5549" t="s">
        <v>26</v>
      </c>
      <c r="E5549" s="208" t="s">
        <v>566</v>
      </c>
      <c r="F5549" t="s">
        <v>10</v>
      </c>
      <c r="G5549" s="18">
        <v>35</v>
      </c>
      <c r="H5549" t="s">
        <v>24</v>
      </c>
      <c r="I5549" t="s">
        <v>17</v>
      </c>
    </row>
    <row r="5550" spans="1:9" x14ac:dyDescent="0.25">
      <c r="A5550">
        <v>1815</v>
      </c>
      <c r="B5550">
        <f>A5550+1</f>
        <v>1816</v>
      </c>
      <c r="C5550" t="s">
        <v>521</v>
      </c>
      <c r="D5550" t="s">
        <v>26</v>
      </c>
      <c r="E5550" s="208" t="s">
        <v>566</v>
      </c>
      <c r="F5550" t="s">
        <v>13</v>
      </c>
      <c r="G5550" s="18">
        <v>0</v>
      </c>
      <c r="H5550" t="s">
        <v>25</v>
      </c>
      <c r="I5550" t="s">
        <v>17</v>
      </c>
    </row>
    <row r="5551" spans="1:9" x14ac:dyDescent="0.25">
      <c r="A5551">
        <v>1815</v>
      </c>
      <c r="B5551">
        <f>A5551+1</f>
        <v>1816</v>
      </c>
      <c r="C5551" t="s">
        <v>521</v>
      </c>
      <c r="D5551" t="s">
        <v>26</v>
      </c>
      <c r="E5551" s="208" t="s">
        <v>566</v>
      </c>
      <c r="F5551" t="s">
        <v>11</v>
      </c>
      <c r="G5551" s="18">
        <v>0</v>
      </c>
      <c r="H5551" t="s">
        <v>23</v>
      </c>
      <c r="I5551" t="s">
        <v>17</v>
      </c>
    </row>
    <row r="5552" spans="1:9" x14ac:dyDescent="0.25">
      <c r="A5552">
        <v>1815</v>
      </c>
      <c r="B5552">
        <f>A5552+1</f>
        <v>1816</v>
      </c>
      <c r="C5552" t="s">
        <v>521</v>
      </c>
      <c r="D5552" t="s">
        <v>26</v>
      </c>
      <c r="E5552" s="208" t="s">
        <v>566</v>
      </c>
      <c r="F5552" t="s">
        <v>14</v>
      </c>
      <c r="G5552" s="18">
        <v>35</v>
      </c>
      <c r="H5552" s="151" t="s">
        <v>563</v>
      </c>
      <c r="I5552" t="s">
        <v>17</v>
      </c>
    </row>
    <row r="5553" spans="1:9" x14ac:dyDescent="0.25">
      <c r="A5553">
        <v>1815</v>
      </c>
      <c r="B5553">
        <f>A5553+1</f>
        <v>1816</v>
      </c>
      <c r="C5553" t="s">
        <v>521</v>
      </c>
      <c r="D5553" t="s">
        <v>26</v>
      </c>
      <c r="E5553" s="208" t="s">
        <v>566</v>
      </c>
      <c r="F5553" t="s">
        <v>15</v>
      </c>
      <c r="G5553" s="18">
        <v>534</v>
      </c>
      <c r="H5553" s="151" t="s">
        <v>563</v>
      </c>
      <c r="I5553" t="s">
        <v>561</v>
      </c>
    </row>
    <row r="5554" spans="1:9" x14ac:dyDescent="0.25">
      <c r="A5554">
        <v>1816</v>
      </c>
      <c r="B5554">
        <f>A5554+1</f>
        <v>1817</v>
      </c>
      <c r="C5554" t="s">
        <v>522</v>
      </c>
      <c r="D5554" t="s">
        <v>26</v>
      </c>
      <c r="E5554" s="208" t="s">
        <v>572</v>
      </c>
      <c r="F5554" t="s">
        <v>3</v>
      </c>
      <c r="G5554" s="18">
        <v>2553</v>
      </c>
      <c r="H5554" t="s">
        <v>24</v>
      </c>
      <c r="I5554" t="s">
        <v>16</v>
      </c>
    </row>
    <row r="5555" spans="1:9" x14ac:dyDescent="0.25">
      <c r="A5555">
        <v>1816</v>
      </c>
      <c r="B5555">
        <f>A5555+1</f>
        <v>1817</v>
      </c>
      <c r="C5555" t="s">
        <v>522</v>
      </c>
      <c r="D5555" t="s">
        <v>26</v>
      </c>
      <c r="E5555" s="208" t="s">
        <v>572</v>
      </c>
      <c r="F5555" t="s">
        <v>169</v>
      </c>
      <c r="G5555" s="18">
        <v>0</v>
      </c>
      <c r="H5555" t="s">
        <v>160</v>
      </c>
      <c r="I5555" t="s">
        <v>16</v>
      </c>
    </row>
    <row r="5556" spans="1:9" x14ac:dyDescent="0.25">
      <c r="A5556">
        <v>1816</v>
      </c>
      <c r="B5556">
        <f>A5556+1</f>
        <v>1817</v>
      </c>
      <c r="C5556" t="s">
        <v>522</v>
      </c>
      <c r="D5556" t="s">
        <v>26</v>
      </c>
      <c r="E5556" s="208" t="s">
        <v>572</v>
      </c>
      <c r="F5556" t="s">
        <v>6</v>
      </c>
      <c r="G5556" s="18">
        <v>0</v>
      </c>
      <c r="H5556" t="s">
        <v>25</v>
      </c>
      <c r="I5556" t="s">
        <v>16</v>
      </c>
    </row>
    <row r="5557" spans="1:9" x14ac:dyDescent="0.25">
      <c r="A5557">
        <v>1816</v>
      </c>
      <c r="B5557">
        <f>A5557+1</f>
        <v>1817</v>
      </c>
      <c r="C5557" t="s">
        <v>522</v>
      </c>
      <c r="D5557" t="s">
        <v>26</v>
      </c>
      <c r="E5557" s="208" t="s">
        <v>572</v>
      </c>
      <c r="F5557" t="s">
        <v>4</v>
      </c>
      <c r="G5557" s="18">
        <v>0</v>
      </c>
      <c r="H5557" t="s">
        <v>23</v>
      </c>
      <c r="I5557" t="s">
        <v>16</v>
      </c>
    </row>
    <row r="5558" spans="1:9" x14ac:dyDescent="0.25">
      <c r="A5558">
        <v>1816</v>
      </c>
      <c r="B5558">
        <f>A5558+1</f>
        <v>1817</v>
      </c>
      <c r="C5558" t="s">
        <v>522</v>
      </c>
      <c r="D5558" t="s">
        <v>26</v>
      </c>
      <c r="E5558" s="208" t="s">
        <v>572</v>
      </c>
      <c r="F5558" t="s">
        <v>7</v>
      </c>
      <c r="G5558" s="18">
        <v>2553</v>
      </c>
      <c r="H5558" s="151" t="s">
        <v>563</v>
      </c>
      <c r="I5558" t="s">
        <v>16</v>
      </c>
    </row>
    <row r="5559" spans="1:9" x14ac:dyDescent="0.25">
      <c r="A5559">
        <v>1816</v>
      </c>
      <c r="B5559">
        <f>A5559+1</f>
        <v>1817</v>
      </c>
      <c r="C5559" t="s">
        <v>522</v>
      </c>
      <c r="D5559" t="s">
        <v>26</v>
      </c>
      <c r="E5559" s="208" t="s">
        <v>572</v>
      </c>
      <c r="F5559" t="s">
        <v>10</v>
      </c>
      <c r="G5559" s="18">
        <v>1504</v>
      </c>
      <c r="H5559" t="s">
        <v>24</v>
      </c>
      <c r="I5559" t="s">
        <v>17</v>
      </c>
    </row>
    <row r="5560" spans="1:9" x14ac:dyDescent="0.25">
      <c r="A5560">
        <v>1816</v>
      </c>
      <c r="B5560">
        <f>A5560+1</f>
        <v>1817</v>
      </c>
      <c r="C5560" t="s">
        <v>522</v>
      </c>
      <c r="D5560" t="s">
        <v>26</v>
      </c>
      <c r="E5560" s="208" t="s">
        <v>572</v>
      </c>
      <c r="F5560" t="s">
        <v>164</v>
      </c>
      <c r="G5560" s="18">
        <v>0</v>
      </c>
      <c r="H5560" t="s">
        <v>160</v>
      </c>
      <c r="I5560" t="s">
        <v>17</v>
      </c>
    </row>
    <row r="5561" spans="1:9" x14ac:dyDescent="0.25">
      <c r="A5561">
        <v>1816</v>
      </c>
      <c r="B5561">
        <f>A5561+1</f>
        <v>1817</v>
      </c>
      <c r="C5561" t="s">
        <v>522</v>
      </c>
      <c r="D5561" t="s">
        <v>26</v>
      </c>
      <c r="E5561" s="208" t="s">
        <v>572</v>
      </c>
      <c r="F5561" t="s">
        <v>13</v>
      </c>
      <c r="G5561" s="18">
        <v>0</v>
      </c>
      <c r="H5561" t="s">
        <v>25</v>
      </c>
      <c r="I5561" t="s">
        <v>17</v>
      </c>
    </row>
    <row r="5562" spans="1:9" x14ac:dyDescent="0.25">
      <c r="A5562">
        <v>1816</v>
      </c>
      <c r="B5562">
        <f>A5562+1</f>
        <v>1817</v>
      </c>
      <c r="C5562" t="s">
        <v>522</v>
      </c>
      <c r="D5562" t="s">
        <v>26</v>
      </c>
      <c r="E5562" s="208" t="s">
        <v>572</v>
      </c>
      <c r="F5562" t="s">
        <v>11</v>
      </c>
      <c r="G5562" s="18">
        <v>0</v>
      </c>
      <c r="H5562" t="s">
        <v>23</v>
      </c>
      <c r="I5562" t="s">
        <v>17</v>
      </c>
    </row>
    <row r="5563" spans="1:9" x14ac:dyDescent="0.25">
      <c r="A5563">
        <v>1816</v>
      </c>
      <c r="B5563">
        <f>A5563+1</f>
        <v>1817</v>
      </c>
      <c r="C5563" t="s">
        <v>522</v>
      </c>
      <c r="D5563" t="s">
        <v>26</v>
      </c>
      <c r="E5563" s="208" t="s">
        <v>572</v>
      </c>
      <c r="F5563" t="s">
        <v>14</v>
      </c>
      <c r="G5563" s="18">
        <v>1504</v>
      </c>
      <c r="H5563" s="151" t="s">
        <v>563</v>
      </c>
      <c r="I5563" t="s">
        <v>17</v>
      </c>
    </row>
    <row r="5564" spans="1:9" x14ac:dyDescent="0.25">
      <c r="A5564">
        <v>1816</v>
      </c>
      <c r="B5564">
        <f>A5564+1</f>
        <v>1817</v>
      </c>
      <c r="C5564" t="s">
        <v>522</v>
      </c>
      <c r="D5564" t="s">
        <v>26</v>
      </c>
      <c r="E5564" s="208" t="s">
        <v>572</v>
      </c>
      <c r="F5564" t="s">
        <v>15</v>
      </c>
      <c r="G5564" s="18">
        <v>4057</v>
      </c>
      <c r="H5564" s="151" t="s">
        <v>563</v>
      </c>
      <c r="I5564" t="s">
        <v>561</v>
      </c>
    </row>
    <row r="5565" spans="1:9" x14ac:dyDescent="0.25">
      <c r="A5565">
        <v>1816</v>
      </c>
      <c r="B5565">
        <f>A5565+1</f>
        <v>1817</v>
      </c>
      <c r="C5565" t="s">
        <v>522</v>
      </c>
      <c r="D5565" t="s">
        <v>26</v>
      </c>
      <c r="E5565" s="208" t="s">
        <v>571</v>
      </c>
      <c r="F5565" t="s">
        <v>3</v>
      </c>
      <c r="G5565" s="18">
        <v>5131</v>
      </c>
      <c r="H5565" t="s">
        <v>24</v>
      </c>
      <c r="I5565" t="s">
        <v>16</v>
      </c>
    </row>
    <row r="5566" spans="1:9" x14ac:dyDescent="0.25">
      <c r="A5566">
        <v>1816</v>
      </c>
      <c r="B5566">
        <f>A5566+1</f>
        <v>1817</v>
      </c>
      <c r="C5566" t="s">
        <v>522</v>
      </c>
      <c r="D5566" t="s">
        <v>26</v>
      </c>
      <c r="E5566" s="208" t="s">
        <v>571</v>
      </c>
      <c r="F5566" t="s">
        <v>169</v>
      </c>
      <c r="G5566" s="18">
        <v>0</v>
      </c>
      <c r="H5566" t="s">
        <v>160</v>
      </c>
      <c r="I5566" t="s">
        <v>16</v>
      </c>
    </row>
    <row r="5567" spans="1:9" x14ac:dyDescent="0.25">
      <c r="A5567">
        <v>1816</v>
      </c>
      <c r="B5567">
        <f>A5567+1</f>
        <v>1817</v>
      </c>
      <c r="C5567" t="s">
        <v>522</v>
      </c>
      <c r="D5567" t="s">
        <v>26</v>
      </c>
      <c r="E5567" s="208" t="s">
        <v>571</v>
      </c>
      <c r="F5567" t="s">
        <v>6</v>
      </c>
      <c r="G5567" s="18">
        <v>0</v>
      </c>
      <c r="H5567" t="s">
        <v>25</v>
      </c>
      <c r="I5567" t="s">
        <v>16</v>
      </c>
    </row>
    <row r="5568" spans="1:9" x14ac:dyDescent="0.25">
      <c r="A5568">
        <v>1816</v>
      </c>
      <c r="B5568">
        <f>A5568+1</f>
        <v>1817</v>
      </c>
      <c r="C5568" t="s">
        <v>522</v>
      </c>
      <c r="D5568" t="s">
        <v>26</v>
      </c>
      <c r="E5568" s="208" t="s">
        <v>571</v>
      </c>
      <c r="F5568" t="s">
        <v>4</v>
      </c>
      <c r="G5568" s="18">
        <v>0</v>
      </c>
      <c r="H5568" t="s">
        <v>23</v>
      </c>
      <c r="I5568" t="s">
        <v>16</v>
      </c>
    </row>
    <row r="5569" spans="1:9" x14ac:dyDescent="0.25">
      <c r="A5569">
        <v>1816</v>
      </c>
      <c r="B5569">
        <f>A5569+1</f>
        <v>1817</v>
      </c>
      <c r="C5569" t="s">
        <v>522</v>
      </c>
      <c r="D5569" t="s">
        <v>26</v>
      </c>
      <c r="E5569" s="208" t="s">
        <v>571</v>
      </c>
      <c r="F5569" t="s">
        <v>7</v>
      </c>
      <c r="G5569" s="18">
        <v>5131</v>
      </c>
      <c r="H5569" s="151" t="s">
        <v>563</v>
      </c>
      <c r="I5569" t="s">
        <v>16</v>
      </c>
    </row>
    <row r="5570" spans="1:9" x14ac:dyDescent="0.25">
      <c r="A5570">
        <v>1816</v>
      </c>
      <c r="B5570">
        <f>A5570+1</f>
        <v>1817</v>
      </c>
      <c r="C5570" t="s">
        <v>522</v>
      </c>
      <c r="D5570" t="s">
        <v>26</v>
      </c>
      <c r="E5570" s="208" t="s">
        <v>571</v>
      </c>
      <c r="F5570" t="s">
        <v>10</v>
      </c>
      <c r="G5570" s="18">
        <v>196</v>
      </c>
      <c r="H5570" t="s">
        <v>24</v>
      </c>
      <c r="I5570" t="s">
        <v>17</v>
      </c>
    </row>
    <row r="5571" spans="1:9" x14ac:dyDescent="0.25">
      <c r="A5571">
        <v>1816</v>
      </c>
      <c r="B5571">
        <f>A5571+1</f>
        <v>1817</v>
      </c>
      <c r="C5571" t="s">
        <v>522</v>
      </c>
      <c r="D5571" t="s">
        <v>26</v>
      </c>
      <c r="E5571" s="208" t="s">
        <v>571</v>
      </c>
      <c r="F5571" t="s">
        <v>164</v>
      </c>
      <c r="G5571" s="18">
        <v>0</v>
      </c>
      <c r="H5571" t="s">
        <v>160</v>
      </c>
      <c r="I5571" t="s">
        <v>17</v>
      </c>
    </row>
    <row r="5572" spans="1:9" x14ac:dyDescent="0.25">
      <c r="A5572">
        <v>1816</v>
      </c>
      <c r="B5572">
        <f>A5572+1</f>
        <v>1817</v>
      </c>
      <c r="C5572" t="s">
        <v>522</v>
      </c>
      <c r="D5572" t="s">
        <v>26</v>
      </c>
      <c r="E5572" s="208" t="s">
        <v>571</v>
      </c>
      <c r="F5572" t="s">
        <v>13</v>
      </c>
      <c r="G5572" s="18">
        <v>0</v>
      </c>
      <c r="H5572" t="s">
        <v>25</v>
      </c>
      <c r="I5572" t="s">
        <v>17</v>
      </c>
    </row>
    <row r="5573" spans="1:9" x14ac:dyDescent="0.25">
      <c r="A5573">
        <v>1816</v>
      </c>
      <c r="B5573">
        <f>A5573+1</f>
        <v>1817</v>
      </c>
      <c r="C5573" t="s">
        <v>522</v>
      </c>
      <c r="D5573" t="s">
        <v>26</v>
      </c>
      <c r="E5573" s="208" t="s">
        <v>571</v>
      </c>
      <c r="F5573" t="s">
        <v>11</v>
      </c>
      <c r="G5573" s="18">
        <v>0</v>
      </c>
      <c r="H5573" t="s">
        <v>23</v>
      </c>
      <c r="I5573" t="s">
        <v>17</v>
      </c>
    </row>
    <row r="5574" spans="1:9" x14ac:dyDescent="0.25">
      <c r="A5574">
        <v>1816</v>
      </c>
      <c r="B5574">
        <f>A5574+1</f>
        <v>1817</v>
      </c>
      <c r="C5574" t="s">
        <v>522</v>
      </c>
      <c r="D5574" t="s">
        <v>26</v>
      </c>
      <c r="E5574" s="208" t="s">
        <v>571</v>
      </c>
      <c r="F5574" t="s">
        <v>14</v>
      </c>
      <c r="G5574" s="18">
        <v>196</v>
      </c>
      <c r="H5574" s="151" t="s">
        <v>563</v>
      </c>
      <c r="I5574" t="s">
        <v>17</v>
      </c>
    </row>
    <row r="5575" spans="1:9" x14ac:dyDescent="0.25">
      <c r="A5575">
        <v>1816</v>
      </c>
      <c r="B5575">
        <f>A5575+1</f>
        <v>1817</v>
      </c>
      <c r="C5575" t="s">
        <v>522</v>
      </c>
      <c r="D5575" t="s">
        <v>26</v>
      </c>
      <c r="E5575" s="208" t="s">
        <v>571</v>
      </c>
      <c r="F5575" t="s">
        <v>15</v>
      </c>
      <c r="G5575" s="18">
        <v>5327</v>
      </c>
      <c r="H5575" s="151" t="s">
        <v>563</v>
      </c>
      <c r="I5575" t="s">
        <v>561</v>
      </c>
    </row>
    <row r="5576" spans="1:9" x14ac:dyDescent="0.25">
      <c r="A5576">
        <v>1816</v>
      </c>
      <c r="B5576">
        <f>A5576+1</f>
        <v>1817</v>
      </c>
      <c r="C5576" t="s">
        <v>522</v>
      </c>
      <c r="D5576" t="s">
        <v>26</v>
      </c>
      <c r="E5576" s="208" t="s">
        <v>570</v>
      </c>
      <c r="F5576" t="s">
        <v>3</v>
      </c>
      <c r="G5576" s="18">
        <v>1481</v>
      </c>
      <c r="H5576" t="s">
        <v>24</v>
      </c>
      <c r="I5576" t="s">
        <v>16</v>
      </c>
    </row>
    <row r="5577" spans="1:9" x14ac:dyDescent="0.25">
      <c r="A5577">
        <v>1816</v>
      </c>
      <c r="B5577">
        <f>A5577+1</f>
        <v>1817</v>
      </c>
      <c r="C5577" t="s">
        <v>522</v>
      </c>
      <c r="D5577" t="s">
        <v>26</v>
      </c>
      <c r="E5577" s="208" t="s">
        <v>570</v>
      </c>
      <c r="F5577" t="s">
        <v>169</v>
      </c>
      <c r="G5577" s="18">
        <v>0</v>
      </c>
      <c r="H5577" t="s">
        <v>160</v>
      </c>
      <c r="I5577" t="s">
        <v>16</v>
      </c>
    </row>
    <row r="5578" spans="1:9" x14ac:dyDescent="0.25">
      <c r="A5578">
        <v>1816</v>
      </c>
      <c r="B5578">
        <f>A5578+1</f>
        <v>1817</v>
      </c>
      <c r="C5578" t="s">
        <v>522</v>
      </c>
      <c r="D5578" t="s">
        <v>26</v>
      </c>
      <c r="E5578" s="208" t="s">
        <v>570</v>
      </c>
      <c r="F5578" t="s">
        <v>6</v>
      </c>
      <c r="G5578" s="18">
        <v>0</v>
      </c>
      <c r="H5578" t="s">
        <v>25</v>
      </c>
      <c r="I5578" t="s">
        <v>16</v>
      </c>
    </row>
    <row r="5579" spans="1:9" x14ac:dyDescent="0.25">
      <c r="A5579">
        <v>1816</v>
      </c>
      <c r="B5579">
        <f>A5579+1</f>
        <v>1817</v>
      </c>
      <c r="C5579" t="s">
        <v>522</v>
      </c>
      <c r="D5579" t="s">
        <v>26</v>
      </c>
      <c r="E5579" s="208" t="s">
        <v>570</v>
      </c>
      <c r="F5579" t="s">
        <v>4</v>
      </c>
      <c r="G5579" s="18">
        <v>0</v>
      </c>
      <c r="H5579" t="s">
        <v>23</v>
      </c>
      <c r="I5579" t="s">
        <v>16</v>
      </c>
    </row>
    <row r="5580" spans="1:9" x14ac:dyDescent="0.25">
      <c r="A5580">
        <v>1816</v>
      </c>
      <c r="B5580">
        <f>A5580+1</f>
        <v>1817</v>
      </c>
      <c r="C5580" t="s">
        <v>522</v>
      </c>
      <c r="D5580" t="s">
        <v>26</v>
      </c>
      <c r="E5580" s="208" t="s">
        <v>570</v>
      </c>
      <c r="F5580" t="s">
        <v>7</v>
      </c>
      <c r="G5580" s="18">
        <v>1481</v>
      </c>
      <c r="H5580" s="151" t="s">
        <v>563</v>
      </c>
      <c r="I5580" t="s">
        <v>16</v>
      </c>
    </row>
    <row r="5581" spans="1:9" x14ac:dyDescent="0.25">
      <c r="A5581">
        <v>1816</v>
      </c>
      <c r="B5581">
        <f>A5581+1</f>
        <v>1817</v>
      </c>
      <c r="C5581" t="s">
        <v>522</v>
      </c>
      <c r="D5581" t="s">
        <v>26</v>
      </c>
      <c r="E5581" s="208" t="s">
        <v>570</v>
      </c>
      <c r="F5581" t="s">
        <v>10</v>
      </c>
      <c r="G5581" s="18">
        <v>1736</v>
      </c>
      <c r="H5581" t="s">
        <v>24</v>
      </c>
      <c r="I5581" t="s">
        <v>17</v>
      </c>
    </row>
    <row r="5582" spans="1:9" x14ac:dyDescent="0.25">
      <c r="A5582">
        <v>1816</v>
      </c>
      <c r="B5582">
        <f>A5582+1</f>
        <v>1817</v>
      </c>
      <c r="C5582" t="s">
        <v>522</v>
      </c>
      <c r="D5582" t="s">
        <v>26</v>
      </c>
      <c r="E5582" s="208" t="s">
        <v>570</v>
      </c>
      <c r="F5582" t="s">
        <v>164</v>
      </c>
      <c r="G5582" s="18">
        <v>0</v>
      </c>
      <c r="H5582" t="s">
        <v>160</v>
      </c>
      <c r="I5582" t="s">
        <v>17</v>
      </c>
    </row>
    <row r="5583" spans="1:9" x14ac:dyDescent="0.25">
      <c r="A5583">
        <v>1816</v>
      </c>
      <c r="B5583">
        <f>A5583+1</f>
        <v>1817</v>
      </c>
      <c r="C5583" t="s">
        <v>522</v>
      </c>
      <c r="D5583" t="s">
        <v>26</v>
      </c>
      <c r="E5583" s="208" t="s">
        <v>570</v>
      </c>
      <c r="F5583" t="s">
        <v>13</v>
      </c>
      <c r="G5583" s="18">
        <v>0</v>
      </c>
      <c r="H5583" t="s">
        <v>25</v>
      </c>
      <c r="I5583" t="s">
        <v>17</v>
      </c>
    </row>
    <row r="5584" spans="1:9" x14ac:dyDescent="0.25">
      <c r="A5584">
        <v>1816</v>
      </c>
      <c r="B5584">
        <f>A5584+1</f>
        <v>1817</v>
      </c>
      <c r="C5584" t="s">
        <v>522</v>
      </c>
      <c r="D5584" t="s">
        <v>26</v>
      </c>
      <c r="E5584" s="208" t="s">
        <v>570</v>
      </c>
      <c r="F5584" t="s">
        <v>11</v>
      </c>
      <c r="G5584" s="18">
        <v>0</v>
      </c>
      <c r="H5584" t="s">
        <v>23</v>
      </c>
      <c r="I5584" t="s">
        <v>17</v>
      </c>
    </row>
    <row r="5585" spans="1:9" x14ac:dyDescent="0.25">
      <c r="A5585">
        <v>1816</v>
      </c>
      <c r="B5585">
        <f>A5585+1</f>
        <v>1817</v>
      </c>
      <c r="C5585" t="s">
        <v>522</v>
      </c>
      <c r="D5585" t="s">
        <v>26</v>
      </c>
      <c r="E5585" s="208" t="s">
        <v>570</v>
      </c>
      <c r="F5585" t="s">
        <v>14</v>
      </c>
      <c r="G5585" s="18">
        <v>1736</v>
      </c>
      <c r="H5585" s="151" t="s">
        <v>563</v>
      </c>
      <c r="I5585" t="s">
        <v>17</v>
      </c>
    </row>
    <row r="5586" spans="1:9" x14ac:dyDescent="0.25">
      <c r="A5586">
        <v>1816</v>
      </c>
      <c r="B5586">
        <f>A5586+1</f>
        <v>1817</v>
      </c>
      <c r="C5586" t="s">
        <v>522</v>
      </c>
      <c r="D5586" t="s">
        <v>26</v>
      </c>
      <c r="E5586" s="208" t="s">
        <v>570</v>
      </c>
      <c r="F5586" t="s">
        <v>15</v>
      </c>
      <c r="G5586" s="18">
        <v>3217</v>
      </c>
      <c r="H5586" s="151" t="s">
        <v>563</v>
      </c>
      <c r="I5586" t="s">
        <v>561</v>
      </c>
    </row>
    <row r="5587" spans="1:9" x14ac:dyDescent="0.25">
      <c r="A5587">
        <v>1816</v>
      </c>
      <c r="B5587">
        <f>A5587+1</f>
        <v>1817</v>
      </c>
      <c r="C5587" t="s">
        <v>522</v>
      </c>
      <c r="D5587" t="s">
        <v>26</v>
      </c>
      <c r="E5587" s="208" t="s">
        <v>573</v>
      </c>
      <c r="F5587" t="s">
        <v>3</v>
      </c>
      <c r="G5587" s="18">
        <v>397</v>
      </c>
      <c r="H5587" t="s">
        <v>24</v>
      </c>
      <c r="I5587" t="s">
        <v>16</v>
      </c>
    </row>
    <row r="5588" spans="1:9" x14ac:dyDescent="0.25">
      <c r="A5588">
        <v>1816</v>
      </c>
      <c r="B5588">
        <f>A5588+1</f>
        <v>1817</v>
      </c>
      <c r="C5588" t="s">
        <v>522</v>
      </c>
      <c r="D5588" t="s">
        <v>26</v>
      </c>
      <c r="E5588" s="208" t="s">
        <v>573</v>
      </c>
      <c r="F5588" t="s">
        <v>169</v>
      </c>
      <c r="G5588" s="18">
        <v>0</v>
      </c>
      <c r="H5588" t="s">
        <v>160</v>
      </c>
      <c r="I5588" t="s">
        <v>16</v>
      </c>
    </row>
    <row r="5589" spans="1:9" x14ac:dyDescent="0.25">
      <c r="A5589">
        <v>1816</v>
      </c>
      <c r="B5589">
        <f>A5589+1</f>
        <v>1817</v>
      </c>
      <c r="C5589" t="s">
        <v>522</v>
      </c>
      <c r="D5589" t="s">
        <v>26</v>
      </c>
      <c r="E5589" s="208" t="s">
        <v>573</v>
      </c>
      <c r="F5589" t="s">
        <v>6</v>
      </c>
      <c r="G5589" s="18">
        <v>0</v>
      </c>
      <c r="H5589" t="s">
        <v>25</v>
      </c>
      <c r="I5589" t="s">
        <v>16</v>
      </c>
    </row>
    <row r="5590" spans="1:9" x14ac:dyDescent="0.25">
      <c r="A5590">
        <v>1816</v>
      </c>
      <c r="B5590">
        <f>A5590+1</f>
        <v>1817</v>
      </c>
      <c r="C5590" t="s">
        <v>522</v>
      </c>
      <c r="D5590" t="s">
        <v>26</v>
      </c>
      <c r="E5590" s="208" t="s">
        <v>573</v>
      </c>
      <c r="F5590" t="s">
        <v>4</v>
      </c>
      <c r="G5590" s="18">
        <v>0</v>
      </c>
      <c r="H5590" t="s">
        <v>23</v>
      </c>
      <c r="I5590" t="s">
        <v>16</v>
      </c>
    </row>
    <row r="5591" spans="1:9" x14ac:dyDescent="0.25">
      <c r="A5591">
        <v>1816</v>
      </c>
      <c r="B5591">
        <f>A5591+1</f>
        <v>1817</v>
      </c>
      <c r="C5591" t="s">
        <v>522</v>
      </c>
      <c r="D5591" t="s">
        <v>26</v>
      </c>
      <c r="E5591" s="208" t="s">
        <v>573</v>
      </c>
      <c r="F5591" t="s">
        <v>7</v>
      </c>
      <c r="G5591" s="18">
        <v>397</v>
      </c>
      <c r="H5591" s="151" t="s">
        <v>563</v>
      </c>
      <c r="I5591" t="s">
        <v>16</v>
      </c>
    </row>
    <row r="5592" spans="1:9" x14ac:dyDescent="0.25">
      <c r="A5592">
        <v>1816</v>
      </c>
      <c r="B5592">
        <f>A5592+1</f>
        <v>1817</v>
      </c>
      <c r="C5592" t="s">
        <v>522</v>
      </c>
      <c r="D5592" t="s">
        <v>26</v>
      </c>
      <c r="E5592" s="208" t="s">
        <v>573</v>
      </c>
      <c r="F5592" t="s">
        <v>10</v>
      </c>
      <c r="G5592" s="18">
        <v>170</v>
      </c>
      <c r="H5592" t="s">
        <v>24</v>
      </c>
      <c r="I5592" t="s">
        <v>17</v>
      </c>
    </row>
    <row r="5593" spans="1:9" x14ac:dyDescent="0.25">
      <c r="A5593">
        <v>1816</v>
      </c>
      <c r="B5593">
        <f>A5593+1</f>
        <v>1817</v>
      </c>
      <c r="C5593" t="s">
        <v>522</v>
      </c>
      <c r="D5593" t="s">
        <v>26</v>
      </c>
      <c r="E5593" s="208" t="s">
        <v>573</v>
      </c>
      <c r="F5593" t="s">
        <v>164</v>
      </c>
      <c r="G5593" s="18">
        <v>0</v>
      </c>
      <c r="H5593" t="s">
        <v>160</v>
      </c>
      <c r="I5593" t="s">
        <v>17</v>
      </c>
    </row>
    <row r="5594" spans="1:9" x14ac:dyDescent="0.25">
      <c r="A5594">
        <v>1816</v>
      </c>
      <c r="B5594">
        <f>A5594+1</f>
        <v>1817</v>
      </c>
      <c r="C5594" t="s">
        <v>522</v>
      </c>
      <c r="D5594" t="s">
        <v>26</v>
      </c>
      <c r="E5594" s="208" t="s">
        <v>573</v>
      </c>
      <c r="F5594" t="s">
        <v>13</v>
      </c>
      <c r="G5594" s="18">
        <v>0</v>
      </c>
      <c r="H5594" t="s">
        <v>25</v>
      </c>
      <c r="I5594" t="s">
        <v>17</v>
      </c>
    </row>
    <row r="5595" spans="1:9" x14ac:dyDescent="0.25">
      <c r="A5595">
        <v>1816</v>
      </c>
      <c r="B5595">
        <f>A5595+1</f>
        <v>1817</v>
      </c>
      <c r="C5595" t="s">
        <v>522</v>
      </c>
      <c r="D5595" t="s">
        <v>26</v>
      </c>
      <c r="E5595" s="208" t="s">
        <v>573</v>
      </c>
      <c r="F5595" t="s">
        <v>11</v>
      </c>
      <c r="G5595" s="18">
        <v>0</v>
      </c>
      <c r="H5595" t="s">
        <v>23</v>
      </c>
      <c r="I5595" t="s">
        <v>17</v>
      </c>
    </row>
    <row r="5596" spans="1:9" x14ac:dyDescent="0.25">
      <c r="A5596">
        <v>1816</v>
      </c>
      <c r="B5596">
        <f>A5596+1</f>
        <v>1817</v>
      </c>
      <c r="C5596" t="s">
        <v>522</v>
      </c>
      <c r="D5596" t="s">
        <v>26</v>
      </c>
      <c r="E5596" s="208" t="s">
        <v>573</v>
      </c>
      <c r="F5596" t="s">
        <v>14</v>
      </c>
      <c r="G5596" s="18">
        <v>170</v>
      </c>
      <c r="H5596" s="151" t="s">
        <v>563</v>
      </c>
      <c r="I5596" t="s">
        <v>17</v>
      </c>
    </row>
    <row r="5597" spans="1:9" x14ac:dyDescent="0.25">
      <c r="A5597">
        <v>1816</v>
      </c>
      <c r="B5597">
        <f>A5597+1</f>
        <v>1817</v>
      </c>
      <c r="C5597" t="s">
        <v>522</v>
      </c>
      <c r="D5597" t="s">
        <v>26</v>
      </c>
      <c r="E5597" s="208" t="s">
        <v>573</v>
      </c>
      <c r="F5597" t="s">
        <v>15</v>
      </c>
      <c r="G5597" s="18">
        <v>567</v>
      </c>
      <c r="H5597" s="151" t="s">
        <v>563</v>
      </c>
      <c r="I5597" t="s">
        <v>561</v>
      </c>
    </row>
    <row r="5598" spans="1:9" x14ac:dyDescent="0.25">
      <c r="A5598">
        <v>1816</v>
      </c>
      <c r="B5598">
        <f>A5598+1</f>
        <v>1817</v>
      </c>
      <c r="C5598" t="s">
        <v>522</v>
      </c>
      <c r="D5598" t="s">
        <v>27</v>
      </c>
      <c r="E5598" s="208" t="s">
        <v>155</v>
      </c>
      <c r="F5598" t="s">
        <v>3</v>
      </c>
      <c r="G5598" s="18">
        <v>449</v>
      </c>
      <c r="H5598" t="s">
        <v>16</v>
      </c>
      <c r="I5598" t="s">
        <v>24</v>
      </c>
    </row>
    <row r="5599" spans="1:9" x14ac:dyDescent="0.25">
      <c r="A5599">
        <v>1816</v>
      </c>
      <c r="B5599">
        <f>A5599+1</f>
        <v>1817</v>
      </c>
      <c r="C5599" t="s">
        <v>522</v>
      </c>
      <c r="D5599" t="s">
        <v>27</v>
      </c>
      <c r="E5599" s="208" t="s">
        <v>156</v>
      </c>
      <c r="F5599" t="s">
        <v>3</v>
      </c>
      <c r="G5599" s="18">
        <v>83</v>
      </c>
      <c r="H5599" t="s">
        <v>16</v>
      </c>
      <c r="I5599" t="s">
        <v>24</v>
      </c>
    </row>
    <row r="5600" spans="1:9" x14ac:dyDescent="0.25">
      <c r="A5600">
        <v>1816</v>
      </c>
      <c r="B5600">
        <f>A5600+1</f>
        <v>1817</v>
      </c>
      <c r="C5600" t="s">
        <v>522</v>
      </c>
      <c r="D5600" t="s">
        <v>27</v>
      </c>
      <c r="E5600" s="208" t="s">
        <v>154</v>
      </c>
      <c r="F5600" t="s">
        <v>3</v>
      </c>
      <c r="G5600" s="18">
        <v>819</v>
      </c>
      <c r="H5600" t="s">
        <v>16</v>
      </c>
      <c r="I5600" t="s">
        <v>24</v>
      </c>
    </row>
    <row r="5601" spans="1:9" x14ac:dyDescent="0.25">
      <c r="A5601">
        <v>1816</v>
      </c>
      <c r="B5601">
        <f>A5601+1</f>
        <v>1817</v>
      </c>
      <c r="C5601" t="s">
        <v>522</v>
      </c>
      <c r="D5601" t="s">
        <v>27</v>
      </c>
      <c r="E5601" s="208" t="s">
        <v>150</v>
      </c>
      <c r="F5601" t="s">
        <v>3</v>
      </c>
      <c r="G5601" s="18">
        <v>2795</v>
      </c>
      <c r="H5601" t="s">
        <v>16</v>
      </c>
      <c r="I5601" t="s">
        <v>24</v>
      </c>
    </row>
    <row r="5602" spans="1:9" x14ac:dyDescent="0.25">
      <c r="A5602">
        <v>1816</v>
      </c>
      <c r="B5602">
        <f>A5602+1</f>
        <v>1817</v>
      </c>
      <c r="C5602" t="s">
        <v>522</v>
      </c>
      <c r="D5602" t="s">
        <v>27</v>
      </c>
      <c r="E5602" s="208" t="s">
        <v>148</v>
      </c>
      <c r="F5602" t="s">
        <v>3</v>
      </c>
      <c r="G5602" s="18">
        <v>52</v>
      </c>
      <c r="H5602" t="s">
        <v>16</v>
      </c>
      <c r="I5602" t="s">
        <v>24</v>
      </c>
    </row>
    <row r="5603" spans="1:9" x14ac:dyDescent="0.25">
      <c r="A5603">
        <v>1816</v>
      </c>
      <c r="B5603">
        <f>A5603+1</f>
        <v>1817</v>
      </c>
      <c r="C5603" t="s">
        <v>522</v>
      </c>
      <c r="D5603" t="s">
        <v>27</v>
      </c>
      <c r="E5603" s="208" t="s">
        <v>147</v>
      </c>
      <c r="F5603" t="s">
        <v>3</v>
      </c>
      <c r="G5603" s="18">
        <v>0</v>
      </c>
      <c r="H5603" t="s">
        <v>16</v>
      </c>
      <c r="I5603" t="s">
        <v>24</v>
      </c>
    </row>
    <row r="5604" spans="1:9" x14ac:dyDescent="0.25">
      <c r="A5604">
        <v>1816</v>
      </c>
      <c r="B5604">
        <f>A5604+1</f>
        <v>1817</v>
      </c>
      <c r="C5604" t="s">
        <v>522</v>
      </c>
      <c r="D5604" t="s">
        <v>27</v>
      </c>
      <c r="E5604" s="208" t="s">
        <v>314</v>
      </c>
      <c r="F5604" t="s">
        <v>3</v>
      </c>
      <c r="G5604" s="18">
        <v>1</v>
      </c>
      <c r="H5604" t="s">
        <v>16</v>
      </c>
      <c r="I5604" t="s">
        <v>24</v>
      </c>
    </row>
    <row r="5605" spans="1:9" x14ac:dyDescent="0.25">
      <c r="A5605">
        <v>1816</v>
      </c>
      <c r="B5605">
        <f>A5605+1</f>
        <v>1817</v>
      </c>
      <c r="C5605" t="s">
        <v>522</v>
      </c>
      <c r="D5605" t="s">
        <v>27</v>
      </c>
      <c r="E5605" s="208" t="s">
        <v>139</v>
      </c>
      <c r="F5605" t="s">
        <v>3</v>
      </c>
      <c r="G5605" s="18">
        <v>3</v>
      </c>
      <c r="H5605" t="s">
        <v>16</v>
      </c>
      <c r="I5605" t="s">
        <v>24</v>
      </c>
    </row>
    <row r="5606" spans="1:9" x14ac:dyDescent="0.25">
      <c r="A5606">
        <v>1816</v>
      </c>
      <c r="B5606">
        <f>A5606+1</f>
        <v>1817</v>
      </c>
      <c r="C5606" t="s">
        <v>522</v>
      </c>
      <c r="D5606" t="s">
        <v>27</v>
      </c>
      <c r="E5606" s="208" t="s">
        <v>132</v>
      </c>
      <c r="F5606" t="s">
        <v>3</v>
      </c>
      <c r="G5606" s="18">
        <v>5</v>
      </c>
      <c r="H5606" t="s">
        <v>16</v>
      </c>
      <c r="I5606" t="s">
        <v>24</v>
      </c>
    </row>
    <row r="5607" spans="1:9" x14ac:dyDescent="0.25">
      <c r="A5607">
        <v>1816</v>
      </c>
      <c r="B5607">
        <f>A5607+1</f>
        <v>1817</v>
      </c>
      <c r="C5607" t="s">
        <v>522</v>
      </c>
      <c r="D5607" t="s">
        <v>27</v>
      </c>
      <c r="E5607" s="208" t="s">
        <v>130</v>
      </c>
      <c r="F5607" t="s">
        <v>3</v>
      </c>
      <c r="G5607" s="18">
        <v>16</v>
      </c>
      <c r="H5607" t="s">
        <v>16</v>
      </c>
      <c r="I5607" t="s">
        <v>24</v>
      </c>
    </row>
    <row r="5608" spans="1:9" x14ac:dyDescent="0.25">
      <c r="A5608">
        <v>1816</v>
      </c>
      <c r="B5608">
        <f>A5608+1</f>
        <v>1817</v>
      </c>
      <c r="C5608" t="s">
        <v>522</v>
      </c>
      <c r="D5608" t="s">
        <v>27</v>
      </c>
      <c r="E5608" s="208" t="s">
        <v>144</v>
      </c>
      <c r="F5608" t="s">
        <v>3</v>
      </c>
      <c r="G5608" s="18">
        <v>82</v>
      </c>
      <c r="H5608" t="s">
        <v>16</v>
      </c>
      <c r="I5608" t="s">
        <v>24</v>
      </c>
    </row>
    <row r="5609" spans="1:9" x14ac:dyDescent="0.25">
      <c r="A5609">
        <v>1816</v>
      </c>
      <c r="B5609">
        <f>A5609+1</f>
        <v>1817</v>
      </c>
      <c r="C5609" t="s">
        <v>522</v>
      </c>
      <c r="D5609" t="s">
        <v>27</v>
      </c>
      <c r="E5609" s="208" t="s">
        <v>142</v>
      </c>
      <c r="F5609" t="s">
        <v>3</v>
      </c>
      <c r="G5609" s="18">
        <v>967</v>
      </c>
      <c r="H5609" t="s">
        <v>16</v>
      </c>
      <c r="I5609" t="s">
        <v>24</v>
      </c>
    </row>
    <row r="5610" spans="1:9" x14ac:dyDescent="0.25">
      <c r="A5610">
        <v>1816</v>
      </c>
      <c r="B5610">
        <f>A5610+1</f>
        <v>1817</v>
      </c>
      <c r="C5610" t="s">
        <v>522</v>
      </c>
      <c r="D5610" t="s">
        <v>27</v>
      </c>
      <c r="E5610" s="208" t="s">
        <v>124</v>
      </c>
      <c r="F5610" t="s">
        <v>3</v>
      </c>
      <c r="G5610" s="18">
        <v>109525</v>
      </c>
      <c r="H5610" t="s">
        <v>16</v>
      </c>
      <c r="I5610" t="s">
        <v>24</v>
      </c>
    </row>
    <row r="5611" spans="1:9" x14ac:dyDescent="0.25">
      <c r="A5611">
        <v>1816</v>
      </c>
      <c r="B5611">
        <f>A5611+1</f>
        <v>1817</v>
      </c>
      <c r="C5611" t="s">
        <v>522</v>
      </c>
      <c r="D5611" t="s">
        <v>26</v>
      </c>
      <c r="E5611" s="208" t="s">
        <v>62</v>
      </c>
      <c r="F5611" t="s">
        <v>3</v>
      </c>
      <c r="G5611" s="18">
        <v>12227</v>
      </c>
      <c r="H5611" t="s">
        <v>24</v>
      </c>
      <c r="I5611" t="s">
        <v>16</v>
      </c>
    </row>
    <row r="5612" spans="1:9" x14ac:dyDescent="0.25">
      <c r="A5612">
        <v>1816</v>
      </c>
      <c r="B5612">
        <f>A5612+1</f>
        <v>1817</v>
      </c>
      <c r="C5612" t="s">
        <v>522</v>
      </c>
      <c r="D5612" t="s">
        <v>26</v>
      </c>
      <c r="E5612" s="208" t="s">
        <v>36</v>
      </c>
      <c r="F5612" t="s">
        <v>3</v>
      </c>
      <c r="G5612" s="18">
        <v>476</v>
      </c>
      <c r="H5612" t="s">
        <v>24</v>
      </c>
      <c r="I5612" t="s">
        <v>16</v>
      </c>
    </row>
    <row r="5613" spans="1:9" x14ac:dyDescent="0.25">
      <c r="A5613">
        <v>1816</v>
      </c>
      <c r="B5613">
        <f>A5613+1</f>
        <v>1817</v>
      </c>
      <c r="C5613" t="s">
        <v>522</v>
      </c>
      <c r="D5613" t="s">
        <v>26</v>
      </c>
      <c r="E5613" s="208" t="s">
        <v>35</v>
      </c>
      <c r="F5613" t="s">
        <v>3</v>
      </c>
      <c r="G5613" s="18">
        <v>140</v>
      </c>
      <c r="H5613" t="s">
        <v>24</v>
      </c>
      <c r="I5613" t="s">
        <v>16</v>
      </c>
    </row>
    <row r="5614" spans="1:9" x14ac:dyDescent="0.25">
      <c r="A5614">
        <v>1816</v>
      </c>
      <c r="B5614">
        <f>A5614+1</f>
        <v>1817</v>
      </c>
      <c r="C5614" t="s">
        <v>522</v>
      </c>
      <c r="D5614" t="s">
        <v>26</v>
      </c>
      <c r="E5614" s="208" t="s">
        <v>39</v>
      </c>
      <c r="F5614" t="s">
        <v>3</v>
      </c>
      <c r="G5614" s="18">
        <v>333</v>
      </c>
      <c r="H5614" t="s">
        <v>24</v>
      </c>
      <c r="I5614" t="s">
        <v>16</v>
      </c>
    </row>
    <row r="5615" spans="1:9" x14ac:dyDescent="0.25">
      <c r="A5615">
        <v>1816</v>
      </c>
      <c r="B5615">
        <f>A5615+1</f>
        <v>1817</v>
      </c>
      <c r="C5615" t="s">
        <v>522</v>
      </c>
      <c r="D5615" t="s">
        <v>26</v>
      </c>
      <c r="E5615" s="208" t="s">
        <v>99</v>
      </c>
      <c r="F5615" t="s">
        <v>3</v>
      </c>
      <c r="G5615" s="18">
        <v>117</v>
      </c>
      <c r="H5615" t="s">
        <v>24</v>
      </c>
      <c r="I5615" t="s">
        <v>16</v>
      </c>
    </row>
    <row r="5616" spans="1:9" x14ac:dyDescent="0.25">
      <c r="A5616">
        <v>1816</v>
      </c>
      <c r="B5616">
        <f>A5616+1</f>
        <v>1817</v>
      </c>
      <c r="C5616" t="s">
        <v>522</v>
      </c>
      <c r="D5616" t="s">
        <v>26</v>
      </c>
      <c r="E5616" s="208" t="s">
        <v>95</v>
      </c>
      <c r="F5616" t="s">
        <v>3</v>
      </c>
      <c r="G5616" s="18">
        <v>0</v>
      </c>
      <c r="H5616" t="s">
        <v>24</v>
      </c>
      <c r="I5616" t="s">
        <v>16</v>
      </c>
    </row>
    <row r="5617" spans="1:9" x14ac:dyDescent="0.25">
      <c r="A5617">
        <v>1816</v>
      </c>
      <c r="B5617">
        <f>A5617+1</f>
        <v>1817</v>
      </c>
      <c r="C5617" t="s">
        <v>522</v>
      </c>
      <c r="D5617" t="s">
        <v>26</v>
      </c>
      <c r="E5617" s="208" t="s">
        <v>94</v>
      </c>
      <c r="F5617" t="s">
        <v>3</v>
      </c>
      <c r="G5617" s="18">
        <v>0</v>
      </c>
      <c r="H5617" t="s">
        <v>24</v>
      </c>
      <c r="I5617" t="s">
        <v>16</v>
      </c>
    </row>
    <row r="5618" spans="1:9" x14ac:dyDescent="0.25">
      <c r="A5618">
        <v>1816</v>
      </c>
      <c r="B5618">
        <f>A5618+1</f>
        <v>1817</v>
      </c>
      <c r="C5618" t="s">
        <v>522</v>
      </c>
      <c r="D5618" t="s">
        <v>26</v>
      </c>
      <c r="E5618" s="208" t="s">
        <v>386</v>
      </c>
      <c r="F5618" t="s">
        <v>3</v>
      </c>
      <c r="G5618" s="18">
        <v>1680</v>
      </c>
      <c r="H5618" t="s">
        <v>24</v>
      </c>
      <c r="I5618" t="s">
        <v>16</v>
      </c>
    </row>
    <row r="5619" spans="1:9" x14ac:dyDescent="0.25">
      <c r="A5619">
        <v>1816</v>
      </c>
      <c r="B5619">
        <f>A5619+1</f>
        <v>1817</v>
      </c>
      <c r="C5619" t="s">
        <v>522</v>
      </c>
      <c r="D5619" t="s">
        <v>26</v>
      </c>
      <c r="E5619" s="208" t="s">
        <v>387</v>
      </c>
      <c r="F5619" t="s">
        <v>3</v>
      </c>
      <c r="G5619" s="18">
        <v>0</v>
      </c>
      <c r="H5619" t="s">
        <v>24</v>
      </c>
      <c r="I5619" t="s">
        <v>16</v>
      </c>
    </row>
    <row r="5620" spans="1:9" x14ac:dyDescent="0.25">
      <c r="A5620">
        <v>1816</v>
      </c>
      <c r="B5620">
        <f>A5620+1</f>
        <v>1817</v>
      </c>
      <c r="C5620" t="s">
        <v>522</v>
      </c>
      <c r="D5620" t="s">
        <v>26</v>
      </c>
      <c r="E5620" s="208" t="s">
        <v>388</v>
      </c>
      <c r="F5620" t="s">
        <v>3</v>
      </c>
      <c r="G5620" s="18">
        <v>1447</v>
      </c>
      <c r="H5620" t="s">
        <v>24</v>
      </c>
      <c r="I5620" t="s">
        <v>16</v>
      </c>
    </row>
    <row r="5621" spans="1:9" x14ac:dyDescent="0.25">
      <c r="A5621">
        <v>1816</v>
      </c>
      <c r="B5621">
        <f>A5621+1</f>
        <v>1817</v>
      </c>
      <c r="C5621" t="s">
        <v>522</v>
      </c>
      <c r="D5621" t="s">
        <v>26</v>
      </c>
      <c r="E5621" s="208" t="s">
        <v>85</v>
      </c>
      <c r="F5621" t="s">
        <v>3</v>
      </c>
      <c r="G5621" s="18">
        <v>0</v>
      </c>
      <c r="H5621" t="s">
        <v>24</v>
      </c>
      <c r="I5621" t="s">
        <v>16</v>
      </c>
    </row>
    <row r="5622" spans="1:9" x14ac:dyDescent="0.25">
      <c r="A5622">
        <v>1816</v>
      </c>
      <c r="B5622">
        <f>A5622+1</f>
        <v>1817</v>
      </c>
      <c r="C5622" t="s">
        <v>522</v>
      </c>
      <c r="D5622" t="s">
        <v>26</v>
      </c>
      <c r="E5622" s="208" t="s">
        <v>107</v>
      </c>
      <c r="F5622" t="s">
        <v>3</v>
      </c>
      <c r="G5622" s="18">
        <v>406530</v>
      </c>
      <c r="H5622" t="s">
        <v>24</v>
      </c>
      <c r="I5622" t="s">
        <v>16</v>
      </c>
    </row>
    <row r="5623" spans="1:9" x14ac:dyDescent="0.25">
      <c r="A5623">
        <v>1816</v>
      </c>
      <c r="B5623">
        <f>A5623+1</f>
        <v>1817</v>
      </c>
      <c r="C5623" t="s">
        <v>522</v>
      </c>
      <c r="D5623" t="s">
        <v>26</v>
      </c>
      <c r="E5623" s="208" t="s">
        <v>101</v>
      </c>
      <c r="F5623" t="s">
        <v>3</v>
      </c>
      <c r="G5623" s="18">
        <v>1477140</v>
      </c>
      <c r="H5623" t="s">
        <v>24</v>
      </c>
      <c r="I5623" t="s">
        <v>16</v>
      </c>
    </row>
    <row r="5624" spans="1:9" x14ac:dyDescent="0.25">
      <c r="A5624">
        <v>1816</v>
      </c>
      <c r="B5624">
        <f>A5624+1</f>
        <v>1817</v>
      </c>
      <c r="C5624" t="s">
        <v>522</v>
      </c>
      <c r="D5624" t="s">
        <v>26</v>
      </c>
      <c r="E5624" s="208" t="s">
        <v>75</v>
      </c>
      <c r="F5624" t="s">
        <v>3</v>
      </c>
      <c r="G5624" s="18">
        <v>2756100</v>
      </c>
      <c r="H5624" t="s">
        <v>24</v>
      </c>
      <c r="I5624" t="s">
        <v>16</v>
      </c>
    </row>
    <row r="5625" spans="1:9" x14ac:dyDescent="0.25">
      <c r="A5625">
        <v>1816</v>
      </c>
      <c r="B5625">
        <f>A5625+1</f>
        <v>1817</v>
      </c>
      <c r="C5625" t="s">
        <v>522</v>
      </c>
      <c r="D5625" t="s">
        <v>26</v>
      </c>
      <c r="E5625" s="208" t="s">
        <v>330</v>
      </c>
      <c r="F5625" t="s">
        <v>3</v>
      </c>
      <c r="G5625" s="18">
        <v>0</v>
      </c>
      <c r="H5625" t="s">
        <v>24</v>
      </c>
      <c r="I5625" t="s">
        <v>16</v>
      </c>
    </row>
    <row r="5626" spans="1:9" x14ac:dyDescent="0.25">
      <c r="A5626">
        <v>1816</v>
      </c>
      <c r="B5626">
        <f>A5626+1</f>
        <v>1817</v>
      </c>
      <c r="C5626" t="s">
        <v>522</v>
      </c>
      <c r="D5626" t="s">
        <v>26</v>
      </c>
      <c r="E5626" s="208" t="s">
        <v>331</v>
      </c>
      <c r="F5626" t="s">
        <v>3</v>
      </c>
      <c r="G5626" s="18">
        <v>0</v>
      </c>
      <c r="H5626" t="s">
        <v>24</v>
      </c>
      <c r="I5626" t="s">
        <v>16</v>
      </c>
    </row>
    <row r="5627" spans="1:9" x14ac:dyDescent="0.25">
      <c r="A5627">
        <v>1816</v>
      </c>
      <c r="B5627">
        <f>A5627+1</f>
        <v>1817</v>
      </c>
      <c r="C5627" t="s">
        <v>522</v>
      </c>
      <c r="D5627" t="s">
        <v>26</v>
      </c>
      <c r="E5627" s="208" t="s">
        <v>332</v>
      </c>
      <c r="F5627" t="s">
        <v>3</v>
      </c>
      <c r="G5627" s="18">
        <v>0</v>
      </c>
      <c r="H5627" t="s">
        <v>24</v>
      </c>
      <c r="I5627" t="s">
        <v>16</v>
      </c>
    </row>
    <row r="5628" spans="1:9" x14ac:dyDescent="0.25">
      <c r="A5628">
        <v>1816</v>
      </c>
      <c r="B5628">
        <f>A5628+1</f>
        <v>1817</v>
      </c>
      <c r="C5628" t="s">
        <v>522</v>
      </c>
      <c r="D5628" t="s">
        <v>26</v>
      </c>
      <c r="E5628" s="208" t="s">
        <v>333</v>
      </c>
      <c r="F5628" t="s">
        <v>3</v>
      </c>
      <c r="G5628" s="18">
        <v>0</v>
      </c>
      <c r="H5628" t="s">
        <v>24</v>
      </c>
      <c r="I5628" t="s">
        <v>16</v>
      </c>
    </row>
    <row r="5629" spans="1:9" x14ac:dyDescent="0.25">
      <c r="A5629">
        <v>1816</v>
      </c>
      <c r="B5629">
        <f>A5629+1</f>
        <v>1817</v>
      </c>
      <c r="C5629" t="s">
        <v>522</v>
      </c>
      <c r="D5629" t="s">
        <v>27</v>
      </c>
      <c r="E5629" s="208" t="s">
        <v>155</v>
      </c>
      <c r="F5629" t="s">
        <v>0</v>
      </c>
      <c r="G5629" s="18">
        <v>25943</v>
      </c>
      <c r="H5629" t="s">
        <v>16</v>
      </c>
      <c r="I5629" t="s">
        <v>18</v>
      </c>
    </row>
    <row r="5630" spans="1:9" x14ac:dyDescent="0.25">
      <c r="A5630">
        <v>1816</v>
      </c>
      <c r="B5630">
        <f>A5630+1</f>
        <v>1817</v>
      </c>
      <c r="C5630" t="s">
        <v>522</v>
      </c>
      <c r="D5630" t="s">
        <v>27</v>
      </c>
      <c r="E5630" s="208" t="s">
        <v>156</v>
      </c>
      <c r="F5630" t="s">
        <v>0</v>
      </c>
      <c r="G5630" s="18">
        <v>2267</v>
      </c>
      <c r="H5630" t="s">
        <v>16</v>
      </c>
      <c r="I5630" t="s">
        <v>18</v>
      </c>
    </row>
    <row r="5631" spans="1:9" x14ac:dyDescent="0.25">
      <c r="A5631">
        <v>1816</v>
      </c>
      <c r="B5631">
        <f>A5631+1</f>
        <v>1817</v>
      </c>
      <c r="C5631" t="s">
        <v>522</v>
      </c>
      <c r="D5631" t="s">
        <v>27</v>
      </c>
      <c r="E5631" s="208" t="s">
        <v>154</v>
      </c>
      <c r="F5631" t="s">
        <v>0</v>
      </c>
      <c r="G5631" s="18">
        <v>300</v>
      </c>
      <c r="H5631" t="s">
        <v>16</v>
      </c>
      <c r="I5631" t="s">
        <v>18</v>
      </c>
    </row>
    <row r="5632" spans="1:9" x14ac:dyDescent="0.25">
      <c r="A5632">
        <v>1816</v>
      </c>
      <c r="B5632">
        <f>A5632+1</f>
        <v>1817</v>
      </c>
      <c r="C5632" t="s">
        <v>522</v>
      </c>
      <c r="D5632" t="s">
        <v>27</v>
      </c>
      <c r="E5632" s="208" t="s">
        <v>150</v>
      </c>
      <c r="F5632" t="s">
        <v>0</v>
      </c>
      <c r="G5632" s="18">
        <v>5844</v>
      </c>
      <c r="H5632" t="s">
        <v>16</v>
      </c>
      <c r="I5632" t="s">
        <v>18</v>
      </c>
    </row>
    <row r="5633" spans="1:9" x14ac:dyDescent="0.25">
      <c r="A5633">
        <v>1816</v>
      </c>
      <c r="B5633">
        <f>A5633+1</f>
        <v>1817</v>
      </c>
      <c r="C5633" t="s">
        <v>522</v>
      </c>
      <c r="D5633" t="s">
        <v>27</v>
      </c>
      <c r="E5633" s="208" t="s">
        <v>148</v>
      </c>
      <c r="F5633" t="s">
        <v>0</v>
      </c>
      <c r="G5633" s="18">
        <v>247</v>
      </c>
      <c r="H5633" t="s">
        <v>16</v>
      </c>
      <c r="I5633" t="s">
        <v>18</v>
      </c>
    </row>
    <row r="5634" spans="1:9" x14ac:dyDescent="0.25">
      <c r="A5634">
        <v>1816</v>
      </c>
      <c r="B5634">
        <f>A5634+1</f>
        <v>1817</v>
      </c>
      <c r="C5634" t="s">
        <v>522</v>
      </c>
      <c r="D5634" t="s">
        <v>27</v>
      </c>
      <c r="E5634" s="208" t="s">
        <v>147</v>
      </c>
      <c r="F5634" t="s">
        <v>0</v>
      </c>
      <c r="G5634" s="18">
        <v>0</v>
      </c>
      <c r="H5634" t="s">
        <v>16</v>
      </c>
      <c r="I5634" t="s">
        <v>18</v>
      </c>
    </row>
    <row r="5635" spans="1:9" x14ac:dyDescent="0.25">
      <c r="A5635">
        <v>1816</v>
      </c>
      <c r="B5635">
        <f>A5635+1</f>
        <v>1817</v>
      </c>
      <c r="C5635" t="s">
        <v>522</v>
      </c>
      <c r="D5635" t="s">
        <v>27</v>
      </c>
      <c r="E5635" s="208" t="s">
        <v>314</v>
      </c>
      <c r="F5635" t="s">
        <v>0</v>
      </c>
      <c r="G5635" s="18">
        <v>0</v>
      </c>
      <c r="H5635" t="s">
        <v>16</v>
      </c>
      <c r="I5635" t="s">
        <v>18</v>
      </c>
    </row>
    <row r="5636" spans="1:9" x14ac:dyDescent="0.25">
      <c r="A5636">
        <v>1816</v>
      </c>
      <c r="B5636">
        <f>A5636+1</f>
        <v>1817</v>
      </c>
      <c r="C5636" t="s">
        <v>522</v>
      </c>
      <c r="D5636" t="s">
        <v>27</v>
      </c>
      <c r="E5636" s="208" t="s">
        <v>139</v>
      </c>
      <c r="F5636" t="s">
        <v>0</v>
      </c>
      <c r="G5636" s="18">
        <v>0</v>
      </c>
      <c r="H5636" t="s">
        <v>16</v>
      </c>
      <c r="I5636" t="s">
        <v>18</v>
      </c>
    </row>
    <row r="5637" spans="1:9" x14ac:dyDescent="0.25">
      <c r="A5637">
        <v>1816</v>
      </c>
      <c r="B5637">
        <f>A5637+1</f>
        <v>1817</v>
      </c>
      <c r="C5637" t="s">
        <v>522</v>
      </c>
      <c r="D5637" t="s">
        <v>27</v>
      </c>
      <c r="E5637" s="208" t="s">
        <v>132</v>
      </c>
      <c r="F5637" t="s">
        <v>0</v>
      </c>
      <c r="G5637" s="18">
        <v>1971</v>
      </c>
      <c r="H5637" t="s">
        <v>16</v>
      </c>
      <c r="I5637" t="s">
        <v>18</v>
      </c>
    </row>
    <row r="5638" spans="1:9" x14ac:dyDescent="0.25">
      <c r="A5638">
        <v>1816</v>
      </c>
      <c r="B5638">
        <f>A5638+1</f>
        <v>1817</v>
      </c>
      <c r="C5638" t="s">
        <v>522</v>
      </c>
      <c r="D5638" t="s">
        <v>27</v>
      </c>
      <c r="E5638" s="208" t="s">
        <v>130</v>
      </c>
      <c r="F5638" t="s">
        <v>0</v>
      </c>
      <c r="G5638" s="18">
        <v>267</v>
      </c>
      <c r="H5638" t="s">
        <v>16</v>
      </c>
      <c r="I5638" t="s">
        <v>18</v>
      </c>
    </row>
    <row r="5639" spans="1:9" x14ac:dyDescent="0.25">
      <c r="A5639">
        <v>1816</v>
      </c>
      <c r="B5639">
        <f>A5639+1</f>
        <v>1817</v>
      </c>
      <c r="C5639" t="s">
        <v>522</v>
      </c>
      <c r="D5639" t="s">
        <v>27</v>
      </c>
      <c r="E5639" s="208" t="s">
        <v>144</v>
      </c>
      <c r="F5639" t="s">
        <v>0</v>
      </c>
      <c r="G5639" s="18">
        <v>282</v>
      </c>
      <c r="H5639" t="s">
        <v>16</v>
      </c>
      <c r="I5639" t="s">
        <v>18</v>
      </c>
    </row>
    <row r="5640" spans="1:9" x14ac:dyDescent="0.25">
      <c r="A5640">
        <v>1816</v>
      </c>
      <c r="B5640">
        <f>A5640+1</f>
        <v>1817</v>
      </c>
      <c r="C5640" t="s">
        <v>522</v>
      </c>
      <c r="D5640" t="s">
        <v>27</v>
      </c>
      <c r="E5640" s="208" t="s">
        <v>142</v>
      </c>
      <c r="F5640" t="s">
        <v>0</v>
      </c>
      <c r="G5640" s="18">
        <v>720</v>
      </c>
      <c r="H5640" t="s">
        <v>16</v>
      </c>
      <c r="I5640" t="s">
        <v>18</v>
      </c>
    </row>
    <row r="5641" spans="1:9" x14ac:dyDescent="0.25">
      <c r="A5641">
        <v>1816</v>
      </c>
      <c r="B5641">
        <f>A5641+1</f>
        <v>1817</v>
      </c>
      <c r="C5641" t="s">
        <v>522</v>
      </c>
      <c r="D5641" t="s">
        <v>27</v>
      </c>
      <c r="E5641" s="208" t="s">
        <v>124</v>
      </c>
      <c r="F5641" t="s">
        <v>0</v>
      </c>
      <c r="G5641" s="18">
        <v>6942123</v>
      </c>
      <c r="H5641" t="s">
        <v>16</v>
      </c>
      <c r="I5641" t="s">
        <v>18</v>
      </c>
    </row>
    <row r="5642" spans="1:9" x14ac:dyDescent="0.25">
      <c r="A5642">
        <v>1816</v>
      </c>
      <c r="B5642">
        <f>A5642+1</f>
        <v>1817</v>
      </c>
      <c r="C5642" t="s">
        <v>522</v>
      </c>
      <c r="D5642" t="s">
        <v>26</v>
      </c>
      <c r="E5642" s="208" t="s">
        <v>62</v>
      </c>
      <c r="F5642" t="s">
        <v>169</v>
      </c>
      <c r="G5642" s="18">
        <v>1155</v>
      </c>
      <c r="H5642" t="s">
        <v>160</v>
      </c>
      <c r="I5642" t="s">
        <v>16</v>
      </c>
    </row>
    <row r="5643" spans="1:9" x14ac:dyDescent="0.25">
      <c r="A5643">
        <v>1816</v>
      </c>
      <c r="B5643">
        <f>A5643+1</f>
        <v>1817</v>
      </c>
      <c r="C5643" t="s">
        <v>522</v>
      </c>
      <c r="D5643" t="s">
        <v>26</v>
      </c>
      <c r="E5643" s="208" t="s">
        <v>36</v>
      </c>
      <c r="F5643" t="s">
        <v>169</v>
      </c>
      <c r="G5643" s="18">
        <v>201</v>
      </c>
      <c r="H5643" t="s">
        <v>160</v>
      </c>
      <c r="I5643" t="s">
        <v>16</v>
      </c>
    </row>
    <row r="5644" spans="1:9" x14ac:dyDescent="0.25">
      <c r="A5644">
        <v>1816</v>
      </c>
      <c r="B5644">
        <f>A5644+1</f>
        <v>1817</v>
      </c>
      <c r="C5644" t="s">
        <v>522</v>
      </c>
      <c r="D5644" t="s">
        <v>26</v>
      </c>
      <c r="E5644" s="208" t="s">
        <v>35</v>
      </c>
      <c r="F5644" t="s">
        <v>169</v>
      </c>
      <c r="G5644" s="18">
        <v>3789</v>
      </c>
      <c r="H5644" t="s">
        <v>160</v>
      </c>
      <c r="I5644" t="s">
        <v>16</v>
      </c>
    </row>
    <row r="5645" spans="1:9" x14ac:dyDescent="0.25">
      <c r="A5645">
        <v>1816</v>
      </c>
      <c r="B5645">
        <f>A5645+1</f>
        <v>1817</v>
      </c>
      <c r="C5645" t="s">
        <v>522</v>
      </c>
      <c r="D5645" t="s">
        <v>26</v>
      </c>
      <c r="E5645" s="208" t="s">
        <v>39</v>
      </c>
      <c r="F5645" t="s">
        <v>169</v>
      </c>
      <c r="G5645" s="18">
        <v>0</v>
      </c>
      <c r="H5645" t="s">
        <v>160</v>
      </c>
      <c r="I5645" t="s">
        <v>16</v>
      </c>
    </row>
    <row r="5646" spans="1:9" x14ac:dyDescent="0.25">
      <c r="A5646">
        <v>1816</v>
      </c>
      <c r="B5646">
        <f>A5646+1</f>
        <v>1817</v>
      </c>
      <c r="C5646" t="s">
        <v>522</v>
      </c>
      <c r="D5646" t="s">
        <v>26</v>
      </c>
      <c r="E5646" s="208" t="s">
        <v>99</v>
      </c>
      <c r="F5646" t="s">
        <v>169</v>
      </c>
      <c r="G5646" s="18">
        <v>0</v>
      </c>
      <c r="H5646" t="s">
        <v>160</v>
      </c>
      <c r="I5646" t="s">
        <v>16</v>
      </c>
    </row>
    <row r="5647" spans="1:9" x14ac:dyDescent="0.25">
      <c r="A5647">
        <v>1816</v>
      </c>
      <c r="B5647">
        <f>A5647+1</f>
        <v>1817</v>
      </c>
      <c r="C5647" t="s">
        <v>522</v>
      </c>
      <c r="D5647" t="s">
        <v>26</v>
      </c>
      <c r="E5647" s="208" t="s">
        <v>95</v>
      </c>
      <c r="F5647" t="s">
        <v>169</v>
      </c>
      <c r="G5647" s="18">
        <v>0</v>
      </c>
      <c r="H5647" t="s">
        <v>160</v>
      </c>
      <c r="I5647" t="s">
        <v>16</v>
      </c>
    </row>
    <row r="5648" spans="1:9" x14ac:dyDescent="0.25">
      <c r="A5648">
        <v>1816</v>
      </c>
      <c r="B5648">
        <f>A5648+1</f>
        <v>1817</v>
      </c>
      <c r="C5648" t="s">
        <v>522</v>
      </c>
      <c r="D5648" t="s">
        <v>26</v>
      </c>
      <c r="E5648" s="208" t="s">
        <v>94</v>
      </c>
      <c r="F5648" t="s">
        <v>169</v>
      </c>
      <c r="G5648" s="18">
        <v>450</v>
      </c>
      <c r="H5648" t="s">
        <v>160</v>
      </c>
      <c r="I5648" t="s">
        <v>16</v>
      </c>
    </row>
    <row r="5649" spans="1:9" x14ac:dyDescent="0.25">
      <c r="A5649">
        <v>1816</v>
      </c>
      <c r="B5649">
        <f>A5649+1</f>
        <v>1817</v>
      </c>
      <c r="C5649" t="s">
        <v>522</v>
      </c>
      <c r="D5649" t="s">
        <v>26</v>
      </c>
      <c r="E5649" s="208" t="s">
        <v>386</v>
      </c>
      <c r="F5649" t="s">
        <v>169</v>
      </c>
      <c r="G5649" s="18">
        <v>0</v>
      </c>
      <c r="H5649" t="s">
        <v>160</v>
      </c>
      <c r="I5649" t="s">
        <v>16</v>
      </c>
    </row>
    <row r="5650" spans="1:9" x14ac:dyDescent="0.25">
      <c r="A5650">
        <v>1816</v>
      </c>
      <c r="B5650">
        <f>A5650+1</f>
        <v>1817</v>
      </c>
      <c r="C5650" t="s">
        <v>522</v>
      </c>
      <c r="D5650" t="s">
        <v>26</v>
      </c>
      <c r="E5650" s="208" t="s">
        <v>387</v>
      </c>
      <c r="F5650" t="s">
        <v>169</v>
      </c>
      <c r="G5650" s="18">
        <v>0</v>
      </c>
      <c r="H5650" t="s">
        <v>160</v>
      </c>
      <c r="I5650" t="s">
        <v>16</v>
      </c>
    </row>
    <row r="5651" spans="1:9" x14ac:dyDescent="0.25">
      <c r="A5651">
        <v>1816</v>
      </c>
      <c r="B5651">
        <f>A5651+1</f>
        <v>1817</v>
      </c>
      <c r="C5651" t="s">
        <v>522</v>
      </c>
      <c r="D5651" t="s">
        <v>26</v>
      </c>
      <c r="E5651" s="208" t="s">
        <v>388</v>
      </c>
      <c r="F5651" t="s">
        <v>169</v>
      </c>
      <c r="G5651" s="18">
        <v>0</v>
      </c>
      <c r="H5651" t="s">
        <v>160</v>
      </c>
      <c r="I5651" t="s">
        <v>16</v>
      </c>
    </row>
    <row r="5652" spans="1:9" x14ac:dyDescent="0.25">
      <c r="A5652">
        <v>1816</v>
      </c>
      <c r="B5652">
        <f>A5652+1</f>
        <v>1817</v>
      </c>
      <c r="C5652" t="s">
        <v>522</v>
      </c>
      <c r="D5652" t="s">
        <v>26</v>
      </c>
      <c r="E5652" s="208" t="s">
        <v>85</v>
      </c>
      <c r="F5652" t="s">
        <v>169</v>
      </c>
      <c r="G5652" s="18">
        <v>100</v>
      </c>
      <c r="H5652" t="s">
        <v>160</v>
      </c>
      <c r="I5652" t="s">
        <v>16</v>
      </c>
    </row>
    <row r="5653" spans="1:9" x14ac:dyDescent="0.25">
      <c r="A5653">
        <v>1816</v>
      </c>
      <c r="B5653">
        <f>A5653+1</f>
        <v>1817</v>
      </c>
      <c r="C5653" t="s">
        <v>522</v>
      </c>
      <c r="D5653" t="s">
        <v>26</v>
      </c>
      <c r="E5653" s="208" t="s">
        <v>107</v>
      </c>
      <c r="F5653" t="s">
        <v>169</v>
      </c>
      <c r="G5653" s="18">
        <v>0</v>
      </c>
      <c r="H5653" t="s">
        <v>160</v>
      </c>
      <c r="I5653" t="s">
        <v>16</v>
      </c>
    </row>
    <row r="5654" spans="1:9" x14ac:dyDescent="0.25">
      <c r="A5654">
        <v>1816</v>
      </c>
      <c r="B5654">
        <f>A5654+1</f>
        <v>1817</v>
      </c>
      <c r="C5654" t="s">
        <v>522</v>
      </c>
      <c r="D5654" t="s">
        <v>26</v>
      </c>
      <c r="E5654" s="208" t="s">
        <v>101</v>
      </c>
      <c r="F5654" t="s">
        <v>169</v>
      </c>
      <c r="G5654" s="18">
        <v>0</v>
      </c>
      <c r="H5654" t="s">
        <v>160</v>
      </c>
      <c r="I5654" t="s">
        <v>16</v>
      </c>
    </row>
    <row r="5655" spans="1:9" x14ac:dyDescent="0.25">
      <c r="A5655">
        <v>1816</v>
      </c>
      <c r="B5655">
        <f>A5655+1</f>
        <v>1817</v>
      </c>
      <c r="C5655" t="s">
        <v>522</v>
      </c>
      <c r="D5655" t="s">
        <v>26</v>
      </c>
      <c r="E5655" s="208" t="s">
        <v>75</v>
      </c>
      <c r="F5655" t="s">
        <v>169</v>
      </c>
      <c r="G5655" s="18">
        <v>0</v>
      </c>
      <c r="H5655" t="s">
        <v>160</v>
      </c>
      <c r="I5655" t="s">
        <v>16</v>
      </c>
    </row>
    <row r="5656" spans="1:9" x14ac:dyDescent="0.25">
      <c r="A5656">
        <v>1816</v>
      </c>
      <c r="B5656">
        <f>A5656+1</f>
        <v>1817</v>
      </c>
      <c r="C5656" t="s">
        <v>522</v>
      </c>
      <c r="D5656" t="s">
        <v>26</v>
      </c>
      <c r="E5656" s="208" t="s">
        <v>330</v>
      </c>
      <c r="F5656" t="s">
        <v>169</v>
      </c>
      <c r="G5656" s="18">
        <v>0</v>
      </c>
      <c r="H5656" t="s">
        <v>160</v>
      </c>
      <c r="I5656" t="s">
        <v>16</v>
      </c>
    </row>
    <row r="5657" spans="1:9" x14ac:dyDescent="0.25">
      <c r="A5657">
        <v>1816</v>
      </c>
      <c r="B5657">
        <f>A5657+1</f>
        <v>1817</v>
      </c>
      <c r="C5657" t="s">
        <v>522</v>
      </c>
      <c r="D5657" t="s">
        <v>26</v>
      </c>
      <c r="E5657" s="208" t="s">
        <v>331</v>
      </c>
      <c r="F5657" t="s">
        <v>169</v>
      </c>
      <c r="G5657" s="18">
        <v>0</v>
      </c>
      <c r="H5657" t="s">
        <v>160</v>
      </c>
      <c r="I5657" t="s">
        <v>16</v>
      </c>
    </row>
    <row r="5658" spans="1:9" x14ac:dyDescent="0.25">
      <c r="A5658">
        <v>1816</v>
      </c>
      <c r="B5658">
        <f>A5658+1</f>
        <v>1817</v>
      </c>
      <c r="C5658" t="s">
        <v>522</v>
      </c>
      <c r="D5658" t="s">
        <v>26</v>
      </c>
      <c r="E5658" s="208" t="s">
        <v>332</v>
      </c>
      <c r="F5658" t="s">
        <v>169</v>
      </c>
      <c r="G5658" s="18">
        <v>0</v>
      </c>
      <c r="H5658" t="s">
        <v>160</v>
      </c>
      <c r="I5658" t="s">
        <v>16</v>
      </c>
    </row>
    <row r="5659" spans="1:9" x14ac:dyDescent="0.25">
      <c r="A5659">
        <v>1816</v>
      </c>
      <c r="B5659">
        <f>A5659+1</f>
        <v>1817</v>
      </c>
      <c r="C5659" t="s">
        <v>522</v>
      </c>
      <c r="D5659" t="s">
        <v>26</v>
      </c>
      <c r="E5659" s="208" t="s">
        <v>333</v>
      </c>
      <c r="F5659" t="s">
        <v>169</v>
      </c>
      <c r="G5659" s="18">
        <v>0</v>
      </c>
      <c r="H5659" t="s">
        <v>160</v>
      </c>
      <c r="I5659" t="s">
        <v>16</v>
      </c>
    </row>
    <row r="5660" spans="1:9" x14ac:dyDescent="0.25">
      <c r="A5660">
        <v>1816</v>
      </c>
      <c r="B5660">
        <f>A5660+1</f>
        <v>1817</v>
      </c>
      <c r="C5660" t="s">
        <v>522</v>
      </c>
      <c r="D5660" t="s">
        <v>27</v>
      </c>
      <c r="E5660" s="208" t="s">
        <v>155</v>
      </c>
      <c r="F5660" t="s">
        <v>1</v>
      </c>
      <c r="G5660" s="18">
        <v>1313</v>
      </c>
      <c r="H5660" t="s">
        <v>16</v>
      </c>
      <c r="I5660" t="s">
        <v>21</v>
      </c>
    </row>
    <row r="5661" spans="1:9" x14ac:dyDescent="0.25">
      <c r="A5661">
        <v>1816</v>
      </c>
      <c r="B5661">
        <f>A5661+1</f>
        <v>1817</v>
      </c>
      <c r="C5661" t="s">
        <v>522</v>
      </c>
      <c r="D5661" t="s">
        <v>27</v>
      </c>
      <c r="E5661" s="208" t="s">
        <v>156</v>
      </c>
      <c r="F5661" t="s">
        <v>1</v>
      </c>
      <c r="G5661" s="18">
        <v>109</v>
      </c>
      <c r="H5661" t="s">
        <v>16</v>
      </c>
      <c r="I5661" t="s">
        <v>21</v>
      </c>
    </row>
    <row r="5662" spans="1:9" x14ac:dyDescent="0.25">
      <c r="A5662">
        <v>1816</v>
      </c>
      <c r="B5662">
        <f>A5662+1</f>
        <v>1817</v>
      </c>
      <c r="C5662" t="s">
        <v>522</v>
      </c>
      <c r="D5662" t="s">
        <v>27</v>
      </c>
      <c r="E5662" s="208" t="s">
        <v>154</v>
      </c>
      <c r="F5662" t="s">
        <v>1</v>
      </c>
      <c r="G5662" s="18">
        <v>222</v>
      </c>
      <c r="H5662" t="s">
        <v>16</v>
      </c>
      <c r="I5662" t="s">
        <v>21</v>
      </c>
    </row>
    <row r="5663" spans="1:9" x14ac:dyDescent="0.25">
      <c r="A5663">
        <v>1816</v>
      </c>
      <c r="B5663">
        <f>A5663+1</f>
        <v>1817</v>
      </c>
      <c r="C5663" t="s">
        <v>522</v>
      </c>
      <c r="D5663" t="s">
        <v>27</v>
      </c>
      <c r="E5663" s="208" t="s">
        <v>150</v>
      </c>
      <c r="F5663" t="s">
        <v>1</v>
      </c>
      <c r="G5663" s="18">
        <v>1162</v>
      </c>
      <c r="H5663" t="s">
        <v>16</v>
      </c>
      <c r="I5663" t="s">
        <v>21</v>
      </c>
    </row>
    <row r="5664" spans="1:9" x14ac:dyDescent="0.25">
      <c r="A5664">
        <v>1816</v>
      </c>
      <c r="B5664">
        <f>A5664+1</f>
        <v>1817</v>
      </c>
      <c r="C5664" t="s">
        <v>522</v>
      </c>
      <c r="D5664" t="s">
        <v>27</v>
      </c>
      <c r="E5664" s="208" t="s">
        <v>148</v>
      </c>
      <c r="F5664" t="s">
        <v>1</v>
      </c>
      <c r="G5664" s="18">
        <v>128</v>
      </c>
      <c r="H5664" t="s">
        <v>16</v>
      </c>
      <c r="I5664" t="s">
        <v>21</v>
      </c>
    </row>
    <row r="5665" spans="1:9" x14ac:dyDescent="0.25">
      <c r="A5665">
        <v>1816</v>
      </c>
      <c r="B5665">
        <f>A5665+1</f>
        <v>1817</v>
      </c>
      <c r="C5665" t="s">
        <v>522</v>
      </c>
      <c r="D5665" t="s">
        <v>27</v>
      </c>
      <c r="E5665" s="208" t="s">
        <v>147</v>
      </c>
      <c r="F5665" t="s">
        <v>1</v>
      </c>
      <c r="G5665" s="18">
        <v>0</v>
      </c>
      <c r="H5665" t="s">
        <v>16</v>
      </c>
      <c r="I5665" t="s">
        <v>21</v>
      </c>
    </row>
    <row r="5666" spans="1:9" x14ac:dyDescent="0.25">
      <c r="A5666">
        <v>1816</v>
      </c>
      <c r="B5666">
        <f>A5666+1</f>
        <v>1817</v>
      </c>
      <c r="C5666" t="s">
        <v>522</v>
      </c>
      <c r="D5666" t="s">
        <v>27</v>
      </c>
      <c r="E5666" s="208" t="s">
        <v>314</v>
      </c>
      <c r="F5666" t="s">
        <v>1</v>
      </c>
      <c r="G5666" s="18">
        <v>0</v>
      </c>
      <c r="H5666" t="s">
        <v>16</v>
      </c>
      <c r="I5666" t="s">
        <v>21</v>
      </c>
    </row>
    <row r="5667" spans="1:9" x14ac:dyDescent="0.25">
      <c r="A5667">
        <v>1816</v>
      </c>
      <c r="B5667">
        <f>A5667+1</f>
        <v>1817</v>
      </c>
      <c r="C5667" t="s">
        <v>522</v>
      </c>
      <c r="D5667" t="s">
        <v>27</v>
      </c>
      <c r="E5667" s="208" t="s">
        <v>139</v>
      </c>
      <c r="F5667" t="s">
        <v>1</v>
      </c>
      <c r="G5667" s="18">
        <v>0</v>
      </c>
      <c r="H5667" t="s">
        <v>16</v>
      </c>
      <c r="I5667" t="s">
        <v>21</v>
      </c>
    </row>
    <row r="5668" spans="1:9" x14ac:dyDescent="0.25">
      <c r="A5668">
        <v>1816</v>
      </c>
      <c r="B5668">
        <f>A5668+1</f>
        <v>1817</v>
      </c>
      <c r="C5668" t="s">
        <v>522</v>
      </c>
      <c r="D5668" t="s">
        <v>27</v>
      </c>
      <c r="E5668" s="208" t="s">
        <v>132</v>
      </c>
      <c r="F5668" t="s">
        <v>1</v>
      </c>
      <c r="G5668" s="18">
        <v>182</v>
      </c>
      <c r="H5668" t="s">
        <v>16</v>
      </c>
      <c r="I5668" t="s">
        <v>21</v>
      </c>
    </row>
    <row r="5669" spans="1:9" x14ac:dyDescent="0.25">
      <c r="A5669">
        <v>1816</v>
      </c>
      <c r="B5669">
        <f>A5669+1</f>
        <v>1817</v>
      </c>
      <c r="C5669" t="s">
        <v>522</v>
      </c>
      <c r="D5669" t="s">
        <v>27</v>
      </c>
      <c r="E5669" s="208" t="s">
        <v>130</v>
      </c>
      <c r="F5669" t="s">
        <v>1</v>
      </c>
      <c r="G5669" s="18">
        <v>0</v>
      </c>
      <c r="H5669" t="s">
        <v>16</v>
      </c>
      <c r="I5669" t="s">
        <v>21</v>
      </c>
    </row>
    <row r="5670" spans="1:9" x14ac:dyDescent="0.25">
      <c r="A5670">
        <v>1816</v>
      </c>
      <c r="B5670">
        <f>A5670+1</f>
        <v>1817</v>
      </c>
      <c r="C5670" t="s">
        <v>522</v>
      </c>
      <c r="D5670" t="s">
        <v>27</v>
      </c>
      <c r="E5670" s="208" t="s">
        <v>144</v>
      </c>
      <c r="F5670" t="s">
        <v>1</v>
      </c>
      <c r="G5670" s="18">
        <v>5</v>
      </c>
      <c r="H5670" t="s">
        <v>16</v>
      </c>
      <c r="I5670" t="s">
        <v>21</v>
      </c>
    </row>
    <row r="5671" spans="1:9" x14ac:dyDescent="0.25">
      <c r="A5671">
        <v>1816</v>
      </c>
      <c r="B5671">
        <f>A5671+1</f>
        <v>1817</v>
      </c>
      <c r="C5671" t="s">
        <v>522</v>
      </c>
      <c r="D5671" t="s">
        <v>27</v>
      </c>
      <c r="E5671" s="208" t="s">
        <v>142</v>
      </c>
      <c r="F5671" t="s">
        <v>1</v>
      </c>
      <c r="G5671" s="18">
        <v>50</v>
      </c>
      <c r="H5671" t="s">
        <v>16</v>
      </c>
      <c r="I5671" t="s">
        <v>21</v>
      </c>
    </row>
    <row r="5672" spans="1:9" x14ac:dyDescent="0.25">
      <c r="A5672">
        <v>1816</v>
      </c>
      <c r="B5672">
        <f>A5672+1</f>
        <v>1817</v>
      </c>
      <c r="C5672" t="s">
        <v>522</v>
      </c>
      <c r="D5672" t="s">
        <v>27</v>
      </c>
      <c r="E5672" s="208" t="s">
        <v>124</v>
      </c>
      <c r="F5672" t="s">
        <v>1</v>
      </c>
      <c r="G5672" s="18">
        <v>296498</v>
      </c>
      <c r="H5672" t="s">
        <v>16</v>
      </c>
      <c r="I5672" t="s">
        <v>21</v>
      </c>
    </row>
    <row r="5673" spans="1:9" x14ac:dyDescent="0.25">
      <c r="A5673">
        <v>1816</v>
      </c>
      <c r="B5673">
        <f>A5673+1</f>
        <v>1817</v>
      </c>
      <c r="C5673" t="s">
        <v>522</v>
      </c>
      <c r="D5673" t="s">
        <v>27</v>
      </c>
      <c r="E5673" s="208" t="s">
        <v>155</v>
      </c>
      <c r="F5673" t="s">
        <v>6</v>
      </c>
      <c r="G5673" s="18">
        <v>0</v>
      </c>
      <c r="H5673" t="s">
        <v>16</v>
      </c>
      <c r="I5673" t="s">
        <v>25</v>
      </c>
    </row>
    <row r="5674" spans="1:9" x14ac:dyDescent="0.25">
      <c r="A5674">
        <v>1816</v>
      </c>
      <c r="B5674">
        <f>A5674+1</f>
        <v>1817</v>
      </c>
      <c r="C5674" t="s">
        <v>522</v>
      </c>
      <c r="D5674" t="s">
        <v>27</v>
      </c>
      <c r="E5674" s="208" t="s">
        <v>156</v>
      </c>
      <c r="F5674" t="s">
        <v>6</v>
      </c>
      <c r="G5674" s="18">
        <v>0</v>
      </c>
      <c r="H5674" t="s">
        <v>16</v>
      </c>
      <c r="I5674" t="s">
        <v>25</v>
      </c>
    </row>
    <row r="5675" spans="1:9" x14ac:dyDescent="0.25">
      <c r="A5675">
        <v>1816</v>
      </c>
      <c r="B5675">
        <f>A5675+1</f>
        <v>1817</v>
      </c>
      <c r="C5675" t="s">
        <v>522</v>
      </c>
      <c r="D5675" t="s">
        <v>27</v>
      </c>
      <c r="E5675" s="208" t="s">
        <v>154</v>
      </c>
      <c r="F5675" t="s">
        <v>6</v>
      </c>
      <c r="G5675" s="18">
        <v>0</v>
      </c>
      <c r="H5675" t="s">
        <v>16</v>
      </c>
      <c r="I5675" t="s">
        <v>25</v>
      </c>
    </row>
    <row r="5676" spans="1:9" x14ac:dyDescent="0.25">
      <c r="A5676">
        <v>1816</v>
      </c>
      <c r="B5676">
        <f>A5676+1</f>
        <v>1817</v>
      </c>
      <c r="C5676" t="s">
        <v>522</v>
      </c>
      <c r="D5676" t="s">
        <v>27</v>
      </c>
      <c r="E5676" s="208" t="s">
        <v>150</v>
      </c>
      <c r="F5676" t="s">
        <v>6</v>
      </c>
      <c r="G5676" s="18">
        <v>401</v>
      </c>
      <c r="H5676" t="s">
        <v>16</v>
      </c>
      <c r="I5676" t="s">
        <v>25</v>
      </c>
    </row>
    <row r="5677" spans="1:9" x14ac:dyDescent="0.25">
      <c r="A5677">
        <v>1816</v>
      </c>
      <c r="B5677">
        <f>A5677+1</f>
        <v>1817</v>
      </c>
      <c r="C5677" t="s">
        <v>522</v>
      </c>
      <c r="D5677" t="s">
        <v>27</v>
      </c>
      <c r="E5677" s="208" t="s">
        <v>148</v>
      </c>
      <c r="F5677" t="s">
        <v>6</v>
      </c>
      <c r="G5677" s="18">
        <v>141</v>
      </c>
      <c r="H5677" t="s">
        <v>16</v>
      </c>
      <c r="I5677" t="s">
        <v>25</v>
      </c>
    </row>
    <row r="5678" spans="1:9" x14ac:dyDescent="0.25">
      <c r="A5678">
        <v>1816</v>
      </c>
      <c r="B5678">
        <f>A5678+1</f>
        <v>1817</v>
      </c>
      <c r="C5678" t="s">
        <v>522</v>
      </c>
      <c r="D5678" t="s">
        <v>27</v>
      </c>
      <c r="E5678" s="208" t="s">
        <v>147</v>
      </c>
      <c r="F5678" t="s">
        <v>6</v>
      </c>
      <c r="G5678" s="18">
        <v>203</v>
      </c>
      <c r="H5678" t="s">
        <v>16</v>
      </c>
      <c r="I5678" t="s">
        <v>25</v>
      </c>
    </row>
    <row r="5679" spans="1:9" x14ac:dyDescent="0.25">
      <c r="A5679">
        <v>1816</v>
      </c>
      <c r="B5679">
        <f>A5679+1</f>
        <v>1817</v>
      </c>
      <c r="C5679" t="s">
        <v>522</v>
      </c>
      <c r="D5679" t="s">
        <v>27</v>
      </c>
      <c r="E5679" s="208" t="s">
        <v>314</v>
      </c>
      <c r="F5679" t="s">
        <v>6</v>
      </c>
      <c r="G5679" s="18">
        <v>915</v>
      </c>
      <c r="H5679" t="s">
        <v>16</v>
      </c>
      <c r="I5679" t="s">
        <v>25</v>
      </c>
    </row>
    <row r="5680" spans="1:9" x14ac:dyDescent="0.25">
      <c r="A5680">
        <v>1816</v>
      </c>
      <c r="B5680">
        <f>A5680+1</f>
        <v>1817</v>
      </c>
      <c r="C5680" t="s">
        <v>522</v>
      </c>
      <c r="D5680" t="s">
        <v>27</v>
      </c>
      <c r="E5680" s="208" t="s">
        <v>139</v>
      </c>
      <c r="F5680" t="s">
        <v>6</v>
      </c>
      <c r="G5680" s="18">
        <v>0</v>
      </c>
      <c r="H5680" t="s">
        <v>16</v>
      </c>
      <c r="I5680" t="s">
        <v>25</v>
      </c>
    </row>
    <row r="5681" spans="1:9" x14ac:dyDescent="0.25">
      <c r="A5681">
        <v>1816</v>
      </c>
      <c r="B5681">
        <f>A5681+1</f>
        <v>1817</v>
      </c>
      <c r="C5681" t="s">
        <v>522</v>
      </c>
      <c r="D5681" t="s">
        <v>27</v>
      </c>
      <c r="E5681" s="208" t="s">
        <v>132</v>
      </c>
      <c r="F5681" t="s">
        <v>6</v>
      </c>
      <c r="G5681" s="18">
        <v>0</v>
      </c>
      <c r="H5681" t="s">
        <v>16</v>
      </c>
      <c r="I5681" t="s">
        <v>25</v>
      </c>
    </row>
    <row r="5682" spans="1:9" x14ac:dyDescent="0.25">
      <c r="A5682">
        <v>1816</v>
      </c>
      <c r="B5682">
        <f>A5682+1</f>
        <v>1817</v>
      </c>
      <c r="C5682" t="s">
        <v>522</v>
      </c>
      <c r="D5682" t="s">
        <v>27</v>
      </c>
      <c r="E5682" s="208" t="s">
        <v>130</v>
      </c>
      <c r="F5682" t="s">
        <v>6</v>
      </c>
      <c r="G5682" s="18">
        <v>0</v>
      </c>
      <c r="H5682" t="s">
        <v>16</v>
      </c>
      <c r="I5682" t="s">
        <v>25</v>
      </c>
    </row>
    <row r="5683" spans="1:9" x14ac:dyDescent="0.25">
      <c r="A5683">
        <v>1816</v>
      </c>
      <c r="B5683">
        <f>A5683+1</f>
        <v>1817</v>
      </c>
      <c r="C5683" t="s">
        <v>522</v>
      </c>
      <c r="D5683" t="s">
        <v>27</v>
      </c>
      <c r="E5683" s="208" t="s">
        <v>144</v>
      </c>
      <c r="F5683" t="s">
        <v>6</v>
      </c>
      <c r="G5683" s="18">
        <v>0</v>
      </c>
      <c r="H5683" t="s">
        <v>16</v>
      </c>
      <c r="I5683" t="s">
        <v>25</v>
      </c>
    </row>
    <row r="5684" spans="1:9" x14ac:dyDescent="0.25">
      <c r="A5684">
        <v>1816</v>
      </c>
      <c r="B5684">
        <f>A5684+1</f>
        <v>1817</v>
      </c>
      <c r="C5684" t="s">
        <v>522</v>
      </c>
      <c r="D5684" t="s">
        <v>27</v>
      </c>
      <c r="E5684" s="208" t="s">
        <v>142</v>
      </c>
      <c r="F5684" t="s">
        <v>6</v>
      </c>
      <c r="G5684" s="18">
        <v>0</v>
      </c>
      <c r="H5684" t="s">
        <v>16</v>
      </c>
      <c r="I5684" t="s">
        <v>25</v>
      </c>
    </row>
    <row r="5685" spans="1:9" x14ac:dyDescent="0.25">
      <c r="A5685">
        <v>1816</v>
      </c>
      <c r="B5685">
        <f>A5685+1</f>
        <v>1817</v>
      </c>
      <c r="C5685" t="s">
        <v>522</v>
      </c>
      <c r="D5685" t="s">
        <v>27</v>
      </c>
      <c r="E5685" s="208" t="s">
        <v>124</v>
      </c>
      <c r="F5685" t="s">
        <v>6</v>
      </c>
      <c r="G5685" s="18">
        <v>0</v>
      </c>
      <c r="H5685" t="s">
        <v>16</v>
      </c>
      <c r="I5685" t="s">
        <v>25</v>
      </c>
    </row>
    <row r="5686" spans="1:9" x14ac:dyDescent="0.25">
      <c r="A5686">
        <v>1816</v>
      </c>
      <c r="B5686">
        <f>A5686+1</f>
        <v>1817</v>
      </c>
      <c r="C5686" t="s">
        <v>522</v>
      </c>
      <c r="D5686" t="s">
        <v>26</v>
      </c>
      <c r="E5686" s="208" t="s">
        <v>62</v>
      </c>
      <c r="F5686" t="s">
        <v>6</v>
      </c>
      <c r="G5686" s="18">
        <v>0</v>
      </c>
      <c r="H5686" t="s">
        <v>25</v>
      </c>
      <c r="I5686" t="s">
        <v>16</v>
      </c>
    </row>
    <row r="5687" spans="1:9" x14ac:dyDescent="0.25">
      <c r="A5687">
        <v>1816</v>
      </c>
      <c r="B5687">
        <f>A5687+1</f>
        <v>1817</v>
      </c>
      <c r="C5687" t="s">
        <v>522</v>
      </c>
      <c r="D5687" t="s">
        <v>26</v>
      </c>
      <c r="E5687" s="208" t="s">
        <v>36</v>
      </c>
      <c r="F5687" t="s">
        <v>6</v>
      </c>
      <c r="G5687" s="18">
        <v>0</v>
      </c>
      <c r="H5687" t="s">
        <v>25</v>
      </c>
      <c r="I5687" t="s">
        <v>16</v>
      </c>
    </row>
    <row r="5688" spans="1:9" x14ac:dyDescent="0.25">
      <c r="A5688">
        <v>1816</v>
      </c>
      <c r="B5688">
        <f>A5688+1</f>
        <v>1817</v>
      </c>
      <c r="C5688" t="s">
        <v>522</v>
      </c>
      <c r="D5688" t="s">
        <v>26</v>
      </c>
      <c r="E5688" s="208" t="s">
        <v>35</v>
      </c>
      <c r="F5688" t="s">
        <v>6</v>
      </c>
      <c r="G5688" s="18">
        <v>0</v>
      </c>
      <c r="H5688" t="s">
        <v>25</v>
      </c>
      <c r="I5688" t="s">
        <v>16</v>
      </c>
    </row>
    <row r="5689" spans="1:9" x14ac:dyDescent="0.25">
      <c r="A5689">
        <v>1816</v>
      </c>
      <c r="B5689">
        <f>A5689+1</f>
        <v>1817</v>
      </c>
      <c r="C5689" t="s">
        <v>522</v>
      </c>
      <c r="D5689" t="s">
        <v>26</v>
      </c>
      <c r="E5689" s="208" t="s">
        <v>39</v>
      </c>
      <c r="F5689" t="s">
        <v>6</v>
      </c>
      <c r="G5689" s="18">
        <v>0</v>
      </c>
      <c r="H5689" t="s">
        <v>25</v>
      </c>
      <c r="I5689" t="s">
        <v>16</v>
      </c>
    </row>
    <row r="5690" spans="1:9" x14ac:dyDescent="0.25">
      <c r="A5690">
        <v>1816</v>
      </c>
      <c r="B5690">
        <f>A5690+1</f>
        <v>1817</v>
      </c>
      <c r="C5690" t="s">
        <v>522</v>
      </c>
      <c r="D5690" t="s">
        <v>26</v>
      </c>
      <c r="E5690" s="208" t="s">
        <v>99</v>
      </c>
      <c r="F5690" t="s">
        <v>6</v>
      </c>
      <c r="G5690" s="18">
        <v>0</v>
      </c>
      <c r="H5690" t="s">
        <v>25</v>
      </c>
      <c r="I5690" t="s">
        <v>16</v>
      </c>
    </row>
    <row r="5691" spans="1:9" x14ac:dyDescent="0.25">
      <c r="A5691">
        <v>1816</v>
      </c>
      <c r="B5691">
        <f>A5691+1</f>
        <v>1817</v>
      </c>
      <c r="C5691" t="s">
        <v>522</v>
      </c>
      <c r="D5691" t="s">
        <v>26</v>
      </c>
      <c r="E5691" s="208" t="s">
        <v>95</v>
      </c>
      <c r="F5691" t="s">
        <v>6</v>
      </c>
      <c r="G5691" s="18">
        <v>396</v>
      </c>
      <c r="H5691" t="s">
        <v>25</v>
      </c>
      <c r="I5691" t="s">
        <v>16</v>
      </c>
    </row>
    <row r="5692" spans="1:9" x14ac:dyDescent="0.25">
      <c r="A5692">
        <v>1816</v>
      </c>
      <c r="B5692">
        <f>A5692+1</f>
        <v>1817</v>
      </c>
      <c r="C5692" t="s">
        <v>522</v>
      </c>
      <c r="D5692" t="s">
        <v>26</v>
      </c>
      <c r="E5692" s="208" t="s">
        <v>94</v>
      </c>
      <c r="F5692" t="s">
        <v>6</v>
      </c>
      <c r="G5692" s="18">
        <v>4026</v>
      </c>
      <c r="H5692" t="s">
        <v>25</v>
      </c>
      <c r="I5692" t="s">
        <v>16</v>
      </c>
    </row>
    <row r="5693" spans="1:9" x14ac:dyDescent="0.25">
      <c r="A5693">
        <v>1816</v>
      </c>
      <c r="B5693">
        <f>A5693+1</f>
        <v>1817</v>
      </c>
      <c r="C5693" t="s">
        <v>522</v>
      </c>
      <c r="D5693" t="s">
        <v>26</v>
      </c>
      <c r="E5693" s="208" t="s">
        <v>386</v>
      </c>
      <c r="F5693" t="s">
        <v>6</v>
      </c>
      <c r="G5693" s="18">
        <v>17797</v>
      </c>
      <c r="H5693" t="s">
        <v>25</v>
      </c>
      <c r="I5693" t="s">
        <v>16</v>
      </c>
    </row>
    <row r="5694" spans="1:9" x14ac:dyDescent="0.25">
      <c r="A5694">
        <v>1816</v>
      </c>
      <c r="B5694">
        <f>A5694+1</f>
        <v>1817</v>
      </c>
      <c r="C5694" t="s">
        <v>522</v>
      </c>
      <c r="D5694" t="s">
        <v>26</v>
      </c>
      <c r="E5694" s="208" t="s">
        <v>387</v>
      </c>
      <c r="F5694" t="s">
        <v>6</v>
      </c>
      <c r="G5694" s="18">
        <v>1243</v>
      </c>
      <c r="H5694" t="s">
        <v>25</v>
      </c>
      <c r="I5694" t="s">
        <v>16</v>
      </c>
    </row>
    <row r="5695" spans="1:9" x14ac:dyDescent="0.25">
      <c r="A5695">
        <v>1816</v>
      </c>
      <c r="B5695">
        <f>A5695+1</f>
        <v>1817</v>
      </c>
      <c r="C5695" t="s">
        <v>522</v>
      </c>
      <c r="D5695" t="s">
        <v>26</v>
      </c>
      <c r="E5695" s="208" t="s">
        <v>388</v>
      </c>
      <c r="F5695" t="s">
        <v>6</v>
      </c>
      <c r="G5695" s="18">
        <v>104</v>
      </c>
      <c r="H5695" t="s">
        <v>25</v>
      </c>
      <c r="I5695" t="s">
        <v>16</v>
      </c>
    </row>
    <row r="5696" spans="1:9" x14ac:dyDescent="0.25">
      <c r="A5696">
        <v>1816</v>
      </c>
      <c r="B5696">
        <f>A5696+1</f>
        <v>1817</v>
      </c>
      <c r="C5696" t="s">
        <v>522</v>
      </c>
      <c r="D5696" t="s">
        <v>26</v>
      </c>
      <c r="E5696" s="208" t="s">
        <v>85</v>
      </c>
      <c r="F5696" t="s">
        <v>6</v>
      </c>
      <c r="G5696" s="18">
        <v>23</v>
      </c>
      <c r="H5696" t="s">
        <v>25</v>
      </c>
      <c r="I5696" t="s">
        <v>16</v>
      </c>
    </row>
    <row r="5697" spans="1:9" x14ac:dyDescent="0.25">
      <c r="A5697">
        <v>1816</v>
      </c>
      <c r="B5697">
        <f>A5697+1</f>
        <v>1817</v>
      </c>
      <c r="C5697" t="s">
        <v>522</v>
      </c>
      <c r="D5697" t="s">
        <v>26</v>
      </c>
      <c r="E5697" s="208" t="s">
        <v>107</v>
      </c>
      <c r="F5697" t="s">
        <v>6</v>
      </c>
      <c r="G5697" s="18">
        <v>0</v>
      </c>
      <c r="H5697" t="s">
        <v>25</v>
      </c>
      <c r="I5697" t="s">
        <v>16</v>
      </c>
    </row>
    <row r="5698" spans="1:9" x14ac:dyDescent="0.25">
      <c r="A5698">
        <v>1816</v>
      </c>
      <c r="B5698">
        <f>A5698+1</f>
        <v>1817</v>
      </c>
      <c r="C5698" t="s">
        <v>522</v>
      </c>
      <c r="D5698" t="s">
        <v>26</v>
      </c>
      <c r="E5698" s="208" t="s">
        <v>101</v>
      </c>
      <c r="F5698" t="s">
        <v>6</v>
      </c>
      <c r="G5698" s="18">
        <v>0</v>
      </c>
      <c r="H5698" t="s">
        <v>25</v>
      </c>
      <c r="I5698" t="s">
        <v>16</v>
      </c>
    </row>
    <row r="5699" spans="1:9" x14ac:dyDescent="0.25">
      <c r="A5699">
        <v>1816</v>
      </c>
      <c r="B5699">
        <f>A5699+1</f>
        <v>1817</v>
      </c>
      <c r="C5699" t="s">
        <v>522</v>
      </c>
      <c r="D5699" t="s">
        <v>26</v>
      </c>
      <c r="E5699" s="208" t="s">
        <v>75</v>
      </c>
      <c r="F5699" t="s">
        <v>6</v>
      </c>
      <c r="G5699" s="18">
        <v>0</v>
      </c>
      <c r="H5699" t="s">
        <v>25</v>
      </c>
      <c r="I5699" t="s">
        <v>16</v>
      </c>
    </row>
    <row r="5700" spans="1:9" x14ac:dyDescent="0.25">
      <c r="A5700">
        <v>1816</v>
      </c>
      <c r="B5700">
        <f>A5700+1</f>
        <v>1817</v>
      </c>
      <c r="C5700" t="s">
        <v>522</v>
      </c>
      <c r="D5700" t="s">
        <v>26</v>
      </c>
      <c r="E5700" s="208" t="s">
        <v>330</v>
      </c>
      <c r="F5700" t="s">
        <v>6</v>
      </c>
      <c r="G5700" s="18">
        <v>638</v>
      </c>
      <c r="H5700" t="s">
        <v>25</v>
      </c>
      <c r="I5700" t="s">
        <v>16</v>
      </c>
    </row>
    <row r="5701" spans="1:9" x14ac:dyDescent="0.25">
      <c r="A5701">
        <v>1816</v>
      </c>
      <c r="B5701">
        <f>A5701+1</f>
        <v>1817</v>
      </c>
      <c r="C5701" t="s">
        <v>522</v>
      </c>
      <c r="D5701" t="s">
        <v>26</v>
      </c>
      <c r="E5701" s="208" t="s">
        <v>331</v>
      </c>
      <c r="F5701" t="s">
        <v>6</v>
      </c>
      <c r="G5701" s="18">
        <v>1999</v>
      </c>
      <c r="H5701" t="s">
        <v>25</v>
      </c>
      <c r="I5701" t="s">
        <v>16</v>
      </c>
    </row>
    <row r="5702" spans="1:9" x14ac:dyDescent="0.25">
      <c r="A5702">
        <v>1816</v>
      </c>
      <c r="B5702">
        <f>A5702+1</f>
        <v>1817</v>
      </c>
      <c r="C5702" t="s">
        <v>522</v>
      </c>
      <c r="D5702" t="s">
        <v>26</v>
      </c>
      <c r="E5702" s="208" t="s">
        <v>332</v>
      </c>
      <c r="F5702" t="s">
        <v>6</v>
      </c>
      <c r="G5702" s="18">
        <v>202</v>
      </c>
      <c r="H5702" t="s">
        <v>25</v>
      </c>
      <c r="I5702" t="s">
        <v>16</v>
      </c>
    </row>
    <row r="5703" spans="1:9" x14ac:dyDescent="0.25">
      <c r="A5703">
        <v>1816</v>
      </c>
      <c r="B5703">
        <f>A5703+1</f>
        <v>1817</v>
      </c>
      <c r="C5703" t="s">
        <v>522</v>
      </c>
      <c r="D5703" t="s">
        <v>26</v>
      </c>
      <c r="E5703" s="208" t="s">
        <v>333</v>
      </c>
      <c r="F5703" t="s">
        <v>6</v>
      </c>
      <c r="G5703" s="18">
        <v>2808</v>
      </c>
      <c r="H5703" t="s">
        <v>25</v>
      </c>
      <c r="I5703" t="s">
        <v>16</v>
      </c>
    </row>
    <row r="5704" spans="1:9" x14ac:dyDescent="0.25">
      <c r="A5704">
        <v>1816</v>
      </c>
      <c r="B5704">
        <f>A5704+1</f>
        <v>1817</v>
      </c>
      <c r="C5704" t="s">
        <v>522</v>
      </c>
      <c r="D5704" t="s">
        <v>27</v>
      </c>
      <c r="E5704" s="208" t="s">
        <v>155</v>
      </c>
      <c r="F5704" t="s">
        <v>4</v>
      </c>
      <c r="G5704" s="18">
        <v>804</v>
      </c>
      <c r="H5704" t="s">
        <v>16</v>
      </c>
      <c r="I5704" t="s">
        <v>23</v>
      </c>
    </row>
    <row r="5705" spans="1:9" x14ac:dyDescent="0.25">
      <c r="A5705">
        <v>1816</v>
      </c>
      <c r="B5705">
        <f>A5705+1</f>
        <v>1817</v>
      </c>
      <c r="C5705" t="s">
        <v>522</v>
      </c>
      <c r="D5705" t="s">
        <v>27</v>
      </c>
      <c r="E5705" s="208" t="s">
        <v>156</v>
      </c>
      <c r="F5705" t="s">
        <v>4</v>
      </c>
      <c r="G5705" s="18">
        <v>108</v>
      </c>
      <c r="H5705" t="s">
        <v>16</v>
      </c>
      <c r="I5705" t="s">
        <v>23</v>
      </c>
    </row>
    <row r="5706" spans="1:9" x14ac:dyDescent="0.25">
      <c r="A5706">
        <v>1816</v>
      </c>
      <c r="B5706">
        <f>A5706+1</f>
        <v>1817</v>
      </c>
      <c r="C5706" t="s">
        <v>522</v>
      </c>
      <c r="D5706" t="s">
        <v>27</v>
      </c>
      <c r="E5706" s="208" t="s">
        <v>154</v>
      </c>
      <c r="F5706" t="s">
        <v>4</v>
      </c>
      <c r="G5706" s="18">
        <v>392</v>
      </c>
      <c r="H5706" t="s">
        <v>16</v>
      </c>
      <c r="I5706" t="s">
        <v>23</v>
      </c>
    </row>
    <row r="5707" spans="1:9" x14ac:dyDescent="0.25">
      <c r="A5707">
        <v>1816</v>
      </c>
      <c r="B5707">
        <f>A5707+1</f>
        <v>1817</v>
      </c>
      <c r="C5707" t="s">
        <v>522</v>
      </c>
      <c r="D5707" t="s">
        <v>27</v>
      </c>
      <c r="E5707" s="208" t="s">
        <v>150</v>
      </c>
      <c r="F5707" t="s">
        <v>4</v>
      </c>
      <c r="G5707" s="18">
        <v>2071</v>
      </c>
      <c r="H5707" t="s">
        <v>16</v>
      </c>
      <c r="I5707" t="s">
        <v>23</v>
      </c>
    </row>
    <row r="5708" spans="1:9" x14ac:dyDescent="0.25">
      <c r="A5708">
        <v>1816</v>
      </c>
      <c r="B5708">
        <f>A5708+1</f>
        <v>1817</v>
      </c>
      <c r="C5708" t="s">
        <v>522</v>
      </c>
      <c r="D5708" t="s">
        <v>27</v>
      </c>
      <c r="E5708" s="208" t="s">
        <v>148</v>
      </c>
      <c r="F5708" t="s">
        <v>4</v>
      </c>
      <c r="G5708" s="18">
        <v>17</v>
      </c>
      <c r="H5708" t="s">
        <v>16</v>
      </c>
      <c r="I5708" t="s">
        <v>23</v>
      </c>
    </row>
    <row r="5709" spans="1:9" x14ac:dyDescent="0.25">
      <c r="A5709">
        <v>1816</v>
      </c>
      <c r="B5709">
        <f>A5709+1</f>
        <v>1817</v>
      </c>
      <c r="C5709" t="s">
        <v>522</v>
      </c>
      <c r="D5709" t="s">
        <v>27</v>
      </c>
      <c r="E5709" s="208" t="s">
        <v>147</v>
      </c>
      <c r="F5709" t="s">
        <v>4</v>
      </c>
      <c r="G5709" s="18">
        <v>0</v>
      </c>
      <c r="H5709" t="s">
        <v>16</v>
      </c>
      <c r="I5709" t="s">
        <v>23</v>
      </c>
    </row>
    <row r="5710" spans="1:9" x14ac:dyDescent="0.25">
      <c r="A5710">
        <v>1816</v>
      </c>
      <c r="B5710">
        <f>A5710+1</f>
        <v>1817</v>
      </c>
      <c r="C5710" t="s">
        <v>522</v>
      </c>
      <c r="D5710" t="s">
        <v>27</v>
      </c>
      <c r="E5710" s="208" t="s">
        <v>314</v>
      </c>
      <c r="F5710" t="s">
        <v>4</v>
      </c>
      <c r="G5710" s="18">
        <v>0</v>
      </c>
      <c r="H5710" t="s">
        <v>16</v>
      </c>
      <c r="I5710" t="s">
        <v>23</v>
      </c>
    </row>
    <row r="5711" spans="1:9" x14ac:dyDescent="0.25">
      <c r="A5711">
        <v>1816</v>
      </c>
      <c r="B5711">
        <f>A5711+1</f>
        <v>1817</v>
      </c>
      <c r="C5711" t="s">
        <v>522</v>
      </c>
      <c r="D5711" t="s">
        <v>27</v>
      </c>
      <c r="E5711" s="208" t="s">
        <v>139</v>
      </c>
      <c r="F5711" t="s">
        <v>4</v>
      </c>
      <c r="G5711" s="18">
        <v>0</v>
      </c>
      <c r="H5711" t="s">
        <v>16</v>
      </c>
      <c r="I5711" t="s">
        <v>23</v>
      </c>
    </row>
    <row r="5712" spans="1:9" x14ac:dyDescent="0.25">
      <c r="A5712">
        <v>1816</v>
      </c>
      <c r="B5712">
        <f>A5712+1</f>
        <v>1817</v>
      </c>
      <c r="C5712" t="s">
        <v>522</v>
      </c>
      <c r="D5712" t="s">
        <v>27</v>
      </c>
      <c r="E5712" s="208" t="s">
        <v>132</v>
      </c>
      <c r="F5712" t="s">
        <v>4</v>
      </c>
      <c r="G5712" s="18">
        <v>7</v>
      </c>
      <c r="H5712" t="s">
        <v>16</v>
      </c>
      <c r="I5712" t="s">
        <v>23</v>
      </c>
    </row>
    <row r="5713" spans="1:9" x14ac:dyDescent="0.25">
      <c r="A5713">
        <v>1816</v>
      </c>
      <c r="B5713">
        <f>A5713+1</f>
        <v>1817</v>
      </c>
      <c r="C5713" t="s">
        <v>522</v>
      </c>
      <c r="D5713" t="s">
        <v>27</v>
      </c>
      <c r="E5713" s="208" t="s">
        <v>130</v>
      </c>
      <c r="F5713" t="s">
        <v>4</v>
      </c>
      <c r="G5713" s="18">
        <v>41</v>
      </c>
      <c r="H5713" t="s">
        <v>16</v>
      </c>
      <c r="I5713" t="s">
        <v>23</v>
      </c>
    </row>
    <row r="5714" spans="1:9" x14ac:dyDescent="0.25">
      <c r="A5714">
        <v>1816</v>
      </c>
      <c r="B5714">
        <f>A5714+1</f>
        <v>1817</v>
      </c>
      <c r="C5714" t="s">
        <v>522</v>
      </c>
      <c r="D5714" t="s">
        <v>27</v>
      </c>
      <c r="E5714" s="208" t="s">
        <v>144</v>
      </c>
      <c r="F5714" t="s">
        <v>4</v>
      </c>
      <c r="G5714" s="18">
        <v>465</v>
      </c>
      <c r="H5714" t="s">
        <v>16</v>
      </c>
      <c r="I5714" t="s">
        <v>23</v>
      </c>
    </row>
    <row r="5715" spans="1:9" x14ac:dyDescent="0.25">
      <c r="A5715">
        <v>1816</v>
      </c>
      <c r="B5715">
        <f>A5715+1</f>
        <v>1817</v>
      </c>
      <c r="C5715" t="s">
        <v>522</v>
      </c>
      <c r="D5715" t="s">
        <v>27</v>
      </c>
      <c r="E5715" s="208" t="s">
        <v>142</v>
      </c>
      <c r="F5715" t="s">
        <v>4</v>
      </c>
      <c r="G5715" s="18">
        <v>2109</v>
      </c>
      <c r="H5715" t="s">
        <v>16</v>
      </c>
      <c r="I5715" t="s">
        <v>23</v>
      </c>
    </row>
    <row r="5716" spans="1:9" x14ac:dyDescent="0.25">
      <c r="A5716">
        <v>1816</v>
      </c>
      <c r="B5716">
        <f>A5716+1</f>
        <v>1817</v>
      </c>
      <c r="C5716" t="s">
        <v>522</v>
      </c>
      <c r="D5716" t="s">
        <v>27</v>
      </c>
      <c r="E5716" s="208" t="s">
        <v>124</v>
      </c>
      <c r="F5716" t="s">
        <v>4</v>
      </c>
      <c r="G5716" s="18">
        <v>565654</v>
      </c>
      <c r="H5716" t="s">
        <v>16</v>
      </c>
      <c r="I5716" t="s">
        <v>23</v>
      </c>
    </row>
    <row r="5717" spans="1:9" x14ac:dyDescent="0.25">
      <c r="A5717">
        <v>1816</v>
      </c>
      <c r="B5717">
        <f>A5717+1</f>
        <v>1817</v>
      </c>
      <c r="C5717" t="s">
        <v>522</v>
      </c>
      <c r="D5717" t="s">
        <v>26</v>
      </c>
      <c r="E5717" s="208" t="s">
        <v>62</v>
      </c>
      <c r="F5717" t="s">
        <v>4</v>
      </c>
      <c r="G5717" s="18">
        <v>42835</v>
      </c>
      <c r="H5717" t="s">
        <v>23</v>
      </c>
      <c r="I5717" t="s">
        <v>16</v>
      </c>
    </row>
    <row r="5718" spans="1:9" x14ac:dyDescent="0.25">
      <c r="A5718">
        <v>1816</v>
      </c>
      <c r="B5718">
        <f>A5718+1</f>
        <v>1817</v>
      </c>
      <c r="C5718" t="s">
        <v>522</v>
      </c>
      <c r="D5718" t="s">
        <v>26</v>
      </c>
      <c r="E5718" s="208" t="s">
        <v>36</v>
      </c>
      <c r="F5718" t="s">
        <v>4</v>
      </c>
      <c r="G5718" s="18">
        <v>2186</v>
      </c>
      <c r="H5718" t="s">
        <v>23</v>
      </c>
      <c r="I5718" t="s">
        <v>16</v>
      </c>
    </row>
    <row r="5719" spans="1:9" x14ac:dyDescent="0.25">
      <c r="A5719">
        <v>1816</v>
      </c>
      <c r="B5719">
        <f>A5719+1</f>
        <v>1817</v>
      </c>
      <c r="C5719" t="s">
        <v>522</v>
      </c>
      <c r="D5719" t="s">
        <v>26</v>
      </c>
      <c r="E5719" s="208" t="s">
        <v>35</v>
      </c>
      <c r="F5719" t="s">
        <v>4</v>
      </c>
      <c r="G5719" s="18">
        <v>135</v>
      </c>
      <c r="H5719" t="s">
        <v>23</v>
      </c>
      <c r="I5719" t="s">
        <v>16</v>
      </c>
    </row>
    <row r="5720" spans="1:9" x14ac:dyDescent="0.25">
      <c r="A5720">
        <v>1816</v>
      </c>
      <c r="B5720">
        <f>A5720+1</f>
        <v>1817</v>
      </c>
      <c r="C5720" t="s">
        <v>522</v>
      </c>
      <c r="D5720" t="s">
        <v>26</v>
      </c>
      <c r="E5720" s="208" t="s">
        <v>39</v>
      </c>
      <c r="F5720" t="s">
        <v>4</v>
      </c>
      <c r="G5720" s="18">
        <v>752</v>
      </c>
      <c r="H5720" t="s">
        <v>23</v>
      </c>
      <c r="I5720" t="s">
        <v>16</v>
      </c>
    </row>
    <row r="5721" spans="1:9" x14ac:dyDescent="0.25">
      <c r="A5721">
        <v>1816</v>
      </c>
      <c r="B5721">
        <f>A5721+1</f>
        <v>1817</v>
      </c>
      <c r="C5721" t="s">
        <v>522</v>
      </c>
      <c r="D5721" t="s">
        <v>26</v>
      </c>
      <c r="E5721" s="208" t="s">
        <v>99</v>
      </c>
      <c r="F5721" t="s">
        <v>4</v>
      </c>
      <c r="G5721" s="18">
        <v>1474</v>
      </c>
      <c r="H5721" t="s">
        <v>23</v>
      </c>
      <c r="I5721" t="s">
        <v>16</v>
      </c>
    </row>
    <row r="5722" spans="1:9" x14ac:dyDescent="0.25">
      <c r="A5722">
        <v>1816</v>
      </c>
      <c r="B5722">
        <f>A5722+1</f>
        <v>1817</v>
      </c>
      <c r="C5722" t="s">
        <v>522</v>
      </c>
      <c r="D5722" t="s">
        <v>26</v>
      </c>
      <c r="E5722" s="208" t="s">
        <v>95</v>
      </c>
      <c r="F5722" t="s">
        <v>4</v>
      </c>
      <c r="G5722" s="18">
        <v>0</v>
      </c>
      <c r="H5722" t="s">
        <v>23</v>
      </c>
      <c r="I5722" t="s">
        <v>16</v>
      </c>
    </row>
    <row r="5723" spans="1:9" x14ac:dyDescent="0.25">
      <c r="A5723">
        <v>1816</v>
      </c>
      <c r="B5723">
        <f>A5723+1</f>
        <v>1817</v>
      </c>
      <c r="C5723" t="s">
        <v>522</v>
      </c>
      <c r="D5723" t="s">
        <v>26</v>
      </c>
      <c r="E5723" s="208" t="s">
        <v>94</v>
      </c>
      <c r="F5723" t="s">
        <v>4</v>
      </c>
      <c r="G5723" s="18">
        <v>0</v>
      </c>
      <c r="H5723" t="s">
        <v>23</v>
      </c>
      <c r="I5723" t="s">
        <v>16</v>
      </c>
    </row>
    <row r="5724" spans="1:9" x14ac:dyDescent="0.25">
      <c r="A5724">
        <v>1816</v>
      </c>
      <c r="B5724">
        <f>A5724+1</f>
        <v>1817</v>
      </c>
      <c r="C5724" t="s">
        <v>522</v>
      </c>
      <c r="D5724" t="s">
        <v>26</v>
      </c>
      <c r="E5724" s="208" t="s">
        <v>386</v>
      </c>
      <c r="F5724" t="s">
        <v>4</v>
      </c>
      <c r="G5724" s="18">
        <v>350</v>
      </c>
      <c r="H5724" t="s">
        <v>23</v>
      </c>
      <c r="I5724" t="s">
        <v>16</v>
      </c>
    </row>
    <row r="5725" spans="1:9" x14ac:dyDescent="0.25">
      <c r="A5725">
        <v>1816</v>
      </c>
      <c r="B5725">
        <f>A5725+1</f>
        <v>1817</v>
      </c>
      <c r="C5725" t="s">
        <v>522</v>
      </c>
      <c r="D5725" t="s">
        <v>26</v>
      </c>
      <c r="E5725" s="208" t="s">
        <v>387</v>
      </c>
      <c r="F5725" t="s">
        <v>4</v>
      </c>
      <c r="G5725" s="18">
        <v>0</v>
      </c>
      <c r="H5725" t="s">
        <v>23</v>
      </c>
      <c r="I5725" t="s">
        <v>16</v>
      </c>
    </row>
    <row r="5726" spans="1:9" x14ac:dyDescent="0.25">
      <c r="A5726">
        <v>1816</v>
      </c>
      <c r="B5726">
        <f>A5726+1</f>
        <v>1817</v>
      </c>
      <c r="C5726" t="s">
        <v>522</v>
      </c>
      <c r="D5726" t="s">
        <v>26</v>
      </c>
      <c r="E5726" s="208" t="s">
        <v>388</v>
      </c>
      <c r="F5726" t="s">
        <v>4</v>
      </c>
      <c r="G5726" s="18">
        <v>6253</v>
      </c>
      <c r="H5726" t="s">
        <v>23</v>
      </c>
      <c r="I5726" t="s">
        <v>16</v>
      </c>
    </row>
    <row r="5727" spans="1:9" x14ac:dyDescent="0.25">
      <c r="A5727">
        <v>1816</v>
      </c>
      <c r="B5727">
        <f>A5727+1</f>
        <v>1817</v>
      </c>
      <c r="C5727" t="s">
        <v>522</v>
      </c>
      <c r="D5727" t="s">
        <v>26</v>
      </c>
      <c r="E5727" s="208" t="s">
        <v>85</v>
      </c>
      <c r="F5727" t="s">
        <v>4</v>
      </c>
      <c r="G5727" s="18">
        <v>79</v>
      </c>
      <c r="H5727" t="s">
        <v>23</v>
      </c>
      <c r="I5727" t="s">
        <v>16</v>
      </c>
    </row>
    <row r="5728" spans="1:9" x14ac:dyDescent="0.25">
      <c r="A5728">
        <v>1816</v>
      </c>
      <c r="B5728">
        <f>A5728+1</f>
        <v>1817</v>
      </c>
      <c r="C5728" t="s">
        <v>522</v>
      </c>
      <c r="D5728" t="s">
        <v>26</v>
      </c>
      <c r="E5728" s="208" t="s">
        <v>107</v>
      </c>
      <c r="F5728" t="s">
        <v>4</v>
      </c>
      <c r="G5728" s="18">
        <v>1398784</v>
      </c>
      <c r="H5728" t="s">
        <v>23</v>
      </c>
      <c r="I5728" t="s">
        <v>16</v>
      </c>
    </row>
    <row r="5729" spans="1:9" x14ac:dyDescent="0.25">
      <c r="A5729">
        <v>1816</v>
      </c>
      <c r="B5729">
        <f>A5729+1</f>
        <v>1817</v>
      </c>
      <c r="C5729" t="s">
        <v>522</v>
      </c>
      <c r="D5729" t="s">
        <v>26</v>
      </c>
      <c r="E5729" s="208" t="s">
        <v>101</v>
      </c>
      <c r="F5729" t="s">
        <v>4</v>
      </c>
      <c r="G5729" s="18">
        <v>6783866</v>
      </c>
      <c r="H5729" t="s">
        <v>23</v>
      </c>
      <c r="I5729" t="s">
        <v>16</v>
      </c>
    </row>
    <row r="5730" spans="1:9" x14ac:dyDescent="0.25">
      <c r="A5730">
        <v>1816</v>
      </c>
      <c r="B5730">
        <f>A5730+1</f>
        <v>1817</v>
      </c>
      <c r="C5730" t="s">
        <v>522</v>
      </c>
      <c r="D5730" t="s">
        <v>26</v>
      </c>
      <c r="E5730" s="208" t="s">
        <v>75</v>
      </c>
      <c r="F5730" t="s">
        <v>4</v>
      </c>
      <c r="G5730" s="18">
        <v>4916287</v>
      </c>
      <c r="H5730" t="s">
        <v>23</v>
      </c>
      <c r="I5730" t="s">
        <v>16</v>
      </c>
    </row>
    <row r="5731" spans="1:9" x14ac:dyDescent="0.25">
      <c r="A5731">
        <v>1816</v>
      </c>
      <c r="B5731">
        <f>A5731+1</f>
        <v>1817</v>
      </c>
      <c r="C5731" t="s">
        <v>522</v>
      </c>
      <c r="D5731" t="s">
        <v>26</v>
      </c>
      <c r="E5731" s="208" t="s">
        <v>330</v>
      </c>
      <c r="F5731" t="s">
        <v>4</v>
      </c>
      <c r="G5731" s="18">
        <v>42</v>
      </c>
      <c r="H5731" t="s">
        <v>23</v>
      </c>
      <c r="I5731" t="s">
        <v>16</v>
      </c>
    </row>
    <row r="5732" spans="1:9" x14ac:dyDescent="0.25">
      <c r="A5732">
        <v>1816</v>
      </c>
      <c r="B5732">
        <f>A5732+1</f>
        <v>1817</v>
      </c>
      <c r="C5732" t="s">
        <v>522</v>
      </c>
      <c r="D5732" t="s">
        <v>26</v>
      </c>
      <c r="E5732" s="208" t="s">
        <v>331</v>
      </c>
      <c r="F5732" t="s">
        <v>4</v>
      </c>
      <c r="G5732" s="18">
        <v>0</v>
      </c>
      <c r="H5732" t="s">
        <v>23</v>
      </c>
      <c r="I5732" t="s">
        <v>16</v>
      </c>
    </row>
    <row r="5733" spans="1:9" x14ac:dyDescent="0.25">
      <c r="A5733">
        <v>1816</v>
      </c>
      <c r="B5733">
        <f>A5733+1</f>
        <v>1817</v>
      </c>
      <c r="C5733" t="s">
        <v>522</v>
      </c>
      <c r="D5733" t="s">
        <v>26</v>
      </c>
      <c r="E5733" s="208" t="s">
        <v>332</v>
      </c>
      <c r="F5733" t="s">
        <v>4</v>
      </c>
      <c r="G5733" s="18">
        <v>0</v>
      </c>
      <c r="H5733" t="s">
        <v>23</v>
      </c>
      <c r="I5733" t="s">
        <v>16</v>
      </c>
    </row>
    <row r="5734" spans="1:9" x14ac:dyDescent="0.25">
      <c r="A5734">
        <v>1816</v>
      </c>
      <c r="B5734">
        <f>A5734+1</f>
        <v>1817</v>
      </c>
      <c r="C5734" t="s">
        <v>522</v>
      </c>
      <c r="D5734" t="s">
        <v>26</v>
      </c>
      <c r="E5734" s="208" t="s">
        <v>333</v>
      </c>
      <c r="F5734" t="s">
        <v>4</v>
      </c>
      <c r="G5734" s="18">
        <v>0</v>
      </c>
      <c r="H5734" t="s">
        <v>23</v>
      </c>
      <c r="I5734" t="s">
        <v>16</v>
      </c>
    </row>
    <row r="5735" spans="1:9" x14ac:dyDescent="0.25">
      <c r="A5735">
        <v>1816</v>
      </c>
      <c r="B5735">
        <f>A5735+1</f>
        <v>1817</v>
      </c>
      <c r="C5735" t="s">
        <v>522</v>
      </c>
      <c r="D5735" t="s">
        <v>27</v>
      </c>
      <c r="E5735" s="208" t="s">
        <v>155</v>
      </c>
      <c r="F5735" t="s">
        <v>7</v>
      </c>
      <c r="G5735" s="18">
        <v>28509</v>
      </c>
      <c r="H5735" t="s">
        <v>16</v>
      </c>
      <c r="I5735" s="151" t="s">
        <v>562</v>
      </c>
    </row>
    <row r="5736" spans="1:9" x14ac:dyDescent="0.25">
      <c r="A5736">
        <v>1816</v>
      </c>
      <c r="B5736">
        <f>A5736+1</f>
        <v>1817</v>
      </c>
      <c r="C5736" t="s">
        <v>522</v>
      </c>
      <c r="D5736" t="s">
        <v>27</v>
      </c>
      <c r="E5736" s="208" t="s">
        <v>156</v>
      </c>
      <c r="F5736" t="s">
        <v>7</v>
      </c>
      <c r="G5736" s="18">
        <v>2567</v>
      </c>
      <c r="H5736" t="s">
        <v>16</v>
      </c>
      <c r="I5736" s="151" t="s">
        <v>562</v>
      </c>
    </row>
    <row r="5737" spans="1:9" x14ac:dyDescent="0.25">
      <c r="A5737">
        <v>1816</v>
      </c>
      <c r="B5737">
        <f>A5737+1</f>
        <v>1817</v>
      </c>
      <c r="C5737" t="s">
        <v>522</v>
      </c>
      <c r="D5737" t="s">
        <v>27</v>
      </c>
      <c r="E5737" s="208" t="s">
        <v>154</v>
      </c>
      <c r="F5737" t="s">
        <v>7</v>
      </c>
      <c r="G5737" s="18">
        <v>1733</v>
      </c>
      <c r="H5737" t="s">
        <v>16</v>
      </c>
      <c r="I5737" s="151" t="s">
        <v>562</v>
      </c>
    </row>
    <row r="5738" spans="1:9" x14ac:dyDescent="0.25">
      <c r="A5738">
        <v>1816</v>
      </c>
      <c r="B5738">
        <f>A5738+1</f>
        <v>1817</v>
      </c>
      <c r="C5738" t="s">
        <v>522</v>
      </c>
      <c r="D5738" t="s">
        <v>27</v>
      </c>
      <c r="E5738" s="208" t="s">
        <v>150</v>
      </c>
      <c r="F5738" t="s">
        <v>7</v>
      </c>
      <c r="G5738" s="18">
        <v>12273</v>
      </c>
      <c r="H5738" t="s">
        <v>16</v>
      </c>
      <c r="I5738" s="151" t="s">
        <v>562</v>
      </c>
    </row>
    <row r="5739" spans="1:9" x14ac:dyDescent="0.25">
      <c r="A5739">
        <v>1816</v>
      </c>
      <c r="B5739">
        <f>A5739+1</f>
        <v>1817</v>
      </c>
      <c r="C5739" t="s">
        <v>522</v>
      </c>
      <c r="D5739" t="s">
        <v>27</v>
      </c>
      <c r="E5739" s="208" t="s">
        <v>148</v>
      </c>
      <c r="F5739" t="s">
        <v>7</v>
      </c>
      <c r="G5739" s="18">
        <v>585</v>
      </c>
      <c r="H5739" t="s">
        <v>16</v>
      </c>
      <c r="I5739" s="151" t="s">
        <v>562</v>
      </c>
    </row>
    <row r="5740" spans="1:9" x14ac:dyDescent="0.25">
      <c r="A5740">
        <v>1816</v>
      </c>
      <c r="B5740">
        <f>A5740+1</f>
        <v>1817</v>
      </c>
      <c r="C5740" t="s">
        <v>522</v>
      </c>
      <c r="D5740" t="s">
        <v>27</v>
      </c>
      <c r="E5740" s="208" t="s">
        <v>147</v>
      </c>
      <c r="F5740" t="s">
        <v>7</v>
      </c>
      <c r="G5740" s="18">
        <v>203</v>
      </c>
      <c r="H5740" t="s">
        <v>16</v>
      </c>
      <c r="I5740" s="151" t="s">
        <v>562</v>
      </c>
    </row>
    <row r="5741" spans="1:9" x14ac:dyDescent="0.25">
      <c r="A5741">
        <v>1816</v>
      </c>
      <c r="B5741">
        <f>A5741+1</f>
        <v>1817</v>
      </c>
      <c r="C5741" t="s">
        <v>522</v>
      </c>
      <c r="D5741" t="s">
        <v>27</v>
      </c>
      <c r="E5741" s="208" t="s">
        <v>314</v>
      </c>
      <c r="F5741" t="s">
        <v>7</v>
      </c>
      <c r="G5741" s="18">
        <v>916</v>
      </c>
      <c r="H5741" t="s">
        <v>16</v>
      </c>
      <c r="I5741" s="151" t="s">
        <v>562</v>
      </c>
    </row>
    <row r="5742" spans="1:9" x14ac:dyDescent="0.25">
      <c r="A5742">
        <v>1816</v>
      </c>
      <c r="B5742">
        <f>A5742+1</f>
        <v>1817</v>
      </c>
      <c r="C5742" t="s">
        <v>522</v>
      </c>
      <c r="D5742" t="s">
        <v>27</v>
      </c>
      <c r="E5742" s="208" t="s">
        <v>139</v>
      </c>
      <c r="F5742" t="s">
        <v>7</v>
      </c>
      <c r="G5742" s="18">
        <v>3</v>
      </c>
      <c r="H5742" t="s">
        <v>16</v>
      </c>
      <c r="I5742" s="151" t="s">
        <v>562</v>
      </c>
    </row>
    <row r="5743" spans="1:9" x14ac:dyDescent="0.25">
      <c r="A5743">
        <v>1816</v>
      </c>
      <c r="B5743">
        <f>A5743+1</f>
        <v>1817</v>
      </c>
      <c r="C5743" t="s">
        <v>522</v>
      </c>
      <c r="D5743" t="s">
        <v>27</v>
      </c>
      <c r="E5743" s="208" t="s">
        <v>132</v>
      </c>
      <c r="F5743" t="s">
        <v>7</v>
      </c>
      <c r="G5743" s="18">
        <v>2165</v>
      </c>
      <c r="H5743" t="s">
        <v>16</v>
      </c>
      <c r="I5743" s="151" t="s">
        <v>562</v>
      </c>
    </row>
    <row r="5744" spans="1:9" x14ac:dyDescent="0.25">
      <c r="A5744">
        <v>1816</v>
      </c>
      <c r="B5744">
        <f>A5744+1</f>
        <v>1817</v>
      </c>
      <c r="C5744" t="s">
        <v>522</v>
      </c>
      <c r="D5744" t="s">
        <v>27</v>
      </c>
      <c r="E5744" s="208" t="s">
        <v>130</v>
      </c>
      <c r="F5744" t="s">
        <v>7</v>
      </c>
      <c r="G5744" s="18">
        <v>324</v>
      </c>
      <c r="H5744" t="s">
        <v>16</v>
      </c>
      <c r="I5744" s="151" t="s">
        <v>562</v>
      </c>
    </row>
    <row r="5745" spans="1:9" x14ac:dyDescent="0.25">
      <c r="A5745">
        <v>1816</v>
      </c>
      <c r="B5745">
        <f>A5745+1</f>
        <v>1817</v>
      </c>
      <c r="C5745" t="s">
        <v>522</v>
      </c>
      <c r="D5745" t="s">
        <v>27</v>
      </c>
      <c r="E5745" s="208" t="s">
        <v>144</v>
      </c>
      <c r="F5745" t="s">
        <v>7</v>
      </c>
      <c r="G5745" s="18">
        <v>834</v>
      </c>
      <c r="H5745" t="s">
        <v>16</v>
      </c>
      <c r="I5745" s="151" t="s">
        <v>562</v>
      </c>
    </row>
    <row r="5746" spans="1:9" x14ac:dyDescent="0.25">
      <c r="A5746">
        <v>1816</v>
      </c>
      <c r="B5746">
        <f>A5746+1</f>
        <v>1817</v>
      </c>
      <c r="C5746" t="s">
        <v>522</v>
      </c>
      <c r="D5746" t="s">
        <v>27</v>
      </c>
      <c r="E5746" s="208" t="s">
        <v>142</v>
      </c>
      <c r="F5746" t="s">
        <v>7</v>
      </c>
      <c r="G5746" s="18">
        <v>3846</v>
      </c>
      <c r="H5746" t="s">
        <v>16</v>
      </c>
      <c r="I5746" s="151" t="s">
        <v>562</v>
      </c>
    </row>
    <row r="5747" spans="1:9" x14ac:dyDescent="0.25">
      <c r="A5747">
        <v>1816</v>
      </c>
      <c r="B5747">
        <f>A5747+1</f>
        <v>1817</v>
      </c>
      <c r="C5747" t="s">
        <v>522</v>
      </c>
      <c r="D5747" t="s">
        <v>27</v>
      </c>
      <c r="E5747" s="208" t="s">
        <v>124</v>
      </c>
      <c r="F5747" t="s">
        <v>7</v>
      </c>
      <c r="G5747" s="18">
        <v>7913800</v>
      </c>
      <c r="H5747" t="s">
        <v>16</v>
      </c>
      <c r="I5747" s="151" t="s">
        <v>562</v>
      </c>
    </row>
    <row r="5748" spans="1:9" x14ac:dyDescent="0.25">
      <c r="A5748">
        <v>1816</v>
      </c>
      <c r="B5748">
        <f>A5748+1</f>
        <v>1817</v>
      </c>
      <c r="C5748" t="s">
        <v>522</v>
      </c>
      <c r="D5748" t="s">
        <v>26</v>
      </c>
      <c r="E5748" s="208" t="s">
        <v>62</v>
      </c>
      <c r="F5748" t="s">
        <v>7</v>
      </c>
      <c r="G5748" s="18">
        <v>56217</v>
      </c>
      <c r="H5748" s="151" t="s">
        <v>563</v>
      </c>
      <c r="I5748" t="s">
        <v>16</v>
      </c>
    </row>
    <row r="5749" spans="1:9" x14ac:dyDescent="0.25">
      <c r="A5749">
        <v>1816</v>
      </c>
      <c r="B5749">
        <f>A5749+1</f>
        <v>1817</v>
      </c>
      <c r="C5749" t="s">
        <v>522</v>
      </c>
      <c r="D5749" t="s">
        <v>26</v>
      </c>
      <c r="E5749" s="208" t="s">
        <v>36</v>
      </c>
      <c r="F5749" t="s">
        <v>7</v>
      </c>
      <c r="G5749" s="18">
        <v>2863</v>
      </c>
      <c r="H5749" s="151" t="s">
        <v>563</v>
      </c>
      <c r="I5749" t="s">
        <v>16</v>
      </c>
    </row>
    <row r="5750" spans="1:9" x14ac:dyDescent="0.25">
      <c r="A5750">
        <v>1816</v>
      </c>
      <c r="B5750">
        <f>A5750+1</f>
        <v>1817</v>
      </c>
      <c r="C5750" t="s">
        <v>522</v>
      </c>
      <c r="D5750" t="s">
        <v>26</v>
      </c>
      <c r="E5750" s="208" t="s">
        <v>35</v>
      </c>
      <c r="F5750" t="s">
        <v>7</v>
      </c>
      <c r="G5750" s="18">
        <v>4064</v>
      </c>
      <c r="H5750" s="151" t="s">
        <v>563</v>
      </c>
      <c r="I5750" t="s">
        <v>16</v>
      </c>
    </row>
    <row r="5751" spans="1:9" x14ac:dyDescent="0.25">
      <c r="A5751">
        <v>1816</v>
      </c>
      <c r="B5751">
        <f>A5751+1</f>
        <v>1817</v>
      </c>
      <c r="C5751" t="s">
        <v>522</v>
      </c>
      <c r="D5751" t="s">
        <v>26</v>
      </c>
      <c r="E5751" s="208" t="s">
        <v>39</v>
      </c>
      <c r="F5751" t="s">
        <v>7</v>
      </c>
      <c r="G5751" s="18">
        <v>1085</v>
      </c>
      <c r="H5751" s="151" t="s">
        <v>563</v>
      </c>
      <c r="I5751" t="s">
        <v>16</v>
      </c>
    </row>
    <row r="5752" spans="1:9" x14ac:dyDescent="0.25">
      <c r="A5752">
        <v>1816</v>
      </c>
      <c r="B5752">
        <f>A5752+1</f>
        <v>1817</v>
      </c>
      <c r="C5752" t="s">
        <v>522</v>
      </c>
      <c r="D5752" t="s">
        <v>26</v>
      </c>
      <c r="E5752" s="208" t="s">
        <v>99</v>
      </c>
      <c r="F5752" t="s">
        <v>7</v>
      </c>
      <c r="G5752" s="18">
        <v>1591</v>
      </c>
      <c r="H5752" s="151" t="s">
        <v>563</v>
      </c>
      <c r="I5752" t="s">
        <v>16</v>
      </c>
    </row>
    <row r="5753" spans="1:9" x14ac:dyDescent="0.25">
      <c r="A5753">
        <v>1816</v>
      </c>
      <c r="B5753">
        <f>A5753+1</f>
        <v>1817</v>
      </c>
      <c r="C5753" t="s">
        <v>522</v>
      </c>
      <c r="D5753" t="s">
        <v>26</v>
      </c>
      <c r="E5753" s="208" t="s">
        <v>95</v>
      </c>
      <c r="F5753" t="s">
        <v>7</v>
      </c>
      <c r="G5753" s="18">
        <v>396</v>
      </c>
      <c r="H5753" s="151" t="s">
        <v>563</v>
      </c>
      <c r="I5753" t="s">
        <v>16</v>
      </c>
    </row>
    <row r="5754" spans="1:9" x14ac:dyDescent="0.25">
      <c r="A5754">
        <v>1816</v>
      </c>
      <c r="B5754">
        <f>A5754+1</f>
        <v>1817</v>
      </c>
      <c r="C5754" t="s">
        <v>522</v>
      </c>
      <c r="D5754" t="s">
        <v>26</v>
      </c>
      <c r="E5754" s="208" t="s">
        <v>94</v>
      </c>
      <c r="F5754" t="s">
        <v>7</v>
      </c>
      <c r="G5754" s="18">
        <v>4476</v>
      </c>
      <c r="H5754" s="151" t="s">
        <v>563</v>
      </c>
      <c r="I5754" t="s">
        <v>16</v>
      </c>
    </row>
    <row r="5755" spans="1:9" x14ac:dyDescent="0.25">
      <c r="A5755">
        <v>1816</v>
      </c>
      <c r="B5755">
        <f>A5755+1</f>
        <v>1817</v>
      </c>
      <c r="C5755" t="s">
        <v>522</v>
      </c>
      <c r="D5755" t="s">
        <v>26</v>
      </c>
      <c r="E5755" s="208" t="s">
        <v>386</v>
      </c>
      <c r="F5755" t="s">
        <v>7</v>
      </c>
      <c r="G5755" s="18">
        <v>19827</v>
      </c>
      <c r="H5755" s="151" t="s">
        <v>563</v>
      </c>
      <c r="I5755" t="s">
        <v>16</v>
      </c>
    </row>
    <row r="5756" spans="1:9" x14ac:dyDescent="0.25">
      <c r="A5756">
        <v>1816</v>
      </c>
      <c r="B5756">
        <f>A5756+1</f>
        <v>1817</v>
      </c>
      <c r="C5756" t="s">
        <v>522</v>
      </c>
      <c r="D5756" t="s">
        <v>26</v>
      </c>
      <c r="E5756" s="208" t="s">
        <v>387</v>
      </c>
      <c r="F5756" t="s">
        <v>7</v>
      </c>
      <c r="G5756" s="18">
        <v>1243</v>
      </c>
      <c r="H5756" s="151" t="s">
        <v>563</v>
      </c>
      <c r="I5756" t="s">
        <v>16</v>
      </c>
    </row>
    <row r="5757" spans="1:9" x14ac:dyDescent="0.25">
      <c r="A5757">
        <v>1816</v>
      </c>
      <c r="B5757">
        <f>A5757+1</f>
        <v>1817</v>
      </c>
      <c r="C5757" t="s">
        <v>522</v>
      </c>
      <c r="D5757" t="s">
        <v>26</v>
      </c>
      <c r="E5757" s="208" t="s">
        <v>388</v>
      </c>
      <c r="F5757" t="s">
        <v>7</v>
      </c>
      <c r="G5757" s="18">
        <v>7804</v>
      </c>
      <c r="H5757" s="151" t="s">
        <v>563</v>
      </c>
      <c r="I5757" t="s">
        <v>16</v>
      </c>
    </row>
    <row r="5758" spans="1:9" x14ac:dyDescent="0.25">
      <c r="A5758">
        <v>1816</v>
      </c>
      <c r="B5758">
        <f>A5758+1</f>
        <v>1817</v>
      </c>
      <c r="C5758" t="s">
        <v>522</v>
      </c>
      <c r="D5758" t="s">
        <v>26</v>
      </c>
      <c r="E5758" s="208" t="s">
        <v>85</v>
      </c>
      <c r="F5758" t="s">
        <v>7</v>
      </c>
      <c r="G5758" s="18">
        <v>202</v>
      </c>
      <c r="H5758" s="151" t="s">
        <v>563</v>
      </c>
      <c r="I5758" t="s">
        <v>16</v>
      </c>
    </row>
    <row r="5759" spans="1:9" x14ac:dyDescent="0.25">
      <c r="A5759">
        <v>1816</v>
      </c>
      <c r="B5759">
        <f>A5759+1</f>
        <v>1817</v>
      </c>
      <c r="C5759" t="s">
        <v>522</v>
      </c>
      <c r="D5759" t="s">
        <v>26</v>
      </c>
      <c r="E5759" s="208" t="s">
        <v>107</v>
      </c>
      <c r="F5759" t="s">
        <v>7</v>
      </c>
      <c r="G5759" s="18">
        <v>1805314</v>
      </c>
      <c r="H5759" s="151" t="s">
        <v>563</v>
      </c>
      <c r="I5759" t="s">
        <v>16</v>
      </c>
    </row>
    <row r="5760" spans="1:9" x14ac:dyDescent="0.25">
      <c r="A5760">
        <v>1816</v>
      </c>
      <c r="B5760">
        <f>A5760+1</f>
        <v>1817</v>
      </c>
      <c r="C5760" t="s">
        <v>522</v>
      </c>
      <c r="D5760" t="s">
        <v>26</v>
      </c>
      <c r="E5760" s="208" t="s">
        <v>101</v>
      </c>
      <c r="F5760" t="s">
        <v>7</v>
      </c>
      <c r="G5760" s="18">
        <v>8261006</v>
      </c>
      <c r="H5760" s="151" t="s">
        <v>563</v>
      </c>
      <c r="I5760" t="s">
        <v>16</v>
      </c>
    </row>
    <row r="5761" spans="1:9" x14ac:dyDescent="0.25">
      <c r="A5761">
        <v>1816</v>
      </c>
      <c r="B5761">
        <f>A5761+1</f>
        <v>1817</v>
      </c>
      <c r="C5761" t="s">
        <v>522</v>
      </c>
      <c r="D5761" t="s">
        <v>26</v>
      </c>
      <c r="E5761" s="208" t="s">
        <v>75</v>
      </c>
      <c r="F5761" t="s">
        <v>7</v>
      </c>
      <c r="G5761" s="18">
        <v>7672387</v>
      </c>
      <c r="H5761" s="151" t="s">
        <v>563</v>
      </c>
      <c r="I5761" t="s">
        <v>16</v>
      </c>
    </row>
    <row r="5762" spans="1:9" x14ac:dyDescent="0.25">
      <c r="A5762">
        <v>1816</v>
      </c>
      <c r="B5762">
        <f>A5762+1</f>
        <v>1817</v>
      </c>
      <c r="C5762" t="s">
        <v>522</v>
      </c>
      <c r="D5762" t="s">
        <v>26</v>
      </c>
      <c r="E5762" s="208" t="s">
        <v>330</v>
      </c>
      <c r="F5762" t="s">
        <v>7</v>
      </c>
      <c r="G5762" s="18">
        <v>680</v>
      </c>
      <c r="H5762" s="151" t="s">
        <v>563</v>
      </c>
      <c r="I5762" t="s">
        <v>16</v>
      </c>
    </row>
    <row r="5763" spans="1:9" x14ac:dyDescent="0.25">
      <c r="A5763">
        <v>1816</v>
      </c>
      <c r="B5763">
        <f>A5763+1</f>
        <v>1817</v>
      </c>
      <c r="C5763" t="s">
        <v>522</v>
      </c>
      <c r="D5763" t="s">
        <v>26</v>
      </c>
      <c r="E5763" s="208" t="s">
        <v>331</v>
      </c>
      <c r="F5763" t="s">
        <v>7</v>
      </c>
      <c r="G5763" s="18">
        <v>1999</v>
      </c>
      <c r="H5763" s="151" t="s">
        <v>563</v>
      </c>
      <c r="I5763" t="s">
        <v>16</v>
      </c>
    </row>
    <row r="5764" spans="1:9" x14ac:dyDescent="0.25">
      <c r="A5764">
        <v>1816</v>
      </c>
      <c r="B5764">
        <f>A5764+1</f>
        <v>1817</v>
      </c>
      <c r="C5764" t="s">
        <v>522</v>
      </c>
      <c r="D5764" t="s">
        <v>26</v>
      </c>
      <c r="E5764" s="208" t="s">
        <v>332</v>
      </c>
      <c r="F5764" t="s">
        <v>7</v>
      </c>
      <c r="G5764" s="18">
        <v>202</v>
      </c>
      <c r="H5764" s="151" t="s">
        <v>563</v>
      </c>
      <c r="I5764" t="s">
        <v>16</v>
      </c>
    </row>
    <row r="5765" spans="1:9" x14ac:dyDescent="0.25">
      <c r="A5765">
        <v>1816</v>
      </c>
      <c r="B5765">
        <f>A5765+1</f>
        <v>1817</v>
      </c>
      <c r="C5765" t="s">
        <v>522</v>
      </c>
      <c r="D5765" t="s">
        <v>26</v>
      </c>
      <c r="E5765" s="208" t="s">
        <v>333</v>
      </c>
      <c r="F5765" t="s">
        <v>7</v>
      </c>
      <c r="G5765" s="18">
        <v>2808</v>
      </c>
      <c r="H5765" s="151" t="s">
        <v>563</v>
      </c>
      <c r="I5765" t="s">
        <v>16</v>
      </c>
    </row>
    <row r="5766" spans="1:9" x14ac:dyDescent="0.25">
      <c r="A5766">
        <v>1816</v>
      </c>
      <c r="B5766">
        <f>A5766+1</f>
        <v>1817</v>
      </c>
      <c r="C5766" t="s">
        <v>522</v>
      </c>
      <c r="D5766" t="s">
        <v>27</v>
      </c>
      <c r="E5766" s="208" t="s">
        <v>155</v>
      </c>
      <c r="F5766" t="s">
        <v>10</v>
      </c>
      <c r="G5766" s="18">
        <v>560</v>
      </c>
      <c r="H5766" t="s">
        <v>17</v>
      </c>
      <c r="I5766" t="s">
        <v>24</v>
      </c>
    </row>
    <row r="5767" spans="1:9" x14ac:dyDescent="0.25">
      <c r="A5767">
        <v>1816</v>
      </c>
      <c r="B5767">
        <f>A5767+1</f>
        <v>1817</v>
      </c>
      <c r="C5767" t="s">
        <v>522</v>
      </c>
      <c r="D5767" t="s">
        <v>27</v>
      </c>
      <c r="E5767" s="208" t="s">
        <v>156</v>
      </c>
      <c r="F5767" t="s">
        <v>10</v>
      </c>
      <c r="G5767" s="18">
        <v>76</v>
      </c>
      <c r="H5767" t="s">
        <v>17</v>
      </c>
      <c r="I5767" t="s">
        <v>24</v>
      </c>
    </row>
    <row r="5768" spans="1:9" x14ac:dyDescent="0.25">
      <c r="A5768">
        <v>1816</v>
      </c>
      <c r="B5768">
        <f>A5768+1</f>
        <v>1817</v>
      </c>
      <c r="C5768" t="s">
        <v>522</v>
      </c>
      <c r="D5768" t="s">
        <v>27</v>
      </c>
      <c r="E5768" s="208" t="s">
        <v>154</v>
      </c>
      <c r="F5768" t="s">
        <v>10</v>
      </c>
      <c r="G5768" s="18">
        <v>171</v>
      </c>
      <c r="H5768" t="s">
        <v>17</v>
      </c>
      <c r="I5768" t="s">
        <v>24</v>
      </c>
    </row>
    <row r="5769" spans="1:9" x14ac:dyDescent="0.25">
      <c r="A5769">
        <v>1816</v>
      </c>
      <c r="B5769">
        <f>A5769+1</f>
        <v>1817</v>
      </c>
      <c r="C5769" t="s">
        <v>522</v>
      </c>
      <c r="D5769" t="s">
        <v>27</v>
      </c>
      <c r="E5769" s="208" t="s">
        <v>150</v>
      </c>
      <c r="F5769" t="s">
        <v>10</v>
      </c>
      <c r="G5769" s="18">
        <v>4286</v>
      </c>
      <c r="H5769" t="s">
        <v>17</v>
      </c>
      <c r="I5769" t="s">
        <v>24</v>
      </c>
    </row>
    <row r="5770" spans="1:9" x14ac:dyDescent="0.25">
      <c r="A5770">
        <v>1816</v>
      </c>
      <c r="B5770">
        <f>A5770+1</f>
        <v>1817</v>
      </c>
      <c r="C5770" t="s">
        <v>522</v>
      </c>
      <c r="D5770" t="s">
        <v>27</v>
      </c>
      <c r="E5770" s="208" t="s">
        <v>148</v>
      </c>
      <c r="F5770" t="s">
        <v>10</v>
      </c>
      <c r="G5770" s="18">
        <v>110</v>
      </c>
      <c r="H5770" t="s">
        <v>17</v>
      </c>
      <c r="I5770" t="s">
        <v>24</v>
      </c>
    </row>
    <row r="5771" spans="1:9" x14ac:dyDescent="0.25">
      <c r="A5771">
        <v>1816</v>
      </c>
      <c r="B5771">
        <f>A5771+1</f>
        <v>1817</v>
      </c>
      <c r="C5771" t="s">
        <v>522</v>
      </c>
      <c r="D5771" t="s">
        <v>27</v>
      </c>
      <c r="E5771" s="208" t="s">
        <v>147</v>
      </c>
      <c r="F5771" t="s">
        <v>10</v>
      </c>
      <c r="G5771" s="18">
        <v>0</v>
      </c>
      <c r="H5771" t="s">
        <v>17</v>
      </c>
      <c r="I5771" t="s">
        <v>24</v>
      </c>
    </row>
    <row r="5772" spans="1:9" x14ac:dyDescent="0.25">
      <c r="A5772">
        <v>1816</v>
      </c>
      <c r="B5772">
        <f>A5772+1</f>
        <v>1817</v>
      </c>
      <c r="C5772" t="s">
        <v>522</v>
      </c>
      <c r="D5772" t="s">
        <v>27</v>
      </c>
      <c r="E5772" s="208" t="s">
        <v>314</v>
      </c>
      <c r="F5772" t="s">
        <v>10</v>
      </c>
      <c r="G5772" s="18">
        <v>0</v>
      </c>
      <c r="H5772" t="s">
        <v>17</v>
      </c>
      <c r="I5772" t="s">
        <v>24</v>
      </c>
    </row>
    <row r="5773" spans="1:9" x14ac:dyDescent="0.25">
      <c r="A5773">
        <v>1816</v>
      </c>
      <c r="B5773">
        <f>A5773+1</f>
        <v>1817</v>
      </c>
      <c r="C5773" t="s">
        <v>522</v>
      </c>
      <c r="D5773" t="s">
        <v>27</v>
      </c>
      <c r="E5773" s="208" t="s">
        <v>139</v>
      </c>
      <c r="F5773" t="s">
        <v>10</v>
      </c>
      <c r="G5773" s="18">
        <v>114</v>
      </c>
      <c r="H5773" t="s">
        <v>17</v>
      </c>
      <c r="I5773" t="s">
        <v>24</v>
      </c>
    </row>
    <row r="5774" spans="1:9" x14ac:dyDescent="0.25">
      <c r="A5774">
        <v>1816</v>
      </c>
      <c r="B5774">
        <f>A5774+1</f>
        <v>1817</v>
      </c>
      <c r="C5774" t="s">
        <v>522</v>
      </c>
      <c r="D5774" t="s">
        <v>27</v>
      </c>
      <c r="E5774" s="208" t="s">
        <v>132</v>
      </c>
      <c r="F5774" t="s">
        <v>10</v>
      </c>
      <c r="G5774" s="18">
        <v>0</v>
      </c>
      <c r="H5774" t="s">
        <v>17</v>
      </c>
      <c r="I5774" t="s">
        <v>24</v>
      </c>
    </row>
    <row r="5775" spans="1:9" x14ac:dyDescent="0.25">
      <c r="A5775">
        <v>1816</v>
      </c>
      <c r="B5775">
        <f>A5775+1</f>
        <v>1817</v>
      </c>
      <c r="C5775" t="s">
        <v>522</v>
      </c>
      <c r="D5775" t="s">
        <v>27</v>
      </c>
      <c r="E5775" s="208" t="s">
        <v>130</v>
      </c>
      <c r="F5775" t="s">
        <v>10</v>
      </c>
      <c r="G5775" s="18">
        <v>2</v>
      </c>
      <c r="H5775" t="s">
        <v>17</v>
      </c>
      <c r="I5775" t="s">
        <v>24</v>
      </c>
    </row>
    <row r="5776" spans="1:9" x14ac:dyDescent="0.25">
      <c r="A5776">
        <v>1816</v>
      </c>
      <c r="B5776">
        <f>A5776+1</f>
        <v>1817</v>
      </c>
      <c r="C5776" t="s">
        <v>522</v>
      </c>
      <c r="D5776" t="s">
        <v>27</v>
      </c>
      <c r="E5776" s="208" t="s">
        <v>144</v>
      </c>
      <c r="F5776" t="s">
        <v>10</v>
      </c>
      <c r="G5776" s="18">
        <v>12</v>
      </c>
      <c r="H5776" t="s">
        <v>17</v>
      </c>
      <c r="I5776" t="s">
        <v>24</v>
      </c>
    </row>
    <row r="5777" spans="1:9" x14ac:dyDescent="0.25">
      <c r="A5777">
        <v>1816</v>
      </c>
      <c r="B5777">
        <f>A5777+1</f>
        <v>1817</v>
      </c>
      <c r="C5777" t="s">
        <v>522</v>
      </c>
      <c r="D5777" t="s">
        <v>27</v>
      </c>
      <c r="E5777" s="208" t="s">
        <v>142</v>
      </c>
      <c r="F5777" t="s">
        <v>10</v>
      </c>
      <c r="G5777" s="18">
        <v>158</v>
      </c>
      <c r="H5777" t="s">
        <v>17</v>
      </c>
      <c r="I5777" t="s">
        <v>24</v>
      </c>
    </row>
    <row r="5778" spans="1:9" x14ac:dyDescent="0.25">
      <c r="A5778">
        <v>1816</v>
      </c>
      <c r="B5778">
        <f>A5778+1</f>
        <v>1817</v>
      </c>
      <c r="C5778" t="s">
        <v>522</v>
      </c>
      <c r="D5778" t="s">
        <v>27</v>
      </c>
      <c r="E5778" s="208" t="s">
        <v>124</v>
      </c>
      <c r="F5778" t="s">
        <v>10</v>
      </c>
      <c r="G5778" s="18">
        <v>20384</v>
      </c>
      <c r="H5778" t="s">
        <v>17</v>
      </c>
      <c r="I5778" t="s">
        <v>24</v>
      </c>
    </row>
    <row r="5779" spans="1:9" x14ac:dyDescent="0.25">
      <c r="A5779">
        <v>1816</v>
      </c>
      <c r="B5779">
        <f>A5779+1</f>
        <v>1817</v>
      </c>
      <c r="C5779" t="s">
        <v>522</v>
      </c>
      <c r="D5779" t="s">
        <v>26</v>
      </c>
      <c r="E5779" s="208" t="s">
        <v>62</v>
      </c>
      <c r="F5779" t="s">
        <v>10</v>
      </c>
      <c r="G5779" s="18">
        <v>562</v>
      </c>
      <c r="H5779" t="s">
        <v>24</v>
      </c>
      <c r="I5779" t="s">
        <v>17</v>
      </c>
    </row>
    <row r="5780" spans="1:9" x14ac:dyDescent="0.25">
      <c r="A5780">
        <v>1816</v>
      </c>
      <c r="B5780">
        <f>A5780+1</f>
        <v>1817</v>
      </c>
      <c r="C5780" t="s">
        <v>522</v>
      </c>
      <c r="D5780" t="s">
        <v>26</v>
      </c>
      <c r="E5780" s="208" t="s">
        <v>36</v>
      </c>
      <c r="F5780" t="s">
        <v>10</v>
      </c>
      <c r="G5780" s="18">
        <v>45</v>
      </c>
      <c r="H5780" t="s">
        <v>24</v>
      </c>
      <c r="I5780" t="s">
        <v>17</v>
      </c>
    </row>
    <row r="5781" spans="1:9" x14ac:dyDescent="0.25">
      <c r="A5781">
        <v>1816</v>
      </c>
      <c r="B5781">
        <f>A5781+1</f>
        <v>1817</v>
      </c>
      <c r="C5781" t="s">
        <v>522</v>
      </c>
      <c r="D5781" t="s">
        <v>26</v>
      </c>
      <c r="E5781" s="208" t="s">
        <v>35</v>
      </c>
      <c r="F5781" t="s">
        <v>10</v>
      </c>
      <c r="G5781" s="18">
        <v>0</v>
      </c>
      <c r="H5781" t="s">
        <v>24</v>
      </c>
      <c r="I5781" t="s">
        <v>17</v>
      </c>
    </row>
    <row r="5782" spans="1:9" x14ac:dyDescent="0.25">
      <c r="A5782">
        <v>1816</v>
      </c>
      <c r="B5782">
        <f>A5782+1</f>
        <v>1817</v>
      </c>
      <c r="C5782" t="s">
        <v>522</v>
      </c>
      <c r="D5782" t="s">
        <v>26</v>
      </c>
      <c r="E5782" s="208" t="s">
        <v>39</v>
      </c>
      <c r="F5782" t="s">
        <v>10</v>
      </c>
      <c r="G5782" s="18">
        <v>48</v>
      </c>
      <c r="H5782" t="s">
        <v>24</v>
      </c>
      <c r="I5782" t="s">
        <v>17</v>
      </c>
    </row>
    <row r="5783" spans="1:9" x14ac:dyDescent="0.25">
      <c r="A5783">
        <v>1816</v>
      </c>
      <c r="B5783">
        <f>A5783+1</f>
        <v>1817</v>
      </c>
      <c r="C5783" t="s">
        <v>522</v>
      </c>
      <c r="D5783" t="s">
        <v>26</v>
      </c>
      <c r="E5783" s="208" t="s">
        <v>99</v>
      </c>
      <c r="F5783" t="s">
        <v>10</v>
      </c>
      <c r="G5783" s="18">
        <v>5</v>
      </c>
      <c r="H5783" t="s">
        <v>24</v>
      </c>
      <c r="I5783" t="s">
        <v>17</v>
      </c>
    </row>
    <row r="5784" spans="1:9" x14ac:dyDescent="0.25">
      <c r="A5784">
        <v>1816</v>
      </c>
      <c r="B5784">
        <f>A5784+1</f>
        <v>1817</v>
      </c>
      <c r="C5784" t="s">
        <v>522</v>
      </c>
      <c r="D5784" t="s">
        <v>26</v>
      </c>
      <c r="E5784" s="208" t="s">
        <v>95</v>
      </c>
      <c r="F5784" t="s">
        <v>10</v>
      </c>
      <c r="G5784" s="18">
        <v>40</v>
      </c>
      <c r="H5784" t="s">
        <v>24</v>
      </c>
      <c r="I5784" t="s">
        <v>17</v>
      </c>
    </row>
    <row r="5785" spans="1:9" x14ac:dyDescent="0.25">
      <c r="A5785">
        <v>1816</v>
      </c>
      <c r="B5785">
        <f>A5785+1</f>
        <v>1817</v>
      </c>
      <c r="C5785" t="s">
        <v>522</v>
      </c>
      <c r="D5785" t="s">
        <v>26</v>
      </c>
      <c r="E5785" s="208" t="s">
        <v>94</v>
      </c>
      <c r="F5785" t="s">
        <v>10</v>
      </c>
      <c r="G5785" s="18">
        <v>0</v>
      </c>
      <c r="H5785" t="s">
        <v>24</v>
      </c>
      <c r="I5785" t="s">
        <v>17</v>
      </c>
    </row>
    <row r="5786" spans="1:9" x14ac:dyDescent="0.25">
      <c r="A5786">
        <v>1816</v>
      </c>
      <c r="B5786">
        <f>A5786+1</f>
        <v>1817</v>
      </c>
      <c r="C5786" t="s">
        <v>522</v>
      </c>
      <c r="D5786" t="s">
        <v>26</v>
      </c>
      <c r="E5786" s="208" t="s">
        <v>386</v>
      </c>
      <c r="F5786" t="s">
        <v>10</v>
      </c>
      <c r="G5786" s="18">
        <v>0</v>
      </c>
      <c r="H5786" t="s">
        <v>24</v>
      </c>
      <c r="I5786" t="s">
        <v>17</v>
      </c>
    </row>
    <row r="5787" spans="1:9" x14ac:dyDescent="0.25">
      <c r="A5787">
        <v>1816</v>
      </c>
      <c r="B5787">
        <f>A5787+1</f>
        <v>1817</v>
      </c>
      <c r="C5787" t="s">
        <v>522</v>
      </c>
      <c r="D5787" t="s">
        <v>26</v>
      </c>
      <c r="E5787" s="208" t="s">
        <v>387</v>
      </c>
      <c r="F5787" t="s">
        <v>10</v>
      </c>
      <c r="G5787" s="18">
        <v>0</v>
      </c>
      <c r="H5787" t="s">
        <v>24</v>
      </c>
      <c r="I5787" t="s">
        <v>17</v>
      </c>
    </row>
    <row r="5788" spans="1:9" x14ac:dyDescent="0.25">
      <c r="A5788">
        <v>1816</v>
      </c>
      <c r="B5788">
        <f>A5788+1</f>
        <v>1817</v>
      </c>
      <c r="C5788" t="s">
        <v>522</v>
      </c>
      <c r="D5788" t="s">
        <v>26</v>
      </c>
      <c r="E5788" s="208" t="s">
        <v>388</v>
      </c>
      <c r="F5788" t="s">
        <v>10</v>
      </c>
      <c r="G5788" s="18">
        <v>0</v>
      </c>
      <c r="H5788" t="s">
        <v>24</v>
      </c>
      <c r="I5788" t="s">
        <v>17</v>
      </c>
    </row>
    <row r="5789" spans="1:9" x14ac:dyDescent="0.25">
      <c r="A5789">
        <v>1816</v>
      </c>
      <c r="B5789">
        <f>A5789+1</f>
        <v>1817</v>
      </c>
      <c r="C5789" t="s">
        <v>522</v>
      </c>
      <c r="D5789" t="s">
        <v>26</v>
      </c>
      <c r="E5789" s="208" t="s">
        <v>85</v>
      </c>
      <c r="F5789" t="s">
        <v>10</v>
      </c>
      <c r="G5789" s="18">
        <v>0</v>
      </c>
      <c r="H5789" t="s">
        <v>24</v>
      </c>
      <c r="I5789" t="s">
        <v>17</v>
      </c>
    </row>
    <row r="5790" spans="1:9" x14ac:dyDescent="0.25">
      <c r="A5790">
        <v>1816</v>
      </c>
      <c r="B5790">
        <f>A5790+1</f>
        <v>1817</v>
      </c>
      <c r="C5790" t="s">
        <v>522</v>
      </c>
      <c r="D5790" t="s">
        <v>26</v>
      </c>
      <c r="E5790" s="208" t="s">
        <v>107</v>
      </c>
      <c r="F5790" t="s">
        <v>10</v>
      </c>
      <c r="G5790" s="18">
        <v>197181</v>
      </c>
      <c r="H5790" t="s">
        <v>24</v>
      </c>
      <c r="I5790" t="s">
        <v>17</v>
      </c>
    </row>
    <row r="5791" spans="1:9" x14ac:dyDescent="0.25">
      <c r="A5791">
        <v>1816</v>
      </c>
      <c r="B5791">
        <f>A5791+1</f>
        <v>1817</v>
      </c>
      <c r="C5791" t="s">
        <v>522</v>
      </c>
      <c r="D5791" t="s">
        <v>26</v>
      </c>
      <c r="E5791" s="208" t="s">
        <v>101</v>
      </c>
      <c r="F5791" t="s">
        <v>10</v>
      </c>
      <c r="G5791" s="18">
        <v>327500</v>
      </c>
      <c r="H5791" t="s">
        <v>24</v>
      </c>
      <c r="I5791" t="s">
        <v>17</v>
      </c>
    </row>
    <row r="5792" spans="1:9" x14ac:dyDescent="0.25">
      <c r="A5792">
        <v>1816</v>
      </c>
      <c r="B5792">
        <f>A5792+1</f>
        <v>1817</v>
      </c>
      <c r="C5792" t="s">
        <v>522</v>
      </c>
      <c r="D5792" t="s">
        <v>26</v>
      </c>
      <c r="E5792" s="208" t="s">
        <v>75</v>
      </c>
      <c r="F5792" t="s">
        <v>10</v>
      </c>
      <c r="G5792" s="18">
        <v>1633115</v>
      </c>
      <c r="H5792" t="s">
        <v>24</v>
      </c>
      <c r="I5792" t="s">
        <v>17</v>
      </c>
    </row>
    <row r="5793" spans="1:9" x14ac:dyDescent="0.25">
      <c r="A5793">
        <v>1816</v>
      </c>
      <c r="B5793">
        <f>A5793+1</f>
        <v>1817</v>
      </c>
      <c r="C5793" t="s">
        <v>522</v>
      </c>
      <c r="D5793" t="s">
        <v>26</v>
      </c>
      <c r="E5793" s="208" t="s">
        <v>330</v>
      </c>
      <c r="F5793" t="s">
        <v>10</v>
      </c>
      <c r="G5793" s="18">
        <v>0</v>
      </c>
      <c r="H5793" t="s">
        <v>24</v>
      </c>
      <c r="I5793" t="s">
        <v>17</v>
      </c>
    </row>
    <row r="5794" spans="1:9" x14ac:dyDescent="0.25">
      <c r="A5794">
        <v>1816</v>
      </c>
      <c r="B5794">
        <f>A5794+1</f>
        <v>1817</v>
      </c>
      <c r="C5794" t="s">
        <v>522</v>
      </c>
      <c r="D5794" t="s">
        <v>26</v>
      </c>
      <c r="E5794" s="208" t="s">
        <v>331</v>
      </c>
      <c r="F5794" t="s">
        <v>10</v>
      </c>
      <c r="G5794" s="18">
        <v>0</v>
      </c>
      <c r="H5794" t="s">
        <v>24</v>
      </c>
      <c r="I5794" t="s">
        <v>17</v>
      </c>
    </row>
    <row r="5795" spans="1:9" x14ac:dyDescent="0.25">
      <c r="A5795">
        <v>1816</v>
      </c>
      <c r="B5795">
        <f>A5795+1</f>
        <v>1817</v>
      </c>
      <c r="C5795" t="s">
        <v>522</v>
      </c>
      <c r="D5795" t="s">
        <v>26</v>
      </c>
      <c r="E5795" s="208" t="s">
        <v>332</v>
      </c>
      <c r="F5795" t="s">
        <v>10</v>
      </c>
      <c r="G5795" s="18">
        <v>0</v>
      </c>
      <c r="H5795" t="s">
        <v>24</v>
      </c>
      <c r="I5795" t="s">
        <v>17</v>
      </c>
    </row>
    <row r="5796" spans="1:9" x14ac:dyDescent="0.25">
      <c r="A5796">
        <v>1816</v>
      </c>
      <c r="B5796">
        <f>A5796+1</f>
        <v>1817</v>
      </c>
      <c r="C5796" t="s">
        <v>522</v>
      </c>
      <c r="D5796" t="s">
        <v>26</v>
      </c>
      <c r="E5796" s="208" t="s">
        <v>333</v>
      </c>
      <c r="F5796" t="s">
        <v>10</v>
      </c>
      <c r="G5796" s="18">
        <v>0</v>
      </c>
      <c r="H5796" t="s">
        <v>24</v>
      </c>
      <c r="I5796" t="s">
        <v>17</v>
      </c>
    </row>
    <row r="5797" spans="1:9" x14ac:dyDescent="0.25">
      <c r="A5797">
        <v>1816</v>
      </c>
      <c r="B5797">
        <f>A5797+1</f>
        <v>1817</v>
      </c>
      <c r="C5797" t="s">
        <v>522</v>
      </c>
      <c r="D5797" t="s">
        <v>27</v>
      </c>
      <c r="E5797" s="208" t="s">
        <v>155</v>
      </c>
      <c r="F5797" t="s">
        <v>8</v>
      </c>
      <c r="G5797" s="18">
        <v>86215</v>
      </c>
      <c r="H5797" t="s">
        <v>17</v>
      </c>
      <c r="I5797" t="s">
        <v>18</v>
      </c>
    </row>
    <row r="5798" spans="1:9" x14ac:dyDescent="0.25">
      <c r="A5798">
        <v>1816</v>
      </c>
      <c r="B5798">
        <f>A5798+1</f>
        <v>1817</v>
      </c>
      <c r="C5798" t="s">
        <v>522</v>
      </c>
      <c r="D5798" t="s">
        <v>27</v>
      </c>
      <c r="E5798" s="208" t="s">
        <v>156</v>
      </c>
      <c r="F5798" t="s">
        <v>8</v>
      </c>
      <c r="G5798" s="18">
        <v>8009</v>
      </c>
      <c r="H5798" t="s">
        <v>17</v>
      </c>
      <c r="I5798" t="s">
        <v>18</v>
      </c>
    </row>
    <row r="5799" spans="1:9" x14ac:dyDescent="0.25">
      <c r="A5799">
        <v>1816</v>
      </c>
      <c r="B5799">
        <f>A5799+1</f>
        <v>1817</v>
      </c>
      <c r="C5799" t="s">
        <v>522</v>
      </c>
      <c r="D5799" t="s">
        <v>27</v>
      </c>
      <c r="E5799" s="208" t="s">
        <v>154</v>
      </c>
      <c r="F5799" t="s">
        <v>8</v>
      </c>
      <c r="G5799" s="18">
        <v>852</v>
      </c>
      <c r="H5799" t="s">
        <v>17</v>
      </c>
      <c r="I5799" t="s">
        <v>18</v>
      </c>
    </row>
    <row r="5800" spans="1:9" x14ac:dyDescent="0.25">
      <c r="A5800">
        <v>1816</v>
      </c>
      <c r="B5800">
        <f>A5800+1</f>
        <v>1817</v>
      </c>
      <c r="C5800" t="s">
        <v>522</v>
      </c>
      <c r="D5800" t="s">
        <v>27</v>
      </c>
      <c r="E5800" s="208" t="s">
        <v>150</v>
      </c>
      <c r="F5800" t="s">
        <v>8</v>
      </c>
      <c r="G5800" s="18">
        <v>26727</v>
      </c>
      <c r="H5800" t="s">
        <v>17</v>
      </c>
      <c r="I5800" t="s">
        <v>18</v>
      </c>
    </row>
    <row r="5801" spans="1:9" x14ac:dyDescent="0.25">
      <c r="A5801">
        <v>1816</v>
      </c>
      <c r="B5801">
        <f>A5801+1</f>
        <v>1817</v>
      </c>
      <c r="C5801" t="s">
        <v>522</v>
      </c>
      <c r="D5801" t="s">
        <v>27</v>
      </c>
      <c r="E5801" s="208" t="s">
        <v>148</v>
      </c>
      <c r="F5801" t="s">
        <v>8</v>
      </c>
      <c r="G5801" s="18">
        <v>372</v>
      </c>
      <c r="H5801" t="s">
        <v>17</v>
      </c>
      <c r="I5801" t="s">
        <v>18</v>
      </c>
    </row>
    <row r="5802" spans="1:9" x14ac:dyDescent="0.25">
      <c r="A5802">
        <v>1816</v>
      </c>
      <c r="B5802">
        <f>A5802+1</f>
        <v>1817</v>
      </c>
      <c r="C5802" t="s">
        <v>522</v>
      </c>
      <c r="D5802" t="s">
        <v>27</v>
      </c>
      <c r="E5802" s="208" t="s">
        <v>147</v>
      </c>
      <c r="F5802" t="s">
        <v>8</v>
      </c>
      <c r="G5802" s="18">
        <v>0</v>
      </c>
      <c r="H5802" t="s">
        <v>17</v>
      </c>
      <c r="I5802" t="s">
        <v>18</v>
      </c>
    </row>
    <row r="5803" spans="1:9" x14ac:dyDescent="0.25">
      <c r="A5803">
        <v>1816</v>
      </c>
      <c r="B5803">
        <f>A5803+1</f>
        <v>1817</v>
      </c>
      <c r="C5803" t="s">
        <v>522</v>
      </c>
      <c r="D5803" t="s">
        <v>27</v>
      </c>
      <c r="E5803" s="208" t="s">
        <v>314</v>
      </c>
      <c r="F5803" t="s">
        <v>8</v>
      </c>
      <c r="G5803" s="18">
        <v>0</v>
      </c>
      <c r="H5803" t="s">
        <v>17</v>
      </c>
      <c r="I5803" t="s">
        <v>18</v>
      </c>
    </row>
    <row r="5804" spans="1:9" x14ac:dyDescent="0.25">
      <c r="A5804">
        <v>1816</v>
      </c>
      <c r="B5804">
        <f>A5804+1</f>
        <v>1817</v>
      </c>
      <c r="C5804" t="s">
        <v>522</v>
      </c>
      <c r="D5804" t="s">
        <v>27</v>
      </c>
      <c r="E5804" s="208" t="s">
        <v>139</v>
      </c>
      <c r="F5804" t="s">
        <v>8</v>
      </c>
      <c r="G5804" s="18">
        <v>31</v>
      </c>
      <c r="H5804" t="s">
        <v>17</v>
      </c>
      <c r="I5804" t="s">
        <v>18</v>
      </c>
    </row>
    <row r="5805" spans="1:9" x14ac:dyDescent="0.25">
      <c r="A5805">
        <v>1816</v>
      </c>
      <c r="B5805">
        <f>A5805+1</f>
        <v>1817</v>
      </c>
      <c r="C5805" t="s">
        <v>522</v>
      </c>
      <c r="D5805" t="s">
        <v>27</v>
      </c>
      <c r="E5805" s="208" t="s">
        <v>132</v>
      </c>
      <c r="F5805" t="s">
        <v>8</v>
      </c>
      <c r="G5805" s="18">
        <v>1196</v>
      </c>
      <c r="H5805" t="s">
        <v>17</v>
      </c>
      <c r="I5805" t="s">
        <v>18</v>
      </c>
    </row>
    <row r="5806" spans="1:9" x14ac:dyDescent="0.25">
      <c r="A5806">
        <v>1816</v>
      </c>
      <c r="B5806">
        <f>A5806+1</f>
        <v>1817</v>
      </c>
      <c r="C5806" t="s">
        <v>522</v>
      </c>
      <c r="D5806" t="s">
        <v>27</v>
      </c>
      <c r="E5806" s="208" t="s">
        <v>130</v>
      </c>
      <c r="F5806" t="s">
        <v>8</v>
      </c>
      <c r="G5806" s="18">
        <v>868</v>
      </c>
      <c r="H5806" t="s">
        <v>17</v>
      </c>
      <c r="I5806" t="s">
        <v>18</v>
      </c>
    </row>
    <row r="5807" spans="1:9" x14ac:dyDescent="0.25">
      <c r="A5807">
        <v>1816</v>
      </c>
      <c r="B5807">
        <f>A5807+1</f>
        <v>1817</v>
      </c>
      <c r="C5807" t="s">
        <v>522</v>
      </c>
      <c r="D5807" t="s">
        <v>27</v>
      </c>
      <c r="E5807" s="208" t="s">
        <v>144</v>
      </c>
      <c r="F5807" t="s">
        <v>8</v>
      </c>
      <c r="G5807" s="18">
        <v>32</v>
      </c>
      <c r="H5807" t="s">
        <v>17</v>
      </c>
      <c r="I5807" t="s">
        <v>18</v>
      </c>
    </row>
    <row r="5808" spans="1:9" x14ac:dyDescent="0.25">
      <c r="A5808">
        <v>1816</v>
      </c>
      <c r="B5808">
        <f>A5808+1</f>
        <v>1817</v>
      </c>
      <c r="C5808" t="s">
        <v>522</v>
      </c>
      <c r="D5808" t="s">
        <v>27</v>
      </c>
      <c r="E5808" s="208" t="s">
        <v>142</v>
      </c>
      <c r="F5808" t="s">
        <v>8</v>
      </c>
      <c r="G5808" s="18">
        <v>8922</v>
      </c>
      <c r="H5808" t="s">
        <v>17</v>
      </c>
      <c r="I5808" t="s">
        <v>18</v>
      </c>
    </row>
    <row r="5809" spans="1:9" x14ac:dyDescent="0.25">
      <c r="A5809">
        <v>1816</v>
      </c>
      <c r="B5809">
        <f>A5809+1</f>
        <v>1817</v>
      </c>
      <c r="C5809" t="s">
        <v>522</v>
      </c>
      <c r="D5809" t="s">
        <v>27</v>
      </c>
      <c r="E5809" s="208" t="s">
        <v>124</v>
      </c>
      <c r="F5809" t="s">
        <v>8</v>
      </c>
      <c r="G5809" s="18">
        <v>6616685</v>
      </c>
      <c r="H5809" t="s">
        <v>17</v>
      </c>
      <c r="I5809" t="s">
        <v>18</v>
      </c>
    </row>
    <row r="5810" spans="1:9" x14ac:dyDescent="0.25">
      <c r="A5810">
        <v>1816</v>
      </c>
      <c r="B5810">
        <f>A5810+1</f>
        <v>1817</v>
      </c>
      <c r="C5810" t="s">
        <v>522</v>
      </c>
      <c r="D5810" t="s">
        <v>26</v>
      </c>
      <c r="E5810" s="208" t="s">
        <v>62</v>
      </c>
      <c r="F5810" t="s">
        <v>164</v>
      </c>
      <c r="G5810" s="18">
        <v>63</v>
      </c>
      <c r="H5810" t="s">
        <v>160</v>
      </c>
      <c r="I5810" t="s">
        <v>17</v>
      </c>
    </row>
    <row r="5811" spans="1:9" x14ac:dyDescent="0.25">
      <c r="A5811">
        <v>1816</v>
      </c>
      <c r="B5811">
        <f>A5811+1</f>
        <v>1817</v>
      </c>
      <c r="C5811" t="s">
        <v>522</v>
      </c>
      <c r="D5811" t="s">
        <v>26</v>
      </c>
      <c r="E5811" s="208" t="s">
        <v>36</v>
      </c>
      <c r="F5811" t="s">
        <v>164</v>
      </c>
      <c r="G5811" s="18">
        <v>17</v>
      </c>
      <c r="H5811" t="s">
        <v>160</v>
      </c>
      <c r="I5811" t="s">
        <v>17</v>
      </c>
    </row>
    <row r="5812" spans="1:9" x14ac:dyDescent="0.25">
      <c r="A5812">
        <v>1816</v>
      </c>
      <c r="B5812">
        <f>A5812+1</f>
        <v>1817</v>
      </c>
      <c r="C5812" t="s">
        <v>522</v>
      </c>
      <c r="D5812" t="s">
        <v>26</v>
      </c>
      <c r="E5812" s="208" t="s">
        <v>35</v>
      </c>
      <c r="F5812" t="s">
        <v>164</v>
      </c>
      <c r="G5812" s="18">
        <v>0</v>
      </c>
      <c r="H5812" t="s">
        <v>160</v>
      </c>
      <c r="I5812" t="s">
        <v>17</v>
      </c>
    </row>
    <row r="5813" spans="1:9" x14ac:dyDescent="0.25">
      <c r="A5813">
        <v>1816</v>
      </c>
      <c r="B5813">
        <f>A5813+1</f>
        <v>1817</v>
      </c>
      <c r="C5813" t="s">
        <v>522</v>
      </c>
      <c r="D5813" t="s">
        <v>26</v>
      </c>
      <c r="E5813" s="208" t="s">
        <v>39</v>
      </c>
      <c r="F5813" t="s">
        <v>164</v>
      </c>
      <c r="G5813" s="18">
        <v>0</v>
      </c>
      <c r="H5813" t="s">
        <v>160</v>
      </c>
      <c r="I5813" t="s">
        <v>17</v>
      </c>
    </row>
    <row r="5814" spans="1:9" x14ac:dyDescent="0.25">
      <c r="A5814">
        <v>1816</v>
      </c>
      <c r="B5814">
        <f>A5814+1</f>
        <v>1817</v>
      </c>
      <c r="C5814" t="s">
        <v>522</v>
      </c>
      <c r="D5814" t="s">
        <v>26</v>
      </c>
      <c r="E5814" s="208" t="s">
        <v>99</v>
      </c>
      <c r="F5814" t="s">
        <v>164</v>
      </c>
      <c r="G5814" s="18">
        <v>0</v>
      </c>
      <c r="H5814" t="s">
        <v>160</v>
      </c>
      <c r="I5814" t="s">
        <v>17</v>
      </c>
    </row>
    <row r="5815" spans="1:9" x14ac:dyDescent="0.25">
      <c r="A5815">
        <v>1816</v>
      </c>
      <c r="B5815">
        <f>A5815+1</f>
        <v>1817</v>
      </c>
      <c r="C5815" t="s">
        <v>522</v>
      </c>
      <c r="D5815" t="s">
        <v>26</v>
      </c>
      <c r="E5815" s="208" t="s">
        <v>95</v>
      </c>
      <c r="F5815" t="s">
        <v>164</v>
      </c>
      <c r="G5815" s="18">
        <v>0</v>
      </c>
      <c r="H5815" t="s">
        <v>160</v>
      </c>
      <c r="I5815" t="s">
        <v>17</v>
      </c>
    </row>
    <row r="5816" spans="1:9" x14ac:dyDescent="0.25">
      <c r="A5816">
        <v>1816</v>
      </c>
      <c r="B5816">
        <f>A5816+1</f>
        <v>1817</v>
      </c>
      <c r="C5816" t="s">
        <v>522</v>
      </c>
      <c r="D5816" t="s">
        <v>26</v>
      </c>
      <c r="E5816" s="208" t="s">
        <v>94</v>
      </c>
      <c r="F5816" t="s">
        <v>164</v>
      </c>
      <c r="G5816" s="18">
        <v>0</v>
      </c>
      <c r="H5816" t="s">
        <v>160</v>
      </c>
      <c r="I5816" t="s">
        <v>17</v>
      </c>
    </row>
    <row r="5817" spans="1:9" x14ac:dyDescent="0.25">
      <c r="A5817">
        <v>1816</v>
      </c>
      <c r="B5817">
        <f>A5817+1</f>
        <v>1817</v>
      </c>
      <c r="C5817" t="s">
        <v>522</v>
      </c>
      <c r="D5817" t="s">
        <v>26</v>
      </c>
      <c r="E5817" s="208" t="s">
        <v>386</v>
      </c>
      <c r="F5817" t="s">
        <v>164</v>
      </c>
      <c r="G5817" s="18">
        <v>0</v>
      </c>
      <c r="H5817" t="s">
        <v>160</v>
      </c>
      <c r="I5817" t="s">
        <v>17</v>
      </c>
    </row>
    <row r="5818" spans="1:9" x14ac:dyDescent="0.25">
      <c r="A5818">
        <v>1816</v>
      </c>
      <c r="B5818">
        <f>A5818+1</f>
        <v>1817</v>
      </c>
      <c r="C5818" t="s">
        <v>522</v>
      </c>
      <c r="D5818" t="s">
        <v>26</v>
      </c>
      <c r="E5818" s="208" t="s">
        <v>387</v>
      </c>
      <c r="F5818" t="s">
        <v>164</v>
      </c>
      <c r="G5818" s="18">
        <v>0</v>
      </c>
      <c r="H5818" t="s">
        <v>160</v>
      </c>
      <c r="I5818" t="s">
        <v>17</v>
      </c>
    </row>
    <row r="5819" spans="1:9" x14ac:dyDescent="0.25">
      <c r="A5819">
        <v>1816</v>
      </c>
      <c r="B5819">
        <f>A5819+1</f>
        <v>1817</v>
      </c>
      <c r="C5819" t="s">
        <v>522</v>
      </c>
      <c r="D5819" t="s">
        <v>26</v>
      </c>
      <c r="E5819" s="208" t="s">
        <v>388</v>
      </c>
      <c r="F5819" t="s">
        <v>164</v>
      </c>
      <c r="G5819" s="18">
        <v>0</v>
      </c>
      <c r="H5819" t="s">
        <v>160</v>
      </c>
      <c r="I5819" t="s">
        <v>17</v>
      </c>
    </row>
    <row r="5820" spans="1:9" x14ac:dyDescent="0.25">
      <c r="A5820">
        <v>1816</v>
      </c>
      <c r="B5820">
        <f>A5820+1</f>
        <v>1817</v>
      </c>
      <c r="C5820" t="s">
        <v>522</v>
      </c>
      <c r="D5820" t="s">
        <v>26</v>
      </c>
      <c r="E5820" s="208" t="s">
        <v>85</v>
      </c>
      <c r="F5820" t="s">
        <v>164</v>
      </c>
      <c r="G5820" s="18">
        <v>0</v>
      </c>
      <c r="H5820" t="s">
        <v>160</v>
      </c>
      <c r="I5820" t="s">
        <v>17</v>
      </c>
    </row>
    <row r="5821" spans="1:9" x14ac:dyDescent="0.25">
      <c r="A5821">
        <v>1816</v>
      </c>
      <c r="B5821">
        <f>A5821+1</f>
        <v>1817</v>
      </c>
      <c r="C5821" t="s">
        <v>522</v>
      </c>
      <c r="D5821" t="s">
        <v>26</v>
      </c>
      <c r="E5821" s="208" t="s">
        <v>107</v>
      </c>
      <c r="F5821" t="s">
        <v>164</v>
      </c>
      <c r="G5821" s="18">
        <v>0</v>
      </c>
      <c r="H5821" t="s">
        <v>160</v>
      </c>
      <c r="I5821" t="s">
        <v>17</v>
      </c>
    </row>
    <row r="5822" spans="1:9" x14ac:dyDescent="0.25">
      <c r="A5822">
        <v>1816</v>
      </c>
      <c r="B5822">
        <f>A5822+1</f>
        <v>1817</v>
      </c>
      <c r="C5822" t="s">
        <v>522</v>
      </c>
      <c r="D5822" t="s">
        <v>26</v>
      </c>
      <c r="E5822" s="208" t="s">
        <v>101</v>
      </c>
      <c r="F5822" t="s">
        <v>164</v>
      </c>
      <c r="G5822" s="18">
        <v>0</v>
      </c>
      <c r="H5822" t="s">
        <v>160</v>
      </c>
      <c r="I5822" t="s">
        <v>17</v>
      </c>
    </row>
    <row r="5823" spans="1:9" x14ac:dyDescent="0.25">
      <c r="A5823">
        <v>1816</v>
      </c>
      <c r="B5823">
        <f>A5823+1</f>
        <v>1817</v>
      </c>
      <c r="C5823" t="s">
        <v>522</v>
      </c>
      <c r="D5823" t="s">
        <v>26</v>
      </c>
      <c r="E5823" s="208" t="s">
        <v>75</v>
      </c>
      <c r="F5823" t="s">
        <v>164</v>
      </c>
      <c r="G5823" s="18">
        <v>0</v>
      </c>
      <c r="H5823" t="s">
        <v>160</v>
      </c>
      <c r="I5823" t="s">
        <v>17</v>
      </c>
    </row>
    <row r="5824" spans="1:9" x14ac:dyDescent="0.25">
      <c r="A5824">
        <v>1816</v>
      </c>
      <c r="B5824">
        <f>A5824+1</f>
        <v>1817</v>
      </c>
      <c r="C5824" t="s">
        <v>522</v>
      </c>
      <c r="D5824" t="s">
        <v>26</v>
      </c>
      <c r="E5824" s="208" t="s">
        <v>330</v>
      </c>
      <c r="F5824" t="s">
        <v>164</v>
      </c>
      <c r="G5824" s="18">
        <v>0</v>
      </c>
      <c r="H5824" t="s">
        <v>160</v>
      </c>
      <c r="I5824" t="s">
        <v>17</v>
      </c>
    </row>
    <row r="5825" spans="1:9" x14ac:dyDescent="0.25">
      <c r="A5825">
        <v>1816</v>
      </c>
      <c r="B5825">
        <f>A5825+1</f>
        <v>1817</v>
      </c>
      <c r="C5825" t="s">
        <v>522</v>
      </c>
      <c r="D5825" t="s">
        <v>26</v>
      </c>
      <c r="E5825" s="208" t="s">
        <v>331</v>
      </c>
      <c r="F5825" t="s">
        <v>164</v>
      </c>
      <c r="G5825" s="18">
        <v>0</v>
      </c>
      <c r="H5825" t="s">
        <v>160</v>
      </c>
      <c r="I5825" t="s">
        <v>17</v>
      </c>
    </row>
    <row r="5826" spans="1:9" x14ac:dyDescent="0.25">
      <c r="A5826">
        <v>1816</v>
      </c>
      <c r="B5826">
        <f>A5826+1</f>
        <v>1817</v>
      </c>
      <c r="C5826" t="s">
        <v>522</v>
      </c>
      <c r="D5826" t="s">
        <v>26</v>
      </c>
      <c r="E5826" s="208" t="s">
        <v>332</v>
      </c>
      <c r="F5826" t="s">
        <v>164</v>
      </c>
      <c r="G5826" s="18">
        <v>0</v>
      </c>
      <c r="H5826" t="s">
        <v>160</v>
      </c>
      <c r="I5826" t="s">
        <v>17</v>
      </c>
    </row>
    <row r="5827" spans="1:9" x14ac:dyDescent="0.25">
      <c r="A5827">
        <v>1816</v>
      </c>
      <c r="B5827">
        <f>A5827+1</f>
        <v>1817</v>
      </c>
      <c r="C5827" t="s">
        <v>522</v>
      </c>
      <c r="D5827" t="s">
        <v>26</v>
      </c>
      <c r="E5827" s="208" t="s">
        <v>333</v>
      </c>
      <c r="F5827" t="s">
        <v>164</v>
      </c>
      <c r="G5827" s="18">
        <v>0</v>
      </c>
      <c r="H5827" t="s">
        <v>160</v>
      </c>
      <c r="I5827" t="s">
        <v>17</v>
      </c>
    </row>
    <row r="5828" spans="1:9" x14ac:dyDescent="0.25">
      <c r="A5828">
        <v>1816</v>
      </c>
      <c r="B5828">
        <f>A5828+1</f>
        <v>1817</v>
      </c>
      <c r="C5828" t="s">
        <v>522</v>
      </c>
      <c r="D5828" t="s">
        <v>27</v>
      </c>
      <c r="E5828" s="208" t="s">
        <v>155</v>
      </c>
      <c r="F5828" t="s">
        <v>9</v>
      </c>
      <c r="G5828" s="18">
        <v>50</v>
      </c>
      <c r="H5828" t="s">
        <v>17</v>
      </c>
      <c r="I5828" t="s">
        <v>21</v>
      </c>
    </row>
    <row r="5829" spans="1:9" x14ac:dyDescent="0.25">
      <c r="A5829">
        <v>1816</v>
      </c>
      <c r="B5829">
        <f>A5829+1</f>
        <v>1817</v>
      </c>
      <c r="C5829" t="s">
        <v>522</v>
      </c>
      <c r="D5829" t="s">
        <v>27</v>
      </c>
      <c r="E5829" s="208" t="s">
        <v>156</v>
      </c>
      <c r="F5829" t="s">
        <v>9</v>
      </c>
      <c r="G5829" s="18">
        <v>16</v>
      </c>
      <c r="H5829" t="s">
        <v>17</v>
      </c>
      <c r="I5829" t="s">
        <v>21</v>
      </c>
    </row>
    <row r="5830" spans="1:9" x14ac:dyDescent="0.25">
      <c r="A5830">
        <v>1816</v>
      </c>
      <c r="B5830">
        <f>A5830+1</f>
        <v>1817</v>
      </c>
      <c r="C5830" t="s">
        <v>522</v>
      </c>
      <c r="D5830" t="s">
        <v>27</v>
      </c>
      <c r="E5830" s="208" t="s">
        <v>154</v>
      </c>
      <c r="F5830" t="s">
        <v>9</v>
      </c>
      <c r="G5830" s="18">
        <v>9</v>
      </c>
      <c r="H5830" t="s">
        <v>17</v>
      </c>
      <c r="I5830" t="s">
        <v>21</v>
      </c>
    </row>
    <row r="5831" spans="1:9" x14ac:dyDescent="0.25">
      <c r="A5831">
        <v>1816</v>
      </c>
      <c r="B5831">
        <f>A5831+1</f>
        <v>1817</v>
      </c>
      <c r="C5831" t="s">
        <v>522</v>
      </c>
      <c r="D5831" t="s">
        <v>27</v>
      </c>
      <c r="E5831" s="208" t="s">
        <v>150</v>
      </c>
      <c r="F5831" t="s">
        <v>9</v>
      </c>
      <c r="G5831" s="18">
        <v>621</v>
      </c>
      <c r="H5831" t="s">
        <v>17</v>
      </c>
      <c r="I5831" t="s">
        <v>21</v>
      </c>
    </row>
    <row r="5832" spans="1:9" x14ac:dyDescent="0.25">
      <c r="A5832">
        <v>1816</v>
      </c>
      <c r="B5832">
        <f>A5832+1</f>
        <v>1817</v>
      </c>
      <c r="C5832" t="s">
        <v>522</v>
      </c>
      <c r="D5832" t="s">
        <v>27</v>
      </c>
      <c r="E5832" s="208" t="s">
        <v>148</v>
      </c>
      <c r="F5832" t="s">
        <v>9</v>
      </c>
      <c r="G5832" s="18">
        <v>20</v>
      </c>
      <c r="H5832" t="s">
        <v>17</v>
      </c>
      <c r="I5832" t="s">
        <v>21</v>
      </c>
    </row>
    <row r="5833" spans="1:9" x14ac:dyDescent="0.25">
      <c r="A5833">
        <v>1816</v>
      </c>
      <c r="B5833">
        <f>A5833+1</f>
        <v>1817</v>
      </c>
      <c r="C5833" t="s">
        <v>522</v>
      </c>
      <c r="D5833" t="s">
        <v>27</v>
      </c>
      <c r="E5833" s="208" t="s">
        <v>147</v>
      </c>
      <c r="F5833" t="s">
        <v>9</v>
      </c>
      <c r="G5833" s="18">
        <v>0</v>
      </c>
      <c r="H5833" t="s">
        <v>17</v>
      </c>
      <c r="I5833" t="s">
        <v>21</v>
      </c>
    </row>
    <row r="5834" spans="1:9" x14ac:dyDescent="0.25">
      <c r="A5834">
        <v>1816</v>
      </c>
      <c r="B5834">
        <f>A5834+1</f>
        <v>1817</v>
      </c>
      <c r="C5834" t="s">
        <v>522</v>
      </c>
      <c r="D5834" t="s">
        <v>27</v>
      </c>
      <c r="E5834" s="208" t="s">
        <v>314</v>
      </c>
      <c r="F5834" t="s">
        <v>9</v>
      </c>
      <c r="G5834" s="18">
        <v>0</v>
      </c>
      <c r="H5834" t="s">
        <v>17</v>
      </c>
      <c r="I5834" t="s">
        <v>21</v>
      </c>
    </row>
    <row r="5835" spans="1:9" x14ac:dyDescent="0.25">
      <c r="A5835">
        <v>1816</v>
      </c>
      <c r="B5835">
        <f>A5835+1</f>
        <v>1817</v>
      </c>
      <c r="C5835" t="s">
        <v>522</v>
      </c>
      <c r="D5835" t="s">
        <v>27</v>
      </c>
      <c r="E5835" s="208" t="s">
        <v>139</v>
      </c>
      <c r="F5835" t="s">
        <v>9</v>
      </c>
      <c r="G5835" s="18">
        <v>0</v>
      </c>
      <c r="H5835" t="s">
        <v>17</v>
      </c>
      <c r="I5835" t="s">
        <v>21</v>
      </c>
    </row>
    <row r="5836" spans="1:9" x14ac:dyDescent="0.25">
      <c r="A5836">
        <v>1816</v>
      </c>
      <c r="B5836">
        <f>A5836+1</f>
        <v>1817</v>
      </c>
      <c r="C5836" t="s">
        <v>522</v>
      </c>
      <c r="D5836" t="s">
        <v>27</v>
      </c>
      <c r="E5836" s="208" t="s">
        <v>132</v>
      </c>
      <c r="F5836" t="s">
        <v>9</v>
      </c>
      <c r="G5836" s="18">
        <v>0</v>
      </c>
      <c r="H5836" t="s">
        <v>17</v>
      </c>
      <c r="I5836" t="s">
        <v>21</v>
      </c>
    </row>
    <row r="5837" spans="1:9" x14ac:dyDescent="0.25">
      <c r="A5837">
        <v>1816</v>
      </c>
      <c r="B5837">
        <f>A5837+1</f>
        <v>1817</v>
      </c>
      <c r="C5837" t="s">
        <v>522</v>
      </c>
      <c r="D5837" t="s">
        <v>27</v>
      </c>
      <c r="E5837" s="208" t="s">
        <v>130</v>
      </c>
      <c r="F5837" t="s">
        <v>9</v>
      </c>
      <c r="G5837" s="18">
        <v>0</v>
      </c>
      <c r="H5837" t="s">
        <v>17</v>
      </c>
      <c r="I5837" t="s">
        <v>21</v>
      </c>
    </row>
    <row r="5838" spans="1:9" x14ac:dyDescent="0.25">
      <c r="A5838">
        <v>1816</v>
      </c>
      <c r="B5838">
        <f>A5838+1</f>
        <v>1817</v>
      </c>
      <c r="C5838" t="s">
        <v>522</v>
      </c>
      <c r="D5838" t="s">
        <v>27</v>
      </c>
      <c r="E5838" s="208" t="s">
        <v>144</v>
      </c>
      <c r="F5838" t="s">
        <v>9</v>
      </c>
      <c r="G5838" s="18">
        <v>0</v>
      </c>
      <c r="H5838" t="s">
        <v>17</v>
      </c>
      <c r="I5838" t="s">
        <v>21</v>
      </c>
    </row>
    <row r="5839" spans="1:9" x14ac:dyDescent="0.25">
      <c r="A5839">
        <v>1816</v>
      </c>
      <c r="B5839">
        <f>A5839+1</f>
        <v>1817</v>
      </c>
      <c r="C5839" t="s">
        <v>522</v>
      </c>
      <c r="D5839" t="s">
        <v>27</v>
      </c>
      <c r="E5839" s="208" t="s">
        <v>142</v>
      </c>
      <c r="F5839" t="s">
        <v>9</v>
      </c>
      <c r="G5839" s="18">
        <v>60</v>
      </c>
      <c r="H5839" t="s">
        <v>17</v>
      </c>
      <c r="I5839" t="s">
        <v>21</v>
      </c>
    </row>
    <row r="5840" spans="1:9" x14ac:dyDescent="0.25">
      <c r="A5840">
        <v>1816</v>
      </c>
      <c r="B5840">
        <f>A5840+1</f>
        <v>1817</v>
      </c>
      <c r="C5840" t="s">
        <v>522</v>
      </c>
      <c r="D5840" t="s">
        <v>27</v>
      </c>
      <c r="E5840" s="208" t="s">
        <v>124</v>
      </c>
      <c r="F5840" t="s">
        <v>9</v>
      </c>
      <c r="G5840" s="18">
        <v>110512</v>
      </c>
      <c r="H5840" t="s">
        <v>17</v>
      </c>
      <c r="I5840" t="s">
        <v>21</v>
      </c>
    </row>
    <row r="5841" spans="1:9" x14ac:dyDescent="0.25">
      <c r="A5841">
        <v>1816</v>
      </c>
      <c r="B5841">
        <f>A5841+1</f>
        <v>1817</v>
      </c>
      <c r="C5841" t="s">
        <v>522</v>
      </c>
      <c r="D5841" t="s">
        <v>27</v>
      </c>
      <c r="E5841" s="208" t="s">
        <v>155</v>
      </c>
      <c r="F5841" t="s">
        <v>13</v>
      </c>
      <c r="G5841" s="18">
        <v>0</v>
      </c>
      <c r="H5841" t="s">
        <v>17</v>
      </c>
      <c r="I5841" t="s">
        <v>25</v>
      </c>
    </row>
    <row r="5842" spans="1:9" x14ac:dyDescent="0.25">
      <c r="A5842">
        <v>1816</v>
      </c>
      <c r="B5842">
        <f>A5842+1</f>
        <v>1817</v>
      </c>
      <c r="C5842" t="s">
        <v>522</v>
      </c>
      <c r="D5842" t="s">
        <v>27</v>
      </c>
      <c r="E5842" s="208" t="s">
        <v>156</v>
      </c>
      <c r="F5842" t="s">
        <v>13</v>
      </c>
      <c r="G5842" s="18">
        <v>0</v>
      </c>
      <c r="H5842" t="s">
        <v>17</v>
      </c>
      <c r="I5842" t="s">
        <v>25</v>
      </c>
    </row>
    <row r="5843" spans="1:9" x14ac:dyDescent="0.25">
      <c r="A5843">
        <v>1816</v>
      </c>
      <c r="B5843">
        <f>A5843+1</f>
        <v>1817</v>
      </c>
      <c r="C5843" t="s">
        <v>522</v>
      </c>
      <c r="D5843" t="s">
        <v>27</v>
      </c>
      <c r="E5843" s="208" t="s">
        <v>154</v>
      </c>
      <c r="F5843" t="s">
        <v>13</v>
      </c>
      <c r="G5843" s="18">
        <v>0</v>
      </c>
      <c r="H5843" t="s">
        <v>17</v>
      </c>
      <c r="I5843" t="s">
        <v>25</v>
      </c>
    </row>
    <row r="5844" spans="1:9" x14ac:dyDescent="0.25">
      <c r="A5844">
        <v>1816</v>
      </c>
      <c r="B5844">
        <f>A5844+1</f>
        <v>1817</v>
      </c>
      <c r="C5844" t="s">
        <v>522</v>
      </c>
      <c r="D5844" t="s">
        <v>27</v>
      </c>
      <c r="E5844" s="208" t="s">
        <v>150</v>
      </c>
      <c r="F5844" t="s">
        <v>13</v>
      </c>
      <c r="G5844" s="18">
        <v>23</v>
      </c>
      <c r="H5844" t="s">
        <v>17</v>
      </c>
      <c r="I5844" t="s">
        <v>25</v>
      </c>
    </row>
    <row r="5845" spans="1:9" x14ac:dyDescent="0.25">
      <c r="A5845">
        <v>1816</v>
      </c>
      <c r="B5845">
        <f>A5845+1</f>
        <v>1817</v>
      </c>
      <c r="C5845" t="s">
        <v>522</v>
      </c>
      <c r="D5845" t="s">
        <v>27</v>
      </c>
      <c r="E5845" s="208" t="s">
        <v>148</v>
      </c>
      <c r="F5845" t="s">
        <v>13</v>
      </c>
      <c r="G5845" s="18">
        <v>0</v>
      </c>
      <c r="H5845" t="s">
        <v>17</v>
      </c>
      <c r="I5845" t="s">
        <v>25</v>
      </c>
    </row>
    <row r="5846" spans="1:9" x14ac:dyDescent="0.25">
      <c r="A5846">
        <v>1816</v>
      </c>
      <c r="B5846">
        <f>A5846+1</f>
        <v>1817</v>
      </c>
      <c r="C5846" t="s">
        <v>522</v>
      </c>
      <c r="D5846" t="s">
        <v>27</v>
      </c>
      <c r="E5846" s="208" t="s">
        <v>147</v>
      </c>
      <c r="F5846" t="s">
        <v>13</v>
      </c>
      <c r="G5846" s="18">
        <v>0</v>
      </c>
      <c r="H5846" t="s">
        <v>17</v>
      </c>
      <c r="I5846" t="s">
        <v>25</v>
      </c>
    </row>
    <row r="5847" spans="1:9" x14ac:dyDescent="0.25">
      <c r="A5847">
        <v>1816</v>
      </c>
      <c r="B5847">
        <f>A5847+1</f>
        <v>1817</v>
      </c>
      <c r="C5847" t="s">
        <v>522</v>
      </c>
      <c r="D5847" t="s">
        <v>27</v>
      </c>
      <c r="E5847" s="208" t="s">
        <v>314</v>
      </c>
      <c r="F5847" t="s">
        <v>13</v>
      </c>
      <c r="G5847" s="18">
        <v>0</v>
      </c>
      <c r="H5847" t="s">
        <v>17</v>
      </c>
      <c r="I5847" t="s">
        <v>25</v>
      </c>
    </row>
    <row r="5848" spans="1:9" x14ac:dyDescent="0.25">
      <c r="A5848">
        <v>1816</v>
      </c>
      <c r="B5848">
        <f>A5848+1</f>
        <v>1817</v>
      </c>
      <c r="C5848" t="s">
        <v>522</v>
      </c>
      <c r="D5848" t="s">
        <v>27</v>
      </c>
      <c r="E5848" s="208" t="s">
        <v>139</v>
      </c>
      <c r="F5848" t="s">
        <v>13</v>
      </c>
      <c r="G5848" s="18">
        <v>0</v>
      </c>
      <c r="H5848" t="s">
        <v>17</v>
      </c>
      <c r="I5848" t="s">
        <v>25</v>
      </c>
    </row>
    <row r="5849" spans="1:9" x14ac:dyDescent="0.25">
      <c r="A5849">
        <v>1816</v>
      </c>
      <c r="B5849">
        <f>A5849+1</f>
        <v>1817</v>
      </c>
      <c r="C5849" t="s">
        <v>522</v>
      </c>
      <c r="D5849" t="s">
        <v>27</v>
      </c>
      <c r="E5849" s="208" t="s">
        <v>132</v>
      </c>
      <c r="F5849" t="s">
        <v>13</v>
      </c>
      <c r="G5849" s="18">
        <v>0</v>
      </c>
      <c r="H5849" t="s">
        <v>17</v>
      </c>
      <c r="I5849" t="s">
        <v>25</v>
      </c>
    </row>
    <row r="5850" spans="1:9" x14ac:dyDescent="0.25">
      <c r="A5850">
        <v>1816</v>
      </c>
      <c r="B5850">
        <f>A5850+1</f>
        <v>1817</v>
      </c>
      <c r="C5850" t="s">
        <v>522</v>
      </c>
      <c r="D5850" t="s">
        <v>27</v>
      </c>
      <c r="E5850" s="208" t="s">
        <v>130</v>
      </c>
      <c r="F5850" t="s">
        <v>13</v>
      </c>
      <c r="G5850" s="18">
        <v>0</v>
      </c>
      <c r="H5850" t="s">
        <v>17</v>
      </c>
      <c r="I5850" t="s">
        <v>25</v>
      </c>
    </row>
    <row r="5851" spans="1:9" x14ac:dyDescent="0.25">
      <c r="A5851">
        <v>1816</v>
      </c>
      <c r="B5851">
        <f>A5851+1</f>
        <v>1817</v>
      </c>
      <c r="C5851" t="s">
        <v>522</v>
      </c>
      <c r="D5851" t="s">
        <v>27</v>
      </c>
      <c r="E5851" s="208" t="s">
        <v>144</v>
      </c>
      <c r="F5851" t="s">
        <v>13</v>
      </c>
      <c r="G5851" s="18">
        <v>0</v>
      </c>
      <c r="H5851" t="s">
        <v>17</v>
      </c>
      <c r="I5851" t="s">
        <v>25</v>
      </c>
    </row>
    <row r="5852" spans="1:9" x14ac:dyDescent="0.25">
      <c r="A5852">
        <v>1816</v>
      </c>
      <c r="B5852">
        <f>A5852+1</f>
        <v>1817</v>
      </c>
      <c r="C5852" t="s">
        <v>522</v>
      </c>
      <c r="D5852" t="s">
        <v>27</v>
      </c>
      <c r="E5852" s="208" t="s">
        <v>142</v>
      </c>
      <c r="F5852" t="s">
        <v>13</v>
      </c>
      <c r="G5852" s="18">
        <v>0</v>
      </c>
      <c r="H5852" t="s">
        <v>17</v>
      </c>
      <c r="I5852" t="s">
        <v>25</v>
      </c>
    </row>
    <row r="5853" spans="1:9" x14ac:dyDescent="0.25">
      <c r="A5853">
        <v>1816</v>
      </c>
      <c r="B5853">
        <f>A5853+1</f>
        <v>1817</v>
      </c>
      <c r="C5853" t="s">
        <v>522</v>
      </c>
      <c r="D5853" t="s">
        <v>27</v>
      </c>
      <c r="E5853" s="208" t="s">
        <v>124</v>
      </c>
      <c r="F5853" t="s">
        <v>13</v>
      </c>
      <c r="G5853" s="18">
        <v>0</v>
      </c>
      <c r="H5853" t="s">
        <v>17</v>
      </c>
      <c r="I5853" t="s">
        <v>25</v>
      </c>
    </row>
    <row r="5854" spans="1:9" x14ac:dyDescent="0.25">
      <c r="A5854">
        <v>1816</v>
      </c>
      <c r="B5854">
        <f>A5854+1</f>
        <v>1817</v>
      </c>
      <c r="C5854" t="s">
        <v>522</v>
      </c>
      <c r="D5854" t="s">
        <v>26</v>
      </c>
      <c r="E5854" s="208" t="s">
        <v>62</v>
      </c>
      <c r="F5854" t="s">
        <v>13</v>
      </c>
      <c r="G5854" s="18">
        <v>0</v>
      </c>
      <c r="H5854" t="s">
        <v>25</v>
      </c>
      <c r="I5854" t="s">
        <v>17</v>
      </c>
    </row>
    <row r="5855" spans="1:9" x14ac:dyDescent="0.25">
      <c r="A5855">
        <v>1816</v>
      </c>
      <c r="B5855">
        <f>A5855+1</f>
        <v>1817</v>
      </c>
      <c r="C5855" t="s">
        <v>522</v>
      </c>
      <c r="D5855" t="s">
        <v>26</v>
      </c>
      <c r="E5855" s="208" t="s">
        <v>36</v>
      </c>
      <c r="F5855" t="s">
        <v>13</v>
      </c>
      <c r="G5855" s="18">
        <v>0</v>
      </c>
      <c r="H5855" t="s">
        <v>25</v>
      </c>
      <c r="I5855" t="s">
        <v>17</v>
      </c>
    </row>
    <row r="5856" spans="1:9" x14ac:dyDescent="0.25">
      <c r="A5856">
        <v>1816</v>
      </c>
      <c r="B5856">
        <f>A5856+1</f>
        <v>1817</v>
      </c>
      <c r="C5856" t="s">
        <v>522</v>
      </c>
      <c r="D5856" t="s">
        <v>26</v>
      </c>
      <c r="E5856" s="208" t="s">
        <v>35</v>
      </c>
      <c r="F5856" t="s">
        <v>13</v>
      </c>
      <c r="G5856" s="18">
        <v>0</v>
      </c>
      <c r="H5856" t="s">
        <v>25</v>
      </c>
      <c r="I5856" t="s">
        <v>17</v>
      </c>
    </row>
    <row r="5857" spans="1:9" x14ac:dyDescent="0.25">
      <c r="A5857">
        <v>1816</v>
      </c>
      <c r="B5857">
        <f>A5857+1</f>
        <v>1817</v>
      </c>
      <c r="C5857" t="s">
        <v>522</v>
      </c>
      <c r="D5857" t="s">
        <v>26</v>
      </c>
      <c r="E5857" s="208" t="s">
        <v>39</v>
      </c>
      <c r="F5857" t="s">
        <v>13</v>
      </c>
      <c r="G5857" s="18">
        <v>0</v>
      </c>
      <c r="H5857" t="s">
        <v>25</v>
      </c>
      <c r="I5857" t="s">
        <v>17</v>
      </c>
    </row>
    <row r="5858" spans="1:9" x14ac:dyDescent="0.25">
      <c r="A5858">
        <v>1816</v>
      </c>
      <c r="B5858">
        <f>A5858+1</f>
        <v>1817</v>
      </c>
      <c r="C5858" t="s">
        <v>522</v>
      </c>
      <c r="D5858" t="s">
        <v>26</v>
      </c>
      <c r="E5858" s="208" t="s">
        <v>99</v>
      </c>
      <c r="F5858" t="s">
        <v>13</v>
      </c>
      <c r="G5858" s="18">
        <v>0</v>
      </c>
      <c r="H5858" t="s">
        <v>25</v>
      </c>
      <c r="I5858" t="s">
        <v>17</v>
      </c>
    </row>
    <row r="5859" spans="1:9" x14ac:dyDescent="0.25">
      <c r="A5859">
        <v>1816</v>
      </c>
      <c r="B5859">
        <f>A5859+1</f>
        <v>1817</v>
      </c>
      <c r="C5859" t="s">
        <v>522</v>
      </c>
      <c r="D5859" t="s">
        <v>26</v>
      </c>
      <c r="E5859" s="208" t="s">
        <v>95</v>
      </c>
      <c r="F5859" t="s">
        <v>13</v>
      </c>
      <c r="G5859" s="18">
        <v>0</v>
      </c>
      <c r="H5859" t="s">
        <v>25</v>
      </c>
      <c r="I5859" t="s">
        <v>17</v>
      </c>
    </row>
    <row r="5860" spans="1:9" x14ac:dyDescent="0.25">
      <c r="A5860">
        <v>1816</v>
      </c>
      <c r="B5860">
        <f>A5860+1</f>
        <v>1817</v>
      </c>
      <c r="C5860" t="s">
        <v>522</v>
      </c>
      <c r="D5860" t="s">
        <v>26</v>
      </c>
      <c r="E5860" s="208" t="s">
        <v>94</v>
      </c>
      <c r="F5860" t="s">
        <v>13</v>
      </c>
      <c r="G5860" s="18">
        <v>0</v>
      </c>
      <c r="H5860" t="s">
        <v>25</v>
      </c>
      <c r="I5860" t="s">
        <v>17</v>
      </c>
    </row>
    <row r="5861" spans="1:9" x14ac:dyDescent="0.25">
      <c r="A5861">
        <v>1816</v>
      </c>
      <c r="B5861">
        <f>A5861+1</f>
        <v>1817</v>
      </c>
      <c r="C5861" t="s">
        <v>522</v>
      </c>
      <c r="D5861" t="s">
        <v>26</v>
      </c>
      <c r="E5861" s="208" t="s">
        <v>386</v>
      </c>
      <c r="F5861" t="s">
        <v>13</v>
      </c>
      <c r="G5861" s="18">
        <v>1720</v>
      </c>
      <c r="H5861" t="s">
        <v>25</v>
      </c>
      <c r="I5861" t="s">
        <v>17</v>
      </c>
    </row>
    <row r="5862" spans="1:9" x14ac:dyDescent="0.25">
      <c r="A5862">
        <v>1816</v>
      </c>
      <c r="B5862">
        <f>A5862+1</f>
        <v>1817</v>
      </c>
      <c r="C5862" t="s">
        <v>522</v>
      </c>
      <c r="D5862" t="s">
        <v>26</v>
      </c>
      <c r="E5862" s="208" t="s">
        <v>387</v>
      </c>
      <c r="F5862" t="s">
        <v>13</v>
      </c>
      <c r="G5862" s="18">
        <v>28</v>
      </c>
      <c r="H5862" t="s">
        <v>25</v>
      </c>
      <c r="I5862" t="s">
        <v>17</v>
      </c>
    </row>
    <row r="5863" spans="1:9" x14ac:dyDescent="0.25">
      <c r="A5863">
        <v>1816</v>
      </c>
      <c r="B5863">
        <f>A5863+1</f>
        <v>1817</v>
      </c>
      <c r="C5863" t="s">
        <v>522</v>
      </c>
      <c r="D5863" t="s">
        <v>26</v>
      </c>
      <c r="E5863" s="208" t="s">
        <v>388</v>
      </c>
      <c r="F5863" t="s">
        <v>13</v>
      </c>
      <c r="G5863" s="18">
        <v>0</v>
      </c>
      <c r="H5863" t="s">
        <v>25</v>
      </c>
      <c r="I5863" t="s">
        <v>17</v>
      </c>
    </row>
    <row r="5864" spans="1:9" x14ac:dyDescent="0.25">
      <c r="A5864">
        <v>1816</v>
      </c>
      <c r="B5864">
        <f>A5864+1</f>
        <v>1817</v>
      </c>
      <c r="C5864" t="s">
        <v>522</v>
      </c>
      <c r="D5864" t="s">
        <v>26</v>
      </c>
      <c r="E5864" s="208" t="s">
        <v>85</v>
      </c>
      <c r="F5864" t="s">
        <v>13</v>
      </c>
      <c r="G5864" s="18">
        <v>0</v>
      </c>
      <c r="H5864" t="s">
        <v>25</v>
      </c>
      <c r="I5864" t="s">
        <v>17</v>
      </c>
    </row>
    <row r="5865" spans="1:9" x14ac:dyDescent="0.25">
      <c r="A5865">
        <v>1816</v>
      </c>
      <c r="B5865">
        <f>A5865+1</f>
        <v>1817</v>
      </c>
      <c r="C5865" t="s">
        <v>522</v>
      </c>
      <c r="D5865" t="s">
        <v>26</v>
      </c>
      <c r="E5865" s="208" t="s">
        <v>107</v>
      </c>
      <c r="F5865" t="s">
        <v>13</v>
      </c>
      <c r="G5865" s="18">
        <v>0</v>
      </c>
      <c r="H5865" t="s">
        <v>25</v>
      </c>
      <c r="I5865" t="s">
        <v>17</v>
      </c>
    </row>
    <row r="5866" spans="1:9" x14ac:dyDescent="0.25">
      <c r="A5866">
        <v>1816</v>
      </c>
      <c r="B5866">
        <f>A5866+1</f>
        <v>1817</v>
      </c>
      <c r="C5866" t="s">
        <v>522</v>
      </c>
      <c r="D5866" t="s">
        <v>26</v>
      </c>
      <c r="E5866" s="208" t="s">
        <v>101</v>
      </c>
      <c r="F5866" t="s">
        <v>13</v>
      </c>
      <c r="G5866" s="18">
        <v>0</v>
      </c>
      <c r="H5866" t="s">
        <v>25</v>
      </c>
      <c r="I5866" t="s">
        <v>17</v>
      </c>
    </row>
    <row r="5867" spans="1:9" x14ac:dyDescent="0.25">
      <c r="A5867">
        <v>1816</v>
      </c>
      <c r="B5867">
        <f>A5867+1</f>
        <v>1817</v>
      </c>
      <c r="C5867" t="s">
        <v>522</v>
      </c>
      <c r="D5867" t="s">
        <v>26</v>
      </c>
      <c r="E5867" s="208" t="s">
        <v>75</v>
      </c>
      <c r="F5867" t="s">
        <v>13</v>
      </c>
      <c r="G5867" s="18">
        <v>0</v>
      </c>
      <c r="H5867" t="s">
        <v>25</v>
      </c>
      <c r="I5867" t="s">
        <v>17</v>
      </c>
    </row>
    <row r="5868" spans="1:9" x14ac:dyDescent="0.25">
      <c r="A5868">
        <v>1816</v>
      </c>
      <c r="B5868">
        <f>A5868+1</f>
        <v>1817</v>
      </c>
      <c r="C5868" t="s">
        <v>522</v>
      </c>
      <c r="D5868" t="s">
        <v>26</v>
      </c>
      <c r="E5868" s="208" t="s">
        <v>330</v>
      </c>
      <c r="F5868" t="s">
        <v>13</v>
      </c>
      <c r="G5868" s="18">
        <v>490</v>
      </c>
      <c r="H5868" t="s">
        <v>25</v>
      </c>
      <c r="I5868" t="s">
        <v>17</v>
      </c>
    </row>
    <row r="5869" spans="1:9" x14ac:dyDescent="0.25">
      <c r="A5869">
        <v>1816</v>
      </c>
      <c r="B5869">
        <f>A5869+1</f>
        <v>1817</v>
      </c>
      <c r="C5869" t="s">
        <v>522</v>
      </c>
      <c r="D5869" t="s">
        <v>26</v>
      </c>
      <c r="E5869" s="208" t="s">
        <v>331</v>
      </c>
      <c r="F5869" t="s">
        <v>13</v>
      </c>
      <c r="G5869" s="18">
        <v>872</v>
      </c>
      <c r="H5869" t="s">
        <v>25</v>
      </c>
      <c r="I5869" t="s">
        <v>17</v>
      </c>
    </row>
    <row r="5870" spans="1:9" x14ac:dyDescent="0.25">
      <c r="A5870">
        <v>1816</v>
      </c>
      <c r="B5870">
        <f>A5870+1</f>
        <v>1817</v>
      </c>
      <c r="C5870" t="s">
        <v>522</v>
      </c>
      <c r="D5870" t="s">
        <v>26</v>
      </c>
      <c r="E5870" s="208" t="s">
        <v>332</v>
      </c>
      <c r="F5870" t="s">
        <v>13</v>
      </c>
      <c r="G5870" s="18">
        <v>63</v>
      </c>
      <c r="H5870" t="s">
        <v>25</v>
      </c>
      <c r="I5870" t="s">
        <v>17</v>
      </c>
    </row>
    <row r="5871" spans="1:9" x14ac:dyDescent="0.25">
      <c r="A5871">
        <v>1816</v>
      </c>
      <c r="B5871">
        <f>A5871+1</f>
        <v>1817</v>
      </c>
      <c r="C5871" t="s">
        <v>522</v>
      </c>
      <c r="D5871" t="s">
        <v>26</v>
      </c>
      <c r="E5871" s="208" t="s">
        <v>333</v>
      </c>
      <c r="F5871" t="s">
        <v>13</v>
      </c>
      <c r="G5871" s="18">
        <v>1087</v>
      </c>
      <c r="H5871" t="s">
        <v>25</v>
      </c>
      <c r="I5871" t="s">
        <v>17</v>
      </c>
    </row>
    <row r="5872" spans="1:9" x14ac:dyDescent="0.25">
      <c r="A5872">
        <v>1816</v>
      </c>
      <c r="B5872">
        <f>A5872+1</f>
        <v>1817</v>
      </c>
      <c r="C5872" t="s">
        <v>522</v>
      </c>
      <c r="D5872" t="s">
        <v>27</v>
      </c>
      <c r="E5872" s="208" t="s">
        <v>155</v>
      </c>
      <c r="F5872" t="s">
        <v>11</v>
      </c>
      <c r="G5872" s="18">
        <v>678</v>
      </c>
      <c r="H5872" t="s">
        <v>17</v>
      </c>
      <c r="I5872" t="s">
        <v>23</v>
      </c>
    </row>
    <row r="5873" spans="1:9" x14ac:dyDescent="0.25">
      <c r="A5873">
        <v>1816</v>
      </c>
      <c r="B5873">
        <f>A5873+1</f>
        <v>1817</v>
      </c>
      <c r="C5873" t="s">
        <v>522</v>
      </c>
      <c r="D5873" t="s">
        <v>27</v>
      </c>
      <c r="E5873" s="208" t="s">
        <v>156</v>
      </c>
      <c r="F5873" t="s">
        <v>11</v>
      </c>
      <c r="G5873" s="18">
        <v>426</v>
      </c>
      <c r="H5873" t="s">
        <v>17</v>
      </c>
      <c r="I5873" t="s">
        <v>23</v>
      </c>
    </row>
    <row r="5874" spans="1:9" x14ac:dyDescent="0.25">
      <c r="A5874">
        <v>1816</v>
      </c>
      <c r="B5874">
        <f>A5874+1</f>
        <v>1817</v>
      </c>
      <c r="C5874" t="s">
        <v>522</v>
      </c>
      <c r="D5874" t="s">
        <v>27</v>
      </c>
      <c r="E5874" s="208" t="s">
        <v>154</v>
      </c>
      <c r="F5874" t="s">
        <v>11</v>
      </c>
      <c r="G5874" s="18">
        <v>43</v>
      </c>
      <c r="H5874" t="s">
        <v>17</v>
      </c>
      <c r="I5874" t="s">
        <v>23</v>
      </c>
    </row>
    <row r="5875" spans="1:9" x14ac:dyDescent="0.25">
      <c r="A5875">
        <v>1816</v>
      </c>
      <c r="B5875">
        <f>A5875+1</f>
        <v>1817</v>
      </c>
      <c r="C5875" t="s">
        <v>522</v>
      </c>
      <c r="D5875" t="s">
        <v>27</v>
      </c>
      <c r="E5875" s="208" t="s">
        <v>150</v>
      </c>
      <c r="F5875" t="s">
        <v>11</v>
      </c>
      <c r="G5875" s="18">
        <v>4019</v>
      </c>
      <c r="H5875" t="s">
        <v>17</v>
      </c>
      <c r="I5875" t="s">
        <v>23</v>
      </c>
    </row>
    <row r="5876" spans="1:9" x14ac:dyDescent="0.25">
      <c r="A5876">
        <v>1816</v>
      </c>
      <c r="B5876">
        <f>A5876+1</f>
        <v>1817</v>
      </c>
      <c r="C5876" t="s">
        <v>522</v>
      </c>
      <c r="D5876" t="s">
        <v>27</v>
      </c>
      <c r="E5876" s="208" t="s">
        <v>148</v>
      </c>
      <c r="F5876" t="s">
        <v>11</v>
      </c>
      <c r="G5876" s="18">
        <v>7</v>
      </c>
      <c r="H5876" t="s">
        <v>17</v>
      </c>
      <c r="I5876" t="s">
        <v>23</v>
      </c>
    </row>
    <row r="5877" spans="1:9" x14ac:dyDescent="0.25">
      <c r="A5877">
        <v>1816</v>
      </c>
      <c r="B5877">
        <f>A5877+1</f>
        <v>1817</v>
      </c>
      <c r="C5877" t="s">
        <v>522</v>
      </c>
      <c r="D5877" t="s">
        <v>27</v>
      </c>
      <c r="E5877" s="208" t="s">
        <v>147</v>
      </c>
      <c r="F5877" t="s">
        <v>11</v>
      </c>
      <c r="G5877" s="18">
        <v>0</v>
      </c>
      <c r="H5877" t="s">
        <v>17</v>
      </c>
      <c r="I5877" t="s">
        <v>23</v>
      </c>
    </row>
    <row r="5878" spans="1:9" x14ac:dyDescent="0.25">
      <c r="A5878">
        <v>1816</v>
      </c>
      <c r="B5878">
        <f>A5878+1</f>
        <v>1817</v>
      </c>
      <c r="C5878" t="s">
        <v>522</v>
      </c>
      <c r="D5878" t="s">
        <v>27</v>
      </c>
      <c r="E5878" s="208" t="s">
        <v>314</v>
      </c>
      <c r="F5878" t="s">
        <v>11</v>
      </c>
      <c r="G5878" s="18">
        <v>0</v>
      </c>
      <c r="H5878" t="s">
        <v>17</v>
      </c>
      <c r="I5878" t="s">
        <v>23</v>
      </c>
    </row>
    <row r="5879" spans="1:9" x14ac:dyDescent="0.25">
      <c r="A5879">
        <v>1816</v>
      </c>
      <c r="B5879">
        <f>A5879+1</f>
        <v>1817</v>
      </c>
      <c r="C5879" t="s">
        <v>522</v>
      </c>
      <c r="D5879" t="s">
        <v>27</v>
      </c>
      <c r="E5879" s="208" t="s">
        <v>139</v>
      </c>
      <c r="F5879" t="s">
        <v>11</v>
      </c>
      <c r="G5879" s="18">
        <v>106</v>
      </c>
      <c r="H5879" t="s">
        <v>17</v>
      </c>
      <c r="I5879" t="s">
        <v>23</v>
      </c>
    </row>
    <row r="5880" spans="1:9" x14ac:dyDescent="0.25">
      <c r="A5880">
        <v>1816</v>
      </c>
      <c r="B5880">
        <f>A5880+1</f>
        <v>1817</v>
      </c>
      <c r="C5880" t="s">
        <v>522</v>
      </c>
      <c r="D5880" t="s">
        <v>27</v>
      </c>
      <c r="E5880" s="208" t="s">
        <v>132</v>
      </c>
      <c r="F5880" t="s">
        <v>11</v>
      </c>
      <c r="G5880" s="18">
        <v>0</v>
      </c>
      <c r="H5880" t="s">
        <v>17</v>
      </c>
      <c r="I5880" t="s">
        <v>23</v>
      </c>
    </row>
    <row r="5881" spans="1:9" x14ac:dyDescent="0.25">
      <c r="A5881">
        <v>1816</v>
      </c>
      <c r="B5881">
        <f>A5881+1</f>
        <v>1817</v>
      </c>
      <c r="C5881" t="s">
        <v>522</v>
      </c>
      <c r="D5881" t="s">
        <v>27</v>
      </c>
      <c r="E5881" s="208" t="s">
        <v>130</v>
      </c>
      <c r="F5881" t="s">
        <v>11</v>
      </c>
      <c r="G5881" s="18">
        <v>2</v>
      </c>
      <c r="H5881" t="s">
        <v>17</v>
      </c>
      <c r="I5881" t="s">
        <v>23</v>
      </c>
    </row>
    <row r="5882" spans="1:9" x14ac:dyDescent="0.25">
      <c r="A5882">
        <v>1816</v>
      </c>
      <c r="B5882">
        <f>A5882+1</f>
        <v>1817</v>
      </c>
      <c r="C5882" t="s">
        <v>522</v>
      </c>
      <c r="D5882" t="s">
        <v>27</v>
      </c>
      <c r="E5882" s="208" t="s">
        <v>144</v>
      </c>
      <c r="F5882" t="s">
        <v>11</v>
      </c>
      <c r="G5882" s="18">
        <v>68</v>
      </c>
      <c r="H5882" t="s">
        <v>17</v>
      </c>
      <c r="I5882" t="s">
        <v>23</v>
      </c>
    </row>
    <row r="5883" spans="1:9" x14ac:dyDescent="0.25">
      <c r="A5883">
        <v>1816</v>
      </c>
      <c r="B5883">
        <f>A5883+1</f>
        <v>1817</v>
      </c>
      <c r="C5883" t="s">
        <v>522</v>
      </c>
      <c r="D5883" t="s">
        <v>27</v>
      </c>
      <c r="E5883" s="208" t="s">
        <v>142</v>
      </c>
      <c r="F5883" t="s">
        <v>11</v>
      </c>
      <c r="G5883" s="18">
        <v>2831</v>
      </c>
      <c r="H5883" t="s">
        <v>17</v>
      </c>
      <c r="I5883" t="s">
        <v>23</v>
      </c>
    </row>
    <row r="5884" spans="1:9" x14ac:dyDescent="0.25">
      <c r="A5884">
        <v>1816</v>
      </c>
      <c r="B5884">
        <f>A5884+1</f>
        <v>1817</v>
      </c>
      <c r="C5884" t="s">
        <v>522</v>
      </c>
      <c r="D5884" t="s">
        <v>27</v>
      </c>
      <c r="E5884" s="208" t="s">
        <v>124</v>
      </c>
      <c r="F5884" t="s">
        <v>11</v>
      </c>
      <c r="G5884" s="18">
        <v>132325</v>
      </c>
      <c r="H5884" t="s">
        <v>17</v>
      </c>
      <c r="I5884" t="s">
        <v>23</v>
      </c>
    </row>
    <row r="5885" spans="1:9" x14ac:dyDescent="0.25">
      <c r="A5885">
        <v>1816</v>
      </c>
      <c r="B5885">
        <f>A5885+1</f>
        <v>1817</v>
      </c>
      <c r="C5885" t="s">
        <v>522</v>
      </c>
      <c r="D5885" t="s">
        <v>26</v>
      </c>
      <c r="E5885" s="208" t="s">
        <v>62</v>
      </c>
      <c r="F5885" t="s">
        <v>11</v>
      </c>
      <c r="G5885" s="18">
        <v>4960</v>
      </c>
      <c r="H5885" t="s">
        <v>23</v>
      </c>
      <c r="I5885" t="s">
        <v>17</v>
      </c>
    </row>
    <row r="5886" spans="1:9" x14ac:dyDescent="0.25">
      <c r="A5886">
        <v>1816</v>
      </c>
      <c r="B5886">
        <f>A5886+1</f>
        <v>1817</v>
      </c>
      <c r="C5886" t="s">
        <v>522</v>
      </c>
      <c r="D5886" t="s">
        <v>26</v>
      </c>
      <c r="E5886" s="208" t="s">
        <v>36</v>
      </c>
      <c r="F5886" t="s">
        <v>11</v>
      </c>
      <c r="G5886" s="18">
        <v>601</v>
      </c>
      <c r="H5886" t="s">
        <v>23</v>
      </c>
      <c r="I5886" t="s">
        <v>17</v>
      </c>
    </row>
    <row r="5887" spans="1:9" x14ac:dyDescent="0.25">
      <c r="A5887">
        <v>1816</v>
      </c>
      <c r="B5887">
        <f>A5887+1</f>
        <v>1817</v>
      </c>
      <c r="C5887" t="s">
        <v>522</v>
      </c>
      <c r="D5887" t="s">
        <v>26</v>
      </c>
      <c r="E5887" s="208" t="s">
        <v>35</v>
      </c>
      <c r="F5887" t="s">
        <v>11</v>
      </c>
      <c r="G5887" s="18">
        <v>0</v>
      </c>
      <c r="H5887" t="s">
        <v>23</v>
      </c>
      <c r="I5887" t="s">
        <v>17</v>
      </c>
    </row>
    <row r="5888" spans="1:9" x14ac:dyDescent="0.25">
      <c r="A5888">
        <v>1816</v>
      </c>
      <c r="B5888">
        <f>A5888+1</f>
        <v>1817</v>
      </c>
      <c r="C5888" t="s">
        <v>522</v>
      </c>
      <c r="D5888" t="s">
        <v>26</v>
      </c>
      <c r="E5888" s="208" t="s">
        <v>39</v>
      </c>
      <c r="F5888" t="s">
        <v>11</v>
      </c>
      <c r="G5888" s="18">
        <v>728</v>
      </c>
      <c r="H5888" t="s">
        <v>23</v>
      </c>
      <c r="I5888" t="s">
        <v>17</v>
      </c>
    </row>
    <row r="5889" spans="1:9" x14ac:dyDescent="0.25">
      <c r="A5889">
        <v>1816</v>
      </c>
      <c r="B5889">
        <f>A5889+1</f>
        <v>1817</v>
      </c>
      <c r="C5889" t="s">
        <v>522</v>
      </c>
      <c r="D5889" t="s">
        <v>26</v>
      </c>
      <c r="E5889" s="208" t="s">
        <v>99</v>
      </c>
      <c r="F5889" t="s">
        <v>11</v>
      </c>
      <c r="G5889" s="18">
        <v>768</v>
      </c>
      <c r="H5889" t="s">
        <v>23</v>
      </c>
      <c r="I5889" t="s">
        <v>17</v>
      </c>
    </row>
    <row r="5890" spans="1:9" x14ac:dyDescent="0.25">
      <c r="A5890">
        <v>1816</v>
      </c>
      <c r="B5890">
        <f>A5890+1</f>
        <v>1817</v>
      </c>
      <c r="C5890" t="s">
        <v>522</v>
      </c>
      <c r="D5890" t="s">
        <v>26</v>
      </c>
      <c r="E5890" s="208" t="s">
        <v>95</v>
      </c>
      <c r="F5890" t="s">
        <v>11</v>
      </c>
      <c r="G5890" s="18">
        <v>0</v>
      </c>
      <c r="H5890" t="s">
        <v>23</v>
      </c>
      <c r="I5890" t="s">
        <v>17</v>
      </c>
    </row>
    <row r="5891" spans="1:9" x14ac:dyDescent="0.25">
      <c r="A5891">
        <v>1816</v>
      </c>
      <c r="B5891">
        <f>A5891+1</f>
        <v>1817</v>
      </c>
      <c r="C5891" t="s">
        <v>522</v>
      </c>
      <c r="D5891" t="s">
        <v>26</v>
      </c>
      <c r="E5891" s="208" t="s">
        <v>94</v>
      </c>
      <c r="F5891" t="s">
        <v>11</v>
      </c>
      <c r="G5891" s="18">
        <v>0</v>
      </c>
      <c r="H5891" t="s">
        <v>23</v>
      </c>
      <c r="I5891" t="s">
        <v>17</v>
      </c>
    </row>
    <row r="5892" spans="1:9" x14ac:dyDescent="0.25">
      <c r="A5892">
        <v>1816</v>
      </c>
      <c r="B5892">
        <f>A5892+1</f>
        <v>1817</v>
      </c>
      <c r="C5892" t="s">
        <v>522</v>
      </c>
      <c r="D5892" t="s">
        <v>26</v>
      </c>
      <c r="E5892" s="208" t="s">
        <v>386</v>
      </c>
      <c r="F5892" t="s">
        <v>11</v>
      </c>
      <c r="G5892" s="18">
        <v>800</v>
      </c>
      <c r="H5892" t="s">
        <v>23</v>
      </c>
      <c r="I5892" t="s">
        <v>17</v>
      </c>
    </row>
    <row r="5893" spans="1:9" x14ac:dyDescent="0.25">
      <c r="A5893">
        <v>1816</v>
      </c>
      <c r="B5893">
        <f>A5893+1</f>
        <v>1817</v>
      </c>
      <c r="C5893" t="s">
        <v>522</v>
      </c>
      <c r="D5893" t="s">
        <v>26</v>
      </c>
      <c r="E5893" s="208" t="s">
        <v>387</v>
      </c>
      <c r="F5893" t="s">
        <v>11</v>
      </c>
      <c r="G5893" s="18">
        <v>0</v>
      </c>
      <c r="H5893" t="s">
        <v>23</v>
      </c>
      <c r="I5893" t="s">
        <v>17</v>
      </c>
    </row>
    <row r="5894" spans="1:9" x14ac:dyDescent="0.25">
      <c r="A5894">
        <v>1816</v>
      </c>
      <c r="B5894">
        <f>A5894+1</f>
        <v>1817</v>
      </c>
      <c r="C5894" t="s">
        <v>522</v>
      </c>
      <c r="D5894" t="s">
        <v>26</v>
      </c>
      <c r="E5894" s="208" t="s">
        <v>388</v>
      </c>
      <c r="F5894" t="s">
        <v>11</v>
      </c>
      <c r="G5894" s="18">
        <v>1125</v>
      </c>
      <c r="H5894" t="s">
        <v>23</v>
      </c>
      <c r="I5894" t="s">
        <v>17</v>
      </c>
    </row>
    <row r="5895" spans="1:9" x14ac:dyDescent="0.25">
      <c r="A5895">
        <v>1816</v>
      </c>
      <c r="B5895">
        <f>A5895+1</f>
        <v>1817</v>
      </c>
      <c r="C5895" t="s">
        <v>522</v>
      </c>
      <c r="D5895" t="s">
        <v>26</v>
      </c>
      <c r="E5895" s="208" t="s">
        <v>85</v>
      </c>
      <c r="F5895" t="s">
        <v>11</v>
      </c>
      <c r="G5895" s="18">
        <v>99</v>
      </c>
      <c r="H5895" t="s">
        <v>23</v>
      </c>
      <c r="I5895" t="s">
        <v>17</v>
      </c>
    </row>
    <row r="5896" spans="1:9" x14ac:dyDescent="0.25">
      <c r="A5896">
        <v>1816</v>
      </c>
      <c r="B5896">
        <f>A5896+1</f>
        <v>1817</v>
      </c>
      <c r="C5896" t="s">
        <v>522</v>
      </c>
      <c r="D5896" t="s">
        <v>26</v>
      </c>
      <c r="E5896" s="208" t="s">
        <v>107</v>
      </c>
      <c r="F5896" t="s">
        <v>11</v>
      </c>
      <c r="G5896" s="18">
        <v>3360364</v>
      </c>
      <c r="H5896" t="s">
        <v>23</v>
      </c>
      <c r="I5896" t="s">
        <v>17</v>
      </c>
    </row>
    <row r="5897" spans="1:9" x14ac:dyDescent="0.25">
      <c r="A5897">
        <v>1816</v>
      </c>
      <c r="B5897">
        <f>A5897+1</f>
        <v>1817</v>
      </c>
      <c r="C5897" t="s">
        <v>522</v>
      </c>
      <c r="D5897" t="s">
        <v>26</v>
      </c>
      <c r="E5897" s="208" t="s">
        <v>101</v>
      </c>
      <c r="F5897" t="s">
        <v>11</v>
      </c>
      <c r="G5897" s="18">
        <v>6459880</v>
      </c>
      <c r="H5897" t="s">
        <v>23</v>
      </c>
      <c r="I5897" t="s">
        <v>17</v>
      </c>
    </row>
    <row r="5898" spans="1:9" x14ac:dyDescent="0.25">
      <c r="A5898">
        <v>1816</v>
      </c>
      <c r="B5898">
        <f>A5898+1</f>
        <v>1817</v>
      </c>
      <c r="C5898" t="s">
        <v>522</v>
      </c>
      <c r="D5898" t="s">
        <v>26</v>
      </c>
      <c r="E5898" s="208" t="s">
        <v>75</v>
      </c>
      <c r="F5898" t="s">
        <v>11</v>
      </c>
      <c r="G5898" s="18">
        <v>3112709</v>
      </c>
      <c r="H5898" t="s">
        <v>23</v>
      </c>
      <c r="I5898" t="s">
        <v>17</v>
      </c>
    </row>
    <row r="5899" spans="1:9" x14ac:dyDescent="0.25">
      <c r="A5899">
        <v>1816</v>
      </c>
      <c r="B5899">
        <f>A5899+1</f>
        <v>1817</v>
      </c>
      <c r="C5899" t="s">
        <v>522</v>
      </c>
      <c r="D5899" t="s">
        <v>26</v>
      </c>
      <c r="E5899" s="208" t="s">
        <v>330</v>
      </c>
      <c r="F5899" t="s">
        <v>11</v>
      </c>
      <c r="G5899" s="18">
        <v>14</v>
      </c>
      <c r="H5899" t="s">
        <v>23</v>
      </c>
      <c r="I5899" t="s">
        <v>17</v>
      </c>
    </row>
    <row r="5900" spans="1:9" x14ac:dyDescent="0.25">
      <c r="A5900">
        <v>1816</v>
      </c>
      <c r="B5900">
        <f>A5900+1</f>
        <v>1817</v>
      </c>
      <c r="C5900" t="s">
        <v>522</v>
      </c>
      <c r="D5900" t="s">
        <v>26</v>
      </c>
      <c r="E5900" s="208" t="s">
        <v>331</v>
      </c>
      <c r="F5900" t="s">
        <v>11</v>
      </c>
      <c r="G5900" s="18">
        <v>0</v>
      </c>
      <c r="H5900" t="s">
        <v>23</v>
      </c>
      <c r="I5900" t="s">
        <v>17</v>
      </c>
    </row>
    <row r="5901" spans="1:9" x14ac:dyDescent="0.25">
      <c r="A5901">
        <v>1816</v>
      </c>
      <c r="B5901">
        <f>A5901+1</f>
        <v>1817</v>
      </c>
      <c r="C5901" t="s">
        <v>522</v>
      </c>
      <c r="D5901" t="s">
        <v>26</v>
      </c>
      <c r="E5901" s="208" t="s">
        <v>332</v>
      </c>
      <c r="F5901" t="s">
        <v>11</v>
      </c>
      <c r="G5901" s="18">
        <v>0</v>
      </c>
      <c r="H5901" t="s">
        <v>23</v>
      </c>
      <c r="I5901" t="s">
        <v>17</v>
      </c>
    </row>
    <row r="5902" spans="1:9" x14ac:dyDescent="0.25">
      <c r="A5902">
        <v>1816</v>
      </c>
      <c r="B5902">
        <f>A5902+1</f>
        <v>1817</v>
      </c>
      <c r="C5902" t="s">
        <v>522</v>
      </c>
      <c r="D5902" t="s">
        <v>26</v>
      </c>
      <c r="E5902" s="208" t="s">
        <v>333</v>
      </c>
      <c r="F5902" t="s">
        <v>11</v>
      </c>
      <c r="G5902" s="18">
        <v>0</v>
      </c>
      <c r="H5902" t="s">
        <v>23</v>
      </c>
      <c r="I5902" t="s">
        <v>17</v>
      </c>
    </row>
    <row r="5903" spans="1:9" x14ac:dyDescent="0.25">
      <c r="A5903">
        <v>1816</v>
      </c>
      <c r="B5903">
        <f>A5903+1</f>
        <v>1817</v>
      </c>
      <c r="C5903" t="s">
        <v>522</v>
      </c>
      <c r="D5903" t="s">
        <v>27</v>
      </c>
      <c r="E5903" s="208" t="s">
        <v>155</v>
      </c>
      <c r="F5903" t="s">
        <v>14</v>
      </c>
      <c r="G5903" s="18">
        <v>87503</v>
      </c>
      <c r="H5903" t="s">
        <v>17</v>
      </c>
      <c r="I5903" s="151" t="s">
        <v>562</v>
      </c>
    </row>
    <row r="5904" spans="1:9" x14ac:dyDescent="0.25">
      <c r="A5904">
        <v>1816</v>
      </c>
      <c r="B5904">
        <f>A5904+1</f>
        <v>1817</v>
      </c>
      <c r="C5904" t="s">
        <v>522</v>
      </c>
      <c r="D5904" t="s">
        <v>27</v>
      </c>
      <c r="E5904" s="208" t="s">
        <v>156</v>
      </c>
      <c r="F5904" t="s">
        <v>14</v>
      </c>
      <c r="G5904" s="18">
        <v>8527</v>
      </c>
      <c r="H5904" t="s">
        <v>17</v>
      </c>
      <c r="I5904" s="151" t="s">
        <v>562</v>
      </c>
    </row>
    <row r="5905" spans="1:9" x14ac:dyDescent="0.25">
      <c r="A5905">
        <v>1816</v>
      </c>
      <c r="B5905">
        <f>A5905+1</f>
        <v>1817</v>
      </c>
      <c r="C5905" t="s">
        <v>522</v>
      </c>
      <c r="D5905" t="s">
        <v>27</v>
      </c>
      <c r="E5905" s="208" t="s">
        <v>154</v>
      </c>
      <c r="F5905" t="s">
        <v>14</v>
      </c>
      <c r="G5905" s="18">
        <v>1075</v>
      </c>
      <c r="H5905" t="s">
        <v>17</v>
      </c>
      <c r="I5905" s="151" t="s">
        <v>562</v>
      </c>
    </row>
    <row r="5906" spans="1:9" x14ac:dyDescent="0.25">
      <c r="A5906">
        <v>1816</v>
      </c>
      <c r="B5906">
        <f>A5906+1</f>
        <v>1817</v>
      </c>
      <c r="C5906" t="s">
        <v>522</v>
      </c>
      <c r="D5906" t="s">
        <v>27</v>
      </c>
      <c r="E5906" s="208" t="s">
        <v>150</v>
      </c>
      <c r="F5906" t="s">
        <v>14</v>
      </c>
      <c r="G5906" s="18">
        <v>35676</v>
      </c>
      <c r="H5906" t="s">
        <v>17</v>
      </c>
      <c r="I5906" s="151" t="s">
        <v>562</v>
      </c>
    </row>
    <row r="5907" spans="1:9" x14ac:dyDescent="0.25">
      <c r="A5907">
        <v>1816</v>
      </c>
      <c r="B5907">
        <f>A5907+1</f>
        <v>1817</v>
      </c>
      <c r="C5907" t="s">
        <v>522</v>
      </c>
      <c r="D5907" t="s">
        <v>27</v>
      </c>
      <c r="E5907" s="208" t="s">
        <v>148</v>
      </c>
      <c r="F5907" t="s">
        <v>14</v>
      </c>
      <c r="G5907" s="18">
        <v>509</v>
      </c>
      <c r="H5907" t="s">
        <v>17</v>
      </c>
      <c r="I5907" s="151" t="s">
        <v>562</v>
      </c>
    </row>
    <row r="5908" spans="1:9" x14ac:dyDescent="0.25">
      <c r="A5908">
        <v>1816</v>
      </c>
      <c r="B5908">
        <f>A5908+1</f>
        <v>1817</v>
      </c>
      <c r="C5908" t="s">
        <v>522</v>
      </c>
      <c r="D5908" t="s">
        <v>27</v>
      </c>
      <c r="E5908" s="208" t="s">
        <v>147</v>
      </c>
      <c r="F5908" t="s">
        <v>14</v>
      </c>
      <c r="G5908" s="18">
        <v>0</v>
      </c>
      <c r="H5908" t="s">
        <v>17</v>
      </c>
      <c r="I5908" s="151" t="s">
        <v>562</v>
      </c>
    </row>
    <row r="5909" spans="1:9" x14ac:dyDescent="0.25">
      <c r="A5909">
        <v>1816</v>
      </c>
      <c r="B5909">
        <f>A5909+1</f>
        <v>1817</v>
      </c>
      <c r="C5909" t="s">
        <v>522</v>
      </c>
      <c r="D5909" t="s">
        <v>27</v>
      </c>
      <c r="E5909" s="208" t="s">
        <v>314</v>
      </c>
      <c r="F5909" t="s">
        <v>14</v>
      </c>
      <c r="G5909" s="18">
        <v>0</v>
      </c>
      <c r="H5909" t="s">
        <v>17</v>
      </c>
      <c r="I5909" s="151" t="s">
        <v>562</v>
      </c>
    </row>
    <row r="5910" spans="1:9" x14ac:dyDescent="0.25">
      <c r="A5910">
        <v>1816</v>
      </c>
      <c r="B5910">
        <f>A5910+1</f>
        <v>1817</v>
      </c>
      <c r="C5910" t="s">
        <v>522</v>
      </c>
      <c r="D5910" t="s">
        <v>27</v>
      </c>
      <c r="E5910" s="208" t="s">
        <v>139</v>
      </c>
      <c r="F5910" t="s">
        <v>14</v>
      </c>
      <c r="G5910" s="18">
        <v>251</v>
      </c>
      <c r="H5910" t="s">
        <v>17</v>
      </c>
      <c r="I5910" s="151" t="s">
        <v>562</v>
      </c>
    </row>
    <row r="5911" spans="1:9" x14ac:dyDescent="0.25">
      <c r="A5911">
        <v>1816</v>
      </c>
      <c r="B5911">
        <f>A5911+1</f>
        <v>1817</v>
      </c>
      <c r="C5911" t="s">
        <v>522</v>
      </c>
      <c r="D5911" t="s">
        <v>27</v>
      </c>
      <c r="E5911" s="208" t="s">
        <v>132</v>
      </c>
      <c r="F5911" t="s">
        <v>14</v>
      </c>
      <c r="G5911" s="18">
        <v>1196</v>
      </c>
      <c r="H5911" t="s">
        <v>17</v>
      </c>
      <c r="I5911" s="151" t="s">
        <v>562</v>
      </c>
    </row>
    <row r="5912" spans="1:9" x14ac:dyDescent="0.25">
      <c r="A5912">
        <v>1816</v>
      </c>
      <c r="B5912">
        <f>A5912+1</f>
        <v>1817</v>
      </c>
      <c r="C5912" t="s">
        <v>522</v>
      </c>
      <c r="D5912" t="s">
        <v>27</v>
      </c>
      <c r="E5912" s="208" t="s">
        <v>130</v>
      </c>
      <c r="F5912" t="s">
        <v>14</v>
      </c>
      <c r="G5912" s="18">
        <v>872</v>
      </c>
      <c r="H5912" t="s">
        <v>17</v>
      </c>
      <c r="I5912" s="151" t="s">
        <v>562</v>
      </c>
    </row>
    <row r="5913" spans="1:9" x14ac:dyDescent="0.25">
      <c r="A5913">
        <v>1816</v>
      </c>
      <c r="B5913">
        <f>A5913+1</f>
        <v>1817</v>
      </c>
      <c r="C5913" t="s">
        <v>522</v>
      </c>
      <c r="D5913" t="s">
        <v>27</v>
      </c>
      <c r="E5913" s="208" t="s">
        <v>144</v>
      </c>
      <c r="F5913" t="s">
        <v>14</v>
      </c>
      <c r="G5913" s="18">
        <v>112</v>
      </c>
      <c r="H5913" t="s">
        <v>17</v>
      </c>
      <c r="I5913" s="151" t="s">
        <v>562</v>
      </c>
    </row>
    <row r="5914" spans="1:9" x14ac:dyDescent="0.25">
      <c r="A5914">
        <v>1816</v>
      </c>
      <c r="B5914">
        <f>A5914+1</f>
        <v>1817</v>
      </c>
      <c r="C5914" t="s">
        <v>522</v>
      </c>
      <c r="D5914" t="s">
        <v>27</v>
      </c>
      <c r="E5914" s="208" t="s">
        <v>142</v>
      </c>
      <c r="F5914" t="s">
        <v>14</v>
      </c>
      <c r="G5914" s="18">
        <v>11971</v>
      </c>
      <c r="H5914" t="s">
        <v>17</v>
      </c>
      <c r="I5914" s="151" t="s">
        <v>562</v>
      </c>
    </row>
    <row r="5915" spans="1:9" x14ac:dyDescent="0.25">
      <c r="A5915">
        <v>1816</v>
      </c>
      <c r="B5915">
        <f>A5915+1</f>
        <v>1817</v>
      </c>
      <c r="C5915" t="s">
        <v>522</v>
      </c>
      <c r="D5915" t="s">
        <v>27</v>
      </c>
      <c r="E5915" s="208" t="s">
        <v>124</v>
      </c>
      <c r="F5915" t="s">
        <v>14</v>
      </c>
      <c r="G5915" s="18">
        <v>6879906</v>
      </c>
      <c r="H5915" t="s">
        <v>17</v>
      </c>
      <c r="I5915" s="151" t="s">
        <v>562</v>
      </c>
    </row>
    <row r="5916" spans="1:9" x14ac:dyDescent="0.25">
      <c r="A5916">
        <v>1816</v>
      </c>
      <c r="B5916">
        <f>A5916+1</f>
        <v>1817</v>
      </c>
      <c r="C5916" t="s">
        <v>522</v>
      </c>
      <c r="D5916" t="s">
        <v>26</v>
      </c>
      <c r="E5916" s="208" t="s">
        <v>62</v>
      </c>
      <c r="F5916" t="s">
        <v>14</v>
      </c>
      <c r="G5916" s="18">
        <v>5585</v>
      </c>
      <c r="H5916" s="151" t="s">
        <v>563</v>
      </c>
      <c r="I5916" t="s">
        <v>17</v>
      </c>
    </row>
    <row r="5917" spans="1:9" x14ac:dyDescent="0.25">
      <c r="A5917">
        <v>1816</v>
      </c>
      <c r="B5917">
        <f>A5917+1</f>
        <v>1817</v>
      </c>
      <c r="C5917" t="s">
        <v>522</v>
      </c>
      <c r="D5917" t="s">
        <v>26</v>
      </c>
      <c r="E5917" s="208" t="s">
        <v>36</v>
      </c>
      <c r="F5917" t="s">
        <v>14</v>
      </c>
      <c r="G5917" s="18">
        <v>663</v>
      </c>
      <c r="H5917" s="151" t="s">
        <v>563</v>
      </c>
      <c r="I5917" t="s">
        <v>17</v>
      </c>
    </row>
    <row r="5918" spans="1:9" x14ac:dyDescent="0.25">
      <c r="A5918">
        <v>1816</v>
      </c>
      <c r="B5918">
        <f>A5918+1</f>
        <v>1817</v>
      </c>
      <c r="C5918" t="s">
        <v>522</v>
      </c>
      <c r="D5918" t="s">
        <v>26</v>
      </c>
      <c r="E5918" s="208" t="s">
        <v>35</v>
      </c>
      <c r="F5918" t="s">
        <v>14</v>
      </c>
      <c r="G5918" s="18">
        <v>0</v>
      </c>
      <c r="H5918" s="151" t="s">
        <v>563</v>
      </c>
      <c r="I5918" t="s">
        <v>17</v>
      </c>
    </row>
    <row r="5919" spans="1:9" x14ac:dyDescent="0.25">
      <c r="A5919">
        <v>1816</v>
      </c>
      <c r="B5919">
        <f>A5919+1</f>
        <v>1817</v>
      </c>
      <c r="C5919" t="s">
        <v>522</v>
      </c>
      <c r="D5919" t="s">
        <v>26</v>
      </c>
      <c r="E5919" s="208" t="s">
        <v>39</v>
      </c>
      <c r="F5919" t="s">
        <v>14</v>
      </c>
      <c r="G5919" s="18">
        <v>776</v>
      </c>
      <c r="H5919" s="151" t="s">
        <v>563</v>
      </c>
      <c r="I5919" t="s">
        <v>17</v>
      </c>
    </row>
    <row r="5920" spans="1:9" x14ac:dyDescent="0.25">
      <c r="A5920">
        <v>1816</v>
      </c>
      <c r="B5920">
        <f>A5920+1</f>
        <v>1817</v>
      </c>
      <c r="C5920" t="s">
        <v>522</v>
      </c>
      <c r="D5920" t="s">
        <v>26</v>
      </c>
      <c r="E5920" s="208" t="s">
        <v>99</v>
      </c>
      <c r="F5920" t="s">
        <v>14</v>
      </c>
      <c r="G5920" s="18">
        <v>773</v>
      </c>
      <c r="H5920" s="151" t="s">
        <v>563</v>
      </c>
      <c r="I5920" t="s">
        <v>17</v>
      </c>
    </row>
    <row r="5921" spans="1:9" x14ac:dyDescent="0.25">
      <c r="A5921">
        <v>1816</v>
      </c>
      <c r="B5921">
        <f>A5921+1</f>
        <v>1817</v>
      </c>
      <c r="C5921" t="s">
        <v>522</v>
      </c>
      <c r="D5921" t="s">
        <v>26</v>
      </c>
      <c r="E5921" s="208" t="s">
        <v>95</v>
      </c>
      <c r="F5921" t="s">
        <v>14</v>
      </c>
      <c r="G5921" s="18">
        <v>40</v>
      </c>
      <c r="H5921" s="151" t="s">
        <v>563</v>
      </c>
      <c r="I5921" t="s">
        <v>17</v>
      </c>
    </row>
    <row r="5922" spans="1:9" x14ac:dyDescent="0.25">
      <c r="A5922">
        <v>1816</v>
      </c>
      <c r="B5922">
        <f>A5922+1</f>
        <v>1817</v>
      </c>
      <c r="C5922" t="s">
        <v>522</v>
      </c>
      <c r="D5922" t="s">
        <v>26</v>
      </c>
      <c r="E5922" s="208" t="s">
        <v>94</v>
      </c>
      <c r="F5922" t="s">
        <v>14</v>
      </c>
      <c r="G5922" s="18">
        <v>0</v>
      </c>
      <c r="H5922" s="151" t="s">
        <v>563</v>
      </c>
      <c r="I5922" t="s">
        <v>17</v>
      </c>
    </row>
    <row r="5923" spans="1:9" x14ac:dyDescent="0.25">
      <c r="A5923">
        <v>1816</v>
      </c>
      <c r="B5923">
        <f>A5923+1</f>
        <v>1817</v>
      </c>
      <c r="C5923" t="s">
        <v>522</v>
      </c>
      <c r="D5923" t="s">
        <v>26</v>
      </c>
      <c r="E5923" s="208" t="s">
        <v>386</v>
      </c>
      <c r="F5923" t="s">
        <v>14</v>
      </c>
      <c r="G5923" s="18">
        <v>2520</v>
      </c>
      <c r="H5923" s="151" t="s">
        <v>563</v>
      </c>
      <c r="I5923" t="s">
        <v>17</v>
      </c>
    </row>
    <row r="5924" spans="1:9" x14ac:dyDescent="0.25">
      <c r="A5924">
        <v>1816</v>
      </c>
      <c r="B5924">
        <f>A5924+1</f>
        <v>1817</v>
      </c>
      <c r="C5924" t="s">
        <v>522</v>
      </c>
      <c r="D5924" t="s">
        <v>26</v>
      </c>
      <c r="E5924" s="208" t="s">
        <v>387</v>
      </c>
      <c r="F5924" t="s">
        <v>14</v>
      </c>
      <c r="G5924" s="18">
        <v>28</v>
      </c>
      <c r="H5924" s="151" t="s">
        <v>563</v>
      </c>
      <c r="I5924" t="s">
        <v>17</v>
      </c>
    </row>
    <row r="5925" spans="1:9" x14ac:dyDescent="0.25">
      <c r="A5925">
        <v>1816</v>
      </c>
      <c r="B5925">
        <f>A5925+1</f>
        <v>1817</v>
      </c>
      <c r="C5925" t="s">
        <v>522</v>
      </c>
      <c r="D5925" t="s">
        <v>26</v>
      </c>
      <c r="E5925" s="208" t="s">
        <v>388</v>
      </c>
      <c r="F5925" t="s">
        <v>14</v>
      </c>
      <c r="G5925" s="18">
        <v>1125</v>
      </c>
      <c r="H5925" s="151" t="s">
        <v>563</v>
      </c>
      <c r="I5925" t="s">
        <v>17</v>
      </c>
    </row>
    <row r="5926" spans="1:9" x14ac:dyDescent="0.25">
      <c r="A5926">
        <v>1816</v>
      </c>
      <c r="B5926">
        <f>A5926+1</f>
        <v>1817</v>
      </c>
      <c r="C5926" t="s">
        <v>522</v>
      </c>
      <c r="D5926" t="s">
        <v>26</v>
      </c>
      <c r="E5926" s="208" t="s">
        <v>85</v>
      </c>
      <c r="F5926" t="s">
        <v>14</v>
      </c>
      <c r="G5926" s="18">
        <v>99</v>
      </c>
      <c r="H5926" s="151" t="s">
        <v>563</v>
      </c>
      <c r="I5926" t="s">
        <v>17</v>
      </c>
    </row>
    <row r="5927" spans="1:9" x14ac:dyDescent="0.25">
      <c r="A5927">
        <v>1816</v>
      </c>
      <c r="B5927">
        <f>A5927+1</f>
        <v>1817</v>
      </c>
      <c r="C5927" t="s">
        <v>522</v>
      </c>
      <c r="D5927" t="s">
        <v>26</v>
      </c>
      <c r="E5927" s="208" t="s">
        <v>107</v>
      </c>
      <c r="F5927" t="s">
        <v>14</v>
      </c>
      <c r="G5927" s="18">
        <v>3557545</v>
      </c>
      <c r="H5927" s="151" t="s">
        <v>563</v>
      </c>
      <c r="I5927" t="s">
        <v>17</v>
      </c>
    </row>
    <row r="5928" spans="1:9" x14ac:dyDescent="0.25">
      <c r="A5928">
        <v>1816</v>
      </c>
      <c r="B5928">
        <f>A5928+1</f>
        <v>1817</v>
      </c>
      <c r="C5928" t="s">
        <v>522</v>
      </c>
      <c r="D5928" t="s">
        <v>26</v>
      </c>
      <c r="E5928" s="208" t="s">
        <v>101</v>
      </c>
      <c r="F5928" t="s">
        <v>14</v>
      </c>
      <c r="G5928" s="18">
        <v>6787380</v>
      </c>
      <c r="H5928" s="151" t="s">
        <v>563</v>
      </c>
      <c r="I5928" t="s">
        <v>17</v>
      </c>
    </row>
    <row r="5929" spans="1:9" x14ac:dyDescent="0.25">
      <c r="A5929">
        <v>1816</v>
      </c>
      <c r="B5929">
        <f>A5929+1</f>
        <v>1817</v>
      </c>
      <c r="C5929" t="s">
        <v>522</v>
      </c>
      <c r="D5929" t="s">
        <v>26</v>
      </c>
      <c r="E5929" s="208" t="s">
        <v>75</v>
      </c>
      <c r="F5929" t="s">
        <v>14</v>
      </c>
      <c r="G5929" s="18">
        <v>4745824</v>
      </c>
      <c r="H5929" s="151" t="s">
        <v>563</v>
      </c>
      <c r="I5929" t="s">
        <v>17</v>
      </c>
    </row>
    <row r="5930" spans="1:9" x14ac:dyDescent="0.25">
      <c r="A5930">
        <v>1816</v>
      </c>
      <c r="B5930">
        <f>A5930+1</f>
        <v>1817</v>
      </c>
      <c r="C5930" t="s">
        <v>522</v>
      </c>
      <c r="D5930" t="s">
        <v>26</v>
      </c>
      <c r="E5930" s="208" t="s">
        <v>330</v>
      </c>
      <c r="F5930" t="s">
        <v>14</v>
      </c>
      <c r="G5930" s="18">
        <v>504</v>
      </c>
      <c r="H5930" s="151" t="s">
        <v>563</v>
      </c>
      <c r="I5930" t="s">
        <v>17</v>
      </c>
    </row>
    <row r="5931" spans="1:9" x14ac:dyDescent="0.25">
      <c r="A5931">
        <v>1816</v>
      </c>
      <c r="B5931">
        <f>A5931+1</f>
        <v>1817</v>
      </c>
      <c r="C5931" t="s">
        <v>522</v>
      </c>
      <c r="D5931" t="s">
        <v>26</v>
      </c>
      <c r="E5931" s="208" t="s">
        <v>331</v>
      </c>
      <c r="F5931" t="s">
        <v>14</v>
      </c>
      <c r="G5931" s="18">
        <v>872</v>
      </c>
      <c r="H5931" s="151" t="s">
        <v>563</v>
      </c>
      <c r="I5931" t="s">
        <v>17</v>
      </c>
    </row>
    <row r="5932" spans="1:9" x14ac:dyDescent="0.25">
      <c r="A5932">
        <v>1816</v>
      </c>
      <c r="B5932">
        <f>A5932+1</f>
        <v>1817</v>
      </c>
      <c r="C5932" t="s">
        <v>522</v>
      </c>
      <c r="D5932" t="s">
        <v>26</v>
      </c>
      <c r="E5932" s="208" t="s">
        <v>332</v>
      </c>
      <c r="F5932" t="s">
        <v>14</v>
      </c>
      <c r="G5932" s="18">
        <v>63</v>
      </c>
      <c r="H5932" s="151" t="s">
        <v>563</v>
      </c>
      <c r="I5932" t="s">
        <v>17</v>
      </c>
    </row>
    <row r="5933" spans="1:9" x14ac:dyDescent="0.25">
      <c r="A5933">
        <v>1816</v>
      </c>
      <c r="B5933">
        <f>A5933+1</f>
        <v>1817</v>
      </c>
      <c r="C5933" t="s">
        <v>522</v>
      </c>
      <c r="D5933" t="s">
        <v>26</v>
      </c>
      <c r="E5933" s="208" t="s">
        <v>333</v>
      </c>
      <c r="F5933" t="s">
        <v>14</v>
      </c>
      <c r="G5933" s="18">
        <v>1087</v>
      </c>
      <c r="H5933" s="151" t="s">
        <v>563</v>
      </c>
      <c r="I5933" t="s">
        <v>17</v>
      </c>
    </row>
    <row r="5934" spans="1:9" x14ac:dyDescent="0.25">
      <c r="A5934">
        <v>1816</v>
      </c>
      <c r="B5934">
        <f>A5934+1</f>
        <v>1817</v>
      </c>
      <c r="C5934" t="s">
        <v>522</v>
      </c>
      <c r="D5934" t="s">
        <v>27</v>
      </c>
      <c r="E5934" s="208" t="s">
        <v>155</v>
      </c>
      <c r="F5934" t="s">
        <v>15</v>
      </c>
      <c r="G5934" s="18">
        <v>116012</v>
      </c>
      <c r="H5934" t="s">
        <v>561</v>
      </c>
      <c r="I5934" s="151" t="s">
        <v>562</v>
      </c>
    </row>
    <row r="5935" spans="1:9" x14ac:dyDescent="0.25">
      <c r="A5935">
        <v>1816</v>
      </c>
      <c r="B5935">
        <f>A5935+1</f>
        <v>1817</v>
      </c>
      <c r="C5935" t="s">
        <v>522</v>
      </c>
      <c r="D5935" t="s">
        <v>27</v>
      </c>
      <c r="E5935" s="208" t="s">
        <v>156</v>
      </c>
      <c r="F5935" t="s">
        <v>15</v>
      </c>
      <c r="G5935" s="18">
        <v>11094</v>
      </c>
      <c r="H5935" t="s">
        <v>561</v>
      </c>
      <c r="I5935" s="151" t="s">
        <v>562</v>
      </c>
    </row>
    <row r="5936" spans="1:9" x14ac:dyDescent="0.25">
      <c r="A5936">
        <v>1816</v>
      </c>
      <c r="B5936">
        <f>A5936+1</f>
        <v>1817</v>
      </c>
      <c r="C5936" t="s">
        <v>522</v>
      </c>
      <c r="D5936" t="s">
        <v>27</v>
      </c>
      <c r="E5936" s="208" t="s">
        <v>154</v>
      </c>
      <c r="F5936" t="s">
        <v>15</v>
      </c>
      <c r="G5936" s="18">
        <v>2808</v>
      </c>
      <c r="H5936" t="s">
        <v>561</v>
      </c>
      <c r="I5936" s="151" t="s">
        <v>562</v>
      </c>
    </row>
    <row r="5937" spans="1:9" x14ac:dyDescent="0.25">
      <c r="A5937">
        <v>1816</v>
      </c>
      <c r="B5937">
        <f>A5937+1</f>
        <v>1817</v>
      </c>
      <c r="C5937" t="s">
        <v>522</v>
      </c>
      <c r="D5937" t="s">
        <v>27</v>
      </c>
      <c r="E5937" s="208" t="s">
        <v>150</v>
      </c>
      <c r="F5937" t="s">
        <v>15</v>
      </c>
      <c r="G5937" s="18">
        <v>47949</v>
      </c>
      <c r="H5937" t="s">
        <v>561</v>
      </c>
      <c r="I5937" s="151" t="s">
        <v>562</v>
      </c>
    </row>
    <row r="5938" spans="1:9" x14ac:dyDescent="0.25">
      <c r="A5938">
        <v>1816</v>
      </c>
      <c r="B5938">
        <f>A5938+1</f>
        <v>1817</v>
      </c>
      <c r="C5938" t="s">
        <v>522</v>
      </c>
      <c r="D5938" t="s">
        <v>27</v>
      </c>
      <c r="E5938" s="208" t="s">
        <v>148</v>
      </c>
      <c r="F5938" t="s">
        <v>15</v>
      </c>
      <c r="G5938" s="18">
        <v>1094</v>
      </c>
      <c r="H5938" t="s">
        <v>561</v>
      </c>
      <c r="I5938" s="151" t="s">
        <v>562</v>
      </c>
    </row>
    <row r="5939" spans="1:9" x14ac:dyDescent="0.25">
      <c r="A5939">
        <v>1816</v>
      </c>
      <c r="B5939">
        <f>A5939+1</f>
        <v>1817</v>
      </c>
      <c r="C5939" t="s">
        <v>522</v>
      </c>
      <c r="D5939" t="s">
        <v>27</v>
      </c>
      <c r="E5939" s="208" t="s">
        <v>147</v>
      </c>
      <c r="F5939" t="s">
        <v>15</v>
      </c>
      <c r="G5939" s="18">
        <v>203</v>
      </c>
      <c r="H5939" t="s">
        <v>561</v>
      </c>
      <c r="I5939" s="151" t="s">
        <v>562</v>
      </c>
    </row>
    <row r="5940" spans="1:9" x14ac:dyDescent="0.25">
      <c r="A5940">
        <v>1816</v>
      </c>
      <c r="B5940">
        <f>A5940+1</f>
        <v>1817</v>
      </c>
      <c r="C5940" t="s">
        <v>522</v>
      </c>
      <c r="D5940" t="s">
        <v>27</v>
      </c>
      <c r="E5940" s="208" t="s">
        <v>314</v>
      </c>
      <c r="F5940" t="s">
        <v>15</v>
      </c>
      <c r="G5940" s="18">
        <v>916</v>
      </c>
      <c r="H5940" t="s">
        <v>561</v>
      </c>
      <c r="I5940" s="151" t="s">
        <v>562</v>
      </c>
    </row>
    <row r="5941" spans="1:9" x14ac:dyDescent="0.25">
      <c r="A5941">
        <v>1816</v>
      </c>
      <c r="B5941">
        <f>A5941+1</f>
        <v>1817</v>
      </c>
      <c r="C5941" t="s">
        <v>522</v>
      </c>
      <c r="D5941" t="s">
        <v>27</v>
      </c>
      <c r="E5941" s="208" t="s">
        <v>139</v>
      </c>
      <c r="F5941" t="s">
        <v>15</v>
      </c>
      <c r="G5941" s="18">
        <v>254</v>
      </c>
      <c r="H5941" t="s">
        <v>561</v>
      </c>
      <c r="I5941" s="151" t="s">
        <v>562</v>
      </c>
    </row>
    <row r="5942" spans="1:9" x14ac:dyDescent="0.25">
      <c r="A5942">
        <v>1816</v>
      </c>
      <c r="B5942">
        <f>A5942+1</f>
        <v>1817</v>
      </c>
      <c r="C5942" t="s">
        <v>522</v>
      </c>
      <c r="D5942" t="s">
        <v>27</v>
      </c>
      <c r="E5942" s="208" t="s">
        <v>132</v>
      </c>
      <c r="F5942" t="s">
        <v>15</v>
      </c>
      <c r="G5942" s="18">
        <v>3361</v>
      </c>
      <c r="H5942" t="s">
        <v>561</v>
      </c>
      <c r="I5942" s="151" t="s">
        <v>562</v>
      </c>
    </row>
    <row r="5943" spans="1:9" x14ac:dyDescent="0.25">
      <c r="A5943">
        <v>1816</v>
      </c>
      <c r="B5943">
        <f>A5943+1</f>
        <v>1817</v>
      </c>
      <c r="C5943" t="s">
        <v>522</v>
      </c>
      <c r="D5943" t="s">
        <v>27</v>
      </c>
      <c r="E5943" s="208" t="s">
        <v>130</v>
      </c>
      <c r="F5943" t="s">
        <v>15</v>
      </c>
      <c r="G5943" s="18">
        <v>1196</v>
      </c>
      <c r="H5943" t="s">
        <v>561</v>
      </c>
      <c r="I5943" s="151" t="s">
        <v>562</v>
      </c>
    </row>
    <row r="5944" spans="1:9" x14ac:dyDescent="0.25">
      <c r="A5944">
        <v>1816</v>
      </c>
      <c r="B5944">
        <f>A5944+1</f>
        <v>1817</v>
      </c>
      <c r="C5944" t="s">
        <v>522</v>
      </c>
      <c r="D5944" t="s">
        <v>27</v>
      </c>
      <c r="E5944" s="208" t="s">
        <v>144</v>
      </c>
      <c r="F5944" t="s">
        <v>15</v>
      </c>
      <c r="G5944" s="18">
        <v>946</v>
      </c>
      <c r="H5944" t="s">
        <v>561</v>
      </c>
      <c r="I5944" s="151" t="s">
        <v>562</v>
      </c>
    </row>
    <row r="5945" spans="1:9" x14ac:dyDescent="0.25">
      <c r="A5945">
        <v>1816</v>
      </c>
      <c r="B5945">
        <f>A5945+1</f>
        <v>1817</v>
      </c>
      <c r="C5945" t="s">
        <v>522</v>
      </c>
      <c r="D5945" t="s">
        <v>27</v>
      </c>
      <c r="E5945" s="208" t="s">
        <v>142</v>
      </c>
      <c r="F5945" t="s">
        <v>15</v>
      </c>
      <c r="G5945" s="18">
        <v>15817</v>
      </c>
      <c r="H5945" t="s">
        <v>561</v>
      </c>
      <c r="I5945" s="151" t="s">
        <v>562</v>
      </c>
    </row>
    <row r="5946" spans="1:9" x14ac:dyDescent="0.25">
      <c r="A5946">
        <v>1816</v>
      </c>
      <c r="B5946">
        <f>A5946+1</f>
        <v>1817</v>
      </c>
      <c r="C5946" t="s">
        <v>522</v>
      </c>
      <c r="D5946" t="s">
        <v>27</v>
      </c>
      <c r="E5946" s="208" t="s">
        <v>124</v>
      </c>
      <c r="F5946" t="s">
        <v>15</v>
      </c>
      <c r="G5946" s="18">
        <v>14793706</v>
      </c>
      <c r="H5946" t="s">
        <v>561</v>
      </c>
      <c r="I5946" s="151" t="s">
        <v>562</v>
      </c>
    </row>
    <row r="5947" spans="1:9" x14ac:dyDescent="0.25">
      <c r="A5947">
        <v>1816</v>
      </c>
      <c r="B5947">
        <f>A5947+1</f>
        <v>1817</v>
      </c>
      <c r="C5947" t="s">
        <v>522</v>
      </c>
      <c r="D5947" t="s">
        <v>26</v>
      </c>
      <c r="E5947" s="208" t="s">
        <v>62</v>
      </c>
      <c r="F5947" t="s">
        <v>15</v>
      </c>
      <c r="G5947" s="18">
        <v>61802</v>
      </c>
      <c r="H5947" s="151" t="s">
        <v>563</v>
      </c>
      <c r="I5947" t="s">
        <v>561</v>
      </c>
    </row>
    <row r="5948" spans="1:9" x14ac:dyDescent="0.25">
      <c r="A5948">
        <v>1816</v>
      </c>
      <c r="B5948">
        <f>A5948+1</f>
        <v>1817</v>
      </c>
      <c r="C5948" t="s">
        <v>522</v>
      </c>
      <c r="D5948" t="s">
        <v>26</v>
      </c>
      <c r="E5948" s="208" t="s">
        <v>36</v>
      </c>
      <c r="F5948" t="s">
        <v>15</v>
      </c>
      <c r="G5948" s="18">
        <v>3526</v>
      </c>
      <c r="H5948" s="151" t="s">
        <v>563</v>
      </c>
      <c r="I5948" t="s">
        <v>561</v>
      </c>
    </row>
    <row r="5949" spans="1:9" x14ac:dyDescent="0.25">
      <c r="A5949">
        <v>1816</v>
      </c>
      <c r="B5949">
        <f>A5949+1</f>
        <v>1817</v>
      </c>
      <c r="C5949" t="s">
        <v>522</v>
      </c>
      <c r="D5949" t="s">
        <v>26</v>
      </c>
      <c r="E5949" s="208" t="s">
        <v>35</v>
      </c>
      <c r="F5949" t="s">
        <v>15</v>
      </c>
      <c r="G5949" s="18">
        <v>4064</v>
      </c>
      <c r="H5949" s="151" t="s">
        <v>563</v>
      </c>
      <c r="I5949" t="s">
        <v>561</v>
      </c>
    </row>
    <row r="5950" spans="1:9" x14ac:dyDescent="0.25">
      <c r="A5950">
        <v>1816</v>
      </c>
      <c r="B5950">
        <f>A5950+1</f>
        <v>1817</v>
      </c>
      <c r="C5950" t="s">
        <v>522</v>
      </c>
      <c r="D5950" t="s">
        <v>26</v>
      </c>
      <c r="E5950" s="208" t="s">
        <v>39</v>
      </c>
      <c r="F5950" t="s">
        <v>15</v>
      </c>
      <c r="G5950" s="18">
        <v>1861</v>
      </c>
      <c r="H5950" s="151" t="s">
        <v>563</v>
      </c>
      <c r="I5950" t="s">
        <v>561</v>
      </c>
    </row>
    <row r="5951" spans="1:9" x14ac:dyDescent="0.25">
      <c r="A5951">
        <v>1816</v>
      </c>
      <c r="B5951">
        <f>A5951+1</f>
        <v>1817</v>
      </c>
      <c r="C5951" t="s">
        <v>522</v>
      </c>
      <c r="D5951" t="s">
        <v>26</v>
      </c>
      <c r="E5951" s="208" t="s">
        <v>99</v>
      </c>
      <c r="F5951" t="s">
        <v>15</v>
      </c>
      <c r="G5951" s="18">
        <v>2364</v>
      </c>
      <c r="H5951" s="151" t="s">
        <v>563</v>
      </c>
      <c r="I5951" t="s">
        <v>561</v>
      </c>
    </row>
    <row r="5952" spans="1:9" x14ac:dyDescent="0.25">
      <c r="A5952">
        <v>1816</v>
      </c>
      <c r="B5952">
        <f>A5952+1</f>
        <v>1817</v>
      </c>
      <c r="C5952" t="s">
        <v>522</v>
      </c>
      <c r="D5952" t="s">
        <v>26</v>
      </c>
      <c r="E5952" s="208" t="s">
        <v>95</v>
      </c>
      <c r="F5952" t="s">
        <v>15</v>
      </c>
      <c r="G5952" s="18">
        <v>436</v>
      </c>
      <c r="H5952" s="151" t="s">
        <v>563</v>
      </c>
      <c r="I5952" t="s">
        <v>561</v>
      </c>
    </row>
    <row r="5953" spans="1:9" x14ac:dyDescent="0.25">
      <c r="A5953">
        <v>1816</v>
      </c>
      <c r="B5953">
        <f>A5953+1</f>
        <v>1817</v>
      </c>
      <c r="C5953" t="s">
        <v>522</v>
      </c>
      <c r="D5953" t="s">
        <v>26</v>
      </c>
      <c r="E5953" s="208" t="s">
        <v>94</v>
      </c>
      <c r="F5953" t="s">
        <v>15</v>
      </c>
      <c r="G5953" s="18">
        <v>4476</v>
      </c>
      <c r="H5953" s="151" t="s">
        <v>563</v>
      </c>
      <c r="I5953" t="s">
        <v>561</v>
      </c>
    </row>
    <row r="5954" spans="1:9" x14ac:dyDescent="0.25">
      <c r="A5954">
        <v>1816</v>
      </c>
      <c r="B5954">
        <f>A5954+1</f>
        <v>1817</v>
      </c>
      <c r="C5954" t="s">
        <v>522</v>
      </c>
      <c r="D5954" t="s">
        <v>26</v>
      </c>
      <c r="E5954" s="208" t="s">
        <v>386</v>
      </c>
      <c r="F5954" t="s">
        <v>15</v>
      </c>
      <c r="G5954" s="18">
        <v>22347</v>
      </c>
      <c r="H5954" s="151" t="s">
        <v>563</v>
      </c>
      <c r="I5954" t="s">
        <v>561</v>
      </c>
    </row>
    <row r="5955" spans="1:9" x14ac:dyDescent="0.25">
      <c r="A5955">
        <v>1816</v>
      </c>
      <c r="B5955">
        <f>A5955+1</f>
        <v>1817</v>
      </c>
      <c r="C5955" t="s">
        <v>522</v>
      </c>
      <c r="D5955" t="s">
        <v>26</v>
      </c>
      <c r="E5955" s="208" t="s">
        <v>387</v>
      </c>
      <c r="F5955" t="s">
        <v>15</v>
      </c>
      <c r="G5955" s="18">
        <v>1271</v>
      </c>
      <c r="H5955" s="151" t="s">
        <v>563</v>
      </c>
      <c r="I5955" t="s">
        <v>561</v>
      </c>
    </row>
    <row r="5956" spans="1:9" x14ac:dyDescent="0.25">
      <c r="A5956">
        <v>1816</v>
      </c>
      <c r="B5956">
        <f>A5956+1</f>
        <v>1817</v>
      </c>
      <c r="C5956" t="s">
        <v>522</v>
      </c>
      <c r="D5956" t="s">
        <v>26</v>
      </c>
      <c r="E5956" s="208" t="s">
        <v>388</v>
      </c>
      <c r="F5956" t="s">
        <v>15</v>
      </c>
      <c r="G5956" s="18">
        <v>8929</v>
      </c>
      <c r="H5956" s="151" t="s">
        <v>563</v>
      </c>
      <c r="I5956" t="s">
        <v>561</v>
      </c>
    </row>
    <row r="5957" spans="1:9" x14ac:dyDescent="0.25">
      <c r="A5957">
        <v>1816</v>
      </c>
      <c r="B5957">
        <f>A5957+1</f>
        <v>1817</v>
      </c>
      <c r="C5957" t="s">
        <v>522</v>
      </c>
      <c r="D5957" t="s">
        <v>26</v>
      </c>
      <c r="E5957" s="208" t="s">
        <v>85</v>
      </c>
      <c r="F5957" t="s">
        <v>15</v>
      </c>
      <c r="G5957" s="18">
        <v>301</v>
      </c>
      <c r="H5957" s="151" t="s">
        <v>563</v>
      </c>
      <c r="I5957" t="s">
        <v>561</v>
      </c>
    </row>
    <row r="5958" spans="1:9" x14ac:dyDescent="0.25">
      <c r="A5958">
        <v>1816</v>
      </c>
      <c r="B5958">
        <f>A5958+1</f>
        <v>1817</v>
      </c>
      <c r="C5958" t="s">
        <v>522</v>
      </c>
      <c r="D5958" t="s">
        <v>26</v>
      </c>
      <c r="E5958" s="208" t="s">
        <v>107</v>
      </c>
      <c r="F5958" t="s">
        <v>15</v>
      </c>
      <c r="G5958" s="18">
        <v>5362859</v>
      </c>
      <c r="H5958" s="151" t="s">
        <v>563</v>
      </c>
      <c r="I5958" t="s">
        <v>561</v>
      </c>
    </row>
    <row r="5959" spans="1:9" x14ac:dyDescent="0.25">
      <c r="A5959">
        <v>1816</v>
      </c>
      <c r="B5959">
        <f>A5959+1</f>
        <v>1817</v>
      </c>
      <c r="C5959" t="s">
        <v>522</v>
      </c>
      <c r="D5959" t="s">
        <v>26</v>
      </c>
      <c r="E5959" s="208" t="s">
        <v>101</v>
      </c>
      <c r="F5959" t="s">
        <v>15</v>
      </c>
      <c r="G5959" s="18">
        <v>15048386</v>
      </c>
      <c r="H5959" s="151" t="s">
        <v>563</v>
      </c>
      <c r="I5959" t="s">
        <v>561</v>
      </c>
    </row>
    <row r="5960" spans="1:9" x14ac:dyDescent="0.25">
      <c r="A5960">
        <v>1816</v>
      </c>
      <c r="B5960">
        <f>A5960+1</f>
        <v>1817</v>
      </c>
      <c r="C5960" t="s">
        <v>522</v>
      </c>
      <c r="D5960" t="s">
        <v>26</v>
      </c>
      <c r="E5960" s="208" t="s">
        <v>75</v>
      </c>
      <c r="F5960" t="s">
        <v>15</v>
      </c>
      <c r="G5960" s="18">
        <v>12418211</v>
      </c>
      <c r="H5960" s="151" t="s">
        <v>563</v>
      </c>
      <c r="I5960" t="s">
        <v>561</v>
      </c>
    </row>
    <row r="5961" spans="1:9" x14ac:dyDescent="0.25">
      <c r="A5961">
        <v>1816</v>
      </c>
      <c r="B5961">
        <f>A5961+1</f>
        <v>1817</v>
      </c>
      <c r="C5961" t="s">
        <v>522</v>
      </c>
      <c r="D5961" t="s">
        <v>26</v>
      </c>
      <c r="E5961" s="208" t="s">
        <v>330</v>
      </c>
      <c r="F5961" t="s">
        <v>15</v>
      </c>
      <c r="G5961" s="18">
        <v>1184</v>
      </c>
      <c r="H5961" s="151" t="s">
        <v>563</v>
      </c>
      <c r="I5961" t="s">
        <v>561</v>
      </c>
    </row>
    <row r="5962" spans="1:9" x14ac:dyDescent="0.25">
      <c r="A5962">
        <v>1816</v>
      </c>
      <c r="B5962">
        <f>A5962+1</f>
        <v>1817</v>
      </c>
      <c r="C5962" t="s">
        <v>522</v>
      </c>
      <c r="D5962" t="s">
        <v>26</v>
      </c>
      <c r="E5962" s="208" t="s">
        <v>331</v>
      </c>
      <c r="F5962" t="s">
        <v>15</v>
      </c>
      <c r="G5962" s="18">
        <v>2871</v>
      </c>
      <c r="H5962" s="151" t="s">
        <v>563</v>
      </c>
      <c r="I5962" t="s">
        <v>561</v>
      </c>
    </row>
    <row r="5963" spans="1:9" x14ac:dyDescent="0.25">
      <c r="A5963">
        <v>1816</v>
      </c>
      <c r="B5963">
        <f>A5963+1</f>
        <v>1817</v>
      </c>
      <c r="C5963" t="s">
        <v>522</v>
      </c>
      <c r="D5963" t="s">
        <v>26</v>
      </c>
      <c r="E5963" s="208" t="s">
        <v>332</v>
      </c>
      <c r="F5963" t="s">
        <v>15</v>
      </c>
      <c r="G5963" s="18">
        <v>265</v>
      </c>
      <c r="H5963" s="151" t="s">
        <v>563</v>
      </c>
      <c r="I5963" t="s">
        <v>561</v>
      </c>
    </row>
    <row r="5964" spans="1:9" x14ac:dyDescent="0.25">
      <c r="A5964">
        <v>1816</v>
      </c>
      <c r="B5964">
        <f>A5964+1</f>
        <v>1817</v>
      </c>
      <c r="C5964" t="s">
        <v>522</v>
      </c>
      <c r="D5964" t="s">
        <v>26</v>
      </c>
      <c r="E5964" s="208" t="s">
        <v>333</v>
      </c>
      <c r="F5964" t="s">
        <v>15</v>
      </c>
      <c r="G5964" s="18">
        <v>3895</v>
      </c>
      <c r="H5964" s="151" t="s">
        <v>563</v>
      </c>
      <c r="I5964" t="s">
        <v>561</v>
      </c>
    </row>
    <row r="5965" spans="1:9" x14ac:dyDescent="0.25">
      <c r="A5965">
        <v>1816</v>
      </c>
      <c r="B5965">
        <f>A5965+1</f>
        <v>1817</v>
      </c>
      <c r="C5965" t="s">
        <v>522</v>
      </c>
      <c r="D5965" t="s">
        <v>26</v>
      </c>
      <c r="E5965" s="208" t="s">
        <v>567</v>
      </c>
      <c r="F5965" t="s">
        <v>3</v>
      </c>
      <c r="G5965" s="18">
        <v>19052</v>
      </c>
      <c r="H5965" t="s">
        <v>24</v>
      </c>
      <c r="I5965" t="s">
        <v>16</v>
      </c>
    </row>
    <row r="5966" spans="1:9" x14ac:dyDescent="0.25">
      <c r="A5966">
        <v>1816</v>
      </c>
      <c r="B5966">
        <f>A5966+1</f>
        <v>1817</v>
      </c>
      <c r="C5966" t="s">
        <v>522</v>
      </c>
      <c r="D5966" t="s">
        <v>26</v>
      </c>
      <c r="E5966" s="208" t="s">
        <v>567</v>
      </c>
      <c r="F5966" t="s">
        <v>169</v>
      </c>
      <c r="G5966" s="18">
        <v>9705</v>
      </c>
      <c r="H5966" t="s">
        <v>160</v>
      </c>
      <c r="I5966" t="s">
        <v>16</v>
      </c>
    </row>
    <row r="5967" spans="1:9" x14ac:dyDescent="0.25">
      <c r="A5967">
        <v>1816</v>
      </c>
      <c r="B5967">
        <f>A5967+1</f>
        <v>1817</v>
      </c>
      <c r="C5967" t="s">
        <v>522</v>
      </c>
      <c r="D5967" t="s">
        <v>26</v>
      </c>
      <c r="E5967" s="208" t="s">
        <v>567</v>
      </c>
      <c r="F5967" t="s">
        <v>6</v>
      </c>
      <c r="G5967" s="18">
        <v>0</v>
      </c>
      <c r="H5967" t="s">
        <v>25</v>
      </c>
      <c r="I5967" t="s">
        <v>16</v>
      </c>
    </row>
    <row r="5968" spans="1:9" x14ac:dyDescent="0.25">
      <c r="A5968">
        <v>1816</v>
      </c>
      <c r="B5968">
        <f>A5968+1</f>
        <v>1817</v>
      </c>
      <c r="C5968" t="s">
        <v>522</v>
      </c>
      <c r="D5968" t="s">
        <v>26</v>
      </c>
      <c r="E5968" s="208" t="s">
        <v>567</v>
      </c>
      <c r="F5968" t="s">
        <v>4</v>
      </c>
      <c r="G5968" s="18">
        <v>0</v>
      </c>
      <c r="H5968" t="s">
        <v>23</v>
      </c>
      <c r="I5968" t="s">
        <v>16</v>
      </c>
    </row>
    <row r="5969" spans="1:9" x14ac:dyDescent="0.25">
      <c r="A5969">
        <v>1816</v>
      </c>
      <c r="B5969">
        <f>A5969+1</f>
        <v>1817</v>
      </c>
      <c r="C5969" t="s">
        <v>522</v>
      </c>
      <c r="D5969" t="s">
        <v>26</v>
      </c>
      <c r="E5969" s="208" t="s">
        <v>567</v>
      </c>
      <c r="F5969" t="s">
        <v>7</v>
      </c>
      <c r="G5969" s="18">
        <v>28757</v>
      </c>
      <c r="H5969" s="151" t="s">
        <v>563</v>
      </c>
      <c r="I5969" t="s">
        <v>16</v>
      </c>
    </row>
    <row r="5970" spans="1:9" x14ac:dyDescent="0.25">
      <c r="A5970">
        <v>1816</v>
      </c>
      <c r="B5970">
        <f>A5970+1</f>
        <v>1817</v>
      </c>
      <c r="C5970" t="s">
        <v>522</v>
      </c>
      <c r="D5970" t="s">
        <v>26</v>
      </c>
      <c r="E5970" s="208" t="s">
        <v>567</v>
      </c>
      <c r="F5970" t="s">
        <v>10</v>
      </c>
      <c r="G5970" s="18">
        <v>8626</v>
      </c>
      <c r="H5970" t="s">
        <v>24</v>
      </c>
      <c r="I5970" t="s">
        <v>17</v>
      </c>
    </row>
    <row r="5971" spans="1:9" x14ac:dyDescent="0.25">
      <c r="A5971">
        <v>1816</v>
      </c>
      <c r="B5971">
        <f>A5971+1</f>
        <v>1817</v>
      </c>
      <c r="C5971" t="s">
        <v>522</v>
      </c>
      <c r="D5971" t="s">
        <v>26</v>
      </c>
      <c r="E5971" s="208" t="s">
        <v>567</v>
      </c>
      <c r="F5971" t="s">
        <v>164</v>
      </c>
      <c r="G5971" s="18">
        <v>28687</v>
      </c>
      <c r="H5971" t="s">
        <v>160</v>
      </c>
      <c r="I5971" t="s">
        <v>17</v>
      </c>
    </row>
    <row r="5972" spans="1:9" x14ac:dyDescent="0.25">
      <c r="A5972">
        <v>1816</v>
      </c>
      <c r="B5972">
        <f>A5972+1</f>
        <v>1817</v>
      </c>
      <c r="C5972" t="s">
        <v>522</v>
      </c>
      <c r="D5972" t="s">
        <v>26</v>
      </c>
      <c r="E5972" s="208" t="s">
        <v>567</v>
      </c>
      <c r="F5972" t="s">
        <v>13</v>
      </c>
      <c r="G5972" s="18">
        <v>0</v>
      </c>
      <c r="H5972" t="s">
        <v>25</v>
      </c>
      <c r="I5972" t="s">
        <v>17</v>
      </c>
    </row>
    <row r="5973" spans="1:9" x14ac:dyDescent="0.25">
      <c r="A5973">
        <v>1816</v>
      </c>
      <c r="B5973">
        <f>A5973+1</f>
        <v>1817</v>
      </c>
      <c r="C5973" t="s">
        <v>522</v>
      </c>
      <c r="D5973" t="s">
        <v>26</v>
      </c>
      <c r="E5973" s="208" t="s">
        <v>567</v>
      </c>
      <c r="F5973" t="s">
        <v>11</v>
      </c>
      <c r="G5973" s="18">
        <v>0</v>
      </c>
      <c r="H5973" t="s">
        <v>23</v>
      </c>
      <c r="I5973" t="s">
        <v>17</v>
      </c>
    </row>
    <row r="5974" spans="1:9" x14ac:dyDescent="0.25">
      <c r="A5974">
        <v>1816</v>
      </c>
      <c r="B5974">
        <f>A5974+1</f>
        <v>1817</v>
      </c>
      <c r="C5974" t="s">
        <v>522</v>
      </c>
      <c r="D5974" t="s">
        <v>26</v>
      </c>
      <c r="E5974" s="208" t="s">
        <v>567</v>
      </c>
      <c r="F5974" t="s">
        <v>14</v>
      </c>
      <c r="G5974" s="18">
        <v>37313</v>
      </c>
      <c r="H5974" s="151" t="s">
        <v>563</v>
      </c>
      <c r="I5974" t="s">
        <v>17</v>
      </c>
    </row>
    <row r="5975" spans="1:9" x14ac:dyDescent="0.25">
      <c r="A5975">
        <v>1816</v>
      </c>
      <c r="B5975">
        <f>A5975+1</f>
        <v>1817</v>
      </c>
      <c r="C5975" t="s">
        <v>522</v>
      </c>
      <c r="D5975" t="s">
        <v>26</v>
      </c>
      <c r="E5975" s="208" t="s">
        <v>567</v>
      </c>
      <c r="F5975" t="s">
        <v>15</v>
      </c>
      <c r="G5975" s="18">
        <v>66070</v>
      </c>
      <c r="H5975" s="151" t="s">
        <v>563</v>
      </c>
      <c r="I5975" t="s">
        <v>561</v>
      </c>
    </row>
    <row r="5976" spans="1:9" x14ac:dyDescent="0.25">
      <c r="A5976">
        <v>1816</v>
      </c>
      <c r="B5976">
        <f>A5976+1</f>
        <v>1817</v>
      </c>
      <c r="C5976" t="s">
        <v>522</v>
      </c>
      <c r="D5976" t="s">
        <v>26</v>
      </c>
      <c r="E5976" s="208" t="s">
        <v>569</v>
      </c>
      <c r="F5976" t="s">
        <v>3</v>
      </c>
      <c r="G5976" s="18">
        <v>866</v>
      </c>
      <c r="H5976" t="s">
        <v>24</v>
      </c>
      <c r="I5976" t="s">
        <v>16</v>
      </c>
    </row>
    <row r="5977" spans="1:9" x14ac:dyDescent="0.25">
      <c r="A5977">
        <v>1816</v>
      </c>
      <c r="B5977">
        <f>A5977+1</f>
        <v>1817</v>
      </c>
      <c r="C5977" t="s">
        <v>522</v>
      </c>
      <c r="D5977" t="s">
        <v>26</v>
      </c>
      <c r="E5977" s="208" t="s">
        <v>569</v>
      </c>
      <c r="F5977" t="s">
        <v>169</v>
      </c>
      <c r="G5977" s="18">
        <v>0</v>
      </c>
      <c r="H5977" t="s">
        <v>160</v>
      </c>
      <c r="I5977" t="s">
        <v>16</v>
      </c>
    </row>
    <row r="5978" spans="1:9" x14ac:dyDescent="0.25">
      <c r="A5978">
        <v>1816</v>
      </c>
      <c r="B5978">
        <f>A5978+1</f>
        <v>1817</v>
      </c>
      <c r="C5978" t="s">
        <v>522</v>
      </c>
      <c r="D5978" t="s">
        <v>26</v>
      </c>
      <c r="E5978" s="208" t="s">
        <v>569</v>
      </c>
      <c r="F5978" t="s">
        <v>6</v>
      </c>
      <c r="G5978" s="18">
        <v>0</v>
      </c>
      <c r="H5978" t="s">
        <v>25</v>
      </c>
      <c r="I5978" t="s">
        <v>16</v>
      </c>
    </row>
    <row r="5979" spans="1:9" x14ac:dyDescent="0.25">
      <c r="A5979">
        <v>1816</v>
      </c>
      <c r="B5979">
        <f>A5979+1</f>
        <v>1817</v>
      </c>
      <c r="C5979" t="s">
        <v>522</v>
      </c>
      <c r="D5979" t="s">
        <v>26</v>
      </c>
      <c r="E5979" s="208" t="s">
        <v>569</v>
      </c>
      <c r="F5979" t="s">
        <v>4</v>
      </c>
      <c r="G5979" s="18">
        <v>0</v>
      </c>
      <c r="H5979" t="s">
        <v>23</v>
      </c>
      <c r="I5979" t="s">
        <v>16</v>
      </c>
    </row>
    <row r="5980" spans="1:9" x14ac:dyDescent="0.25">
      <c r="A5980">
        <v>1816</v>
      </c>
      <c r="B5980">
        <f>A5980+1</f>
        <v>1817</v>
      </c>
      <c r="C5980" t="s">
        <v>522</v>
      </c>
      <c r="D5980" t="s">
        <v>26</v>
      </c>
      <c r="E5980" s="208" t="s">
        <v>569</v>
      </c>
      <c r="F5980" t="s">
        <v>7</v>
      </c>
      <c r="G5980" s="18">
        <v>866</v>
      </c>
      <c r="H5980" s="151" t="s">
        <v>563</v>
      </c>
      <c r="I5980" t="s">
        <v>16</v>
      </c>
    </row>
    <row r="5981" spans="1:9" x14ac:dyDescent="0.25">
      <c r="A5981">
        <v>1816</v>
      </c>
      <c r="B5981">
        <f>A5981+1</f>
        <v>1817</v>
      </c>
      <c r="C5981" t="s">
        <v>522</v>
      </c>
      <c r="D5981" t="s">
        <v>26</v>
      </c>
      <c r="E5981" s="208" t="s">
        <v>569</v>
      </c>
      <c r="F5981" t="s">
        <v>10</v>
      </c>
      <c r="G5981" s="18">
        <v>315</v>
      </c>
      <c r="H5981" t="s">
        <v>24</v>
      </c>
      <c r="I5981" t="s">
        <v>17</v>
      </c>
    </row>
    <row r="5982" spans="1:9" x14ac:dyDescent="0.25">
      <c r="A5982">
        <v>1816</v>
      </c>
      <c r="B5982">
        <f>A5982+1</f>
        <v>1817</v>
      </c>
      <c r="C5982" t="s">
        <v>522</v>
      </c>
      <c r="D5982" t="s">
        <v>26</v>
      </c>
      <c r="E5982" s="208" t="s">
        <v>569</v>
      </c>
      <c r="F5982" t="s">
        <v>164</v>
      </c>
      <c r="G5982" s="18">
        <v>0</v>
      </c>
      <c r="H5982" t="s">
        <v>160</v>
      </c>
      <c r="I5982" t="s">
        <v>17</v>
      </c>
    </row>
    <row r="5983" spans="1:9" x14ac:dyDescent="0.25">
      <c r="A5983">
        <v>1816</v>
      </c>
      <c r="B5983">
        <f>A5983+1</f>
        <v>1817</v>
      </c>
      <c r="C5983" t="s">
        <v>522</v>
      </c>
      <c r="D5983" t="s">
        <v>26</v>
      </c>
      <c r="E5983" s="208" t="s">
        <v>569</v>
      </c>
      <c r="F5983" t="s">
        <v>13</v>
      </c>
      <c r="G5983" s="18">
        <v>0</v>
      </c>
      <c r="H5983" t="s">
        <v>25</v>
      </c>
      <c r="I5983" t="s">
        <v>17</v>
      </c>
    </row>
    <row r="5984" spans="1:9" x14ac:dyDescent="0.25">
      <c r="A5984">
        <v>1816</v>
      </c>
      <c r="B5984">
        <f>A5984+1</f>
        <v>1817</v>
      </c>
      <c r="C5984" t="s">
        <v>522</v>
      </c>
      <c r="D5984" t="s">
        <v>26</v>
      </c>
      <c r="E5984" s="208" t="s">
        <v>569</v>
      </c>
      <c r="F5984" t="s">
        <v>11</v>
      </c>
      <c r="G5984" s="18">
        <v>0</v>
      </c>
      <c r="H5984" t="s">
        <v>23</v>
      </c>
      <c r="I5984" t="s">
        <v>17</v>
      </c>
    </row>
    <row r="5985" spans="1:9" x14ac:dyDescent="0.25">
      <c r="A5985">
        <v>1816</v>
      </c>
      <c r="B5985">
        <f>A5985+1</f>
        <v>1817</v>
      </c>
      <c r="C5985" t="s">
        <v>522</v>
      </c>
      <c r="D5985" t="s">
        <v>26</v>
      </c>
      <c r="E5985" s="208" t="s">
        <v>569</v>
      </c>
      <c r="F5985" t="s">
        <v>14</v>
      </c>
      <c r="G5985" s="18">
        <v>315</v>
      </c>
      <c r="H5985" s="151" t="s">
        <v>563</v>
      </c>
      <c r="I5985" t="s">
        <v>17</v>
      </c>
    </row>
    <row r="5986" spans="1:9" x14ac:dyDescent="0.25">
      <c r="A5986">
        <v>1816</v>
      </c>
      <c r="B5986">
        <f>A5986+1</f>
        <v>1817</v>
      </c>
      <c r="C5986" t="s">
        <v>522</v>
      </c>
      <c r="D5986" t="s">
        <v>26</v>
      </c>
      <c r="E5986" s="208" t="s">
        <v>569</v>
      </c>
      <c r="F5986" t="s">
        <v>15</v>
      </c>
      <c r="G5986" s="18">
        <v>1181</v>
      </c>
      <c r="H5986" s="151" t="s">
        <v>563</v>
      </c>
      <c r="I5986" t="s">
        <v>561</v>
      </c>
    </row>
    <row r="5987" spans="1:9" x14ac:dyDescent="0.25">
      <c r="A5987">
        <v>1816</v>
      </c>
      <c r="B5987">
        <f>A5987+1</f>
        <v>1817</v>
      </c>
      <c r="C5987" t="s">
        <v>522</v>
      </c>
      <c r="D5987" t="s">
        <v>26</v>
      </c>
      <c r="E5987" s="208" t="s">
        <v>566</v>
      </c>
      <c r="F5987" t="s">
        <v>3</v>
      </c>
      <c r="G5987" s="18">
        <v>239</v>
      </c>
      <c r="H5987" t="s">
        <v>24</v>
      </c>
      <c r="I5987" t="s">
        <v>16</v>
      </c>
    </row>
    <row r="5988" spans="1:9" x14ac:dyDescent="0.25">
      <c r="A5988">
        <v>1816</v>
      </c>
      <c r="B5988">
        <f>A5988+1</f>
        <v>1817</v>
      </c>
      <c r="C5988" t="s">
        <v>522</v>
      </c>
      <c r="D5988" t="s">
        <v>26</v>
      </c>
      <c r="E5988" s="208" t="s">
        <v>566</v>
      </c>
      <c r="F5988" t="s">
        <v>169</v>
      </c>
      <c r="G5988" s="18">
        <v>0</v>
      </c>
      <c r="H5988" t="s">
        <v>160</v>
      </c>
      <c r="I5988" t="s">
        <v>16</v>
      </c>
    </row>
    <row r="5989" spans="1:9" x14ac:dyDescent="0.25">
      <c r="A5989">
        <v>1816</v>
      </c>
      <c r="B5989">
        <f>A5989+1</f>
        <v>1817</v>
      </c>
      <c r="C5989" t="s">
        <v>522</v>
      </c>
      <c r="D5989" t="s">
        <v>26</v>
      </c>
      <c r="E5989" s="208" t="s">
        <v>566</v>
      </c>
      <c r="F5989" t="s">
        <v>6</v>
      </c>
      <c r="G5989" s="18">
        <v>0</v>
      </c>
      <c r="H5989" t="s">
        <v>25</v>
      </c>
      <c r="I5989" t="s">
        <v>16</v>
      </c>
    </row>
    <row r="5990" spans="1:9" x14ac:dyDescent="0.25">
      <c r="A5990">
        <v>1816</v>
      </c>
      <c r="B5990">
        <f>A5990+1</f>
        <v>1817</v>
      </c>
      <c r="C5990" t="s">
        <v>522</v>
      </c>
      <c r="D5990" t="s">
        <v>26</v>
      </c>
      <c r="E5990" s="208" t="s">
        <v>566</v>
      </c>
      <c r="F5990" t="s">
        <v>4</v>
      </c>
      <c r="G5990" s="18">
        <v>0</v>
      </c>
      <c r="H5990" t="s">
        <v>23</v>
      </c>
      <c r="I5990" t="s">
        <v>16</v>
      </c>
    </row>
    <row r="5991" spans="1:9" x14ac:dyDescent="0.25">
      <c r="A5991">
        <v>1816</v>
      </c>
      <c r="B5991">
        <f>A5991+1</f>
        <v>1817</v>
      </c>
      <c r="C5991" t="s">
        <v>522</v>
      </c>
      <c r="D5991" t="s">
        <v>26</v>
      </c>
      <c r="E5991" s="208" t="s">
        <v>566</v>
      </c>
      <c r="F5991" t="s">
        <v>7</v>
      </c>
      <c r="G5991" s="18">
        <v>239</v>
      </c>
      <c r="H5991" s="151" t="s">
        <v>563</v>
      </c>
      <c r="I5991" t="s">
        <v>16</v>
      </c>
    </row>
    <row r="5992" spans="1:9" x14ac:dyDescent="0.25">
      <c r="A5992">
        <v>1816</v>
      </c>
      <c r="B5992">
        <f>A5992+1</f>
        <v>1817</v>
      </c>
      <c r="C5992" t="s">
        <v>522</v>
      </c>
      <c r="D5992" t="s">
        <v>26</v>
      </c>
      <c r="E5992" s="208" t="s">
        <v>566</v>
      </c>
      <c r="F5992" t="s">
        <v>10</v>
      </c>
      <c r="G5992" s="18">
        <v>90</v>
      </c>
      <c r="H5992" t="s">
        <v>24</v>
      </c>
      <c r="I5992" t="s">
        <v>17</v>
      </c>
    </row>
    <row r="5993" spans="1:9" x14ac:dyDescent="0.25">
      <c r="A5993">
        <v>1816</v>
      </c>
      <c r="B5993">
        <f>A5993+1</f>
        <v>1817</v>
      </c>
      <c r="C5993" t="s">
        <v>522</v>
      </c>
      <c r="D5993" t="s">
        <v>26</v>
      </c>
      <c r="E5993" s="208" t="s">
        <v>566</v>
      </c>
      <c r="F5993" t="s">
        <v>164</v>
      </c>
      <c r="G5993" s="18">
        <v>0</v>
      </c>
      <c r="H5993" t="s">
        <v>160</v>
      </c>
      <c r="I5993" t="s">
        <v>17</v>
      </c>
    </row>
    <row r="5994" spans="1:9" x14ac:dyDescent="0.25">
      <c r="A5994">
        <v>1816</v>
      </c>
      <c r="B5994">
        <f>A5994+1</f>
        <v>1817</v>
      </c>
      <c r="C5994" t="s">
        <v>522</v>
      </c>
      <c r="D5994" t="s">
        <v>26</v>
      </c>
      <c r="E5994" s="208" t="s">
        <v>566</v>
      </c>
      <c r="F5994" t="s">
        <v>13</v>
      </c>
      <c r="G5994" s="18">
        <v>0</v>
      </c>
      <c r="H5994" t="s">
        <v>25</v>
      </c>
      <c r="I5994" t="s">
        <v>17</v>
      </c>
    </row>
    <row r="5995" spans="1:9" x14ac:dyDescent="0.25">
      <c r="A5995">
        <v>1816</v>
      </c>
      <c r="B5995">
        <f>A5995+1</f>
        <v>1817</v>
      </c>
      <c r="C5995" t="s">
        <v>522</v>
      </c>
      <c r="D5995" t="s">
        <v>26</v>
      </c>
      <c r="E5995" s="208" t="s">
        <v>566</v>
      </c>
      <c r="F5995" t="s">
        <v>11</v>
      </c>
      <c r="G5995" s="18">
        <v>0</v>
      </c>
      <c r="H5995" t="s">
        <v>23</v>
      </c>
      <c r="I5995" t="s">
        <v>17</v>
      </c>
    </row>
    <row r="5996" spans="1:9" x14ac:dyDescent="0.25">
      <c r="A5996">
        <v>1816</v>
      </c>
      <c r="B5996">
        <f>A5996+1</f>
        <v>1817</v>
      </c>
      <c r="C5996" t="s">
        <v>522</v>
      </c>
      <c r="D5996" t="s">
        <v>26</v>
      </c>
      <c r="E5996" s="208" t="s">
        <v>566</v>
      </c>
      <c r="F5996" t="s">
        <v>14</v>
      </c>
      <c r="G5996" s="18">
        <v>90</v>
      </c>
      <c r="H5996" s="151" t="s">
        <v>563</v>
      </c>
      <c r="I5996" t="s">
        <v>17</v>
      </c>
    </row>
    <row r="5997" spans="1:9" x14ac:dyDescent="0.25">
      <c r="A5997">
        <v>1816</v>
      </c>
      <c r="B5997">
        <f>A5997+1</f>
        <v>1817</v>
      </c>
      <c r="C5997" t="s">
        <v>522</v>
      </c>
      <c r="D5997" t="s">
        <v>26</v>
      </c>
      <c r="E5997" s="208" t="s">
        <v>566</v>
      </c>
      <c r="F5997" t="s">
        <v>15</v>
      </c>
      <c r="G5997" s="18">
        <v>329</v>
      </c>
      <c r="H5997" s="151" t="s">
        <v>563</v>
      </c>
      <c r="I5997" t="s">
        <v>561</v>
      </c>
    </row>
    <row r="5998" spans="1:9" x14ac:dyDescent="0.25">
      <c r="A5998">
        <v>1817</v>
      </c>
      <c r="B5998">
        <f>A5998+1</f>
        <v>1818</v>
      </c>
      <c r="C5998" t="s">
        <v>523</v>
      </c>
      <c r="D5998" t="s">
        <v>26</v>
      </c>
      <c r="E5998" s="208" t="s">
        <v>572</v>
      </c>
      <c r="F5998" t="s">
        <v>3</v>
      </c>
      <c r="G5998" s="18">
        <v>5068</v>
      </c>
      <c r="H5998" t="s">
        <v>24</v>
      </c>
      <c r="I5998" t="s">
        <v>16</v>
      </c>
    </row>
    <row r="5999" spans="1:9" x14ac:dyDescent="0.25">
      <c r="A5999">
        <v>1817</v>
      </c>
      <c r="B5999">
        <f>A5999+1</f>
        <v>1818</v>
      </c>
      <c r="C5999" t="s">
        <v>523</v>
      </c>
      <c r="D5999" t="s">
        <v>26</v>
      </c>
      <c r="E5999" s="208" t="s">
        <v>572</v>
      </c>
      <c r="F5999" t="s">
        <v>169</v>
      </c>
      <c r="G5999" s="18">
        <v>0</v>
      </c>
      <c r="H5999" t="s">
        <v>160</v>
      </c>
      <c r="I5999" t="s">
        <v>16</v>
      </c>
    </row>
    <row r="6000" spans="1:9" x14ac:dyDescent="0.25">
      <c r="A6000">
        <v>1817</v>
      </c>
      <c r="B6000">
        <f>A6000+1</f>
        <v>1818</v>
      </c>
      <c r="C6000" t="s">
        <v>523</v>
      </c>
      <c r="D6000" t="s">
        <v>26</v>
      </c>
      <c r="E6000" s="208" t="s">
        <v>572</v>
      </c>
      <c r="F6000" t="s">
        <v>6</v>
      </c>
      <c r="G6000" s="18">
        <v>0</v>
      </c>
      <c r="H6000" t="s">
        <v>25</v>
      </c>
      <c r="I6000" t="s">
        <v>16</v>
      </c>
    </row>
    <row r="6001" spans="1:9" x14ac:dyDescent="0.25">
      <c r="A6001">
        <v>1817</v>
      </c>
      <c r="B6001">
        <f>A6001+1</f>
        <v>1818</v>
      </c>
      <c r="C6001" t="s">
        <v>523</v>
      </c>
      <c r="D6001" t="s">
        <v>26</v>
      </c>
      <c r="E6001" s="208" t="s">
        <v>572</v>
      </c>
      <c r="F6001" t="s">
        <v>4</v>
      </c>
      <c r="G6001" s="18">
        <v>0</v>
      </c>
      <c r="H6001" t="s">
        <v>23</v>
      </c>
      <c r="I6001" t="s">
        <v>16</v>
      </c>
    </row>
    <row r="6002" spans="1:9" x14ac:dyDescent="0.25">
      <c r="A6002">
        <v>1817</v>
      </c>
      <c r="B6002">
        <f>A6002+1</f>
        <v>1818</v>
      </c>
      <c r="C6002" t="s">
        <v>523</v>
      </c>
      <c r="D6002" t="s">
        <v>26</v>
      </c>
      <c r="E6002" s="208" t="s">
        <v>572</v>
      </c>
      <c r="F6002" t="s">
        <v>7</v>
      </c>
      <c r="G6002" s="18">
        <v>5068</v>
      </c>
      <c r="H6002" s="151" t="s">
        <v>563</v>
      </c>
      <c r="I6002" t="s">
        <v>16</v>
      </c>
    </row>
    <row r="6003" spans="1:9" x14ac:dyDescent="0.25">
      <c r="A6003">
        <v>1817</v>
      </c>
      <c r="B6003">
        <f>A6003+1</f>
        <v>1818</v>
      </c>
      <c r="C6003" t="s">
        <v>523</v>
      </c>
      <c r="D6003" t="s">
        <v>26</v>
      </c>
      <c r="E6003" s="208" t="s">
        <v>572</v>
      </c>
      <c r="F6003" t="s">
        <v>10</v>
      </c>
      <c r="G6003" s="18">
        <v>2385</v>
      </c>
      <c r="H6003" t="s">
        <v>24</v>
      </c>
      <c r="I6003" t="s">
        <v>17</v>
      </c>
    </row>
    <row r="6004" spans="1:9" x14ac:dyDescent="0.25">
      <c r="A6004">
        <v>1817</v>
      </c>
      <c r="B6004">
        <f>A6004+1</f>
        <v>1818</v>
      </c>
      <c r="C6004" t="s">
        <v>523</v>
      </c>
      <c r="D6004" t="s">
        <v>26</v>
      </c>
      <c r="E6004" s="208" t="s">
        <v>572</v>
      </c>
      <c r="F6004" t="s">
        <v>164</v>
      </c>
      <c r="G6004" s="18">
        <v>0</v>
      </c>
      <c r="H6004" t="s">
        <v>160</v>
      </c>
      <c r="I6004" t="s">
        <v>17</v>
      </c>
    </row>
    <row r="6005" spans="1:9" x14ac:dyDescent="0.25">
      <c r="A6005">
        <v>1817</v>
      </c>
      <c r="B6005">
        <f>A6005+1</f>
        <v>1818</v>
      </c>
      <c r="C6005" t="s">
        <v>523</v>
      </c>
      <c r="D6005" t="s">
        <v>26</v>
      </c>
      <c r="E6005" s="208" t="s">
        <v>572</v>
      </c>
      <c r="F6005" t="s">
        <v>13</v>
      </c>
      <c r="G6005" s="18">
        <v>0</v>
      </c>
      <c r="H6005" t="s">
        <v>25</v>
      </c>
      <c r="I6005" t="s">
        <v>17</v>
      </c>
    </row>
    <row r="6006" spans="1:9" x14ac:dyDescent="0.25">
      <c r="A6006">
        <v>1817</v>
      </c>
      <c r="B6006">
        <f>A6006+1</f>
        <v>1818</v>
      </c>
      <c r="C6006" t="s">
        <v>523</v>
      </c>
      <c r="D6006" t="s">
        <v>26</v>
      </c>
      <c r="E6006" s="208" t="s">
        <v>572</v>
      </c>
      <c r="F6006" t="s">
        <v>11</v>
      </c>
      <c r="G6006" s="18">
        <v>0</v>
      </c>
      <c r="H6006" t="s">
        <v>23</v>
      </c>
      <c r="I6006" t="s">
        <v>17</v>
      </c>
    </row>
    <row r="6007" spans="1:9" x14ac:dyDescent="0.25">
      <c r="A6007">
        <v>1817</v>
      </c>
      <c r="B6007">
        <f>A6007+1</f>
        <v>1818</v>
      </c>
      <c r="C6007" t="s">
        <v>523</v>
      </c>
      <c r="D6007" t="s">
        <v>26</v>
      </c>
      <c r="E6007" s="208" t="s">
        <v>572</v>
      </c>
      <c r="F6007" t="s">
        <v>14</v>
      </c>
      <c r="G6007" s="18">
        <v>2385</v>
      </c>
      <c r="H6007" s="151" t="s">
        <v>563</v>
      </c>
      <c r="I6007" t="s">
        <v>17</v>
      </c>
    </row>
    <row r="6008" spans="1:9" x14ac:dyDescent="0.25">
      <c r="A6008">
        <v>1817</v>
      </c>
      <c r="B6008">
        <f>A6008+1</f>
        <v>1818</v>
      </c>
      <c r="C6008" t="s">
        <v>523</v>
      </c>
      <c r="D6008" t="s">
        <v>26</v>
      </c>
      <c r="E6008" s="208" t="s">
        <v>572</v>
      </c>
      <c r="F6008" t="s">
        <v>15</v>
      </c>
      <c r="G6008" s="18">
        <v>7453</v>
      </c>
      <c r="H6008" s="151" t="s">
        <v>563</v>
      </c>
      <c r="I6008" t="s">
        <v>561</v>
      </c>
    </row>
    <row r="6009" spans="1:9" x14ac:dyDescent="0.25">
      <c r="A6009">
        <v>1817</v>
      </c>
      <c r="B6009">
        <f>A6009+1</f>
        <v>1818</v>
      </c>
      <c r="C6009" t="s">
        <v>523</v>
      </c>
      <c r="D6009" t="s">
        <v>26</v>
      </c>
      <c r="E6009" s="208" t="s">
        <v>571</v>
      </c>
      <c r="F6009" t="s">
        <v>3</v>
      </c>
      <c r="G6009" s="18">
        <v>4127</v>
      </c>
      <c r="H6009" t="s">
        <v>24</v>
      </c>
      <c r="I6009" t="s">
        <v>16</v>
      </c>
    </row>
    <row r="6010" spans="1:9" x14ac:dyDescent="0.25">
      <c r="A6010">
        <v>1817</v>
      </c>
      <c r="B6010">
        <f>A6010+1</f>
        <v>1818</v>
      </c>
      <c r="C6010" t="s">
        <v>523</v>
      </c>
      <c r="D6010" t="s">
        <v>26</v>
      </c>
      <c r="E6010" s="208" t="s">
        <v>571</v>
      </c>
      <c r="F6010" t="s">
        <v>169</v>
      </c>
      <c r="G6010" s="18">
        <v>0</v>
      </c>
      <c r="H6010" t="s">
        <v>160</v>
      </c>
      <c r="I6010" t="s">
        <v>16</v>
      </c>
    </row>
    <row r="6011" spans="1:9" x14ac:dyDescent="0.25">
      <c r="A6011">
        <v>1817</v>
      </c>
      <c r="B6011">
        <f>A6011+1</f>
        <v>1818</v>
      </c>
      <c r="C6011" t="s">
        <v>523</v>
      </c>
      <c r="D6011" t="s">
        <v>26</v>
      </c>
      <c r="E6011" s="208" t="s">
        <v>571</v>
      </c>
      <c r="F6011" t="s">
        <v>6</v>
      </c>
      <c r="G6011" s="18">
        <v>0</v>
      </c>
      <c r="H6011" t="s">
        <v>25</v>
      </c>
      <c r="I6011" t="s">
        <v>16</v>
      </c>
    </row>
    <row r="6012" spans="1:9" x14ac:dyDescent="0.25">
      <c r="A6012">
        <v>1817</v>
      </c>
      <c r="B6012">
        <f>A6012+1</f>
        <v>1818</v>
      </c>
      <c r="C6012" t="s">
        <v>523</v>
      </c>
      <c r="D6012" t="s">
        <v>26</v>
      </c>
      <c r="E6012" s="208" t="s">
        <v>571</v>
      </c>
      <c r="F6012" t="s">
        <v>4</v>
      </c>
      <c r="G6012" s="18">
        <v>0</v>
      </c>
      <c r="H6012" t="s">
        <v>23</v>
      </c>
      <c r="I6012" t="s">
        <v>16</v>
      </c>
    </row>
    <row r="6013" spans="1:9" x14ac:dyDescent="0.25">
      <c r="A6013">
        <v>1817</v>
      </c>
      <c r="B6013">
        <f>A6013+1</f>
        <v>1818</v>
      </c>
      <c r="C6013" t="s">
        <v>523</v>
      </c>
      <c r="D6013" t="s">
        <v>26</v>
      </c>
      <c r="E6013" s="208" t="s">
        <v>571</v>
      </c>
      <c r="F6013" t="s">
        <v>7</v>
      </c>
      <c r="G6013" s="18">
        <v>4127</v>
      </c>
      <c r="H6013" s="151" t="s">
        <v>563</v>
      </c>
      <c r="I6013" t="s">
        <v>16</v>
      </c>
    </row>
    <row r="6014" spans="1:9" x14ac:dyDescent="0.25">
      <c r="A6014">
        <v>1817</v>
      </c>
      <c r="B6014">
        <f>A6014+1</f>
        <v>1818</v>
      </c>
      <c r="C6014" t="s">
        <v>523</v>
      </c>
      <c r="D6014" t="s">
        <v>26</v>
      </c>
      <c r="E6014" s="208" t="s">
        <v>571</v>
      </c>
      <c r="F6014" t="s">
        <v>10</v>
      </c>
      <c r="G6014" s="18">
        <v>902</v>
      </c>
      <c r="H6014" t="s">
        <v>24</v>
      </c>
      <c r="I6014" t="s">
        <v>17</v>
      </c>
    </row>
    <row r="6015" spans="1:9" x14ac:dyDescent="0.25">
      <c r="A6015">
        <v>1817</v>
      </c>
      <c r="B6015">
        <f>A6015+1</f>
        <v>1818</v>
      </c>
      <c r="C6015" t="s">
        <v>523</v>
      </c>
      <c r="D6015" t="s">
        <v>26</v>
      </c>
      <c r="E6015" s="208" t="s">
        <v>571</v>
      </c>
      <c r="F6015" t="s">
        <v>164</v>
      </c>
      <c r="G6015" s="18">
        <v>0</v>
      </c>
      <c r="H6015" t="s">
        <v>160</v>
      </c>
      <c r="I6015" t="s">
        <v>17</v>
      </c>
    </row>
    <row r="6016" spans="1:9" x14ac:dyDescent="0.25">
      <c r="A6016">
        <v>1817</v>
      </c>
      <c r="B6016">
        <f>A6016+1</f>
        <v>1818</v>
      </c>
      <c r="C6016" t="s">
        <v>523</v>
      </c>
      <c r="D6016" t="s">
        <v>26</v>
      </c>
      <c r="E6016" s="208" t="s">
        <v>571</v>
      </c>
      <c r="F6016" t="s">
        <v>13</v>
      </c>
      <c r="G6016" s="18">
        <v>0</v>
      </c>
      <c r="H6016" t="s">
        <v>25</v>
      </c>
      <c r="I6016" t="s">
        <v>17</v>
      </c>
    </row>
    <row r="6017" spans="1:9" x14ac:dyDescent="0.25">
      <c r="A6017">
        <v>1817</v>
      </c>
      <c r="B6017">
        <f>A6017+1</f>
        <v>1818</v>
      </c>
      <c r="C6017" t="s">
        <v>523</v>
      </c>
      <c r="D6017" t="s">
        <v>26</v>
      </c>
      <c r="E6017" s="208" t="s">
        <v>571</v>
      </c>
      <c r="F6017" t="s">
        <v>11</v>
      </c>
      <c r="G6017" s="18">
        <v>0</v>
      </c>
      <c r="H6017" t="s">
        <v>23</v>
      </c>
      <c r="I6017" t="s">
        <v>17</v>
      </c>
    </row>
    <row r="6018" spans="1:9" x14ac:dyDescent="0.25">
      <c r="A6018">
        <v>1817</v>
      </c>
      <c r="B6018">
        <f>A6018+1</f>
        <v>1818</v>
      </c>
      <c r="C6018" t="s">
        <v>523</v>
      </c>
      <c r="D6018" t="s">
        <v>26</v>
      </c>
      <c r="E6018" s="208" t="s">
        <v>571</v>
      </c>
      <c r="F6018" t="s">
        <v>14</v>
      </c>
      <c r="G6018" s="18">
        <v>902</v>
      </c>
      <c r="H6018" s="151" t="s">
        <v>563</v>
      </c>
      <c r="I6018" t="s">
        <v>17</v>
      </c>
    </row>
    <row r="6019" spans="1:9" x14ac:dyDescent="0.25">
      <c r="A6019">
        <v>1817</v>
      </c>
      <c r="B6019">
        <f>A6019+1</f>
        <v>1818</v>
      </c>
      <c r="C6019" t="s">
        <v>523</v>
      </c>
      <c r="D6019" t="s">
        <v>26</v>
      </c>
      <c r="E6019" s="208" t="s">
        <v>571</v>
      </c>
      <c r="F6019" t="s">
        <v>15</v>
      </c>
      <c r="G6019" s="18">
        <v>5029</v>
      </c>
      <c r="H6019" s="151" t="s">
        <v>563</v>
      </c>
      <c r="I6019" t="s">
        <v>561</v>
      </c>
    </row>
    <row r="6020" spans="1:9" x14ac:dyDescent="0.25">
      <c r="A6020">
        <v>1817</v>
      </c>
      <c r="B6020">
        <f>A6020+1</f>
        <v>1818</v>
      </c>
      <c r="C6020" t="s">
        <v>523</v>
      </c>
      <c r="D6020" t="s">
        <v>26</v>
      </c>
      <c r="E6020" s="208" t="s">
        <v>570</v>
      </c>
      <c r="F6020" t="s">
        <v>3</v>
      </c>
      <c r="G6020" s="18">
        <v>1884</v>
      </c>
      <c r="H6020" t="s">
        <v>24</v>
      </c>
      <c r="I6020" t="s">
        <v>16</v>
      </c>
    </row>
    <row r="6021" spans="1:9" x14ac:dyDescent="0.25">
      <c r="A6021">
        <v>1817</v>
      </c>
      <c r="B6021">
        <f>A6021+1</f>
        <v>1818</v>
      </c>
      <c r="C6021" t="s">
        <v>523</v>
      </c>
      <c r="D6021" t="s">
        <v>26</v>
      </c>
      <c r="E6021" s="208" t="s">
        <v>570</v>
      </c>
      <c r="F6021" t="s">
        <v>169</v>
      </c>
      <c r="G6021" s="18">
        <v>0</v>
      </c>
      <c r="H6021" t="s">
        <v>160</v>
      </c>
      <c r="I6021" t="s">
        <v>16</v>
      </c>
    </row>
    <row r="6022" spans="1:9" x14ac:dyDescent="0.25">
      <c r="A6022">
        <v>1817</v>
      </c>
      <c r="B6022">
        <f>A6022+1</f>
        <v>1818</v>
      </c>
      <c r="C6022" t="s">
        <v>523</v>
      </c>
      <c r="D6022" t="s">
        <v>26</v>
      </c>
      <c r="E6022" s="208" t="s">
        <v>570</v>
      </c>
      <c r="F6022" t="s">
        <v>6</v>
      </c>
      <c r="G6022" s="18">
        <v>0</v>
      </c>
      <c r="H6022" t="s">
        <v>25</v>
      </c>
      <c r="I6022" t="s">
        <v>16</v>
      </c>
    </row>
    <row r="6023" spans="1:9" x14ac:dyDescent="0.25">
      <c r="A6023">
        <v>1817</v>
      </c>
      <c r="B6023">
        <f>A6023+1</f>
        <v>1818</v>
      </c>
      <c r="C6023" t="s">
        <v>523</v>
      </c>
      <c r="D6023" t="s">
        <v>26</v>
      </c>
      <c r="E6023" s="208" t="s">
        <v>570</v>
      </c>
      <c r="F6023" t="s">
        <v>4</v>
      </c>
      <c r="G6023" s="18">
        <v>0</v>
      </c>
      <c r="H6023" t="s">
        <v>23</v>
      </c>
      <c r="I6023" t="s">
        <v>16</v>
      </c>
    </row>
    <row r="6024" spans="1:9" x14ac:dyDescent="0.25">
      <c r="A6024">
        <v>1817</v>
      </c>
      <c r="B6024">
        <f>A6024+1</f>
        <v>1818</v>
      </c>
      <c r="C6024" t="s">
        <v>523</v>
      </c>
      <c r="D6024" t="s">
        <v>26</v>
      </c>
      <c r="E6024" s="208" t="s">
        <v>570</v>
      </c>
      <c r="F6024" t="s">
        <v>7</v>
      </c>
      <c r="G6024" s="18">
        <v>1884</v>
      </c>
      <c r="H6024" s="151" t="s">
        <v>563</v>
      </c>
      <c r="I6024" t="s">
        <v>16</v>
      </c>
    </row>
    <row r="6025" spans="1:9" x14ac:dyDescent="0.25">
      <c r="A6025">
        <v>1817</v>
      </c>
      <c r="B6025">
        <f>A6025+1</f>
        <v>1818</v>
      </c>
      <c r="C6025" t="s">
        <v>523</v>
      </c>
      <c r="D6025" t="s">
        <v>26</v>
      </c>
      <c r="E6025" s="208" t="s">
        <v>570</v>
      </c>
      <c r="F6025" t="s">
        <v>10</v>
      </c>
      <c r="G6025" s="18">
        <v>2237</v>
      </c>
      <c r="H6025" t="s">
        <v>24</v>
      </c>
      <c r="I6025" t="s">
        <v>17</v>
      </c>
    </row>
    <row r="6026" spans="1:9" x14ac:dyDescent="0.25">
      <c r="A6026">
        <v>1817</v>
      </c>
      <c r="B6026">
        <f>A6026+1</f>
        <v>1818</v>
      </c>
      <c r="C6026" t="s">
        <v>523</v>
      </c>
      <c r="D6026" t="s">
        <v>26</v>
      </c>
      <c r="E6026" s="208" t="s">
        <v>570</v>
      </c>
      <c r="F6026" t="s">
        <v>164</v>
      </c>
      <c r="G6026" s="18">
        <v>0</v>
      </c>
      <c r="H6026" t="s">
        <v>160</v>
      </c>
      <c r="I6026" t="s">
        <v>17</v>
      </c>
    </row>
    <row r="6027" spans="1:9" x14ac:dyDescent="0.25">
      <c r="A6027">
        <v>1817</v>
      </c>
      <c r="B6027">
        <f>A6027+1</f>
        <v>1818</v>
      </c>
      <c r="C6027" t="s">
        <v>523</v>
      </c>
      <c r="D6027" t="s">
        <v>26</v>
      </c>
      <c r="E6027" s="208" t="s">
        <v>570</v>
      </c>
      <c r="F6027" t="s">
        <v>13</v>
      </c>
      <c r="G6027" s="18">
        <v>0</v>
      </c>
      <c r="H6027" t="s">
        <v>25</v>
      </c>
      <c r="I6027" t="s">
        <v>17</v>
      </c>
    </row>
    <row r="6028" spans="1:9" x14ac:dyDescent="0.25">
      <c r="A6028">
        <v>1817</v>
      </c>
      <c r="B6028">
        <f>A6028+1</f>
        <v>1818</v>
      </c>
      <c r="C6028" t="s">
        <v>523</v>
      </c>
      <c r="D6028" t="s">
        <v>26</v>
      </c>
      <c r="E6028" s="208" t="s">
        <v>570</v>
      </c>
      <c r="F6028" t="s">
        <v>11</v>
      </c>
      <c r="G6028" s="18">
        <v>0</v>
      </c>
      <c r="H6028" t="s">
        <v>23</v>
      </c>
      <c r="I6028" t="s">
        <v>17</v>
      </c>
    </row>
    <row r="6029" spans="1:9" x14ac:dyDescent="0.25">
      <c r="A6029">
        <v>1817</v>
      </c>
      <c r="B6029">
        <f>A6029+1</f>
        <v>1818</v>
      </c>
      <c r="C6029" t="s">
        <v>523</v>
      </c>
      <c r="D6029" t="s">
        <v>26</v>
      </c>
      <c r="E6029" s="208" t="s">
        <v>570</v>
      </c>
      <c r="F6029" t="s">
        <v>14</v>
      </c>
      <c r="G6029" s="18">
        <v>2237</v>
      </c>
      <c r="H6029" s="151" t="s">
        <v>563</v>
      </c>
      <c r="I6029" t="s">
        <v>17</v>
      </c>
    </row>
    <row r="6030" spans="1:9" x14ac:dyDescent="0.25">
      <c r="A6030">
        <v>1817</v>
      </c>
      <c r="B6030">
        <f>A6030+1</f>
        <v>1818</v>
      </c>
      <c r="C6030" t="s">
        <v>523</v>
      </c>
      <c r="D6030" t="s">
        <v>26</v>
      </c>
      <c r="E6030" s="208" t="s">
        <v>570</v>
      </c>
      <c r="F6030" t="s">
        <v>15</v>
      </c>
      <c r="G6030" s="18">
        <v>4121</v>
      </c>
      <c r="H6030" s="151" t="s">
        <v>563</v>
      </c>
      <c r="I6030" t="s">
        <v>561</v>
      </c>
    </row>
    <row r="6031" spans="1:9" x14ac:dyDescent="0.25">
      <c r="A6031">
        <v>1817</v>
      </c>
      <c r="B6031">
        <f>A6031+1</f>
        <v>1818</v>
      </c>
      <c r="C6031" t="s">
        <v>523</v>
      </c>
      <c r="D6031" t="s">
        <v>26</v>
      </c>
      <c r="E6031" s="208" t="s">
        <v>573</v>
      </c>
      <c r="F6031" t="s">
        <v>3</v>
      </c>
      <c r="G6031" s="18">
        <v>116</v>
      </c>
      <c r="H6031" t="s">
        <v>24</v>
      </c>
      <c r="I6031" t="s">
        <v>16</v>
      </c>
    </row>
    <row r="6032" spans="1:9" x14ac:dyDescent="0.25">
      <c r="A6032">
        <v>1817</v>
      </c>
      <c r="B6032">
        <f>A6032+1</f>
        <v>1818</v>
      </c>
      <c r="C6032" t="s">
        <v>523</v>
      </c>
      <c r="D6032" t="s">
        <v>26</v>
      </c>
      <c r="E6032" s="208" t="s">
        <v>573</v>
      </c>
      <c r="F6032" t="s">
        <v>169</v>
      </c>
      <c r="G6032" s="18">
        <v>0</v>
      </c>
      <c r="H6032" t="s">
        <v>160</v>
      </c>
      <c r="I6032" t="s">
        <v>16</v>
      </c>
    </row>
    <row r="6033" spans="1:9" x14ac:dyDescent="0.25">
      <c r="A6033">
        <v>1817</v>
      </c>
      <c r="B6033">
        <f>A6033+1</f>
        <v>1818</v>
      </c>
      <c r="C6033" t="s">
        <v>523</v>
      </c>
      <c r="D6033" t="s">
        <v>26</v>
      </c>
      <c r="E6033" s="208" t="s">
        <v>573</v>
      </c>
      <c r="F6033" t="s">
        <v>6</v>
      </c>
      <c r="G6033" s="18">
        <v>0</v>
      </c>
      <c r="H6033" t="s">
        <v>25</v>
      </c>
      <c r="I6033" t="s">
        <v>16</v>
      </c>
    </row>
    <row r="6034" spans="1:9" x14ac:dyDescent="0.25">
      <c r="A6034">
        <v>1817</v>
      </c>
      <c r="B6034">
        <f>A6034+1</f>
        <v>1818</v>
      </c>
      <c r="C6034" t="s">
        <v>523</v>
      </c>
      <c r="D6034" t="s">
        <v>26</v>
      </c>
      <c r="E6034" s="208" t="s">
        <v>573</v>
      </c>
      <c r="F6034" t="s">
        <v>4</v>
      </c>
      <c r="G6034" s="18">
        <v>0</v>
      </c>
      <c r="H6034" t="s">
        <v>23</v>
      </c>
      <c r="I6034" t="s">
        <v>16</v>
      </c>
    </row>
    <row r="6035" spans="1:9" x14ac:dyDescent="0.25">
      <c r="A6035">
        <v>1817</v>
      </c>
      <c r="B6035">
        <f>A6035+1</f>
        <v>1818</v>
      </c>
      <c r="C6035" t="s">
        <v>523</v>
      </c>
      <c r="D6035" t="s">
        <v>26</v>
      </c>
      <c r="E6035" s="208" t="s">
        <v>573</v>
      </c>
      <c r="F6035" t="s">
        <v>7</v>
      </c>
      <c r="G6035" s="18">
        <v>116</v>
      </c>
      <c r="H6035" s="151" t="s">
        <v>563</v>
      </c>
      <c r="I6035" t="s">
        <v>16</v>
      </c>
    </row>
    <row r="6036" spans="1:9" x14ac:dyDescent="0.25">
      <c r="A6036">
        <v>1817</v>
      </c>
      <c r="B6036">
        <f>A6036+1</f>
        <v>1818</v>
      </c>
      <c r="C6036" t="s">
        <v>523</v>
      </c>
      <c r="D6036" t="s">
        <v>26</v>
      </c>
      <c r="E6036" s="208" t="s">
        <v>573</v>
      </c>
      <c r="F6036" t="s">
        <v>10</v>
      </c>
      <c r="G6036" s="18">
        <v>228</v>
      </c>
      <c r="H6036" t="s">
        <v>24</v>
      </c>
      <c r="I6036" t="s">
        <v>17</v>
      </c>
    </row>
    <row r="6037" spans="1:9" x14ac:dyDescent="0.25">
      <c r="A6037">
        <v>1817</v>
      </c>
      <c r="B6037">
        <f>A6037+1</f>
        <v>1818</v>
      </c>
      <c r="C6037" t="s">
        <v>523</v>
      </c>
      <c r="D6037" t="s">
        <v>26</v>
      </c>
      <c r="E6037" s="208" t="s">
        <v>573</v>
      </c>
      <c r="F6037" t="s">
        <v>164</v>
      </c>
      <c r="G6037" s="18">
        <v>0</v>
      </c>
      <c r="H6037" t="s">
        <v>160</v>
      </c>
      <c r="I6037" t="s">
        <v>17</v>
      </c>
    </row>
    <row r="6038" spans="1:9" x14ac:dyDescent="0.25">
      <c r="A6038">
        <v>1817</v>
      </c>
      <c r="B6038">
        <f>A6038+1</f>
        <v>1818</v>
      </c>
      <c r="C6038" t="s">
        <v>523</v>
      </c>
      <c r="D6038" t="s">
        <v>26</v>
      </c>
      <c r="E6038" s="208" t="s">
        <v>573</v>
      </c>
      <c r="F6038" t="s">
        <v>13</v>
      </c>
      <c r="G6038" s="18">
        <v>0</v>
      </c>
      <c r="H6038" t="s">
        <v>25</v>
      </c>
      <c r="I6038" t="s">
        <v>17</v>
      </c>
    </row>
    <row r="6039" spans="1:9" x14ac:dyDescent="0.25">
      <c r="A6039">
        <v>1817</v>
      </c>
      <c r="B6039">
        <f>A6039+1</f>
        <v>1818</v>
      </c>
      <c r="C6039" t="s">
        <v>523</v>
      </c>
      <c r="D6039" t="s">
        <v>26</v>
      </c>
      <c r="E6039" s="208" t="s">
        <v>573</v>
      </c>
      <c r="F6039" t="s">
        <v>11</v>
      </c>
      <c r="G6039" s="18">
        <v>0</v>
      </c>
      <c r="H6039" t="s">
        <v>23</v>
      </c>
      <c r="I6039" t="s">
        <v>17</v>
      </c>
    </row>
    <row r="6040" spans="1:9" x14ac:dyDescent="0.25">
      <c r="A6040">
        <v>1817</v>
      </c>
      <c r="B6040">
        <f>A6040+1</f>
        <v>1818</v>
      </c>
      <c r="C6040" t="s">
        <v>523</v>
      </c>
      <c r="D6040" t="s">
        <v>26</v>
      </c>
      <c r="E6040" s="208" t="s">
        <v>573</v>
      </c>
      <c r="F6040" t="s">
        <v>14</v>
      </c>
      <c r="G6040" s="18">
        <v>228</v>
      </c>
      <c r="H6040" s="151" t="s">
        <v>563</v>
      </c>
      <c r="I6040" t="s">
        <v>17</v>
      </c>
    </row>
    <row r="6041" spans="1:9" x14ac:dyDescent="0.25">
      <c r="A6041">
        <v>1817</v>
      </c>
      <c r="B6041">
        <f>A6041+1</f>
        <v>1818</v>
      </c>
      <c r="C6041" t="s">
        <v>523</v>
      </c>
      <c r="D6041" t="s">
        <v>26</v>
      </c>
      <c r="E6041" s="208" t="s">
        <v>573</v>
      </c>
      <c r="F6041" t="s">
        <v>15</v>
      </c>
      <c r="G6041" s="18">
        <v>344</v>
      </c>
      <c r="H6041" s="151" t="s">
        <v>563</v>
      </c>
      <c r="I6041" t="s">
        <v>561</v>
      </c>
    </row>
    <row r="6042" spans="1:9" x14ac:dyDescent="0.25">
      <c r="A6042">
        <v>1817</v>
      </c>
      <c r="B6042">
        <f>A6042+1</f>
        <v>1818</v>
      </c>
      <c r="C6042" t="s">
        <v>523</v>
      </c>
      <c r="D6042" t="s">
        <v>27</v>
      </c>
      <c r="E6042" s="208" t="s">
        <v>155</v>
      </c>
      <c r="F6042" t="s">
        <v>3</v>
      </c>
      <c r="G6042" s="18">
        <v>258</v>
      </c>
      <c r="H6042" t="s">
        <v>16</v>
      </c>
      <c r="I6042" t="s">
        <v>24</v>
      </c>
    </row>
    <row r="6043" spans="1:9" x14ac:dyDescent="0.25">
      <c r="A6043">
        <v>1817</v>
      </c>
      <c r="B6043">
        <f>A6043+1</f>
        <v>1818</v>
      </c>
      <c r="C6043" t="s">
        <v>523</v>
      </c>
      <c r="D6043" t="s">
        <v>27</v>
      </c>
      <c r="E6043" s="208" t="s">
        <v>156</v>
      </c>
      <c r="F6043" t="s">
        <v>3</v>
      </c>
      <c r="G6043" s="18">
        <v>74</v>
      </c>
      <c r="H6043" t="s">
        <v>16</v>
      </c>
      <c r="I6043" t="s">
        <v>24</v>
      </c>
    </row>
    <row r="6044" spans="1:9" x14ac:dyDescent="0.25">
      <c r="A6044">
        <v>1817</v>
      </c>
      <c r="B6044">
        <f>A6044+1</f>
        <v>1818</v>
      </c>
      <c r="C6044" t="s">
        <v>523</v>
      </c>
      <c r="D6044" t="s">
        <v>27</v>
      </c>
      <c r="E6044" s="208" t="s">
        <v>154</v>
      </c>
      <c r="F6044" t="s">
        <v>3</v>
      </c>
      <c r="G6044" s="18">
        <v>705</v>
      </c>
      <c r="H6044" t="s">
        <v>16</v>
      </c>
      <c r="I6044" t="s">
        <v>24</v>
      </c>
    </row>
    <row r="6045" spans="1:9" x14ac:dyDescent="0.25">
      <c r="A6045">
        <v>1817</v>
      </c>
      <c r="B6045">
        <f>A6045+1</f>
        <v>1818</v>
      </c>
      <c r="C6045" t="s">
        <v>523</v>
      </c>
      <c r="D6045" t="s">
        <v>27</v>
      </c>
      <c r="E6045" s="208" t="s">
        <v>150</v>
      </c>
      <c r="F6045" t="s">
        <v>3</v>
      </c>
      <c r="G6045" s="18">
        <v>2804</v>
      </c>
      <c r="H6045" t="s">
        <v>16</v>
      </c>
      <c r="I6045" t="s">
        <v>24</v>
      </c>
    </row>
    <row r="6046" spans="1:9" x14ac:dyDescent="0.25">
      <c r="A6046">
        <v>1817</v>
      </c>
      <c r="B6046">
        <f>A6046+1</f>
        <v>1818</v>
      </c>
      <c r="C6046" t="s">
        <v>523</v>
      </c>
      <c r="D6046" t="s">
        <v>27</v>
      </c>
      <c r="E6046" s="208" t="s">
        <v>148</v>
      </c>
      <c r="F6046" t="s">
        <v>3</v>
      </c>
      <c r="G6046" s="18">
        <v>112</v>
      </c>
      <c r="H6046" t="s">
        <v>16</v>
      </c>
      <c r="I6046" t="s">
        <v>24</v>
      </c>
    </row>
    <row r="6047" spans="1:9" x14ac:dyDescent="0.25">
      <c r="A6047">
        <v>1817</v>
      </c>
      <c r="B6047">
        <f>A6047+1</f>
        <v>1818</v>
      </c>
      <c r="C6047" t="s">
        <v>523</v>
      </c>
      <c r="D6047" t="s">
        <v>27</v>
      </c>
      <c r="E6047" s="208" t="s">
        <v>147</v>
      </c>
      <c r="F6047" t="s">
        <v>3</v>
      </c>
      <c r="G6047" s="18">
        <v>0</v>
      </c>
      <c r="H6047" t="s">
        <v>16</v>
      </c>
      <c r="I6047" t="s">
        <v>24</v>
      </c>
    </row>
    <row r="6048" spans="1:9" x14ac:dyDescent="0.25">
      <c r="A6048">
        <v>1817</v>
      </c>
      <c r="B6048">
        <f>A6048+1</f>
        <v>1818</v>
      </c>
      <c r="C6048" t="s">
        <v>523</v>
      </c>
      <c r="D6048" t="s">
        <v>27</v>
      </c>
      <c r="E6048" s="208" t="s">
        <v>314</v>
      </c>
      <c r="F6048" t="s">
        <v>3</v>
      </c>
      <c r="G6048" s="18">
        <v>21</v>
      </c>
      <c r="H6048" t="s">
        <v>16</v>
      </c>
      <c r="I6048" t="s">
        <v>24</v>
      </c>
    </row>
    <row r="6049" spans="1:9" x14ac:dyDescent="0.25">
      <c r="A6049">
        <v>1817</v>
      </c>
      <c r="B6049">
        <f>A6049+1</f>
        <v>1818</v>
      </c>
      <c r="C6049" t="s">
        <v>523</v>
      </c>
      <c r="D6049" t="s">
        <v>27</v>
      </c>
      <c r="E6049" s="208" t="s">
        <v>139</v>
      </c>
      <c r="F6049" t="s">
        <v>3</v>
      </c>
      <c r="G6049" s="18">
        <v>21</v>
      </c>
      <c r="H6049" t="s">
        <v>16</v>
      </c>
      <c r="I6049" t="s">
        <v>24</v>
      </c>
    </row>
    <row r="6050" spans="1:9" x14ac:dyDescent="0.25">
      <c r="A6050">
        <v>1817</v>
      </c>
      <c r="B6050">
        <f>A6050+1</f>
        <v>1818</v>
      </c>
      <c r="C6050" t="s">
        <v>523</v>
      </c>
      <c r="D6050" t="s">
        <v>27</v>
      </c>
      <c r="E6050" s="208" t="s">
        <v>132</v>
      </c>
      <c r="F6050" t="s">
        <v>3</v>
      </c>
      <c r="G6050" s="18">
        <v>15</v>
      </c>
      <c r="H6050" t="s">
        <v>16</v>
      </c>
      <c r="I6050" t="s">
        <v>24</v>
      </c>
    </row>
    <row r="6051" spans="1:9" x14ac:dyDescent="0.25">
      <c r="A6051">
        <v>1817</v>
      </c>
      <c r="B6051">
        <f>A6051+1</f>
        <v>1818</v>
      </c>
      <c r="C6051" t="s">
        <v>523</v>
      </c>
      <c r="D6051" t="s">
        <v>27</v>
      </c>
      <c r="E6051" s="208" t="s">
        <v>130</v>
      </c>
      <c r="F6051" t="s">
        <v>3</v>
      </c>
      <c r="G6051" s="18">
        <v>10</v>
      </c>
      <c r="H6051" t="s">
        <v>16</v>
      </c>
      <c r="I6051" t="s">
        <v>24</v>
      </c>
    </row>
    <row r="6052" spans="1:9" x14ac:dyDescent="0.25">
      <c r="A6052">
        <v>1817</v>
      </c>
      <c r="B6052">
        <f>A6052+1</f>
        <v>1818</v>
      </c>
      <c r="C6052" t="s">
        <v>523</v>
      </c>
      <c r="D6052" t="s">
        <v>27</v>
      </c>
      <c r="E6052" s="208" t="s">
        <v>144</v>
      </c>
      <c r="F6052" t="s">
        <v>3</v>
      </c>
      <c r="G6052" s="18">
        <v>13</v>
      </c>
      <c r="H6052" t="s">
        <v>16</v>
      </c>
      <c r="I6052" t="s">
        <v>24</v>
      </c>
    </row>
    <row r="6053" spans="1:9" x14ac:dyDescent="0.25">
      <c r="A6053">
        <v>1817</v>
      </c>
      <c r="B6053">
        <f>A6053+1</f>
        <v>1818</v>
      </c>
      <c r="C6053" t="s">
        <v>523</v>
      </c>
      <c r="D6053" t="s">
        <v>27</v>
      </c>
      <c r="E6053" s="208" t="s">
        <v>142</v>
      </c>
      <c r="F6053" t="s">
        <v>3</v>
      </c>
      <c r="G6053" s="18">
        <v>66</v>
      </c>
      <c r="H6053" t="s">
        <v>16</v>
      </c>
      <c r="I6053" t="s">
        <v>24</v>
      </c>
    </row>
    <row r="6054" spans="1:9" x14ac:dyDescent="0.25">
      <c r="A6054">
        <v>1817</v>
      </c>
      <c r="B6054">
        <f>A6054+1</f>
        <v>1818</v>
      </c>
      <c r="C6054" t="s">
        <v>523</v>
      </c>
      <c r="D6054" t="s">
        <v>27</v>
      </c>
      <c r="E6054" s="208" t="s">
        <v>124</v>
      </c>
      <c r="F6054" t="s">
        <v>3</v>
      </c>
      <c r="G6054" s="18">
        <v>215428</v>
      </c>
      <c r="H6054" t="s">
        <v>16</v>
      </c>
      <c r="I6054" t="s">
        <v>24</v>
      </c>
    </row>
    <row r="6055" spans="1:9" x14ac:dyDescent="0.25">
      <c r="A6055">
        <v>1817</v>
      </c>
      <c r="B6055">
        <f>A6055+1</f>
        <v>1818</v>
      </c>
      <c r="C6055" t="s">
        <v>523</v>
      </c>
      <c r="D6055" t="s">
        <v>26</v>
      </c>
      <c r="E6055" s="208" t="s">
        <v>62</v>
      </c>
      <c r="F6055" t="s">
        <v>3</v>
      </c>
      <c r="G6055" s="18">
        <v>1289</v>
      </c>
      <c r="H6055" t="s">
        <v>24</v>
      </c>
      <c r="I6055" t="s">
        <v>16</v>
      </c>
    </row>
    <row r="6056" spans="1:9" x14ac:dyDescent="0.25">
      <c r="A6056">
        <v>1817</v>
      </c>
      <c r="B6056">
        <f>A6056+1</f>
        <v>1818</v>
      </c>
      <c r="C6056" t="s">
        <v>523</v>
      </c>
      <c r="D6056" t="s">
        <v>26</v>
      </c>
      <c r="E6056" s="208" t="s">
        <v>36</v>
      </c>
      <c r="F6056" t="s">
        <v>3</v>
      </c>
      <c r="G6056" s="18">
        <v>32</v>
      </c>
      <c r="H6056" t="s">
        <v>24</v>
      </c>
      <c r="I6056" t="s">
        <v>16</v>
      </c>
    </row>
    <row r="6057" spans="1:9" x14ac:dyDescent="0.25">
      <c r="A6057">
        <v>1817</v>
      </c>
      <c r="B6057">
        <f>A6057+1</f>
        <v>1818</v>
      </c>
      <c r="C6057" t="s">
        <v>523</v>
      </c>
      <c r="D6057" t="s">
        <v>26</v>
      </c>
      <c r="E6057" s="208" t="s">
        <v>35</v>
      </c>
      <c r="F6057" t="s">
        <v>3</v>
      </c>
      <c r="G6057" s="18">
        <v>62</v>
      </c>
      <c r="H6057" t="s">
        <v>24</v>
      </c>
      <c r="I6057" t="s">
        <v>16</v>
      </c>
    </row>
    <row r="6058" spans="1:9" x14ac:dyDescent="0.25">
      <c r="A6058">
        <v>1817</v>
      </c>
      <c r="B6058">
        <f>A6058+1</f>
        <v>1818</v>
      </c>
      <c r="C6058" t="s">
        <v>523</v>
      </c>
      <c r="D6058" t="s">
        <v>26</v>
      </c>
      <c r="E6058" s="208" t="s">
        <v>39</v>
      </c>
      <c r="F6058" t="s">
        <v>3</v>
      </c>
      <c r="G6058" s="18">
        <v>0</v>
      </c>
      <c r="H6058" t="s">
        <v>24</v>
      </c>
      <c r="I6058" t="s">
        <v>16</v>
      </c>
    </row>
    <row r="6059" spans="1:9" x14ac:dyDescent="0.25">
      <c r="A6059">
        <v>1817</v>
      </c>
      <c r="B6059">
        <f>A6059+1</f>
        <v>1818</v>
      </c>
      <c r="C6059" t="s">
        <v>523</v>
      </c>
      <c r="D6059" t="s">
        <v>26</v>
      </c>
      <c r="E6059" s="208" t="s">
        <v>99</v>
      </c>
      <c r="F6059" t="s">
        <v>3</v>
      </c>
      <c r="G6059" s="18">
        <v>26</v>
      </c>
      <c r="H6059" t="s">
        <v>24</v>
      </c>
      <c r="I6059" t="s">
        <v>16</v>
      </c>
    </row>
    <row r="6060" spans="1:9" x14ac:dyDescent="0.25">
      <c r="A6060">
        <v>1817</v>
      </c>
      <c r="B6060">
        <f>A6060+1</f>
        <v>1818</v>
      </c>
      <c r="C6060" t="s">
        <v>523</v>
      </c>
      <c r="D6060" t="s">
        <v>26</v>
      </c>
      <c r="E6060" s="208" t="s">
        <v>95</v>
      </c>
      <c r="F6060" t="s">
        <v>3</v>
      </c>
      <c r="G6060" s="18">
        <v>0</v>
      </c>
      <c r="H6060" t="s">
        <v>24</v>
      </c>
      <c r="I6060" t="s">
        <v>16</v>
      </c>
    </row>
    <row r="6061" spans="1:9" x14ac:dyDescent="0.25">
      <c r="A6061">
        <v>1817</v>
      </c>
      <c r="B6061">
        <f>A6061+1</f>
        <v>1818</v>
      </c>
      <c r="C6061" t="s">
        <v>523</v>
      </c>
      <c r="D6061" t="s">
        <v>26</v>
      </c>
      <c r="E6061" s="208" t="s">
        <v>94</v>
      </c>
      <c r="F6061" t="s">
        <v>3</v>
      </c>
      <c r="G6061" s="18">
        <v>0</v>
      </c>
      <c r="H6061" t="s">
        <v>24</v>
      </c>
      <c r="I6061" t="s">
        <v>16</v>
      </c>
    </row>
    <row r="6062" spans="1:9" x14ac:dyDescent="0.25">
      <c r="A6062">
        <v>1817</v>
      </c>
      <c r="B6062">
        <f>A6062+1</f>
        <v>1818</v>
      </c>
      <c r="C6062" t="s">
        <v>523</v>
      </c>
      <c r="D6062" t="s">
        <v>26</v>
      </c>
      <c r="E6062" s="208" t="s">
        <v>386</v>
      </c>
      <c r="F6062" t="s">
        <v>3</v>
      </c>
      <c r="G6062" s="18">
        <v>80</v>
      </c>
      <c r="H6062" t="s">
        <v>24</v>
      </c>
      <c r="I6062" t="s">
        <v>16</v>
      </c>
    </row>
    <row r="6063" spans="1:9" x14ac:dyDescent="0.25">
      <c r="A6063">
        <v>1817</v>
      </c>
      <c r="B6063">
        <f>A6063+1</f>
        <v>1818</v>
      </c>
      <c r="C6063" t="s">
        <v>523</v>
      </c>
      <c r="D6063" t="s">
        <v>26</v>
      </c>
      <c r="E6063" s="208" t="s">
        <v>387</v>
      </c>
      <c r="F6063" t="s">
        <v>3</v>
      </c>
      <c r="G6063" s="18">
        <v>26</v>
      </c>
      <c r="H6063" t="s">
        <v>24</v>
      </c>
      <c r="I6063" t="s">
        <v>16</v>
      </c>
    </row>
    <row r="6064" spans="1:9" x14ac:dyDescent="0.25">
      <c r="A6064">
        <v>1817</v>
      </c>
      <c r="B6064">
        <f>A6064+1</f>
        <v>1818</v>
      </c>
      <c r="C6064" t="s">
        <v>523</v>
      </c>
      <c r="D6064" t="s">
        <v>26</v>
      </c>
      <c r="E6064" s="208" t="s">
        <v>388</v>
      </c>
      <c r="F6064" t="s">
        <v>3</v>
      </c>
      <c r="G6064" s="18">
        <v>0</v>
      </c>
      <c r="H6064" t="s">
        <v>24</v>
      </c>
      <c r="I6064" t="s">
        <v>16</v>
      </c>
    </row>
    <row r="6065" spans="1:9" x14ac:dyDescent="0.25">
      <c r="A6065">
        <v>1817</v>
      </c>
      <c r="B6065">
        <f>A6065+1</f>
        <v>1818</v>
      </c>
      <c r="C6065" t="s">
        <v>523</v>
      </c>
      <c r="D6065" t="s">
        <v>26</v>
      </c>
      <c r="E6065" s="208" t="s">
        <v>85</v>
      </c>
      <c r="F6065" t="s">
        <v>3</v>
      </c>
      <c r="G6065" s="18">
        <v>0</v>
      </c>
      <c r="H6065" t="s">
        <v>24</v>
      </c>
      <c r="I6065" t="s">
        <v>16</v>
      </c>
    </row>
    <row r="6066" spans="1:9" x14ac:dyDescent="0.25">
      <c r="A6066">
        <v>1817</v>
      </c>
      <c r="B6066">
        <f>A6066+1</f>
        <v>1818</v>
      </c>
      <c r="C6066" t="s">
        <v>523</v>
      </c>
      <c r="D6066" t="s">
        <v>26</v>
      </c>
      <c r="E6066" s="208" t="s">
        <v>398</v>
      </c>
      <c r="F6066" t="s">
        <v>3</v>
      </c>
      <c r="G6066" s="18">
        <v>0</v>
      </c>
      <c r="H6066" t="s">
        <v>24</v>
      </c>
      <c r="I6066" t="s">
        <v>16</v>
      </c>
    </row>
    <row r="6067" spans="1:9" x14ac:dyDescent="0.25">
      <c r="A6067">
        <v>1817</v>
      </c>
      <c r="B6067">
        <f>A6067+1</f>
        <v>1818</v>
      </c>
      <c r="C6067" t="s">
        <v>523</v>
      </c>
      <c r="D6067" t="s">
        <v>26</v>
      </c>
      <c r="E6067" s="208" t="s">
        <v>107</v>
      </c>
      <c r="F6067" t="s">
        <v>3</v>
      </c>
      <c r="G6067" s="18">
        <v>179862</v>
      </c>
      <c r="H6067" t="s">
        <v>24</v>
      </c>
      <c r="I6067" t="s">
        <v>16</v>
      </c>
    </row>
    <row r="6068" spans="1:9" x14ac:dyDescent="0.25">
      <c r="A6068">
        <v>1817</v>
      </c>
      <c r="B6068">
        <f>A6068+1</f>
        <v>1818</v>
      </c>
      <c r="C6068" t="s">
        <v>523</v>
      </c>
      <c r="D6068" t="s">
        <v>26</v>
      </c>
      <c r="E6068" s="208" t="s">
        <v>101</v>
      </c>
      <c r="F6068" t="s">
        <v>3</v>
      </c>
      <c r="G6068" s="18">
        <v>519057</v>
      </c>
      <c r="H6068" t="s">
        <v>24</v>
      </c>
      <c r="I6068" t="s">
        <v>16</v>
      </c>
    </row>
    <row r="6069" spans="1:9" x14ac:dyDescent="0.25">
      <c r="A6069">
        <v>1817</v>
      </c>
      <c r="B6069">
        <f>A6069+1</f>
        <v>1818</v>
      </c>
      <c r="C6069" t="s">
        <v>523</v>
      </c>
      <c r="D6069" t="s">
        <v>26</v>
      </c>
      <c r="E6069" s="208" t="s">
        <v>75</v>
      </c>
      <c r="F6069" t="s">
        <v>3</v>
      </c>
      <c r="G6069" s="18">
        <v>1406376</v>
      </c>
      <c r="H6069" t="s">
        <v>24</v>
      </c>
      <c r="I6069" t="s">
        <v>16</v>
      </c>
    </row>
    <row r="6070" spans="1:9" x14ac:dyDescent="0.25">
      <c r="A6070">
        <v>1817</v>
      </c>
      <c r="B6070">
        <f>A6070+1</f>
        <v>1818</v>
      </c>
      <c r="C6070" t="s">
        <v>523</v>
      </c>
      <c r="D6070" t="s">
        <v>26</v>
      </c>
      <c r="E6070" s="208" t="s">
        <v>330</v>
      </c>
      <c r="F6070" t="s">
        <v>3</v>
      </c>
      <c r="G6070" s="18">
        <v>0</v>
      </c>
      <c r="H6070" t="s">
        <v>24</v>
      </c>
      <c r="I6070" t="s">
        <v>16</v>
      </c>
    </row>
    <row r="6071" spans="1:9" x14ac:dyDescent="0.25">
      <c r="A6071">
        <v>1817</v>
      </c>
      <c r="B6071">
        <f>A6071+1</f>
        <v>1818</v>
      </c>
      <c r="C6071" t="s">
        <v>523</v>
      </c>
      <c r="D6071" t="s">
        <v>26</v>
      </c>
      <c r="E6071" s="208" t="s">
        <v>331</v>
      </c>
      <c r="F6071" t="s">
        <v>3</v>
      </c>
      <c r="G6071" s="18">
        <v>0</v>
      </c>
      <c r="H6071" t="s">
        <v>24</v>
      </c>
      <c r="I6071" t="s">
        <v>16</v>
      </c>
    </row>
    <row r="6072" spans="1:9" x14ac:dyDescent="0.25">
      <c r="A6072">
        <v>1817</v>
      </c>
      <c r="B6072">
        <f>A6072+1</f>
        <v>1818</v>
      </c>
      <c r="C6072" t="s">
        <v>523</v>
      </c>
      <c r="D6072" t="s">
        <v>26</v>
      </c>
      <c r="E6072" s="208" t="s">
        <v>332</v>
      </c>
      <c r="F6072" t="s">
        <v>3</v>
      </c>
      <c r="G6072" s="18">
        <v>0</v>
      </c>
      <c r="H6072" t="s">
        <v>24</v>
      </c>
      <c r="I6072" t="s">
        <v>16</v>
      </c>
    </row>
    <row r="6073" spans="1:9" x14ac:dyDescent="0.25">
      <c r="A6073">
        <v>1817</v>
      </c>
      <c r="B6073">
        <f>A6073+1</f>
        <v>1818</v>
      </c>
      <c r="C6073" t="s">
        <v>523</v>
      </c>
      <c r="D6073" t="s">
        <v>26</v>
      </c>
      <c r="E6073" s="208" t="s">
        <v>333</v>
      </c>
      <c r="F6073" t="s">
        <v>3</v>
      </c>
      <c r="G6073" s="18">
        <v>0</v>
      </c>
      <c r="H6073" t="s">
        <v>24</v>
      </c>
      <c r="I6073" t="s">
        <v>16</v>
      </c>
    </row>
    <row r="6074" spans="1:9" x14ac:dyDescent="0.25">
      <c r="A6074">
        <v>1817</v>
      </c>
      <c r="B6074">
        <f>A6074+1</f>
        <v>1818</v>
      </c>
      <c r="C6074" t="s">
        <v>523</v>
      </c>
      <c r="D6074" t="s">
        <v>27</v>
      </c>
      <c r="E6074" s="208" t="s">
        <v>155</v>
      </c>
      <c r="F6074" t="s">
        <v>0</v>
      </c>
      <c r="G6074" s="18">
        <v>24267</v>
      </c>
      <c r="H6074" t="s">
        <v>16</v>
      </c>
      <c r="I6074" t="s">
        <v>18</v>
      </c>
    </row>
    <row r="6075" spans="1:9" x14ac:dyDescent="0.25">
      <c r="A6075">
        <v>1817</v>
      </c>
      <c r="B6075">
        <f>A6075+1</f>
        <v>1818</v>
      </c>
      <c r="C6075" t="s">
        <v>523</v>
      </c>
      <c r="D6075" t="s">
        <v>27</v>
      </c>
      <c r="E6075" s="208" t="s">
        <v>156</v>
      </c>
      <c r="F6075" t="s">
        <v>0</v>
      </c>
      <c r="G6075" s="18">
        <v>2100</v>
      </c>
      <c r="H6075" t="s">
        <v>16</v>
      </c>
      <c r="I6075" t="s">
        <v>18</v>
      </c>
    </row>
    <row r="6076" spans="1:9" x14ac:dyDescent="0.25">
      <c r="A6076">
        <v>1817</v>
      </c>
      <c r="B6076">
        <f>A6076+1</f>
        <v>1818</v>
      </c>
      <c r="C6076" t="s">
        <v>523</v>
      </c>
      <c r="D6076" t="s">
        <v>27</v>
      </c>
      <c r="E6076" s="208" t="s">
        <v>154</v>
      </c>
      <c r="F6076" t="s">
        <v>0</v>
      </c>
      <c r="G6076" s="18">
        <v>625</v>
      </c>
      <c r="H6076" t="s">
        <v>16</v>
      </c>
      <c r="I6076" t="s">
        <v>18</v>
      </c>
    </row>
    <row r="6077" spans="1:9" x14ac:dyDescent="0.25">
      <c r="A6077">
        <v>1817</v>
      </c>
      <c r="B6077">
        <f>A6077+1</f>
        <v>1818</v>
      </c>
      <c r="C6077" t="s">
        <v>523</v>
      </c>
      <c r="D6077" t="s">
        <v>27</v>
      </c>
      <c r="E6077" s="208" t="s">
        <v>150</v>
      </c>
      <c r="F6077" t="s">
        <v>0</v>
      </c>
      <c r="G6077" s="18">
        <v>4358</v>
      </c>
      <c r="H6077" t="s">
        <v>16</v>
      </c>
      <c r="I6077" t="s">
        <v>18</v>
      </c>
    </row>
    <row r="6078" spans="1:9" x14ac:dyDescent="0.25">
      <c r="A6078">
        <v>1817</v>
      </c>
      <c r="B6078">
        <f>A6078+1</f>
        <v>1818</v>
      </c>
      <c r="C6078" t="s">
        <v>523</v>
      </c>
      <c r="D6078" t="s">
        <v>27</v>
      </c>
      <c r="E6078" s="208" t="s">
        <v>148</v>
      </c>
      <c r="F6078" t="s">
        <v>0</v>
      </c>
      <c r="G6078" s="18">
        <v>257</v>
      </c>
      <c r="H6078" t="s">
        <v>16</v>
      </c>
      <c r="I6078" t="s">
        <v>18</v>
      </c>
    </row>
    <row r="6079" spans="1:9" x14ac:dyDescent="0.25">
      <c r="A6079">
        <v>1817</v>
      </c>
      <c r="B6079">
        <f>A6079+1</f>
        <v>1818</v>
      </c>
      <c r="C6079" t="s">
        <v>523</v>
      </c>
      <c r="D6079" t="s">
        <v>27</v>
      </c>
      <c r="E6079" s="208" t="s">
        <v>147</v>
      </c>
      <c r="F6079" t="s">
        <v>0</v>
      </c>
      <c r="G6079" s="18">
        <v>0</v>
      </c>
      <c r="H6079" t="s">
        <v>16</v>
      </c>
      <c r="I6079" t="s">
        <v>18</v>
      </c>
    </row>
    <row r="6080" spans="1:9" x14ac:dyDescent="0.25">
      <c r="A6080">
        <v>1817</v>
      </c>
      <c r="B6080">
        <f>A6080+1</f>
        <v>1818</v>
      </c>
      <c r="C6080" t="s">
        <v>523</v>
      </c>
      <c r="D6080" t="s">
        <v>27</v>
      </c>
      <c r="E6080" s="208" t="s">
        <v>314</v>
      </c>
      <c r="F6080" t="s">
        <v>0</v>
      </c>
      <c r="G6080" s="18">
        <v>0</v>
      </c>
      <c r="H6080" t="s">
        <v>16</v>
      </c>
      <c r="I6080" t="s">
        <v>18</v>
      </c>
    </row>
    <row r="6081" spans="1:9" x14ac:dyDescent="0.25">
      <c r="A6081">
        <v>1817</v>
      </c>
      <c r="B6081">
        <f>A6081+1</f>
        <v>1818</v>
      </c>
      <c r="C6081" t="s">
        <v>523</v>
      </c>
      <c r="D6081" t="s">
        <v>27</v>
      </c>
      <c r="E6081" s="208" t="s">
        <v>139</v>
      </c>
      <c r="F6081" t="s">
        <v>0</v>
      </c>
      <c r="G6081" s="18">
        <v>0</v>
      </c>
      <c r="H6081" t="s">
        <v>16</v>
      </c>
      <c r="I6081" t="s">
        <v>18</v>
      </c>
    </row>
    <row r="6082" spans="1:9" x14ac:dyDescent="0.25">
      <c r="A6082">
        <v>1817</v>
      </c>
      <c r="B6082">
        <f>A6082+1</f>
        <v>1818</v>
      </c>
      <c r="C6082" t="s">
        <v>523</v>
      </c>
      <c r="D6082" t="s">
        <v>27</v>
      </c>
      <c r="E6082" s="208" t="s">
        <v>132</v>
      </c>
      <c r="F6082" t="s">
        <v>0</v>
      </c>
      <c r="G6082" s="18">
        <v>1053</v>
      </c>
      <c r="H6082" t="s">
        <v>16</v>
      </c>
      <c r="I6082" t="s">
        <v>18</v>
      </c>
    </row>
    <row r="6083" spans="1:9" x14ac:dyDescent="0.25">
      <c r="A6083">
        <v>1817</v>
      </c>
      <c r="B6083">
        <f>A6083+1</f>
        <v>1818</v>
      </c>
      <c r="C6083" t="s">
        <v>523</v>
      </c>
      <c r="D6083" t="s">
        <v>27</v>
      </c>
      <c r="E6083" s="208" t="s">
        <v>130</v>
      </c>
      <c r="F6083" t="s">
        <v>0</v>
      </c>
      <c r="G6083" s="18">
        <v>87</v>
      </c>
      <c r="H6083" t="s">
        <v>16</v>
      </c>
      <c r="I6083" t="s">
        <v>18</v>
      </c>
    </row>
    <row r="6084" spans="1:9" x14ac:dyDescent="0.25">
      <c r="A6084">
        <v>1817</v>
      </c>
      <c r="B6084">
        <f>A6084+1</f>
        <v>1818</v>
      </c>
      <c r="C6084" t="s">
        <v>523</v>
      </c>
      <c r="D6084" t="s">
        <v>27</v>
      </c>
      <c r="E6084" s="208" t="s">
        <v>144</v>
      </c>
      <c r="F6084" t="s">
        <v>0</v>
      </c>
      <c r="G6084" s="18">
        <v>510</v>
      </c>
      <c r="H6084" t="s">
        <v>16</v>
      </c>
      <c r="I6084" t="s">
        <v>18</v>
      </c>
    </row>
    <row r="6085" spans="1:9" x14ac:dyDescent="0.25">
      <c r="A6085">
        <v>1817</v>
      </c>
      <c r="B6085">
        <f>A6085+1</f>
        <v>1818</v>
      </c>
      <c r="C6085" t="s">
        <v>523</v>
      </c>
      <c r="D6085" t="s">
        <v>27</v>
      </c>
      <c r="E6085" s="208" t="s">
        <v>142</v>
      </c>
      <c r="F6085" t="s">
        <v>0</v>
      </c>
      <c r="G6085" s="18">
        <v>2569</v>
      </c>
      <c r="H6085" t="s">
        <v>16</v>
      </c>
      <c r="I6085" t="s">
        <v>18</v>
      </c>
    </row>
    <row r="6086" spans="1:9" x14ac:dyDescent="0.25">
      <c r="A6086">
        <v>1817</v>
      </c>
      <c r="B6086">
        <f>A6086+1</f>
        <v>1818</v>
      </c>
      <c r="C6086" t="s">
        <v>523</v>
      </c>
      <c r="D6086" t="s">
        <v>27</v>
      </c>
      <c r="E6086" s="208" t="s">
        <v>124</v>
      </c>
      <c r="F6086" t="s">
        <v>0</v>
      </c>
      <c r="G6086" s="18">
        <v>10956187</v>
      </c>
      <c r="H6086" t="s">
        <v>16</v>
      </c>
      <c r="I6086" t="s">
        <v>18</v>
      </c>
    </row>
    <row r="6087" spans="1:9" x14ac:dyDescent="0.25">
      <c r="A6087">
        <v>1817</v>
      </c>
      <c r="B6087">
        <f>A6087+1</f>
        <v>1818</v>
      </c>
      <c r="C6087" t="s">
        <v>523</v>
      </c>
      <c r="D6087" t="s">
        <v>26</v>
      </c>
      <c r="E6087" s="208" t="s">
        <v>62</v>
      </c>
      <c r="F6087" t="s">
        <v>169</v>
      </c>
      <c r="G6087" s="18">
        <v>769</v>
      </c>
      <c r="H6087" t="s">
        <v>160</v>
      </c>
      <c r="I6087" t="s">
        <v>16</v>
      </c>
    </row>
    <row r="6088" spans="1:9" x14ac:dyDescent="0.25">
      <c r="A6088">
        <v>1817</v>
      </c>
      <c r="B6088">
        <f>A6088+1</f>
        <v>1818</v>
      </c>
      <c r="C6088" t="s">
        <v>523</v>
      </c>
      <c r="D6088" t="s">
        <v>26</v>
      </c>
      <c r="E6088" s="208" t="s">
        <v>36</v>
      </c>
      <c r="F6088" t="s">
        <v>169</v>
      </c>
      <c r="G6088" s="18">
        <v>380</v>
      </c>
      <c r="H6088" t="s">
        <v>160</v>
      </c>
      <c r="I6088" t="s">
        <v>16</v>
      </c>
    </row>
    <row r="6089" spans="1:9" x14ac:dyDescent="0.25">
      <c r="A6089">
        <v>1817</v>
      </c>
      <c r="B6089">
        <f>A6089+1</f>
        <v>1818</v>
      </c>
      <c r="C6089" t="s">
        <v>523</v>
      </c>
      <c r="D6089" t="s">
        <v>26</v>
      </c>
      <c r="E6089" s="208" t="s">
        <v>35</v>
      </c>
      <c r="F6089" t="s">
        <v>169</v>
      </c>
      <c r="G6089" s="18">
        <v>4245</v>
      </c>
      <c r="H6089" t="s">
        <v>160</v>
      </c>
      <c r="I6089" t="s">
        <v>16</v>
      </c>
    </row>
    <row r="6090" spans="1:9" x14ac:dyDescent="0.25">
      <c r="A6090">
        <v>1817</v>
      </c>
      <c r="B6090">
        <f>A6090+1</f>
        <v>1818</v>
      </c>
      <c r="C6090" t="s">
        <v>523</v>
      </c>
      <c r="D6090" t="s">
        <v>26</v>
      </c>
      <c r="E6090" s="208" t="s">
        <v>39</v>
      </c>
      <c r="F6090" t="s">
        <v>169</v>
      </c>
      <c r="G6090" s="18">
        <v>0</v>
      </c>
      <c r="H6090" t="s">
        <v>160</v>
      </c>
      <c r="I6090" t="s">
        <v>16</v>
      </c>
    </row>
    <row r="6091" spans="1:9" x14ac:dyDescent="0.25">
      <c r="A6091">
        <v>1817</v>
      </c>
      <c r="B6091">
        <f>A6091+1</f>
        <v>1818</v>
      </c>
      <c r="C6091" t="s">
        <v>523</v>
      </c>
      <c r="D6091" t="s">
        <v>26</v>
      </c>
      <c r="E6091" s="208" t="s">
        <v>99</v>
      </c>
      <c r="F6091" t="s">
        <v>169</v>
      </c>
      <c r="G6091" s="18">
        <v>0</v>
      </c>
      <c r="H6091" t="s">
        <v>160</v>
      </c>
      <c r="I6091" t="s">
        <v>16</v>
      </c>
    </row>
    <row r="6092" spans="1:9" x14ac:dyDescent="0.25">
      <c r="A6092">
        <v>1817</v>
      </c>
      <c r="B6092">
        <f>A6092+1</f>
        <v>1818</v>
      </c>
      <c r="C6092" t="s">
        <v>523</v>
      </c>
      <c r="D6092" t="s">
        <v>26</v>
      </c>
      <c r="E6092" s="208" t="s">
        <v>95</v>
      </c>
      <c r="F6092" t="s">
        <v>169</v>
      </c>
      <c r="G6092" s="18">
        <v>0</v>
      </c>
      <c r="H6092" t="s">
        <v>160</v>
      </c>
      <c r="I6092" t="s">
        <v>16</v>
      </c>
    </row>
    <row r="6093" spans="1:9" x14ac:dyDescent="0.25">
      <c r="A6093">
        <v>1817</v>
      </c>
      <c r="B6093">
        <f>A6093+1</f>
        <v>1818</v>
      </c>
      <c r="C6093" t="s">
        <v>523</v>
      </c>
      <c r="D6093" t="s">
        <v>26</v>
      </c>
      <c r="E6093" s="208" t="s">
        <v>94</v>
      </c>
      <c r="F6093" t="s">
        <v>169</v>
      </c>
      <c r="G6093" s="18">
        <v>0</v>
      </c>
      <c r="H6093" t="s">
        <v>160</v>
      </c>
      <c r="I6093" t="s">
        <v>16</v>
      </c>
    </row>
    <row r="6094" spans="1:9" x14ac:dyDescent="0.25">
      <c r="A6094">
        <v>1817</v>
      </c>
      <c r="B6094">
        <f>A6094+1</f>
        <v>1818</v>
      </c>
      <c r="C6094" t="s">
        <v>523</v>
      </c>
      <c r="D6094" t="s">
        <v>26</v>
      </c>
      <c r="E6094" s="208" t="s">
        <v>386</v>
      </c>
      <c r="F6094" t="s">
        <v>169</v>
      </c>
      <c r="G6094" s="18">
        <v>0</v>
      </c>
      <c r="H6094" t="s">
        <v>160</v>
      </c>
      <c r="I6094" t="s">
        <v>16</v>
      </c>
    </row>
    <row r="6095" spans="1:9" x14ac:dyDescent="0.25">
      <c r="A6095">
        <v>1817</v>
      </c>
      <c r="B6095">
        <f>A6095+1</f>
        <v>1818</v>
      </c>
      <c r="C6095" t="s">
        <v>523</v>
      </c>
      <c r="D6095" t="s">
        <v>26</v>
      </c>
      <c r="E6095" s="208" t="s">
        <v>387</v>
      </c>
      <c r="F6095" t="s">
        <v>169</v>
      </c>
      <c r="G6095" s="18">
        <v>0</v>
      </c>
      <c r="H6095" t="s">
        <v>160</v>
      </c>
      <c r="I6095" t="s">
        <v>16</v>
      </c>
    </row>
    <row r="6096" spans="1:9" x14ac:dyDescent="0.25">
      <c r="A6096">
        <v>1817</v>
      </c>
      <c r="B6096">
        <f>A6096+1</f>
        <v>1818</v>
      </c>
      <c r="C6096" t="s">
        <v>523</v>
      </c>
      <c r="D6096" t="s">
        <v>26</v>
      </c>
      <c r="E6096" s="208" t="s">
        <v>388</v>
      </c>
      <c r="F6096" t="s">
        <v>169</v>
      </c>
      <c r="G6096" s="18">
        <v>0</v>
      </c>
      <c r="H6096" t="s">
        <v>160</v>
      </c>
      <c r="I6096" t="s">
        <v>16</v>
      </c>
    </row>
    <row r="6097" spans="1:9" x14ac:dyDescent="0.25">
      <c r="A6097">
        <v>1817</v>
      </c>
      <c r="B6097">
        <f>A6097+1</f>
        <v>1818</v>
      </c>
      <c r="C6097" t="s">
        <v>523</v>
      </c>
      <c r="D6097" t="s">
        <v>26</v>
      </c>
      <c r="E6097" s="208" t="s">
        <v>85</v>
      </c>
      <c r="F6097" t="s">
        <v>169</v>
      </c>
      <c r="G6097" s="18">
        <v>0</v>
      </c>
      <c r="H6097" t="s">
        <v>160</v>
      </c>
      <c r="I6097" t="s">
        <v>16</v>
      </c>
    </row>
    <row r="6098" spans="1:9" x14ac:dyDescent="0.25">
      <c r="A6098">
        <v>1817</v>
      </c>
      <c r="B6098">
        <f>A6098+1</f>
        <v>1818</v>
      </c>
      <c r="C6098" t="s">
        <v>523</v>
      </c>
      <c r="D6098" t="s">
        <v>26</v>
      </c>
      <c r="E6098" s="208" t="s">
        <v>398</v>
      </c>
      <c r="F6098" t="s">
        <v>169</v>
      </c>
      <c r="G6098" s="18">
        <v>0</v>
      </c>
      <c r="H6098" t="s">
        <v>160</v>
      </c>
      <c r="I6098" t="s">
        <v>16</v>
      </c>
    </row>
    <row r="6099" spans="1:9" x14ac:dyDescent="0.25">
      <c r="A6099">
        <v>1817</v>
      </c>
      <c r="B6099">
        <f>A6099+1</f>
        <v>1818</v>
      </c>
      <c r="C6099" t="s">
        <v>523</v>
      </c>
      <c r="D6099" t="s">
        <v>26</v>
      </c>
      <c r="E6099" s="208" t="s">
        <v>107</v>
      </c>
      <c r="F6099" t="s">
        <v>169</v>
      </c>
      <c r="G6099" s="18">
        <v>0</v>
      </c>
      <c r="H6099" t="s">
        <v>160</v>
      </c>
      <c r="I6099" t="s">
        <v>16</v>
      </c>
    </row>
    <row r="6100" spans="1:9" x14ac:dyDescent="0.25">
      <c r="A6100">
        <v>1817</v>
      </c>
      <c r="B6100">
        <f>A6100+1</f>
        <v>1818</v>
      </c>
      <c r="C6100" t="s">
        <v>523</v>
      </c>
      <c r="D6100" t="s">
        <v>26</v>
      </c>
      <c r="E6100" s="208" t="s">
        <v>101</v>
      </c>
      <c r="F6100" t="s">
        <v>169</v>
      </c>
      <c r="G6100" s="18">
        <v>0</v>
      </c>
      <c r="H6100" t="s">
        <v>160</v>
      </c>
      <c r="I6100" t="s">
        <v>16</v>
      </c>
    </row>
    <row r="6101" spans="1:9" x14ac:dyDescent="0.25">
      <c r="A6101">
        <v>1817</v>
      </c>
      <c r="B6101">
        <f>A6101+1</f>
        <v>1818</v>
      </c>
      <c r="C6101" t="s">
        <v>523</v>
      </c>
      <c r="D6101" t="s">
        <v>26</v>
      </c>
      <c r="E6101" s="208" t="s">
        <v>75</v>
      </c>
      <c r="F6101" t="s">
        <v>169</v>
      </c>
      <c r="G6101" s="18">
        <v>0</v>
      </c>
      <c r="H6101" t="s">
        <v>160</v>
      </c>
      <c r="I6101" t="s">
        <v>16</v>
      </c>
    </row>
    <row r="6102" spans="1:9" x14ac:dyDescent="0.25">
      <c r="A6102">
        <v>1817</v>
      </c>
      <c r="B6102">
        <f>A6102+1</f>
        <v>1818</v>
      </c>
      <c r="C6102" t="s">
        <v>523</v>
      </c>
      <c r="D6102" t="s">
        <v>26</v>
      </c>
      <c r="E6102" s="208" t="s">
        <v>330</v>
      </c>
      <c r="F6102" t="s">
        <v>169</v>
      </c>
      <c r="G6102" s="18">
        <v>0</v>
      </c>
      <c r="H6102" t="s">
        <v>160</v>
      </c>
      <c r="I6102" t="s">
        <v>16</v>
      </c>
    </row>
    <row r="6103" spans="1:9" x14ac:dyDescent="0.25">
      <c r="A6103">
        <v>1817</v>
      </c>
      <c r="B6103">
        <f>A6103+1</f>
        <v>1818</v>
      </c>
      <c r="C6103" t="s">
        <v>523</v>
      </c>
      <c r="D6103" t="s">
        <v>26</v>
      </c>
      <c r="E6103" s="208" t="s">
        <v>331</v>
      </c>
      <c r="F6103" t="s">
        <v>169</v>
      </c>
      <c r="G6103" s="18">
        <v>0</v>
      </c>
      <c r="H6103" t="s">
        <v>160</v>
      </c>
      <c r="I6103" t="s">
        <v>16</v>
      </c>
    </row>
    <row r="6104" spans="1:9" x14ac:dyDescent="0.25">
      <c r="A6104">
        <v>1817</v>
      </c>
      <c r="B6104">
        <f>A6104+1</f>
        <v>1818</v>
      </c>
      <c r="C6104" t="s">
        <v>523</v>
      </c>
      <c r="D6104" t="s">
        <v>26</v>
      </c>
      <c r="E6104" s="208" t="s">
        <v>332</v>
      </c>
      <c r="F6104" t="s">
        <v>169</v>
      </c>
      <c r="G6104" s="18">
        <v>0</v>
      </c>
      <c r="H6104" t="s">
        <v>160</v>
      </c>
      <c r="I6104" t="s">
        <v>16</v>
      </c>
    </row>
    <row r="6105" spans="1:9" x14ac:dyDescent="0.25">
      <c r="A6105">
        <v>1817</v>
      </c>
      <c r="B6105">
        <f>A6105+1</f>
        <v>1818</v>
      </c>
      <c r="C6105" t="s">
        <v>523</v>
      </c>
      <c r="D6105" t="s">
        <v>26</v>
      </c>
      <c r="E6105" s="208" t="s">
        <v>333</v>
      </c>
      <c r="F6105" t="s">
        <v>169</v>
      </c>
      <c r="G6105" s="18">
        <v>0</v>
      </c>
      <c r="H6105" t="s">
        <v>160</v>
      </c>
      <c r="I6105" t="s">
        <v>16</v>
      </c>
    </row>
    <row r="6106" spans="1:9" x14ac:dyDescent="0.25">
      <c r="A6106">
        <v>1817</v>
      </c>
      <c r="B6106">
        <f>A6106+1</f>
        <v>1818</v>
      </c>
      <c r="C6106" t="s">
        <v>523</v>
      </c>
      <c r="D6106" t="s">
        <v>27</v>
      </c>
      <c r="E6106" s="208" t="s">
        <v>155</v>
      </c>
      <c r="F6106" t="s">
        <v>1</v>
      </c>
      <c r="G6106" s="18">
        <v>581</v>
      </c>
      <c r="H6106" t="s">
        <v>16</v>
      </c>
      <c r="I6106" t="s">
        <v>21</v>
      </c>
    </row>
    <row r="6107" spans="1:9" x14ac:dyDescent="0.25">
      <c r="A6107">
        <v>1817</v>
      </c>
      <c r="B6107">
        <f>A6107+1</f>
        <v>1818</v>
      </c>
      <c r="C6107" t="s">
        <v>523</v>
      </c>
      <c r="D6107" t="s">
        <v>27</v>
      </c>
      <c r="E6107" s="208" t="s">
        <v>156</v>
      </c>
      <c r="F6107" t="s">
        <v>1</v>
      </c>
      <c r="G6107" s="18">
        <v>93</v>
      </c>
      <c r="H6107" t="s">
        <v>16</v>
      </c>
      <c r="I6107" t="s">
        <v>21</v>
      </c>
    </row>
    <row r="6108" spans="1:9" x14ac:dyDescent="0.25">
      <c r="A6108">
        <v>1817</v>
      </c>
      <c r="B6108">
        <f>A6108+1</f>
        <v>1818</v>
      </c>
      <c r="C6108" t="s">
        <v>523</v>
      </c>
      <c r="D6108" t="s">
        <v>27</v>
      </c>
      <c r="E6108" s="208" t="s">
        <v>154</v>
      </c>
      <c r="F6108" t="s">
        <v>1</v>
      </c>
      <c r="G6108" s="18">
        <v>156</v>
      </c>
      <c r="H6108" t="s">
        <v>16</v>
      </c>
      <c r="I6108" t="s">
        <v>21</v>
      </c>
    </row>
    <row r="6109" spans="1:9" x14ac:dyDescent="0.25">
      <c r="A6109">
        <v>1817</v>
      </c>
      <c r="B6109">
        <f>A6109+1</f>
        <v>1818</v>
      </c>
      <c r="C6109" t="s">
        <v>523</v>
      </c>
      <c r="D6109" t="s">
        <v>27</v>
      </c>
      <c r="E6109" s="208" t="s">
        <v>150</v>
      </c>
      <c r="F6109" t="s">
        <v>1</v>
      </c>
      <c r="G6109" s="18">
        <v>68</v>
      </c>
      <c r="H6109" t="s">
        <v>16</v>
      </c>
      <c r="I6109" t="s">
        <v>21</v>
      </c>
    </row>
    <row r="6110" spans="1:9" x14ac:dyDescent="0.25">
      <c r="A6110">
        <v>1817</v>
      </c>
      <c r="B6110">
        <f>A6110+1</f>
        <v>1818</v>
      </c>
      <c r="C6110" t="s">
        <v>523</v>
      </c>
      <c r="D6110" t="s">
        <v>27</v>
      </c>
      <c r="E6110" s="208" t="s">
        <v>148</v>
      </c>
      <c r="F6110" t="s">
        <v>1</v>
      </c>
      <c r="G6110" s="18">
        <v>71</v>
      </c>
      <c r="H6110" t="s">
        <v>16</v>
      </c>
      <c r="I6110" t="s">
        <v>21</v>
      </c>
    </row>
    <row r="6111" spans="1:9" x14ac:dyDescent="0.25">
      <c r="A6111">
        <v>1817</v>
      </c>
      <c r="B6111">
        <f>A6111+1</f>
        <v>1818</v>
      </c>
      <c r="C6111" t="s">
        <v>523</v>
      </c>
      <c r="D6111" t="s">
        <v>27</v>
      </c>
      <c r="E6111" s="208" t="s">
        <v>147</v>
      </c>
      <c r="F6111" t="s">
        <v>1</v>
      </c>
      <c r="G6111" s="18">
        <v>0</v>
      </c>
      <c r="H6111" t="s">
        <v>16</v>
      </c>
      <c r="I6111" t="s">
        <v>21</v>
      </c>
    </row>
    <row r="6112" spans="1:9" x14ac:dyDescent="0.25">
      <c r="A6112">
        <v>1817</v>
      </c>
      <c r="B6112">
        <f>A6112+1</f>
        <v>1818</v>
      </c>
      <c r="C6112" t="s">
        <v>523</v>
      </c>
      <c r="D6112" t="s">
        <v>27</v>
      </c>
      <c r="E6112" s="208" t="s">
        <v>314</v>
      </c>
      <c r="F6112" t="s">
        <v>1</v>
      </c>
      <c r="G6112" s="18">
        <v>0</v>
      </c>
      <c r="H6112" t="s">
        <v>16</v>
      </c>
      <c r="I6112" t="s">
        <v>21</v>
      </c>
    </row>
    <row r="6113" spans="1:9" x14ac:dyDescent="0.25">
      <c r="A6113">
        <v>1817</v>
      </c>
      <c r="B6113">
        <f>A6113+1</f>
        <v>1818</v>
      </c>
      <c r="C6113" t="s">
        <v>523</v>
      </c>
      <c r="D6113" t="s">
        <v>27</v>
      </c>
      <c r="E6113" s="208" t="s">
        <v>139</v>
      </c>
      <c r="F6113" t="s">
        <v>1</v>
      </c>
      <c r="G6113" s="18">
        <v>0</v>
      </c>
      <c r="H6113" t="s">
        <v>16</v>
      </c>
      <c r="I6113" t="s">
        <v>21</v>
      </c>
    </row>
    <row r="6114" spans="1:9" x14ac:dyDescent="0.25">
      <c r="A6114">
        <v>1817</v>
      </c>
      <c r="B6114">
        <f>A6114+1</f>
        <v>1818</v>
      </c>
      <c r="C6114" t="s">
        <v>523</v>
      </c>
      <c r="D6114" t="s">
        <v>27</v>
      </c>
      <c r="E6114" s="208" t="s">
        <v>132</v>
      </c>
      <c r="F6114" t="s">
        <v>1</v>
      </c>
      <c r="G6114" s="18">
        <v>8</v>
      </c>
      <c r="H6114" t="s">
        <v>16</v>
      </c>
      <c r="I6114" t="s">
        <v>21</v>
      </c>
    </row>
    <row r="6115" spans="1:9" x14ac:dyDescent="0.25">
      <c r="A6115">
        <v>1817</v>
      </c>
      <c r="B6115">
        <f>A6115+1</f>
        <v>1818</v>
      </c>
      <c r="C6115" t="s">
        <v>523</v>
      </c>
      <c r="D6115" t="s">
        <v>27</v>
      </c>
      <c r="E6115" s="208" t="s">
        <v>130</v>
      </c>
      <c r="F6115" t="s">
        <v>1</v>
      </c>
      <c r="G6115" s="18">
        <v>0</v>
      </c>
      <c r="H6115" t="s">
        <v>16</v>
      </c>
      <c r="I6115" t="s">
        <v>21</v>
      </c>
    </row>
    <row r="6116" spans="1:9" x14ac:dyDescent="0.25">
      <c r="A6116">
        <v>1817</v>
      </c>
      <c r="B6116">
        <f>A6116+1</f>
        <v>1818</v>
      </c>
      <c r="C6116" t="s">
        <v>523</v>
      </c>
      <c r="D6116" t="s">
        <v>27</v>
      </c>
      <c r="E6116" s="208" t="s">
        <v>144</v>
      </c>
      <c r="F6116" t="s">
        <v>1</v>
      </c>
      <c r="G6116" s="18">
        <v>0</v>
      </c>
      <c r="H6116" t="s">
        <v>16</v>
      </c>
      <c r="I6116" t="s">
        <v>21</v>
      </c>
    </row>
    <row r="6117" spans="1:9" x14ac:dyDescent="0.25">
      <c r="A6117">
        <v>1817</v>
      </c>
      <c r="B6117">
        <f>A6117+1</f>
        <v>1818</v>
      </c>
      <c r="C6117" t="s">
        <v>523</v>
      </c>
      <c r="D6117" t="s">
        <v>27</v>
      </c>
      <c r="E6117" s="208" t="s">
        <v>142</v>
      </c>
      <c r="F6117" t="s">
        <v>1</v>
      </c>
      <c r="G6117" s="18">
        <v>11</v>
      </c>
      <c r="H6117" t="s">
        <v>16</v>
      </c>
      <c r="I6117" t="s">
        <v>21</v>
      </c>
    </row>
    <row r="6118" spans="1:9" x14ac:dyDescent="0.25">
      <c r="A6118">
        <v>1817</v>
      </c>
      <c r="B6118">
        <f>A6118+1</f>
        <v>1818</v>
      </c>
      <c r="C6118" t="s">
        <v>523</v>
      </c>
      <c r="D6118" t="s">
        <v>27</v>
      </c>
      <c r="E6118" s="208" t="s">
        <v>124</v>
      </c>
      <c r="F6118" t="s">
        <v>1</v>
      </c>
      <c r="G6118" s="18">
        <v>99928</v>
      </c>
      <c r="H6118" t="s">
        <v>16</v>
      </c>
      <c r="I6118" t="s">
        <v>21</v>
      </c>
    </row>
    <row r="6119" spans="1:9" x14ac:dyDescent="0.25">
      <c r="A6119">
        <v>1817</v>
      </c>
      <c r="B6119">
        <f>A6119+1</f>
        <v>1818</v>
      </c>
      <c r="C6119" t="s">
        <v>523</v>
      </c>
      <c r="D6119" t="s">
        <v>27</v>
      </c>
      <c r="E6119" s="208" t="s">
        <v>155</v>
      </c>
      <c r="F6119" t="s">
        <v>6</v>
      </c>
      <c r="G6119" s="18">
        <v>0</v>
      </c>
      <c r="H6119" t="s">
        <v>16</v>
      </c>
      <c r="I6119" t="s">
        <v>25</v>
      </c>
    </row>
    <row r="6120" spans="1:9" x14ac:dyDescent="0.25">
      <c r="A6120">
        <v>1817</v>
      </c>
      <c r="B6120">
        <f>A6120+1</f>
        <v>1818</v>
      </c>
      <c r="C6120" t="s">
        <v>523</v>
      </c>
      <c r="D6120" t="s">
        <v>27</v>
      </c>
      <c r="E6120" s="208" t="s">
        <v>156</v>
      </c>
      <c r="F6120" t="s">
        <v>6</v>
      </c>
      <c r="G6120" s="18">
        <v>0</v>
      </c>
      <c r="H6120" t="s">
        <v>16</v>
      </c>
      <c r="I6120" t="s">
        <v>25</v>
      </c>
    </row>
    <row r="6121" spans="1:9" x14ac:dyDescent="0.25">
      <c r="A6121">
        <v>1817</v>
      </c>
      <c r="B6121">
        <f>A6121+1</f>
        <v>1818</v>
      </c>
      <c r="C6121" t="s">
        <v>523</v>
      </c>
      <c r="D6121" t="s">
        <v>27</v>
      </c>
      <c r="E6121" s="208" t="s">
        <v>154</v>
      </c>
      <c r="F6121" t="s">
        <v>6</v>
      </c>
      <c r="G6121" s="18">
        <v>0</v>
      </c>
      <c r="H6121" t="s">
        <v>16</v>
      </c>
      <c r="I6121" t="s">
        <v>25</v>
      </c>
    </row>
    <row r="6122" spans="1:9" x14ac:dyDescent="0.25">
      <c r="A6122">
        <v>1817</v>
      </c>
      <c r="B6122">
        <f>A6122+1</f>
        <v>1818</v>
      </c>
      <c r="C6122" t="s">
        <v>523</v>
      </c>
      <c r="D6122" t="s">
        <v>27</v>
      </c>
      <c r="E6122" s="208" t="s">
        <v>150</v>
      </c>
      <c r="F6122" t="s">
        <v>6</v>
      </c>
      <c r="G6122" s="18">
        <v>639</v>
      </c>
      <c r="H6122" t="s">
        <v>16</v>
      </c>
      <c r="I6122" t="s">
        <v>25</v>
      </c>
    </row>
    <row r="6123" spans="1:9" x14ac:dyDescent="0.25">
      <c r="A6123">
        <v>1817</v>
      </c>
      <c r="B6123">
        <f>A6123+1</f>
        <v>1818</v>
      </c>
      <c r="C6123" t="s">
        <v>523</v>
      </c>
      <c r="D6123" t="s">
        <v>27</v>
      </c>
      <c r="E6123" s="208" t="s">
        <v>148</v>
      </c>
      <c r="F6123" t="s">
        <v>6</v>
      </c>
      <c r="G6123" s="18">
        <v>79</v>
      </c>
      <c r="H6123" t="s">
        <v>16</v>
      </c>
      <c r="I6123" t="s">
        <v>25</v>
      </c>
    </row>
    <row r="6124" spans="1:9" x14ac:dyDescent="0.25">
      <c r="A6124">
        <v>1817</v>
      </c>
      <c r="B6124">
        <f>A6124+1</f>
        <v>1818</v>
      </c>
      <c r="C6124" t="s">
        <v>523</v>
      </c>
      <c r="D6124" t="s">
        <v>27</v>
      </c>
      <c r="E6124" s="208" t="s">
        <v>147</v>
      </c>
      <c r="F6124" t="s">
        <v>6</v>
      </c>
      <c r="G6124" s="18">
        <v>121</v>
      </c>
      <c r="H6124" t="s">
        <v>16</v>
      </c>
      <c r="I6124" t="s">
        <v>25</v>
      </c>
    </row>
    <row r="6125" spans="1:9" x14ac:dyDescent="0.25">
      <c r="A6125">
        <v>1817</v>
      </c>
      <c r="B6125">
        <f>A6125+1</f>
        <v>1818</v>
      </c>
      <c r="C6125" t="s">
        <v>523</v>
      </c>
      <c r="D6125" t="s">
        <v>27</v>
      </c>
      <c r="E6125" s="208" t="s">
        <v>314</v>
      </c>
      <c r="F6125" t="s">
        <v>6</v>
      </c>
      <c r="G6125" s="18">
        <v>170</v>
      </c>
      <c r="H6125" t="s">
        <v>16</v>
      </c>
      <c r="I6125" t="s">
        <v>25</v>
      </c>
    </row>
    <row r="6126" spans="1:9" x14ac:dyDescent="0.25">
      <c r="A6126">
        <v>1817</v>
      </c>
      <c r="B6126">
        <f>A6126+1</f>
        <v>1818</v>
      </c>
      <c r="C6126" t="s">
        <v>523</v>
      </c>
      <c r="D6126" t="s">
        <v>27</v>
      </c>
      <c r="E6126" s="208" t="s">
        <v>139</v>
      </c>
      <c r="F6126" t="s">
        <v>6</v>
      </c>
      <c r="G6126" s="18">
        <v>0</v>
      </c>
      <c r="H6126" t="s">
        <v>16</v>
      </c>
      <c r="I6126" t="s">
        <v>25</v>
      </c>
    </row>
    <row r="6127" spans="1:9" x14ac:dyDescent="0.25">
      <c r="A6127">
        <v>1817</v>
      </c>
      <c r="B6127">
        <f>A6127+1</f>
        <v>1818</v>
      </c>
      <c r="C6127" t="s">
        <v>523</v>
      </c>
      <c r="D6127" t="s">
        <v>27</v>
      </c>
      <c r="E6127" s="208" t="s">
        <v>132</v>
      </c>
      <c r="F6127" t="s">
        <v>6</v>
      </c>
      <c r="G6127" s="18">
        <v>0</v>
      </c>
      <c r="H6127" t="s">
        <v>16</v>
      </c>
      <c r="I6127" t="s">
        <v>25</v>
      </c>
    </row>
    <row r="6128" spans="1:9" x14ac:dyDescent="0.25">
      <c r="A6128">
        <v>1817</v>
      </c>
      <c r="B6128">
        <f>A6128+1</f>
        <v>1818</v>
      </c>
      <c r="C6128" t="s">
        <v>523</v>
      </c>
      <c r="D6128" t="s">
        <v>27</v>
      </c>
      <c r="E6128" s="208" t="s">
        <v>130</v>
      </c>
      <c r="F6128" t="s">
        <v>6</v>
      </c>
      <c r="G6128" s="18">
        <v>0</v>
      </c>
      <c r="H6128" t="s">
        <v>16</v>
      </c>
      <c r="I6128" t="s">
        <v>25</v>
      </c>
    </row>
    <row r="6129" spans="1:9" x14ac:dyDescent="0.25">
      <c r="A6129">
        <v>1817</v>
      </c>
      <c r="B6129">
        <f>A6129+1</f>
        <v>1818</v>
      </c>
      <c r="C6129" t="s">
        <v>523</v>
      </c>
      <c r="D6129" t="s">
        <v>27</v>
      </c>
      <c r="E6129" s="208" t="s">
        <v>144</v>
      </c>
      <c r="F6129" t="s">
        <v>6</v>
      </c>
      <c r="G6129" s="18">
        <v>0</v>
      </c>
      <c r="H6129" t="s">
        <v>16</v>
      </c>
      <c r="I6129" t="s">
        <v>25</v>
      </c>
    </row>
    <row r="6130" spans="1:9" x14ac:dyDescent="0.25">
      <c r="A6130">
        <v>1817</v>
      </c>
      <c r="B6130">
        <f>A6130+1</f>
        <v>1818</v>
      </c>
      <c r="C6130" t="s">
        <v>523</v>
      </c>
      <c r="D6130" t="s">
        <v>27</v>
      </c>
      <c r="E6130" s="208" t="s">
        <v>142</v>
      </c>
      <c r="F6130" t="s">
        <v>6</v>
      </c>
      <c r="G6130" s="18">
        <v>0</v>
      </c>
      <c r="H6130" t="s">
        <v>16</v>
      </c>
      <c r="I6130" t="s">
        <v>25</v>
      </c>
    </row>
    <row r="6131" spans="1:9" x14ac:dyDescent="0.25">
      <c r="A6131">
        <v>1817</v>
      </c>
      <c r="B6131">
        <f>A6131+1</f>
        <v>1818</v>
      </c>
      <c r="C6131" t="s">
        <v>523</v>
      </c>
      <c r="D6131" t="s">
        <v>27</v>
      </c>
      <c r="E6131" s="208" t="s">
        <v>124</v>
      </c>
      <c r="F6131" t="s">
        <v>6</v>
      </c>
      <c r="G6131" s="18">
        <v>0</v>
      </c>
      <c r="H6131" t="s">
        <v>16</v>
      </c>
      <c r="I6131" t="s">
        <v>25</v>
      </c>
    </row>
    <row r="6132" spans="1:9" x14ac:dyDescent="0.25">
      <c r="A6132">
        <v>1817</v>
      </c>
      <c r="B6132">
        <f>A6132+1</f>
        <v>1818</v>
      </c>
      <c r="C6132" t="s">
        <v>523</v>
      </c>
      <c r="D6132" t="s">
        <v>26</v>
      </c>
      <c r="E6132" s="208" t="s">
        <v>62</v>
      </c>
      <c r="F6132" t="s">
        <v>6</v>
      </c>
      <c r="G6132" s="18">
        <v>0</v>
      </c>
      <c r="H6132" t="s">
        <v>25</v>
      </c>
      <c r="I6132" t="s">
        <v>16</v>
      </c>
    </row>
    <row r="6133" spans="1:9" x14ac:dyDescent="0.25">
      <c r="A6133">
        <v>1817</v>
      </c>
      <c r="B6133">
        <f>A6133+1</f>
        <v>1818</v>
      </c>
      <c r="C6133" t="s">
        <v>523</v>
      </c>
      <c r="D6133" t="s">
        <v>26</v>
      </c>
      <c r="E6133" s="208" t="s">
        <v>36</v>
      </c>
      <c r="F6133" t="s">
        <v>6</v>
      </c>
      <c r="G6133" s="18">
        <v>0</v>
      </c>
      <c r="H6133" t="s">
        <v>25</v>
      </c>
      <c r="I6133" t="s">
        <v>16</v>
      </c>
    </row>
    <row r="6134" spans="1:9" x14ac:dyDescent="0.25">
      <c r="A6134">
        <v>1817</v>
      </c>
      <c r="B6134">
        <f>A6134+1</f>
        <v>1818</v>
      </c>
      <c r="C6134" t="s">
        <v>523</v>
      </c>
      <c r="D6134" t="s">
        <v>26</v>
      </c>
      <c r="E6134" s="208" t="s">
        <v>35</v>
      </c>
      <c r="F6134" t="s">
        <v>6</v>
      </c>
      <c r="G6134" s="18">
        <v>0</v>
      </c>
      <c r="H6134" t="s">
        <v>25</v>
      </c>
      <c r="I6134" t="s">
        <v>16</v>
      </c>
    </row>
    <row r="6135" spans="1:9" x14ac:dyDescent="0.25">
      <c r="A6135">
        <v>1817</v>
      </c>
      <c r="B6135">
        <f>A6135+1</f>
        <v>1818</v>
      </c>
      <c r="C6135" t="s">
        <v>523</v>
      </c>
      <c r="D6135" t="s">
        <v>26</v>
      </c>
      <c r="E6135" s="208" t="s">
        <v>39</v>
      </c>
      <c r="F6135" t="s">
        <v>6</v>
      </c>
      <c r="G6135" s="18">
        <v>0</v>
      </c>
      <c r="H6135" t="s">
        <v>25</v>
      </c>
      <c r="I6135" t="s">
        <v>16</v>
      </c>
    </row>
    <row r="6136" spans="1:9" x14ac:dyDescent="0.25">
      <c r="A6136">
        <v>1817</v>
      </c>
      <c r="B6136">
        <f>A6136+1</f>
        <v>1818</v>
      </c>
      <c r="C6136" t="s">
        <v>523</v>
      </c>
      <c r="D6136" t="s">
        <v>26</v>
      </c>
      <c r="E6136" s="208" t="s">
        <v>99</v>
      </c>
      <c r="F6136" t="s">
        <v>6</v>
      </c>
      <c r="G6136" s="18">
        <v>0</v>
      </c>
      <c r="H6136" t="s">
        <v>25</v>
      </c>
      <c r="I6136" t="s">
        <v>16</v>
      </c>
    </row>
    <row r="6137" spans="1:9" x14ac:dyDescent="0.25">
      <c r="A6137">
        <v>1817</v>
      </c>
      <c r="B6137">
        <f>A6137+1</f>
        <v>1818</v>
      </c>
      <c r="C6137" t="s">
        <v>523</v>
      </c>
      <c r="D6137" t="s">
        <v>26</v>
      </c>
      <c r="E6137" s="208" t="s">
        <v>95</v>
      </c>
      <c r="F6137" t="s">
        <v>6</v>
      </c>
      <c r="G6137" s="18">
        <v>163</v>
      </c>
      <c r="H6137" t="s">
        <v>25</v>
      </c>
      <c r="I6137" t="s">
        <v>16</v>
      </c>
    </row>
    <row r="6138" spans="1:9" x14ac:dyDescent="0.25">
      <c r="A6138">
        <v>1817</v>
      </c>
      <c r="B6138">
        <f>A6138+1</f>
        <v>1818</v>
      </c>
      <c r="C6138" t="s">
        <v>523</v>
      </c>
      <c r="D6138" t="s">
        <v>26</v>
      </c>
      <c r="E6138" s="208" t="s">
        <v>94</v>
      </c>
      <c r="F6138" t="s">
        <v>6</v>
      </c>
      <c r="G6138" s="18">
        <v>3352</v>
      </c>
      <c r="H6138" t="s">
        <v>25</v>
      </c>
      <c r="I6138" t="s">
        <v>16</v>
      </c>
    </row>
    <row r="6139" spans="1:9" x14ac:dyDescent="0.25">
      <c r="A6139">
        <v>1817</v>
      </c>
      <c r="B6139">
        <f>A6139+1</f>
        <v>1818</v>
      </c>
      <c r="C6139" t="s">
        <v>523</v>
      </c>
      <c r="D6139" t="s">
        <v>26</v>
      </c>
      <c r="E6139" s="208" t="s">
        <v>386</v>
      </c>
      <c r="F6139" t="s">
        <v>6</v>
      </c>
      <c r="G6139" s="18">
        <v>15359</v>
      </c>
      <c r="H6139" t="s">
        <v>25</v>
      </c>
      <c r="I6139" t="s">
        <v>16</v>
      </c>
    </row>
    <row r="6140" spans="1:9" x14ac:dyDescent="0.25">
      <c r="A6140">
        <v>1817</v>
      </c>
      <c r="B6140">
        <f>A6140+1</f>
        <v>1818</v>
      </c>
      <c r="C6140" t="s">
        <v>523</v>
      </c>
      <c r="D6140" t="s">
        <v>26</v>
      </c>
      <c r="E6140" s="208" t="s">
        <v>387</v>
      </c>
      <c r="F6140" t="s">
        <v>6</v>
      </c>
      <c r="G6140" s="18">
        <v>384</v>
      </c>
      <c r="H6140" t="s">
        <v>25</v>
      </c>
      <c r="I6140" t="s">
        <v>16</v>
      </c>
    </row>
    <row r="6141" spans="1:9" x14ac:dyDescent="0.25">
      <c r="A6141">
        <v>1817</v>
      </c>
      <c r="B6141">
        <f>A6141+1</f>
        <v>1818</v>
      </c>
      <c r="C6141" t="s">
        <v>523</v>
      </c>
      <c r="D6141" t="s">
        <v>26</v>
      </c>
      <c r="E6141" s="208" t="s">
        <v>388</v>
      </c>
      <c r="F6141" t="s">
        <v>6</v>
      </c>
      <c r="G6141" s="18">
        <v>616</v>
      </c>
      <c r="H6141" t="s">
        <v>25</v>
      </c>
      <c r="I6141" t="s">
        <v>16</v>
      </c>
    </row>
    <row r="6142" spans="1:9" x14ac:dyDescent="0.25">
      <c r="A6142">
        <v>1817</v>
      </c>
      <c r="B6142">
        <f>A6142+1</f>
        <v>1818</v>
      </c>
      <c r="C6142" t="s">
        <v>523</v>
      </c>
      <c r="D6142" t="s">
        <v>26</v>
      </c>
      <c r="E6142" s="208" t="s">
        <v>85</v>
      </c>
      <c r="F6142" t="s">
        <v>6</v>
      </c>
      <c r="G6142" s="18">
        <v>0</v>
      </c>
      <c r="H6142" t="s">
        <v>25</v>
      </c>
      <c r="I6142" t="s">
        <v>16</v>
      </c>
    </row>
    <row r="6143" spans="1:9" x14ac:dyDescent="0.25">
      <c r="A6143">
        <v>1817</v>
      </c>
      <c r="B6143">
        <f>A6143+1</f>
        <v>1818</v>
      </c>
      <c r="C6143" t="s">
        <v>523</v>
      </c>
      <c r="D6143" t="s">
        <v>26</v>
      </c>
      <c r="E6143" s="208" t="s">
        <v>398</v>
      </c>
      <c r="F6143" t="s">
        <v>6</v>
      </c>
      <c r="G6143" s="18">
        <v>148</v>
      </c>
      <c r="H6143" t="s">
        <v>25</v>
      </c>
      <c r="I6143" t="s">
        <v>16</v>
      </c>
    </row>
    <row r="6144" spans="1:9" x14ac:dyDescent="0.25">
      <c r="A6144">
        <v>1817</v>
      </c>
      <c r="B6144">
        <f>A6144+1</f>
        <v>1818</v>
      </c>
      <c r="C6144" t="s">
        <v>523</v>
      </c>
      <c r="D6144" t="s">
        <v>26</v>
      </c>
      <c r="E6144" s="208" t="s">
        <v>107</v>
      </c>
      <c r="F6144" t="s">
        <v>6</v>
      </c>
      <c r="G6144" s="18">
        <v>0</v>
      </c>
      <c r="H6144" t="s">
        <v>25</v>
      </c>
      <c r="I6144" t="s">
        <v>16</v>
      </c>
    </row>
    <row r="6145" spans="1:9" x14ac:dyDescent="0.25">
      <c r="A6145">
        <v>1817</v>
      </c>
      <c r="B6145">
        <f>A6145+1</f>
        <v>1818</v>
      </c>
      <c r="C6145" t="s">
        <v>523</v>
      </c>
      <c r="D6145" t="s">
        <v>26</v>
      </c>
      <c r="E6145" s="208" t="s">
        <v>101</v>
      </c>
      <c r="F6145" t="s">
        <v>6</v>
      </c>
      <c r="G6145" s="18">
        <v>0</v>
      </c>
      <c r="H6145" t="s">
        <v>25</v>
      </c>
      <c r="I6145" t="s">
        <v>16</v>
      </c>
    </row>
    <row r="6146" spans="1:9" x14ac:dyDescent="0.25">
      <c r="A6146">
        <v>1817</v>
      </c>
      <c r="B6146">
        <f>A6146+1</f>
        <v>1818</v>
      </c>
      <c r="C6146" t="s">
        <v>523</v>
      </c>
      <c r="D6146" t="s">
        <v>26</v>
      </c>
      <c r="E6146" s="208" t="s">
        <v>75</v>
      </c>
      <c r="F6146" t="s">
        <v>6</v>
      </c>
      <c r="G6146" s="18">
        <v>0</v>
      </c>
      <c r="H6146" t="s">
        <v>25</v>
      </c>
      <c r="I6146" t="s">
        <v>16</v>
      </c>
    </row>
    <row r="6147" spans="1:9" x14ac:dyDescent="0.25">
      <c r="A6147">
        <v>1817</v>
      </c>
      <c r="B6147">
        <f>A6147+1</f>
        <v>1818</v>
      </c>
      <c r="C6147" t="s">
        <v>523</v>
      </c>
      <c r="D6147" t="s">
        <v>26</v>
      </c>
      <c r="E6147" s="208" t="s">
        <v>330</v>
      </c>
      <c r="F6147" t="s">
        <v>6</v>
      </c>
      <c r="G6147" s="18">
        <v>863</v>
      </c>
      <c r="H6147" t="s">
        <v>25</v>
      </c>
      <c r="I6147" t="s">
        <v>16</v>
      </c>
    </row>
    <row r="6148" spans="1:9" x14ac:dyDescent="0.25">
      <c r="A6148">
        <v>1817</v>
      </c>
      <c r="B6148">
        <f>A6148+1</f>
        <v>1818</v>
      </c>
      <c r="C6148" t="s">
        <v>523</v>
      </c>
      <c r="D6148" t="s">
        <v>26</v>
      </c>
      <c r="E6148" s="208" t="s">
        <v>331</v>
      </c>
      <c r="F6148" t="s">
        <v>6</v>
      </c>
      <c r="G6148" s="18">
        <v>3564</v>
      </c>
      <c r="H6148" t="s">
        <v>25</v>
      </c>
      <c r="I6148" t="s">
        <v>16</v>
      </c>
    </row>
    <row r="6149" spans="1:9" x14ac:dyDescent="0.25">
      <c r="A6149">
        <v>1817</v>
      </c>
      <c r="B6149">
        <f>A6149+1</f>
        <v>1818</v>
      </c>
      <c r="C6149" t="s">
        <v>523</v>
      </c>
      <c r="D6149" t="s">
        <v>26</v>
      </c>
      <c r="E6149" s="208" t="s">
        <v>332</v>
      </c>
      <c r="F6149" t="s">
        <v>6</v>
      </c>
      <c r="G6149" s="18">
        <v>748</v>
      </c>
      <c r="H6149" t="s">
        <v>25</v>
      </c>
      <c r="I6149" t="s">
        <v>16</v>
      </c>
    </row>
    <row r="6150" spans="1:9" x14ac:dyDescent="0.25">
      <c r="A6150">
        <v>1817</v>
      </c>
      <c r="B6150">
        <f>A6150+1</f>
        <v>1818</v>
      </c>
      <c r="C6150" t="s">
        <v>523</v>
      </c>
      <c r="D6150" t="s">
        <v>26</v>
      </c>
      <c r="E6150" s="208" t="s">
        <v>333</v>
      </c>
      <c r="F6150" t="s">
        <v>6</v>
      </c>
      <c r="G6150" s="18">
        <v>1842</v>
      </c>
      <c r="H6150" t="s">
        <v>25</v>
      </c>
      <c r="I6150" t="s">
        <v>16</v>
      </c>
    </row>
    <row r="6151" spans="1:9" x14ac:dyDescent="0.25">
      <c r="A6151">
        <v>1817</v>
      </c>
      <c r="B6151">
        <f>A6151+1</f>
        <v>1818</v>
      </c>
      <c r="C6151" t="s">
        <v>523</v>
      </c>
      <c r="D6151" t="s">
        <v>27</v>
      </c>
      <c r="E6151" s="208" t="s">
        <v>155</v>
      </c>
      <c r="F6151" t="s">
        <v>4</v>
      </c>
      <c r="G6151" s="18">
        <v>414</v>
      </c>
      <c r="H6151" t="s">
        <v>16</v>
      </c>
      <c r="I6151" t="s">
        <v>23</v>
      </c>
    </row>
    <row r="6152" spans="1:9" x14ac:dyDescent="0.25">
      <c r="A6152">
        <v>1817</v>
      </c>
      <c r="B6152">
        <f>A6152+1</f>
        <v>1818</v>
      </c>
      <c r="C6152" t="s">
        <v>523</v>
      </c>
      <c r="D6152" t="s">
        <v>27</v>
      </c>
      <c r="E6152" s="208" t="s">
        <v>156</v>
      </c>
      <c r="F6152" t="s">
        <v>4</v>
      </c>
      <c r="G6152" s="18">
        <v>56</v>
      </c>
      <c r="H6152" t="s">
        <v>16</v>
      </c>
      <c r="I6152" t="s">
        <v>23</v>
      </c>
    </row>
    <row r="6153" spans="1:9" x14ac:dyDescent="0.25">
      <c r="A6153">
        <v>1817</v>
      </c>
      <c r="B6153">
        <f>A6153+1</f>
        <v>1818</v>
      </c>
      <c r="C6153" t="s">
        <v>523</v>
      </c>
      <c r="D6153" t="s">
        <v>27</v>
      </c>
      <c r="E6153" s="208" t="s">
        <v>154</v>
      </c>
      <c r="F6153" t="s">
        <v>4</v>
      </c>
      <c r="G6153" s="18">
        <v>201</v>
      </c>
      <c r="H6153" t="s">
        <v>16</v>
      </c>
      <c r="I6153" t="s">
        <v>23</v>
      </c>
    </row>
    <row r="6154" spans="1:9" x14ac:dyDescent="0.25">
      <c r="A6154">
        <v>1817</v>
      </c>
      <c r="B6154">
        <f>A6154+1</f>
        <v>1818</v>
      </c>
      <c r="C6154" t="s">
        <v>523</v>
      </c>
      <c r="D6154" t="s">
        <v>27</v>
      </c>
      <c r="E6154" s="208" t="s">
        <v>150</v>
      </c>
      <c r="F6154" t="s">
        <v>4</v>
      </c>
      <c r="G6154" s="18">
        <v>3367</v>
      </c>
      <c r="H6154" t="s">
        <v>16</v>
      </c>
      <c r="I6154" t="s">
        <v>23</v>
      </c>
    </row>
    <row r="6155" spans="1:9" x14ac:dyDescent="0.25">
      <c r="A6155">
        <v>1817</v>
      </c>
      <c r="B6155">
        <f>A6155+1</f>
        <v>1818</v>
      </c>
      <c r="C6155" t="s">
        <v>523</v>
      </c>
      <c r="D6155" t="s">
        <v>27</v>
      </c>
      <c r="E6155" s="208" t="s">
        <v>148</v>
      </c>
      <c r="F6155" t="s">
        <v>4</v>
      </c>
      <c r="G6155" s="18">
        <v>2</v>
      </c>
      <c r="H6155" t="s">
        <v>16</v>
      </c>
      <c r="I6155" t="s">
        <v>23</v>
      </c>
    </row>
    <row r="6156" spans="1:9" x14ac:dyDescent="0.25">
      <c r="A6156">
        <v>1817</v>
      </c>
      <c r="B6156">
        <f>A6156+1</f>
        <v>1818</v>
      </c>
      <c r="C6156" t="s">
        <v>523</v>
      </c>
      <c r="D6156" t="s">
        <v>27</v>
      </c>
      <c r="E6156" s="208" t="s">
        <v>147</v>
      </c>
      <c r="F6156" t="s">
        <v>4</v>
      </c>
      <c r="G6156" s="18">
        <v>0</v>
      </c>
      <c r="H6156" t="s">
        <v>16</v>
      </c>
      <c r="I6156" t="s">
        <v>23</v>
      </c>
    </row>
    <row r="6157" spans="1:9" x14ac:dyDescent="0.25">
      <c r="A6157">
        <v>1817</v>
      </c>
      <c r="B6157">
        <f>A6157+1</f>
        <v>1818</v>
      </c>
      <c r="C6157" t="s">
        <v>523</v>
      </c>
      <c r="D6157" t="s">
        <v>27</v>
      </c>
      <c r="E6157" s="208" t="s">
        <v>314</v>
      </c>
      <c r="F6157" t="s">
        <v>4</v>
      </c>
      <c r="G6157" s="18">
        <v>0</v>
      </c>
      <c r="H6157" t="s">
        <v>16</v>
      </c>
      <c r="I6157" t="s">
        <v>23</v>
      </c>
    </row>
    <row r="6158" spans="1:9" x14ac:dyDescent="0.25">
      <c r="A6158">
        <v>1817</v>
      </c>
      <c r="B6158">
        <f>A6158+1</f>
        <v>1818</v>
      </c>
      <c r="C6158" t="s">
        <v>523</v>
      </c>
      <c r="D6158" t="s">
        <v>27</v>
      </c>
      <c r="E6158" s="208" t="s">
        <v>139</v>
      </c>
      <c r="F6158" t="s">
        <v>4</v>
      </c>
      <c r="G6158" s="18">
        <v>0</v>
      </c>
      <c r="H6158" t="s">
        <v>16</v>
      </c>
      <c r="I6158" t="s">
        <v>23</v>
      </c>
    </row>
    <row r="6159" spans="1:9" x14ac:dyDescent="0.25">
      <c r="A6159">
        <v>1817</v>
      </c>
      <c r="B6159">
        <f>A6159+1</f>
        <v>1818</v>
      </c>
      <c r="C6159" t="s">
        <v>523</v>
      </c>
      <c r="D6159" t="s">
        <v>27</v>
      </c>
      <c r="E6159" s="208" t="s">
        <v>132</v>
      </c>
      <c r="F6159" t="s">
        <v>4</v>
      </c>
      <c r="G6159" s="18">
        <v>18</v>
      </c>
      <c r="H6159" t="s">
        <v>16</v>
      </c>
      <c r="I6159" t="s">
        <v>23</v>
      </c>
    </row>
    <row r="6160" spans="1:9" x14ac:dyDescent="0.25">
      <c r="A6160">
        <v>1817</v>
      </c>
      <c r="B6160">
        <f>A6160+1</f>
        <v>1818</v>
      </c>
      <c r="C6160" t="s">
        <v>523</v>
      </c>
      <c r="D6160" t="s">
        <v>27</v>
      </c>
      <c r="E6160" s="208" t="s">
        <v>130</v>
      </c>
      <c r="F6160" t="s">
        <v>4</v>
      </c>
      <c r="G6160" s="18">
        <v>0</v>
      </c>
      <c r="H6160" t="s">
        <v>16</v>
      </c>
      <c r="I6160" t="s">
        <v>23</v>
      </c>
    </row>
    <row r="6161" spans="1:9" x14ac:dyDescent="0.25">
      <c r="A6161">
        <v>1817</v>
      </c>
      <c r="B6161">
        <f>A6161+1</f>
        <v>1818</v>
      </c>
      <c r="C6161" t="s">
        <v>523</v>
      </c>
      <c r="D6161" t="s">
        <v>27</v>
      </c>
      <c r="E6161" s="208" t="s">
        <v>144</v>
      </c>
      <c r="F6161" t="s">
        <v>4</v>
      </c>
      <c r="G6161" s="18">
        <v>73</v>
      </c>
      <c r="H6161" t="s">
        <v>16</v>
      </c>
      <c r="I6161" t="s">
        <v>23</v>
      </c>
    </row>
    <row r="6162" spans="1:9" x14ac:dyDescent="0.25">
      <c r="A6162">
        <v>1817</v>
      </c>
      <c r="B6162">
        <f>A6162+1</f>
        <v>1818</v>
      </c>
      <c r="C6162" t="s">
        <v>523</v>
      </c>
      <c r="D6162" t="s">
        <v>27</v>
      </c>
      <c r="E6162" s="208" t="s">
        <v>142</v>
      </c>
      <c r="F6162" t="s">
        <v>4</v>
      </c>
      <c r="G6162" s="18">
        <v>157</v>
      </c>
      <c r="H6162" t="s">
        <v>16</v>
      </c>
      <c r="I6162" t="s">
        <v>23</v>
      </c>
    </row>
    <row r="6163" spans="1:9" x14ac:dyDescent="0.25">
      <c r="A6163">
        <v>1817</v>
      </c>
      <c r="B6163">
        <f>A6163+1</f>
        <v>1818</v>
      </c>
      <c r="C6163" t="s">
        <v>523</v>
      </c>
      <c r="D6163" t="s">
        <v>27</v>
      </c>
      <c r="E6163" s="208" t="s">
        <v>124</v>
      </c>
      <c r="F6163" t="s">
        <v>4</v>
      </c>
      <c r="G6163" s="18">
        <v>2236081</v>
      </c>
      <c r="H6163" t="s">
        <v>16</v>
      </c>
      <c r="I6163" t="s">
        <v>23</v>
      </c>
    </row>
    <row r="6164" spans="1:9" x14ac:dyDescent="0.25">
      <c r="A6164">
        <v>1817</v>
      </c>
      <c r="B6164">
        <f>A6164+1</f>
        <v>1818</v>
      </c>
      <c r="C6164" t="s">
        <v>523</v>
      </c>
      <c r="D6164" t="s">
        <v>26</v>
      </c>
      <c r="E6164" s="208" t="s">
        <v>62</v>
      </c>
      <c r="F6164" t="s">
        <v>4</v>
      </c>
      <c r="G6164" s="18">
        <v>42578</v>
      </c>
      <c r="H6164" t="s">
        <v>23</v>
      </c>
      <c r="I6164" t="s">
        <v>16</v>
      </c>
    </row>
    <row r="6165" spans="1:9" x14ac:dyDescent="0.25">
      <c r="A6165">
        <v>1817</v>
      </c>
      <c r="B6165">
        <f>A6165+1</f>
        <v>1818</v>
      </c>
      <c r="C6165" t="s">
        <v>523</v>
      </c>
      <c r="D6165" t="s">
        <v>26</v>
      </c>
      <c r="E6165" s="208" t="s">
        <v>36</v>
      </c>
      <c r="F6165" t="s">
        <v>4</v>
      </c>
      <c r="G6165" s="18">
        <v>3164</v>
      </c>
      <c r="H6165" t="s">
        <v>23</v>
      </c>
      <c r="I6165" t="s">
        <v>16</v>
      </c>
    </row>
    <row r="6166" spans="1:9" x14ac:dyDescent="0.25">
      <c r="A6166">
        <v>1817</v>
      </c>
      <c r="B6166">
        <f>A6166+1</f>
        <v>1818</v>
      </c>
      <c r="C6166" t="s">
        <v>523</v>
      </c>
      <c r="D6166" t="s">
        <v>26</v>
      </c>
      <c r="E6166" s="208" t="s">
        <v>35</v>
      </c>
      <c r="F6166" t="s">
        <v>4</v>
      </c>
      <c r="G6166" s="18">
        <v>359</v>
      </c>
      <c r="H6166" t="s">
        <v>23</v>
      </c>
      <c r="I6166" t="s">
        <v>16</v>
      </c>
    </row>
    <row r="6167" spans="1:9" x14ac:dyDescent="0.25">
      <c r="A6167">
        <v>1817</v>
      </c>
      <c r="B6167">
        <f>A6167+1</f>
        <v>1818</v>
      </c>
      <c r="C6167" t="s">
        <v>523</v>
      </c>
      <c r="D6167" t="s">
        <v>26</v>
      </c>
      <c r="E6167" s="208" t="s">
        <v>39</v>
      </c>
      <c r="F6167" t="s">
        <v>4</v>
      </c>
      <c r="G6167" s="18">
        <v>1571</v>
      </c>
      <c r="H6167" t="s">
        <v>23</v>
      </c>
      <c r="I6167" t="s">
        <v>16</v>
      </c>
    </row>
    <row r="6168" spans="1:9" x14ac:dyDescent="0.25">
      <c r="A6168">
        <v>1817</v>
      </c>
      <c r="B6168">
        <f>A6168+1</f>
        <v>1818</v>
      </c>
      <c r="C6168" t="s">
        <v>523</v>
      </c>
      <c r="D6168" t="s">
        <v>26</v>
      </c>
      <c r="E6168" s="208" t="s">
        <v>99</v>
      </c>
      <c r="F6168" t="s">
        <v>4</v>
      </c>
      <c r="G6168" s="18">
        <v>946</v>
      </c>
      <c r="H6168" t="s">
        <v>23</v>
      </c>
      <c r="I6168" t="s">
        <v>16</v>
      </c>
    </row>
    <row r="6169" spans="1:9" x14ac:dyDescent="0.25">
      <c r="A6169">
        <v>1817</v>
      </c>
      <c r="B6169">
        <f>A6169+1</f>
        <v>1818</v>
      </c>
      <c r="C6169" t="s">
        <v>523</v>
      </c>
      <c r="D6169" t="s">
        <v>26</v>
      </c>
      <c r="E6169" s="208" t="s">
        <v>95</v>
      </c>
      <c r="F6169" t="s">
        <v>4</v>
      </c>
      <c r="G6169" s="18">
        <v>10</v>
      </c>
      <c r="H6169" t="s">
        <v>23</v>
      </c>
      <c r="I6169" t="s">
        <v>16</v>
      </c>
    </row>
    <row r="6170" spans="1:9" x14ac:dyDescent="0.25">
      <c r="A6170">
        <v>1817</v>
      </c>
      <c r="B6170">
        <f>A6170+1</f>
        <v>1818</v>
      </c>
      <c r="C6170" t="s">
        <v>523</v>
      </c>
      <c r="D6170" t="s">
        <v>26</v>
      </c>
      <c r="E6170" s="208" t="s">
        <v>94</v>
      </c>
      <c r="F6170" t="s">
        <v>4</v>
      </c>
      <c r="G6170" s="18">
        <v>0</v>
      </c>
      <c r="H6170" t="s">
        <v>23</v>
      </c>
      <c r="I6170" t="s">
        <v>16</v>
      </c>
    </row>
    <row r="6171" spans="1:9" x14ac:dyDescent="0.25">
      <c r="A6171">
        <v>1817</v>
      </c>
      <c r="B6171">
        <f>A6171+1</f>
        <v>1818</v>
      </c>
      <c r="C6171" t="s">
        <v>523</v>
      </c>
      <c r="D6171" t="s">
        <v>26</v>
      </c>
      <c r="E6171" s="208" t="s">
        <v>386</v>
      </c>
      <c r="F6171" t="s">
        <v>4</v>
      </c>
      <c r="G6171" s="18">
        <v>4715</v>
      </c>
      <c r="H6171" t="s">
        <v>23</v>
      </c>
      <c r="I6171" t="s">
        <v>16</v>
      </c>
    </row>
    <row r="6172" spans="1:9" x14ac:dyDescent="0.25">
      <c r="A6172">
        <v>1817</v>
      </c>
      <c r="B6172">
        <f>A6172+1</f>
        <v>1818</v>
      </c>
      <c r="C6172" t="s">
        <v>523</v>
      </c>
      <c r="D6172" t="s">
        <v>26</v>
      </c>
      <c r="E6172" s="208" t="s">
        <v>387</v>
      </c>
      <c r="F6172" t="s">
        <v>4</v>
      </c>
      <c r="G6172" s="18">
        <v>2096</v>
      </c>
      <c r="H6172" t="s">
        <v>23</v>
      </c>
      <c r="I6172" t="s">
        <v>16</v>
      </c>
    </row>
    <row r="6173" spans="1:9" x14ac:dyDescent="0.25">
      <c r="A6173">
        <v>1817</v>
      </c>
      <c r="B6173">
        <f>A6173+1</f>
        <v>1818</v>
      </c>
      <c r="C6173" t="s">
        <v>523</v>
      </c>
      <c r="D6173" t="s">
        <v>26</v>
      </c>
      <c r="E6173" s="208" t="s">
        <v>388</v>
      </c>
      <c r="F6173" t="s">
        <v>4</v>
      </c>
      <c r="G6173" s="18">
        <v>8667</v>
      </c>
      <c r="H6173" t="s">
        <v>23</v>
      </c>
      <c r="I6173" t="s">
        <v>16</v>
      </c>
    </row>
    <row r="6174" spans="1:9" x14ac:dyDescent="0.25">
      <c r="A6174">
        <v>1817</v>
      </c>
      <c r="B6174">
        <f>A6174+1</f>
        <v>1818</v>
      </c>
      <c r="C6174" t="s">
        <v>523</v>
      </c>
      <c r="D6174" t="s">
        <v>26</v>
      </c>
      <c r="E6174" s="208" t="s">
        <v>85</v>
      </c>
      <c r="F6174" t="s">
        <v>4</v>
      </c>
      <c r="G6174" s="18">
        <v>63</v>
      </c>
      <c r="H6174" t="s">
        <v>23</v>
      </c>
      <c r="I6174" t="s">
        <v>16</v>
      </c>
    </row>
    <row r="6175" spans="1:9" x14ac:dyDescent="0.25">
      <c r="A6175">
        <v>1817</v>
      </c>
      <c r="B6175">
        <f>A6175+1</f>
        <v>1818</v>
      </c>
      <c r="C6175" t="s">
        <v>523</v>
      </c>
      <c r="D6175" t="s">
        <v>26</v>
      </c>
      <c r="E6175" s="208" t="s">
        <v>398</v>
      </c>
      <c r="F6175" t="s">
        <v>4</v>
      </c>
      <c r="G6175" s="18">
        <v>176</v>
      </c>
      <c r="H6175" t="s">
        <v>23</v>
      </c>
      <c r="I6175" t="s">
        <v>16</v>
      </c>
    </row>
    <row r="6176" spans="1:9" x14ac:dyDescent="0.25">
      <c r="A6176">
        <v>1817</v>
      </c>
      <c r="B6176">
        <f>A6176+1</f>
        <v>1818</v>
      </c>
      <c r="C6176" t="s">
        <v>523</v>
      </c>
      <c r="D6176" t="s">
        <v>26</v>
      </c>
      <c r="E6176" s="208" t="s">
        <v>107</v>
      </c>
      <c r="F6176" t="s">
        <v>4</v>
      </c>
      <c r="G6176" s="18">
        <v>1299608</v>
      </c>
      <c r="H6176" t="s">
        <v>23</v>
      </c>
      <c r="I6176" t="s">
        <v>16</v>
      </c>
    </row>
    <row r="6177" spans="1:9" x14ac:dyDescent="0.25">
      <c r="A6177">
        <v>1817</v>
      </c>
      <c r="B6177">
        <f>A6177+1</f>
        <v>1818</v>
      </c>
      <c r="C6177" t="s">
        <v>523</v>
      </c>
      <c r="D6177" t="s">
        <v>26</v>
      </c>
      <c r="E6177" s="208" t="s">
        <v>101</v>
      </c>
      <c r="F6177" t="s">
        <v>4</v>
      </c>
      <c r="G6177" s="18">
        <v>4697127</v>
      </c>
      <c r="H6177" t="s">
        <v>23</v>
      </c>
      <c r="I6177" t="s">
        <v>16</v>
      </c>
    </row>
    <row r="6178" spans="1:9" x14ac:dyDescent="0.25">
      <c r="A6178">
        <v>1817</v>
      </c>
      <c r="B6178">
        <f>A6178+1</f>
        <v>1818</v>
      </c>
      <c r="C6178" t="s">
        <v>523</v>
      </c>
      <c r="D6178" t="s">
        <v>26</v>
      </c>
      <c r="E6178" s="208" t="s">
        <v>75</v>
      </c>
      <c r="F6178" t="s">
        <v>4</v>
      </c>
      <c r="G6178" s="18">
        <v>1723259</v>
      </c>
      <c r="H6178" t="s">
        <v>23</v>
      </c>
      <c r="I6178" t="s">
        <v>16</v>
      </c>
    </row>
    <row r="6179" spans="1:9" x14ac:dyDescent="0.25">
      <c r="A6179">
        <v>1817</v>
      </c>
      <c r="B6179">
        <f>A6179+1</f>
        <v>1818</v>
      </c>
      <c r="C6179" t="s">
        <v>523</v>
      </c>
      <c r="D6179" t="s">
        <v>26</v>
      </c>
      <c r="E6179" s="208" t="s">
        <v>330</v>
      </c>
      <c r="F6179" t="s">
        <v>4</v>
      </c>
      <c r="G6179" s="18">
        <v>21</v>
      </c>
      <c r="H6179" t="s">
        <v>23</v>
      </c>
      <c r="I6179" t="s">
        <v>16</v>
      </c>
    </row>
    <row r="6180" spans="1:9" x14ac:dyDescent="0.25">
      <c r="A6180">
        <v>1817</v>
      </c>
      <c r="B6180">
        <f>A6180+1</f>
        <v>1818</v>
      </c>
      <c r="C6180" t="s">
        <v>523</v>
      </c>
      <c r="D6180" t="s">
        <v>26</v>
      </c>
      <c r="E6180" s="208" t="s">
        <v>331</v>
      </c>
      <c r="F6180" t="s">
        <v>4</v>
      </c>
      <c r="G6180" s="18">
        <v>0</v>
      </c>
      <c r="H6180" t="s">
        <v>23</v>
      </c>
      <c r="I6180" t="s">
        <v>16</v>
      </c>
    </row>
    <row r="6181" spans="1:9" x14ac:dyDescent="0.25">
      <c r="A6181">
        <v>1817</v>
      </c>
      <c r="B6181">
        <f>A6181+1</f>
        <v>1818</v>
      </c>
      <c r="C6181" t="s">
        <v>523</v>
      </c>
      <c r="D6181" t="s">
        <v>26</v>
      </c>
      <c r="E6181" s="208" t="s">
        <v>332</v>
      </c>
      <c r="F6181" t="s">
        <v>4</v>
      </c>
      <c r="G6181" s="18">
        <v>0</v>
      </c>
      <c r="H6181" t="s">
        <v>23</v>
      </c>
      <c r="I6181" t="s">
        <v>16</v>
      </c>
    </row>
    <row r="6182" spans="1:9" x14ac:dyDescent="0.25">
      <c r="A6182">
        <v>1817</v>
      </c>
      <c r="B6182">
        <f>A6182+1</f>
        <v>1818</v>
      </c>
      <c r="C6182" t="s">
        <v>523</v>
      </c>
      <c r="D6182" t="s">
        <v>26</v>
      </c>
      <c r="E6182" s="208" t="s">
        <v>333</v>
      </c>
      <c r="F6182" t="s">
        <v>4</v>
      </c>
      <c r="G6182" s="18">
        <v>0</v>
      </c>
      <c r="H6182" t="s">
        <v>23</v>
      </c>
      <c r="I6182" t="s">
        <v>16</v>
      </c>
    </row>
    <row r="6183" spans="1:9" x14ac:dyDescent="0.25">
      <c r="A6183">
        <v>1817</v>
      </c>
      <c r="B6183">
        <f>A6183+1</f>
        <v>1818</v>
      </c>
      <c r="C6183" t="s">
        <v>523</v>
      </c>
      <c r="D6183" t="s">
        <v>27</v>
      </c>
      <c r="E6183" s="208" t="s">
        <v>155</v>
      </c>
      <c r="F6183" t="s">
        <v>7</v>
      </c>
      <c r="G6183" s="18">
        <v>25520</v>
      </c>
      <c r="H6183" t="s">
        <v>16</v>
      </c>
      <c r="I6183" s="151" t="s">
        <v>562</v>
      </c>
    </row>
    <row r="6184" spans="1:9" x14ac:dyDescent="0.25">
      <c r="A6184">
        <v>1817</v>
      </c>
      <c r="B6184">
        <f>A6184+1</f>
        <v>1818</v>
      </c>
      <c r="C6184" t="s">
        <v>523</v>
      </c>
      <c r="D6184" t="s">
        <v>27</v>
      </c>
      <c r="E6184" s="208" t="s">
        <v>156</v>
      </c>
      <c r="F6184" t="s">
        <v>7</v>
      </c>
      <c r="G6184" s="18">
        <v>2323</v>
      </c>
      <c r="H6184" t="s">
        <v>16</v>
      </c>
      <c r="I6184" s="151" t="s">
        <v>562</v>
      </c>
    </row>
    <row r="6185" spans="1:9" x14ac:dyDescent="0.25">
      <c r="A6185">
        <v>1817</v>
      </c>
      <c r="B6185">
        <f>A6185+1</f>
        <v>1818</v>
      </c>
      <c r="C6185" t="s">
        <v>523</v>
      </c>
      <c r="D6185" t="s">
        <v>27</v>
      </c>
      <c r="E6185" s="208" t="s">
        <v>154</v>
      </c>
      <c r="F6185" t="s">
        <v>7</v>
      </c>
      <c r="G6185" s="18">
        <v>1687</v>
      </c>
      <c r="H6185" t="s">
        <v>16</v>
      </c>
      <c r="I6185" s="151" t="s">
        <v>562</v>
      </c>
    </row>
    <row r="6186" spans="1:9" x14ac:dyDescent="0.25">
      <c r="A6186">
        <v>1817</v>
      </c>
      <c r="B6186">
        <f>A6186+1</f>
        <v>1818</v>
      </c>
      <c r="C6186" t="s">
        <v>523</v>
      </c>
      <c r="D6186" t="s">
        <v>27</v>
      </c>
      <c r="E6186" s="208" t="s">
        <v>150</v>
      </c>
      <c r="F6186" t="s">
        <v>7</v>
      </c>
      <c r="G6186" s="18">
        <v>11236</v>
      </c>
      <c r="H6186" t="s">
        <v>16</v>
      </c>
      <c r="I6186" s="151" t="s">
        <v>562</v>
      </c>
    </row>
    <row r="6187" spans="1:9" x14ac:dyDescent="0.25">
      <c r="A6187">
        <v>1817</v>
      </c>
      <c r="B6187">
        <f>A6187+1</f>
        <v>1818</v>
      </c>
      <c r="C6187" t="s">
        <v>523</v>
      </c>
      <c r="D6187" t="s">
        <v>27</v>
      </c>
      <c r="E6187" s="208" t="s">
        <v>148</v>
      </c>
      <c r="F6187" t="s">
        <v>7</v>
      </c>
      <c r="G6187" s="18">
        <v>521</v>
      </c>
      <c r="H6187" t="s">
        <v>16</v>
      </c>
      <c r="I6187" s="151" t="s">
        <v>562</v>
      </c>
    </row>
    <row r="6188" spans="1:9" x14ac:dyDescent="0.25">
      <c r="A6188">
        <v>1817</v>
      </c>
      <c r="B6188">
        <f>A6188+1</f>
        <v>1818</v>
      </c>
      <c r="C6188" t="s">
        <v>523</v>
      </c>
      <c r="D6188" t="s">
        <v>27</v>
      </c>
      <c r="E6188" s="208" t="s">
        <v>147</v>
      </c>
      <c r="F6188" t="s">
        <v>7</v>
      </c>
      <c r="G6188" s="18">
        <v>121</v>
      </c>
      <c r="H6188" t="s">
        <v>16</v>
      </c>
      <c r="I6188" s="151" t="s">
        <v>562</v>
      </c>
    </row>
    <row r="6189" spans="1:9" x14ac:dyDescent="0.25">
      <c r="A6189">
        <v>1817</v>
      </c>
      <c r="B6189">
        <f>A6189+1</f>
        <v>1818</v>
      </c>
      <c r="C6189" t="s">
        <v>523</v>
      </c>
      <c r="D6189" t="s">
        <v>27</v>
      </c>
      <c r="E6189" s="208" t="s">
        <v>314</v>
      </c>
      <c r="F6189" t="s">
        <v>7</v>
      </c>
      <c r="G6189" s="18">
        <v>191</v>
      </c>
      <c r="H6189" t="s">
        <v>16</v>
      </c>
      <c r="I6189" s="151" t="s">
        <v>562</v>
      </c>
    </row>
    <row r="6190" spans="1:9" x14ac:dyDescent="0.25">
      <c r="A6190">
        <v>1817</v>
      </c>
      <c r="B6190">
        <f>A6190+1</f>
        <v>1818</v>
      </c>
      <c r="C6190" t="s">
        <v>523</v>
      </c>
      <c r="D6190" t="s">
        <v>27</v>
      </c>
      <c r="E6190" s="208" t="s">
        <v>139</v>
      </c>
      <c r="F6190" t="s">
        <v>7</v>
      </c>
      <c r="G6190" s="18">
        <v>21</v>
      </c>
      <c r="H6190" t="s">
        <v>16</v>
      </c>
      <c r="I6190" s="151" t="s">
        <v>562</v>
      </c>
    </row>
    <row r="6191" spans="1:9" x14ac:dyDescent="0.25">
      <c r="A6191">
        <v>1817</v>
      </c>
      <c r="B6191">
        <f>A6191+1</f>
        <v>1818</v>
      </c>
      <c r="C6191" t="s">
        <v>523</v>
      </c>
      <c r="D6191" t="s">
        <v>27</v>
      </c>
      <c r="E6191" s="208" t="s">
        <v>132</v>
      </c>
      <c r="F6191" t="s">
        <v>7</v>
      </c>
      <c r="G6191" s="18">
        <v>1094</v>
      </c>
      <c r="H6191" t="s">
        <v>16</v>
      </c>
      <c r="I6191" s="151" t="s">
        <v>562</v>
      </c>
    </row>
    <row r="6192" spans="1:9" x14ac:dyDescent="0.25">
      <c r="A6192">
        <v>1817</v>
      </c>
      <c r="B6192">
        <f>A6192+1</f>
        <v>1818</v>
      </c>
      <c r="C6192" t="s">
        <v>523</v>
      </c>
      <c r="D6192" t="s">
        <v>27</v>
      </c>
      <c r="E6192" s="208" t="s">
        <v>130</v>
      </c>
      <c r="F6192" t="s">
        <v>7</v>
      </c>
      <c r="G6192" s="18">
        <v>97</v>
      </c>
      <c r="H6192" t="s">
        <v>16</v>
      </c>
      <c r="I6192" s="151" t="s">
        <v>562</v>
      </c>
    </row>
    <row r="6193" spans="1:9" x14ac:dyDescent="0.25">
      <c r="A6193">
        <v>1817</v>
      </c>
      <c r="B6193">
        <f>A6193+1</f>
        <v>1818</v>
      </c>
      <c r="C6193" t="s">
        <v>523</v>
      </c>
      <c r="D6193" t="s">
        <v>27</v>
      </c>
      <c r="E6193" s="208" t="s">
        <v>144</v>
      </c>
      <c r="F6193" t="s">
        <v>7</v>
      </c>
      <c r="G6193" s="18">
        <v>596</v>
      </c>
      <c r="H6193" t="s">
        <v>16</v>
      </c>
      <c r="I6193" s="151" t="s">
        <v>562</v>
      </c>
    </row>
    <row r="6194" spans="1:9" x14ac:dyDescent="0.25">
      <c r="A6194">
        <v>1817</v>
      </c>
      <c r="B6194">
        <f>A6194+1</f>
        <v>1818</v>
      </c>
      <c r="C6194" t="s">
        <v>523</v>
      </c>
      <c r="D6194" t="s">
        <v>27</v>
      </c>
      <c r="E6194" s="208" t="s">
        <v>142</v>
      </c>
      <c r="F6194" t="s">
        <v>7</v>
      </c>
      <c r="G6194" s="18">
        <v>2803</v>
      </c>
      <c r="H6194" t="s">
        <v>16</v>
      </c>
      <c r="I6194" s="151" t="s">
        <v>562</v>
      </c>
    </row>
    <row r="6195" spans="1:9" x14ac:dyDescent="0.25">
      <c r="A6195">
        <v>1817</v>
      </c>
      <c r="B6195">
        <f>A6195+1</f>
        <v>1818</v>
      </c>
      <c r="C6195" t="s">
        <v>523</v>
      </c>
      <c r="D6195" t="s">
        <v>27</v>
      </c>
      <c r="E6195" s="208" t="s">
        <v>124</v>
      </c>
      <c r="F6195" t="s">
        <v>7</v>
      </c>
      <c r="G6195" s="18">
        <v>13507624</v>
      </c>
      <c r="H6195" t="s">
        <v>16</v>
      </c>
      <c r="I6195" s="151" t="s">
        <v>562</v>
      </c>
    </row>
    <row r="6196" spans="1:9" x14ac:dyDescent="0.25">
      <c r="A6196">
        <v>1817</v>
      </c>
      <c r="B6196">
        <f>A6196+1</f>
        <v>1818</v>
      </c>
      <c r="C6196" t="s">
        <v>523</v>
      </c>
      <c r="D6196" t="s">
        <v>26</v>
      </c>
      <c r="E6196" s="208" t="s">
        <v>62</v>
      </c>
      <c r="F6196" t="s">
        <v>7</v>
      </c>
      <c r="G6196" s="18">
        <v>44636</v>
      </c>
      <c r="H6196" s="151" t="s">
        <v>563</v>
      </c>
      <c r="I6196" t="s">
        <v>16</v>
      </c>
    </row>
    <row r="6197" spans="1:9" x14ac:dyDescent="0.25">
      <c r="A6197">
        <v>1817</v>
      </c>
      <c r="B6197">
        <f>A6197+1</f>
        <v>1818</v>
      </c>
      <c r="C6197" t="s">
        <v>523</v>
      </c>
      <c r="D6197" t="s">
        <v>26</v>
      </c>
      <c r="E6197" s="208" t="s">
        <v>36</v>
      </c>
      <c r="F6197" t="s">
        <v>7</v>
      </c>
      <c r="G6197" s="18">
        <v>3576</v>
      </c>
      <c r="H6197" s="151" t="s">
        <v>563</v>
      </c>
      <c r="I6197" t="s">
        <v>16</v>
      </c>
    </row>
    <row r="6198" spans="1:9" x14ac:dyDescent="0.25">
      <c r="A6198">
        <v>1817</v>
      </c>
      <c r="B6198">
        <f>A6198+1</f>
        <v>1818</v>
      </c>
      <c r="C6198" t="s">
        <v>523</v>
      </c>
      <c r="D6198" t="s">
        <v>26</v>
      </c>
      <c r="E6198" s="208" t="s">
        <v>35</v>
      </c>
      <c r="F6198" t="s">
        <v>7</v>
      </c>
      <c r="G6198" s="18">
        <v>4666</v>
      </c>
      <c r="H6198" s="151" t="s">
        <v>563</v>
      </c>
      <c r="I6198" t="s">
        <v>16</v>
      </c>
    </row>
    <row r="6199" spans="1:9" x14ac:dyDescent="0.25">
      <c r="A6199">
        <v>1817</v>
      </c>
      <c r="B6199">
        <f>A6199+1</f>
        <v>1818</v>
      </c>
      <c r="C6199" t="s">
        <v>523</v>
      </c>
      <c r="D6199" t="s">
        <v>26</v>
      </c>
      <c r="E6199" s="208" t="s">
        <v>39</v>
      </c>
      <c r="F6199" t="s">
        <v>7</v>
      </c>
      <c r="G6199" s="18">
        <v>1571</v>
      </c>
      <c r="H6199" s="151" t="s">
        <v>563</v>
      </c>
      <c r="I6199" t="s">
        <v>16</v>
      </c>
    </row>
    <row r="6200" spans="1:9" x14ac:dyDescent="0.25">
      <c r="A6200">
        <v>1817</v>
      </c>
      <c r="B6200">
        <f>A6200+1</f>
        <v>1818</v>
      </c>
      <c r="C6200" t="s">
        <v>523</v>
      </c>
      <c r="D6200" t="s">
        <v>26</v>
      </c>
      <c r="E6200" s="208" t="s">
        <v>99</v>
      </c>
      <c r="F6200" t="s">
        <v>7</v>
      </c>
      <c r="G6200" s="18">
        <v>972</v>
      </c>
      <c r="H6200" s="151" t="s">
        <v>563</v>
      </c>
      <c r="I6200" t="s">
        <v>16</v>
      </c>
    </row>
    <row r="6201" spans="1:9" x14ac:dyDescent="0.25">
      <c r="A6201">
        <v>1817</v>
      </c>
      <c r="B6201">
        <f>A6201+1</f>
        <v>1818</v>
      </c>
      <c r="C6201" t="s">
        <v>523</v>
      </c>
      <c r="D6201" t="s">
        <v>26</v>
      </c>
      <c r="E6201" s="208" t="s">
        <v>95</v>
      </c>
      <c r="F6201" t="s">
        <v>7</v>
      </c>
      <c r="G6201" s="18">
        <v>173</v>
      </c>
      <c r="H6201" s="151" t="s">
        <v>563</v>
      </c>
      <c r="I6201" t="s">
        <v>16</v>
      </c>
    </row>
    <row r="6202" spans="1:9" x14ac:dyDescent="0.25">
      <c r="A6202">
        <v>1817</v>
      </c>
      <c r="B6202">
        <f>A6202+1</f>
        <v>1818</v>
      </c>
      <c r="C6202" t="s">
        <v>523</v>
      </c>
      <c r="D6202" t="s">
        <v>26</v>
      </c>
      <c r="E6202" s="208" t="s">
        <v>94</v>
      </c>
      <c r="F6202" t="s">
        <v>7</v>
      </c>
      <c r="G6202" s="18">
        <v>3352</v>
      </c>
      <c r="H6202" s="151" t="s">
        <v>563</v>
      </c>
      <c r="I6202" t="s">
        <v>16</v>
      </c>
    </row>
    <row r="6203" spans="1:9" x14ac:dyDescent="0.25">
      <c r="A6203">
        <v>1817</v>
      </c>
      <c r="B6203">
        <f>A6203+1</f>
        <v>1818</v>
      </c>
      <c r="C6203" t="s">
        <v>523</v>
      </c>
      <c r="D6203" t="s">
        <v>26</v>
      </c>
      <c r="E6203" s="208" t="s">
        <v>386</v>
      </c>
      <c r="F6203" t="s">
        <v>7</v>
      </c>
      <c r="G6203" s="18">
        <v>20154</v>
      </c>
      <c r="H6203" s="151" t="s">
        <v>563</v>
      </c>
      <c r="I6203" t="s">
        <v>16</v>
      </c>
    </row>
    <row r="6204" spans="1:9" x14ac:dyDescent="0.25">
      <c r="A6204">
        <v>1817</v>
      </c>
      <c r="B6204">
        <f>A6204+1</f>
        <v>1818</v>
      </c>
      <c r="C6204" t="s">
        <v>523</v>
      </c>
      <c r="D6204" t="s">
        <v>26</v>
      </c>
      <c r="E6204" s="208" t="s">
        <v>387</v>
      </c>
      <c r="F6204" t="s">
        <v>7</v>
      </c>
      <c r="G6204" s="18">
        <v>2506</v>
      </c>
      <c r="H6204" s="151" t="s">
        <v>563</v>
      </c>
      <c r="I6204" t="s">
        <v>16</v>
      </c>
    </row>
    <row r="6205" spans="1:9" x14ac:dyDescent="0.25">
      <c r="A6205">
        <v>1817</v>
      </c>
      <c r="B6205">
        <f>A6205+1</f>
        <v>1818</v>
      </c>
      <c r="C6205" t="s">
        <v>523</v>
      </c>
      <c r="D6205" t="s">
        <v>26</v>
      </c>
      <c r="E6205" s="208" t="s">
        <v>388</v>
      </c>
      <c r="F6205" t="s">
        <v>7</v>
      </c>
      <c r="G6205" s="18">
        <v>9283</v>
      </c>
      <c r="H6205" s="151" t="s">
        <v>563</v>
      </c>
      <c r="I6205" t="s">
        <v>16</v>
      </c>
    </row>
    <row r="6206" spans="1:9" x14ac:dyDescent="0.25">
      <c r="A6206">
        <v>1817</v>
      </c>
      <c r="B6206">
        <f>A6206+1</f>
        <v>1818</v>
      </c>
      <c r="C6206" t="s">
        <v>523</v>
      </c>
      <c r="D6206" t="s">
        <v>26</v>
      </c>
      <c r="E6206" s="208" t="s">
        <v>85</v>
      </c>
      <c r="F6206" t="s">
        <v>7</v>
      </c>
      <c r="G6206" s="18">
        <v>63</v>
      </c>
      <c r="H6206" s="151" t="s">
        <v>563</v>
      </c>
      <c r="I6206" t="s">
        <v>16</v>
      </c>
    </row>
    <row r="6207" spans="1:9" x14ac:dyDescent="0.25">
      <c r="A6207">
        <v>1817</v>
      </c>
      <c r="B6207">
        <f>A6207+1</f>
        <v>1818</v>
      </c>
      <c r="C6207" t="s">
        <v>523</v>
      </c>
      <c r="D6207" t="s">
        <v>26</v>
      </c>
      <c r="E6207" s="208" t="s">
        <v>398</v>
      </c>
      <c r="F6207" t="s">
        <v>7</v>
      </c>
      <c r="G6207" s="18">
        <v>324</v>
      </c>
      <c r="H6207" s="151" t="s">
        <v>563</v>
      </c>
      <c r="I6207" t="s">
        <v>16</v>
      </c>
    </row>
    <row r="6208" spans="1:9" x14ac:dyDescent="0.25">
      <c r="A6208">
        <v>1817</v>
      </c>
      <c r="B6208">
        <f>A6208+1</f>
        <v>1818</v>
      </c>
      <c r="C6208" t="s">
        <v>523</v>
      </c>
      <c r="D6208" t="s">
        <v>26</v>
      </c>
      <c r="E6208" s="208" t="s">
        <v>107</v>
      </c>
      <c r="F6208" t="s">
        <v>7</v>
      </c>
      <c r="G6208" s="18">
        <v>1479470</v>
      </c>
      <c r="H6208" s="151" t="s">
        <v>563</v>
      </c>
      <c r="I6208" t="s">
        <v>16</v>
      </c>
    </row>
    <row r="6209" spans="1:9" x14ac:dyDescent="0.25">
      <c r="A6209">
        <v>1817</v>
      </c>
      <c r="B6209">
        <f>A6209+1</f>
        <v>1818</v>
      </c>
      <c r="C6209" t="s">
        <v>523</v>
      </c>
      <c r="D6209" t="s">
        <v>26</v>
      </c>
      <c r="E6209" s="208" t="s">
        <v>101</v>
      </c>
      <c r="F6209" t="s">
        <v>7</v>
      </c>
      <c r="G6209" s="18">
        <v>5216184</v>
      </c>
      <c r="H6209" s="151" t="s">
        <v>563</v>
      </c>
      <c r="I6209" t="s">
        <v>16</v>
      </c>
    </row>
    <row r="6210" spans="1:9" x14ac:dyDescent="0.25">
      <c r="A6210">
        <v>1817</v>
      </c>
      <c r="B6210">
        <f>A6210+1</f>
        <v>1818</v>
      </c>
      <c r="C6210" t="s">
        <v>523</v>
      </c>
      <c r="D6210" t="s">
        <v>26</v>
      </c>
      <c r="E6210" s="208" t="s">
        <v>75</v>
      </c>
      <c r="F6210" t="s">
        <v>7</v>
      </c>
      <c r="G6210" s="18">
        <v>3129635</v>
      </c>
      <c r="H6210" s="151" t="s">
        <v>563</v>
      </c>
      <c r="I6210" t="s">
        <v>16</v>
      </c>
    </row>
    <row r="6211" spans="1:9" x14ac:dyDescent="0.25">
      <c r="A6211">
        <v>1817</v>
      </c>
      <c r="B6211">
        <f>A6211+1</f>
        <v>1818</v>
      </c>
      <c r="C6211" t="s">
        <v>523</v>
      </c>
      <c r="D6211" t="s">
        <v>26</v>
      </c>
      <c r="E6211" s="208" t="s">
        <v>330</v>
      </c>
      <c r="F6211" t="s">
        <v>7</v>
      </c>
      <c r="G6211" s="18">
        <v>884</v>
      </c>
      <c r="H6211" s="151" t="s">
        <v>563</v>
      </c>
      <c r="I6211" t="s">
        <v>16</v>
      </c>
    </row>
    <row r="6212" spans="1:9" x14ac:dyDescent="0.25">
      <c r="A6212">
        <v>1817</v>
      </c>
      <c r="B6212">
        <f>A6212+1</f>
        <v>1818</v>
      </c>
      <c r="C6212" t="s">
        <v>523</v>
      </c>
      <c r="D6212" t="s">
        <v>26</v>
      </c>
      <c r="E6212" s="208" t="s">
        <v>331</v>
      </c>
      <c r="F6212" t="s">
        <v>7</v>
      </c>
      <c r="G6212" s="18">
        <v>3564</v>
      </c>
      <c r="H6212" s="151" t="s">
        <v>563</v>
      </c>
      <c r="I6212" t="s">
        <v>16</v>
      </c>
    </row>
    <row r="6213" spans="1:9" x14ac:dyDescent="0.25">
      <c r="A6213">
        <v>1817</v>
      </c>
      <c r="B6213">
        <f>A6213+1</f>
        <v>1818</v>
      </c>
      <c r="C6213" t="s">
        <v>523</v>
      </c>
      <c r="D6213" t="s">
        <v>26</v>
      </c>
      <c r="E6213" s="208" t="s">
        <v>332</v>
      </c>
      <c r="F6213" t="s">
        <v>7</v>
      </c>
      <c r="G6213" s="18">
        <v>748</v>
      </c>
      <c r="H6213" s="151" t="s">
        <v>563</v>
      </c>
      <c r="I6213" t="s">
        <v>16</v>
      </c>
    </row>
    <row r="6214" spans="1:9" x14ac:dyDescent="0.25">
      <c r="A6214">
        <v>1817</v>
      </c>
      <c r="B6214">
        <f>A6214+1</f>
        <v>1818</v>
      </c>
      <c r="C6214" t="s">
        <v>523</v>
      </c>
      <c r="D6214" t="s">
        <v>26</v>
      </c>
      <c r="E6214" s="208" t="s">
        <v>333</v>
      </c>
      <c r="F6214" t="s">
        <v>7</v>
      </c>
      <c r="G6214" s="18">
        <v>1842</v>
      </c>
      <c r="H6214" s="151" t="s">
        <v>563</v>
      </c>
      <c r="I6214" t="s">
        <v>16</v>
      </c>
    </row>
    <row r="6215" spans="1:9" x14ac:dyDescent="0.25">
      <c r="A6215">
        <v>1817</v>
      </c>
      <c r="B6215">
        <f>A6215+1</f>
        <v>1818</v>
      </c>
      <c r="C6215" t="s">
        <v>523</v>
      </c>
      <c r="D6215" t="s">
        <v>27</v>
      </c>
      <c r="E6215" s="208" t="s">
        <v>155</v>
      </c>
      <c r="F6215" t="s">
        <v>10</v>
      </c>
      <c r="G6215" s="18">
        <v>144</v>
      </c>
      <c r="H6215" t="s">
        <v>17</v>
      </c>
      <c r="I6215" t="s">
        <v>24</v>
      </c>
    </row>
    <row r="6216" spans="1:9" x14ac:dyDescent="0.25">
      <c r="A6216">
        <v>1817</v>
      </c>
      <c r="B6216">
        <f>A6216+1</f>
        <v>1818</v>
      </c>
      <c r="C6216" t="s">
        <v>523</v>
      </c>
      <c r="D6216" t="s">
        <v>27</v>
      </c>
      <c r="E6216" s="208" t="s">
        <v>156</v>
      </c>
      <c r="F6216" t="s">
        <v>10</v>
      </c>
      <c r="G6216" s="18">
        <v>36</v>
      </c>
      <c r="H6216" t="s">
        <v>17</v>
      </c>
      <c r="I6216" t="s">
        <v>24</v>
      </c>
    </row>
    <row r="6217" spans="1:9" x14ac:dyDescent="0.25">
      <c r="A6217">
        <v>1817</v>
      </c>
      <c r="B6217">
        <f>A6217+1</f>
        <v>1818</v>
      </c>
      <c r="C6217" t="s">
        <v>523</v>
      </c>
      <c r="D6217" t="s">
        <v>27</v>
      </c>
      <c r="E6217" s="208" t="s">
        <v>154</v>
      </c>
      <c r="F6217" t="s">
        <v>10</v>
      </c>
      <c r="G6217" s="18">
        <v>52</v>
      </c>
      <c r="H6217" t="s">
        <v>17</v>
      </c>
      <c r="I6217" t="s">
        <v>24</v>
      </c>
    </row>
    <row r="6218" spans="1:9" x14ac:dyDescent="0.25">
      <c r="A6218">
        <v>1817</v>
      </c>
      <c r="B6218">
        <f>A6218+1</f>
        <v>1818</v>
      </c>
      <c r="C6218" t="s">
        <v>523</v>
      </c>
      <c r="D6218" t="s">
        <v>27</v>
      </c>
      <c r="E6218" s="208" t="s">
        <v>150</v>
      </c>
      <c r="F6218" t="s">
        <v>10</v>
      </c>
      <c r="G6218" s="18">
        <v>3643</v>
      </c>
      <c r="H6218" t="s">
        <v>17</v>
      </c>
      <c r="I6218" t="s">
        <v>24</v>
      </c>
    </row>
    <row r="6219" spans="1:9" x14ac:dyDescent="0.25">
      <c r="A6219">
        <v>1817</v>
      </c>
      <c r="B6219">
        <f>A6219+1</f>
        <v>1818</v>
      </c>
      <c r="C6219" t="s">
        <v>523</v>
      </c>
      <c r="D6219" t="s">
        <v>27</v>
      </c>
      <c r="E6219" s="208" t="s">
        <v>148</v>
      </c>
      <c r="F6219" t="s">
        <v>10</v>
      </c>
      <c r="G6219" s="18">
        <v>85</v>
      </c>
      <c r="H6219" t="s">
        <v>17</v>
      </c>
      <c r="I6219" t="s">
        <v>24</v>
      </c>
    </row>
    <row r="6220" spans="1:9" x14ac:dyDescent="0.25">
      <c r="A6220">
        <v>1817</v>
      </c>
      <c r="B6220">
        <f>A6220+1</f>
        <v>1818</v>
      </c>
      <c r="C6220" t="s">
        <v>523</v>
      </c>
      <c r="D6220" t="s">
        <v>27</v>
      </c>
      <c r="E6220" s="208" t="s">
        <v>147</v>
      </c>
      <c r="F6220" t="s">
        <v>10</v>
      </c>
      <c r="G6220" s="18">
        <v>0</v>
      </c>
      <c r="H6220" t="s">
        <v>17</v>
      </c>
      <c r="I6220" t="s">
        <v>24</v>
      </c>
    </row>
    <row r="6221" spans="1:9" x14ac:dyDescent="0.25">
      <c r="A6221">
        <v>1817</v>
      </c>
      <c r="B6221">
        <f>A6221+1</f>
        <v>1818</v>
      </c>
      <c r="C6221" t="s">
        <v>523</v>
      </c>
      <c r="D6221" t="s">
        <v>27</v>
      </c>
      <c r="E6221" s="208" t="s">
        <v>314</v>
      </c>
      <c r="F6221" t="s">
        <v>10</v>
      </c>
      <c r="G6221" s="18">
        <v>0</v>
      </c>
      <c r="H6221" t="s">
        <v>17</v>
      </c>
      <c r="I6221" t="s">
        <v>24</v>
      </c>
    </row>
    <row r="6222" spans="1:9" x14ac:dyDescent="0.25">
      <c r="A6222">
        <v>1817</v>
      </c>
      <c r="B6222">
        <f>A6222+1</f>
        <v>1818</v>
      </c>
      <c r="C6222" t="s">
        <v>523</v>
      </c>
      <c r="D6222" t="s">
        <v>27</v>
      </c>
      <c r="E6222" s="208" t="s">
        <v>139</v>
      </c>
      <c r="F6222" t="s">
        <v>10</v>
      </c>
      <c r="G6222" s="18">
        <v>96</v>
      </c>
      <c r="H6222" t="s">
        <v>17</v>
      </c>
      <c r="I6222" t="s">
        <v>24</v>
      </c>
    </row>
    <row r="6223" spans="1:9" x14ac:dyDescent="0.25">
      <c r="A6223">
        <v>1817</v>
      </c>
      <c r="B6223">
        <f>A6223+1</f>
        <v>1818</v>
      </c>
      <c r="C6223" t="s">
        <v>523</v>
      </c>
      <c r="D6223" t="s">
        <v>27</v>
      </c>
      <c r="E6223" s="208" t="s">
        <v>132</v>
      </c>
      <c r="F6223" t="s">
        <v>10</v>
      </c>
      <c r="G6223" s="18">
        <v>0</v>
      </c>
      <c r="H6223" t="s">
        <v>17</v>
      </c>
      <c r="I6223" t="s">
        <v>24</v>
      </c>
    </row>
    <row r="6224" spans="1:9" x14ac:dyDescent="0.25">
      <c r="A6224">
        <v>1817</v>
      </c>
      <c r="B6224">
        <f>A6224+1</f>
        <v>1818</v>
      </c>
      <c r="C6224" t="s">
        <v>523</v>
      </c>
      <c r="D6224" t="s">
        <v>27</v>
      </c>
      <c r="E6224" s="208" t="s">
        <v>130</v>
      </c>
      <c r="F6224" t="s">
        <v>10</v>
      </c>
      <c r="G6224" s="18">
        <v>2</v>
      </c>
      <c r="H6224" t="s">
        <v>17</v>
      </c>
      <c r="I6224" t="s">
        <v>24</v>
      </c>
    </row>
    <row r="6225" spans="1:9" x14ac:dyDescent="0.25">
      <c r="A6225">
        <v>1817</v>
      </c>
      <c r="B6225">
        <f>A6225+1</f>
        <v>1818</v>
      </c>
      <c r="C6225" t="s">
        <v>523</v>
      </c>
      <c r="D6225" t="s">
        <v>27</v>
      </c>
      <c r="E6225" s="208" t="s">
        <v>144</v>
      </c>
      <c r="F6225" t="s">
        <v>10</v>
      </c>
      <c r="G6225" s="18">
        <v>13</v>
      </c>
      <c r="H6225" t="s">
        <v>17</v>
      </c>
      <c r="I6225" t="s">
        <v>24</v>
      </c>
    </row>
    <row r="6226" spans="1:9" x14ac:dyDescent="0.25">
      <c r="A6226">
        <v>1817</v>
      </c>
      <c r="B6226">
        <f>A6226+1</f>
        <v>1818</v>
      </c>
      <c r="C6226" t="s">
        <v>523</v>
      </c>
      <c r="D6226" t="s">
        <v>27</v>
      </c>
      <c r="E6226" s="208" t="s">
        <v>142</v>
      </c>
      <c r="F6226" t="s">
        <v>10</v>
      </c>
      <c r="G6226" s="18">
        <v>214</v>
      </c>
      <c r="H6226" t="s">
        <v>17</v>
      </c>
      <c r="I6226" t="s">
        <v>24</v>
      </c>
    </row>
    <row r="6227" spans="1:9" x14ac:dyDescent="0.25">
      <c r="A6227">
        <v>1817</v>
      </c>
      <c r="B6227">
        <f>A6227+1</f>
        <v>1818</v>
      </c>
      <c r="C6227" t="s">
        <v>523</v>
      </c>
      <c r="D6227" t="s">
        <v>27</v>
      </c>
      <c r="E6227" s="208" t="s">
        <v>124</v>
      </c>
      <c r="F6227" t="s">
        <v>10</v>
      </c>
      <c r="G6227" s="18">
        <v>56795</v>
      </c>
      <c r="H6227" t="s">
        <v>17</v>
      </c>
      <c r="I6227" t="s">
        <v>24</v>
      </c>
    </row>
    <row r="6228" spans="1:9" x14ac:dyDescent="0.25">
      <c r="A6228">
        <v>1817</v>
      </c>
      <c r="B6228">
        <f>A6228+1</f>
        <v>1818</v>
      </c>
      <c r="C6228" t="s">
        <v>523</v>
      </c>
      <c r="D6228" t="s">
        <v>26</v>
      </c>
      <c r="E6228" s="208" t="s">
        <v>62</v>
      </c>
      <c r="F6228" t="s">
        <v>10</v>
      </c>
      <c r="G6228" s="18">
        <v>411</v>
      </c>
      <c r="H6228" t="s">
        <v>24</v>
      </c>
      <c r="I6228" t="s">
        <v>17</v>
      </c>
    </row>
    <row r="6229" spans="1:9" x14ac:dyDescent="0.25">
      <c r="A6229">
        <v>1817</v>
      </c>
      <c r="B6229">
        <f>A6229+1</f>
        <v>1818</v>
      </c>
      <c r="C6229" t="s">
        <v>523</v>
      </c>
      <c r="D6229" t="s">
        <v>26</v>
      </c>
      <c r="E6229" s="208" t="s">
        <v>36</v>
      </c>
      <c r="F6229" t="s">
        <v>10</v>
      </c>
      <c r="G6229" s="18">
        <v>10</v>
      </c>
      <c r="H6229" t="s">
        <v>24</v>
      </c>
      <c r="I6229" t="s">
        <v>17</v>
      </c>
    </row>
    <row r="6230" spans="1:9" x14ac:dyDescent="0.25">
      <c r="A6230">
        <v>1817</v>
      </c>
      <c r="B6230">
        <f>A6230+1</f>
        <v>1818</v>
      </c>
      <c r="C6230" t="s">
        <v>523</v>
      </c>
      <c r="D6230" t="s">
        <v>26</v>
      </c>
      <c r="E6230" s="208" t="s">
        <v>35</v>
      </c>
      <c r="F6230" t="s">
        <v>10</v>
      </c>
      <c r="G6230" s="18">
        <v>0</v>
      </c>
      <c r="H6230" t="s">
        <v>24</v>
      </c>
      <c r="I6230" t="s">
        <v>17</v>
      </c>
    </row>
    <row r="6231" spans="1:9" x14ac:dyDescent="0.25">
      <c r="A6231">
        <v>1817</v>
      </c>
      <c r="B6231">
        <f>A6231+1</f>
        <v>1818</v>
      </c>
      <c r="C6231" t="s">
        <v>523</v>
      </c>
      <c r="D6231" t="s">
        <v>26</v>
      </c>
      <c r="E6231" s="208" t="s">
        <v>39</v>
      </c>
      <c r="F6231" t="s">
        <v>10</v>
      </c>
      <c r="G6231" s="18">
        <v>12</v>
      </c>
      <c r="H6231" t="s">
        <v>24</v>
      </c>
      <c r="I6231" t="s">
        <v>17</v>
      </c>
    </row>
    <row r="6232" spans="1:9" x14ac:dyDescent="0.25">
      <c r="A6232">
        <v>1817</v>
      </c>
      <c r="B6232">
        <f>A6232+1</f>
        <v>1818</v>
      </c>
      <c r="C6232" t="s">
        <v>523</v>
      </c>
      <c r="D6232" t="s">
        <v>26</v>
      </c>
      <c r="E6232" s="208" t="s">
        <v>99</v>
      </c>
      <c r="F6232" t="s">
        <v>10</v>
      </c>
      <c r="G6232" s="18">
        <v>0</v>
      </c>
      <c r="H6232" t="s">
        <v>24</v>
      </c>
      <c r="I6232" t="s">
        <v>17</v>
      </c>
    </row>
    <row r="6233" spans="1:9" x14ac:dyDescent="0.25">
      <c r="A6233">
        <v>1817</v>
      </c>
      <c r="B6233">
        <f>A6233+1</f>
        <v>1818</v>
      </c>
      <c r="C6233" t="s">
        <v>523</v>
      </c>
      <c r="D6233" t="s">
        <v>26</v>
      </c>
      <c r="E6233" s="208" t="s">
        <v>95</v>
      </c>
      <c r="F6233" t="s">
        <v>10</v>
      </c>
      <c r="G6233" s="18">
        <v>0</v>
      </c>
      <c r="H6233" t="s">
        <v>24</v>
      </c>
      <c r="I6233" t="s">
        <v>17</v>
      </c>
    </row>
    <row r="6234" spans="1:9" x14ac:dyDescent="0.25">
      <c r="A6234">
        <v>1817</v>
      </c>
      <c r="B6234">
        <f>A6234+1</f>
        <v>1818</v>
      </c>
      <c r="C6234" t="s">
        <v>523</v>
      </c>
      <c r="D6234" t="s">
        <v>26</v>
      </c>
      <c r="E6234" s="208" t="s">
        <v>94</v>
      </c>
      <c r="F6234" t="s">
        <v>10</v>
      </c>
      <c r="G6234" s="18">
        <v>0</v>
      </c>
      <c r="H6234" t="s">
        <v>24</v>
      </c>
      <c r="I6234" t="s">
        <v>17</v>
      </c>
    </row>
    <row r="6235" spans="1:9" x14ac:dyDescent="0.25">
      <c r="A6235">
        <v>1817</v>
      </c>
      <c r="B6235">
        <f>A6235+1</f>
        <v>1818</v>
      </c>
      <c r="C6235" t="s">
        <v>523</v>
      </c>
      <c r="D6235" t="s">
        <v>26</v>
      </c>
      <c r="E6235" s="208" t="s">
        <v>386</v>
      </c>
      <c r="F6235" t="s">
        <v>10</v>
      </c>
      <c r="G6235" s="18">
        <v>0</v>
      </c>
      <c r="H6235" t="s">
        <v>24</v>
      </c>
      <c r="I6235" t="s">
        <v>17</v>
      </c>
    </row>
    <row r="6236" spans="1:9" x14ac:dyDescent="0.25">
      <c r="A6236">
        <v>1817</v>
      </c>
      <c r="B6236">
        <f>A6236+1</f>
        <v>1818</v>
      </c>
      <c r="C6236" t="s">
        <v>523</v>
      </c>
      <c r="D6236" t="s">
        <v>26</v>
      </c>
      <c r="E6236" s="208" t="s">
        <v>387</v>
      </c>
      <c r="F6236" t="s">
        <v>10</v>
      </c>
      <c r="G6236" s="18">
        <v>0</v>
      </c>
      <c r="H6236" t="s">
        <v>24</v>
      </c>
      <c r="I6236" t="s">
        <v>17</v>
      </c>
    </row>
    <row r="6237" spans="1:9" x14ac:dyDescent="0.25">
      <c r="A6237">
        <v>1817</v>
      </c>
      <c r="B6237">
        <f>A6237+1</f>
        <v>1818</v>
      </c>
      <c r="C6237" t="s">
        <v>523</v>
      </c>
      <c r="D6237" t="s">
        <v>26</v>
      </c>
      <c r="E6237" s="208" t="s">
        <v>388</v>
      </c>
      <c r="F6237" t="s">
        <v>10</v>
      </c>
      <c r="G6237" s="18">
        <v>0</v>
      </c>
      <c r="H6237" t="s">
        <v>24</v>
      </c>
      <c r="I6237" t="s">
        <v>17</v>
      </c>
    </row>
    <row r="6238" spans="1:9" x14ac:dyDescent="0.25">
      <c r="A6238">
        <v>1817</v>
      </c>
      <c r="B6238">
        <f>A6238+1</f>
        <v>1818</v>
      </c>
      <c r="C6238" t="s">
        <v>523</v>
      </c>
      <c r="D6238" t="s">
        <v>26</v>
      </c>
      <c r="E6238" s="208" t="s">
        <v>85</v>
      </c>
      <c r="F6238" t="s">
        <v>10</v>
      </c>
      <c r="G6238" s="18">
        <v>0</v>
      </c>
      <c r="H6238" t="s">
        <v>24</v>
      </c>
      <c r="I6238" t="s">
        <v>17</v>
      </c>
    </row>
    <row r="6239" spans="1:9" x14ac:dyDescent="0.25">
      <c r="A6239">
        <v>1817</v>
      </c>
      <c r="B6239">
        <f>A6239+1</f>
        <v>1818</v>
      </c>
      <c r="C6239" t="s">
        <v>523</v>
      </c>
      <c r="D6239" t="s">
        <v>26</v>
      </c>
      <c r="E6239" s="208" t="s">
        <v>398</v>
      </c>
      <c r="F6239" t="s">
        <v>10</v>
      </c>
      <c r="G6239" s="18">
        <v>0</v>
      </c>
      <c r="H6239" t="s">
        <v>24</v>
      </c>
      <c r="I6239" t="s">
        <v>17</v>
      </c>
    </row>
    <row r="6240" spans="1:9" x14ac:dyDescent="0.25">
      <c r="A6240">
        <v>1817</v>
      </c>
      <c r="B6240">
        <f>A6240+1</f>
        <v>1818</v>
      </c>
      <c r="C6240" t="s">
        <v>523</v>
      </c>
      <c r="D6240" t="s">
        <v>26</v>
      </c>
      <c r="E6240" s="208" t="s">
        <v>107</v>
      </c>
      <c r="F6240" t="s">
        <v>10</v>
      </c>
      <c r="G6240" s="18">
        <v>242964</v>
      </c>
      <c r="H6240" t="s">
        <v>24</v>
      </c>
      <c r="I6240" t="s">
        <v>17</v>
      </c>
    </row>
    <row r="6241" spans="1:9" x14ac:dyDescent="0.25">
      <c r="A6241">
        <v>1817</v>
      </c>
      <c r="B6241">
        <f>A6241+1</f>
        <v>1818</v>
      </c>
      <c r="C6241" t="s">
        <v>523</v>
      </c>
      <c r="D6241" t="s">
        <v>26</v>
      </c>
      <c r="E6241" s="208" t="s">
        <v>101</v>
      </c>
      <c r="F6241" t="s">
        <v>10</v>
      </c>
      <c r="G6241" s="18">
        <v>903400</v>
      </c>
      <c r="H6241" t="s">
        <v>24</v>
      </c>
      <c r="I6241" t="s">
        <v>17</v>
      </c>
    </row>
    <row r="6242" spans="1:9" x14ac:dyDescent="0.25">
      <c r="A6242">
        <v>1817</v>
      </c>
      <c r="B6242">
        <f>A6242+1</f>
        <v>1818</v>
      </c>
      <c r="C6242" t="s">
        <v>523</v>
      </c>
      <c r="D6242" t="s">
        <v>26</v>
      </c>
      <c r="E6242" s="208" t="s">
        <v>75</v>
      </c>
      <c r="F6242" t="s">
        <v>10</v>
      </c>
      <c r="G6242" s="18">
        <v>2032151</v>
      </c>
      <c r="H6242" t="s">
        <v>24</v>
      </c>
      <c r="I6242" t="s">
        <v>17</v>
      </c>
    </row>
    <row r="6243" spans="1:9" x14ac:dyDescent="0.25">
      <c r="A6243">
        <v>1817</v>
      </c>
      <c r="B6243">
        <f>A6243+1</f>
        <v>1818</v>
      </c>
      <c r="C6243" t="s">
        <v>523</v>
      </c>
      <c r="D6243" t="s">
        <v>26</v>
      </c>
      <c r="E6243" s="208" t="s">
        <v>330</v>
      </c>
      <c r="F6243" t="s">
        <v>10</v>
      </c>
      <c r="G6243" s="18">
        <v>0</v>
      </c>
      <c r="H6243" t="s">
        <v>24</v>
      </c>
      <c r="I6243" t="s">
        <v>17</v>
      </c>
    </row>
    <row r="6244" spans="1:9" x14ac:dyDescent="0.25">
      <c r="A6244">
        <v>1817</v>
      </c>
      <c r="B6244">
        <f>A6244+1</f>
        <v>1818</v>
      </c>
      <c r="C6244" t="s">
        <v>523</v>
      </c>
      <c r="D6244" t="s">
        <v>26</v>
      </c>
      <c r="E6244" s="208" t="s">
        <v>331</v>
      </c>
      <c r="F6244" t="s">
        <v>10</v>
      </c>
      <c r="G6244" s="18">
        <v>0</v>
      </c>
      <c r="H6244" t="s">
        <v>24</v>
      </c>
      <c r="I6244" t="s">
        <v>17</v>
      </c>
    </row>
    <row r="6245" spans="1:9" x14ac:dyDescent="0.25">
      <c r="A6245">
        <v>1817</v>
      </c>
      <c r="B6245">
        <f>A6245+1</f>
        <v>1818</v>
      </c>
      <c r="C6245" t="s">
        <v>523</v>
      </c>
      <c r="D6245" t="s">
        <v>26</v>
      </c>
      <c r="E6245" s="208" t="s">
        <v>332</v>
      </c>
      <c r="F6245" t="s">
        <v>10</v>
      </c>
      <c r="G6245" s="18">
        <v>0</v>
      </c>
      <c r="H6245" t="s">
        <v>24</v>
      </c>
      <c r="I6245" t="s">
        <v>17</v>
      </c>
    </row>
    <row r="6246" spans="1:9" x14ac:dyDescent="0.25">
      <c r="A6246">
        <v>1817</v>
      </c>
      <c r="B6246">
        <f>A6246+1</f>
        <v>1818</v>
      </c>
      <c r="C6246" t="s">
        <v>523</v>
      </c>
      <c r="D6246" t="s">
        <v>26</v>
      </c>
      <c r="E6246" s="208" t="s">
        <v>333</v>
      </c>
      <c r="F6246" t="s">
        <v>10</v>
      </c>
      <c r="G6246" s="18">
        <v>0</v>
      </c>
      <c r="H6246" t="s">
        <v>24</v>
      </c>
      <c r="I6246" t="s">
        <v>17</v>
      </c>
    </row>
    <row r="6247" spans="1:9" x14ac:dyDescent="0.25">
      <c r="A6247">
        <v>1817</v>
      </c>
      <c r="B6247">
        <f>A6247+1</f>
        <v>1818</v>
      </c>
      <c r="C6247" t="s">
        <v>523</v>
      </c>
      <c r="D6247" t="s">
        <v>27</v>
      </c>
      <c r="E6247" s="208" t="s">
        <v>155</v>
      </c>
      <c r="F6247" t="s">
        <v>8</v>
      </c>
      <c r="G6247" s="18">
        <v>87832</v>
      </c>
      <c r="H6247" t="s">
        <v>17</v>
      </c>
      <c r="I6247" t="s">
        <v>18</v>
      </c>
    </row>
    <row r="6248" spans="1:9" x14ac:dyDescent="0.25">
      <c r="A6248">
        <v>1817</v>
      </c>
      <c r="B6248">
        <f>A6248+1</f>
        <v>1818</v>
      </c>
      <c r="C6248" t="s">
        <v>523</v>
      </c>
      <c r="D6248" t="s">
        <v>27</v>
      </c>
      <c r="E6248" s="208" t="s">
        <v>156</v>
      </c>
      <c r="F6248" t="s">
        <v>8</v>
      </c>
      <c r="G6248" s="18">
        <v>8949</v>
      </c>
      <c r="H6248" t="s">
        <v>17</v>
      </c>
      <c r="I6248" t="s">
        <v>18</v>
      </c>
    </row>
    <row r="6249" spans="1:9" x14ac:dyDescent="0.25">
      <c r="A6249">
        <v>1817</v>
      </c>
      <c r="B6249">
        <f>A6249+1</f>
        <v>1818</v>
      </c>
      <c r="C6249" t="s">
        <v>523</v>
      </c>
      <c r="D6249" t="s">
        <v>27</v>
      </c>
      <c r="E6249" s="208" t="s">
        <v>154</v>
      </c>
      <c r="F6249" t="s">
        <v>8</v>
      </c>
      <c r="G6249" s="18">
        <v>980</v>
      </c>
      <c r="H6249" t="s">
        <v>17</v>
      </c>
      <c r="I6249" t="s">
        <v>18</v>
      </c>
    </row>
    <row r="6250" spans="1:9" x14ac:dyDescent="0.25">
      <c r="A6250">
        <v>1817</v>
      </c>
      <c r="B6250">
        <f>A6250+1</f>
        <v>1818</v>
      </c>
      <c r="C6250" t="s">
        <v>523</v>
      </c>
      <c r="D6250" t="s">
        <v>27</v>
      </c>
      <c r="E6250" s="208" t="s">
        <v>150</v>
      </c>
      <c r="F6250" t="s">
        <v>8</v>
      </c>
      <c r="G6250" s="18">
        <v>28992</v>
      </c>
      <c r="H6250" t="s">
        <v>17</v>
      </c>
      <c r="I6250" t="s">
        <v>18</v>
      </c>
    </row>
    <row r="6251" spans="1:9" x14ac:dyDescent="0.25">
      <c r="A6251">
        <v>1817</v>
      </c>
      <c r="B6251">
        <f>A6251+1</f>
        <v>1818</v>
      </c>
      <c r="C6251" t="s">
        <v>523</v>
      </c>
      <c r="D6251" t="s">
        <v>27</v>
      </c>
      <c r="E6251" s="208" t="s">
        <v>148</v>
      </c>
      <c r="F6251" t="s">
        <v>8</v>
      </c>
      <c r="G6251" s="18">
        <v>454</v>
      </c>
      <c r="H6251" t="s">
        <v>17</v>
      </c>
      <c r="I6251" t="s">
        <v>18</v>
      </c>
    </row>
    <row r="6252" spans="1:9" x14ac:dyDescent="0.25">
      <c r="A6252">
        <v>1817</v>
      </c>
      <c r="B6252">
        <f>A6252+1</f>
        <v>1818</v>
      </c>
      <c r="C6252" t="s">
        <v>523</v>
      </c>
      <c r="D6252" t="s">
        <v>27</v>
      </c>
      <c r="E6252" s="208" t="s">
        <v>147</v>
      </c>
      <c r="F6252" t="s">
        <v>8</v>
      </c>
      <c r="G6252" s="18">
        <v>0</v>
      </c>
      <c r="H6252" t="s">
        <v>17</v>
      </c>
      <c r="I6252" t="s">
        <v>18</v>
      </c>
    </row>
    <row r="6253" spans="1:9" x14ac:dyDescent="0.25">
      <c r="A6253">
        <v>1817</v>
      </c>
      <c r="B6253">
        <f>A6253+1</f>
        <v>1818</v>
      </c>
      <c r="C6253" t="s">
        <v>523</v>
      </c>
      <c r="D6253" t="s">
        <v>27</v>
      </c>
      <c r="E6253" s="208" t="s">
        <v>314</v>
      </c>
      <c r="F6253" t="s">
        <v>8</v>
      </c>
      <c r="G6253" s="18">
        <v>0</v>
      </c>
      <c r="H6253" t="s">
        <v>17</v>
      </c>
      <c r="I6253" t="s">
        <v>18</v>
      </c>
    </row>
    <row r="6254" spans="1:9" x14ac:dyDescent="0.25">
      <c r="A6254">
        <v>1817</v>
      </c>
      <c r="B6254">
        <f>A6254+1</f>
        <v>1818</v>
      </c>
      <c r="C6254" t="s">
        <v>523</v>
      </c>
      <c r="D6254" t="s">
        <v>27</v>
      </c>
      <c r="E6254" s="208" t="s">
        <v>139</v>
      </c>
      <c r="F6254" t="s">
        <v>8</v>
      </c>
      <c r="G6254" s="18">
        <v>69</v>
      </c>
      <c r="H6254" t="s">
        <v>17</v>
      </c>
      <c r="I6254" t="s">
        <v>18</v>
      </c>
    </row>
    <row r="6255" spans="1:9" x14ac:dyDescent="0.25">
      <c r="A6255">
        <v>1817</v>
      </c>
      <c r="B6255">
        <f>A6255+1</f>
        <v>1818</v>
      </c>
      <c r="C6255" t="s">
        <v>523</v>
      </c>
      <c r="D6255" t="s">
        <v>27</v>
      </c>
      <c r="E6255" s="208" t="s">
        <v>132</v>
      </c>
      <c r="F6255" t="s">
        <v>8</v>
      </c>
      <c r="G6255" s="18">
        <v>1326</v>
      </c>
      <c r="H6255" t="s">
        <v>17</v>
      </c>
      <c r="I6255" t="s">
        <v>18</v>
      </c>
    </row>
    <row r="6256" spans="1:9" x14ac:dyDescent="0.25">
      <c r="A6256">
        <v>1817</v>
      </c>
      <c r="B6256">
        <f>A6256+1</f>
        <v>1818</v>
      </c>
      <c r="C6256" t="s">
        <v>523</v>
      </c>
      <c r="D6256" t="s">
        <v>27</v>
      </c>
      <c r="E6256" s="208" t="s">
        <v>130</v>
      </c>
      <c r="F6256" t="s">
        <v>8</v>
      </c>
      <c r="G6256" s="18">
        <v>968</v>
      </c>
      <c r="H6256" t="s">
        <v>17</v>
      </c>
      <c r="I6256" t="s">
        <v>18</v>
      </c>
    </row>
    <row r="6257" spans="1:9" x14ac:dyDescent="0.25">
      <c r="A6257">
        <v>1817</v>
      </c>
      <c r="B6257">
        <f>A6257+1</f>
        <v>1818</v>
      </c>
      <c r="C6257" t="s">
        <v>523</v>
      </c>
      <c r="D6257" t="s">
        <v>27</v>
      </c>
      <c r="E6257" s="208" t="s">
        <v>144</v>
      </c>
      <c r="F6257" t="s">
        <v>8</v>
      </c>
      <c r="G6257" s="18">
        <v>274</v>
      </c>
      <c r="H6257" t="s">
        <v>17</v>
      </c>
      <c r="I6257" t="s">
        <v>18</v>
      </c>
    </row>
    <row r="6258" spans="1:9" x14ac:dyDescent="0.25">
      <c r="A6258">
        <v>1817</v>
      </c>
      <c r="B6258">
        <f>A6258+1</f>
        <v>1818</v>
      </c>
      <c r="C6258" t="s">
        <v>523</v>
      </c>
      <c r="D6258" t="s">
        <v>27</v>
      </c>
      <c r="E6258" s="208" t="s">
        <v>142</v>
      </c>
      <c r="F6258" t="s">
        <v>8</v>
      </c>
      <c r="G6258" s="18">
        <v>15883</v>
      </c>
      <c r="H6258" t="s">
        <v>17</v>
      </c>
      <c r="I6258" t="s">
        <v>18</v>
      </c>
    </row>
    <row r="6259" spans="1:9" x14ac:dyDescent="0.25">
      <c r="A6259">
        <v>1817</v>
      </c>
      <c r="B6259">
        <f>A6259+1</f>
        <v>1818</v>
      </c>
      <c r="C6259" t="s">
        <v>523</v>
      </c>
      <c r="D6259" t="s">
        <v>27</v>
      </c>
      <c r="E6259" s="208" t="s">
        <v>124</v>
      </c>
      <c r="F6259" t="s">
        <v>8</v>
      </c>
      <c r="G6259" s="18">
        <v>11508875</v>
      </c>
      <c r="H6259" t="s">
        <v>17</v>
      </c>
      <c r="I6259" t="s">
        <v>18</v>
      </c>
    </row>
    <row r="6260" spans="1:9" x14ac:dyDescent="0.25">
      <c r="A6260">
        <v>1817</v>
      </c>
      <c r="B6260">
        <f>A6260+1</f>
        <v>1818</v>
      </c>
      <c r="C6260" t="s">
        <v>523</v>
      </c>
      <c r="D6260" t="s">
        <v>26</v>
      </c>
      <c r="E6260" s="208" t="s">
        <v>62</v>
      </c>
      <c r="F6260" t="s">
        <v>164</v>
      </c>
      <c r="G6260" s="18">
        <v>887</v>
      </c>
      <c r="H6260" t="s">
        <v>160</v>
      </c>
      <c r="I6260" t="s">
        <v>17</v>
      </c>
    </row>
    <row r="6261" spans="1:9" x14ac:dyDescent="0.25">
      <c r="A6261">
        <v>1817</v>
      </c>
      <c r="B6261">
        <f>A6261+1</f>
        <v>1818</v>
      </c>
      <c r="C6261" t="s">
        <v>523</v>
      </c>
      <c r="D6261" t="s">
        <v>26</v>
      </c>
      <c r="E6261" s="208" t="s">
        <v>36</v>
      </c>
      <c r="F6261" t="s">
        <v>164</v>
      </c>
      <c r="G6261" s="18">
        <v>0</v>
      </c>
      <c r="H6261" t="s">
        <v>160</v>
      </c>
      <c r="I6261" t="s">
        <v>17</v>
      </c>
    </row>
    <row r="6262" spans="1:9" x14ac:dyDescent="0.25">
      <c r="A6262">
        <v>1817</v>
      </c>
      <c r="B6262">
        <f>A6262+1</f>
        <v>1818</v>
      </c>
      <c r="C6262" t="s">
        <v>523</v>
      </c>
      <c r="D6262" t="s">
        <v>26</v>
      </c>
      <c r="E6262" s="208" t="s">
        <v>35</v>
      </c>
      <c r="F6262" t="s">
        <v>164</v>
      </c>
      <c r="G6262" s="18">
        <v>0</v>
      </c>
      <c r="H6262" t="s">
        <v>160</v>
      </c>
      <c r="I6262" t="s">
        <v>17</v>
      </c>
    </row>
    <row r="6263" spans="1:9" x14ac:dyDescent="0.25">
      <c r="A6263">
        <v>1817</v>
      </c>
      <c r="B6263">
        <f>A6263+1</f>
        <v>1818</v>
      </c>
      <c r="C6263" t="s">
        <v>523</v>
      </c>
      <c r="D6263" t="s">
        <v>26</v>
      </c>
      <c r="E6263" s="208" t="s">
        <v>39</v>
      </c>
      <c r="F6263" t="s">
        <v>164</v>
      </c>
      <c r="G6263" s="18">
        <v>0</v>
      </c>
      <c r="H6263" t="s">
        <v>160</v>
      </c>
      <c r="I6263" t="s">
        <v>17</v>
      </c>
    </row>
    <row r="6264" spans="1:9" x14ac:dyDescent="0.25">
      <c r="A6264">
        <v>1817</v>
      </c>
      <c r="B6264">
        <f>A6264+1</f>
        <v>1818</v>
      </c>
      <c r="C6264" t="s">
        <v>523</v>
      </c>
      <c r="D6264" t="s">
        <v>26</v>
      </c>
      <c r="E6264" s="208" t="s">
        <v>99</v>
      </c>
      <c r="F6264" t="s">
        <v>164</v>
      </c>
      <c r="G6264" s="18">
        <v>0</v>
      </c>
      <c r="H6264" t="s">
        <v>160</v>
      </c>
      <c r="I6264" t="s">
        <v>17</v>
      </c>
    </row>
    <row r="6265" spans="1:9" x14ac:dyDescent="0.25">
      <c r="A6265">
        <v>1817</v>
      </c>
      <c r="B6265">
        <f>A6265+1</f>
        <v>1818</v>
      </c>
      <c r="C6265" t="s">
        <v>523</v>
      </c>
      <c r="D6265" t="s">
        <v>26</v>
      </c>
      <c r="E6265" s="208" t="s">
        <v>95</v>
      </c>
      <c r="F6265" t="s">
        <v>164</v>
      </c>
      <c r="G6265" s="18">
        <v>0</v>
      </c>
      <c r="H6265" t="s">
        <v>160</v>
      </c>
      <c r="I6265" t="s">
        <v>17</v>
      </c>
    </row>
    <row r="6266" spans="1:9" x14ac:dyDescent="0.25">
      <c r="A6266">
        <v>1817</v>
      </c>
      <c r="B6266">
        <f>A6266+1</f>
        <v>1818</v>
      </c>
      <c r="C6266" t="s">
        <v>523</v>
      </c>
      <c r="D6266" t="s">
        <v>26</v>
      </c>
      <c r="E6266" s="208" t="s">
        <v>94</v>
      </c>
      <c r="F6266" t="s">
        <v>164</v>
      </c>
      <c r="G6266" s="18">
        <v>0</v>
      </c>
      <c r="H6266" t="s">
        <v>160</v>
      </c>
      <c r="I6266" t="s">
        <v>17</v>
      </c>
    </row>
    <row r="6267" spans="1:9" x14ac:dyDescent="0.25">
      <c r="A6267">
        <v>1817</v>
      </c>
      <c r="B6267">
        <f>A6267+1</f>
        <v>1818</v>
      </c>
      <c r="C6267" t="s">
        <v>523</v>
      </c>
      <c r="D6267" t="s">
        <v>26</v>
      </c>
      <c r="E6267" s="208" t="s">
        <v>386</v>
      </c>
      <c r="F6267" t="s">
        <v>164</v>
      </c>
      <c r="G6267" s="18">
        <v>0</v>
      </c>
      <c r="H6267" t="s">
        <v>160</v>
      </c>
      <c r="I6267" t="s">
        <v>17</v>
      </c>
    </row>
    <row r="6268" spans="1:9" x14ac:dyDescent="0.25">
      <c r="A6268">
        <v>1817</v>
      </c>
      <c r="B6268">
        <f>A6268+1</f>
        <v>1818</v>
      </c>
      <c r="C6268" t="s">
        <v>523</v>
      </c>
      <c r="D6268" t="s">
        <v>26</v>
      </c>
      <c r="E6268" s="208" t="s">
        <v>387</v>
      </c>
      <c r="F6268" t="s">
        <v>164</v>
      </c>
      <c r="G6268" s="18">
        <v>0</v>
      </c>
      <c r="H6268" t="s">
        <v>160</v>
      </c>
      <c r="I6268" t="s">
        <v>17</v>
      </c>
    </row>
    <row r="6269" spans="1:9" x14ac:dyDescent="0.25">
      <c r="A6269">
        <v>1817</v>
      </c>
      <c r="B6269">
        <f>A6269+1</f>
        <v>1818</v>
      </c>
      <c r="C6269" t="s">
        <v>523</v>
      </c>
      <c r="D6269" t="s">
        <v>26</v>
      </c>
      <c r="E6269" s="208" t="s">
        <v>388</v>
      </c>
      <c r="F6269" t="s">
        <v>164</v>
      </c>
      <c r="G6269" s="18">
        <v>0</v>
      </c>
      <c r="H6269" t="s">
        <v>160</v>
      </c>
      <c r="I6269" t="s">
        <v>17</v>
      </c>
    </row>
    <row r="6270" spans="1:9" x14ac:dyDescent="0.25">
      <c r="A6270">
        <v>1817</v>
      </c>
      <c r="B6270">
        <f>A6270+1</f>
        <v>1818</v>
      </c>
      <c r="C6270" t="s">
        <v>523</v>
      </c>
      <c r="D6270" t="s">
        <v>26</v>
      </c>
      <c r="E6270" s="208" t="s">
        <v>85</v>
      </c>
      <c r="F6270" t="s">
        <v>164</v>
      </c>
      <c r="G6270" s="18">
        <v>0</v>
      </c>
      <c r="H6270" t="s">
        <v>160</v>
      </c>
      <c r="I6270" t="s">
        <v>17</v>
      </c>
    </row>
    <row r="6271" spans="1:9" x14ac:dyDescent="0.25">
      <c r="A6271">
        <v>1817</v>
      </c>
      <c r="B6271">
        <f>A6271+1</f>
        <v>1818</v>
      </c>
      <c r="C6271" t="s">
        <v>523</v>
      </c>
      <c r="D6271" t="s">
        <v>26</v>
      </c>
      <c r="E6271" s="208" t="s">
        <v>398</v>
      </c>
      <c r="F6271" t="s">
        <v>164</v>
      </c>
      <c r="G6271" s="18">
        <v>0</v>
      </c>
      <c r="H6271" t="s">
        <v>160</v>
      </c>
      <c r="I6271" t="s">
        <v>17</v>
      </c>
    </row>
    <row r="6272" spans="1:9" x14ac:dyDescent="0.25">
      <c r="A6272">
        <v>1817</v>
      </c>
      <c r="B6272">
        <f>A6272+1</f>
        <v>1818</v>
      </c>
      <c r="C6272" t="s">
        <v>523</v>
      </c>
      <c r="D6272" t="s">
        <v>26</v>
      </c>
      <c r="E6272" s="208" t="s">
        <v>107</v>
      </c>
      <c r="F6272" t="s">
        <v>164</v>
      </c>
      <c r="G6272" s="18">
        <v>0</v>
      </c>
      <c r="H6272" t="s">
        <v>160</v>
      </c>
      <c r="I6272" t="s">
        <v>17</v>
      </c>
    </row>
    <row r="6273" spans="1:9" x14ac:dyDescent="0.25">
      <c r="A6273">
        <v>1817</v>
      </c>
      <c r="B6273">
        <f>A6273+1</f>
        <v>1818</v>
      </c>
      <c r="C6273" t="s">
        <v>523</v>
      </c>
      <c r="D6273" t="s">
        <v>26</v>
      </c>
      <c r="E6273" s="208" t="s">
        <v>101</v>
      </c>
      <c r="F6273" t="s">
        <v>164</v>
      </c>
      <c r="G6273" s="18">
        <v>0</v>
      </c>
      <c r="H6273" t="s">
        <v>160</v>
      </c>
      <c r="I6273" t="s">
        <v>17</v>
      </c>
    </row>
    <row r="6274" spans="1:9" x14ac:dyDescent="0.25">
      <c r="A6274">
        <v>1817</v>
      </c>
      <c r="B6274">
        <f>A6274+1</f>
        <v>1818</v>
      </c>
      <c r="C6274" t="s">
        <v>523</v>
      </c>
      <c r="D6274" t="s">
        <v>26</v>
      </c>
      <c r="E6274" s="208" t="s">
        <v>75</v>
      </c>
      <c r="F6274" t="s">
        <v>164</v>
      </c>
      <c r="G6274" s="18">
        <v>0</v>
      </c>
      <c r="H6274" t="s">
        <v>160</v>
      </c>
      <c r="I6274" t="s">
        <v>17</v>
      </c>
    </row>
    <row r="6275" spans="1:9" x14ac:dyDescent="0.25">
      <c r="A6275">
        <v>1817</v>
      </c>
      <c r="B6275">
        <f>A6275+1</f>
        <v>1818</v>
      </c>
      <c r="C6275" t="s">
        <v>523</v>
      </c>
      <c r="D6275" t="s">
        <v>26</v>
      </c>
      <c r="E6275" s="208" t="s">
        <v>330</v>
      </c>
      <c r="F6275" t="s">
        <v>164</v>
      </c>
      <c r="G6275" s="18">
        <v>0</v>
      </c>
      <c r="H6275" t="s">
        <v>160</v>
      </c>
      <c r="I6275" t="s">
        <v>17</v>
      </c>
    </row>
    <row r="6276" spans="1:9" x14ac:dyDescent="0.25">
      <c r="A6276">
        <v>1817</v>
      </c>
      <c r="B6276">
        <f>A6276+1</f>
        <v>1818</v>
      </c>
      <c r="C6276" t="s">
        <v>523</v>
      </c>
      <c r="D6276" t="s">
        <v>26</v>
      </c>
      <c r="E6276" s="208" t="s">
        <v>331</v>
      </c>
      <c r="F6276" t="s">
        <v>164</v>
      </c>
      <c r="G6276" s="18">
        <v>0</v>
      </c>
      <c r="H6276" t="s">
        <v>160</v>
      </c>
      <c r="I6276" t="s">
        <v>17</v>
      </c>
    </row>
    <row r="6277" spans="1:9" x14ac:dyDescent="0.25">
      <c r="A6277">
        <v>1817</v>
      </c>
      <c r="B6277">
        <f>A6277+1</f>
        <v>1818</v>
      </c>
      <c r="C6277" t="s">
        <v>523</v>
      </c>
      <c r="D6277" t="s">
        <v>26</v>
      </c>
      <c r="E6277" s="208" t="s">
        <v>332</v>
      </c>
      <c r="F6277" t="s">
        <v>164</v>
      </c>
      <c r="G6277" s="18">
        <v>0</v>
      </c>
      <c r="H6277" t="s">
        <v>160</v>
      </c>
      <c r="I6277" t="s">
        <v>17</v>
      </c>
    </row>
    <row r="6278" spans="1:9" x14ac:dyDescent="0.25">
      <c r="A6278">
        <v>1817</v>
      </c>
      <c r="B6278">
        <f>A6278+1</f>
        <v>1818</v>
      </c>
      <c r="C6278" t="s">
        <v>523</v>
      </c>
      <c r="D6278" t="s">
        <v>26</v>
      </c>
      <c r="E6278" s="208" t="s">
        <v>333</v>
      </c>
      <c r="F6278" t="s">
        <v>164</v>
      </c>
      <c r="G6278" s="18">
        <v>0</v>
      </c>
      <c r="H6278" t="s">
        <v>160</v>
      </c>
      <c r="I6278" t="s">
        <v>17</v>
      </c>
    </row>
    <row r="6279" spans="1:9" x14ac:dyDescent="0.25">
      <c r="A6279">
        <v>1817</v>
      </c>
      <c r="B6279">
        <f>A6279+1</f>
        <v>1818</v>
      </c>
      <c r="C6279" t="s">
        <v>523</v>
      </c>
      <c r="D6279" t="s">
        <v>27</v>
      </c>
      <c r="E6279" s="208" t="s">
        <v>155</v>
      </c>
      <c r="F6279" t="s">
        <v>9</v>
      </c>
      <c r="G6279" s="18">
        <v>100</v>
      </c>
      <c r="H6279" t="s">
        <v>17</v>
      </c>
      <c r="I6279" t="s">
        <v>21</v>
      </c>
    </row>
    <row r="6280" spans="1:9" x14ac:dyDescent="0.25">
      <c r="A6280">
        <v>1817</v>
      </c>
      <c r="B6280">
        <f>A6280+1</f>
        <v>1818</v>
      </c>
      <c r="C6280" t="s">
        <v>523</v>
      </c>
      <c r="D6280" t="s">
        <v>27</v>
      </c>
      <c r="E6280" s="208" t="s">
        <v>156</v>
      </c>
      <c r="F6280" t="s">
        <v>9</v>
      </c>
      <c r="G6280" s="18">
        <v>31</v>
      </c>
      <c r="H6280" t="s">
        <v>17</v>
      </c>
      <c r="I6280" t="s">
        <v>21</v>
      </c>
    </row>
    <row r="6281" spans="1:9" x14ac:dyDescent="0.25">
      <c r="A6281">
        <v>1817</v>
      </c>
      <c r="B6281">
        <f>A6281+1</f>
        <v>1818</v>
      </c>
      <c r="C6281" t="s">
        <v>523</v>
      </c>
      <c r="D6281" t="s">
        <v>27</v>
      </c>
      <c r="E6281" s="208" t="s">
        <v>154</v>
      </c>
      <c r="F6281" t="s">
        <v>9</v>
      </c>
      <c r="G6281" s="18">
        <v>0</v>
      </c>
      <c r="H6281" t="s">
        <v>17</v>
      </c>
      <c r="I6281" t="s">
        <v>21</v>
      </c>
    </row>
    <row r="6282" spans="1:9" x14ac:dyDescent="0.25">
      <c r="A6282">
        <v>1817</v>
      </c>
      <c r="B6282">
        <f>A6282+1</f>
        <v>1818</v>
      </c>
      <c r="C6282" t="s">
        <v>523</v>
      </c>
      <c r="D6282" t="s">
        <v>27</v>
      </c>
      <c r="E6282" s="208" t="s">
        <v>150</v>
      </c>
      <c r="F6282" t="s">
        <v>9</v>
      </c>
      <c r="G6282" s="18">
        <v>19</v>
      </c>
      <c r="H6282" t="s">
        <v>17</v>
      </c>
      <c r="I6282" t="s">
        <v>21</v>
      </c>
    </row>
    <row r="6283" spans="1:9" x14ac:dyDescent="0.25">
      <c r="A6283">
        <v>1817</v>
      </c>
      <c r="B6283">
        <f>A6283+1</f>
        <v>1818</v>
      </c>
      <c r="C6283" t="s">
        <v>523</v>
      </c>
      <c r="D6283" t="s">
        <v>27</v>
      </c>
      <c r="E6283" s="208" t="s">
        <v>148</v>
      </c>
      <c r="F6283" t="s">
        <v>9</v>
      </c>
      <c r="G6283" s="18">
        <v>41</v>
      </c>
      <c r="H6283" t="s">
        <v>17</v>
      </c>
      <c r="I6283" t="s">
        <v>21</v>
      </c>
    </row>
    <row r="6284" spans="1:9" x14ac:dyDescent="0.25">
      <c r="A6284">
        <v>1817</v>
      </c>
      <c r="B6284">
        <f>A6284+1</f>
        <v>1818</v>
      </c>
      <c r="C6284" t="s">
        <v>523</v>
      </c>
      <c r="D6284" t="s">
        <v>27</v>
      </c>
      <c r="E6284" s="208" t="s">
        <v>147</v>
      </c>
      <c r="F6284" t="s">
        <v>9</v>
      </c>
      <c r="G6284" s="18">
        <v>0</v>
      </c>
      <c r="H6284" t="s">
        <v>17</v>
      </c>
      <c r="I6284" t="s">
        <v>21</v>
      </c>
    </row>
    <row r="6285" spans="1:9" x14ac:dyDescent="0.25">
      <c r="A6285">
        <v>1817</v>
      </c>
      <c r="B6285">
        <f>A6285+1</f>
        <v>1818</v>
      </c>
      <c r="C6285" t="s">
        <v>523</v>
      </c>
      <c r="D6285" t="s">
        <v>27</v>
      </c>
      <c r="E6285" s="208" t="s">
        <v>314</v>
      </c>
      <c r="F6285" t="s">
        <v>9</v>
      </c>
      <c r="G6285" s="18">
        <v>0</v>
      </c>
      <c r="H6285" t="s">
        <v>17</v>
      </c>
      <c r="I6285" t="s">
        <v>21</v>
      </c>
    </row>
    <row r="6286" spans="1:9" x14ac:dyDescent="0.25">
      <c r="A6286">
        <v>1817</v>
      </c>
      <c r="B6286">
        <f>A6286+1</f>
        <v>1818</v>
      </c>
      <c r="C6286" t="s">
        <v>523</v>
      </c>
      <c r="D6286" t="s">
        <v>27</v>
      </c>
      <c r="E6286" s="208" t="s">
        <v>139</v>
      </c>
      <c r="F6286" t="s">
        <v>9</v>
      </c>
      <c r="G6286" s="18">
        <v>0</v>
      </c>
      <c r="H6286" t="s">
        <v>17</v>
      </c>
      <c r="I6286" t="s">
        <v>21</v>
      </c>
    </row>
    <row r="6287" spans="1:9" x14ac:dyDescent="0.25">
      <c r="A6287">
        <v>1817</v>
      </c>
      <c r="B6287">
        <f>A6287+1</f>
        <v>1818</v>
      </c>
      <c r="C6287" t="s">
        <v>523</v>
      </c>
      <c r="D6287" t="s">
        <v>27</v>
      </c>
      <c r="E6287" s="208" t="s">
        <v>132</v>
      </c>
      <c r="F6287" t="s">
        <v>9</v>
      </c>
      <c r="G6287" s="18">
        <v>5</v>
      </c>
      <c r="H6287" t="s">
        <v>17</v>
      </c>
      <c r="I6287" t="s">
        <v>21</v>
      </c>
    </row>
    <row r="6288" spans="1:9" x14ac:dyDescent="0.25">
      <c r="A6288">
        <v>1817</v>
      </c>
      <c r="B6288">
        <f>A6288+1</f>
        <v>1818</v>
      </c>
      <c r="C6288" t="s">
        <v>523</v>
      </c>
      <c r="D6288" t="s">
        <v>27</v>
      </c>
      <c r="E6288" s="208" t="s">
        <v>130</v>
      </c>
      <c r="F6288" t="s">
        <v>9</v>
      </c>
      <c r="G6288" s="18">
        <v>0</v>
      </c>
      <c r="H6288" t="s">
        <v>17</v>
      </c>
      <c r="I6288" t="s">
        <v>21</v>
      </c>
    </row>
    <row r="6289" spans="1:9" x14ac:dyDescent="0.25">
      <c r="A6289">
        <v>1817</v>
      </c>
      <c r="B6289">
        <f>A6289+1</f>
        <v>1818</v>
      </c>
      <c r="C6289" t="s">
        <v>523</v>
      </c>
      <c r="D6289" t="s">
        <v>27</v>
      </c>
      <c r="E6289" s="208" t="s">
        <v>144</v>
      </c>
      <c r="F6289" t="s">
        <v>9</v>
      </c>
      <c r="G6289" s="18">
        <v>0</v>
      </c>
      <c r="H6289" t="s">
        <v>17</v>
      </c>
      <c r="I6289" t="s">
        <v>21</v>
      </c>
    </row>
    <row r="6290" spans="1:9" x14ac:dyDescent="0.25">
      <c r="A6290">
        <v>1817</v>
      </c>
      <c r="B6290">
        <f>A6290+1</f>
        <v>1818</v>
      </c>
      <c r="C6290" t="s">
        <v>523</v>
      </c>
      <c r="D6290" t="s">
        <v>27</v>
      </c>
      <c r="E6290" s="208" t="s">
        <v>142</v>
      </c>
      <c r="F6290" t="s">
        <v>9</v>
      </c>
      <c r="G6290" s="18">
        <v>175</v>
      </c>
      <c r="H6290" t="s">
        <v>17</v>
      </c>
      <c r="I6290" t="s">
        <v>21</v>
      </c>
    </row>
    <row r="6291" spans="1:9" x14ac:dyDescent="0.25">
      <c r="A6291">
        <v>1817</v>
      </c>
      <c r="B6291">
        <f>A6291+1</f>
        <v>1818</v>
      </c>
      <c r="C6291" t="s">
        <v>523</v>
      </c>
      <c r="D6291" t="s">
        <v>27</v>
      </c>
      <c r="E6291" s="208" t="s">
        <v>124</v>
      </c>
      <c r="F6291" t="s">
        <v>9</v>
      </c>
      <c r="G6291" s="18">
        <v>44865</v>
      </c>
      <c r="H6291" t="s">
        <v>17</v>
      </c>
      <c r="I6291" t="s">
        <v>21</v>
      </c>
    </row>
    <row r="6292" spans="1:9" x14ac:dyDescent="0.25">
      <c r="A6292">
        <v>1817</v>
      </c>
      <c r="B6292">
        <f>A6292+1</f>
        <v>1818</v>
      </c>
      <c r="C6292" t="s">
        <v>523</v>
      </c>
      <c r="D6292" t="s">
        <v>27</v>
      </c>
      <c r="E6292" s="208" t="s">
        <v>155</v>
      </c>
      <c r="F6292" t="s">
        <v>13</v>
      </c>
      <c r="G6292" s="18">
        <v>0</v>
      </c>
      <c r="H6292" t="s">
        <v>17</v>
      </c>
      <c r="I6292" t="s">
        <v>25</v>
      </c>
    </row>
    <row r="6293" spans="1:9" x14ac:dyDescent="0.25">
      <c r="A6293">
        <v>1817</v>
      </c>
      <c r="B6293">
        <f>A6293+1</f>
        <v>1818</v>
      </c>
      <c r="C6293" t="s">
        <v>523</v>
      </c>
      <c r="D6293" t="s">
        <v>27</v>
      </c>
      <c r="E6293" s="208" t="s">
        <v>156</v>
      </c>
      <c r="F6293" t="s">
        <v>13</v>
      </c>
      <c r="G6293" s="18">
        <v>0</v>
      </c>
      <c r="H6293" t="s">
        <v>17</v>
      </c>
      <c r="I6293" t="s">
        <v>25</v>
      </c>
    </row>
    <row r="6294" spans="1:9" x14ac:dyDescent="0.25">
      <c r="A6294">
        <v>1817</v>
      </c>
      <c r="B6294">
        <f>A6294+1</f>
        <v>1818</v>
      </c>
      <c r="C6294" t="s">
        <v>523</v>
      </c>
      <c r="D6294" t="s">
        <v>27</v>
      </c>
      <c r="E6294" s="208" t="s">
        <v>154</v>
      </c>
      <c r="F6294" t="s">
        <v>13</v>
      </c>
      <c r="G6294" s="18">
        <v>0</v>
      </c>
      <c r="H6294" t="s">
        <v>17</v>
      </c>
      <c r="I6294" t="s">
        <v>25</v>
      </c>
    </row>
    <row r="6295" spans="1:9" x14ac:dyDescent="0.25">
      <c r="A6295">
        <v>1817</v>
      </c>
      <c r="B6295">
        <f>A6295+1</f>
        <v>1818</v>
      </c>
      <c r="C6295" t="s">
        <v>523</v>
      </c>
      <c r="D6295" t="s">
        <v>27</v>
      </c>
      <c r="E6295" s="208" t="s">
        <v>150</v>
      </c>
      <c r="F6295" t="s">
        <v>13</v>
      </c>
      <c r="G6295" s="18">
        <v>134</v>
      </c>
      <c r="H6295" t="s">
        <v>17</v>
      </c>
      <c r="I6295" t="s">
        <v>25</v>
      </c>
    </row>
    <row r="6296" spans="1:9" x14ac:dyDescent="0.25">
      <c r="A6296">
        <v>1817</v>
      </c>
      <c r="B6296">
        <f>A6296+1</f>
        <v>1818</v>
      </c>
      <c r="C6296" t="s">
        <v>523</v>
      </c>
      <c r="D6296" t="s">
        <v>27</v>
      </c>
      <c r="E6296" s="208" t="s">
        <v>148</v>
      </c>
      <c r="F6296" t="s">
        <v>13</v>
      </c>
      <c r="G6296" s="18">
        <v>0</v>
      </c>
      <c r="H6296" t="s">
        <v>17</v>
      </c>
      <c r="I6296" t="s">
        <v>25</v>
      </c>
    </row>
    <row r="6297" spans="1:9" x14ac:dyDescent="0.25">
      <c r="A6297">
        <v>1817</v>
      </c>
      <c r="B6297">
        <f>A6297+1</f>
        <v>1818</v>
      </c>
      <c r="C6297" t="s">
        <v>523</v>
      </c>
      <c r="D6297" t="s">
        <v>27</v>
      </c>
      <c r="E6297" s="208" t="s">
        <v>147</v>
      </c>
      <c r="F6297" t="s">
        <v>13</v>
      </c>
      <c r="G6297" s="18">
        <v>0</v>
      </c>
      <c r="H6297" t="s">
        <v>17</v>
      </c>
      <c r="I6297" t="s">
        <v>25</v>
      </c>
    </row>
    <row r="6298" spans="1:9" x14ac:dyDescent="0.25">
      <c r="A6298">
        <v>1817</v>
      </c>
      <c r="B6298">
        <f>A6298+1</f>
        <v>1818</v>
      </c>
      <c r="C6298" t="s">
        <v>523</v>
      </c>
      <c r="D6298" t="s">
        <v>27</v>
      </c>
      <c r="E6298" s="208" t="s">
        <v>314</v>
      </c>
      <c r="F6298" t="s">
        <v>13</v>
      </c>
      <c r="G6298" s="18">
        <v>0</v>
      </c>
      <c r="H6298" t="s">
        <v>17</v>
      </c>
      <c r="I6298" t="s">
        <v>25</v>
      </c>
    </row>
    <row r="6299" spans="1:9" x14ac:dyDescent="0.25">
      <c r="A6299">
        <v>1817</v>
      </c>
      <c r="B6299">
        <f>A6299+1</f>
        <v>1818</v>
      </c>
      <c r="C6299" t="s">
        <v>523</v>
      </c>
      <c r="D6299" t="s">
        <v>27</v>
      </c>
      <c r="E6299" s="208" t="s">
        <v>139</v>
      </c>
      <c r="F6299" t="s">
        <v>13</v>
      </c>
      <c r="G6299" s="18">
        <v>0</v>
      </c>
      <c r="H6299" t="s">
        <v>17</v>
      </c>
      <c r="I6299" t="s">
        <v>25</v>
      </c>
    </row>
    <row r="6300" spans="1:9" x14ac:dyDescent="0.25">
      <c r="A6300">
        <v>1817</v>
      </c>
      <c r="B6300">
        <f>A6300+1</f>
        <v>1818</v>
      </c>
      <c r="C6300" t="s">
        <v>523</v>
      </c>
      <c r="D6300" t="s">
        <v>27</v>
      </c>
      <c r="E6300" s="208" t="s">
        <v>132</v>
      </c>
      <c r="F6300" t="s">
        <v>13</v>
      </c>
      <c r="G6300" s="18">
        <v>0</v>
      </c>
      <c r="H6300" t="s">
        <v>17</v>
      </c>
      <c r="I6300" t="s">
        <v>25</v>
      </c>
    </row>
    <row r="6301" spans="1:9" x14ac:dyDescent="0.25">
      <c r="A6301">
        <v>1817</v>
      </c>
      <c r="B6301">
        <f>A6301+1</f>
        <v>1818</v>
      </c>
      <c r="C6301" t="s">
        <v>523</v>
      </c>
      <c r="D6301" t="s">
        <v>27</v>
      </c>
      <c r="E6301" s="208" t="s">
        <v>130</v>
      </c>
      <c r="F6301" t="s">
        <v>13</v>
      </c>
      <c r="G6301" s="18">
        <v>0</v>
      </c>
      <c r="H6301" t="s">
        <v>17</v>
      </c>
      <c r="I6301" t="s">
        <v>25</v>
      </c>
    </row>
    <row r="6302" spans="1:9" x14ac:dyDescent="0.25">
      <c r="A6302">
        <v>1817</v>
      </c>
      <c r="B6302">
        <f>A6302+1</f>
        <v>1818</v>
      </c>
      <c r="C6302" t="s">
        <v>523</v>
      </c>
      <c r="D6302" t="s">
        <v>27</v>
      </c>
      <c r="E6302" s="208" t="s">
        <v>144</v>
      </c>
      <c r="F6302" t="s">
        <v>13</v>
      </c>
      <c r="G6302" s="18">
        <v>0</v>
      </c>
      <c r="H6302" t="s">
        <v>17</v>
      </c>
      <c r="I6302" t="s">
        <v>25</v>
      </c>
    </row>
    <row r="6303" spans="1:9" x14ac:dyDescent="0.25">
      <c r="A6303">
        <v>1817</v>
      </c>
      <c r="B6303">
        <f>A6303+1</f>
        <v>1818</v>
      </c>
      <c r="C6303" t="s">
        <v>523</v>
      </c>
      <c r="D6303" t="s">
        <v>27</v>
      </c>
      <c r="E6303" s="208" t="s">
        <v>142</v>
      </c>
      <c r="F6303" t="s">
        <v>13</v>
      </c>
      <c r="G6303" s="18">
        <v>0</v>
      </c>
      <c r="H6303" t="s">
        <v>17</v>
      </c>
      <c r="I6303" t="s">
        <v>25</v>
      </c>
    </row>
    <row r="6304" spans="1:9" x14ac:dyDescent="0.25">
      <c r="A6304">
        <v>1817</v>
      </c>
      <c r="B6304">
        <f>A6304+1</f>
        <v>1818</v>
      </c>
      <c r="C6304" t="s">
        <v>523</v>
      </c>
      <c r="D6304" t="s">
        <v>27</v>
      </c>
      <c r="E6304" s="208" t="s">
        <v>124</v>
      </c>
      <c r="F6304" t="s">
        <v>13</v>
      </c>
      <c r="G6304" s="18">
        <v>0</v>
      </c>
      <c r="H6304" t="s">
        <v>17</v>
      </c>
      <c r="I6304" t="s">
        <v>25</v>
      </c>
    </row>
    <row r="6305" spans="1:9" x14ac:dyDescent="0.25">
      <c r="A6305">
        <v>1817</v>
      </c>
      <c r="B6305">
        <f>A6305+1</f>
        <v>1818</v>
      </c>
      <c r="C6305" t="s">
        <v>523</v>
      </c>
      <c r="D6305" t="s">
        <v>26</v>
      </c>
      <c r="E6305" s="208" t="s">
        <v>62</v>
      </c>
      <c r="F6305" t="s">
        <v>13</v>
      </c>
      <c r="G6305" s="18">
        <v>0</v>
      </c>
      <c r="H6305" t="s">
        <v>25</v>
      </c>
      <c r="I6305" t="s">
        <v>17</v>
      </c>
    </row>
    <row r="6306" spans="1:9" x14ac:dyDescent="0.25">
      <c r="A6306">
        <v>1817</v>
      </c>
      <c r="B6306">
        <f>A6306+1</f>
        <v>1818</v>
      </c>
      <c r="C6306" t="s">
        <v>523</v>
      </c>
      <c r="D6306" t="s">
        <v>26</v>
      </c>
      <c r="E6306" s="208" t="s">
        <v>36</v>
      </c>
      <c r="F6306" t="s">
        <v>13</v>
      </c>
      <c r="G6306" s="18">
        <v>0</v>
      </c>
      <c r="H6306" t="s">
        <v>25</v>
      </c>
      <c r="I6306" t="s">
        <v>17</v>
      </c>
    </row>
    <row r="6307" spans="1:9" x14ac:dyDescent="0.25">
      <c r="A6307">
        <v>1817</v>
      </c>
      <c r="B6307">
        <f>A6307+1</f>
        <v>1818</v>
      </c>
      <c r="C6307" t="s">
        <v>523</v>
      </c>
      <c r="D6307" t="s">
        <v>26</v>
      </c>
      <c r="E6307" s="208" t="s">
        <v>35</v>
      </c>
      <c r="F6307" t="s">
        <v>13</v>
      </c>
      <c r="G6307" s="18">
        <v>0</v>
      </c>
      <c r="H6307" t="s">
        <v>25</v>
      </c>
      <c r="I6307" t="s">
        <v>17</v>
      </c>
    </row>
    <row r="6308" spans="1:9" x14ac:dyDescent="0.25">
      <c r="A6308">
        <v>1817</v>
      </c>
      <c r="B6308">
        <f>A6308+1</f>
        <v>1818</v>
      </c>
      <c r="C6308" t="s">
        <v>523</v>
      </c>
      <c r="D6308" t="s">
        <v>26</v>
      </c>
      <c r="E6308" s="208" t="s">
        <v>39</v>
      </c>
      <c r="F6308" t="s">
        <v>13</v>
      </c>
      <c r="G6308" s="18">
        <v>0</v>
      </c>
      <c r="H6308" t="s">
        <v>25</v>
      </c>
      <c r="I6308" t="s">
        <v>17</v>
      </c>
    </row>
    <row r="6309" spans="1:9" x14ac:dyDescent="0.25">
      <c r="A6309">
        <v>1817</v>
      </c>
      <c r="B6309">
        <f>A6309+1</f>
        <v>1818</v>
      </c>
      <c r="C6309" t="s">
        <v>523</v>
      </c>
      <c r="D6309" t="s">
        <v>26</v>
      </c>
      <c r="E6309" s="208" t="s">
        <v>99</v>
      </c>
      <c r="F6309" t="s">
        <v>13</v>
      </c>
      <c r="G6309" s="18">
        <v>0</v>
      </c>
      <c r="H6309" t="s">
        <v>25</v>
      </c>
      <c r="I6309" t="s">
        <v>17</v>
      </c>
    </row>
    <row r="6310" spans="1:9" x14ac:dyDescent="0.25">
      <c r="A6310">
        <v>1817</v>
      </c>
      <c r="B6310">
        <f>A6310+1</f>
        <v>1818</v>
      </c>
      <c r="C6310" t="s">
        <v>523</v>
      </c>
      <c r="D6310" t="s">
        <v>26</v>
      </c>
      <c r="E6310" s="208" t="s">
        <v>95</v>
      </c>
      <c r="F6310" t="s">
        <v>13</v>
      </c>
      <c r="G6310" s="18">
        <v>0</v>
      </c>
      <c r="H6310" t="s">
        <v>25</v>
      </c>
      <c r="I6310" t="s">
        <v>17</v>
      </c>
    </row>
    <row r="6311" spans="1:9" x14ac:dyDescent="0.25">
      <c r="A6311">
        <v>1817</v>
      </c>
      <c r="B6311">
        <f>A6311+1</f>
        <v>1818</v>
      </c>
      <c r="C6311" t="s">
        <v>523</v>
      </c>
      <c r="D6311" t="s">
        <v>26</v>
      </c>
      <c r="E6311" s="208" t="s">
        <v>94</v>
      </c>
      <c r="F6311" t="s">
        <v>13</v>
      </c>
      <c r="G6311" s="18">
        <v>0</v>
      </c>
      <c r="H6311" t="s">
        <v>25</v>
      </c>
      <c r="I6311" t="s">
        <v>17</v>
      </c>
    </row>
    <row r="6312" spans="1:9" x14ac:dyDescent="0.25">
      <c r="A6312">
        <v>1817</v>
      </c>
      <c r="B6312">
        <f>A6312+1</f>
        <v>1818</v>
      </c>
      <c r="C6312" t="s">
        <v>523</v>
      </c>
      <c r="D6312" t="s">
        <v>26</v>
      </c>
      <c r="E6312" s="208" t="s">
        <v>386</v>
      </c>
      <c r="F6312" t="s">
        <v>13</v>
      </c>
      <c r="G6312" s="18">
        <v>1858</v>
      </c>
      <c r="H6312" t="s">
        <v>25</v>
      </c>
      <c r="I6312" t="s">
        <v>17</v>
      </c>
    </row>
    <row r="6313" spans="1:9" x14ac:dyDescent="0.25">
      <c r="A6313">
        <v>1817</v>
      </c>
      <c r="B6313">
        <f>A6313+1</f>
        <v>1818</v>
      </c>
      <c r="C6313" t="s">
        <v>523</v>
      </c>
      <c r="D6313" t="s">
        <v>26</v>
      </c>
      <c r="E6313" s="208" t="s">
        <v>387</v>
      </c>
      <c r="F6313" t="s">
        <v>13</v>
      </c>
      <c r="G6313" s="18">
        <v>0</v>
      </c>
      <c r="H6313" t="s">
        <v>25</v>
      </c>
      <c r="I6313" t="s">
        <v>17</v>
      </c>
    </row>
    <row r="6314" spans="1:9" x14ac:dyDescent="0.25">
      <c r="A6314">
        <v>1817</v>
      </c>
      <c r="B6314">
        <f>A6314+1</f>
        <v>1818</v>
      </c>
      <c r="C6314" t="s">
        <v>523</v>
      </c>
      <c r="D6314" t="s">
        <v>26</v>
      </c>
      <c r="E6314" s="208" t="s">
        <v>388</v>
      </c>
      <c r="F6314" t="s">
        <v>13</v>
      </c>
      <c r="G6314" s="18">
        <v>0</v>
      </c>
      <c r="H6314" t="s">
        <v>25</v>
      </c>
      <c r="I6314" t="s">
        <v>17</v>
      </c>
    </row>
    <row r="6315" spans="1:9" x14ac:dyDescent="0.25">
      <c r="A6315">
        <v>1817</v>
      </c>
      <c r="B6315">
        <f>A6315+1</f>
        <v>1818</v>
      </c>
      <c r="C6315" t="s">
        <v>523</v>
      </c>
      <c r="D6315" t="s">
        <v>26</v>
      </c>
      <c r="E6315" s="208" t="s">
        <v>85</v>
      </c>
      <c r="F6315" t="s">
        <v>13</v>
      </c>
      <c r="G6315" s="18">
        <v>0</v>
      </c>
      <c r="H6315" t="s">
        <v>25</v>
      </c>
      <c r="I6315" t="s">
        <v>17</v>
      </c>
    </row>
    <row r="6316" spans="1:9" x14ac:dyDescent="0.25">
      <c r="A6316">
        <v>1817</v>
      </c>
      <c r="B6316">
        <f>A6316+1</f>
        <v>1818</v>
      </c>
      <c r="C6316" t="s">
        <v>523</v>
      </c>
      <c r="D6316" t="s">
        <v>26</v>
      </c>
      <c r="E6316" s="208" t="s">
        <v>398</v>
      </c>
      <c r="F6316" t="s">
        <v>13</v>
      </c>
      <c r="G6316" s="18">
        <v>0</v>
      </c>
      <c r="H6316" t="s">
        <v>25</v>
      </c>
      <c r="I6316" t="s">
        <v>17</v>
      </c>
    </row>
    <row r="6317" spans="1:9" x14ac:dyDescent="0.25">
      <c r="A6317">
        <v>1817</v>
      </c>
      <c r="B6317">
        <f>A6317+1</f>
        <v>1818</v>
      </c>
      <c r="C6317" t="s">
        <v>523</v>
      </c>
      <c r="D6317" t="s">
        <v>26</v>
      </c>
      <c r="E6317" s="208" t="s">
        <v>107</v>
      </c>
      <c r="F6317" t="s">
        <v>13</v>
      </c>
      <c r="G6317" s="18">
        <v>0</v>
      </c>
      <c r="H6317" t="s">
        <v>25</v>
      </c>
      <c r="I6317" t="s">
        <v>17</v>
      </c>
    </row>
    <row r="6318" spans="1:9" x14ac:dyDescent="0.25">
      <c r="A6318">
        <v>1817</v>
      </c>
      <c r="B6318">
        <f>A6318+1</f>
        <v>1818</v>
      </c>
      <c r="C6318" t="s">
        <v>523</v>
      </c>
      <c r="D6318" t="s">
        <v>26</v>
      </c>
      <c r="E6318" s="208" t="s">
        <v>101</v>
      </c>
      <c r="F6318" t="s">
        <v>13</v>
      </c>
      <c r="G6318" s="18">
        <v>0</v>
      </c>
      <c r="H6318" t="s">
        <v>25</v>
      </c>
      <c r="I6318" t="s">
        <v>17</v>
      </c>
    </row>
    <row r="6319" spans="1:9" x14ac:dyDescent="0.25">
      <c r="A6319">
        <v>1817</v>
      </c>
      <c r="B6319">
        <f>A6319+1</f>
        <v>1818</v>
      </c>
      <c r="C6319" t="s">
        <v>523</v>
      </c>
      <c r="D6319" t="s">
        <v>26</v>
      </c>
      <c r="E6319" s="208" t="s">
        <v>75</v>
      </c>
      <c r="F6319" t="s">
        <v>13</v>
      </c>
      <c r="G6319" s="18">
        <v>0</v>
      </c>
      <c r="H6319" t="s">
        <v>25</v>
      </c>
      <c r="I6319" t="s">
        <v>17</v>
      </c>
    </row>
    <row r="6320" spans="1:9" x14ac:dyDescent="0.25">
      <c r="A6320">
        <v>1817</v>
      </c>
      <c r="B6320">
        <f>A6320+1</f>
        <v>1818</v>
      </c>
      <c r="C6320" t="s">
        <v>523</v>
      </c>
      <c r="D6320" t="s">
        <v>26</v>
      </c>
      <c r="E6320" s="208" t="s">
        <v>330</v>
      </c>
      <c r="F6320" t="s">
        <v>13</v>
      </c>
      <c r="G6320" s="18">
        <v>346</v>
      </c>
      <c r="H6320" t="s">
        <v>25</v>
      </c>
      <c r="I6320" t="s">
        <v>17</v>
      </c>
    </row>
    <row r="6321" spans="1:9" x14ac:dyDescent="0.25">
      <c r="A6321">
        <v>1817</v>
      </c>
      <c r="B6321">
        <f>A6321+1</f>
        <v>1818</v>
      </c>
      <c r="C6321" t="s">
        <v>523</v>
      </c>
      <c r="D6321" t="s">
        <v>26</v>
      </c>
      <c r="E6321" s="208" t="s">
        <v>331</v>
      </c>
      <c r="F6321" t="s">
        <v>13</v>
      </c>
      <c r="G6321" s="18">
        <v>279</v>
      </c>
      <c r="H6321" t="s">
        <v>25</v>
      </c>
      <c r="I6321" t="s">
        <v>17</v>
      </c>
    </row>
    <row r="6322" spans="1:9" x14ac:dyDescent="0.25">
      <c r="A6322">
        <v>1817</v>
      </c>
      <c r="B6322">
        <f>A6322+1</f>
        <v>1818</v>
      </c>
      <c r="C6322" t="s">
        <v>523</v>
      </c>
      <c r="D6322" t="s">
        <v>26</v>
      </c>
      <c r="E6322" s="208" t="s">
        <v>332</v>
      </c>
      <c r="F6322" t="s">
        <v>13</v>
      </c>
      <c r="G6322" s="18">
        <v>54</v>
      </c>
      <c r="H6322" t="s">
        <v>25</v>
      </c>
      <c r="I6322" t="s">
        <v>17</v>
      </c>
    </row>
    <row r="6323" spans="1:9" x14ac:dyDescent="0.25">
      <c r="A6323">
        <v>1817</v>
      </c>
      <c r="B6323">
        <f>A6323+1</f>
        <v>1818</v>
      </c>
      <c r="C6323" t="s">
        <v>523</v>
      </c>
      <c r="D6323" t="s">
        <v>26</v>
      </c>
      <c r="E6323" s="208" t="s">
        <v>333</v>
      </c>
      <c r="F6323" t="s">
        <v>13</v>
      </c>
      <c r="G6323" s="18">
        <v>854</v>
      </c>
      <c r="H6323" t="s">
        <v>25</v>
      </c>
      <c r="I6323" t="s">
        <v>17</v>
      </c>
    </row>
    <row r="6324" spans="1:9" x14ac:dyDescent="0.25">
      <c r="A6324">
        <v>1817</v>
      </c>
      <c r="B6324">
        <f>A6324+1</f>
        <v>1818</v>
      </c>
      <c r="C6324" t="s">
        <v>523</v>
      </c>
      <c r="D6324" t="s">
        <v>27</v>
      </c>
      <c r="E6324" s="208" t="s">
        <v>155</v>
      </c>
      <c r="F6324" t="s">
        <v>11</v>
      </c>
      <c r="G6324" s="18">
        <v>217</v>
      </c>
      <c r="H6324" t="s">
        <v>17</v>
      </c>
      <c r="I6324" t="s">
        <v>23</v>
      </c>
    </row>
    <row r="6325" spans="1:9" x14ac:dyDescent="0.25">
      <c r="A6325">
        <v>1817</v>
      </c>
      <c r="B6325">
        <f>A6325+1</f>
        <v>1818</v>
      </c>
      <c r="C6325" t="s">
        <v>523</v>
      </c>
      <c r="D6325" t="s">
        <v>27</v>
      </c>
      <c r="E6325" s="208" t="s">
        <v>156</v>
      </c>
      <c r="F6325" t="s">
        <v>11</v>
      </c>
      <c r="G6325" s="18">
        <v>49</v>
      </c>
      <c r="H6325" t="s">
        <v>17</v>
      </c>
      <c r="I6325" t="s">
        <v>23</v>
      </c>
    </row>
    <row r="6326" spans="1:9" x14ac:dyDescent="0.25">
      <c r="A6326">
        <v>1817</v>
      </c>
      <c r="B6326">
        <f>A6326+1</f>
        <v>1818</v>
      </c>
      <c r="C6326" t="s">
        <v>523</v>
      </c>
      <c r="D6326" t="s">
        <v>27</v>
      </c>
      <c r="E6326" s="208" t="s">
        <v>154</v>
      </c>
      <c r="F6326" t="s">
        <v>11</v>
      </c>
      <c r="G6326" s="18">
        <v>67</v>
      </c>
      <c r="H6326" t="s">
        <v>17</v>
      </c>
      <c r="I6326" t="s">
        <v>23</v>
      </c>
    </row>
    <row r="6327" spans="1:9" x14ac:dyDescent="0.25">
      <c r="A6327">
        <v>1817</v>
      </c>
      <c r="B6327">
        <f>A6327+1</f>
        <v>1818</v>
      </c>
      <c r="C6327" t="s">
        <v>523</v>
      </c>
      <c r="D6327" t="s">
        <v>27</v>
      </c>
      <c r="E6327" s="208" t="s">
        <v>150</v>
      </c>
      <c r="F6327" t="s">
        <v>11</v>
      </c>
      <c r="G6327" s="18">
        <v>6171</v>
      </c>
      <c r="H6327" t="s">
        <v>17</v>
      </c>
      <c r="I6327" t="s">
        <v>23</v>
      </c>
    </row>
    <row r="6328" spans="1:9" x14ac:dyDescent="0.25">
      <c r="A6328">
        <v>1817</v>
      </c>
      <c r="B6328">
        <f>A6328+1</f>
        <v>1818</v>
      </c>
      <c r="C6328" t="s">
        <v>523</v>
      </c>
      <c r="D6328" t="s">
        <v>27</v>
      </c>
      <c r="E6328" s="208" t="s">
        <v>148</v>
      </c>
      <c r="F6328" t="s">
        <v>11</v>
      </c>
      <c r="G6328" s="18">
        <v>7</v>
      </c>
      <c r="H6328" t="s">
        <v>17</v>
      </c>
      <c r="I6328" t="s">
        <v>23</v>
      </c>
    </row>
    <row r="6329" spans="1:9" x14ac:dyDescent="0.25">
      <c r="A6329">
        <v>1817</v>
      </c>
      <c r="B6329">
        <f>A6329+1</f>
        <v>1818</v>
      </c>
      <c r="C6329" t="s">
        <v>523</v>
      </c>
      <c r="D6329" t="s">
        <v>27</v>
      </c>
      <c r="E6329" s="208" t="s">
        <v>147</v>
      </c>
      <c r="F6329" t="s">
        <v>11</v>
      </c>
      <c r="G6329" s="18">
        <v>0</v>
      </c>
      <c r="H6329" t="s">
        <v>17</v>
      </c>
      <c r="I6329" t="s">
        <v>23</v>
      </c>
    </row>
    <row r="6330" spans="1:9" x14ac:dyDescent="0.25">
      <c r="A6330">
        <v>1817</v>
      </c>
      <c r="B6330">
        <f>A6330+1</f>
        <v>1818</v>
      </c>
      <c r="C6330" t="s">
        <v>523</v>
      </c>
      <c r="D6330" t="s">
        <v>27</v>
      </c>
      <c r="E6330" s="208" t="s">
        <v>314</v>
      </c>
      <c r="F6330" t="s">
        <v>11</v>
      </c>
      <c r="G6330" s="18">
        <v>0</v>
      </c>
      <c r="H6330" t="s">
        <v>17</v>
      </c>
      <c r="I6330" t="s">
        <v>23</v>
      </c>
    </row>
    <row r="6331" spans="1:9" x14ac:dyDescent="0.25">
      <c r="A6331">
        <v>1817</v>
      </c>
      <c r="B6331">
        <f>A6331+1</f>
        <v>1818</v>
      </c>
      <c r="C6331" t="s">
        <v>523</v>
      </c>
      <c r="D6331" t="s">
        <v>27</v>
      </c>
      <c r="E6331" s="208" t="s">
        <v>139</v>
      </c>
      <c r="F6331" t="s">
        <v>11</v>
      </c>
      <c r="G6331" s="18">
        <v>221</v>
      </c>
      <c r="H6331" t="s">
        <v>17</v>
      </c>
      <c r="I6331" t="s">
        <v>23</v>
      </c>
    </row>
    <row r="6332" spans="1:9" x14ac:dyDescent="0.25">
      <c r="A6332">
        <v>1817</v>
      </c>
      <c r="B6332">
        <f>A6332+1</f>
        <v>1818</v>
      </c>
      <c r="C6332" t="s">
        <v>523</v>
      </c>
      <c r="D6332" t="s">
        <v>27</v>
      </c>
      <c r="E6332" s="208" t="s">
        <v>132</v>
      </c>
      <c r="F6332" t="s">
        <v>11</v>
      </c>
      <c r="G6332" s="18">
        <v>101</v>
      </c>
      <c r="H6332" t="s">
        <v>17</v>
      </c>
      <c r="I6332" t="s">
        <v>23</v>
      </c>
    </row>
    <row r="6333" spans="1:9" x14ac:dyDescent="0.25">
      <c r="A6333">
        <v>1817</v>
      </c>
      <c r="B6333">
        <f>A6333+1</f>
        <v>1818</v>
      </c>
      <c r="C6333" t="s">
        <v>523</v>
      </c>
      <c r="D6333" t="s">
        <v>27</v>
      </c>
      <c r="E6333" s="208" t="s">
        <v>130</v>
      </c>
      <c r="F6333" t="s">
        <v>11</v>
      </c>
      <c r="G6333" s="18">
        <v>0</v>
      </c>
      <c r="H6333" t="s">
        <v>17</v>
      </c>
      <c r="I6333" t="s">
        <v>23</v>
      </c>
    </row>
    <row r="6334" spans="1:9" x14ac:dyDescent="0.25">
      <c r="A6334">
        <v>1817</v>
      </c>
      <c r="B6334">
        <f>A6334+1</f>
        <v>1818</v>
      </c>
      <c r="C6334" t="s">
        <v>523</v>
      </c>
      <c r="D6334" t="s">
        <v>27</v>
      </c>
      <c r="E6334" s="208" t="s">
        <v>144</v>
      </c>
      <c r="F6334" t="s">
        <v>11</v>
      </c>
      <c r="G6334" s="18">
        <v>58</v>
      </c>
      <c r="H6334" t="s">
        <v>17</v>
      </c>
      <c r="I6334" t="s">
        <v>23</v>
      </c>
    </row>
    <row r="6335" spans="1:9" x14ac:dyDescent="0.25">
      <c r="A6335">
        <v>1817</v>
      </c>
      <c r="B6335">
        <f>A6335+1</f>
        <v>1818</v>
      </c>
      <c r="C6335" t="s">
        <v>523</v>
      </c>
      <c r="D6335" t="s">
        <v>27</v>
      </c>
      <c r="E6335" s="208" t="s">
        <v>142</v>
      </c>
      <c r="F6335" t="s">
        <v>11</v>
      </c>
      <c r="G6335" s="18">
        <v>1996</v>
      </c>
      <c r="H6335" t="s">
        <v>17</v>
      </c>
      <c r="I6335" t="s">
        <v>23</v>
      </c>
    </row>
    <row r="6336" spans="1:9" x14ac:dyDescent="0.25">
      <c r="A6336">
        <v>1817</v>
      </c>
      <c r="B6336">
        <f>A6336+1</f>
        <v>1818</v>
      </c>
      <c r="C6336" t="s">
        <v>523</v>
      </c>
      <c r="D6336" t="s">
        <v>27</v>
      </c>
      <c r="E6336" s="208" t="s">
        <v>124</v>
      </c>
      <c r="F6336" t="s">
        <v>11</v>
      </c>
      <c r="G6336" s="18">
        <v>211297</v>
      </c>
      <c r="H6336" t="s">
        <v>17</v>
      </c>
      <c r="I6336" t="s">
        <v>23</v>
      </c>
    </row>
    <row r="6337" spans="1:9" x14ac:dyDescent="0.25">
      <c r="A6337">
        <v>1817</v>
      </c>
      <c r="B6337">
        <f>A6337+1</f>
        <v>1818</v>
      </c>
      <c r="C6337" t="s">
        <v>523</v>
      </c>
      <c r="D6337" t="s">
        <v>26</v>
      </c>
      <c r="E6337" s="208" t="s">
        <v>62</v>
      </c>
      <c r="F6337" t="s">
        <v>11</v>
      </c>
      <c r="G6337" s="18">
        <v>4922</v>
      </c>
      <c r="H6337" t="s">
        <v>23</v>
      </c>
      <c r="I6337" t="s">
        <v>17</v>
      </c>
    </row>
    <row r="6338" spans="1:9" x14ac:dyDescent="0.25">
      <c r="A6338">
        <v>1817</v>
      </c>
      <c r="B6338">
        <f>A6338+1</f>
        <v>1818</v>
      </c>
      <c r="C6338" t="s">
        <v>523</v>
      </c>
      <c r="D6338" t="s">
        <v>26</v>
      </c>
      <c r="E6338" s="208" t="s">
        <v>36</v>
      </c>
      <c r="F6338" t="s">
        <v>11</v>
      </c>
      <c r="G6338" s="18">
        <v>911</v>
      </c>
      <c r="H6338" t="s">
        <v>23</v>
      </c>
      <c r="I6338" t="s">
        <v>17</v>
      </c>
    </row>
    <row r="6339" spans="1:9" x14ac:dyDescent="0.25">
      <c r="A6339">
        <v>1817</v>
      </c>
      <c r="B6339">
        <f>A6339+1</f>
        <v>1818</v>
      </c>
      <c r="C6339" t="s">
        <v>523</v>
      </c>
      <c r="D6339" t="s">
        <v>26</v>
      </c>
      <c r="E6339" s="208" t="s">
        <v>35</v>
      </c>
      <c r="F6339" t="s">
        <v>11</v>
      </c>
      <c r="G6339" s="18">
        <v>0</v>
      </c>
      <c r="H6339" t="s">
        <v>23</v>
      </c>
      <c r="I6339" t="s">
        <v>17</v>
      </c>
    </row>
    <row r="6340" spans="1:9" x14ac:dyDescent="0.25">
      <c r="A6340">
        <v>1817</v>
      </c>
      <c r="B6340">
        <f>A6340+1</f>
        <v>1818</v>
      </c>
      <c r="C6340" t="s">
        <v>523</v>
      </c>
      <c r="D6340" t="s">
        <v>26</v>
      </c>
      <c r="E6340" s="208" t="s">
        <v>39</v>
      </c>
      <c r="F6340" t="s">
        <v>11</v>
      </c>
      <c r="G6340" s="18">
        <v>28</v>
      </c>
      <c r="H6340" t="s">
        <v>23</v>
      </c>
      <c r="I6340" t="s">
        <v>17</v>
      </c>
    </row>
    <row r="6341" spans="1:9" x14ac:dyDescent="0.25">
      <c r="A6341">
        <v>1817</v>
      </c>
      <c r="B6341">
        <f>A6341+1</f>
        <v>1818</v>
      </c>
      <c r="C6341" t="s">
        <v>523</v>
      </c>
      <c r="D6341" t="s">
        <v>26</v>
      </c>
      <c r="E6341" s="208" t="s">
        <v>99</v>
      </c>
      <c r="F6341" t="s">
        <v>11</v>
      </c>
      <c r="G6341" s="18">
        <v>601</v>
      </c>
      <c r="H6341" t="s">
        <v>23</v>
      </c>
      <c r="I6341" t="s">
        <v>17</v>
      </c>
    </row>
    <row r="6342" spans="1:9" x14ac:dyDescent="0.25">
      <c r="A6342">
        <v>1817</v>
      </c>
      <c r="B6342">
        <f>A6342+1</f>
        <v>1818</v>
      </c>
      <c r="C6342" t="s">
        <v>523</v>
      </c>
      <c r="D6342" t="s">
        <v>26</v>
      </c>
      <c r="E6342" s="208" t="s">
        <v>95</v>
      </c>
      <c r="F6342" t="s">
        <v>11</v>
      </c>
      <c r="G6342" s="18">
        <v>40</v>
      </c>
      <c r="H6342" t="s">
        <v>23</v>
      </c>
      <c r="I6342" t="s">
        <v>17</v>
      </c>
    </row>
    <row r="6343" spans="1:9" x14ac:dyDescent="0.25">
      <c r="A6343">
        <v>1817</v>
      </c>
      <c r="B6343">
        <f>A6343+1</f>
        <v>1818</v>
      </c>
      <c r="C6343" t="s">
        <v>523</v>
      </c>
      <c r="D6343" t="s">
        <v>26</v>
      </c>
      <c r="E6343" s="208" t="s">
        <v>94</v>
      </c>
      <c r="F6343" t="s">
        <v>11</v>
      </c>
      <c r="G6343" s="18">
        <v>0</v>
      </c>
      <c r="H6343" t="s">
        <v>23</v>
      </c>
      <c r="I6343" t="s">
        <v>17</v>
      </c>
    </row>
    <row r="6344" spans="1:9" x14ac:dyDescent="0.25">
      <c r="A6344">
        <v>1817</v>
      </c>
      <c r="B6344">
        <f>A6344+1</f>
        <v>1818</v>
      </c>
      <c r="C6344" t="s">
        <v>523</v>
      </c>
      <c r="D6344" t="s">
        <v>26</v>
      </c>
      <c r="E6344" s="208" t="s">
        <v>386</v>
      </c>
      <c r="F6344" t="s">
        <v>11</v>
      </c>
      <c r="G6344" s="18">
        <v>3820</v>
      </c>
      <c r="H6344" t="s">
        <v>23</v>
      </c>
      <c r="I6344" t="s">
        <v>17</v>
      </c>
    </row>
    <row r="6345" spans="1:9" x14ac:dyDescent="0.25">
      <c r="A6345">
        <v>1817</v>
      </c>
      <c r="B6345">
        <f>A6345+1</f>
        <v>1818</v>
      </c>
      <c r="C6345" t="s">
        <v>523</v>
      </c>
      <c r="D6345" t="s">
        <v>26</v>
      </c>
      <c r="E6345" s="208" t="s">
        <v>387</v>
      </c>
      <c r="F6345" t="s">
        <v>11</v>
      </c>
      <c r="G6345" s="18">
        <v>0</v>
      </c>
      <c r="H6345" t="s">
        <v>23</v>
      </c>
      <c r="I6345" t="s">
        <v>17</v>
      </c>
    </row>
    <row r="6346" spans="1:9" x14ac:dyDescent="0.25">
      <c r="A6346">
        <v>1817</v>
      </c>
      <c r="B6346">
        <f>A6346+1</f>
        <v>1818</v>
      </c>
      <c r="C6346" t="s">
        <v>523</v>
      </c>
      <c r="D6346" t="s">
        <v>26</v>
      </c>
      <c r="E6346" s="208" t="s">
        <v>388</v>
      </c>
      <c r="F6346" t="s">
        <v>11</v>
      </c>
      <c r="G6346" s="18">
        <v>975</v>
      </c>
      <c r="H6346" t="s">
        <v>23</v>
      </c>
      <c r="I6346" t="s">
        <v>17</v>
      </c>
    </row>
    <row r="6347" spans="1:9" x14ac:dyDescent="0.25">
      <c r="A6347">
        <v>1817</v>
      </c>
      <c r="B6347">
        <f>A6347+1</f>
        <v>1818</v>
      </c>
      <c r="C6347" t="s">
        <v>523</v>
      </c>
      <c r="D6347" t="s">
        <v>26</v>
      </c>
      <c r="E6347" s="208" t="s">
        <v>85</v>
      </c>
      <c r="F6347" t="s">
        <v>11</v>
      </c>
      <c r="G6347" s="18">
        <v>96</v>
      </c>
      <c r="H6347" t="s">
        <v>23</v>
      </c>
      <c r="I6347" t="s">
        <v>17</v>
      </c>
    </row>
    <row r="6348" spans="1:9" x14ac:dyDescent="0.25">
      <c r="A6348">
        <v>1817</v>
      </c>
      <c r="B6348">
        <f>A6348+1</f>
        <v>1818</v>
      </c>
      <c r="C6348" t="s">
        <v>523</v>
      </c>
      <c r="D6348" t="s">
        <v>26</v>
      </c>
      <c r="E6348" s="208" t="s">
        <v>398</v>
      </c>
      <c r="F6348" t="s">
        <v>11</v>
      </c>
      <c r="G6348" s="18">
        <v>70</v>
      </c>
      <c r="H6348" t="s">
        <v>23</v>
      </c>
      <c r="I6348" t="s">
        <v>17</v>
      </c>
    </row>
    <row r="6349" spans="1:9" x14ac:dyDescent="0.25">
      <c r="A6349">
        <v>1817</v>
      </c>
      <c r="B6349">
        <f>A6349+1</f>
        <v>1818</v>
      </c>
      <c r="C6349" t="s">
        <v>523</v>
      </c>
      <c r="D6349" t="s">
        <v>26</v>
      </c>
      <c r="E6349" s="208" t="s">
        <v>107</v>
      </c>
      <c r="F6349" t="s">
        <v>11</v>
      </c>
      <c r="G6349" s="18">
        <v>2699698</v>
      </c>
      <c r="H6349" t="s">
        <v>23</v>
      </c>
      <c r="I6349" t="s">
        <v>17</v>
      </c>
    </row>
    <row r="6350" spans="1:9" x14ac:dyDescent="0.25">
      <c r="A6350">
        <v>1817</v>
      </c>
      <c r="B6350">
        <f>A6350+1</f>
        <v>1818</v>
      </c>
      <c r="C6350" t="s">
        <v>523</v>
      </c>
      <c r="D6350" t="s">
        <v>26</v>
      </c>
      <c r="E6350" s="208" t="s">
        <v>101</v>
      </c>
      <c r="F6350" t="s">
        <v>11</v>
      </c>
      <c r="G6350" s="18">
        <v>4180334</v>
      </c>
      <c r="H6350" t="s">
        <v>23</v>
      </c>
      <c r="I6350" t="s">
        <v>17</v>
      </c>
    </row>
    <row r="6351" spans="1:9" x14ac:dyDescent="0.25">
      <c r="A6351">
        <v>1817</v>
      </c>
      <c r="B6351">
        <f>A6351+1</f>
        <v>1818</v>
      </c>
      <c r="C6351" t="s">
        <v>523</v>
      </c>
      <c r="D6351" t="s">
        <v>26</v>
      </c>
      <c r="E6351" s="208" t="s">
        <v>75</v>
      </c>
      <c r="F6351" t="s">
        <v>11</v>
      </c>
      <c r="G6351" s="18">
        <v>2361825</v>
      </c>
      <c r="H6351" t="s">
        <v>23</v>
      </c>
      <c r="I6351" t="s">
        <v>17</v>
      </c>
    </row>
    <row r="6352" spans="1:9" x14ac:dyDescent="0.25">
      <c r="A6352">
        <v>1817</v>
      </c>
      <c r="B6352">
        <f>A6352+1</f>
        <v>1818</v>
      </c>
      <c r="C6352" t="s">
        <v>523</v>
      </c>
      <c r="D6352" t="s">
        <v>26</v>
      </c>
      <c r="E6352" s="208" t="s">
        <v>330</v>
      </c>
      <c r="F6352" t="s">
        <v>11</v>
      </c>
      <c r="G6352" s="18">
        <v>13</v>
      </c>
      <c r="H6352" t="s">
        <v>23</v>
      </c>
      <c r="I6352" t="s">
        <v>17</v>
      </c>
    </row>
    <row r="6353" spans="1:9" x14ac:dyDescent="0.25">
      <c r="A6353">
        <v>1817</v>
      </c>
      <c r="B6353">
        <f>A6353+1</f>
        <v>1818</v>
      </c>
      <c r="C6353" t="s">
        <v>523</v>
      </c>
      <c r="D6353" t="s">
        <v>26</v>
      </c>
      <c r="E6353" s="208" t="s">
        <v>331</v>
      </c>
      <c r="F6353" t="s">
        <v>11</v>
      </c>
      <c r="G6353" s="18">
        <v>0</v>
      </c>
      <c r="H6353" t="s">
        <v>23</v>
      </c>
      <c r="I6353" t="s">
        <v>17</v>
      </c>
    </row>
    <row r="6354" spans="1:9" x14ac:dyDescent="0.25">
      <c r="A6354">
        <v>1817</v>
      </c>
      <c r="B6354">
        <f>A6354+1</f>
        <v>1818</v>
      </c>
      <c r="C6354" t="s">
        <v>523</v>
      </c>
      <c r="D6354" t="s">
        <v>26</v>
      </c>
      <c r="E6354" s="208" t="s">
        <v>332</v>
      </c>
      <c r="F6354" t="s">
        <v>11</v>
      </c>
      <c r="G6354" s="18">
        <v>0</v>
      </c>
      <c r="H6354" t="s">
        <v>23</v>
      </c>
      <c r="I6354" t="s">
        <v>17</v>
      </c>
    </row>
    <row r="6355" spans="1:9" x14ac:dyDescent="0.25">
      <c r="A6355">
        <v>1817</v>
      </c>
      <c r="B6355">
        <f>A6355+1</f>
        <v>1818</v>
      </c>
      <c r="C6355" t="s">
        <v>523</v>
      </c>
      <c r="D6355" t="s">
        <v>26</v>
      </c>
      <c r="E6355" s="208" t="s">
        <v>333</v>
      </c>
      <c r="F6355" t="s">
        <v>11</v>
      </c>
      <c r="G6355" s="18">
        <v>0</v>
      </c>
      <c r="H6355" t="s">
        <v>23</v>
      </c>
      <c r="I6355" t="s">
        <v>17</v>
      </c>
    </row>
    <row r="6356" spans="1:9" x14ac:dyDescent="0.25">
      <c r="A6356">
        <v>1817</v>
      </c>
      <c r="B6356">
        <f>A6356+1</f>
        <v>1818</v>
      </c>
      <c r="C6356" t="s">
        <v>523</v>
      </c>
      <c r="D6356" t="s">
        <v>27</v>
      </c>
      <c r="E6356" s="208" t="s">
        <v>155</v>
      </c>
      <c r="F6356" t="s">
        <v>14</v>
      </c>
      <c r="G6356" s="18">
        <v>88293</v>
      </c>
      <c r="H6356" t="s">
        <v>17</v>
      </c>
      <c r="I6356" s="151" t="s">
        <v>562</v>
      </c>
    </row>
    <row r="6357" spans="1:9" x14ac:dyDescent="0.25">
      <c r="A6357">
        <v>1817</v>
      </c>
      <c r="B6357">
        <f>A6357+1</f>
        <v>1818</v>
      </c>
      <c r="C6357" t="s">
        <v>523</v>
      </c>
      <c r="D6357" t="s">
        <v>27</v>
      </c>
      <c r="E6357" s="208" t="s">
        <v>156</v>
      </c>
      <c r="F6357" t="s">
        <v>14</v>
      </c>
      <c r="G6357" s="18">
        <v>9065</v>
      </c>
      <c r="H6357" t="s">
        <v>17</v>
      </c>
      <c r="I6357" s="151" t="s">
        <v>562</v>
      </c>
    </row>
    <row r="6358" spans="1:9" x14ac:dyDescent="0.25">
      <c r="A6358">
        <v>1817</v>
      </c>
      <c r="B6358">
        <f>A6358+1</f>
        <v>1818</v>
      </c>
      <c r="C6358" t="s">
        <v>523</v>
      </c>
      <c r="D6358" t="s">
        <v>27</v>
      </c>
      <c r="E6358" s="208" t="s">
        <v>154</v>
      </c>
      <c r="F6358" t="s">
        <v>14</v>
      </c>
      <c r="G6358" s="18">
        <v>1099</v>
      </c>
      <c r="H6358" t="s">
        <v>17</v>
      </c>
      <c r="I6358" s="151" t="s">
        <v>562</v>
      </c>
    </row>
    <row r="6359" spans="1:9" x14ac:dyDescent="0.25">
      <c r="A6359">
        <v>1817</v>
      </c>
      <c r="B6359">
        <f>A6359+1</f>
        <v>1818</v>
      </c>
      <c r="C6359" t="s">
        <v>523</v>
      </c>
      <c r="D6359" t="s">
        <v>27</v>
      </c>
      <c r="E6359" s="208" t="s">
        <v>150</v>
      </c>
      <c r="F6359" t="s">
        <v>14</v>
      </c>
      <c r="G6359" s="18">
        <v>38959</v>
      </c>
      <c r="H6359" t="s">
        <v>17</v>
      </c>
      <c r="I6359" s="151" t="s">
        <v>562</v>
      </c>
    </row>
    <row r="6360" spans="1:9" x14ac:dyDescent="0.25">
      <c r="A6360">
        <v>1817</v>
      </c>
      <c r="B6360">
        <f>A6360+1</f>
        <v>1818</v>
      </c>
      <c r="C6360" t="s">
        <v>523</v>
      </c>
      <c r="D6360" t="s">
        <v>27</v>
      </c>
      <c r="E6360" s="208" t="s">
        <v>148</v>
      </c>
      <c r="F6360" t="s">
        <v>14</v>
      </c>
      <c r="G6360" s="18">
        <v>587</v>
      </c>
      <c r="H6360" t="s">
        <v>17</v>
      </c>
      <c r="I6360" s="151" t="s">
        <v>562</v>
      </c>
    </row>
    <row r="6361" spans="1:9" x14ac:dyDescent="0.25">
      <c r="A6361">
        <v>1817</v>
      </c>
      <c r="B6361">
        <f>A6361+1</f>
        <v>1818</v>
      </c>
      <c r="C6361" t="s">
        <v>523</v>
      </c>
      <c r="D6361" t="s">
        <v>27</v>
      </c>
      <c r="E6361" s="208" t="s">
        <v>147</v>
      </c>
      <c r="F6361" t="s">
        <v>14</v>
      </c>
      <c r="G6361" s="18">
        <v>0</v>
      </c>
      <c r="H6361" t="s">
        <v>17</v>
      </c>
      <c r="I6361" s="151" t="s">
        <v>562</v>
      </c>
    </row>
    <row r="6362" spans="1:9" x14ac:dyDescent="0.25">
      <c r="A6362">
        <v>1817</v>
      </c>
      <c r="B6362">
        <f>A6362+1</f>
        <v>1818</v>
      </c>
      <c r="C6362" t="s">
        <v>523</v>
      </c>
      <c r="D6362" t="s">
        <v>27</v>
      </c>
      <c r="E6362" s="208" t="s">
        <v>314</v>
      </c>
      <c r="F6362" t="s">
        <v>14</v>
      </c>
      <c r="G6362" s="18">
        <v>0</v>
      </c>
      <c r="H6362" t="s">
        <v>17</v>
      </c>
      <c r="I6362" s="151" t="s">
        <v>562</v>
      </c>
    </row>
    <row r="6363" spans="1:9" x14ac:dyDescent="0.25">
      <c r="A6363">
        <v>1817</v>
      </c>
      <c r="B6363">
        <f>A6363+1</f>
        <v>1818</v>
      </c>
      <c r="C6363" t="s">
        <v>523</v>
      </c>
      <c r="D6363" t="s">
        <v>27</v>
      </c>
      <c r="E6363" s="208" t="s">
        <v>139</v>
      </c>
      <c r="F6363" t="s">
        <v>14</v>
      </c>
      <c r="G6363" s="18">
        <v>386</v>
      </c>
      <c r="H6363" t="s">
        <v>17</v>
      </c>
      <c r="I6363" s="151" t="s">
        <v>562</v>
      </c>
    </row>
    <row r="6364" spans="1:9" x14ac:dyDescent="0.25">
      <c r="A6364">
        <v>1817</v>
      </c>
      <c r="B6364">
        <f>A6364+1</f>
        <v>1818</v>
      </c>
      <c r="C6364" t="s">
        <v>523</v>
      </c>
      <c r="D6364" t="s">
        <v>27</v>
      </c>
      <c r="E6364" s="208" t="s">
        <v>132</v>
      </c>
      <c r="F6364" t="s">
        <v>14</v>
      </c>
      <c r="G6364" s="18">
        <v>1432</v>
      </c>
      <c r="H6364" t="s">
        <v>17</v>
      </c>
      <c r="I6364" s="151" t="s">
        <v>562</v>
      </c>
    </row>
    <row r="6365" spans="1:9" x14ac:dyDescent="0.25">
      <c r="A6365">
        <v>1817</v>
      </c>
      <c r="B6365">
        <f>A6365+1</f>
        <v>1818</v>
      </c>
      <c r="C6365" t="s">
        <v>523</v>
      </c>
      <c r="D6365" t="s">
        <v>27</v>
      </c>
      <c r="E6365" s="208" t="s">
        <v>130</v>
      </c>
      <c r="F6365" t="s">
        <v>14</v>
      </c>
      <c r="G6365" s="18">
        <v>970</v>
      </c>
      <c r="H6365" t="s">
        <v>17</v>
      </c>
      <c r="I6365" s="151" t="s">
        <v>562</v>
      </c>
    </row>
    <row r="6366" spans="1:9" x14ac:dyDescent="0.25">
      <c r="A6366">
        <v>1817</v>
      </c>
      <c r="B6366">
        <f>A6366+1</f>
        <v>1818</v>
      </c>
      <c r="C6366" t="s">
        <v>523</v>
      </c>
      <c r="D6366" t="s">
        <v>27</v>
      </c>
      <c r="E6366" s="208" t="s">
        <v>144</v>
      </c>
      <c r="F6366" t="s">
        <v>14</v>
      </c>
      <c r="G6366" s="18">
        <v>345</v>
      </c>
      <c r="H6366" t="s">
        <v>17</v>
      </c>
      <c r="I6366" s="151" t="s">
        <v>562</v>
      </c>
    </row>
    <row r="6367" spans="1:9" x14ac:dyDescent="0.25">
      <c r="A6367">
        <v>1817</v>
      </c>
      <c r="B6367">
        <f>A6367+1</f>
        <v>1818</v>
      </c>
      <c r="C6367" t="s">
        <v>523</v>
      </c>
      <c r="D6367" t="s">
        <v>27</v>
      </c>
      <c r="E6367" s="208" t="s">
        <v>142</v>
      </c>
      <c r="F6367" t="s">
        <v>14</v>
      </c>
      <c r="G6367" s="18">
        <v>18268</v>
      </c>
      <c r="H6367" t="s">
        <v>17</v>
      </c>
      <c r="I6367" s="151" t="s">
        <v>562</v>
      </c>
    </row>
    <row r="6368" spans="1:9" x14ac:dyDescent="0.25">
      <c r="A6368">
        <v>1817</v>
      </c>
      <c r="B6368">
        <f>A6368+1</f>
        <v>1818</v>
      </c>
      <c r="C6368" t="s">
        <v>523</v>
      </c>
      <c r="D6368" t="s">
        <v>27</v>
      </c>
      <c r="E6368" s="208" t="s">
        <v>124</v>
      </c>
      <c r="F6368" t="s">
        <v>14</v>
      </c>
      <c r="G6368" s="18">
        <v>11821832</v>
      </c>
      <c r="H6368" t="s">
        <v>17</v>
      </c>
      <c r="I6368" s="151" t="s">
        <v>562</v>
      </c>
    </row>
    <row r="6369" spans="1:9" x14ac:dyDescent="0.25">
      <c r="A6369">
        <v>1817</v>
      </c>
      <c r="B6369">
        <f>A6369+1</f>
        <v>1818</v>
      </c>
      <c r="C6369" t="s">
        <v>523</v>
      </c>
      <c r="D6369" t="s">
        <v>26</v>
      </c>
      <c r="E6369" s="208" t="s">
        <v>62</v>
      </c>
      <c r="F6369" t="s">
        <v>14</v>
      </c>
      <c r="G6369" s="18">
        <v>6220</v>
      </c>
      <c r="H6369" s="151" t="s">
        <v>563</v>
      </c>
      <c r="I6369" t="s">
        <v>17</v>
      </c>
    </row>
    <row r="6370" spans="1:9" x14ac:dyDescent="0.25">
      <c r="A6370">
        <v>1817</v>
      </c>
      <c r="B6370">
        <f>A6370+1</f>
        <v>1818</v>
      </c>
      <c r="C6370" t="s">
        <v>523</v>
      </c>
      <c r="D6370" t="s">
        <v>26</v>
      </c>
      <c r="E6370" s="208" t="s">
        <v>36</v>
      </c>
      <c r="F6370" t="s">
        <v>14</v>
      </c>
      <c r="G6370" s="18">
        <v>921</v>
      </c>
      <c r="H6370" s="151" t="s">
        <v>563</v>
      </c>
      <c r="I6370" t="s">
        <v>17</v>
      </c>
    </row>
    <row r="6371" spans="1:9" x14ac:dyDescent="0.25">
      <c r="A6371">
        <v>1817</v>
      </c>
      <c r="B6371">
        <f>A6371+1</f>
        <v>1818</v>
      </c>
      <c r="C6371" t="s">
        <v>523</v>
      </c>
      <c r="D6371" t="s">
        <v>26</v>
      </c>
      <c r="E6371" s="208" t="s">
        <v>35</v>
      </c>
      <c r="F6371" t="s">
        <v>14</v>
      </c>
      <c r="G6371" s="18">
        <v>0</v>
      </c>
      <c r="H6371" s="151" t="s">
        <v>563</v>
      </c>
      <c r="I6371" t="s">
        <v>17</v>
      </c>
    </row>
    <row r="6372" spans="1:9" x14ac:dyDescent="0.25">
      <c r="A6372">
        <v>1817</v>
      </c>
      <c r="B6372">
        <f>A6372+1</f>
        <v>1818</v>
      </c>
      <c r="C6372" t="s">
        <v>523</v>
      </c>
      <c r="D6372" t="s">
        <v>26</v>
      </c>
      <c r="E6372" s="208" t="s">
        <v>39</v>
      </c>
      <c r="F6372" t="s">
        <v>14</v>
      </c>
      <c r="G6372" s="18">
        <v>40</v>
      </c>
      <c r="H6372" s="151" t="s">
        <v>563</v>
      </c>
      <c r="I6372" t="s">
        <v>17</v>
      </c>
    </row>
    <row r="6373" spans="1:9" x14ac:dyDescent="0.25">
      <c r="A6373">
        <v>1817</v>
      </c>
      <c r="B6373">
        <f>A6373+1</f>
        <v>1818</v>
      </c>
      <c r="C6373" t="s">
        <v>523</v>
      </c>
      <c r="D6373" t="s">
        <v>26</v>
      </c>
      <c r="E6373" s="208" t="s">
        <v>99</v>
      </c>
      <c r="F6373" t="s">
        <v>14</v>
      </c>
      <c r="G6373" s="18">
        <v>601</v>
      </c>
      <c r="H6373" s="151" t="s">
        <v>563</v>
      </c>
      <c r="I6373" t="s">
        <v>17</v>
      </c>
    </row>
    <row r="6374" spans="1:9" x14ac:dyDescent="0.25">
      <c r="A6374">
        <v>1817</v>
      </c>
      <c r="B6374">
        <f>A6374+1</f>
        <v>1818</v>
      </c>
      <c r="C6374" t="s">
        <v>523</v>
      </c>
      <c r="D6374" t="s">
        <v>26</v>
      </c>
      <c r="E6374" s="208" t="s">
        <v>95</v>
      </c>
      <c r="F6374" t="s">
        <v>14</v>
      </c>
      <c r="G6374" s="18">
        <v>40</v>
      </c>
      <c r="H6374" s="151" t="s">
        <v>563</v>
      </c>
      <c r="I6374" t="s">
        <v>17</v>
      </c>
    </row>
    <row r="6375" spans="1:9" x14ac:dyDescent="0.25">
      <c r="A6375">
        <v>1817</v>
      </c>
      <c r="B6375">
        <f>A6375+1</f>
        <v>1818</v>
      </c>
      <c r="C6375" t="s">
        <v>523</v>
      </c>
      <c r="D6375" t="s">
        <v>26</v>
      </c>
      <c r="E6375" s="208" t="s">
        <v>94</v>
      </c>
      <c r="F6375" t="s">
        <v>14</v>
      </c>
      <c r="G6375" s="18">
        <v>0</v>
      </c>
      <c r="H6375" s="151" t="s">
        <v>563</v>
      </c>
      <c r="I6375" t="s">
        <v>17</v>
      </c>
    </row>
    <row r="6376" spans="1:9" x14ac:dyDescent="0.25">
      <c r="A6376">
        <v>1817</v>
      </c>
      <c r="B6376">
        <f>A6376+1</f>
        <v>1818</v>
      </c>
      <c r="C6376" t="s">
        <v>523</v>
      </c>
      <c r="D6376" t="s">
        <v>26</v>
      </c>
      <c r="E6376" s="208" t="s">
        <v>386</v>
      </c>
      <c r="F6376" t="s">
        <v>14</v>
      </c>
      <c r="G6376" s="18">
        <v>5678</v>
      </c>
      <c r="H6376" s="151" t="s">
        <v>563</v>
      </c>
      <c r="I6376" t="s">
        <v>17</v>
      </c>
    </row>
    <row r="6377" spans="1:9" x14ac:dyDescent="0.25">
      <c r="A6377">
        <v>1817</v>
      </c>
      <c r="B6377">
        <f>A6377+1</f>
        <v>1818</v>
      </c>
      <c r="C6377" t="s">
        <v>523</v>
      </c>
      <c r="D6377" t="s">
        <v>26</v>
      </c>
      <c r="E6377" s="208" t="s">
        <v>387</v>
      </c>
      <c r="F6377" t="s">
        <v>14</v>
      </c>
      <c r="G6377" s="18">
        <v>0</v>
      </c>
      <c r="H6377" s="151" t="s">
        <v>563</v>
      </c>
      <c r="I6377" t="s">
        <v>17</v>
      </c>
    </row>
    <row r="6378" spans="1:9" x14ac:dyDescent="0.25">
      <c r="A6378">
        <v>1817</v>
      </c>
      <c r="B6378">
        <f>A6378+1</f>
        <v>1818</v>
      </c>
      <c r="C6378" t="s">
        <v>523</v>
      </c>
      <c r="D6378" t="s">
        <v>26</v>
      </c>
      <c r="E6378" s="208" t="s">
        <v>388</v>
      </c>
      <c r="F6378" t="s">
        <v>14</v>
      </c>
      <c r="G6378" s="18">
        <v>975</v>
      </c>
      <c r="H6378" s="151" t="s">
        <v>563</v>
      </c>
      <c r="I6378" t="s">
        <v>17</v>
      </c>
    </row>
    <row r="6379" spans="1:9" x14ac:dyDescent="0.25">
      <c r="A6379">
        <v>1817</v>
      </c>
      <c r="B6379">
        <f>A6379+1</f>
        <v>1818</v>
      </c>
      <c r="C6379" t="s">
        <v>523</v>
      </c>
      <c r="D6379" t="s">
        <v>26</v>
      </c>
      <c r="E6379" s="208" t="s">
        <v>85</v>
      </c>
      <c r="F6379" t="s">
        <v>14</v>
      </c>
      <c r="G6379" s="18">
        <v>96</v>
      </c>
      <c r="H6379" s="151" t="s">
        <v>563</v>
      </c>
      <c r="I6379" t="s">
        <v>17</v>
      </c>
    </row>
    <row r="6380" spans="1:9" x14ac:dyDescent="0.25">
      <c r="A6380">
        <v>1817</v>
      </c>
      <c r="B6380">
        <f>A6380+1</f>
        <v>1818</v>
      </c>
      <c r="C6380" t="s">
        <v>523</v>
      </c>
      <c r="D6380" t="s">
        <v>26</v>
      </c>
      <c r="E6380" s="208" t="s">
        <v>398</v>
      </c>
      <c r="F6380" t="s">
        <v>14</v>
      </c>
      <c r="G6380" s="18">
        <v>70</v>
      </c>
      <c r="H6380" s="151" t="s">
        <v>563</v>
      </c>
      <c r="I6380" t="s">
        <v>17</v>
      </c>
    </row>
    <row r="6381" spans="1:9" x14ac:dyDescent="0.25">
      <c r="A6381">
        <v>1817</v>
      </c>
      <c r="B6381">
        <f>A6381+1</f>
        <v>1818</v>
      </c>
      <c r="C6381" t="s">
        <v>523</v>
      </c>
      <c r="D6381" t="s">
        <v>26</v>
      </c>
      <c r="E6381" s="208" t="s">
        <v>107</v>
      </c>
      <c r="F6381" t="s">
        <v>14</v>
      </c>
      <c r="G6381" s="18">
        <v>2942662</v>
      </c>
      <c r="H6381" s="151" t="s">
        <v>563</v>
      </c>
      <c r="I6381" t="s">
        <v>17</v>
      </c>
    </row>
    <row r="6382" spans="1:9" x14ac:dyDescent="0.25">
      <c r="A6382">
        <v>1817</v>
      </c>
      <c r="B6382">
        <f>A6382+1</f>
        <v>1818</v>
      </c>
      <c r="C6382" t="s">
        <v>523</v>
      </c>
      <c r="D6382" t="s">
        <v>26</v>
      </c>
      <c r="E6382" s="208" t="s">
        <v>101</v>
      </c>
      <c r="F6382" t="s">
        <v>14</v>
      </c>
      <c r="G6382" s="18">
        <v>5083734</v>
      </c>
      <c r="H6382" s="151" t="s">
        <v>563</v>
      </c>
      <c r="I6382" t="s">
        <v>17</v>
      </c>
    </row>
    <row r="6383" spans="1:9" x14ac:dyDescent="0.25">
      <c r="A6383">
        <v>1817</v>
      </c>
      <c r="B6383">
        <f>A6383+1</f>
        <v>1818</v>
      </c>
      <c r="C6383" t="s">
        <v>523</v>
      </c>
      <c r="D6383" t="s">
        <v>26</v>
      </c>
      <c r="E6383" s="208" t="s">
        <v>75</v>
      </c>
      <c r="F6383" t="s">
        <v>14</v>
      </c>
      <c r="G6383" s="18">
        <v>4393976</v>
      </c>
      <c r="H6383" s="151" t="s">
        <v>563</v>
      </c>
      <c r="I6383" t="s">
        <v>17</v>
      </c>
    </row>
    <row r="6384" spans="1:9" x14ac:dyDescent="0.25">
      <c r="A6384">
        <v>1817</v>
      </c>
      <c r="B6384">
        <f>A6384+1</f>
        <v>1818</v>
      </c>
      <c r="C6384" t="s">
        <v>523</v>
      </c>
      <c r="D6384" t="s">
        <v>26</v>
      </c>
      <c r="E6384" s="208" t="s">
        <v>330</v>
      </c>
      <c r="F6384" t="s">
        <v>14</v>
      </c>
      <c r="G6384" s="18">
        <v>359</v>
      </c>
      <c r="H6384" s="151" t="s">
        <v>563</v>
      </c>
      <c r="I6384" t="s">
        <v>17</v>
      </c>
    </row>
    <row r="6385" spans="1:9" x14ac:dyDescent="0.25">
      <c r="A6385">
        <v>1817</v>
      </c>
      <c r="B6385">
        <f>A6385+1</f>
        <v>1818</v>
      </c>
      <c r="C6385" t="s">
        <v>523</v>
      </c>
      <c r="D6385" t="s">
        <v>26</v>
      </c>
      <c r="E6385" s="208" t="s">
        <v>331</v>
      </c>
      <c r="F6385" t="s">
        <v>14</v>
      </c>
      <c r="G6385" s="18">
        <v>279</v>
      </c>
      <c r="H6385" s="151" t="s">
        <v>563</v>
      </c>
      <c r="I6385" t="s">
        <v>17</v>
      </c>
    </row>
    <row r="6386" spans="1:9" x14ac:dyDescent="0.25">
      <c r="A6386">
        <v>1817</v>
      </c>
      <c r="B6386">
        <f>A6386+1</f>
        <v>1818</v>
      </c>
      <c r="C6386" t="s">
        <v>523</v>
      </c>
      <c r="D6386" t="s">
        <v>26</v>
      </c>
      <c r="E6386" s="208" t="s">
        <v>332</v>
      </c>
      <c r="F6386" t="s">
        <v>14</v>
      </c>
      <c r="G6386" s="18">
        <v>54</v>
      </c>
      <c r="H6386" s="151" t="s">
        <v>563</v>
      </c>
      <c r="I6386" t="s">
        <v>17</v>
      </c>
    </row>
    <row r="6387" spans="1:9" x14ac:dyDescent="0.25">
      <c r="A6387">
        <v>1817</v>
      </c>
      <c r="B6387">
        <f>A6387+1</f>
        <v>1818</v>
      </c>
      <c r="C6387" t="s">
        <v>523</v>
      </c>
      <c r="D6387" t="s">
        <v>26</v>
      </c>
      <c r="E6387" s="208" t="s">
        <v>333</v>
      </c>
      <c r="F6387" t="s">
        <v>14</v>
      </c>
      <c r="G6387" s="18">
        <v>854</v>
      </c>
      <c r="H6387" s="151" t="s">
        <v>563</v>
      </c>
      <c r="I6387" t="s">
        <v>17</v>
      </c>
    </row>
    <row r="6388" spans="1:9" x14ac:dyDescent="0.25">
      <c r="A6388">
        <v>1817</v>
      </c>
      <c r="B6388">
        <f>A6388+1</f>
        <v>1818</v>
      </c>
      <c r="C6388" t="s">
        <v>523</v>
      </c>
      <c r="D6388" t="s">
        <v>27</v>
      </c>
      <c r="E6388" s="208" t="s">
        <v>155</v>
      </c>
      <c r="F6388" t="s">
        <v>15</v>
      </c>
      <c r="G6388" s="18">
        <v>113813</v>
      </c>
      <c r="H6388" t="s">
        <v>561</v>
      </c>
      <c r="I6388" s="151" t="s">
        <v>562</v>
      </c>
    </row>
    <row r="6389" spans="1:9" x14ac:dyDescent="0.25">
      <c r="A6389">
        <v>1817</v>
      </c>
      <c r="B6389">
        <f>A6389+1</f>
        <v>1818</v>
      </c>
      <c r="C6389" t="s">
        <v>523</v>
      </c>
      <c r="D6389" t="s">
        <v>27</v>
      </c>
      <c r="E6389" s="208" t="s">
        <v>156</v>
      </c>
      <c r="F6389" t="s">
        <v>15</v>
      </c>
      <c r="G6389" s="18">
        <v>11388</v>
      </c>
      <c r="H6389" t="s">
        <v>561</v>
      </c>
      <c r="I6389" s="151" t="s">
        <v>562</v>
      </c>
    </row>
    <row r="6390" spans="1:9" x14ac:dyDescent="0.25">
      <c r="A6390">
        <v>1817</v>
      </c>
      <c r="B6390">
        <f>A6390+1</f>
        <v>1818</v>
      </c>
      <c r="C6390" t="s">
        <v>523</v>
      </c>
      <c r="D6390" t="s">
        <v>27</v>
      </c>
      <c r="E6390" s="208" t="s">
        <v>154</v>
      </c>
      <c r="F6390" t="s">
        <v>15</v>
      </c>
      <c r="G6390" s="18">
        <v>2786</v>
      </c>
      <c r="H6390" t="s">
        <v>561</v>
      </c>
      <c r="I6390" s="151" t="s">
        <v>562</v>
      </c>
    </row>
    <row r="6391" spans="1:9" x14ac:dyDescent="0.25">
      <c r="A6391">
        <v>1817</v>
      </c>
      <c r="B6391">
        <f>A6391+1</f>
        <v>1818</v>
      </c>
      <c r="C6391" t="s">
        <v>523</v>
      </c>
      <c r="D6391" t="s">
        <v>27</v>
      </c>
      <c r="E6391" s="208" t="s">
        <v>150</v>
      </c>
      <c r="F6391" t="s">
        <v>15</v>
      </c>
      <c r="G6391" s="18">
        <v>50195</v>
      </c>
      <c r="H6391" t="s">
        <v>561</v>
      </c>
      <c r="I6391" s="151" t="s">
        <v>562</v>
      </c>
    </row>
    <row r="6392" spans="1:9" x14ac:dyDescent="0.25">
      <c r="A6392">
        <v>1817</v>
      </c>
      <c r="B6392">
        <f>A6392+1</f>
        <v>1818</v>
      </c>
      <c r="C6392" t="s">
        <v>523</v>
      </c>
      <c r="D6392" t="s">
        <v>27</v>
      </c>
      <c r="E6392" s="208" t="s">
        <v>148</v>
      </c>
      <c r="F6392" t="s">
        <v>15</v>
      </c>
      <c r="G6392" s="18">
        <v>1108</v>
      </c>
      <c r="H6392" t="s">
        <v>561</v>
      </c>
      <c r="I6392" s="151" t="s">
        <v>562</v>
      </c>
    </row>
    <row r="6393" spans="1:9" x14ac:dyDescent="0.25">
      <c r="A6393">
        <v>1817</v>
      </c>
      <c r="B6393">
        <f>A6393+1</f>
        <v>1818</v>
      </c>
      <c r="C6393" t="s">
        <v>523</v>
      </c>
      <c r="D6393" t="s">
        <v>27</v>
      </c>
      <c r="E6393" s="208" t="s">
        <v>147</v>
      </c>
      <c r="F6393" t="s">
        <v>15</v>
      </c>
      <c r="G6393" s="18">
        <v>121</v>
      </c>
      <c r="H6393" t="s">
        <v>561</v>
      </c>
      <c r="I6393" s="151" t="s">
        <v>562</v>
      </c>
    </row>
    <row r="6394" spans="1:9" x14ac:dyDescent="0.25">
      <c r="A6394">
        <v>1817</v>
      </c>
      <c r="B6394">
        <f>A6394+1</f>
        <v>1818</v>
      </c>
      <c r="C6394" t="s">
        <v>523</v>
      </c>
      <c r="D6394" t="s">
        <v>27</v>
      </c>
      <c r="E6394" s="208" t="s">
        <v>314</v>
      </c>
      <c r="F6394" t="s">
        <v>15</v>
      </c>
      <c r="G6394" s="18">
        <v>191</v>
      </c>
      <c r="H6394" t="s">
        <v>561</v>
      </c>
      <c r="I6394" s="151" t="s">
        <v>562</v>
      </c>
    </row>
    <row r="6395" spans="1:9" x14ac:dyDescent="0.25">
      <c r="A6395">
        <v>1817</v>
      </c>
      <c r="B6395">
        <f>A6395+1</f>
        <v>1818</v>
      </c>
      <c r="C6395" t="s">
        <v>523</v>
      </c>
      <c r="D6395" t="s">
        <v>27</v>
      </c>
      <c r="E6395" s="208" t="s">
        <v>139</v>
      </c>
      <c r="F6395" t="s">
        <v>15</v>
      </c>
      <c r="G6395" s="18">
        <v>407</v>
      </c>
      <c r="H6395" t="s">
        <v>561</v>
      </c>
      <c r="I6395" s="151" t="s">
        <v>562</v>
      </c>
    </row>
    <row r="6396" spans="1:9" x14ac:dyDescent="0.25">
      <c r="A6396">
        <v>1817</v>
      </c>
      <c r="B6396">
        <f>A6396+1</f>
        <v>1818</v>
      </c>
      <c r="C6396" t="s">
        <v>523</v>
      </c>
      <c r="D6396" t="s">
        <v>27</v>
      </c>
      <c r="E6396" s="208" t="s">
        <v>132</v>
      </c>
      <c r="F6396" t="s">
        <v>15</v>
      </c>
      <c r="G6396" s="18">
        <v>2526</v>
      </c>
      <c r="H6396" t="s">
        <v>561</v>
      </c>
      <c r="I6396" s="151" t="s">
        <v>562</v>
      </c>
    </row>
    <row r="6397" spans="1:9" x14ac:dyDescent="0.25">
      <c r="A6397">
        <v>1817</v>
      </c>
      <c r="B6397">
        <f>A6397+1</f>
        <v>1818</v>
      </c>
      <c r="C6397" t="s">
        <v>523</v>
      </c>
      <c r="D6397" t="s">
        <v>27</v>
      </c>
      <c r="E6397" s="208" t="s">
        <v>130</v>
      </c>
      <c r="F6397" t="s">
        <v>15</v>
      </c>
      <c r="G6397" s="18">
        <v>1067</v>
      </c>
      <c r="H6397" t="s">
        <v>561</v>
      </c>
      <c r="I6397" s="151" t="s">
        <v>562</v>
      </c>
    </row>
    <row r="6398" spans="1:9" x14ac:dyDescent="0.25">
      <c r="A6398">
        <v>1817</v>
      </c>
      <c r="B6398">
        <f>A6398+1</f>
        <v>1818</v>
      </c>
      <c r="C6398" t="s">
        <v>523</v>
      </c>
      <c r="D6398" t="s">
        <v>27</v>
      </c>
      <c r="E6398" s="208" t="s">
        <v>144</v>
      </c>
      <c r="F6398" t="s">
        <v>15</v>
      </c>
      <c r="G6398" s="18">
        <v>941</v>
      </c>
      <c r="H6398" t="s">
        <v>561</v>
      </c>
      <c r="I6398" s="151" t="s">
        <v>562</v>
      </c>
    </row>
    <row r="6399" spans="1:9" x14ac:dyDescent="0.25">
      <c r="A6399">
        <v>1817</v>
      </c>
      <c r="B6399">
        <f>A6399+1</f>
        <v>1818</v>
      </c>
      <c r="C6399" t="s">
        <v>523</v>
      </c>
      <c r="D6399" t="s">
        <v>27</v>
      </c>
      <c r="E6399" s="208" t="s">
        <v>142</v>
      </c>
      <c r="F6399" t="s">
        <v>15</v>
      </c>
      <c r="G6399" s="18">
        <v>21071</v>
      </c>
      <c r="H6399" t="s">
        <v>561</v>
      </c>
      <c r="I6399" s="151" t="s">
        <v>562</v>
      </c>
    </row>
    <row r="6400" spans="1:9" x14ac:dyDescent="0.25">
      <c r="A6400">
        <v>1817</v>
      </c>
      <c r="B6400">
        <f>A6400+1</f>
        <v>1818</v>
      </c>
      <c r="C6400" t="s">
        <v>523</v>
      </c>
      <c r="D6400" t="s">
        <v>27</v>
      </c>
      <c r="E6400" s="208" t="s">
        <v>124</v>
      </c>
      <c r="F6400" t="s">
        <v>15</v>
      </c>
      <c r="G6400" s="18">
        <v>25329456</v>
      </c>
      <c r="H6400" t="s">
        <v>561</v>
      </c>
      <c r="I6400" s="151" t="s">
        <v>562</v>
      </c>
    </row>
    <row r="6401" spans="1:9" x14ac:dyDescent="0.25">
      <c r="A6401">
        <v>1817</v>
      </c>
      <c r="B6401">
        <f>A6401+1</f>
        <v>1818</v>
      </c>
      <c r="C6401" t="s">
        <v>523</v>
      </c>
      <c r="D6401" t="s">
        <v>26</v>
      </c>
      <c r="E6401" s="208" t="s">
        <v>62</v>
      </c>
      <c r="F6401" t="s">
        <v>15</v>
      </c>
      <c r="G6401" s="18">
        <v>50856</v>
      </c>
      <c r="H6401" s="151" t="s">
        <v>563</v>
      </c>
      <c r="I6401" t="s">
        <v>561</v>
      </c>
    </row>
    <row r="6402" spans="1:9" x14ac:dyDescent="0.25">
      <c r="A6402">
        <v>1817</v>
      </c>
      <c r="B6402">
        <f>A6402+1</f>
        <v>1818</v>
      </c>
      <c r="C6402" t="s">
        <v>523</v>
      </c>
      <c r="D6402" t="s">
        <v>26</v>
      </c>
      <c r="E6402" s="208" t="s">
        <v>36</v>
      </c>
      <c r="F6402" t="s">
        <v>15</v>
      </c>
      <c r="G6402" s="18">
        <v>4497</v>
      </c>
      <c r="H6402" s="151" t="s">
        <v>563</v>
      </c>
      <c r="I6402" t="s">
        <v>561</v>
      </c>
    </row>
    <row r="6403" spans="1:9" x14ac:dyDescent="0.25">
      <c r="A6403">
        <v>1817</v>
      </c>
      <c r="B6403">
        <f>A6403+1</f>
        <v>1818</v>
      </c>
      <c r="C6403" t="s">
        <v>523</v>
      </c>
      <c r="D6403" t="s">
        <v>26</v>
      </c>
      <c r="E6403" s="208" t="s">
        <v>35</v>
      </c>
      <c r="F6403" t="s">
        <v>15</v>
      </c>
      <c r="G6403" s="18">
        <v>4666</v>
      </c>
      <c r="H6403" s="151" t="s">
        <v>563</v>
      </c>
      <c r="I6403" t="s">
        <v>561</v>
      </c>
    </row>
    <row r="6404" spans="1:9" x14ac:dyDescent="0.25">
      <c r="A6404">
        <v>1817</v>
      </c>
      <c r="B6404">
        <f>A6404+1</f>
        <v>1818</v>
      </c>
      <c r="C6404" t="s">
        <v>523</v>
      </c>
      <c r="D6404" t="s">
        <v>26</v>
      </c>
      <c r="E6404" s="208" t="s">
        <v>39</v>
      </c>
      <c r="F6404" t="s">
        <v>15</v>
      </c>
      <c r="G6404" s="18">
        <v>1611</v>
      </c>
      <c r="H6404" s="151" t="s">
        <v>563</v>
      </c>
      <c r="I6404" t="s">
        <v>561</v>
      </c>
    </row>
    <row r="6405" spans="1:9" x14ac:dyDescent="0.25">
      <c r="A6405">
        <v>1817</v>
      </c>
      <c r="B6405">
        <f>A6405+1</f>
        <v>1818</v>
      </c>
      <c r="C6405" t="s">
        <v>523</v>
      </c>
      <c r="D6405" t="s">
        <v>26</v>
      </c>
      <c r="E6405" s="208" t="s">
        <v>99</v>
      </c>
      <c r="F6405" t="s">
        <v>15</v>
      </c>
      <c r="G6405" s="18">
        <v>1573</v>
      </c>
      <c r="H6405" s="151" t="s">
        <v>563</v>
      </c>
      <c r="I6405" t="s">
        <v>561</v>
      </c>
    </row>
    <row r="6406" spans="1:9" x14ac:dyDescent="0.25">
      <c r="A6406">
        <v>1817</v>
      </c>
      <c r="B6406">
        <f>A6406+1</f>
        <v>1818</v>
      </c>
      <c r="C6406" t="s">
        <v>523</v>
      </c>
      <c r="D6406" t="s">
        <v>26</v>
      </c>
      <c r="E6406" s="208" t="s">
        <v>95</v>
      </c>
      <c r="F6406" t="s">
        <v>15</v>
      </c>
      <c r="G6406" s="18">
        <v>213</v>
      </c>
      <c r="H6406" s="151" t="s">
        <v>563</v>
      </c>
      <c r="I6406" t="s">
        <v>561</v>
      </c>
    </row>
    <row r="6407" spans="1:9" x14ac:dyDescent="0.25">
      <c r="A6407">
        <v>1817</v>
      </c>
      <c r="B6407">
        <f>A6407+1</f>
        <v>1818</v>
      </c>
      <c r="C6407" t="s">
        <v>523</v>
      </c>
      <c r="D6407" t="s">
        <v>26</v>
      </c>
      <c r="E6407" s="208" t="s">
        <v>94</v>
      </c>
      <c r="F6407" t="s">
        <v>15</v>
      </c>
      <c r="G6407" s="18">
        <v>3352</v>
      </c>
      <c r="H6407" s="151" t="s">
        <v>563</v>
      </c>
      <c r="I6407" t="s">
        <v>561</v>
      </c>
    </row>
    <row r="6408" spans="1:9" x14ac:dyDescent="0.25">
      <c r="A6408">
        <v>1817</v>
      </c>
      <c r="B6408">
        <f>A6408+1</f>
        <v>1818</v>
      </c>
      <c r="C6408" t="s">
        <v>523</v>
      </c>
      <c r="D6408" t="s">
        <v>26</v>
      </c>
      <c r="E6408" s="208" t="s">
        <v>386</v>
      </c>
      <c r="F6408" t="s">
        <v>15</v>
      </c>
      <c r="G6408" s="18">
        <v>25832</v>
      </c>
      <c r="H6408" s="151" t="s">
        <v>563</v>
      </c>
      <c r="I6408" t="s">
        <v>561</v>
      </c>
    </row>
    <row r="6409" spans="1:9" x14ac:dyDescent="0.25">
      <c r="A6409">
        <v>1817</v>
      </c>
      <c r="B6409">
        <f>A6409+1</f>
        <v>1818</v>
      </c>
      <c r="C6409" t="s">
        <v>523</v>
      </c>
      <c r="D6409" t="s">
        <v>26</v>
      </c>
      <c r="E6409" s="208" t="s">
        <v>387</v>
      </c>
      <c r="F6409" t="s">
        <v>15</v>
      </c>
      <c r="G6409" s="18">
        <v>2506</v>
      </c>
      <c r="H6409" s="151" t="s">
        <v>563</v>
      </c>
      <c r="I6409" t="s">
        <v>561</v>
      </c>
    </row>
    <row r="6410" spans="1:9" x14ac:dyDescent="0.25">
      <c r="A6410">
        <v>1817</v>
      </c>
      <c r="B6410">
        <f>A6410+1</f>
        <v>1818</v>
      </c>
      <c r="C6410" t="s">
        <v>523</v>
      </c>
      <c r="D6410" t="s">
        <v>26</v>
      </c>
      <c r="E6410" s="208" t="s">
        <v>388</v>
      </c>
      <c r="F6410" t="s">
        <v>15</v>
      </c>
      <c r="G6410" s="18">
        <v>10258</v>
      </c>
      <c r="H6410" s="151" t="s">
        <v>563</v>
      </c>
      <c r="I6410" t="s">
        <v>561</v>
      </c>
    </row>
    <row r="6411" spans="1:9" x14ac:dyDescent="0.25">
      <c r="A6411">
        <v>1817</v>
      </c>
      <c r="B6411">
        <f>A6411+1</f>
        <v>1818</v>
      </c>
      <c r="C6411" t="s">
        <v>523</v>
      </c>
      <c r="D6411" t="s">
        <v>26</v>
      </c>
      <c r="E6411" s="208" t="s">
        <v>85</v>
      </c>
      <c r="F6411" t="s">
        <v>15</v>
      </c>
      <c r="G6411" s="18">
        <v>159</v>
      </c>
      <c r="H6411" s="151" t="s">
        <v>563</v>
      </c>
      <c r="I6411" t="s">
        <v>561</v>
      </c>
    </row>
    <row r="6412" spans="1:9" x14ac:dyDescent="0.25">
      <c r="A6412">
        <v>1817</v>
      </c>
      <c r="B6412">
        <f>A6412+1</f>
        <v>1818</v>
      </c>
      <c r="C6412" t="s">
        <v>523</v>
      </c>
      <c r="D6412" t="s">
        <v>26</v>
      </c>
      <c r="E6412" s="208" t="s">
        <v>398</v>
      </c>
      <c r="F6412" t="s">
        <v>15</v>
      </c>
      <c r="G6412" s="18">
        <v>394</v>
      </c>
      <c r="H6412" s="151" t="s">
        <v>563</v>
      </c>
      <c r="I6412" t="s">
        <v>561</v>
      </c>
    </row>
    <row r="6413" spans="1:9" x14ac:dyDescent="0.25">
      <c r="A6413">
        <v>1817</v>
      </c>
      <c r="B6413">
        <f>A6413+1</f>
        <v>1818</v>
      </c>
      <c r="C6413" t="s">
        <v>523</v>
      </c>
      <c r="D6413" t="s">
        <v>26</v>
      </c>
      <c r="E6413" s="208" t="s">
        <v>107</v>
      </c>
      <c r="F6413" t="s">
        <v>15</v>
      </c>
      <c r="G6413" s="18">
        <v>4422132</v>
      </c>
      <c r="H6413" s="151" t="s">
        <v>563</v>
      </c>
      <c r="I6413" t="s">
        <v>561</v>
      </c>
    </row>
    <row r="6414" spans="1:9" x14ac:dyDescent="0.25">
      <c r="A6414">
        <v>1817</v>
      </c>
      <c r="B6414">
        <f>A6414+1</f>
        <v>1818</v>
      </c>
      <c r="C6414" t="s">
        <v>523</v>
      </c>
      <c r="D6414" t="s">
        <v>26</v>
      </c>
      <c r="E6414" s="208" t="s">
        <v>101</v>
      </c>
      <c r="F6414" t="s">
        <v>15</v>
      </c>
      <c r="G6414" s="18">
        <v>10299918</v>
      </c>
      <c r="H6414" s="151" t="s">
        <v>563</v>
      </c>
      <c r="I6414" t="s">
        <v>561</v>
      </c>
    </row>
    <row r="6415" spans="1:9" x14ac:dyDescent="0.25">
      <c r="A6415">
        <v>1817</v>
      </c>
      <c r="B6415">
        <f>A6415+1</f>
        <v>1818</v>
      </c>
      <c r="C6415" t="s">
        <v>523</v>
      </c>
      <c r="D6415" t="s">
        <v>26</v>
      </c>
      <c r="E6415" s="208" t="s">
        <v>75</v>
      </c>
      <c r="F6415" t="s">
        <v>15</v>
      </c>
      <c r="G6415" s="18">
        <v>7523611</v>
      </c>
      <c r="H6415" s="151" t="s">
        <v>563</v>
      </c>
      <c r="I6415" t="s">
        <v>561</v>
      </c>
    </row>
    <row r="6416" spans="1:9" x14ac:dyDescent="0.25">
      <c r="A6416">
        <v>1817</v>
      </c>
      <c r="B6416">
        <f>A6416+1</f>
        <v>1818</v>
      </c>
      <c r="C6416" t="s">
        <v>523</v>
      </c>
      <c r="D6416" t="s">
        <v>26</v>
      </c>
      <c r="E6416" s="208" t="s">
        <v>330</v>
      </c>
      <c r="F6416" t="s">
        <v>15</v>
      </c>
      <c r="G6416" s="18">
        <v>1243</v>
      </c>
      <c r="H6416" s="151" t="s">
        <v>563</v>
      </c>
      <c r="I6416" t="s">
        <v>561</v>
      </c>
    </row>
    <row r="6417" spans="1:9" x14ac:dyDescent="0.25">
      <c r="A6417">
        <v>1817</v>
      </c>
      <c r="B6417">
        <f>A6417+1</f>
        <v>1818</v>
      </c>
      <c r="C6417" t="s">
        <v>523</v>
      </c>
      <c r="D6417" t="s">
        <v>26</v>
      </c>
      <c r="E6417" s="208" t="s">
        <v>331</v>
      </c>
      <c r="F6417" t="s">
        <v>15</v>
      </c>
      <c r="G6417" s="18">
        <v>3843</v>
      </c>
      <c r="H6417" s="151" t="s">
        <v>563</v>
      </c>
      <c r="I6417" t="s">
        <v>561</v>
      </c>
    </row>
    <row r="6418" spans="1:9" x14ac:dyDescent="0.25">
      <c r="A6418">
        <v>1817</v>
      </c>
      <c r="B6418">
        <f>A6418+1</f>
        <v>1818</v>
      </c>
      <c r="C6418" t="s">
        <v>523</v>
      </c>
      <c r="D6418" t="s">
        <v>26</v>
      </c>
      <c r="E6418" s="208" t="s">
        <v>332</v>
      </c>
      <c r="F6418" t="s">
        <v>15</v>
      </c>
      <c r="G6418" s="18">
        <v>802</v>
      </c>
      <c r="H6418" s="151" t="s">
        <v>563</v>
      </c>
      <c r="I6418" t="s">
        <v>561</v>
      </c>
    </row>
    <row r="6419" spans="1:9" x14ac:dyDescent="0.25">
      <c r="A6419">
        <v>1817</v>
      </c>
      <c r="B6419">
        <f>A6419+1</f>
        <v>1818</v>
      </c>
      <c r="C6419" t="s">
        <v>523</v>
      </c>
      <c r="D6419" t="s">
        <v>26</v>
      </c>
      <c r="E6419" s="208" t="s">
        <v>333</v>
      </c>
      <c r="F6419" t="s">
        <v>15</v>
      </c>
      <c r="G6419" s="18">
        <v>2696</v>
      </c>
      <c r="H6419" s="151" t="s">
        <v>563</v>
      </c>
      <c r="I6419" t="s">
        <v>561</v>
      </c>
    </row>
    <row r="6420" spans="1:9" x14ac:dyDescent="0.25">
      <c r="A6420">
        <v>1817</v>
      </c>
      <c r="B6420">
        <f>A6420+1</f>
        <v>1818</v>
      </c>
      <c r="C6420" t="s">
        <v>523</v>
      </c>
      <c r="D6420" t="s">
        <v>26</v>
      </c>
      <c r="E6420" s="208" t="s">
        <v>567</v>
      </c>
      <c r="F6420" t="s">
        <v>3</v>
      </c>
      <c r="G6420" s="18">
        <v>16095</v>
      </c>
      <c r="H6420" t="s">
        <v>24</v>
      </c>
      <c r="I6420" t="s">
        <v>16</v>
      </c>
    </row>
    <row r="6421" spans="1:9" x14ac:dyDescent="0.25">
      <c r="A6421">
        <v>1817</v>
      </c>
      <c r="B6421">
        <f>A6421+1</f>
        <v>1818</v>
      </c>
      <c r="C6421" t="s">
        <v>523</v>
      </c>
      <c r="D6421" t="s">
        <v>26</v>
      </c>
      <c r="E6421" s="208" t="s">
        <v>567</v>
      </c>
      <c r="F6421" t="s">
        <v>169</v>
      </c>
      <c r="G6421" s="18">
        <v>13210</v>
      </c>
      <c r="H6421" t="s">
        <v>160</v>
      </c>
      <c r="I6421" t="s">
        <v>16</v>
      </c>
    </row>
    <row r="6422" spans="1:9" x14ac:dyDescent="0.25">
      <c r="A6422">
        <v>1817</v>
      </c>
      <c r="B6422">
        <f>A6422+1</f>
        <v>1818</v>
      </c>
      <c r="C6422" t="s">
        <v>523</v>
      </c>
      <c r="D6422" t="s">
        <v>26</v>
      </c>
      <c r="E6422" s="208" t="s">
        <v>567</v>
      </c>
      <c r="F6422" t="s">
        <v>6</v>
      </c>
      <c r="G6422" s="18">
        <v>0</v>
      </c>
      <c r="H6422" t="s">
        <v>25</v>
      </c>
      <c r="I6422" t="s">
        <v>16</v>
      </c>
    </row>
    <row r="6423" spans="1:9" x14ac:dyDescent="0.25">
      <c r="A6423">
        <v>1817</v>
      </c>
      <c r="B6423">
        <f>A6423+1</f>
        <v>1818</v>
      </c>
      <c r="C6423" t="s">
        <v>523</v>
      </c>
      <c r="D6423" t="s">
        <v>26</v>
      </c>
      <c r="E6423" s="208" t="s">
        <v>567</v>
      </c>
      <c r="F6423" t="s">
        <v>4</v>
      </c>
      <c r="G6423" s="18">
        <v>0</v>
      </c>
      <c r="H6423" t="s">
        <v>23</v>
      </c>
      <c r="I6423" t="s">
        <v>16</v>
      </c>
    </row>
    <row r="6424" spans="1:9" x14ac:dyDescent="0.25">
      <c r="A6424">
        <v>1817</v>
      </c>
      <c r="B6424">
        <f>A6424+1</f>
        <v>1818</v>
      </c>
      <c r="C6424" t="s">
        <v>523</v>
      </c>
      <c r="D6424" t="s">
        <v>26</v>
      </c>
      <c r="E6424" s="208" t="s">
        <v>567</v>
      </c>
      <c r="F6424" t="s">
        <v>7</v>
      </c>
      <c r="G6424" s="18">
        <v>29305</v>
      </c>
      <c r="H6424" s="151" t="s">
        <v>563</v>
      </c>
      <c r="I6424" t="s">
        <v>16</v>
      </c>
    </row>
    <row r="6425" spans="1:9" x14ac:dyDescent="0.25">
      <c r="A6425">
        <v>1817</v>
      </c>
      <c r="B6425">
        <f>A6425+1</f>
        <v>1818</v>
      </c>
      <c r="C6425" t="s">
        <v>523</v>
      </c>
      <c r="D6425" t="s">
        <v>26</v>
      </c>
      <c r="E6425" s="208" t="s">
        <v>567</v>
      </c>
      <c r="F6425" t="s">
        <v>10</v>
      </c>
      <c r="G6425" s="18">
        <v>8406</v>
      </c>
      <c r="H6425" t="s">
        <v>24</v>
      </c>
      <c r="I6425" t="s">
        <v>17</v>
      </c>
    </row>
    <row r="6426" spans="1:9" x14ac:dyDescent="0.25">
      <c r="A6426">
        <v>1817</v>
      </c>
      <c r="B6426">
        <f>A6426+1</f>
        <v>1818</v>
      </c>
      <c r="C6426" t="s">
        <v>523</v>
      </c>
      <c r="D6426" t="s">
        <v>26</v>
      </c>
      <c r="E6426" s="208" t="s">
        <v>567</v>
      </c>
      <c r="F6426" t="s">
        <v>164</v>
      </c>
      <c r="G6426" s="18">
        <v>34647</v>
      </c>
      <c r="H6426" t="s">
        <v>160</v>
      </c>
      <c r="I6426" t="s">
        <v>17</v>
      </c>
    </row>
    <row r="6427" spans="1:9" x14ac:dyDescent="0.25">
      <c r="A6427">
        <v>1817</v>
      </c>
      <c r="B6427">
        <f>A6427+1</f>
        <v>1818</v>
      </c>
      <c r="C6427" t="s">
        <v>523</v>
      </c>
      <c r="D6427" t="s">
        <v>26</v>
      </c>
      <c r="E6427" s="208" t="s">
        <v>567</v>
      </c>
      <c r="F6427" t="s">
        <v>13</v>
      </c>
      <c r="G6427" s="18">
        <v>0</v>
      </c>
      <c r="H6427" t="s">
        <v>25</v>
      </c>
      <c r="I6427" t="s">
        <v>17</v>
      </c>
    </row>
    <row r="6428" spans="1:9" x14ac:dyDescent="0.25">
      <c r="A6428">
        <v>1817</v>
      </c>
      <c r="B6428">
        <f>A6428+1</f>
        <v>1818</v>
      </c>
      <c r="C6428" t="s">
        <v>523</v>
      </c>
      <c r="D6428" t="s">
        <v>26</v>
      </c>
      <c r="E6428" s="208" t="s">
        <v>567</v>
      </c>
      <c r="F6428" t="s">
        <v>11</v>
      </c>
      <c r="G6428" s="18">
        <v>0</v>
      </c>
      <c r="H6428" t="s">
        <v>23</v>
      </c>
      <c r="I6428" t="s">
        <v>17</v>
      </c>
    </row>
    <row r="6429" spans="1:9" x14ac:dyDescent="0.25">
      <c r="A6429">
        <v>1817</v>
      </c>
      <c r="B6429">
        <f>A6429+1</f>
        <v>1818</v>
      </c>
      <c r="C6429" t="s">
        <v>523</v>
      </c>
      <c r="D6429" t="s">
        <v>26</v>
      </c>
      <c r="E6429" s="208" t="s">
        <v>567</v>
      </c>
      <c r="F6429" t="s">
        <v>14</v>
      </c>
      <c r="G6429" s="18">
        <v>43053</v>
      </c>
      <c r="H6429" s="151" t="s">
        <v>563</v>
      </c>
      <c r="I6429" t="s">
        <v>17</v>
      </c>
    </row>
    <row r="6430" spans="1:9" x14ac:dyDescent="0.25">
      <c r="A6430">
        <v>1817</v>
      </c>
      <c r="B6430">
        <f>A6430+1</f>
        <v>1818</v>
      </c>
      <c r="C6430" t="s">
        <v>523</v>
      </c>
      <c r="D6430" t="s">
        <v>26</v>
      </c>
      <c r="E6430" s="208" t="s">
        <v>567</v>
      </c>
      <c r="F6430" t="s">
        <v>15</v>
      </c>
      <c r="G6430" s="18">
        <v>72358</v>
      </c>
      <c r="H6430" s="151" t="s">
        <v>563</v>
      </c>
      <c r="I6430" t="s">
        <v>561</v>
      </c>
    </row>
    <row r="6431" spans="1:9" x14ac:dyDescent="0.25">
      <c r="A6431">
        <v>1817</v>
      </c>
      <c r="B6431">
        <f>A6431+1</f>
        <v>1818</v>
      </c>
      <c r="C6431" t="s">
        <v>523</v>
      </c>
      <c r="D6431" t="s">
        <v>26</v>
      </c>
      <c r="E6431" s="208" t="s">
        <v>569</v>
      </c>
      <c r="F6431" t="s">
        <v>3</v>
      </c>
      <c r="G6431" s="18">
        <v>682</v>
      </c>
      <c r="H6431" t="s">
        <v>24</v>
      </c>
      <c r="I6431" t="s">
        <v>16</v>
      </c>
    </row>
    <row r="6432" spans="1:9" x14ac:dyDescent="0.25">
      <c r="A6432">
        <v>1817</v>
      </c>
      <c r="B6432">
        <f>A6432+1</f>
        <v>1818</v>
      </c>
      <c r="C6432" t="s">
        <v>523</v>
      </c>
      <c r="D6432" t="s">
        <v>26</v>
      </c>
      <c r="E6432" s="208" t="s">
        <v>569</v>
      </c>
      <c r="F6432" t="s">
        <v>169</v>
      </c>
      <c r="G6432" s="18">
        <v>0</v>
      </c>
      <c r="H6432" t="s">
        <v>160</v>
      </c>
      <c r="I6432" t="s">
        <v>16</v>
      </c>
    </row>
    <row r="6433" spans="1:9" x14ac:dyDescent="0.25">
      <c r="A6433">
        <v>1817</v>
      </c>
      <c r="B6433">
        <f>A6433+1</f>
        <v>1818</v>
      </c>
      <c r="C6433" t="s">
        <v>523</v>
      </c>
      <c r="D6433" t="s">
        <v>26</v>
      </c>
      <c r="E6433" s="208" t="s">
        <v>569</v>
      </c>
      <c r="F6433" t="s">
        <v>6</v>
      </c>
      <c r="G6433" s="18">
        <v>0</v>
      </c>
      <c r="H6433" t="s">
        <v>25</v>
      </c>
      <c r="I6433" t="s">
        <v>16</v>
      </c>
    </row>
    <row r="6434" spans="1:9" x14ac:dyDescent="0.25">
      <c r="A6434">
        <v>1817</v>
      </c>
      <c r="B6434">
        <f>A6434+1</f>
        <v>1818</v>
      </c>
      <c r="C6434" t="s">
        <v>523</v>
      </c>
      <c r="D6434" t="s">
        <v>26</v>
      </c>
      <c r="E6434" s="208" t="s">
        <v>569</v>
      </c>
      <c r="F6434" t="s">
        <v>4</v>
      </c>
      <c r="G6434" s="18">
        <v>0</v>
      </c>
      <c r="H6434" t="s">
        <v>23</v>
      </c>
      <c r="I6434" t="s">
        <v>16</v>
      </c>
    </row>
    <row r="6435" spans="1:9" x14ac:dyDescent="0.25">
      <c r="A6435">
        <v>1817</v>
      </c>
      <c r="B6435">
        <f>A6435+1</f>
        <v>1818</v>
      </c>
      <c r="C6435" t="s">
        <v>523</v>
      </c>
      <c r="D6435" t="s">
        <v>26</v>
      </c>
      <c r="E6435" s="208" t="s">
        <v>569</v>
      </c>
      <c r="F6435" t="s">
        <v>7</v>
      </c>
      <c r="G6435" s="18">
        <v>682</v>
      </c>
      <c r="H6435" s="151" t="s">
        <v>563</v>
      </c>
      <c r="I6435" t="s">
        <v>16</v>
      </c>
    </row>
    <row r="6436" spans="1:9" x14ac:dyDescent="0.25">
      <c r="A6436">
        <v>1817</v>
      </c>
      <c r="B6436">
        <f>A6436+1</f>
        <v>1818</v>
      </c>
      <c r="C6436" t="s">
        <v>523</v>
      </c>
      <c r="D6436" t="s">
        <v>26</v>
      </c>
      <c r="E6436" s="208" t="s">
        <v>569</v>
      </c>
      <c r="F6436" t="s">
        <v>10</v>
      </c>
      <c r="G6436" s="18">
        <v>365</v>
      </c>
      <c r="H6436" t="s">
        <v>24</v>
      </c>
      <c r="I6436" t="s">
        <v>17</v>
      </c>
    </row>
    <row r="6437" spans="1:9" x14ac:dyDescent="0.25">
      <c r="A6437">
        <v>1817</v>
      </c>
      <c r="B6437">
        <f>A6437+1</f>
        <v>1818</v>
      </c>
      <c r="C6437" t="s">
        <v>523</v>
      </c>
      <c r="D6437" t="s">
        <v>26</v>
      </c>
      <c r="E6437" s="208" t="s">
        <v>569</v>
      </c>
      <c r="F6437" t="s">
        <v>164</v>
      </c>
      <c r="G6437" s="18">
        <v>0</v>
      </c>
      <c r="H6437" t="s">
        <v>160</v>
      </c>
      <c r="I6437" t="s">
        <v>17</v>
      </c>
    </row>
    <row r="6438" spans="1:9" x14ac:dyDescent="0.25">
      <c r="A6438">
        <v>1817</v>
      </c>
      <c r="B6438">
        <f>A6438+1</f>
        <v>1818</v>
      </c>
      <c r="C6438" t="s">
        <v>523</v>
      </c>
      <c r="D6438" t="s">
        <v>26</v>
      </c>
      <c r="E6438" s="208" t="s">
        <v>569</v>
      </c>
      <c r="F6438" t="s">
        <v>13</v>
      </c>
      <c r="G6438" s="18">
        <v>0</v>
      </c>
      <c r="H6438" t="s">
        <v>25</v>
      </c>
      <c r="I6438" t="s">
        <v>17</v>
      </c>
    </row>
    <row r="6439" spans="1:9" x14ac:dyDescent="0.25">
      <c r="A6439">
        <v>1817</v>
      </c>
      <c r="B6439">
        <f>A6439+1</f>
        <v>1818</v>
      </c>
      <c r="C6439" t="s">
        <v>523</v>
      </c>
      <c r="D6439" t="s">
        <v>26</v>
      </c>
      <c r="E6439" s="208" t="s">
        <v>569</v>
      </c>
      <c r="F6439" t="s">
        <v>11</v>
      </c>
      <c r="G6439" s="18">
        <v>0</v>
      </c>
      <c r="H6439" t="s">
        <v>23</v>
      </c>
      <c r="I6439" t="s">
        <v>17</v>
      </c>
    </row>
    <row r="6440" spans="1:9" x14ac:dyDescent="0.25">
      <c r="A6440">
        <v>1817</v>
      </c>
      <c r="B6440">
        <f>A6440+1</f>
        <v>1818</v>
      </c>
      <c r="C6440" t="s">
        <v>523</v>
      </c>
      <c r="D6440" t="s">
        <v>26</v>
      </c>
      <c r="E6440" s="208" t="s">
        <v>569</v>
      </c>
      <c r="F6440" t="s">
        <v>14</v>
      </c>
      <c r="G6440" s="18">
        <v>365</v>
      </c>
      <c r="H6440" s="151" t="s">
        <v>563</v>
      </c>
      <c r="I6440" t="s">
        <v>17</v>
      </c>
    </row>
    <row r="6441" spans="1:9" x14ac:dyDescent="0.25">
      <c r="A6441">
        <v>1817</v>
      </c>
      <c r="B6441">
        <f>A6441+1</f>
        <v>1818</v>
      </c>
      <c r="C6441" t="s">
        <v>523</v>
      </c>
      <c r="D6441" t="s">
        <v>26</v>
      </c>
      <c r="E6441" s="208" t="s">
        <v>569</v>
      </c>
      <c r="F6441" t="s">
        <v>15</v>
      </c>
      <c r="G6441" s="18">
        <v>1047</v>
      </c>
      <c r="H6441" s="151" t="s">
        <v>563</v>
      </c>
      <c r="I6441" t="s">
        <v>561</v>
      </c>
    </row>
    <row r="6442" spans="1:9" x14ac:dyDescent="0.25">
      <c r="A6442">
        <v>1817</v>
      </c>
      <c r="B6442">
        <f>A6442+1</f>
        <v>1818</v>
      </c>
      <c r="C6442" t="s">
        <v>523</v>
      </c>
      <c r="D6442" t="s">
        <v>26</v>
      </c>
      <c r="E6442" s="208" t="s">
        <v>566</v>
      </c>
      <c r="F6442" t="s">
        <v>3</v>
      </c>
      <c r="G6442" s="18">
        <v>296</v>
      </c>
      <c r="H6442" t="s">
        <v>24</v>
      </c>
      <c r="I6442" t="s">
        <v>16</v>
      </c>
    </row>
    <row r="6443" spans="1:9" x14ac:dyDescent="0.25">
      <c r="A6443">
        <v>1817</v>
      </c>
      <c r="B6443">
        <f>A6443+1</f>
        <v>1818</v>
      </c>
      <c r="C6443" t="s">
        <v>523</v>
      </c>
      <c r="D6443" t="s">
        <v>26</v>
      </c>
      <c r="E6443" s="208" t="s">
        <v>566</v>
      </c>
      <c r="F6443" t="s">
        <v>169</v>
      </c>
      <c r="G6443" s="18">
        <v>0</v>
      </c>
      <c r="H6443" t="s">
        <v>160</v>
      </c>
      <c r="I6443" t="s">
        <v>16</v>
      </c>
    </row>
    <row r="6444" spans="1:9" x14ac:dyDescent="0.25">
      <c r="A6444">
        <v>1817</v>
      </c>
      <c r="B6444">
        <f>A6444+1</f>
        <v>1818</v>
      </c>
      <c r="C6444" t="s">
        <v>523</v>
      </c>
      <c r="D6444" t="s">
        <v>26</v>
      </c>
      <c r="E6444" s="208" t="s">
        <v>566</v>
      </c>
      <c r="F6444" t="s">
        <v>6</v>
      </c>
      <c r="G6444" s="18">
        <v>0</v>
      </c>
      <c r="H6444" t="s">
        <v>25</v>
      </c>
      <c r="I6444" t="s">
        <v>16</v>
      </c>
    </row>
    <row r="6445" spans="1:9" x14ac:dyDescent="0.25">
      <c r="A6445">
        <v>1817</v>
      </c>
      <c r="B6445">
        <f>A6445+1</f>
        <v>1818</v>
      </c>
      <c r="C6445" t="s">
        <v>523</v>
      </c>
      <c r="D6445" t="s">
        <v>26</v>
      </c>
      <c r="E6445" s="208" t="s">
        <v>566</v>
      </c>
      <c r="F6445" t="s">
        <v>4</v>
      </c>
      <c r="G6445" s="18">
        <v>0</v>
      </c>
      <c r="H6445" t="s">
        <v>23</v>
      </c>
      <c r="I6445" t="s">
        <v>16</v>
      </c>
    </row>
    <row r="6446" spans="1:9" x14ac:dyDescent="0.25">
      <c r="A6446">
        <v>1817</v>
      </c>
      <c r="B6446">
        <f>A6446+1</f>
        <v>1818</v>
      </c>
      <c r="C6446" t="s">
        <v>523</v>
      </c>
      <c r="D6446" t="s">
        <v>26</v>
      </c>
      <c r="E6446" s="208" t="s">
        <v>566</v>
      </c>
      <c r="F6446" t="s">
        <v>7</v>
      </c>
      <c r="G6446" s="18">
        <v>296</v>
      </c>
      <c r="H6446" s="151" t="s">
        <v>563</v>
      </c>
      <c r="I6446" t="s">
        <v>16</v>
      </c>
    </row>
    <row r="6447" spans="1:9" x14ac:dyDescent="0.25">
      <c r="A6447">
        <v>1817</v>
      </c>
      <c r="B6447">
        <f>A6447+1</f>
        <v>1818</v>
      </c>
      <c r="C6447" t="s">
        <v>523</v>
      </c>
      <c r="D6447" t="s">
        <v>26</v>
      </c>
      <c r="E6447" s="208" t="s">
        <v>566</v>
      </c>
      <c r="F6447" t="s">
        <v>10</v>
      </c>
      <c r="G6447" s="18">
        <v>72</v>
      </c>
      <c r="H6447" t="s">
        <v>24</v>
      </c>
      <c r="I6447" t="s">
        <v>17</v>
      </c>
    </row>
    <row r="6448" spans="1:9" x14ac:dyDescent="0.25">
      <c r="A6448">
        <v>1817</v>
      </c>
      <c r="B6448">
        <f>A6448+1</f>
        <v>1818</v>
      </c>
      <c r="C6448" t="s">
        <v>523</v>
      </c>
      <c r="D6448" t="s">
        <v>26</v>
      </c>
      <c r="E6448" s="208" t="s">
        <v>566</v>
      </c>
      <c r="F6448" t="s">
        <v>164</v>
      </c>
      <c r="G6448" s="18">
        <v>0</v>
      </c>
      <c r="H6448" t="s">
        <v>160</v>
      </c>
      <c r="I6448" t="s">
        <v>17</v>
      </c>
    </row>
    <row r="6449" spans="1:9" x14ac:dyDescent="0.25">
      <c r="A6449">
        <v>1817</v>
      </c>
      <c r="B6449">
        <f>A6449+1</f>
        <v>1818</v>
      </c>
      <c r="C6449" t="s">
        <v>523</v>
      </c>
      <c r="D6449" t="s">
        <v>26</v>
      </c>
      <c r="E6449" s="208" t="s">
        <v>566</v>
      </c>
      <c r="F6449" t="s">
        <v>13</v>
      </c>
      <c r="G6449" s="18">
        <v>0</v>
      </c>
      <c r="H6449" t="s">
        <v>25</v>
      </c>
      <c r="I6449" t="s">
        <v>17</v>
      </c>
    </row>
    <row r="6450" spans="1:9" x14ac:dyDescent="0.25">
      <c r="A6450">
        <v>1817</v>
      </c>
      <c r="B6450">
        <f>A6450+1</f>
        <v>1818</v>
      </c>
      <c r="C6450" t="s">
        <v>523</v>
      </c>
      <c r="D6450" t="s">
        <v>26</v>
      </c>
      <c r="E6450" s="208" t="s">
        <v>566</v>
      </c>
      <c r="F6450" t="s">
        <v>11</v>
      </c>
      <c r="G6450" s="18">
        <v>0</v>
      </c>
      <c r="H6450" t="s">
        <v>23</v>
      </c>
      <c r="I6450" t="s">
        <v>17</v>
      </c>
    </row>
    <row r="6451" spans="1:9" x14ac:dyDescent="0.25">
      <c r="A6451">
        <v>1817</v>
      </c>
      <c r="B6451">
        <f>A6451+1</f>
        <v>1818</v>
      </c>
      <c r="C6451" t="s">
        <v>523</v>
      </c>
      <c r="D6451" t="s">
        <v>26</v>
      </c>
      <c r="E6451" s="208" t="s">
        <v>566</v>
      </c>
      <c r="F6451" t="s">
        <v>14</v>
      </c>
      <c r="G6451" s="18">
        <v>72</v>
      </c>
      <c r="H6451" s="151" t="s">
        <v>563</v>
      </c>
      <c r="I6451" t="s">
        <v>17</v>
      </c>
    </row>
    <row r="6452" spans="1:9" x14ac:dyDescent="0.25">
      <c r="A6452">
        <v>1817</v>
      </c>
      <c r="B6452">
        <f>A6452+1</f>
        <v>1818</v>
      </c>
      <c r="C6452" t="s">
        <v>523</v>
      </c>
      <c r="D6452" t="s">
        <v>26</v>
      </c>
      <c r="E6452" s="208" t="s">
        <v>566</v>
      </c>
      <c r="F6452" t="s">
        <v>15</v>
      </c>
      <c r="G6452" s="18">
        <v>368</v>
      </c>
      <c r="H6452" s="151" t="s">
        <v>563</v>
      </c>
      <c r="I6452" t="s">
        <v>561</v>
      </c>
    </row>
    <row r="6453" spans="1:9" x14ac:dyDescent="0.25">
      <c r="A6453">
        <v>1818</v>
      </c>
      <c r="B6453">
        <f>A6453+1</f>
        <v>1819</v>
      </c>
      <c r="C6453" t="s">
        <v>524</v>
      </c>
      <c r="D6453" t="s">
        <v>26</v>
      </c>
      <c r="E6453" s="208" t="s">
        <v>572</v>
      </c>
      <c r="F6453" t="s">
        <v>3</v>
      </c>
      <c r="G6453" s="18">
        <v>3187</v>
      </c>
      <c r="H6453" t="s">
        <v>24</v>
      </c>
      <c r="I6453" t="s">
        <v>16</v>
      </c>
    </row>
    <row r="6454" spans="1:9" x14ac:dyDescent="0.25">
      <c r="A6454">
        <v>1818</v>
      </c>
      <c r="B6454">
        <f>A6454+1</f>
        <v>1819</v>
      </c>
      <c r="C6454" t="s">
        <v>524</v>
      </c>
      <c r="D6454" t="s">
        <v>26</v>
      </c>
      <c r="E6454" s="208" t="s">
        <v>572</v>
      </c>
      <c r="F6454" t="s">
        <v>169</v>
      </c>
      <c r="G6454" s="18">
        <v>0</v>
      </c>
      <c r="H6454" t="s">
        <v>160</v>
      </c>
      <c r="I6454" t="s">
        <v>16</v>
      </c>
    </row>
    <row r="6455" spans="1:9" x14ac:dyDescent="0.25">
      <c r="A6455">
        <v>1818</v>
      </c>
      <c r="B6455">
        <f>A6455+1</f>
        <v>1819</v>
      </c>
      <c r="C6455" t="s">
        <v>524</v>
      </c>
      <c r="D6455" t="s">
        <v>26</v>
      </c>
      <c r="E6455" s="208" t="s">
        <v>572</v>
      </c>
      <c r="F6455" t="s">
        <v>6</v>
      </c>
      <c r="G6455" s="18">
        <v>0</v>
      </c>
      <c r="H6455" t="s">
        <v>25</v>
      </c>
      <c r="I6455" t="s">
        <v>16</v>
      </c>
    </row>
    <row r="6456" spans="1:9" x14ac:dyDescent="0.25">
      <c r="A6456">
        <v>1818</v>
      </c>
      <c r="B6456">
        <f>A6456+1</f>
        <v>1819</v>
      </c>
      <c r="C6456" t="s">
        <v>524</v>
      </c>
      <c r="D6456" t="s">
        <v>26</v>
      </c>
      <c r="E6456" s="208" t="s">
        <v>572</v>
      </c>
      <c r="F6456" t="s">
        <v>4</v>
      </c>
      <c r="G6456" s="18">
        <v>0</v>
      </c>
      <c r="H6456" t="s">
        <v>23</v>
      </c>
      <c r="I6456" t="s">
        <v>16</v>
      </c>
    </row>
    <row r="6457" spans="1:9" x14ac:dyDescent="0.25">
      <c r="A6457">
        <v>1818</v>
      </c>
      <c r="B6457">
        <f>A6457+1</f>
        <v>1819</v>
      </c>
      <c r="C6457" t="s">
        <v>524</v>
      </c>
      <c r="D6457" t="s">
        <v>26</v>
      </c>
      <c r="E6457" s="208" t="s">
        <v>572</v>
      </c>
      <c r="F6457" t="s">
        <v>7</v>
      </c>
      <c r="G6457" s="18">
        <v>3187</v>
      </c>
      <c r="H6457" s="151" t="s">
        <v>563</v>
      </c>
      <c r="I6457" t="s">
        <v>16</v>
      </c>
    </row>
    <row r="6458" spans="1:9" x14ac:dyDescent="0.25">
      <c r="A6458">
        <v>1818</v>
      </c>
      <c r="B6458">
        <f>A6458+1</f>
        <v>1819</v>
      </c>
      <c r="C6458" t="s">
        <v>524</v>
      </c>
      <c r="D6458" t="s">
        <v>26</v>
      </c>
      <c r="E6458" s="208" t="s">
        <v>572</v>
      </c>
      <c r="F6458" t="s">
        <v>10</v>
      </c>
      <c r="G6458" s="18">
        <v>1451</v>
      </c>
      <c r="H6458" t="s">
        <v>24</v>
      </c>
      <c r="I6458" t="s">
        <v>17</v>
      </c>
    </row>
    <row r="6459" spans="1:9" x14ac:dyDescent="0.25">
      <c r="A6459">
        <v>1818</v>
      </c>
      <c r="B6459">
        <f>A6459+1</f>
        <v>1819</v>
      </c>
      <c r="C6459" t="s">
        <v>524</v>
      </c>
      <c r="D6459" t="s">
        <v>26</v>
      </c>
      <c r="E6459" s="208" t="s">
        <v>572</v>
      </c>
      <c r="F6459" t="s">
        <v>164</v>
      </c>
      <c r="G6459" s="18">
        <v>0</v>
      </c>
      <c r="H6459" t="s">
        <v>160</v>
      </c>
      <c r="I6459" t="s">
        <v>17</v>
      </c>
    </row>
    <row r="6460" spans="1:9" x14ac:dyDescent="0.25">
      <c r="A6460">
        <v>1818</v>
      </c>
      <c r="B6460">
        <f>A6460+1</f>
        <v>1819</v>
      </c>
      <c r="C6460" t="s">
        <v>524</v>
      </c>
      <c r="D6460" t="s">
        <v>26</v>
      </c>
      <c r="E6460" s="208" t="s">
        <v>572</v>
      </c>
      <c r="F6460" t="s">
        <v>13</v>
      </c>
      <c r="G6460" s="18">
        <v>0</v>
      </c>
      <c r="H6460" t="s">
        <v>25</v>
      </c>
      <c r="I6460" t="s">
        <v>17</v>
      </c>
    </row>
    <row r="6461" spans="1:9" x14ac:dyDescent="0.25">
      <c r="A6461">
        <v>1818</v>
      </c>
      <c r="B6461">
        <f>A6461+1</f>
        <v>1819</v>
      </c>
      <c r="C6461" t="s">
        <v>524</v>
      </c>
      <c r="D6461" t="s">
        <v>26</v>
      </c>
      <c r="E6461" s="208" t="s">
        <v>572</v>
      </c>
      <c r="F6461" t="s">
        <v>11</v>
      </c>
      <c r="G6461" s="18">
        <v>0</v>
      </c>
      <c r="H6461" t="s">
        <v>23</v>
      </c>
      <c r="I6461" t="s">
        <v>17</v>
      </c>
    </row>
    <row r="6462" spans="1:9" x14ac:dyDescent="0.25">
      <c r="A6462">
        <v>1818</v>
      </c>
      <c r="B6462">
        <f>A6462+1</f>
        <v>1819</v>
      </c>
      <c r="C6462" t="s">
        <v>524</v>
      </c>
      <c r="D6462" t="s">
        <v>26</v>
      </c>
      <c r="E6462" s="208" t="s">
        <v>572</v>
      </c>
      <c r="F6462" t="s">
        <v>14</v>
      </c>
      <c r="G6462" s="18">
        <v>1451</v>
      </c>
      <c r="H6462" s="151" t="s">
        <v>563</v>
      </c>
      <c r="I6462" t="s">
        <v>17</v>
      </c>
    </row>
    <row r="6463" spans="1:9" x14ac:dyDescent="0.25">
      <c r="A6463">
        <v>1818</v>
      </c>
      <c r="B6463">
        <f>A6463+1</f>
        <v>1819</v>
      </c>
      <c r="C6463" t="s">
        <v>524</v>
      </c>
      <c r="D6463" t="s">
        <v>26</v>
      </c>
      <c r="E6463" s="208" t="s">
        <v>572</v>
      </c>
      <c r="F6463" t="s">
        <v>15</v>
      </c>
      <c r="G6463" s="18">
        <v>4638</v>
      </c>
      <c r="H6463" s="151" t="s">
        <v>563</v>
      </c>
      <c r="I6463" t="s">
        <v>561</v>
      </c>
    </row>
    <row r="6464" spans="1:9" x14ac:dyDescent="0.25">
      <c r="A6464">
        <v>1818</v>
      </c>
      <c r="B6464">
        <f>A6464+1</f>
        <v>1819</v>
      </c>
      <c r="C6464" t="s">
        <v>524</v>
      </c>
      <c r="D6464" t="s">
        <v>26</v>
      </c>
      <c r="E6464" s="208" t="s">
        <v>571</v>
      </c>
      <c r="F6464" t="s">
        <v>3</v>
      </c>
      <c r="G6464" s="18">
        <v>4438</v>
      </c>
      <c r="H6464" t="s">
        <v>24</v>
      </c>
      <c r="I6464" t="s">
        <v>16</v>
      </c>
    </row>
    <row r="6465" spans="1:9" x14ac:dyDescent="0.25">
      <c r="A6465">
        <v>1818</v>
      </c>
      <c r="B6465">
        <f>A6465+1</f>
        <v>1819</v>
      </c>
      <c r="C6465" t="s">
        <v>524</v>
      </c>
      <c r="D6465" t="s">
        <v>26</v>
      </c>
      <c r="E6465" s="208" t="s">
        <v>571</v>
      </c>
      <c r="F6465" t="s">
        <v>169</v>
      </c>
      <c r="G6465" s="18">
        <v>0</v>
      </c>
      <c r="H6465" t="s">
        <v>160</v>
      </c>
      <c r="I6465" t="s">
        <v>16</v>
      </c>
    </row>
    <row r="6466" spans="1:9" x14ac:dyDescent="0.25">
      <c r="A6466">
        <v>1818</v>
      </c>
      <c r="B6466">
        <f>A6466+1</f>
        <v>1819</v>
      </c>
      <c r="C6466" t="s">
        <v>524</v>
      </c>
      <c r="D6466" t="s">
        <v>26</v>
      </c>
      <c r="E6466" s="208" t="s">
        <v>571</v>
      </c>
      <c r="F6466" t="s">
        <v>6</v>
      </c>
      <c r="G6466" s="18">
        <v>0</v>
      </c>
      <c r="H6466" t="s">
        <v>25</v>
      </c>
      <c r="I6466" t="s">
        <v>16</v>
      </c>
    </row>
    <row r="6467" spans="1:9" x14ac:dyDescent="0.25">
      <c r="A6467">
        <v>1818</v>
      </c>
      <c r="B6467">
        <f>A6467+1</f>
        <v>1819</v>
      </c>
      <c r="C6467" t="s">
        <v>524</v>
      </c>
      <c r="D6467" t="s">
        <v>26</v>
      </c>
      <c r="E6467" s="208" t="s">
        <v>571</v>
      </c>
      <c r="F6467" t="s">
        <v>4</v>
      </c>
      <c r="G6467" s="18">
        <v>0</v>
      </c>
      <c r="H6467" t="s">
        <v>23</v>
      </c>
      <c r="I6467" t="s">
        <v>16</v>
      </c>
    </row>
    <row r="6468" spans="1:9" x14ac:dyDescent="0.25">
      <c r="A6468">
        <v>1818</v>
      </c>
      <c r="B6468">
        <f>A6468+1</f>
        <v>1819</v>
      </c>
      <c r="C6468" t="s">
        <v>524</v>
      </c>
      <c r="D6468" t="s">
        <v>26</v>
      </c>
      <c r="E6468" s="208" t="s">
        <v>571</v>
      </c>
      <c r="F6468" t="s">
        <v>7</v>
      </c>
      <c r="G6468" s="18">
        <v>4438</v>
      </c>
      <c r="H6468" s="151" t="s">
        <v>563</v>
      </c>
      <c r="I6468" t="s">
        <v>16</v>
      </c>
    </row>
    <row r="6469" spans="1:9" x14ac:dyDescent="0.25">
      <c r="A6469">
        <v>1818</v>
      </c>
      <c r="B6469">
        <f>A6469+1</f>
        <v>1819</v>
      </c>
      <c r="C6469" t="s">
        <v>524</v>
      </c>
      <c r="D6469" t="s">
        <v>26</v>
      </c>
      <c r="E6469" s="208" t="s">
        <v>571</v>
      </c>
      <c r="F6469" t="s">
        <v>10</v>
      </c>
      <c r="G6469" s="18">
        <v>983</v>
      </c>
      <c r="H6469" t="s">
        <v>24</v>
      </c>
      <c r="I6469" t="s">
        <v>17</v>
      </c>
    </row>
    <row r="6470" spans="1:9" x14ac:dyDescent="0.25">
      <c r="A6470">
        <v>1818</v>
      </c>
      <c r="B6470">
        <f>A6470+1</f>
        <v>1819</v>
      </c>
      <c r="C6470" t="s">
        <v>524</v>
      </c>
      <c r="D6470" t="s">
        <v>26</v>
      </c>
      <c r="E6470" s="208" t="s">
        <v>571</v>
      </c>
      <c r="F6470" t="s">
        <v>164</v>
      </c>
      <c r="G6470" s="18">
        <v>0</v>
      </c>
      <c r="H6470" t="s">
        <v>160</v>
      </c>
      <c r="I6470" t="s">
        <v>17</v>
      </c>
    </row>
    <row r="6471" spans="1:9" x14ac:dyDescent="0.25">
      <c r="A6471">
        <v>1818</v>
      </c>
      <c r="B6471">
        <f>A6471+1</f>
        <v>1819</v>
      </c>
      <c r="C6471" t="s">
        <v>524</v>
      </c>
      <c r="D6471" t="s">
        <v>26</v>
      </c>
      <c r="E6471" s="208" t="s">
        <v>571</v>
      </c>
      <c r="F6471" t="s">
        <v>13</v>
      </c>
      <c r="G6471" s="18">
        <v>0</v>
      </c>
      <c r="H6471" t="s">
        <v>25</v>
      </c>
      <c r="I6471" t="s">
        <v>17</v>
      </c>
    </row>
    <row r="6472" spans="1:9" x14ac:dyDescent="0.25">
      <c r="A6472">
        <v>1818</v>
      </c>
      <c r="B6472">
        <f>A6472+1</f>
        <v>1819</v>
      </c>
      <c r="C6472" t="s">
        <v>524</v>
      </c>
      <c r="D6472" t="s">
        <v>26</v>
      </c>
      <c r="E6472" s="208" t="s">
        <v>571</v>
      </c>
      <c r="F6472" t="s">
        <v>11</v>
      </c>
      <c r="G6472" s="18">
        <v>0</v>
      </c>
      <c r="H6472" t="s">
        <v>23</v>
      </c>
      <c r="I6472" t="s">
        <v>17</v>
      </c>
    </row>
    <row r="6473" spans="1:9" x14ac:dyDescent="0.25">
      <c r="A6473">
        <v>1818</v>
      </c>
      <c r="B6473">
        <f>A6473+1</f>
        <v>1819</v>
      </c>
      <c r="C6473" t="s">
        <v>524</v>
      </c>
      <c r="D6473" t="s">
        <v>26</v>
      </c>
      <c r="E6473" s="208" t="s">
        <v>571</v>
      </c>
      <c r="F6473" t="s">
        <v>14</v>
      </c>
      <c r="G6473" s="18">
        <v>983</v>
      </c>
      <c r="H6473" s="151" t="s">
        <v>563</v>
      </c>
      <c r="I6473" t="s">
        <v>17</v>
      </c>
    </row>
    <row r="6474" spans="1:9" x14ac:dyDescent="0.25">
      <c r="A6474">
        <v>1818</v>
      </c>
      <c r="B6474">
        <f>A6474+1</f>
        <v>1819</v>
      </c>
      <c r="C6474" t="s">
        <v>524</v>
      </c>
      <c r="D6474" t="s">
        <v>26</v>
      </c>
      <c r="E6474" s="208" t="s">
        <v>571</v>
      </c>
      <c r="F6474" t="s">
        <v>15</v>
      </c>
      <c r="G6474" s="18">
        <v>5421</v>
      </c>
      <c r="H6474" s="151" t="s">
        <v>563</v>
      </c>
      <c r="I6474" t="s">
        <v>561</v>
      </c>
    </row>
    <row r="6475" spans="1:9" x14ac:dyDescent="0.25">
      <c r="A6475">
        <v>1818</v>
      </c>
      <c r="B6475">
        <f>A6475+1</f>
        <v>1819</v>
      </c>
      <c r="C6475" t="s">
        <v>524</v>
      </c>
      <c r="D6475" t="s">
        <v>26</v>
      </c>
      <c r="E6475" s="208" t="s">
        <v>570</v>
      </c>
      <c r="F6475" t="s">
        <v>3</v>
      </c>
      <c r="G6475" s="18">
        <v>2812</v>
      </c>
      <c r="H6475" t="s">
        <v>24</v>
      </c>
      <c r="I6475" t="s">
        <v>16</v>
      </c>
    </row>
    <row r="6476" spans="1:9" x14ac:dyDescent="0.25">
      <c r="A6476">
        <v>1818</v>
      </c>
      <c r="B6476">
        <f>A6476+1</f>
        <v>1819</v>
      </c>
      <c r="C6476" t="s">
        <v>524</v>
      </c>
      <c r="D6476" t="s">
        <v>26</v>
      </c>
      <c r="E6476" s="208" t="s">
        <v>570</v>
      </c>
      <c r="F6476" t="s">
        <v>169</v>
      </c>
      <c r="G6476" s="18">
        <v>0</v>
      </c>
      <c r="H6476" t="s">
        <v>160</v>
      </c>
      <c r="I6476" t="s">
        <v>16</v>
      </c>
    </row>
    <row r="6477" spans="1:9" x14ac:dyDescent="0.25">
      <c r="A6477">
        <v>1818</v>
      </c>
      <c r="B6477">
        <f>A6477+1</f>
        <v>1819</v>
      </c>
      <c r="C6477" t="s">
        <v>524</v>
      </c>
      <c r="D6477" t="s">
        <v>26</v>
      </c>
      <c r="E6477" s="208" t="s">
        <v>570</v>
      </c>
      <c r="F6477" t="s">
        <v>6</v>
      </c>
      <c r="G6477" s="18">
        <v>0</v>
      </c>
      <c r="H6477" t="s">
        <v>25</v>
      </c>
      <c r="I6477" t="s">
        <v>16</v>
      </c>
    </row>
    <row r="6478" spans="1:9" x14ac:dyDescent="0.25">
      <c r="A6478">
        <v>1818</v>
      </c>
      <c r="B6478">
        <f>A6478+1</f>
        <v>1819</v>
      </c>
      <c r="C6478" t="s">
        <v>524</v>
      </c>
      <c r="D6478" t="s">
        <v>26</v>
      </c>
      <c r="E6478" s="208" t="s">
        <v>570</v>
      </c>
      <c r="F6478" t="s">
        <v>4</v>
      </c>
      <c r="G6478" s="18">
        <v>0</v>
      </c>
      <c r="H6478" t="s">
        <v>23</v>
      </c>
      <c r="I6478" t="s">
        <v>16</v>
      </c>
    </row>
    <row r="6479" spans="1:9" x14ac:dyDescent="0.25">
      <c r="A6479">
        <v>1818</v>
      </c>
      <c r="B6479">
        <f>A6479+1</f>
        <v>1819</v>
      </c>
      <c r="C6479" t="s">
        <v>524</v>
      </c>
      <c r="D6479" t="s">
        <v>26</v>
      </c>
      <c r="E6479" s="208" t="s">
        <v>570</v>
      </c>
      <c r="F6479" t="s">
        <v>7</v>
      </c>
      <c r="G6479" s="18">
        <v>2812</v>
      </c>
      <c r="H6479" s="151" t="s">
        <v>563</v>
      </c>
      <c r="I6479" t="s">
        <v>16</v>
      </c>
    </row>
    <row r="6480" spans="1:9" x14ac:dyDescent="0.25">
      <c r="A6480">
        <v>1818</v>
      </c>
      <c r="B6480">
        <f>A6480+1</f>
        <v>1819</v>
      </c>
      <c r="C6480" t="s">
        <v>524</v>
      </c>
      <c r="D6480" t="s">
        <v>26</v>
      </c>
      <c r="E6480" s="208" t="s">
        <v>570</v>
      </c>
      <c r="F6480" t="s">
        <v>10</v>
      </c>
      <c r="G6480" s="18">
        <v>1846</v>
      </c>
      <c r="H6480" t="s">
        <v>24</v>
      </c>
      <c r="I6480" t="s">
        <v>17</v>
      </c>
    </row>
    <row r="6481" spans="1:9" x14ac:dyDescent="0.25">
      <c r="A6481">
        <v>1818</v>
      </c>
      <c r="B6481">
        <f>A6481+1</f>
        <v>1819</v>
      </c>
      <c r="C6481" t="s">
        <v>524</v>
      </c>
      <c r="D6481" t="s">
        <v>26</v>
      </c>
      <c r="E6481" s="208" t="s">
        <v>570</v>
      </c>
      <c r="F6481" t="s">
        <v>164</v>
      </c>
      <c r="G6481" s="18">
        <v>0</v>
      </c>
      <c r="H6481" t="s">
        <v>160</v>
      </c>
      <c r="I6481" t="s">
        <v>17</v>
      </c>
    </row>
    <row r="6482" spans="1:9" x14ac:dyDescent="0.25">
      <c r="A6482">
        <v>1818</v>
      </c>
      <c r="B6482">
        <f>A6482+1</f>
        <v>1819</v>
      </c>
      <c r="C6482" t="s">
        <v>524</v>
      </c>
      <c r="D6482" t="s">
        <v>26</v>
      </c>
      <c r="E6482" s="208" t="s">
        <v>570</v>
      </c>
      <c r="F6482" t="s">
        <v>13</v>
      </c>
      <c r="G6482" s="18">
        <v>0</v>
      </c>
      <c r="H6482" t="s">
        <v>25</v>
      </c>
      <c r="I6482" t="s">
        <v>17</v>
      </c>
    </row>
    <row r="6483" spans="1:9" x14ac:dyDescent="0.25">
      <c r="A6483">
        <v>1818</v>
      </c>
      <c r="B6483">
        <f>A6483+1</f>
        <v>1819</v>
      </c>
      <c r="C6483" t="s">
        <v>524</v>
      </c>
      <c r="D6483" t="s">
        <v>26</v>
      </c>
      <c r="E6483" s="208" t="s">
        <v>570</v>
      </c>
      <c r="F6483" t="s">
        <v>11</v>
      </c>
      <c r="G6483" s="18">
        <v>0</v>
      </c>
      <c r="H6483" t="s">
        <v>23</v>
      </c>
      <c r="I6483" t="s">
        <v>17</v>
      </c>
    </row>
    <row r="6484" spans="1:9" x14ac:dyDescent="0.25">
      <c r="A6484">
        <v>1818</v>
      </c>
      <c r="B6484">
        <f>A6484+1</f>
        <v>1819</v>
      </c>
      <c r="C6484" t="s">
        <v>524</v>
      </c>
      <c r="D6484" t="s">
        <v>26</v>
      </c>
      <c r="E6484" s="208" t="s">
        <v>570</v>
      </c>
      <c r="F6484" t="s">
        <v>14</v>
      </c>
      <c r="G6484" s="18">
        <v>1846</v>
      </c>
      <c r="H6484" s="151" t="s">
        <v>563</v>
      </c>
      <c r="I6484" t="s">
        <v>17</v>
      </c>
    </row>
    <row r="6485" spans="1:9" x14ac:dyDescent="0.25">
      <c r="A6485">
        <v>1818</v>
      </c>
      <c r="B6485">
        <f>A6485+1</f>
        <v>1819</v>
      </c>
      <c r="C6485" t="s">
        <v>524</v>
      </c>
      <c r="D6485" t="s">
        <v>26</v>
      </c>
      <c r="E6485" s="208" t="s">
        <v>570</v>
      </c>
      <c r="F6485" t="s">
        <v>15</v>
      </c>
      <c r="G6485" s="18">
        <v>4658</v>
      </c>
      <c r="H6485" s="151" t="s">
        <v>563</v>
      </c>
      <c r="I6485" t="s">
        <v>561</v>
      </c>
    </row>
    <row r="6486" spans="1:9" x14ac:dyDescent="0.25">
      <c r="A6486">
        <v>1818</v>
      </c>
      <c r="B6486">
        <f>A6486+1</f>
        <v>1819</v>
      </c>
      <c r="C6486" t="s">
        <v>524</v>
      </c>
      <c r="D6486" t="s">
        <v>27</v>
      </c>
      <c r="E6486" s="208" t="s">
        <v>155</v>
      </c>
      <c r="F6486" t="s">
        <v>3</v>
      </c>
      <c r="G6486" s="18">
        <v>879</v>
      </c>
      <c r="H6486" t="s">
        <v>16</v>
      </c>
      <c r="I6486" t="s">
        <v>24</v>
      </c>
    </row>
    <row r="6487" spans="1:9" x14ac:dyDescent="0.25">
      <c r="A6487">
        <v>1818</v>
      </c>
      <c r="B6487">
        <f>A6487+1</f>
        <v>1819</v>
      </c>
      <c r="C6487" t="s">
        <v>524</v>
      </c>
      <c r="D6487" t="s">
        <v>27</v>
      </c>
      <c r="E6487" s="208" t="s">
        <v>156</v>
      </c>
      <c r="F6487" t="s">
        <v>3</v>
      </c>
      <c r="G6487" s="18">
        <v>95</v>
      </c>
      <c r="H6487" t="s">
        <v>16</v>
      </c>
      <c r="I6487" t="s">
        <v>24</v>
      </c>
    </row>
    <row r="6488" spans="1:9" x14ac:dyDescent="0.25">
      <c r="A6488">
        <v>1818</v>
      </c>
      <c r="B6488">
        <f>A6488+1</f>
        <v>1819</v>
      </c>
      <c r="C6488" t="s">
        <v>524</v>
      </c>
      <c r="D6488" t="s">
        <v>27</v>
      </c>
      <c r="E6488" s="208" t="s">
        <v>154</v>
      </c>
      <c r="F6488" t="s">
        <v>3</v>
      </c>
      <c r="G6488" s="18">
        <v>1565</v>
      </c>
      <c r="H6488" t="s">
        <v>16</v>
      </c>
      <c r="I6488" t="s">
        <v>24</v>
      </c>
    </row>
    <row r="6489" spans="1:9" x14ac:dyDescent="0.25">
      <c r="A6489">
        <v>1818</v>
      </c>
      <c r="B6489">
        <f>A6489+1</f>
        <v>1819</v>
      </c>
      <c r="C6489" t="s">
        <v>524</v>
      </c>
      <c r="D6489" t="s">
        <v>27</v>
      </c>
      <c r="E6489" s="208" t="s">
        <v>150</v>
      </c>
      <c r="F6489" t="s">
        <v>3</v>
      </c>
      <c r="G6489" s="18">
        <v>3102</v>
      </c>
      <c r="H6489" t="s">
        <v>16</v>
      </c>
      <c r="I6489" t="s">
        <v>24</v>
      </c>
    </row>
    <row r="6490" spans="1:9" x14ac:dyDescent="0.25">
      <c r="A6490">
        <v>1818</v>
      </c>
      <c r="B6490">
        <f>A6490+1</f>
        <v>1819</v>
      </c>
      <c r="C6490" t="s">
        <v>524</v>
      </c>
      <c r="D6490" t="s">
        <v>27</v>
      </c>
      <c r="E6490" s="208" t="s">
        <v>148</v>
      </c>
      <c r="F6490" t="s">
        <v>3</v>
      </c>
      <c r="G6490" s="18">
        <v>223</v>
      </c>
      <c r="H6490" t="s">
        <v>16</v>
      </c>
      <c r="I6490" t="s">
        <v>24</v>
      </c>
    </row>
    <row r="6491" spans="1:9" x14ac:dyDescent="0.25">
      <c r="A6491">
        <v>1818</v>
      </c>
      <c r="B6491">
        <f>A6491+1</f>
        <v>1819</v>
      </c>
      <c r="C6491" t="s">
        <v>524</v>
      </c>
      <c r="D6491" t="s">
        <v>27</v>
      </c>
      <c r="E6491" s="208" t="s">
        <v>147</v>
      </c>
      <c r="F6491" t="s">
        <v>3</v>
      </c>
      <c r="G6491" s="18">
        <v>0</v>
      </c>
      <c r="H6491" t="s">
        <v>16</v>
      </c>
      <c r="I6491" t="s">
        <v>24</v>
      </c>
    </row>
    <row r="6492" spans="1:9" x14ac:dyDescent="0.25">
      <c r="A6492">
        <v>1818</v>
      </c>
      <c r="B6492">
        <f>A6492+1</f>
        <v>1819</v>
      </c>
      <c r="C6492" t="s">
        <v>524</v>
      </c>
      <c r="D6492" t="s">
        <v>27</v>
      </c>
      <c r="E6492" s="208" t="s">
        <v>314</v>
      </c>
      <c r="F6492" t="s">
        <v>3</v>
      </c>
      <c r="G6492" s="18">
        <v>30</v>
      </c>
      <c r="H6492" t="s">
        <v>16</v>
      </c>
      <c r="I6492" t="s">
        <v>24</v>
      </c>
    </row>
    <row r="6493" spans="1:9" x14ac:dyDescent="0.25">
      <c r="A6493">
        <v>1818</v>
      </c>
      <c r="B6493">
        <f>A6493+1</f>
        <v>1819</v>
      </c>
      <c r="C6493" t="s">
        <v>524</v>
      </c>
      <c r="D6493" t="s">
        <v>27</v>
      </c>
      <c r="E6493" s="208" t="s">
        <v>139</v>
      </c>
      <c r="F6493" t="s">
        <v>3</v>
      </c>
      <c r="G6493" s="18">
        <v>1</v>
      </c>
      <c r="H6493" t="s">
        <v>16</v>
      </c>
      <c r="I6493" t="s">
        <v>24</v>
      </c>
    </row>
    <row r="6494" spans="1:9" x14ac:dyDescent="0.25">
      <c r="A6494">
        <v>1818</v>
      </c>
      <c r="B6494">
        <f>A6494+1</f>
        <v>1819</v>
      </c>
      <c r="C6494" t="s">
        <v>524</v>
      </c>
      <c r="D6494" t="s">
        <v>27</v>
      </c>
      <c r="E6494" s="208" t="s">
        <v>132</v>
      </c>
      <c r="F6494" t="s">
        <v>3</v>
      </c>
      <c r="G6494" s="18">
        <v>41</v>
      </c>
      <c r="H6494" t="s">
        <v>16</v>
      </c>
      <c r="I6494" t="s">
        <v>24</v>
      </c>
    </row>
    <row r="6495" spans="1:9" x14ac:dyDescent="0.25">
      <c r="A6495">
        <v>1818</v>
      </c>
      <c r="B6495">
        <f>A6495+1</f>
        <v>1819</v>
      </c>
      <c r="C6495" t="s">
        <v>524</v>
      </c>
      <c r="D6495" t="s">
        <v>27</v>
      </c>
      <c r="E6495" s="208" t="s">
        <v>130</v>
      </c>
      <c r="F6495" t="s">
        <v>3</v>
      </c>
      <c r="G6495" s="18">
        <v>20</v>
      </c>
      <c r="H6495" t="s">
        <v>16</v>
      </c>
      <c r="I6495" t="s">
        <v>24</v>
      </c>
    </row>
    <row r="6496" spans="1:9" x14ac:dyDescent="0.25">
      <c r="A6496">
        <v>1818</v>
      </c>
      <c r="B6496">
        <f>A6496+1</f>
        <v>1819</v>
      </c>
      <c r="C6496" t="s">
        <v>524</v>
      </c>
      <c r="D6496" t="s">
        <v>27</v>
      </c>
      <c r="E6496" s="208" t="s">
        <v>144</v>
      </c>
      <c r="F6496" t="s">
        <v>3</v>
      </c>
      <c r="G6496" s="18">
        <v>91</v>
      </c>
      <c r="H6496" t="s">
        <v>16</v>
      </c>
      <c r="I6496" t="s">
        <v>24</v>
      </c>
    </row>
    <row r="6497" spans="1:9" x14ac:dyDescent="0.25">
      <c r="A6497">
        <v>1818</v>
      </c>
      <c r="B6497">
        <f>A6497+1</f>
        <v>1819</v>
      </c>
      <c r="C6497" t="s">
        <v>524</v>
      </c>
      <c r="D6497" t="s">
        <v>27</v>
      </c>
      <c r="E6497" s="208" t="s">
        <v>142</v>
      </c>
      <c r="F6497" t="s">
        <v>3</v>
      </c>
      <c r="G6497" s="18">
        <v>402</v>
      </c>
      <c r="H6497" t="s">
        <v>16</v>
      </c>
      <c r="I6497" t="s">
        <v>24</v>
      </c>
    </row>
    <row r="6498" spans="1:9" x14ac:dyDescent="0.25">
      <c r="A6498">
        <v>1818</v>
      </c>
      <c r="B6498">
        <f>A6498+1</f>
        <v>1819</v>
      </c>
      <c r="C6498" t="s">
        <v>524</v>
      </c>
      <c r="D6498" t="s">
        <v>27</v>
      </c>
      <c r="E6498" s="208" t="s">
        <v>124</v>
      </c>
      <c r="F6498" t="s">
        <v>3</v>
      </c>
      <c r="G6498" s="18">
        <v>299120</v>
      </c>
      <c r="H6498" t="s">
        <v>16</v>
      </c>
      <c r="I6498" t="s">
        <v>24</v>
      </c>
    </row>
    <row r="6499" spans="1:9" x14ac:dyDescent="0.25">
      <c r="A6499">
        <v>1818</v>
      </c>
      <c r="B6499">
        <f>A6499+1</f>
        <v>1819</v>
      </c>
      <c r="C6499" t="s">
        <v>524</v>
      </c>
      <c r="D6499" t="s">
        <v>26</v>
      </c>
      <c r="E6499" s="208" t="s">
        <v>62</v>
      </c>
      <c r="F6499" t="s">
        <v>3</v>
      </c>
      <c r="G6499" s="18">
        <v>25106</v>
      </c>
      <c r="H6499" t="s">
        <v>24</v>
      </c>
      <c r="I6499" t="s">
        <v>16</v>
      </c>
    </row>
    <row r="6500" spans="1:9" x14ac:dyDescent="0.25">
      <c r="A6500">
        <v>1818</v>
      </c>
      <c r="B6500">
        <f>A6500+1</f>
        <v>1819</v>
      </c>
      <c r="C6500" t="s">
        <v>524</v>
      </c>
      <c r="D6500" t="s">
        <v>26</v>
      </c>
      <c r="E6500" s="208" t="s">
        <v>36</v>
      </c>
      <c r="F6500" t="s">
        <v>3</v>
      </c>
      <c r="G6500" s="18">
        <v>1833</v>
      </c>
      <c r="H6500" t="s">
        <v>24</v>
      </c>
      <c r="I6500" t="s">
        <v>16</v>
      </c>
    </row>
    <row r="6501" spans="1:9" x14ac:dyDescent="0.25">
      <c r="A6501">
        <v>1818</v>
      </c>
      <c r="B6501">
        <f>A6501+1</f>
        <v>1819</v>
      </c>
      <c r="C6501" t="s">
        <v>524</v>
      </c>
      <c r="D6501" t="s">
        <v>26</v>
      </c>
      <c r="E6501" s="208" t="s">
        <v>35</v>
      </c>
      <c r="F6501" t="s">
        <v>3</v>
      </c>
      <c r="G6501" s="18">
        <v>174</v>
      </c>
      <c r="H6501" t="s">
        <v>24</v>
      </c>
      <c r="I6501" t="s">
        <v>16</v>
      </c>
    </row>
    <row r="6502" spans="1:9" x14ac:dyDescent="0.25">
      <c r="A6502">
        <v>1818</v>
      </c>
      <c r="B6502">
        <f>A6502+1</f>
        <v>1819</v>
      </c>
      <c r="C6502" t="s">
        <v>524</v>
      </c>
      <c r="D6502" t="s">
        <v>26</v>
      </c>
      <c r="E6502" s="208" t="s">
        <v>39</v>
      </c>
      <c r="F6502" t="s">
        <v>3</v>
      </c>
      <c r="G6502" s="18">
        <v>1446</v>
      </c>
      <c r="H6502" t="s">
        <v>24</v>
      </c>
      <c r="I6502" t="s">
        <v>16</v>
      </c>
    </row>
    <row r="6503" spans="1:9" x14ac:dyDescent="0.25">
      <c r="A6503">
        <v>1818</v>
      </c>
      <c r="B6503">
        <f>A6503+1</f>
        <v>1819</v>
      </c>
      <c r="C6503" t="s">
        <v>524</v>
      </c>
      <c r="D6503" t="s">
        <v>26</v>
      </c>
      <c r="E6503" s="208" t="s">
        <v>99</v>
      </c>
      <c r="F6503" t="s">
        <v>3</v>
      </c>
      <c r="G6503" s="18">
        <v>493</v>
      </c>
      <c r="H6503" t="s">
        <v>24</v>
      </c>
      <c r="I6503" t="s">
        <v>16</v>
      </c>
    </row>
    <row r="6504" spans="1:9" x14ac:dyDescent="0.25">
      <c r="A6504">
        <v>1818</v>
      </c>
      <c r="B6504">
        <f>A6504+1</f>
        <v>1819</v>
      </c>
      <c r="C6504" t="s">
        <v>524</v>
      </c>
      <c r="D6504" t="s">
        <v>26</v>
      </c>
      <c r="E6504" s="208" t="s">
        <v>95</v>
      </c>
      <c r="F6504" t="s">
        <v>3</v>
      </c>
      <c r="G6504" s="18">
        <v>4</v>
      </c>
      <c r="H6504" t="s">
        <v>24</v>
      </c>
      <c r="I6504" t="s">
        <v>16</v>
      </c>
    </row>
    <row r="6505" spans="1:9" x14ac:dyDescent="0.25">
      <c r="A6505">
        <v>1818</v>
      </c>
      <c r="B6505">
        <f>A6505+1</f>
        <v>1819</v>
      </c>
      <c r="C6505" t="s">
        <v>524</v>
      </c>
      <c r="D6505" t="s">
        <v>26</v>
      </c>
      <c r="E6505" s="208" t="s">
        <v>94</v>
      </c>
      <c r="F6505" t="s">
        <v>3</v>
      </c>
      <c r="G6505" s="18">
        <v>0</v>
      </c>
      <c r="H6505" t="s">
        <v>24</v>
      </c>
      <c r="I6505" t="s">
        <v>16</v>
      </c>
    </row>
    <row r="6506" spans="1:9" x14ac:dyDescent="0.25">
      <c r="A6506">
        <v>1818</v>
      </c>
      <c r="B6506">
        <f>A6506+1</f>
        <v>1819</v>
      </c>
      <c r="C6506" t="s">
        <v>524</v>
      </c>
      <c r="D6506" t="s">
        <v>26</v>
      </c>
      <c r="E6506" s="208" t="s">
        <v>386</v>
      </c>
      <c r="F6506" t="s">
        <v>3</v>
      </c>
      <c r="G6506" s="18">
        <v>724</v>
      </c>
      <c r="H6506" t="s">
        <v>24</v>
      </c>
      <c r="I6506" t="s">
        <v>16</v>
      </c>
    </row>
    <row r="6507" spans="1:9" x14ac:dyDescent="0.25">
      <c r="A6507">
        <v>1818</v>
      </c>
      <c r="B6507">
        <f>A6507+1</f>
        <v>1819</v>
      </c>
      <c r="C6507" t="s">
        <v>524</v>
      </c>
      <c r="D6507" t="s">
        <v>26</v>
      </c>
      <c r="E6507" s="208" t="s">
        <v>387</v>
      </c>
      <c r="F6507" t="s">
        <v>3</v>
      </c>
      <c r="G6507" s="18">
        <v>1272</v>
      </c>
      <c r="H6507" t="s">
        <v>24</v>
      </c>
      <c r="I6507" t="s">
        <v>16</v>
      </c>
    </row>
    <row r="6508" spans="1:9" x14ac:dyDescent="0.25">
      <c r="A6508">
        <v>1818</v>
      </c>
      <c r="B6508">
        <f>A6508+1</f>
        <v>1819</v>
      </c>
      <c r="C6508" t="s">
        <v>524</v>
      </c>
      <c r="D6508" t="s">
        <v>26</v>
      </c>
      <c r="E6508" s="208" t="s">
        <v>388</v>
      </c>
      <c r="F6508" t="s">
        <v>3</v>
      </c>
      <c r="G6508" s="18">
        <v>7372</v>
      </c>
      <c r="H6508" t="s">
        <v>24</v>
      </c>
      <c r="I6508" t="s">
        <v>16</v>
      </c>
    </row>
    <row r="6509" spans="1:9" x14ac:dyDescent="0.25">
      <c r="A6509">
        <v>1818</v>
      </c>
      <c r="B6509">
        <f>A6509+1</f>
        <v>1819</v>
      </c>
      <c r="C6509" t="s">
        <v>524</v>
      </c>
      <c r="D6509" t="s">
        <v>26</v>
      </c>
      <c r="E6509" s="208" t="s">
        <v>383</v>
      </c>
      <c r="F6509" t="s">
        <v>3</v>
      </c>
      <c r="G6509" s="18">
        <v>359</v>
      </c>
      <c r="H6509" t="s">
        <v>24</v>
      </c>
      <c r="I6509" t="s">
        <v>16</v>
      </c>
    </row>
    <row r="6510" spans="1:9" x14ac:dyDescent="0.25">
      <c r="A6510">
        <v>1818</v>
      </c>
      <c r="B6510">
        <f>A6510+1</f>
        <v>1819</v>
      </c>
      <c r="C6510" t="s">
        <v>524</v>
      </c>
      <c r="D6510" t="s">
        <v>26</v>
      </c>
      <c r="E6510" s="208" t="s">
        <v>384</v>
      </c>
      <c r="F6510" t="s">
        <v>3</v>
      </c>
      <c r="G6510" s="18">
        <v>792</v>
      </c>
      <c r="H6510" t="s">
        <v>24</v>
      </c>
      <c r="I6510" t="s">
        <v>16</v>
      </c>
    </row>
    <row r="6511" spans="1:9" x14ac:dyDescent="0.25">
      <c r="A6511">
        <v>1818</v>
      </c>
      <c r="B6511">
        <f>A6511+1</f>
        <v>1819</v>
      </c>
      <c r="C6511" t="s">
        <v>524</v>
      </c>
      <c r="D6511" t="s">
        <v>26</v>
      </c>
      <c r="E6511" s="208" t="s">
        <v>107</v>
      </c>
      <c r="F6511" t="s">
        <v>3</v>
      </c>
      <c r="G6511" s="18">
        <v>1842902</v>
      </c>
      <c r="H6511" t="s">
        <v>24</v>
      </c>
      <c r="I6511" t="s">
        <v>16</v>
      </c>
    </row>
    <row r="6512" spans="1:9" x14ac:dyDescent="0.25">
      <c r="A6512">
        <v>1818</v>
      </c>
      <c r="B6512">
        <f>A6512+1</f>
        <v>1819</v>
      </c>
      <c r="C6512" t="s">
        <v>524</v>
      </c>
      <c r="D6512" t="s">
        <v>26</v>
      </c>
      <c r="E6512" s="208" t="s">
        <v>101</v>
      </c>
      <c r="F6512" t="s">
        <v>3</v>
      </c>
      <c r="G6512" s="18">
        <v>3426764</v>
      </c>
      <c r="H6512" t="s">
        <v>24</v>
      </c>
      <c r="I6512" t="s">
        <v>16</v>
      </c>
    </row>
    <row r="6513" spans="1:9" x14ac:dyDescent="0.25">
      <c r="A6513">
        <v>1818</v>
      </c>
      <c r="B6513">
        <f>A6513+1</f>
        <v>1819</v>
      </c>
      <c r="C6513" t="s">
        <v>524</v>
      </c>
      <c r="D6513" t="s">
        <v>26</v>
      </c>
      <c r="E6513" s="208" t="s">
        <v>75</v>
      </c>
      <c r="F6513" t="s">
        <v>3</v>
      </c>
      <c r="G6513" s="18">
        <v>2704069</v>
      </c>
      <c r="H6513" t="s">
        <v>24</v>
      </c>
      <c r="I6513" t="s">
        <v>16</v>
      </c>
    </row>
    <row r="6514" spans="1:9" x14ac:dyDescent="0.25">
      <c r="A6514">
        <v>1818</v>
      </c>
      <c r="B6514">
        <f>A6514+1</f>
        <v>1819</v>
      </c>
      <c r="C6514" t="s">
        <v>524</v>
      </c>
      <c r="D6514" t="s">
        <v>26</v>
      </c>
      <c r="E6514" s="208" t="s">
        <v>330</v>
      </c>
      <c r="F6514" t="s">
        <v>3</v>
      </c>
      <c r="G6514" s="18">
        <v>61</v>
      </c>
      <c r="H6514" t="s">
        <v>24</v>
      </c>
      <c r="I6514" t="s">
        <v>16</v>
      </c>
    </row>
    <row r="6515" spans="1:9" x14ac:dyDescent="0.25">
      <c r="A6515">
        <v>1818</v>
      </c>
      <c r="B6515">
        <f>A6515+1</f>
        <v>1819</v>
      </c>
      <c r="C6515" t="s">
        <v>524</v>
      </c>
      <c r="D6515" t="s">
        <v>26</v>
      </c>
      <c r="E6515" s="208" t="s">
        <v>331</v>
      </c>
      <c r="F6515" t="s">
        <v>3</v>
      </c>
      <c r="G6515" s="18">
        <v>0</v>
      </c>
      <c r="H6515" t="s">
        <v>24</v>
      </c>
      <c r="I6515" t="s">
        <v>16</v>
      </c>
    </row>
    <row r="6516" spans="1:9" x14ac:dyDescent="0.25">
      <c r="A6516">
        <v>1818</v>
      </c>
      <c r="B6516">
        <f>A6516+1</f>
        <v>1819</v>
      </c>
      <c r="C6516" t="s">
        <v>524</v>
      </c>
      <c r="D6516" t="s">
        <v>26</v>
      </c>
      <c r="E6516" s="208" t="s">
        <v>332</v>
      </c>
      <c r="F6516" t="s">
        <v>3</v>
      </c>
      <c r="G6516" s="18">
        <v>0</v>
      </c>
      <c r="H6516" t="s">
        <v>24</v>
      </c>
      <c r="I6516" t="s">
        <v>16</v>
      </c>
    </row>
    <row r="6517" spans="1:9" x14ac:dyDescent="0.25">
      <c r="A6517">
        <v>1818</v>
      </c>
      <c r="B6517">
        <f>A6517+1</f>
        <v>1819</v>
      </c>
      <c r="C6517" t="s">
        <v>524</v>
      </c>
      <c r="D6517" t="s">
        <v>26</v>
      </c>
      <c r="E6517" s="208" t="s">
        <v>333</v>
      </c>
      <c r="F6517" t="s">
        <v>3</v>
      </c>
      <c r="G6517" s="18">
        <v>0</v>
      </c>
      <c r="H6517" t="s">
        <v>24</v>
      </c>
      <c r="I6517" t="s">
        <v>16</v>
      </c>
    </row>
    <row r="6518" spans="1:9" x14ac:dyDescent="0.25">
      <c r="A6518">
        <v>1818</v>
      </c>
      <c r="B6518">
        <f>A6518+1</f>
        <v>1819</v>
      </c>
      <c r="C6518" t="s">
        <v>524</v>
      </c>
      <c r="D6518" t="s">
        <v>27</v>
      </c>
      <c r="E6518" s="208" t="s">
        <v>155</v>
      </c>
      <c r="F6518" t="s">
        <v>0</v>
      </c>
      <c r="G6518" s="18">
        <v>26921</v>
      </c>
      <c r="H6518" t="s">
        <v>16</v>
      </c>
      <c r="I6518" t="s">
        <v>18</v>
      </c>
    </row>
    <row r="6519" spans="1:9" x14ac:dyDescent="0.25">
      <c r="A6519">
        <v>1818</v>
      </c>
      <c r="B6519">
        <f>A6519+1</f>
        <v>1819</v>
      </c>
      <c r="C6519" t="s">
        <v>524</v>
      </c>
      <c r="D6519" t="s">
        <v>27</v>
      </c>
      <c r="E6519" s="208" t="s">
        <v>156</v>
      </c>
      <c r="F6519" t="s">
        <v>0</v>
      </c>
      <c r="G6519" s="18">
        <v>2067</v>
      </c>
      <c r="H6519" t="s">
        <v>16</v>
      </c>
      <c r="I6519" t="s">
        <v>18</v>
      </c>
    </row>
    <row r="6520" spans="1:9" x14ac:dyDescent="0.25">
      <c r="A6520">
        <v>1818</v>
      </c>
      <c r="B6520">
        <f>A6520+1</f>
        <v>1819</v>
      </c>
      <c r="C6520" t="s">
        <v>524</v>
      </c>
      <c r="D6520" t="s">
        <v>27</v>
      </c>
      <c r="E6520" s="208" t="s">
        <v>154</v>
      </c>
      <c r="F6520" t="s">
        <v>0</v>
      </c>
      <c r="G6520" s="18">
        <v>444</v>
      </c>
      <c r="H6520" t="s">
        <v>16</v>
      </c>
      <c r="I6520" t="s">
        <v>18</v>
      </c>
    </row>
    <row r="6521" spans="1:9" x14ac:dyDescent="0.25">
      <c r="A6521">
        <v>1818</v>
      </c>
      <c r="B6521">
        <f>A6521+1</f>
        <v>1819</v>
      </c>
      <c r="C6521" t="s">
        <v>524</v>
      </c>
      <c r="D6521" t="s">
        <v>27</v>
      </c>
      <c r="E6521" s="208" t="s">
        <v>150</v>
      </c>
      <c r="F6521" t="s">
        <v>0</v>
      </c>
      <c r="G6521" s="18">
        <v>6629</v>
      </c>
      <c r="H6521" t="s">
        <v>16</v>
      </c>
      <c r="I6521" t="s">
        <v>18</v>
      </c>
    </row>
    <row r="6522" spans="1:9" x14ac:dyDescent="0.25">
      <c r="A6522">
        <v>1818</v>
      </c>
      <c r="B6522">
        <f>A6522+1</f>
        <v>1819</v>
      </c>
      <c r="C6522" t="s">
        <v>524</v>
      </c>
      <c r="D6522" t="s">
        <v>27</v>
      </c>
      <c r="E6522" s="208" t="s">
        <v>148</v>
      </c>
      <c r="F6522" t="s">
        <v>0</v>
      </c>
      <c r="G6522" s="18">
        <v>519</v>
      </c>
      <c r="H6522" t="s">
        <v>16</v>
      </c>
      <c r="I6522" t="s">
        <v>18</v>
      </c>
    </row>
    <row r="6523" spans="1:9" x14ac:dyDescent="0.25">
      <c r="A6523">
        <v>1818</v>
      </c>
      <c r="B6523">
        <f>A6523+1</f>
        <v>1819</v>
      </c>
      <c r="C6523" t="s">
        <v>524</v>
      </c>
      <c r="D6523" t="s">
        <v>27</v>
      </c>
      <c r="E6523" s="208" t="s">
        <v>147</v>
      </c>
      <c r="F6523" t="s">
        <v>0</v>
      </c>
      <c r="G6523" s="18">
        <v>0</v>
      </c>
      <c r="H6523" t="s">
        <v>16</v>
      </c>
      <c r="I6523" t="s">
        <v>18</v>
      </c>
    </row>
    <row r="6524" spans="1:9" x14ac:dyDescent="0.25">
      <c r="A6524">
        <v>1818</v>
      </c>
      <c r="B6524">
        <f>A6524+1</f>
        <v>1819</v>
      </c>
      <c r="C6524" t="s">
        <v>524</v>
      </c>
      <c r="D6524" t="s">
        <v>27</v>
      </c>
      <c r="E6524" s="208" t="s">
        <v>314</v>
      </c>
      <c r="F6524" t="s">
        <v>0</v>
      </c>
      <c r="G6524" s="18">
        <v>0</v>
      </c>
      <c r="H6524" t="s">
        <v>16</v>
      </c>
      <c r="I6524" t="s">
        <v>18</v>
      </c>
    </row>
    <row r="6525" spans="1:9" x14ac:dyDescent="0.25">
      <c r="A6525">
        <v>1818</v>
      </c>
      <c r="B6525">
        <f>A6525+1</f>
        <v>1819</v>
      </c>
      <c r="C6525" t="s">
        <v>524</v>
      </c>
      <c r="D6525" t="s">
        <v>27</v>
      </c>
      <c r="E6525" s="208" t="s">
        <v>139</v>
      </c>
      <c r="F6525" t="s">
        <v>0</v>
      </c>
      <c r="G6525" s="18">
        <v>2</v>
      </c>
      <c r="H6525" t="s">
        <v>16</v>
      </c>
      <c r="I6525" t="s">
        <v>18</v>
      </c>
    </row>
    <row r="6526" spans="1:9" x14ac:dyDescent="0.25">
      <c r="A6526">
        <v>1818</v>
      </c>
      <c r="B6526">
        <f>A6526+1</f>
        <v>1819</v>
      </c>
      <c r="C6526" t="s">
        <v>524</v>
      </c>
      <c r="D6526" t="s">
        <v>27</v>
      </c>
      <c r="E6526" s="208" t="s">
        <v>132</v>
      </c>
      <c r="F6526" t="s">
        <v>0</v>
      </c>
      <c r="G6526" s="18">
        <v>528</v>
      </c>
      <c r="H6526" t="s">
        <v>16</v>
      </c>
      <c r="I6526" t="s">
        <v>18</v>
      </c>
    </row>
    <row r="6527" spans="1:9" x14ac:dyDescent="0.25">
      <c r="A6527">
        <v>1818</v>
      </c>
      <c r="B6527">
        <f>A6527+1</f>
        <v>1819</v>
      </c>
      <c r="C6527" t="s">
        <v>524</v>
      </c>
      <c r="D6527" t="s">
        <v>27</v>
      </c>
      <c r="E6527" s="208" t="s">
        <v>130</v>
      </c>
      <c r="F6527" t="s">
        <v>0</v>
      </c>
      <c r="G6527" s="18">
        <v>169</v>
      </c>
      <c r="H6527" t="s">
        <v>16</v>
      </c>
      <c r="I6527" t="s">
        <v>18</v>
      </c>
    </row>
    <row r="6528" spans="1:9" x14ac:dyDescent="0.25">
      <c r="A6528">
        <v>1818</v>
      </c>
      <c r="B6528">
        <f>A6528+1</f>
        <v>1819</v>
      </c>
      <c r="C6528" t="s">
        <v>524</v>
      </c>
      <c r="D6528" t="s">
        <v>27</v>
      </c>
      <c r="E6528" s="208" t="s">
        <v>144</v>
      </c>
      <c r="F6528" t="s">
        <v>0</v>
      </c>
      <c r="G6528" s="18">
        <v>404</v>
      </c>
      <c r="H6528" t="s">
        <v>16</v>
      </c>
      <c r="I6528" t="s">
        <v>18</v>
      </c>
    </row>
    <row r="6529" spans="1:9" x14ac:dyDescent="0.25">
      <c r="A6529">
        <v>1818</v>
      </c>
      <c r="B6529">
        <f>A6529+1</f>
        <v>1819</v>
      </c>
      <c r="C6529" t="s">
        <v>524</v>
      </c>
      <c r="D6529" t="s">
        <v>27</v>
      </c>
      <c r="E6529" s="208" t="s">
        <v>142</v>
      </c>
      <c r="F6529" t="s">
        <v>0</v>
      </c>
      <c r="G6529" s="18">
        <v>2764</v>
      </c>
      <c r="H6529" t="s">
        <v>16</v>
      </c>
      <c r="I6529" t="s">
        <v>18</v>
      </c>
    </row>
    <row r="6530" spans="1:9" x14ac:dyDescent="0.25">
      <c r="A6530">
        <v>1818</v>
      </c>
      <c r="B6530">
        <f>A6530+1</f>
        <v>1819</v>
      </c>
      <c r="C6530" t="s">
        <v>524</v>
      </c>
      <c r="D6530" t="s">
        <v>27</v>
      </c>
      <c r="E6530" s="208" t="s">
        <v>124</v>
      </c>
      <c r="F6530" t="s">
        <v>0</v>
      </c>
      <c r="G6530" s="18">
        <v>6708034</v>
      </c>
      <c r="H6530" t="s">
        <v>16</v>
      </c>
      <c r="I6530" t="s">
        <v>18</v>
      </c>
    </row>
    <row r="6531" spans="1:9" x14ac:dyDescent="0.25">
      <c r="A6531">
        <v>1818</v>
      </c>
      <c r="B6531">
        <f>A6531+1</f>
        <v>1819</v>
      </c>
      <c r="C6531" t="s">
        <v>524</v>
      </c>
      <c r="D6531" t="s">
        <v>26</v>
      </c>
      <c r="E6531" s="208" t="s">
        <v>62</v>
      </c>
      <c r="F6531" t="s">
        <v>169</v>
      </c>
      <c r="G6531" s="18">
        <v>15766</v>
      </c>
      <c r="H6531" t="s">
        <v>160</v>
      </c>
      <c r="I6531" t="s">
        <v>16</v>
      </c>
    </row>
    <row r="6532" spans="1:9" x14ac:dyDescent="0.25">
      <c r="A6532">
        <v>1818</v>
      </c>
      <c r="B6532">
        <f>A6532+1</f>
        <v>1819</v>
      </c>
      <c r="C6532" t="s">
        <v>524</v>
      </c>
      <c r="D6532" t="s">
        <v>26</v>
      </c>
      <c r="E6532" s="208" t="s">
        <v>36</v>
      </c>
      <c r="F6532" t="s">
        <v>169</v>
      </c>
      <c r="G6532" s="18">
        <v>1022</v>
      </c>
      <c r="H6532" t="s">
        <v>160</v>
      </c>
      <c r="I6532" t="s">
        <v>16</v>
      </c>
    </row>
    <row r="6533" spans="1:9" x14ac:dyDescent="0.25">
      <c r="A6533">
        <v>1818</v>
      </c>
      <c r="B6533">
        <f>A6533+1</f>
        <v>1819</v>
      </c>
      <c r="C6533" t="s">
        <v>524</v>
      </c>
      <c r="D6533" t="s">
        <v>26</v>
      </c>
      <c r="E6533" s="208" t="s">
        <v>35</v>
      </c>
      <c r="F6533" t="s">
        <v>169</v>
      </c>
      <c r="G6533" s="18">
        <v>4473</v>
      </c>
      <c r="H6533" t="s">
        <v>160</v>
      </c>
      <c r="I6533" t="s">
        <v>16</v>
      </c>
    </row>
    <row r="6534" spans="1:9" x14ac:dyDescent="0.25">
      <c r="A6534">
        <v>1818</v>
      </c>
      <c r="B6534">
        <f>A6534+1</f>
        <v>1819</v>
      </c>
      <c r="C6534" t="s">
        <v>524</v>
      </c>
      <c r="D6534" t="s">
        <v>26</v>
      </c>
      <c r="E6534" s="208" t="s">
        <v>39</v>
      </c>
      <c r="F6534" t="s">
        <v>169</v>
      </c>
      <c r="G6534" s="18">
        <v>0</v>
      </c>
      <c r="H6534" t="s">
        <v>160</v>
      </c>
      <c r="I6534" t="s">
        <v>16</v>
      </c>
    </row>
    <row r="6535" spans="1:9" x14ac:dyDescent="0.25">
      <c r="A6535">
        <v>1818</v>
      </c>
      <c r="B6535">
        <f>A6535+1</f>
        <v>1819</v>
      </c>
      <c r="C6535" t="s">
        <v>524</v>
      </c>
      <c r="D6535" t="s">
        <v>26</v>
      </c>
      <c r="E6535" s="208" t="s">
        <v>99</v>
      </c>
      <c r="F6535" t="s">
        <v>169</v>
      </c>
      <c r="G6535" s="18">
        <v>0</v>
      </c>
      <c r="H6535" t="s">
        <v>160</v>
      </c>
      <c r="I6535" t="s">
        <v>16</v>
      </c>
    </row>
    <row r="6536" spans="1:9" x14ac:dyDescent="0.25">
      <c r="A6536">
        <v>1818</v>
      </c>
      <c r="B6536">
        <f>A6536+1</f>
        <v>1819</v>
      </c>
      <c r="C6536" t="s">
        <v>524</v>
      </c>
      <c r="D6536" t="s">
        <v>26</v>
      </c>
      <c r="E6536" s="208" t="s">
        <v>95</v>
      </c>
      <c r="F6536" t="s">
        <v>169</v>
      </c>
      <c r="G6536" s="18">
        <v>403</v>
      </c>
      <c r="H6536" t="s">
        <v>160</v>
      </c>
      <c r="I6536" t="s">
        <v>16</v>
      </c>
    </row>
    <row r="6537" spans="1:9" x14ac:dyDescent="0.25">
      <c r="A6537">
        <v>1818</v>
      </c>
      <c r="B6537">
        <f>A6537+1</f>
        <v>1819</v>
      </c>
      <c r="C6537" t="s">
        <v>524</v>
      </c>
      <c r="D6537" t="s">
        <v>26</v>
      </c>
      <c r="E6537" s="208" t="s">
        <v>94</v>
      </c>
      <c r="F6537" t="s">
        <v>169</v>
      </c>
      <c r="G6537" s="18">
        <v>5326</v>
      </c>
      <c r="H6537" t="s">
        <v>160</v>
      </c>
      <c r="I6537" t="s">
        <v>16</v>
      </c>
    </row>
    <row r="6538" spans="1:9" x14ac:dyDescent="0.25">
      <c r="A6538">
        <v>1818</v>
      </c>
      <c r="B6538">
        <f>A6538+1</f>
        <v>1819</v>
      </c>
      <c r="C6538" t="s">
        <v>524</v>
      </c>
      <c r="D6538" t="s">
        <v>26</v>
      </c>
      <c r="E6538" s="208" t="s">
        <v>386</v>
      </c>
      <c r="F6538" t="s">
        <v>169</v>
      </c>
      <c r="G6538" s="18">
        <v>0</v>
      </c>
      <c r="H6538" t="s">
        <v>160</v>
      </c>
      <c r="I6538" t="s">
        <v>16</v>
      </c>
    </row>
    <row r="6539" spans="1:9" x14ac:dyDescent="0.25">
      <c r="A6539">
        <v>1818</v>
      </c>
      <c r="B6539">
        <f>A6539+1</f>
        <v>1819</v>
      </c>
      <c r="C6539" t="s">
        <v>524</v>
      </c>
      <c r="D6539" t="s">
        <v>26</v>
      </c>
      <c r="E6539" s="208" t="s">
        <v>387</v>
      </c>
      <c r="F6539" t="s">
        <v>169</v>
      </c>
      <c r="G6539" s="18">
        <v>0</v>
      </c>
      <c r="H6539" t="s">
        <v>160</v>
      </c>
      <c r="I6539" t="s">
        <v>16</v>
      </c>
    </row>
    <row r="6540" spans="1:9" x14ac:dyDescent="0.25">
      <c r="A6540">
        <v>1818</v>
      </c>
      <c r="B6540">
        <f>A6540+1</f>
        <v>1819</v>
      </c>
      <c r="C6540" t="s">
        <v>524</v>
      </c>
      <c r="D6540" t="s">
        <v>26</v>
      </c>
      <c r="E6540" s="208" t="s">
        <v>388</v>
      </c>
      <c r="F6540" t="s">
        <v>169</v>
      </c>
      <c r="G6540" s="18">
        <v>0</v>
      </c>
      <c r="H6540" t="s">
        <v>160</v>
      </c>
      <c r="I6540" t="s">
        <v>16</v>
      </c>
    </row>
    <row r="6541" spans="1:9" x14ac:dyDescent="0.25">
      <c r="A6541">
        <v>1818</v>
      </c>
      <c r="B6541">
        <f>A6541+1</f>
        <v>1819</v>
      </c>
      <c r="C6541" t="s">
        <v>524</v>
      </c>
      <c r="D6541" t="s">
        <v>26</v>
      </c>
      <c r="E6541" s="208" t="s">
        <v>383</v>
      </c>
      <c r="F6541" t="s">
        <v>169</v>
      </c>
      <c r="G6541" s="18">
        <v>0</v>
      </c>
      <c r="H6541" t="s">
        <v>160</v>
      </c>
      <c r="I6541" t="s">
        <v>16</v>
      </c>
    </row>
    <row r="6542" spans="1:9" x14ac:dyDescent="0.25">
      <c r="A6542">
        <v>1818</v>
      </c>
      <c r="B6542">
        <f>A6542+1</f>
        <v>1819</v>
      </c>
      <c r="C6542" t="s">
        <v>524</v>
      </c>
      <c r="D6542" t="s">
        <v>26</v>
      </c>
      <c r="E6542" s="208" t="s">
        <v>384</v>
      </c>
      <c r="F6542" t="s">
        <v>169</v>
      </c>
      <c r="G6542" s="18">
        <v>0</v>
      </c>
      <c r="H6542" t="s">
        <v>160</v>
      </c>
      <c r="I6542" t="s">
        <v>16</v>
      </c>
    </row>
    <row r="6543" spans="1:9" x14ac:dyDescent="0.25">
      <c r="A6543">
        <v>1818</v>
      </c>
      <c r="B6543">
        <f>A6543+1</f>
        <v>1819</v>
      </c>
      <c r="C6543" t="s">
        <v>524</v>
      </c>
      <c r="D6543" t="s">
        <v>26</v>
      </c>
      <c r="E6543" s="208" t="s">
        <v>107</v>
      </c>
      <c r="F6543" t="s">
        <v>169</v>
      </c>
      <c r="G6543" s="18">
        <v>0</v>
      </c>
      <c r="H6543" t="s">
        <v>160</v>
      </c>
      <c r="I6543" t="s">
        <v>16</v>
      </c>
    </row>
    <row r="6544" spans="1:9" x14ac:dyDescent="0.25">
      <c r="A6544">
        <v>1818</v>
      </c>
      <c r="B6544">
        <f>A6544+1</f>
        <v>1819</v>
      </c>
      <c r="C6544" t="s">
        <v>524</v>
      </c>
      <c r="D6544" t="s">
        <v>26</v>
      </c>
      <c r="E6544" s="208" t="s">
        <v>101</v>
      </c>
      <c r="F6544" t="s">
        <v>169</v>
      </c>
      <c r="G6544" s="18">
        <v>0</v>
      </c>
      <c r="H6544" t="s">
        <v>160</v>
      </c>
      <c r="I6544" t="s">
        <v>16</v>
      </c>
    </row>
    <row r="6545" spans="1:9" x14ac:dyDescent="0.25">
      <c r="A6545">
        <v>1818</v>
      </c>
      <c r="B6545">
        <f>A6545+1</f>
        <v>1819</v>
      </c>
      <c r="C6545" t="s">
        <v>524</v>
      </c>
      <c r="D6545" t="s">
        <v>26</v>
      </c>
      <c r="E6545" s="208" t="s">
        <v>75</v>
      </c>
      <c r="F6545" t="s">
        <v>169</v>
      </c>
      <c r="G6545" s="18">
        <v>0</v>
      </c>
      <c r="H6545" t="s">
        <v>160</v>
      </c>
      <c r="I6545" t="s">
        <v>16</v>
      </c>
    </row>
    <row r="6546" spans="1:9" x14ac:dyDescent="0.25">
      <c r="A6546">
        <v>1818</v>
      </c>
      <c r="B6546">
        <f>A6546+1</f>
        <v>1819</v>
      </c>
      <c r="C6546" t="s">
        <v>524</v>
      </c>
      <c r="D6546" t="s">
        <v>26</v>
      </c>
      <c r="E6546" s="208" t="s">
        <v>330</v>
      </c>
      <c r="F6546" t="s">
        <v>169</v>
      </c>
      <c r="G6546" s="18">
        <v>0</v>
      </c>
      <c r="H6546" t="s">
        <v>160</v>
      </c>
      <c r="I6546" t="s">
        <v>16</v>
      </c>
    </row>
    <row r="6547" spans="1:9" x14ac:dyDescent="0.25">
      <c r="A6547">
        <v>1818</v>
      </c>
      <c r="B6547">
        <f>A6547+1</f>
        <v>1819</v>
      </c>
      <c r="C6547" t="s">
        <v>524</v>
      </c>
      <c r="D6547" t="s">
        <v>26</v>
      </c>
      <c r="E6547" s="208" t="s">
        <v>331</v>
      </c>
      <c r="F6547" t="s">
        <v>169</v>
      </c>
      <c r="G6547" s="18">
        <v>0</v>
      </c>
      <c r="H6547" t="s">
        <v>160</v>
      </c>
      <c r="I6547" t="s">
        <v>16</v>
      </c>
    </row>
    <row r="6548" spans="1:9" x14ac:dyDescent="0.25">
      <c r="A6548">
        <v>1818</v>
      </c>
      <c r="B6548">
        <f>A6548+1</f>
        <v>1819</v>
      </c>
      <c r="C6548" t="s">
        <v>524</v>
      </c>
      <c r="D6548" t="s">
        <v>26</v>
      </c>
      <c r="E6548" s="208" t="s">
        <v>332</v>
      </c>
      <c r="F6548" t="s">
        <v>169</v>
      </c>
      <c r="G6548" s="18">
        <v>0</v>
      </c>
      <c r="H6548" t="s">
        <v>160</v>
      </c>
      <c r="I6548" t="s">
        <v>16</v>
      </c>
    </row>
    <row r="6549" spans="1:9" x14ac:dyDescent="0.25">
      <c r="A6549">
        <v>1818</v>
      </c>
      <c r="B6549">
        <f>A6549+1</f>
        <v>1819</v>
      </c>
      <c r="C6549" t="s">
        <v>524</v>
      </c>
      <c r="D6549" t="s">
        <v>26</v>
      </c>
      <c r="E6549" s="208" t="s">
        <v>333</v>
      </c>
      <c r="F6549" t="s">
        <v>169</v>
      </c>
      <c r="G6549" s="18">
        <v>0</v>
      </c>
      <c r="H6549" t="s">
        <v>160</v>
      </c>
      <c r="I6549" t="s">
        <v>16</v>
      </c>
    </row>
    <row r="6550" spans="1:9" x14ac:dyDescent="0.25">
      <c r="A6550">
        <v>1818</v>
      </c>
      <c r="B6550">
        <f>A6550+1</f>
        <v>1819</v>
      </c>
      <c r="C6550" t="s">
        <v>524</v>
      </c>
      <c r="D6550" t="s">
        <v>27</v>
      </c>
      <c r="E6550" s="208" t="s">
        <v>155</v>
      </c>
      <c r="F6550" t="s">
        <v>1</v>
      </c>
      <c r="G6550" s="18">
        <v>1424</v>
      </c>
      <c r="H6550" t="s">
        <v>16</v>
      </c>
      <c r="I6550" t="s">
        <v>21</v>
      </c>
    </row>
    <row r="6551" spans="1:9" x14ac:dyDescent="0.25">
      <c r="A6551">
        <v>1818</v>
      </c>
      <c r="B6551">
        <f>A6551+1</f>
        <v>1819</v>
      </c>
      <c r="C6551" t="s">
        <v>524</v>
      </c>
      <c r="D6551" t="s">
        <v>27</v>
      </c>
      <c r="E6551" s="208" t="s">
        <v>156</v>
      </c>
      <c r="F6551" t="s">
        <v>1</v>
      </c>
      <c r="G6551" s="18">
        <v>281</v>
      </c>
      <c r="H6551" t="s">
        <v>16</v>
      </c>
      <c r="I6551" t="s">
        <v>21</v>
      </c>
    </row>
    <row r="6552" spans="1:9" x14ac:dyDescent="0.25">
      <c r="A6552">
        <v>1818</v>
      </c>
      <c r="B6552">
        <f>A6552+1</f>
        <v>1819</v>
      </c>
      <c r="C6552" t="s">
        <v>524</v>
      </c>
      <c r="D6552" t="s">
        <v>27</v>
      </c>
      <c r="E6552" s="208" t="s">
        <v>154</v>
      </c>
      <c r="F6552" t="s">
        <v>1</v>
      </c>
      <c r="G6552" s="18">
        <v>82</v>
      </c>
      <c r="H6552" t="s">
        <v>16</v>
      </c>
      <c r="I6552" t="s">
        <v>21</v>
      </c>
    </row>
    <row r="6553" spans="1:9" x14ac:dyDescent="0.25">
      <c r="A6553">
        <v>1818</v>
      </c>
      <c r="B6553">
        <f>A6553+1</f>
        <v>1819</v>
      </c>
      <c r="C6553" t="s">
        <v>524</v>
      </c>
      <c r="D6553" t="s">
        <v>27</v>
      </c>
      <c r="E6553" s="208" t="s">
        <v>150</v>
      </c>
      <c r="F6553" t="s">
        <v>1</v>
      </c>
      <c r="G6553" s="18">
        <v>375</v>
      </c>
      <c r="H6553" t="s">
        <v>16</v>
      </c>
      <c r="I6553" t="s">
        <v>21</v>
      </c>
    </row>
    <row r="6554" spans="1:9" x14ac:dyDescent="0.25">
      <c r="A6554">
        <v>1818</v>
      </c>
      <c r="B6554">
        <f>A6554+1</f>
        <v>1819</v>
      </c>
      <c r="C6554" t="s">
        <v>524</v>
      </c>
      <c r="D6554" t="s">
        <v>27</v>
      </c>
      <c r="E6554" s="208" t="s">
        <v>148</v>
      </c>
      <c r="F6554" t="s">
        <v>1</v>
      </c>
      <c r="G6554" s="18">
        <v>218</v>
      </c>
      <c r="H6554" t="s">
        <v>16</v>
      </c>
      <c r="I6554" t="s">
        <v>21</v>
      </c>
    </row>
    <row r="6555" spans="1:9" x14ac:dyDescent="0.25">
      <c r="A6555">
        <v>1818</v>
      </c>
      <c r="B6555">
        <f>A6555+1</f>
        <v>1819</v>
      </c>
      <c r="C6555" t="s">
        <v>524</v>
      </c>
      <c r="D6555" t="s">
        <v>27</v>
      </c>
      <c r="E6555" s="208" t="s">
        <v>147</v>
      </c>
      <c r="F6555" t="s">
        <v>1</v>
      </c>
      <c r="G6555" s="18">
        <v>0</v>
      </c>
      <c r="H6555" t="s">
        <v>16</v>
      </c>
      <c r="I6555" t="s">
        <v>21</v>
      </c>
    </row>
    <row r="6556" spans="1:9" x14ac:dyDescent="0.25">
      <c r="A6556">
        <v>1818</v>
      </c>
      <c r="B6556">
        <f>A6556+1</f>
        <v>1819</v>
      </c>
      <c r="C6556" t="s">
        <v>524</v>
      </c>
      <c r="D6556" t="s">
        <v>27</v>
      </c>
      <c r="E6556" s="208" t="s">
        <v>314</v>
      </c>
      <c r="F6556" t="s">
        <v>1</v>
      </c>
      <c r="G6556" s="18">
        <v>0</v>
      </c>
      <c r="H6556" t="s">
        <v>16</v>
      </c>
      <c r="I6556" t="s">
        <v>21</v>
      </c>
    </row>
    <row r="6557" spans="1:9" x14ac:dyDescent="0.25">
      <c r="A6557">
        <v>1818</v>
      </c>
      <c r="B6557">
        <f>A6557+1</f>
        <v>1819</v>
      </c>
      <c r="C6557" t="s">
        <v>524</v>
      </c>
      <c r="D6557" t="s">
        <v>27</v>
      </c>
      <c r="E6557" s="208" t="s">
        <v>139</v>
      </c>
      <c r="F6557" t="s">
        <v>1</v>
      </c>
      <c r="G6557" s="18">
        <v>4</v>
      </c>
      <c r="H6557" t="s">
        <v>16</v>
      </c>
      <c r="I6557" t="s">
        <v>21</v>
      </c>
    </row>
    <row r="6558" spans="1:9" x14ac:dyDescent="0.25">
      <c r="A6558">
        <v>1818</v>
      </c>
      <c r="B6558">
        <f>A6558+1</f>
        <v>1819</v>
      </c>
      <c r="C6558" t="s">
        <v>524</v>
      </c>
      <c r="D6558" t="s">
        <v>27</v>
      </c>
      <c r="E6558" s="208" t="s">
        <v>132</v>
      </c>
      <c r="F6558" t="s">
        <v>1</v>
      </c>
      <c r="G6558" s="18">
        <v>367</v>
      </c>
      <c r="H6558" t="s">
        <v>16</v>
      </c>
      <c r="I6558" t="s">
        <v>21</v>
      </c>
    </row>
    <row r="6559" spans="1:9" x14ac:dyDescent="0.25">
      <c r="A6559">
        <v>1818</v>
      </c>
      <c r="B6559">
        <f>A6559+1</f>
        <v>1819</v>
      </c>
      <c r="C6559" t="s">
        <v>524</v>
      </c>
      <c r="D6559" t="s">
        <v>27</v>
      </c>
      <c r="E6559" s="208" t="s">
        <v>130</v>
      </c>
      <c r="F6559" t="s">
        <v>1</v>
      </c>
      <c r="G6559" s="18">
        <v>0</v>
      </c>
      <c r="H6559" t="s">
        <v>16</v>
      </c>
      <c r="I6559" t="s">
        <v>21</v>
      </c>
    </row>
    <row r="6560" spans="1:9" x14ac:dyDescent="0.25">
      <c r="A6560">
        <v>1818</v>
      </c>
      <c r="B6560">
        <f>A6560+1</f>
        <v>1819</v>
      </c>
      <c r="C6560" t="s">
        <v>524</v>
      </c>
      <c r="D6560" t="s">
        <v>27</v>
      </c>
      <c r="E6560" s="208" t="s">
        <v>144</v>
      </c>
      <c r="F6560" t="s">
        <v>1</v>
      </c>
      <c r="G6560" s="18">
        <v>53</v>
      </c>
      <c r="H6560" t="s">
        <v>16</v>
      </c>
      <c r="I6560" t="s">
        <v>21</v>
      </c>
    </row>
    <row r="6561" spans="1:9" x14ac:dyDescent="0.25">
      <c r="A6561">
        <v>1818</v>
      </c>
      <c r="B6561">
        <f>A6561+1</f>
        <v>1819</v>
      </c>
      <c r="C6561" t="s">
        <v>524</v>
      </c>
      <c r="D6561" t="s">
        <v>27</v>
      </c>
      <c r="E6561" s="208" t="s">
        <v>142</v>
      </c>
      <c r="F6561" t="s">
        <v>1</v>
      </c>
      <c r="G6561" s="18">
        <v>414</v>
      </c>
      <c r="H6561" t="s">
        <v>16</v>
      </c>
      <c r="I6561" t="s">
        <v>21</v>
      </c>
    </row>
    <row r="6562" spans="1:9" x14ac:dyDescent="0.25">
      <c r="A6562">
        <v>1818</v>
      </c>
      <c r="B6562">
        <f>A6562+1</f>
        <v>1819</v>
      </c>
      <c r="C6562" t="s">
        <v>524</v>
      </c>
      <c r="D6562" t="s">
        <v>27</v>
      </c>
      <c r="E6562" s="208" t="s">
        <v>124</v>
      </c>
      <c r="F6562" t="s">
        <v>1</v>
      </c>
      <c r="G6562" s="18">
        <v>142444</v>
      </c>
      <c r="H6562" t="s">
        <v>16</v>
      </c>
      <c r="I6562" t="s">
        <v>21</v>
      </c>
    </row>
    <row r="6563" spans="1:9" x14ac:dyDescent="0.25">
      <c r="A6563">
        <v>1818</v>
      </c>
      <c r="B6563">
        <f>A6563+1</f>
        <v>1819</v>
      </c>
      <c r="C6563" t="s">
        <v>524</v>
      </c>
      <c r="D6563" t="s">
        <v>27</v>
      </c>
      <c r="E6563" s="208" t="s">
        <v>155</v>
      </c>
      <c r="F6563" t="s">
        <v>6</v>
      </c>
      <c r="G6563" s="18">
        <v>0</v>
      </c>
      <c r="H6563" t="s">
        <v>16</v>
      </c>
      <c r="I6563" t="s">
        <v>25</v>
      </c>
    </row>
    <row r="6564" spans="1:9" x14ac:dyDescent="0.25">
      <c r="A6564">
        <v>1818</v>
      </c>
      <c r="B6564">
        <f>A6564+1</f>
        <v>1819</v>
      </c>
      <c r="C6564" t="s">
        <v>524</v>
      </c>
      <c r="D6564" t="s">
        <v>27</v>
      </c>
      <c r="E6564" s="208" t="s">
        <v>156</v>
      </c>
      <c r="F6564" t="s">
        <v>6</v>
      </c>
      <c r="G6564" s="18">
        <v>0</v>
      </c>
      <c r="H6564" t="s">
        <v>16</v>
      </c>
      <c r="I6564" t="s">
        <v>25</v>
      </c>
    </row>
    <row r="6565" spans="1:9" x14ac:dyDescent="0.25">
      <c r="A6565">
        <v>1818</v>
      </c>
      <c r="B6565">
        <f>A6565+1</f>
        <v>1819</v>
      </c>
      <c r="C6565" t="s">
        <v>524</v>
      </c>
      <c r="D6565" t="s">
        <v>27</v>
      </c>
      <c r="E6565" s="208" t="s">
        <v>154</v>
      </c>
      <c r="F6565" t="s">
        <v>6</v>
      </c>
      <c r="G6565" s="18">
        <v>0</v>
      </c>
      <c r="H6565" t="s">
        <v>16</v>
      </c>
      <c r="I6565" t="s">
        <v>25</v>
      </c>
    </row>
    <row r="6566" spans="1:9" x14ac:dyDescent="0.25">
      <c r="A6566">
        <v>1818</v>
      </c>
      <c r="B6566">
        <f>A6566+1</f>
        <v>1819</v>
      </c>
      <c r="C6566" t="s">
        <v>524</v>
      </c>
      <c r="D6566" t="s">
        <v>27</v>
      </c>
      <c r="E6566" s="208" t="s">
        <v>150</v>
      </c>
      <c r="F6566" t="s">
        <v>6</v>
      </c>
      <c r="G6566" s="18">
        <v>540</v>
      </c>
      <c r="H6566" t="s">
        <v>16</v>
      </c>
      <c r="I6566" t="s">
        <v>25</v>
      </c>
    </row>
    <row r="6567" spans="1:9" x14ac:dyDescent="0.25">
      <c r="A6567">
        <v>1818</v>
      </c>
      <c r="B6567">
        <f>A6567+1</f>
        <v>1819</v>
      </c>
      <c r="C6567" t="s">
        <v>524</v>
      </c>
      <c r="D6567" t="s">
        <v>27</v>
      </c>
      <c r="E6567" s="208" t="s">
        <v>148</v>
      </c>
      <c r="F6567" t="s">
        <v>6</v>
      </c>
      <c r="G6567" s="18">
        <v>47</v>
      </c>
      <c r="H6567" t="s">
        <v>16</v>
      </c>
      <c r="I6567" t="s">
        <v>25</v>
      </c>
    </row>
    <row r="6568" spans="1:9" x14ac:dyDescent="0.25">
      <c r="A6568">
        <v>1818</v>
      </c>
      <c r="B6568">
        <f>A6568+1</f>
        <v>1819</v>
      </c>
      <c r="C6568" t="s">
        <v>524</v>
      </c>
      <c r="D6568" t="s">
        <v>27</v>
      </c>
      <c r="E6568" s="208" t="s">
        <v>147</v>
      </c>
      <c r="F6568" t="s">
        <v>6</v>
      </c>
      <c r="G6568" s="18">
        <v>602</v>
      </c>
      <c r="H6568" t="s">
        <v>16</v>
      </c>
      <c r="I6568" t="s">
        <v>25</v>
      </c>
    </row>
    <row r="6569" spans="1:9" x14ac:dyDescent="0.25">
      <c r="A6569">
        <v>1818</v>
      </c>
      <c r="B6569">
        <f>A6569+1</f>
        <v>1819</v>
      </c>
      <c r="C6569" t="s">
        <v>524</v>
      </c>
      <c r="D6569" t="s">
        <v>27</v>
      </c>
      <c r="E6569" s="208" t="s">
        <v>314</v>
      </c>
      <c r="F6569" t="s">
        <v>6</v>
      </c>
      <c r="G6569" s="18">
        <v>1528</v>
      </c>
      <c r="H6569" t="s">
        <v>16</v>
      </c>
      <c r="I6569" t="s">
        <v>25</v>
      </c>
    </row>
    <row r="6570" spans="1:9" x14ac:dyDescent="0.25">
      <c r="A6570">
        <v>1818</v>
      </c>
      <c r="B6570">
        <f>A6570+1</f>
        <v>1819</v>
      </c>
      <c r="C6570" t="s">
        <v>524</v>
      </c>
      <c r="D6570" t="s">
        <v>27</v>
      </c>
      <c r="E6570" s="208" t="s">
        <v>139</v>
      </c>
      <c r="F6570" t="s">
        <v>6</v>
      </c>
      <c r="G6570" s="18">
        <v>0</v>
      </c>
      <c r="H6570" t="s">
        <v>16</v>
      </c>
      <c r="I6570" t="s">
        <v>25</v>
      </c>
    </row>
    <row r="6571" spans="1:9" x14ac:dyDescent="0.25">
      <c r="A6571">
        <v>1818</v>
      </c>
      <c r="B6571">
        <f>A6571+1</f>
        <v>1819</v>
      </c>
      <c r="C6571" t="s">
        <v>524</v>
      </c>
      <c r="D6571" t="s">
        <v>27</v>
      </c>
      <c r="E6571" s="208" t="s">
        <v>132</v>
      </c>
      <c r="F6571" t="s">
        <v>6</v>
      </c>
      <c r="G6571" s="18">
        <v>0</v>
      </c>
      <c r="H6571" t="s">
        <v>16</v>
      </c>
      <c r="I6571" t="s">
        <v>25</v>
      </c>
    </row>
    <row r="6572" spans="1:9" x14ac:dyDescent="0.25">
      <c r="A6572">
        <v>1818</v>
      </c>
      <c r="B6572">
        <f>A6572+1</f>
        <v>1819</v>
      </c>
      <c r="C6572" t="s">
        <v>524</v>
      </c>
      <c r="D6572" t="s">
        <v>27</v>
      </c>
      <c r="E6572" s="208" t="s">
        <v>130</v>
      </c>
      <c r="F6572" t="s">
        <v>6</v>
      </c>
      <c r="G6572" s="18">
        <v>0</v>
      </c>
      <c r="H6572" t="s">
        <v>16</v>
      </c>
      <c r="I6572" t="s">
        <v>25</v>
      </c>
    </row>
    <row r="6573" spans="1:9" x14ac:dyDescent="0.25">
      <c r="A6573">
        <v>1818</v>
      </c>
      <c r="B6573">
        <f>A6573+1</f>
        <v>1819</v>
      </c>
      <c r="C6573" t="s">
        <v>524</v>
      </c>
      <c r="D6573" t="s">
        <v>27</v>
      </c>
      <c r="E6573" s="208" t="s">
        <v>144</v>
      </c>
      <c r="F6573" t="s">
        <v>6</v>
      </c>
      <c r="G6573" s="18">
        <v>0</v>
      </c>
      <c r="H6573" t="s">
        <v>16</v>
      </c>
      <c r="I6573" t="s">
        <v>25</v>
      </c>
    </row>
    <row r="6574" spans="1:9" x14ac:dyDescent="0.25">
      <c r="A6574">
        <v>1818</v>
      </c>
      <c r="B6574">
        <f>A6574+1</f>
        <v>1819</v>
      </c>
      <c r="C6574" t="s">
        <v>524</v>
      </c>
      <c r="D6574" t="s">
        <v>27</v>
      </c>
      <c r="E6574" s="208" t="s">
        <v>142</v>
      </c>
      <c r="F6574" t="s">
        <v>6</v>
      </c>
      <c r="G6574" s="18">
        <v>0</v>
      </c>
      <c r="H6574" t="s">
        <v>16</v>
      </c>
      <c r="I6574" t="s">
        <v>25</v>
      </c>
    </row>
    <row r="6575" spans="1:9" x14ac:dyDescent="0.25">
      <c r="A6575">
        <v>1818</v>
      </c>
      <c r="B6575">
        <f>A6575+1</f>
        <v>1819</v>
      </c>
      <c r="C6575" t="s">
        <v>524</v>
      </c>
      <c r="D6575" t="s">
        <v>27</v>
      </c>
      <c r="E6575" s="208" t="s">
        <v>124</v>
      </c>
      <c r="F6575" t="s">
        <v>6</v>
      </c>
      <c r="G6575" s="18">
        <v>0</v>
      </c>
      <c r="H6575" t="s">
        <v>16</v>
      </c>
      <c r="I6575" t="s">
        <v>25</v>
      </c>
    </row>
    <row r="6576" spans="1:9" x14ac:dyDescent="0.25">
      <c r="A6576">
        <v>1818</v>
      </c>
      <c r="B6576">
        <f>A6576+1</f>
        <v>1819</v>
      </c>
      <c r="C6576" t="s">
        <v>524</v>
      </c>
      <c r="D6576" t="s">
        <v>26</v>
      </c>
      <c r="E6576" s="208" t="s">
        <v>62</v>
      </c>
      <c r="F6576" t="s">
        <v>6</v>
      </c>
      <c r="G6576" s="18">
        <v>4021</v>
      </c>
      <c r="H6576" t="s">
        <v>25</v>
      </c>
      <c r="I6576" t="s">
        <v>16</v>
      </c>
    </row>
    <row r="6577" spans="1:9" x14ac:dyDescent="0.25">
      <c r="A6577">
        <v>1818</v>
      </c>
      <c r="B6577">
        <f>A6577+1</f>
        <v>1819</v>
      </c>
      <c r="C6577" t="s">
        <v>524</v>
      </c>
      <c r="D6577" t="s">
        <v>26</v>
      </c>
      <c r="E6577" s="208" t="s">
        <v>36</v>
      </c>
      <c r="F6577" t="s">
        <v>6</v>
      </c>
      <c r="G6577" s="18">
        <v>0</v>
      </c>
      <c r="H6577" t="s">
        <v>25</v>
      </c>
      <c r="I6577" t="s">
        <v>16</v>
      </c>
    </row>
    <row r="6578" spans="1:9" x14ac:dyDescent="0.25">
      <c r="A6578">
        <v>1818</v>
      </c>
      <c r="B6578">
        <f>A6578+1</f>
        <v>1819</v>
      </c>
      <c r="C6578" t="s">
        <v>524</v>
      </c>
      <c r="D6578" t="s">
        <v>26</v>
      </c>
      <c r="E6578" s="208" t="s">
        <v>35</v>
      </c>
      <c r="F6578" t="s">
        <v>6</v>
      </c>
      <c r="G6578" s="18">
        <v>0</v>
      </c>
      <c r="H6578" t="s">
        <v>25</v>
      </c>
      <c r="I6578" t="s">
        <v>16</v>
      </c>
    </row>
    <row r="6579" spans="1:9" x14ac:dyDescent="0.25">
      <c r="A6579">
        <v>1818</v>
      </c>
      <c r="B6579">
        <f>A6579+1</f>
        <v>1819</v>
      </c>
      <c r="C6579" t="s">
        <v>524</v>
      </c>
      <c r="D6579" t="s">
        <v>26</v>
      </c>
      <c r="E6579" s="208" t="s">
        <v>39</v>
      </c>
      <c r="F6579" t="s">
        <v>6</v>
      </c>
      <c r="G6579" s="18">
        <v>0</v>
      </c>
      <c r="H6579" t="s">
        <v>25</v>
      </c>
      <c r="I6579" t="s">
        <v>16</v>
      </c>
    </row>
    <row r="6580" spans="1:9" x14ac:dyDescent="0.25">
      <c r="A6580">
        <v>1818</v>
      </c>
      <c r="B6580">
        <f>A6580+1</f>
        <v>1819</v>
      </c>
      <c r="C6580" t="s">
        <v>524</v>
      </c>
      <c r="D6580" t="s">
        <v>26</v>
      </c>
      <c r="E6580" s="208" t="s">
        <v>99</v>
      </c>
      <c r="F6580" t="s">
        <v>6</v>
      </c>
      <c r="G6580" s="18">
        <v>347</v>
      </c>
      <c r="H6580" t="s">
        <v>25</v>
      </c>
      <c r="I6580" t="s">
        <v>16</v>
      </c>
    </row>
    <row r="6581" spans="1:9" x14ac:dyDescent="0.25">
      <c r="A6581">
        <v>1818</v>
      </c>
      <c r="B6581">
        <f>A6581+1</f>
        <v>1819</v>
      </c>
      <c r="C6581" t="s">
        <v>524</v>
      </c>
      <c r="D6581" t="s">
        <v>26</v>
      </c>
      <c r="E6581" s="208" t="s">
        <v>95</v>
      </c>
      <c r="F6581" t="s">
        <v>6</v>
      </c>
      <c r="G6581" s="18">
        <v>53</v>
      </c>
      <c r="H6581" t="s">
        <v>25</v>
      </c>
      <c r="I6581" t="s">
        <v>16</v>
      </c>
    </row>
    <row r="6582" spans="1:9" x14ac:dyDescent="0.25">
      <c r="A6582">
        <v>1818</v>
      </c>
      <c r="B6582">
        <f>A6582+1</f>
        <v>1819</v>
      </c>
      <c r="C6582" t="s">
        <v>524</v>
      </c>
      <c r="D6582" t="s">
        <v>26</v>
      </c>
      <c r="E6582" s="208" t="s">
        <v>94</v>
      </c>
      <c r="F6582" t="s">
        <v>6</v>
      </c>
      <c r="G6582" s="18">
        <v>3957</v>
      </c>
      <c r="H6582" t="s">
        <v>25</v>
      </c>
      <c r="I6582" t="s">
        <v>16</v>
      </c>
    </row>
    <row r="6583" spans="1:9" x14ac:dyDescent="0.25">
      <c r="A6583">
        <v>1818</v>
      </c>
      <c r="B6583">
        <f>A6583+1</f>
        <v>1819</v>
      </c>
      <c r="C6583" t="s">
        <v>524</v>
      </c>
      <c r="D6583" t="s">
        <v>26</v>
      </c>
      <c r="E6583" s="208" t="s">
        <v>386</v>
      </c>
      <c r="F6583" t="s">
        <v>6</v>
      </c>
      <c r="G6583" s="18">
        <v>12545</v>
      </c>
      <c r="H6583" t="s">
        <v>25</v>
      </c>
      <c r="I6583" t="s">
        <v>16</v>
      </c>
    </row>
    <row r="6584" spans="1:9" x14ac:dyDescent="0.25">
      <c r="A6584">
        <v>1818</v>
      </c>
      <c r="B6584">
        <f>A6584+1</f>
        <v>1819</v>
      </c>
      <c r="C6584" t="s">
        <v>524</v>
      </c>
      <c r="D6584" t="s">
        <v>26</v>
      </c>
      <c r="E6584" s="208" t="s">
        <v>387</v>
      </c>
      <c r="F6584" t="s">
        <v>6</v>
      </c>
      <c r="G6584" s="18">
        <v>1904</v>
      </c>
      <c r="H6584" t="s">
        <v>25</v>
      </c>
      <c r="I6584" t="s">
        <v>16</v>
      </c>
    </row>
    <row r="6585" spans="1:9" x14ac:dyDescent="0.25">
      <c r="A6585">
        <v>1818</v>
      </c>
      <c r="B6585">
        <f>A6585+1</f>
        <v>1819</v>
      </c>
      <c r="C6585" t="s">
        <v>524</v>
      </c>
      <c r="D6585" t="s">
        <v>26</v>
      </c>
      <c r="E6585" s="208" t="s">
        <v>388</v>
      </c>
      <c r="F6585" t="s">
        <v>6</v>
      </c>
      <c r="G6585" s="18">
        <v>1777</v>
      </c>
      <c r="H6585" t="s">
        <v>25</v>
      </c>
      <c r="I6585" t="s">
        <v>16</v>
      </c>
    </row>
    <row r="6586" spans="1:9" x14ac:dyDescent="0.25">
      <c r="A6586">
        <v>1818</v>
      </c>
      <c r="B6586">
        <f>A6586+1</f>
        <v>1819</v>
      </c>
      <c r="C6586" t="s">
        <v>524</v>
      </c>
      <c r="D6586" t="s">
        <v>26</v>
      </c>
      <c r="E6586" s="208" t="s">
        <v>383</v>
      </c>
      <c r="F6586" t="s">
        <v>6</v>
      </c>
      <c r="G6586" s="18">
        <v>160</v>
      </c>
      <c r="H6586" t="s">
        <v>25</v>
      </c>
      <c r="I6586" t="s">
        <v>16</v>
      </c>
    </row>
    <row r="6587" spans="1:9" x14ac:dyDescent="0.25">
      <c r="A6587">
        <v>1818</v>
      </c>
      <c r="B6587">
        <f>A6587+1</f>
        <v>1819</v>
      </c>
      <c r="C6587" t="s">
        <v>524</v>
      </c>
      <c r="D6587" t="s">
        <v>26</v>
      </c>
      <c r="E6587" s="208" t="s">
        <v>384</v>
      </c>
      <c r="F6587" t="s">
        <v>6</v>
      </c>
      <c r="G6587" s="18">
        <v>526</v>
      </c>
      <c r="H6587" t="s">
        <v>25</v>
      </c>
      <c r="I6587" t="s">
        <v>16</v>
      </c>
    </row>
    <row r="6588" spans="1:9" x14ac:dyDescent="0.25">
      <c r="A6588">
        <v>1818</v>
      </c>
      <c r="B6588">
        <f>A6588+1</f>
        <v>1819</v>
      </c>
      <c r="C6588" t="s">
        <v>524</v>
      </c>
      <c r="D6588" t="s">
        <v>26</v>
      </c>
      <c r="E6588" s="208" t="s">
        <v>107</v>
      </c>
      <c r="F6588" t="s">
        <v>6</v>
      </c>
      <c r="G6588" s="18">
        <v>0</v>
      </c>
      <c r="H6588" t="s">
        <v>25</v>
      </c>
      <c r="I6588" t="s">
        <v>16</v>
      </c>
    </row>
    <row r="6589" spans="1:9" x14ac:dyDescent="0.25">
      <c r="A6589">
        <v>1818</v>
      </c>
      <c r="B6589">
        <f>A6589+1</f>
        <v>1819</v>
      </c>
      <c r="C6589" t="s">
        <v>524</v>
      </c>
      <c r="D6589" t="s">
        <v>26</v>
      </c>
      <c r="E6589" s="208" t="s">
        <v>101</v>
      </c>
      <c r="F6589" t="s">
        <v>6</v>
      </c>
      <c r="G6589" s="18">
        <v>0</v>
      </c>
      <c r="H6589" t="s">
        <v>25</v>
      </c>
      <c r="I6589" t="s">
        <v>16</v>
      </c>
    </row>
    <row r="6590" spans="1:9" x14ac:dyDescent="0.25">
      <c r="A6590">
        <v>1818</v>
      </c>
      <c r="B6590">
        <f>A6590+1</f>
        <v>1819</v>
      </c>
      <c r="C6590" t="s">
        <v>524</v>
      </c>
      <c r="D6590" t="s">
        <v>26</v>
      </c>
      <c r="E6590" s="208" t="s">
        <v>75</v>
      </c>
      <c r="F6590" t="s">
        <v>6</v>
      </c>
      <c r="G6590" s="18">
        <v>0</v>
      </c>
      <c r="H6590" t="s">
        <v>25</v>
      </c>
      <c r="I6590" t="s">
        <v>16</v>
      </c>
    </row>
    <row r="6591" spans="1:9" x14ac:dyDescent="0.25">
      <c r="A6591">
        <v>1818</v>
      </c>
      <c r="B6591">
        <f>A6591+1</f>
        <v>1819</v>
      </c>
      <c r="C6591" t="s">
        <v>524</v>
      </c>
      <c r="D6591" t="s">
        <v>26</v>
      </c>
      <c r="E6591" s="208" t="s">
        <v>330</v>
      </c>
      <c r="F6591" t="s">
        <v>6</v>
      </c>
      <c r="G6591" s="18">
        <v>1255</v>
      </c>
      <c r="H6591" t="s">
        <v>25</v>
      </c>
      <c r="I6591" t="s">
        <v>16</v>
      </c>
    </row>
    <row r="6592" spans="1:9" x14ac:dyDescent="0.25">
      <c r="A6592">
        <v>1818</v>
      </c>
      <c r="B6592">
        <f>A6592+1</f>
        <v>1819</v>
      </c>
      <c r="C6592" t="s">
        <v>524</v>
      </c>
      <c r="D6592" t="s">
        <v>26</v>
      </c>
      <c r="E6592" s="208" t="s">
        <v>331</v>
      </c>
      <c r="F6592" t="s">
        <v>6</v>
      </c>
      <c r="G6592" s="18">
        <v>2208</v>
      </c>
      <c r="H6592" t="s">
        <v>25</v>
      </c>
      <c r="I6592" t="s">
        <v>16</v>
      </c>
    </row>
    <row r="6593" spans="1:9" x14ac:dyDescent="0.25">
      <c r="A6593">
        <v>1818</v>
      </c>
      <c r="B6593">
        <f>A6593+1</f>
        <v>1819</v>
      </c>
      <c r="C6593" t="s">
        <v>524</v>
      </c>
      <c r="D6593" t="s">
        <v>26</v>
      </c>
      <c r="E6593" s="208" t="s">
        <v>332</v>
      </c>
      <c r="F6593" t="s">
        <v>6</v>
      </c>
      <c r="G6593" s="18">
        <v>1018</v>
      </c>
      <c r="H6593" t="s">
        <v>25</v>
      </c>
      <c r="I6593" t="s">
        <v>16</v>
      </c>
    </row>
    <row r="6594" spans="1:9" x14ac:dyDescent="0.25">
      <c r="A6594">
        <v>1818</v>
      </c>
      <c r="B6594">
        <f>A6594+1</f>
        <v>1819</v>
      </c>
      <c r="C6594" t="s">
        <v>524</v>
      </c>
      <c r="D6594" t="s">
        <v>26</v>
      </c>
      <c r="E6594" s="208" t="s">
        <v>333</v>
      </c>
      <c r="F6594" t="s">
        <v>6</v>
      </c>
      <c r="G6594" s="18">
        <v>1248</v>
      </c>
      <c r="H6594" t="s">
        <v>25</v>
      </c>
      <c r="I6594" t="s">
        <v>16</v>
      </c>
    </row>
    <row r="6595" spans="1:9" x14ac:dyDescent="0.25">
      <c r="A6595">
        <v>1818</v>
      </c>
      <c r="B6595">
        <f>A6595+1</f>
        <v>1819</v>
      </c>
      <c r="C6595" t="s">
        <v>524</v>
      </c>
      <c r="D6595" t="s">
        <v>27</v>
      </c>
      <c r="E6595" s="208" t="s">
        <v>155</v>
      </c>
      <c r="F6595" t="s">
        <v>4</v>
      </c>
      <c r="G6595" s="18">
        <v>0</v>
      </c>
      <c r="H6595" t="s">
        <v>16</v>
      </c>
      <c r="I6595" t="s">
        <v>23</v>
      </c>
    </row>
    <row r="6596" spans="1:9" x14ac:dyDescent="0.25">
      <c r="A6596">
        <v>1818</v>
      </c>
      <c r="B6596">
        <f>A6596+1</f>
        <v>1819</v>
      </c>
      <c r="C6596" t="s">
        <v>524</v>
      </c>
      <c r="D6596" t="s">
        <v>27</v>
      </c>
      <c r="E6596" s="208" t="s">
        <v>156</v>
      </c>
      <c r="F6596" t="s">
        <v>4</v>
      </c>
      <c r="G6596" s="18">
        <v>15</v>
      </c>
      <c r="H6596" t="s">
        <v>16</v>
      </c>
      <c r="I6596" t="s">
        <v>23</v>
      </c>
    </row>
    <row r="6597" spans="1:9" x14ac:dyDescent="0.25">
      <c r="A6597">
        <v>1818</v>
      </c>
      <c r="B6597">
        <f>A6597+1</f>
        <v>1819</v>
      </c>
      <c r="C6597" t="s">
        <v>524</v>
      </c>
      <c r="D6597" t="s">
        <v>27</v>
      </c>
      <c r="E6597" s="208" t="s">
        <v>154</v>
      </c>
      <c r="F6597" t="s">
        <v>4</v>
      </c>
      <c r="G6597" s="18">
        <v>0</v>
      </c>
      <c r="H6597" t="s">
        <v>16</v>
      </c>
      <c r="I6597" t="s">
        <v>23</v>
      </c>
    </row>
    <row r="6598" spans="1:9" x14ac:dyDescent="0.25">
      <c r="A6598">
        <v>1818</v>
      </c>
      <c r="B6598">
        <f>A6598+1</f>
        <v>1819</v>
      </c>
      <c r="C6598" t="s">
        <v>524</v>
      </c>
      <c r="D6598" t="s">
        <v>27</v>
      </c>
      <c r="E6598" s="208" t="s">
        <v>150</v>
      </c>
      <c r="F6598" t="s">
        <v>4</v>
      </c>
      <c r="G6598" s="18">
        <v>11</v>
      </c>
      <c r="H6598" t="s">
        <v>16</v>
      </c>
      <c r="I6598" t="s">
        <v>23</v>
      </c>
    </row>
    <row r="6599" spans="1:9" x14ac:dyDescent="0.25">
      <c r="A6599">
        <v>1818</v>
      </c>
      <c r="B6599">
        <f>A6599+1</f>
        <v>1819</v>
      </c>
      <c r="C6599" t="s">
        <v>524</v>
      </c>
      <c r="D6599" t="s">
        <v>27</v>
      </c>
      <c r="E6599" s="208" t="s">
        <v>148</v>
      </c>
      <c r="F6599" t="s">
        <v>4</v>
      </c>
      <c r="G6599" s="18">
        <v>0</v>
      </c>
      <c r="H6599" t="s">
        <v>16</v>
      </c>
      <c r="I6599" t="s">
        <v>23</v>
      </c>
    </row>
    <row r="6600" spans="1:9" x14ac:dyDescent="0.25">
      <c r="A6600">
        <v>1818</v>
      </c>
      <c r="B6600">
        <f>A6600+1</f>
        <v>1819</v>
      </c>
      <c r="C6600" t="s">
        <v>524</v>
      </c>
      <c r="D6600" t="s">
        <v>27</v>
      </c>
      <c r="E6600" s="208" t="s">
        <v>147</v>
      </c>
      <c r="F6600" t="s">
        <v>4</v>
      </c>
      <c r="G6600" s="18">
        <v>0</v>
      </c>
      <c r="H6600" t="s">
        <v>16</v>
      </c>
      <c r="I6600" t="s">
        <v>23</v>
      </c>
    </row>
    <row r="6601" spans="1:9" x14ac:dyDescent="0.25">
      <c r="A6601">
        <v>1818</v>
      </c>
      <c r="B6601">
        <f>A6601+1</f>
        <v>1819</v>
      </c>
      <c r="C6601" t="s">
        <v>524</v>
      </c>
      <c r="D6601" t="s">
        <v>27</v>
      </c>
      <c r="E6601" s="208" t="s">
        <v>314</v>
      </c>
      <c r="F6601" t="s">
        <v>4</v>
      </c>
      <c r="G6601" s="18">
        <v>0</v>
      </c>
      <c r="H6601" t="s">
        <v>16</v>
      </c>
      <c r="I6601" t="s">
        <v>23</v>
      </c>
    </row>
    <row r="6602" spans="1:9" x14ac:dyDescent="0.25">
      <c r="A6602">
        <v>1818</v>
      </c>
      <c r="B6602">
        <f>A6602+1</f>
        <v>1819</v>
      </c>
      <c r="C6602" t="s">
        <v>524</v>
      </c>
      <c r="D6602" t="s">
        <v>27</v>
      </c>
      <c r="E6602" s="208" t="s">
        <v>139</v>
      </c>
      <c r="F6602" t="s">
        <v>4</v>
      </c>
      <c r="G6602" s="18">
        <v>0</v>
      </c>
      <c r="H6602" t="s">
        <v>16</v>
      </c>
      <c r="I6602" t="s">
        <v>23</v>
      </c>
    </row>
    <row r="6603" spans="1:9" x14ac:dyDescent="0.25">
      <c r="A6603">
        <v>1818</v>
      </c>
      <c r="B6603">
        <f>A6603+1</f>
        <v>1819</v>
      </c>
      <c r="C6603" t="s">
        <v>524</v>
      </c>
      <c r="D6603" t="s">
        <v>27</v>
      </c>
      <c r="E6603" s="208" t="s">
        <v>132</v>
      </c>
      <c r="F6603" t="s">
        <v>4</v>
      </c>
      <c r="G6603" s="18">
        <v>0</v>
      </c>
      <c r="H6603" t="s">
        <v>16</v>
      </c>
      <c r="I6603" t="s">
        <v>23</v>
      </c>
    </row>
    <row r="6604" spans="1:9" x14ac:dyDescent="0.25">
      <c r="A6604">
        <v>1818</v>
      </c>
      <c r="B6604">
        <f>A6604+1</f>
        <v>1819</v>
      </c>
      <c r="C6604" t="s">
        <v>524</v>
      </c>
      <c r="D6604" t="s">
        <v>27</v>
      </c>
      <c r="E6604" s="208" t="s">
        <v>130</v>
      </c>
      <c r="F6604" t="s">
        <v>4</v>
      </c>
      <c r="G6604" s="18">
        <v>0</v>
      </c>
      <c r="H6604" t="s">
        <v>16</v>
      </c>
      <c r="I6604" t="s">
        <v>23</v>
      </c>
    </row>
    <row r="6605" spans="1:9" x14ac:dyDescent="0.25">
      <c r="A6605">
        <v>1818</v>
      </c>
      <c r="B6605">
        <f>A6605+1</f>
        <v>1819</v>
      </c>
      <c r="C6605" t="s">
        <v>524</v>
      </c>
      <c r="D6605" t="s">
        <v>27</v>
      </c>
      <c r="E6605" s="208" t="s">
        <v>144</v>
      </c>
      <c r="F6605" t="s">
        <v>4</v>
      </c>
      <c r="G6605" s="18">
        <v>0</v>
      </c>
      <c r="H6605" t="s">
        <v>16</v>
      </c>
      <c r="I6605" t="s">
        <v>23</v>
      </c>
    </row>
    <row r="6606" spans="1:9" x14ac:dyDescent="0.25">
      <c r="A6606">
        <v>1818</v>
      </c>
      <c r="B6606">
        <f>A6606+1</f>
        <v>1819</v>
      </c>
      <c r="C6606" t="s">
        <v>524</v>
      </c>
      <c r="D6606" t="s">
        <v>27</v>
      </c>
      <c r="E6606" s="208" t="s">
        <v>142</v>
      </c>
      <c r="F6606" t="s">
        <v>4</v>
      </c>
      <c r="G6606" s="18">
        <v>40</v>
      </c>
      <c r="H6606" t="s">
        <v>16</v>
      </c>
      <c r="I6606" t="s">
        <v>23</v>
      </c>
    </row>
    <row r="6607" spans="1:9" x14ac:dyDescent="0.25">
      <c r="A6607">
        <v>1818</v>
      </c>
      <c r="B6607">
        <f>A6607+1</f>
        <v>1819</v>
      </c>
      <c r="C6607" t="s">
        <v>524</v>
      </c>
      <c r="D6607" t="s">
        <v>27</v>
      </c>
      <c r="E6607" s="208" t="s">
        <v>124</v>
      </c>
      <c r="F6607" t="s">
        <v>4</v>
      </c>
      <c r="G6607" s="18">
        <v>816</v>
      </c>
      <c r="H6607" t="s">
        <v>16</v>
      </c>
      <c r="I6607" t="s">
        <v>23</v>
      </c>
    </row>
    <row r="6608" spans="1:9" x14ac:dyDescent="0.25">
      <c r="A6608">
        <v>1818</v>
      </c>
      <c r="B6608">
        <f>A6608+1</f>
        <v>1819</v>
      </c>
      <c r="C6608" t="s">
        <v>524</v>
      </c>
      <c r="D6608" t="s">
        <v>26</v>
      </c>
      <c r="E6608" s="208" t="s">
        <v>62</v>
      </c>
      <c r="F6608" t="s">
        <v>4</v>
      </c>
      <c r="G6608" s="18">
        <v>10029</v>
      </c>
      <c r="H6608" t="s">
        <v>23</v>
      </c>
      <c r="I6608" t="s">
        <v>16</v>
      </c>
    </row>
    <row r="6609" spans="1:9" x14ac:dyDescent="0.25">
      <c r="A6609">
        <v>1818</v>
      </c>
      <c r="B6609">
        <f>A6609+1</f>
        <v>1819</v>
      </c>
      <c r="C6609" t="s">
        <v>524</v>
      </c>
      <c r="D6609" t="s">
        <v>26</v>
      </c>
      <c r="E6609" s="208" t="s">
        <v>36</v>
      </c>
      <c r="F6609" t="s">
        <v>4</v>
      </c>
      <c r="G6609" s="18">
        <v>443</v>
      </c>
      <c r="H6609" t="s">
        <v>23</v>
      </c>
      <c r="I6609" t="s">
        <v>16</v>
      </c>
    </row>
    <row r="6610" spans="1:9" x14ac:dyDescent="0.25">
      <c r="A6610">
        <v>1818</v>
      </c>
      <c r="B6610">
        <f>A6610+1</f>
        <v>1819</v>
      </c>
      <c r="C6610" t="s">
        <v>524</v>
      </c>
      <c r="D6610" t="s">
        <v>26</v>
      </c>
      <c r="E6610" s="208" t="s">
        <v>35</v>
      </c>
      <c r="F6610" t="s">
        <v>4</v>
      </c>
      <c r="G6610" s="18">
        <v>0</v>
      </c>
      <c r="H6610" t="s">
        <v>23</v>
      </c>
      <c r="I6610" t="s">
        <v>16</v>
      </c>
    </row>
    <row r="6611" spans="1:9" x14ac:dyDescent="0.25">
      <c r="A6611">
        <v>1818</v>
      </c>
      <c r="B6611">
        <f>A6611+1</f>
        <v>1819</v>
      </c>
      <c r="C6611" t="s">
        <v>524</v>
      </c>
      <c r="D6611" t="s">
        <v>26</v>
      </c>
      <c r="E6611" s="208" t="s">
        <v>39</v>
      </c>
      <c r="F6611" t="s">
        <v>4</v>
      </c>
      <c r="G6611" s="18">
        <v>720</v>
      </c>
      <c r="H6611" t="s">
        <v>23</v>
      </c>
      <c r="I6611" t="s">
        <v>16</v>
      </c>
    </row>
    <row r="6612" spans="1:9" x14ac:dyDescent="0.25">
      <c r="A6612">
        <v>1818</v>
      </c>
      <c r="B6612">
        <f>A6612+1</f>
        <v>1819</v>
      </c>
      <c r="C6612" t="s">
        <v>524</v>
      </c>
      <c r="D6612" t="s">
        <v>26</v>
      </c>
      <c r="E6612" s="208" t="s">
        <v>99</v>
      </c>
      <c r="F6612" t="s">
        <v>4</v>
      </c>
      <c r="G6612" s="18">
        <v>205</v>
      </c>
      <c r="H6612" t="s">
        <v>23</v>
      </c>
      <c r="I6612" t="s">
        <v>16</v>
      </c>
    </row>
    <row r="6613" spans="1:9" x14ac:dyDescent="0.25">
      <c r="A6613">
        <v>1818</v>
      </c>
      <c r="B6613">
        <f>A6613+1</f>
        <v>1819</v>
      </c>
      <c r="C6613" t="s">
        <v>524</v>
      </c>
      <c r="D6613" t="s">
        <v>26</v>
      </c>
      <c r="E6613" s="208" t="s">
        <v>95</v>
      </c>
      <c r="F6613" t="s">
        <v>4</v>
      </c>
      <c r="G6613" s="18">
        <v>0</v>
      </c>
      <c r="H6613" t="s">
        <v>23</v>
      </c>
      <c r="I6613" t="s">
        <v>16</v>
      </c>
    </row>
    <row r="6614" spans="1:9" x14ac:dyDescent="0.25">
      <c r="A6614">
        <v>1818</v>
      </c>
      <c r="B6614">
        <f>A6614+1</f>
        <v>1819</v>
      </c>
      <c r="C6614" t="s">
        <v>524</v>
      </c>
      <c r="D6614" t="s">
        <v>26</v>
      </c>
      <c r="E6614" s="208" t="s">
        <v>94</v>
      </c>
      <c r="F6614" t="s">
        <v>4</v>
      </c>
      <c r="G6614" s="18">
        <v>0</v>
      </c>
      <c r="H6614" t="s">
        <v>23</v>
      </c>
      <c r="I6614" t="s">
        <v>16</v>
      </c>
    </row>
    <row r="6615" spans="1:9" x14ac:dyDescent="0.25">
      <c r="A6615">
        <v>1818</v>
      </c>
      <c r="B6615">
        <f>A6615+1</f>
        <v>1819</v>
      </c>
      <c r="C6615" t="s">
        <v>524</v>
      </c>
      <c r="D6615" t="s">
        <v>26</v>
      </c>
      <c r="E6615" s="208" t="s">
        <v>386</v>
      </c>
      <c r="F6615" t="s">
        <v>4</v>
      </c>
      <c r="G6615" s="18">
        <v>120</v>
      </c>
      <c r="H6615" t="s">
        <v>23</v>
      </c>
      <c r="I6615" t="s">
        <v>16</v>
      </c>
    </row>
    <row r="6616" spans="1:9" x14ac:dyDescent="0.25">
      <c r="A6616">
        <v>1818</v>
      </c>
      <c r="B6616">
        <f>A6616+1</f>
        <v>1819</v>
      </c>
      <c r="C6616" t="s">
        <v>524</v>
      </c>
      <c r="D6616" t="s">
        <v>26</v>
      </c>
      <c r="E6616" s="208" t="s">
        <v>387</v>
      </c>
      <c r="F6616" t="s">
        <v>4</v>
      </c>
      <c r="G6616" s="18">
        <v>60</v>
      </c>
      <c r="H6616" t="s">
        <v>23</v>
      </c>
      <c r="I6616" t="s">
        <v>16</v>
      </c>
    </row>
    <row r="6617" spans="1:9" x14ac:dyDescent="0.25">
      <c r="A6617">
        <v>1818</v>
      </c>
      <c r="B6617">
        <f>A6617+1</f>
        <v>1819</v>
      </c>
      <c r="C6617" t="s">
        <v>524</v>
      </c>
      <c r="D6617" t="s">
        <v>26</v>
      </c>
      <c r="E6617" s="208" t="s">
        <v>388</v>
      </c>
      <c r="F6617" t="s">
        <v>4</v>
      </c>
      <c r="G6617" s="18">
        <v>853</v>
      </c>
      <c r="H6617" t="s">
        <v>23</v>
      </c>
      <c r="I6617" t="s">
        <v>16</v>
      </c>
    </row>
    <row r="6618" spans="1:9" x14ac:dyDescent="0.25">
      <c r="A6618">
        <v>1818</v>
      </c>
      <c r="B6618">
        <f>A6618+1</f>
        <v>1819</v>
      </c>
      <c r="C6618" t="s">
        <v>524</v>
      </c>
      <c r="D6618" t="s">
        <v>26</v>
      </c>
      <c r="E6618" s="208" t="s">
        <v>383</v>
      </c>
      <c r="F6618" t="s">
        <v>4</v>
      </c>
      <c r="G6618" s="18">
        <v>0</v>
      </c>
      <c r="H6618" t="s">
        <v>23</v>
      </c>
      <c r="I6618" t="s">
        <v>16</v>
      </c>
    </row>
    <row r="6619" spans="1:9" x14ac:dyDescent="0.25">
      <c r="A6619">
        <v>1818</v>
      </c>
      <c r="B6619">
        <f>A6619+1</f>
        <v>1819</v>
      </c>
      <c r="C6619" t="s">
        <v>524</v>
      </c>
      <c r="D6619" t="s">
        <v>26</v>
      </c>
      <c r="E6619" s="208" t="s">
        <v>384</v>
      </c>
      <c r="F6619" t="s">
        <v>4</v>
      </c>
      <c r="G6619" s="18">
        <v>25</v>
      </c>
      <c r="H6619" t="s">
        <v>23</v>
      </c>
      <c r="I6619" t="s">
        <v>16</v>
      </c>
    </row>
    <row r="6620" spans="1:9" x14ac:dyDescent="0.25">
      <c r="A6620">
        <v>1818</v>
      </c>
      <c r="B6620">
        <f>A6620+1</f>
        <v>1819</v>
      </c>
      <c r="C6620" t="s">
        <v>524</v>
      </c>
      <c r="D6620" t="s">
        <v>26</v>
      </c>
      <c r="E6620" s="208" t="s">
        <v>107</v>
      </c>
      <c r="F6620" t="s">
        <v>4</v>
      </c>
      <c r="G6620" s="18">
        <v>470368</v>
      </c>
      <c r="H6620" t="s">
        <v>23</v>
      </c>
      <c r="I6620" t="s">
        <v>16</v>
      </c>
    </row>
    <row r="6621" spans="1:9" x14ac:dyDescent="0.25">
      <c r="A6621">
        <v>1818</v>
      </c>
      <c r="B6621">
        <f>A6621+1</f>
        <v>1819</v>
      </c>
      <c r="C6621" t="s">
        <v>524</v>
      </c>
      <c r="D6621" t="s">
        <v>26</v>
      </c>
      <c r="E6621" s="208" t="s">
        <v>101</v>
      </c>
      <c r="F6621" t="s">
        <v>4</v>
      </c>
      <c r="G6621" s="18">
        <v>1175985</v>
      </c>
      <c r="H6621" t="s">
        <v>23</v>
      </c>
      <c r="I6621" t="s">
        <v>16</v>
      </c>
    </row>
    <row r="6622" spans="1:9" x14ac:dyDescent="0.25">
      <c r="A6622">
        <v>1818</v>
      </c>
      <c r="B6622">
        <f>A6622+1</f>
        <v>1819</v>
      </c>
      <c r="C6622" t="s">
        <v>524</v>
      </c>
      <c r="D6622" t="s">
        <v>26</v>
      </c>
      <c r="E6622" s="208" t="s">
        <v>75</v>
      </c>
      <c r="F6622" t="s">
        <v>4</v>
      </c>
      <c r="G6622" s="18">
        <v>154500</v>
      </c>
      <c r="H6622" t="s">
        <v>23</v>
      </c>
      <c r="I6622" t="s">
        <v>16</v>
      </c>
    </row>
    <row r="6623" spans="1:9" x14ac:dyDescent="0.25">
      <c r="A6623">
        <v>1818</v>
      </c>
      <c r="B6623">
        <f>A6623+1</f>
        <v>1819</v>
      </c>
      <c r="C6623" t="s">
        <v>524</v>
      </c>
      <c r="D6623" t="s">
        <v>26</v>
      </c>
      <c r="E6623" s="208" t="s">
        <v>330</v>
      </c>
      <c r="F6623" t="s">
        <v>4</v>
      </c>
      <c r="G6623" s="18">
        <v>2</v>
      </c>
      <c r="H6623" t="s">
        <v>23</v>
      </c>
      <c r="I6623" t="s">
        <v>16</v>
      </c>
    </row>
    <row r="6624" spans="1:9" x14ac:dyDescent="0.25">
      <c r="A6624">
        <v>1818</v>
      </c>
      <c r="B6624">
        <f>A6624+1</f>
        <v>1819</v>
      </c>
      <c r="C6624" t="s">
        <v>524</v>
      </c>
      <c r="D6624" t="s">
        <v>26</v>
      </c>
      <c r="E6624" s="208" t="s">
        <v>331</v>
      </c>
      <c r="F6624" t="s">
        <v>4</v>
      </c>
      <c r="G6624" s="18">
        <v>0</v>
      </c>
      <c r="H6624" t="s">
        <v>23</v>
      </c>
      <c r="I6624" t="s">
        <v>16</v>
      </c>
    </row>
    <row r="6625" spans="1:9" x14ac:dyDescent="0.25">
      <c r="A6625">
        <v>1818</v>
      </c>
      <c r="B6625">
        <f>A6625+1</f>
        <v>1819</v>
      </c>
      <c r="C6625" t="s">
        <v>524</v>
      </c>
      <c r="D6625" t="s">
        <v>26</v>
      </c>
      <c r="E6625" s="208" t="s">
        <v>332</v>
      </c>
      <c r="F6625" t="s">
        <v>4</v>
      </c>
      <c r="G6625" s="18">
        <v>0</v>
      </c>
      <c r="H6625" t="s">
        <v>23</v>
      </c>
      <c r="I6625" t="s">
        <v>16</v>
      </c>
    </row>
    <row r="6626" spans="1:9" x14ac:dyDescent="0.25">
      <c r="A6626">
        <v>1818</v>
      </c>
      <c r="B6626">
        <f>A6626+1</f>
        <v>1819</v>
      </c>
      <c r="C6626" t="s">
        <v>524</v>
      </c>
      <c r="D6626" t="s">
        <v>26</v>
      </c>
      <c r="E6626" s="208" t="s">
        <v>333</v>
      </c>
      <c r="F6626" t="s">
        <v>4</v>
      </c>
      <c r="G6626" s="18">
        <v>0</v>
      </c>
      <c r="H6626" t="s">
        <v>23</v>
      </c>
      <c r="I6626" t="s">
        <v>16</v>
      </c>
    </row>
    <row r="6627" spans="1:9" x14ac:dyDescent="0.25">
      <c r="A6627">
        <v>1818</v>
      </c>
      <c r="B6627">
        <f>A6627+1</f>
        <v>1819</v>
      </c>
      <c r="C6627" t="s">
        <v>524</v>
      </c>
      <c r="D6627" t="s">
        <v>27</v>
      </c>
      <c r="E6627" s="208" t="s">
        <v>155</v>
      </c>
      <c r="F6627" t="s">
        <v>7</v>
      </c>
      <c r="G6627" s="18">
        <v>29224</v>
      </c>
      <c r="H6627" t="s">
        <v>16</v>
      </c>
      <c r="I6627" s="151" t="s">
        <v>562</v>
      </c>
    </row>
    <row r="6628" spans="1:9" x14ac:dyDescent="0.25">
      <c r="A6628">
        <v>1818</v>
      </c>
      <c r="B6628">
        <f>A6628+1</f>
        <v>1819</v>
      </c>
      <c r="C6628" t="s">
        <v>524</v>
      </c>
      <c r="D6628" t="s">
        <v>27</v>
      </c>
      <c r="E6628" s="208" t="s">
        <v>156</v>
      </c>
      <c r="F6628" t="s">
        <v>7</v>
      </c>
      <c r="G6628" s="18">
        <v>2458</v>
      </c>
      <c r="H6628" t="s">
        <v>16</v>
      </c>
      <c r="I6628" s="151" t="s">
        <v>562</v>
      </c>
    </row>
    <row r="6629" spans="1:9" x14ac:dyDescent="0.25">
      <c r="A6629">
        <v>1818</v>
      </c>
      <c r="B6629">
        <f>A6629+1</f>
        <v>1819</v>
      </c>
      <c r="C6629" t="s">
        <v>524</v>
      </c>
      <c r="D6629" t="s">
        <v>27</v>
      </c>
      <c r="E6629" s="208" t="s">
        <v>154</v>
      </c>
      <c r="F6629" t="s">
        <v>7</v>
      </c>
      <c r="G6629" s="18">
        <v>2091</v>
      </c>
      <c r="H6629" t="s">
        <v>16</v>
      </c>
      <c r="I6629" s="151" t="s">
        <v>562</v>
      </c>
    </row>
    <row r="6630" spans="1:9" x14ac:dyDescent="0.25">
      <c r="A6630">
        <v>1818</v>
      </c>
      <c r="B6630">
        <f>A6630+1</f>
        <v>1819</v>
      </c>
      <c r="C6630" t="s">
        <v>524</v>
      </c>
      <c r="D6630" t="s">
        <v>27</v>
      </c>
      <c r="E6630" s="208" t="s">
        <v>150</v>
      </c>
      <c r="F6630" t="s">
        <v>7</v>
      </c>
      <c r="G6630" s="18">
        <v>10657</v>
      </c>
      <c r="H6630" t="s">
        <v>16</v>
      </c>
      <c r="I6630" s="151" t="s">
        <v>562</v>
      </c>
    </row>
    <row r="6631" spans="1:9" x14ac:dyDescent="0.25">
      <c r="A6631">
        <v>1818</v>
      </c>
      <c r="B6631">
        <f>A6631+1</f>
        <v>1819</v>
      </c>
      <c r="C6631" t="s">
        <v>524</v>
      </c>
      <c r="D6631" t="s">
        <v>27</v>
      </c>
      <c r="E6631" s="208" t="s">
        <v>148</v>
      </c>
      <c r="F6631" t="s">
        <v>7</v>
      </c>
      <c r="G6631" s="18">
        <v>1007</v>
      </c>
      <c r="H6631" t="s">
        <v>16</v>
      </c>
      <c r="I6631" s="151" t="s">
        <v>562</v>
      </c>
    </row>
    <row r="6632" spans="1:9" x14ac:dyDescent="0.25">
      <c r="A6632">
        <v>1818</v>
      </c>
      <c r="B6632">
        <f>A6632+1</f>
        <v>1819</v>
      </c>
      <c r="C6632" t="s">
        <v>524</v>
      </c>
      <c r="D6632" t="s">
        <v>27</v>
      </c>
      <c r="E6632" s="208" t="s">
        <v>147</v>
      </c>
      <c r="F6632" t="s">
        <v>7</v>
      </c>
      <c r="G6632" s="18">
        <v>602</v>
      </c>
      <c r="H6632" t="s">
        <v>16</v>
      </c>
      <c r="I6632" s="151" t="s">
        <v>562</v>
      </c>
    </row>
    <row r="6633" spans="1:9" x14ac:dyDescent="0.25">
      <c r="A6633">
        <v>1818</v>
      </c>
      <c r="B6633">
        <f>A6633+1</f>
        <v>1819</v>
      </c>
      <c r="C6633" t="s">
        <v>524</v>
      </c>
      <c r="D6633" t="s">
        <v>27</v>
      </c>
      <c r="E6633" s="208" t="s">
        <v>314</v>
      </c>
      <c r="F6633" t="s">
        <v>7</v>
      </c>
      <c r="G6633" s="18">
        <v>1558</v>
      </c>
      <c r="H6633" t="s">
        <v>16</v>
      </c>
      <c r="I6633" s="151" t="s">
        <v>562</v>
      </c>
    </row>
    <row r="6634" spans="1:9" x14ac:dyDescent="0.25">
      <c r="A6634">
        <v>1818</v>
      </c>
      <c r="B6634">
        <f>A6634+1</f>
        <v>1819</v>
      </c>
      <c r="C6634" t="s">
        <v>524</v>
      </c>
      <c r="D6634" t="s">
        <v>27</v>
      </c>
      <c r="E6634" s="208" t="s">
        <v>139</v>
      </c>
      <c r="F6634" t="s">
        <v>7</v>
      </c>
      <c r="G6634" s="18">
        <v>7</v>
      </c>
      <c r="H6634" t="s">
        <v>16</v>
      </c>
      <c r="I6634" s="151" t="s">
        <v>562</v>
      </c>
    </row>
    <row r="6635" spans="1:9" x14ac:dyDescent="0.25">
      <c r="A6635">
        <v>1818</v>
      </c>
      <c r="B6635">
        <f>A6635+1</f>
        <v>1819</v>
      </c>
      <c r="C6635" t="s">
        <v>524</v>
      </c>
      <c r="D6635" t="s">
        <v>27</v>
      </c>
      <c r="E6635" s="208" t="s">
        <v>132</v>
      </c>
      <c r="F6635" t="s">
        <v>7</v>
      </c>
      <c r="G6635" s="18">
        <v>936</v>
      </c>
      <c r="H6635" t="s">
        <v>16</v>
      </c>
      <c r="I6635" s="151" t="s">
        <v>562</v>
      </c>
    </row>
    <row r="6636" spans="1:9" x14ac:dyDescent="0.25">
      <c r="A6636">
        <v>1818</v>
      </c>
      <c r="B6636">
        <f>A6636+1</f>
        <v>1819</v>
      </c>
      <c r="C6636" t="s">
        <v>524</v>
      </c>
      <c r="D6636" t="s">
        <v>27</v>
      </c>
      <c r="E6636" s="208" t="s">
        <v>130</v>
      </c>
      <c r="F6636" t="s">
        <v>7</v>
      </c>
      <c r="G6636" s="18">
        <v>189</v>
      </c>
      <c r="H6636" t="s">
        <v>16</v>
      </c>
      <c r="I6636" s="151" t="s">
        <v>562</v>
      </c>
    </row>
    <row r="6637" spans="1:9" x14ac:dyDescent="0.25">
      <c r="A6637">
        <v>1818</v>
      </c>
      <c r="B6637">
        <f>A6637+1</f>
        <v>1819</v>
      </c>
      <c r="C6637" t="s">
        <v>524</v>
      </c>
      <c r="D6637" t="s">
        <v>27</v>
      </c>
      <c r="E6637" s="208" t="s">
        <v>144</v>
      </c>
      <c r="F6637" t="s">
        <v>7</v>
      </c>
      <c r="G6637" s="18">
        <v>548</v>
      </c>
      <c r="H6637" t="s">
        <v>16</v>
      </c>
      <c r="I6637" s="151" t="s">
        <v>562</v>
      </c>
    </row>
    <row r="6638" spans="1:9" x14ac:dyDescent="0.25">
      <c r="A6638">
        <v>1818</v>
      </c>
      <c r="B6638">
        <f>A6638+1</f>
        <v>1819</v>
      </c>
      <c r="C6638" t="s">
        <v>524</v>
      </c>
      <c r="D6638" t="s">
        <v>27</v>
      </c>
      <c r="E6638" s="208" t="s">
        <v>142</v>
      </c>
      <c r="F6638" t="s">
        <v>7</v>
      </c>
      <c r="G6638" s="18">
        <v>3620</v>
      </c>
      <c r="H6638" t="s">
        <v>16</v>
      </c>
      <c r="I6638" s="151" t="s">
        <v>562</v>
      </c>
    </row>
    <row r="6639" spans="1:9" x14ac:dyDescent="0.25">
      <c r="A6639">
        <v>1818</v>
      </c>
      <c r="B6639">
        <f>A6639+1</f>
        <v>1819</v>
      </c>
      <c r="C6639" t="s">
        <v>524</v>
      </c>
      <c r="D6639" t="s">
        <v>27</v>
      </c>
      <c r="E6639" s="208" t="s">
        <v>124</v>
      </c>
      <c r="F6639" t="s">
        <v>7</v>
      </c>
      <c r="G6639" s="18">
        <v>7150414</v>
      </c>
      <c r="H6639" t="s">
        <v>16</v>
      </c>
      <c r="I6639" s="151" t="s">
        <v>562</v>
      </c>
    </row>
    <row r="6640" spans="1:9" x14ac:dyDescent="0.25">
      <c r="A6640">
        <v>1818</v>
      </c>
      <c r="B6640">
        <f>A6640+1</f>
        <v>1819</v>
      </c>
      <c r="C6640" t="s">
        <v>524</v>
      </c>
      <c r="D6640" t="s">
        <v>26</v>
      </c>
      <c r="E6640" s="208" t="s">
        <v>62</v>
      </c>
      <c r="F6640" t="s">
        <v>7</v>
      </c>
      <c r="G6640" s="18">
        <v>54922</v>
      </c>
      <c r="H6640" s="151" t="s">
        <v>563</v>
      </c>
      <c r="I6640" t="s">
        <v>16</v>
      </c>
    </row>
    <row r="6641" spans="1:9" x14ac:dyDescent="0.25">
      <c r="A6641">
        <v>1818</v>
      </c>
      <c r="B6641">
        <f>A6641+1</f>
        <v>1819</v>
      </c>
      <c r="C6641" t="s">
        <v>524</v>
      </c>
      <c r="D6641" t="s">
        <v>26</v>
      </c>
      <c r="E6641" s="208" t="s">
        <v>36</v>
      </c>
      <c r="F6641" t="s">
        <v>7</v>
      </c>
      <c r="G6641" s="18">
        <v>3298</v>
      </c>
      <c r="H6641" s="151" t="s">
        <v>563</v>
      </c>
      <c r="I6641" t="s">
        <v>16</v>
      </c>
    </row>
    <row r="6642" spans="1:9" x14ac:dyDescent="0.25">
      <c r="A6642">
        <v>1818</v>
      </c>
      <c r="B6642">
        <f>A6642+1</f>
        <v>1819</v>
      </c>
      <c r="C6642" t="s">
        <v>524</v>
      </c>
      <c r="D6642" t="s">
        <v>26</v>
      </c>
      <c r="E6642" s="208" t="s">
        <v>35</v>
      </c>
      <c r="F6642" t="s">
        <v>7</v>
      </c>
      <c r="G6642" s="18">
        <v>4647</v>
      </c>
      <c r="H6642" s="151" t="s">
        <v>563</v>
      </c>
      <c r="I6642" t="s">
        <v>16</v>
      </c>
    </row>
    <row r="6643" spans="1:9" x14ac:dyDescent="0.25">
      <c r="A6643">
        <v>1818</v>
      </c>
      <c r="B6643">
        <f>A6643+1</f>
        <v>1819</v>
      </c>
      <c r="C6643" t="s">
        <v>524</v>
      </c>
      <c r="D6643" t="s">
        <v>26</v>
      </c>
      <c r="E6643" s="208" t="s">
        <v>39</v>
      </c>
      <c r="F6643" t="s">
        <v>7</v>
      </c>
      <c r="G6643" s="18">
        <v>2166</v>
      </c>
      <c r="H6643" s="151" t="s">
        <v>563</v>
      </c>
      <c r="I6643" t="s">
        <v>16</v>
      </c>
    </row>
    <row r="6644" spans="1:9" x14ac:dyDescent="0.25">
      <c r="A6644">
        <v>1818</v>
      </c>
      <c r="B6644">
        <f>A6644+1</f>
        <v>1819</v>
      </c>
      <c r="C6644" t="s">
        <v>524</v>
      </c>
      <c r="D6644" t="s">
        <v>26</v>
      </c>
      <c r="E6644" s="208" t="s">
        <v>99</v>
      </c>
      <c r="F6644" t="s">
        <v>7</v>
      </c>
      <c r="G6644" s="18">
        <v>1045</v>
      </c>
      <c r="H6644" s="151" t="s">
        <v>563</v>
      </c>
      <c r="I6644" t="s">
        <v>16</v>
      </c>
    </row>
    <row r="6645" spans="1:9" x14ac:dyDescent="0.25">
      <c r="A6645">
        <v>1818</v>
      </c>
      <c r="B6645">
        <f>A6645+1</f>
        <v>1819</v>
      </c>
      <c r="C6645" t="s">
        <v>524</v>
      </c>
      <c r="D6645" t="s">
        <v>26</v>
      </c>
      <c r="E6645" s="208" t="s">
        <v>95</v>
      </c>
      <c r="F6645" t="s">
        <v>7</v>
      </c>
      <c r="G6645" s="18">
        <v>460</v>
      </c>
      <c r="H6645" s="151" t="s">
        <v>563</v>
      </c>
      <c r="I6645" t="s">
        <v>16</v>
      </c>
    </row>
    <row r="6646" spans="1:9" x14ac:dyDescent="0.25">
      <c r="A6646">
        <v>1818</v>
      </c>
      <c r="B6646">
        <f>A6646+1</f>
        <v>1819</v>
      </c>
      <c r="C6646" t="s">
        <v>524</v>
      </c>
      <c r="D6646" t="s">
        <v>26</v>
      </c>
      <c r="E6646" s="208" t="s">
        <v>94</v>
      </c>
      <c r="F6646" t="s">
        <v>7</v>
      </c>
      <c r="G6646" s="18">
        <v>9283</v>
      </c>
      <c r="H6646" s="151" t="s">
        <v>563</v>
      </c>
      <c r="I6646" t="s">
        <v>16</v>
      </c>
    </row>
    <row r="6647" spans="1:9" x14ac:dyDescent="0.25">
      <c r="A6647">
        <v>1818</v>
      </c>
      <c r="B6647">
        <f>A6647+1</f>
        <v>1819</v>
      </c>
      <c r="C6647" t="s">
        <v>524</v>
      </c>
      <c r="D6647" t="s">
        <v>26</v>
      </c>
      <c r="E6647" s="208" t="s">
        <v>386</v>
      </c>
      <c r="F6647" t="s">
        <v>7</v>
      </c>
      <c r="G6647" s="18">
        <v>13389</v>
      </c>
      <c r="H6647" s="151" t="s">
        <v>563</v>
      </c>
      <c r="I6647" t="s">
        <v>16</v>
      </c>
    </row>
    <row r="6648" spans="1:9" x14ac:dyDescent="0.25">
      <c r="A6648">
        <v>1818</v>
      </c>
      <c r="B6648">
        <f>A6648+1</f>
        <v>1819</v>
      </c>
      <c r="C6648" t="s">
        <v>524</v>
      </c>
      <c r="D6648" t="s">
        <v>26</v>
      </c>
      <c r="E6648" s="208" t="s">
        <v>387</v>
      </c>
      <c r="F6648" t="s">
        <v>7</v>
      </c>
      <c r="G6648" s="18">
        <v>3236</v>
      </c>
      <c r="H6648" s="151" t="s">
        <v>563</v>
      </c>
      <c r="I6648" t="s">
        <v>16</v>
      </c>
    </row>
    <row r="6649" spans="1:9" x14ac:dyDescent="0.25">
      <c r="A6649">
        <v>1818</v>
      </c>
      <c r="B6649">
        <f>A6649+1</f>
        <v>1819</v>
      </c>
      <c r="C6649" t="s">
        <v>524</v>
      </c>
      <c r="D6649" t="s">
        <v>26</v>
      </c>
      <c r="E6649" s="208" t="s">
        <v>388</v>
      </c>
      <c r="F6649" t="s">
        <v>7</v>
      </c>
      <c r="G6649" s="18">
        <v>10002</v>
      </c>
      <c r="H6649" s="151" t="s">
        <v>563</v>
      </c>
      <c r="I6649" t="s">
        <v>16</v>
      </c>
    </row>
    <row r="6650" spans="1:9" x14ac:dyDescent="0.25">
      <c r="A6650">
        <v>1818</v>
      </c>
      <c r="B6650">
        <f>A6650+1</f>
        <v>1819</v>
      </c>
      <c r="C6650" t="s">
        <v>524</v>
      </c>
      <c r="D6650" t="s">
        <v>26</v>
      </c>
      <c r="E6650" s="208" t="s">
        <v>383</v>
      </c>
      <c r="F6650" t="s">
        <v>7</v>
      </c>
      <c r="G6650" s="18">
        <v>519</v>
      </c>
      <c r="H6650" s="151" t="s">
        <v>563</v>
      </c>
      <c r="I6650" t="s">
        <v>16</v>
      </c>
    </row>
    <row r="6651" spans="1:9" x14ac:dyDescent="0.25">
      <c r="A6651">
        <v>1818</v>
      </c>
      <c r="B6651">
        <f>A6651+1</f>
        <v>1819</v>
      </c>
      <c r="C6651" t="s">
        <v>524</v>
      </c>
      <c r="D6651" t="s">
        <v>26</v>
      </c>
      <c r="E6651" s="208" t="s">
        <v>384</v>
      </c>
      <c r="F6651" t="s">
        <v>7</v>
      </c>
      <c r="G6651" s="18">
        <v>1343</v>
      </c>
      <c r="H6651" s="151" t="s">
        <v>563</v>
      </c>
      <c r="I6651" t="s">
        <v>16</v>
      </c>
    </row>
    <row r="6652" spans="1:9" x14ac:dyDescent="0.25">
      <c r="A6652">
        <v>1818</v>
      </c>
      <c r="B6652">
        <f>A6652+1</f>
        <v>1819</v>
      </c>
      <c r="C6652" t="s">
        <v>524</v>
      </c>
      <c r="D6652" t="s">
        <v>26</v>
      </c>
      <c r="E6652" s="208" t="s">
        <v>107</v>
      </c>
      <c r="F6652" t="s">
        <v>7</v>
      </c>
      <c r="G6652" s="18">
        <v>2313270</v>
      </c>
      <c r="H6652" s="151" t="s">
        <v>563</v>
      </c>
      <c r="I6652" t="s">
        <v>16</v>
      </c>
    </row>
    <row r="6653" spans="1:9" x14ac:dyDescent="0.25">
      <c r="A6653">
        <v>1818</v>
      </c>
      <c r="B6653">
        <f>A6653+1</f>
        <v>1819</v>
      </c>
      <c r="C6653" t="s">
        <v>524</v>
      </c>
      <c r="D6653" t="s">
        <v>26</v>
      </c>
      <c r="E6653" s="208" t="s">
        <v>101</v>
      </c>
      <c r="F6653" t="s">
        <v>7</v>
      </c>
      <c r="G6653" s="18">
        <v>4602749</v>
      </c>
      <c r="H6653" s="151" t="s">
        <v>563</v>
      </c>
      <c r="I6653" t="s">
        <v>16</v>
      </c>
    </row>
    <row r="6654" spans="1:9" x14ac:dyDescent="0.25">
      <c r="A6654">
        <v>1818</v>
      </c>
      <c r="B6654">
        <f>A6654+1</f>
        <v>1819</v>
      </c>
      <c r="C6654" t="s">
        <v>524</v>
      </c>
      <c r="D6654" t="s">
        <v>26</v>
      </c>
      <c r="E6654" s="208" t="s">
        <v>75</v>
      </c>
      <c r="F6654" t="s">
        <v>7</v>
      </c>
      <c r="G6654" s="18">
        <v>2858569</v>
      </c>
      <c r="H6654" s="151" t="s">
        <v>563</v>
      </c>
      <c r="I6654" t="s">
        <v>16</v>
      </c>
    </row>
    <row r="6655" spans="1:9" x14ac:dyDescent="0.25">
      <c r="A6655">
        <v>1818</v>
      </c>
      <c r="B6655">
        <f>A6655+1</f>
        <v>1819</v>
      </c>
      <c r="C6655" t="s">
        <v>524</v>
      </c>
      <c r="D6655" t="s">
        <v>26</v>
      </c>
      <c r="E6655" s="208" t="s">
        <v>330</v>
      </c>
      <c r="F6655" t="s">
        <v>7</v>
      </c>
      <c r="G6655" s="18">
        <v>1318</v>
      </c>
      <c r="H6655" s="151" t="s">
        <v>563</v>
      </c>
      <c r="I6655" t="s">
        <v>16</v>
      </c>
    </row>
    <row r="6656" spans="1:9" x14ac:dyDescent="0.25">
      <c r="A6656">
        <v>1818</v>
      </c>
      <c r="B6656">
        <f>A6656+1</f>
        <v>1819</v>
      </c>
      <c r="C6656" t="s">
        <v>524</v>
      </c>
      <c r="D6656" t="s">
        <v>26</v>
      </c>
      <c r="E6656" s="208" t="s">
        <v>331</v>
      </c>
      <c r="F6656" t="s">
        <v>7</v>
      </c>
      <c r="G6656" s="18">
        <v>2208</v>
      </c>
      <c r="H6656" s="151" t="s">
        <v>563</v>
      </c>
      <c r="I6656" t="s">
        <v>16</v>
      </c>
    </row>
    <row r="6657" spans="1:9" x14ac:dyDescent="0.25">
      <c r="A6657">
        <v>1818</v>
      </c>
      <c r="B6657">
        <f>A6657+1</f>
        <v>1819</v>
      </c>
      <c r="C6657" t="s">
        <v>524</v>
      </c>
      <c r="D6657" t="s">
        <v>26</v>
      </c>
      <c r="E6657" s="208" t="s">
        <v>332</v>
      </c>
      <c r="F6657" t="s">
        <v>7</v>
      </c>
      <c r="G6657" s="18">
        <v>1018</v>
      </c>
      <c r="H6657" s="151" t="s">
        <v>563</v>
      </c>
      <c r="I6657" t="s">
        <v>16</v>
      </c>
    </row>
    <row r="6658" spans="1:9" x14ac:dyDescent="0.25">
      <c r="A6658">
        <v>1818</v>
      </c>
      <c r="B6658">
        <f>A6658+1</f>
        <v>1819</v>
      </c>
      <c r="C6658" t="s">
        <v>524</v>
      </c>
      <c r="D6658" t="s">
        <v>26</v>
      </c>
      <c r="E6658" s="208" t="s">
        <v>333</v>
      </c>
      <c r="F6658" t="s">
        <v>7</v>
      </c>
      <c r="G6658" s="18">
        <v>1248</v>
      </c>
      <c r="H6658" s="151" t="s">
        <v>563</v>
      </c>
      <c r="I6658" t="s">
        <v>16</v>
      </c>
    </row>
    <row r="6659" spans="1:9" x14ac:dyDescent="0.25">
      <c r="A6659">
        <v>1818</v>
      </c>
      <c r="B6659">
        <f>A6659+1</f>
        <v>1819</v>
      </c>
      <c r="C6659" t="s">
        <v>524</v>
      </c>
      <c r="D6659" t="s">
        <v>27</v>
      </c>
      <c r="E6659" s="208" t="s">
        <v>155</v>
      </c>
      <c r="F6659" t="s">
        <v>10</v>
      </c>
      <c r="G6659" s="18">
        <v>735</v>
      </c>
      <c r="H6659" t="s">
        <v>17</v>
      </c>
      <c r="I6659" t="s">
        <v>24</v>
      </c>
    </row>
    <row r="6660" spans="1:9" x14ac:dyDescent="0.25">
      <c r="A6660">
        <v>1818</v>
      </c>
      <c r="B6660">
        <f>A6660+1</f>
        <v>1819</v>
      </c>
      <c r="C6660" t="s">
        <v>524</v>
      </c>
      <c r="D6660" t="s">
        <v>27</v>
      </c>
      <c r="E6660" s="208" t="s">
        <v>156</v>
      </c>
      <c r="F6660" t="s">
        <v>10</v>
      </c>
      <c r="G6660" s="18">
        <v>267</v>
      </c>
      <c r="H6660" t="s">
        <v>17</v>
      </c>
      <c r="I6660" t="s">
        <v>24</v>
      </c>
    </row>
    <row r="6661" spans="1:9" x14ac:dyDescent="0.25">
      <c r="A6661">
        <v>1818</v>
      </c>
      <c r="B6661">
        <f>A6661+1</f>
        <v>1819</v>
      </c>
      <c r="C6661" t="s">
        <v>524</v>
      </c>
      <c r="D6661" t="s">
        <v>27</v>
      </c>
      <c r="E6661" s="208" t="s">
        <v>154</v>
      </c>
      <c r="F6661" t="s">
        <v>10</v>
      </c>
      <c r="G6661" s="18">
        <v>182</v>
      </c>
      <c r="H6661" t="s">
        <v>17</v>
      </c>
      <c r="I6661" t="s">
        <v>24</v>
      </c>
    </row>
    <row r="6662" spans="1:9" x14ac:dyDescent="0.25">
      <c r="A6662">
        <v>1818</v>
      </c>
      <c r="B6662">
        <f>A6662+1</f>
        <v>1819</v>
      </c>
      <c r="C6662" t="s">
        <v>524</v>
      </c>
      <c r="D6662" t="s">
        <v>27</v>
      </c>
      <c r="E6662" s="208" t="s">
        <v>150</v>
      </c>
      <c r="F6662" t="s">
        <v>10</v>
      </c>
      <c r="G6662" s="18">
        <v>6831</v>
      </c>
      <c r="H6662" t="s">
        <v>17</v>
      </c>
      <c r="I6662" t="s">
        <v>24</v>
      </c>
    </row>
    <row r="6663" spans="1:9" x14ac:dyDescent="0.25">
      <c r="A6663">
        <v>1818</v>
      </c>
      <c r="B6663">
        <f>A6663+1</f>
        <v>1819</v>
      </c>
      <c r="C6663" t="s">
        <v>524</v>
      </c>
      <c r="D6663" t="s">
        <v>27</v>
      </c>
      <c r="E6663" s="208" t="s">
        <v>148</v>
      </c>
      <c r="F6663" t="s">
        <v>10</v>
      </c>
      <c r="G6663" s="18">
        <v>16</v>
      </c>
      <c r="H6663" t="s">
        <v>17</v>
      </c>
      <c r="I6663" t="s">
        <v>24</v>
      </c>
    </row>
    <row r="6664" spans="1:9" x14ac:dyDescent="0.25">
      <c r="A6664">
        <v>1818</v>
      </c>
      <c r="B6664">
        <f>A6664+1</f>
        <v>1819</v>
      </c>
      <c r="C6664" t="s">
        <v>524</v>
      </c>
      <c r="D6664" t="s">
        <v>27</v>
      </c>
      <c r="E6664" s="208" t="s">
        <v>147</v>
      </c>
      <c r="F6664" t="s">
        <v>10</v>
      </c>
      <c r="G6664" s="18">
        <v>0</v>
      </c>
      <c r="H6664" t="s">
        <v>17</v>
      </c>
      <c r="I6664" t="s">
        <v>24</v>
      </c>
    </row>
    <row r="6665" spans="1:9" x14ac:dyDescent="0.25">
      <c r="A6665">
        <v>1818</v>
      </c>
      <c r="B6665">
        <f>A6665+1</f>
        <v>1819</v>
      </c>
      <c r="C6665" t="s">
        <v>524</v>
      </c>
      <c r="D6665" t="s">
        <v>27</v>
      </c>
      <c r="E6665" s="208" t="s">
        <v>314</v>
      </c>
      <c r="F6665" t="s">
        <v>10</v>
      </c>
      <c r="G6665" s="18">
        <v>0</v>
      </c>
      <c r="H6665" t="s">
        <v>17</v>
      </c>
      <c r="I6665" t="s">
        <v>24</v>
      </c>
    </row>
    <row r="6666" spans="1:9" x14ac:dyDescent="0.25">
      <c r="A6666">
        <v>1818</v>
      </c>
      <c r="B6666">
        <f>A6666+1</f>
        <v>1819</v>
      </c>
      <c r="C6666" t="s">
        <v>524</v>
      </c>
      <c r="D6666" t="s">
        <v>27</v>
      </c>
      <c r="E6666" s="208" t="s">
        <v>139</v>
      </c>
      <c r="F6666" t="s">
        <v>10</v>
      </c>
      <c r="G6666" s="18">
        <v>139</v>
      </c>
      <c r="H6666" t="s">
        <v>17</v>
      </c>
      <c r="I6666" t="s">
        <v>24</v>
      </c>
    </row>
    <row r="6667" spans="1:9" x14ac:dyDescent="0.25">
      <c r="A6667">
        <v>1818</v>
      </c>
      <c r="B6667">
        <f>A6667+1</f>
        <v>1819</v>
      </c>
      <c r="C6667" t="s">
        <v>524</v>
      </c>
      <c r="D6667" t="s">
        <v>27</v>
      </c>
      <c r="E6667" s="208" t="s">
        <v>132</v>
      </c>
      <c r="F6667" t="s">
        <v>10</v>
      </c>
      <c r="G6667" s="18">
        <v>2</v>
      </c>
      <c r="H6667" t="s">
        <v>17</v>
      </c>
      <c r="I6667" t="s">
        <v>24</v>
      </c>
    </row>
    <row r="6668" spans="1:9" x14ac:dyDescent="0.25">
      <c r="A6668">
        <v>1818</v>
      </c>
      <c r="B6668">
        <f>A6668+1</f>
        <v>1819</v>
      </c>
      <c r="C6668" t="s">
        <v>524</v>
      </c>
      <c r="D6668" t="s">
        <v>27</v>
      </c>
      <c r="E6668" s="208" t="s">
        <v>130</v>
      </c>
      <c r="F6668" t="s">
        <v>10</v>
      </c>
      <c r="G6668" s="18">
        <v>9</v>
      </c>
      <c r="H6668" t="s">
        <v>17</v>
      </c>
      <c r="I6668" t="s">
        <v>24</v>
      </c>
    </row>
    <row r="6669" spans="1:9" x14ac:dyDescent="0.25">
      <c r="A6669">
        <v>1818</v>
      </c>
      <c r="B6669">
        <f>A6669+1</f>
        <v>1819</v>
      </c>
      <c r="C6669" t="s">
        <v>524</v>
      </c>
      <c r="D6669" t="s">
        <v>27</v>
      </c>
      <c r="E6669" s="208" t="s">
        <v>144</v>
      </c>
      <c r="F6669" t="s">
        <v>10</v>
      </c>
      <c r="G6669" s="18">
        <v>129</v>
      </c>
      <c r="H6669" t="s">
        <v>17</v>
      </c>
      <c r="I6669" t="s">
        <v>24</v>
      </c>
    </row>
    <row r="6670" spans="1:9" x14ac:dyDescent="0.25">
      <c r="A6670">
        <v>1818</v>
      </c>
      <c r="B6670">
        <f>A6670+1</f>
        <v>1819</v>
      </c>
      <c r="C6670" t="s">
        <v>524</v>
      </c>
      <c r="D6670" t="s">
        <v>27</v>
      </c>
      <c r="E6670" s="208" t="s">
        <v>142</v>
      </c>
      <c r="F6670" t="s">
        <v>10</v>
      </c>
      <c r="G6670" s="18">
        <v>2048</v>
      </c>
      <c r="H6670" t="s">
        <v>17</v>
      </c>
      <c r="I6670" t="s">
        <v>24</v>
      </c>
    </row>
    <row r="6671" spans="1:9" x14ac:dyDescent="0.25">
      <c r="A6671">
        <v>1818</v>
      </c>
      <c r="B6671">
        <f>A6671+1</f>
        <v>1819</v>
      </c>
      <c r="C6671" t="s">
        <v>524</v>
      </c>
      <c r="D6671" t="s">
        <v>27</v>
      </c>
      <c r="E6671" s="208" t="s">
        <v>124</v>
      </c>
      <c r="F6671" t="s">
        <v>10</v>
      </c>
      <c r="G6671" s="18">
        <v>73973</v>
      </c>
      <c r="H6671" t="s">
        <v>17</v>
      </c>
      <c r="I6671" t="s">
        <v>24</v>
      </c>
    </row>
    <row r="6672" spans="1:9" x14ac:dyDescent="0.25">
      <c r="A6672">
        <v>1818</v>
      </c>
      <c r="B6672">
        <f>A6672+1</f>
        <v>1819</v>
      </c>
      <c r="C6672" t="s">
        <v>524</v>
      </c>
      <c r="D6672" t="s">
        <v>26</v>
      </c>
      <c r="E6672" s="208" t="s">
        <v>62</v>
      </c>
      <c r="F6672" t="s">
        <v>10</v>
      </c>
      <c r="G6672" s="18">
        <v>4240</v>
      </c>
      <c r="H6672" t="s">
        <v>24</v>
      </c>
      <c r="I6672" t="s">
        <v>17</v>
      </c>
    </row>
    <row r="6673" spans="1:9" x14ac:dyDescent="0.25">
      <c r="A6673">
        <v>1818</v>
      </c>
      <c r="B6673">
        <f>A6673+1</f>
        <v>1819</v>
      </c>
      <c r="C6673" t="s">
        <v>524</v>
      </c>
      <c r="D6673" t="s">
        <v>26</v>
      </c>
      <c r="E6673" s="208" t="s">
        <v>36</v>
      </c>
      <c r="F6673" t="s">
        <v>10</v>
      </c>
      <c r="G6673" s="18">
        <v>471</v>
      </c>
      <c r="H6673" t="s">
        <v>24</v>
      </c>
      <c r="I6673" t="s">
        <v>17</v>
      </c>
    </row>
    <row r="6674" spans="1:9" x14ac:dyDescent="0.25">
      <c r="A6674">
        <v>1818</v>
      </c>
      <c r="B6674">
        <f>A6674+1</f>
        <v>1819</v>
      </c>
      <c r="C6674" t="s">
        <v>524</v>
      </c>
      <c r="D6674" t="s">
        <v>26</v>
      </c>
      <c r="E6674" s="208" t="s">
        <v>35</v>
      </c>
      <c r="F6674" t="s">
        <v>10</v>
      </c>
      <c r="G6674" s="18">
        <v>0</v>
      </c>
      <c r="H6674" t="s">
        <v>24</v>
      </c>
      <c r="I6674" t="s">
        <v>17</v>
      </c>
    </row>
    <row r="6675" spans="1:9" x14ac:dyDescent="0.25">
      <c r="A6675">
        <v>1818</v>
      </c>
      <c r="B6675">
        <f>A6675+1</f>
        <v>1819</v>
      </c>
      <c r="C6675" t="s">
        <v>524</v>
      </c>
      <c r="D6675" t="s">
        <v>26</v>
      </c>
      <c r="E6675" s="208" t="s">
        <v>39</v>
      </c>
      <c r="F6675" t="s">
        <v>10</v>
      </c>
      <c r="G6675" s="18">
        <v>388</v>
      </c>
      <c r="H6675" t="s">
        <v>24</v>
      </c>
      <c r="I6675" t="s">
        <v>17</v>
      </c>
    </row>
    <row r="6676" spans="1:9" x14ac:dyDescent="0.25">
      <c r="A6676">
        <v>1818</v>
      </c>
      <c r="B6676">
        <f>A6676+1</f>
        <v>1819</v>
      </c>
      <c r="C6676" t="s">
        <v>524</v>
      </c>
      <c r="D6676" t="s">
        <v>26</v>
      </c>
      <c r="E6676" s="208" t="s">
        <v>99</v>
      </c>
      <c r="F6676" t="s">
        <v>10</v>
      </c>
      <c r="G6676" s="18">
        <v>158</v>
      </c>
      <c r="H6676" t="s">
        <v>24</v>
      </c>
      <c r="I6676" t="s">
        <v>17</v>
      </c>
    </row>
    <row r="6677" spans="1:9" x14ac:dyDescent="0.25">
      <c r="A6677">
        <v>1818</v>
      </c>
      <c r="B6677">
        <f>A6677+1</f>
        <v>1819</v>
      </c>
      <c r="C6677" t="s">
        <v>524</v>
      </c>
      <c r="D6677" t="s">
        <v>26</v>
      </c>
      <c r="E6677" s="208" t="s">
        <v>95</v>
      </c>
      <c r="F6677" t="s">
        <v>10</v>
      </c>
      <c r="G6677" s="18">
        <v>69</v>
      </c>
      <c r="H6677" t="s">
        <v>24</v>
      </c>
      <c r="I6677" t="s">
        <v>17</v>
      </c>
    </row>
    <row r="6678" spans="1:9" x14ac:dyDescent="0.25">
      <c r="A6678">
        <v>1818</v>
      </c>
      <c r="B6678">
        <f>A6678+1</f>
        <v>1819</v>
      </c>
      <c r="C6678" t="s">
        <v>524</v>
      </c>
      <c r="D6678" t="s">
        <v>26</v>
      </c>
      <c r="E6678" s="208" t="s">
        <v>386</v>
      </c>
      <c r="F6678" t="s">
        <v>10</v>
      </c>
      <c r="G6678" s="18">
        <v>2231</v>
      </c>
      <c r="H6678" t="s">
        <v>24</v>
      </c>
      <c r="I6678" t="s">
        <v>17</v>
      </c>
    </row>
    <row r="6679" spans="1:9" x14ac:dyDescent="0.25">
      <c r="A6679">
        <v>1818</v>
      </c>
      <c r="B6679">
        <f>A6679+1</f>
        <v>1819</v>
      </c>
      <c r="C6679" t="s">
        <v>524</v>
      </c>
      <c r="D6679" t="s">
        <v>26</v>
      </c>
      <c r="E6679" s="208" t="s">
        <v>387</v>
      </c>
      <c r="F6679" t="s">
        <v>10</v>
      </c>
      <c r="G6679" s="18">
        <v>100</v>
      </c>
      <c r="H6679" t="s">
        <v>24</v>
      </c>
      <c r="I6679" t="s">
        <v>17</v>
      </c>
    </row>
    <row r="6680" spans="1:9" x14ac:dyDescent="0.25">
      <c r="A6680">
        <v>1818</v>
      </c>
      <c r="B6680">
        <f>A6680+1</f>
        <v>1819</v>
      </c>
      <c r="C6680" t="s">
        <v>524</v>
      </c>
      <c r="D6680" t="s">
        <v>26</v>
      </c>
      <c r="E6680" s="208" t="s">
        <v>388</v>
      </c>
      <c r="F6680" t="s">
        <v>10</v>
      </c>
      <c r="G6680" s="18">
        <v>1725</v>
      </c>
      <c r="H6680" t="s">
        <v>24</v>
      </c>
      <c r="I6680" t="s">
        <v>17</v>
      </c>
    </row>
    <row r="6681" spans="1:9" x14ac:dyDescent="0.25">
      <c r="A6681">
        <v>1818</v>
      </c>
      <c r="B6681">
        <f>A6681+1</f>
        <v>1819</v>
      </c>
      <c r="C6681" t="s">
        <v>524</v>
      </c>
      <c r="D6681" t="s">
        <v>26</v>
      </c>
      <c r="E6681" s="208" t="s">
        <v>383</v>
      </c>
      <c r="F6681" t="s">
        <v>10</v>
      </c>
      <c r="G6681" s="18">
        <v>214</v>
      </c>
      <c r="H6681" t="s">
        <v>24</v>
      </c>
      <c r="I6681" t="s">
        <v>17</v>
      </c>
    </row>
    <row r="6682" spans="1:9" x14ac:dyDescent="0.25">
      <c r="A6682">
        <v>1818</v>
      </c>
      <c r="B6682">
        <f>A6682+1</f>
        <v>1819</v>
      </c>
      <c r="C6682" t="s">
        <v>524</v>
      </c>
      <c r="D6682" t="s">
        <v>26</v>
      </c>
      <c r="E6682" s="208" t="s">
        <v>384</v>
      </c>
      <c r="F6682" t="s">
        <v>10</v>
      </c>
      <c r="G6682" s="18">
        <v>27</v>
      </c>
      <c r="H6682" t="s">
        <v>24</v>
      </c>
      <c r="I6682" t="s">
        <v>17</v>
      </c>
    </row>
    <row r="6683" spans="1:9" x14ac:dyDescent="0.25">
      <c r="A6683">
        <v>1818</v>
      </c>
      <c r="B6683">
        <f>A6683+1</f>
        <v>1819</v>
      </c>
      <c r="C6683" t="s">
        <v>524</v>
      </c>
      <c r="D6683" t="s">
        <v>26</v>
      </c>
      <c r="E6683" s="208" t="s">
        <v>107</v>
      </c>
      <c r="F6683" t="s">
        <v>10</v>
      </c>
      <c r="G6683" s="18">
        <v>2026456</v>
      </c>
      <c r="H6683" t="s">
        <v>24</v>
      </c>
      <c r="I6683" t="s">
        <v>17</v>
      </c>
    </row>
    <row r="6684" spans="1:9" x14ac:dyDescent="0.25">
      <c r="A6684">
        <v>1818</v>
      </c>
      <c r="B6684">
        <f>A6684+1</f>
        <v>1819</v>
      </c>
      <c r="C6684" t="s">
        <v>524</v>
      </c>
      <c r="D6684" t="s">
        <v>26</v>
      </c>
      <c r="E6684" s="208" t="s">
        <v>101</v>
      </c>
      <c r="F6684" t="s">
        <v>10</v>
      </c>
      <c r="G6684" s="18">
        <v>3262770</v>
      </c>
      <c r="H6684" t="s">
        <v>24</v>
      </c>
      <c r="I6684" t="s">
        <v>17</v>
      </c>
    </row>
    <row r="6685" spans="1:9" x14ac:dyDescent="0.25">
      <c r="A6685">
        <v>1818</v>
      </c>
      <c r="B6685">
        <f>A6685+1</f>
        <v>1819</v>
      </c>
      <c r="C6685" t="s">
        <v>524</v>
      </c>
      <c r="D6685" t="s">
        <v>26</v>
      </c>
      <c r="E6685" s="208" t="s">
        <v>75</v>
      </c>
      <c r="F6685" t="s">
        <v>10</v>
      </c>
      <c r="G6685" s="18">
        <v>3983826</v>
      </c>
      <c r="H6685" t="s">
        <v>24</v>
      </c>
      <c r="I6685" t="s">
        <v>17</v>
      </c>
    </row>
    <row r="6686" spans="1:9" x14ac:dyDescent="0.25">
      <c r="A6686">
        <v>1818</v>
      </c>
      <c r="B6686">
        <f>A6686+1</f>
        <v>1819</v>
      </c>
      <c r="C6686" t="s">
        <v>524</v>
      </c>
      <c r="D6686" t="s">
        <v>26</v>
      </c>
      <c r="E6686" s="208" t="s">
        <v>330</v>
      </c>
      <c r="F6686" t="s">
        <v>10</v>
      </c>
      <c r="G6686" s="18">
        <v>19</v>
      </c>
      <c r="H6686" t="s">
        <v>24</v>
      </c>
      <c r="I6686" t="s">
        <v>17</v>
      </c>
    </row>
    <row r="6687" spans="1:9" x14ac:dyDescent="0.25">
      <c r="A6687">
        <v>1818</v>
      </c>
      <c r="B6687">
        <f>A6687+1</f>
        <v>1819</v>
      </c>
      <c r="C6687" t="s">
        <v>524</v>
      </c>
      <c r="D6687" t="s">
        <v>26</v>
      </c>
      <c r="E6687" s="208" t="s">
        <v>331</v>
      </c>
      <c r="F6687" t="s">
        <v>10</v>
      </c>
      <c r="G6687" s="18">
        <v>0</v>
      </c>
      <c r="H6687" t="s">
        <v>24</v>
      </c>
      <c r="I6687" t="s">
        <v>17</v>
      </c>
    </row>
    <row r="6688" spans="1:9" x14ac:dyDescent="0.25">
      <c r="A6688">
        <v>1818</v>
      </c>
      <c r="B6688">
        <f>A6688+1</f>
        <v>1819</v>
      </c>
      <c r="C6688" t="s">
        <v>524</v>
      </c>
      <c r="D6688" t="s">
        <v>26</v>
      </c>
      <c r="E6688" s="208" t="s">
        <v>332</v>
      </c>
      <c r="F6688" t="s">
        <v>10</v>
      </c>
      <c r="G6688" s="18">
        <v>0</v>
      </c>
      <c r="H6688" t="s">
        <v>24</v>
      </c>
      <c r="I6688" t="s">
        <v>17</v>
      </c>
    </row>
    <row r="6689" spans="1:9" x14ac:dyDescent="0.25">
      <c r="A6689">
        <v>1818</v>
      </c>
      <c r="B6689">
        <f>A6689+1</f>
        <v>1819</v>
      </c>
      <c r="C6689" t="s">
        <v>524</v>
      </c>
      <c r="D6689" t="s">
        <v>26</v>
      </c>
      <c r="E6689" s="208" t="s">
        <v>333</v>
      </c>
      <c r="F6689" t="s">
        <v>10</v>
      </c>
      <c r="G6689" s="18">
        <v>35</v>
      </c>
      <c r="H6689" t="s">
        <v>24</v>
      </c>
      <c r="I6689" t="s">
        <v>17</v>
      </c>
    </row>
    <row r="6690" spans="1:9" x14ac:dyDescent="0.25">
      <c r="A6690">
        <v>1818</v>
      </c>
      <c r="B6690">
        <f>A6690+1</f>
        <v>1819</v>
      </c>
      <c r="C6690" t="s">
        <v>524</v>
      </c>
      <c r="D6690" t="s">
        <v>27</v>
      </c>
      <c r="E6690" s="208" t="s">
        <v>155</v>
      </c>
      <c r="F6690" t="s">
        <v>8</v>
      </c>
      <c r="G6690" s="18">
        <v>78274</v>
      </c>
      <c r="H6690" t="s">
        <v>17</v>
      </c>
      <c r="I6690" t="s">
        <v>18</v>
      </c>
    </row>
    <row r="6691" spans="1:9" x14ac:dyDescent="0.25">
      <c r="A6691">
        <v>1818</v>
      </c>
      <c r="B6691">
        <f>A6691+1</f>
        <v>1819</v>
      </c>
      <c r="C6691" t="s">
        <v>524</v>
      </c>
      <c r="D6691" t="s">
        <v>27</v>
      </c>
      <c r="E6691" s="208" t="s">
        <v>156</v>
      </c>
      <c r="F6691" t="s">
        <v>8</v>
      </c>
      <c r="G6691" s="18">
        <v>8709</v>
      </c>
      <c r="H6691" t="s">
        <v>17</v>
      </c>
      <c r="I6691" t="s">
        <v>18</v>
      </c>
    </row>
    <row r="6692" spans="1:9" x14ac:dyDescent="0.25">
      <c r="A6692">
        <v>1818</v>
      </c>
      <c r="B6692">
        <f>A6692+1</f>
        <v>1819</v>
      </c>
      <c r="C6692" t="s">
        <v>524</v>
      </c>
      <c r="D6692" t="s">
        <v>27</v>
      </c>
      <c r="E6692" s="208" t="s">
        <v>154</v>
      </c>
      <c r="F6692" t="s">
        <v>8</v>
      </c>
      <c r="G6692" s="18">
        <v>970</v>
      </c>
      <c r="H6692" t="s">
        <v>17</v>
      </c>
      <c r="I6692" t="s">
        <v>18</v>
      </c>
    </row>
    <row r="6693" spans="1:9" x14ac:dyDescent="0.25">
      <c r="A6693">
        <v>1818</v>
      </c>
      <c r="B6693">
        <f>A6693+1</f>
        <v>1819</v>
      </c>
      <c r="C6693" t="s">
        <v>524</v>
      </c>
      <c r="D6693" t="s">
        <v>27</v>
      </c>
      <c r="E6693" s="208" t="s">
        <v>150</v>
      </c>
      <c r="F6693" t="s">
        <v>8</v>
      </c>
      <c r="G6693" s="18">
        <v>26393</v>
      </c>
      <c r="H6693" t="s">
        <v>17</v>
      </c>
      <c r="I6693" t="s">
        <v>18</v>
      </c>
    </row>
    <row r="6694" spans="1:9" x14ac:dyDescent="0.25">
      <c r="A6694">
        <v>1818</v>
      </c>
      <c r="B6694">
        <f>A6694+1</f>
        <v>1819</v>
      </c>
      <c r="C6694" t="s">
        <v>524</v>
      </c>
      <c r="D6694" t="s">
        <v>27</v>
      </c>
      <c r="E6694" s="208" t="s">
        <v>148</v>
      </c>
      <c r="F6694" t="s">
        <v>8</v>
      </c>
      <c r="G6694" s="18">
        <v>669</v>
      </c>
      <c r="H6694" t="s">
        <v>17</v>
      </c>
      <c r="I6694" t="s">
        <v>18</v>
      </c>
    </row>
    <row r="6695" spans="1:9" x14ac:dyDescent="0.25">
      <c r="A6695">
        <v>1818</v>
      </c>
      <c r="B6695">
        <f>A6695+1</f>
        <v>1819</v>
      </c>
      <c r="C6695" t="s">
        <v>524</v>
      </c>
      <c r="D6695" t="s">
        <v>27</v>
      </c>
      <c r="E6695" s="208" t="s">
        <v>147</v>
      </c>
      <c r="F6695" t="s">
        <v>8</v>
      </c>
      <c r="G6695" s="18">
        <v>0</v>
      </c>
      <c r="H6695" t="s">
        <v>17</v>
      </c>
      <c r="I6695" t="s">
        <v>18</v>
      </c>
    </row>
    <row r="6696" spans="1:9" x14ac:dyDescent="0.25">
      <c r="A6696">
        <v>1818</v>
      </c>
      <c r="B6696">
        <f>A6696+1</f>
        <v>1819</v>
      </c>
      <c r="C6696" t="s">
        <v>524</v>
      </c>
      <c r="D6696" t="s">
        <v>27</v>
      </c>
      <c r="E6696" s="208" t="s">
        <v>314</v>
      </c>
      <c r="F6696" t="s">
        <v>8</v>
      </c>
      <c r="G6696" s="18">
        <v>0</v>
      </c>
      <c r="H6696" t="s">
        <v>17</v>
      </c>
      <c r="I6696" t="s">
        <v>18</v>
      </c>
    </row>
    <row r="6697" spans="1:9" x14ac:dyDescent="0.25">
      <c r="A6697">
        <v>1818</v>
      </c>
      <c r="B6697">
        <f>A6697+1</f>
        <v>1819</v>
      </c>
      <c r="C6697" t="s">
        <v>524</v>
      </c>
      <c r="D6697" t="s">
        <v>27</v>
      </c>
      <c r="E6697" s="208" t="s">
        <v>139</v>
      </c>
      <c r="F6697" t="s">
        <v>8</v>
      </c>
      <c r="G6697" s="18">
        <v>77</v>
      </c>
      <c r="H6697" t="s">
        <v>17</v>
      </c>
      <c r="I6697" t="s">
        <v>18</v>
      </c>
    </row>
    <row r="6698" spans="1:9" x14ac:dyDescent="0.25">
      <c r="A6698">
        <v>1818</v>
      </c>
      <c r="B6698">
        <f>A6698+1</f>
        <v>1819</v>
      </c>
      <c r="C6698" t="s">
        <v>524</v>
      </c>
      <c r="D6698" t="s">
        <v>27</v>
      </c>
      <c r="E6698" s="208" t="s">
        <v>132</v>
      </c>
      <c r="F6698" t="s">
        <v>8</v>
      </c>
      <c r="G6698" s="18">
        <v>776</v>
      </c>
      <c r="H6698" t="s">
        <v>17</v>
      </c>
      <c r="I6698" t="s">
        <v>18</v>
      </c>
    </row>
    <row r="6699" spans="1:9" x14ac:dyDescent="0.25">
      <c r="A6699">
        <v>1818</v>
      </c>
      <c r="B6699">
        <f>A6699+1</f>
        <v>1819</v>
      </c>
      <c r="C6699" t="s">
        <v>524</v>
      </c>
      <c r="D6699" t="s">
        <v>27</v>
      </c>
      <c r="E6699" s="208" t="s">
        <v>130</v>
      </c>
      <c r="F6699" t="s">
        <v>8</v>
      </c>
      <c r="G6699" s="18">
        <v>520</v>
      </c>
      <c r="H6699" t="s">
        <v>17</v>
      </c>
      <c r="I6699" t="s">
        <v>18</v>
      </c>
    </row>
    <row r="6700" spans="1:9" x14ac:dyDescent="0.25">
      <c r="A6700">
        <v>1818</v>
      </c>
      <c r="B6700">
        <f>A6700+1</f>
        <v>1819</v>
      </c>
      <c r="C6700" t="s">
        <v>524</v>
      </c>
      <c r="D6700" t="s">
        <v>27</v>
      </c>
      <c r="E6700" s="208" t="s">
        <v>144</v>
      </c>
      <c r="F6700" t="s">
        <v>8</v>
      </c>
      <c r="G6700" s="18">
        <v>205</v>
      </c>
      <c r="H6700" t="s">
        <v>17</v>
      </c>
      <c r="I6700" t="s">
        <v>18</v>
      </c>
    </row>
    <row r="6701" spans="1:9" x14ac:dyDescent="0.25">
      <c r="A6701">
        <v>1818</v>
      </c>
      <c r="B6701">
        <f>A6701+1</f>
        <v>1819</v>
      </c>
      <c r="C6701" t="s">
        <v>524</v>
      </c>
      <c r="D6701" t="s">
        <v>27</v>
      </c>
      <c r="E6701" s="208" t="s">
        <v>142</v>
      </c>
      <c r="F6701" t="s">
        <v>8</v>
      </c>
      <c r="G6701" s="18">
        <v>18632</v>
      </c>
      <c r="H6701" t="s">
        <v>17</v>
      </c>
      <c r="I6701" t="s">
        <v>18</v>
      </c>
    </row>
    <row r="6702" spans="1:9" x14ac:dyDescent="0.25">
      <c r="A6702">
        <v>1818</v>
      </c>
      <c r="B6702">
        <f>A6702+1</f>
        <v>1819</v>
      </c>
      <c r="C6702" t="s">
        <v>524</v>
      </c>
      <c r="D6702" t="s">
        <v>27</v>
      </c>
      <c r="E6702" s="208" t="s">
        <v>124</v>
      </c>
      <c r="F6702" t="s">
        <v>8</v>
      </c>
      <c r="G6702" s="18">
        <v>6845333</v>
      </c>
      <c r="H6702" t="s">
        <v>17</v>
      </c>
      <c r="I6702" t="s">
        <v>18</v>
      </c>
    </row>
    <row r="6703" spans="1:9" x14ac:dyDescent="0.25">
      <c r="A6703">
        <v>1818</v>
      </c>
      <c r="B6703">
        <f>A6703+1</f>
        <v>1819</v>
      </c>
      <c r="C6703" t="s">
        <v>524</v>
      </c>
      <c r="D6703" t="s">
        <v>26</v>
      </c>
      <c r="E6703" s="208" t="s">
        <v>62</v>
      </c>
      <c r="F6703" t="s">
        <v>164</v>
      </c>
      <c r="G6703" s="18">
        <v>2121</v>
      </c>
      <c r="H6703" t="s">
        <v>160</v>
      </c>
      <c r="I6703" t="s">
        <v>17</v>
      </c>
    </row>
    <row r="6704" spans="1:9" x14ac:dyDescent="0.25">
      <c r="A6704">
        <v>1818</v>
      </c>
      <c r="B6704">
        <f>A6704+1</f>
        <v>1819</v>
      </c>
      <c r="C6704" t="s">
        <v>524</v>
      </c>
      <c r="D6704" t="s">
        <v>26</v>
      </c>
      <c r="E6704" s="208" t="s">
        <v>36</v>
      </c>
      <c r="F6704" t="s">
        <v>164</v>
      </c>
      <c r="G6704" s="18">
        <v>136</v>
      </c>
      <c r="H6704" t="s">
        <v>160</v>
      </c>
      <c r="I6704" t="s">
        <v>17</v>
      </c>
    </row>
    <row r="6705" spans="1:9" x14ac:dyDescent="0.25">
      <c r="A6705">
        <v>1818</v>
      </c>
      <c r="B6705">
        <f>A6705+1</f>
        <v>1819</v>
      </c>
      <c r="C6705" t="s">
        <v>524</v>
      </c>
      <c r="D6705" t="s">
        <v>26</v>
      </c>
      <c r="E6705" s="208" t="s">
        <v>35</v>
      </c>
      <c r="F6705" t="s">
        <v>164</v>
      </c>
      <c r="G6705" s="18">
        <v>0</v>
      </c>
      <c r="H6705" t="s">
        <v>160</v>
      </c>
      <c r="I6705" t="s">
        <v>17</v>
      </c>
    </row>
    <row r="6706" spans="1:9" x14ac:dyDescent="0.25">
      <c r="A6706">
        <v>1818</v>
      </c>
      <c r="B6706">
        <f>A6706+1</f>
        <v>1819</v>
      </c>
      <c r="C6706" t="s">
        <v>524</v>
      </c>
      <c r="D6706" t="s">
        <v>26</v>
      </c>
      <c r="E6706" s="208" t="s">
        <v>39</v>
      </c>
      <c r="F6706" t="s">
        <v>164</v>
      </c>
      <c r="G6706" s="18">
        <v>0</v>
      </c>
      <c r="H6706" t="s">
        <v>160</v>
      </c>
      <c r="I6706" t="s">
        <v>17</v>
      </c>
    </row>
    <row r="6707" spans="1:9" x14ac:dyDescent="0.25">
      <c r="A6707">
        <v>1818</v>
      </c>
      <c r="B6707">
        <f>A6707+1</f>
        <v>1819</v>
      </c>
      <c r="C6707" t="s">
        <v>524</v>
      </c>
      <c r="D6707" t="s">
        <v>26</v>
      </c>
      <c r="E6707" s="208" t="s">
        <v>99</v>
      </c>
      <c r="F6707" t="s">
        <v>164</v>
      </c>
      <c r="G6707" s="18">
        <v>0</v>
      </c>
      <c r="H6707" t="s">
        <v>160</v>
      </c>
      <c r="I6707" t="s">
        <v>17</v>
      </c>
    </row>
    <row r="6708" spans="1:9" x14ac:dyDescent="0.25">
      <c r="A6708">
        <v>1818</v>
      </c>
      <c r="B6708">
        <f>A6708+1</f>
        <v>1819</v>
      </c>
      <c r="C6708" t="s">
        <v>524</v>
      </c>
      <c r="D6708" t="s">
        <v>26</v>
      </c>
      <c r="E6708" s="208" t="s">
        <v>95</v>
      </c>
      <c r="F6708" t="s">
        <v>164</v>
      </c>
      <c r="G6708" s="18">
        <v>901</v>
      </c>
      <c r="H6708" t="s">
        <v>160</v>
      </c>
      <c r="I6708" t="s">
        <v>17</v>
      </c>
    </row>
    <row r="6709" spans="1:9" x14ac:dyDescent="0.25">
      <c r="A6709">
        <v>1818</v>
      </c>
      <c r="B6709">
        <f>A6709+1</f>
        <v>1819</v>
      </c>
      <c r="C6709" t="s">
        <v>524</v>
      </c>
      <c r="D6709" t="s">
        <v>26</v>
      </c>
      <c r="E6709" s="208" t="s">
        <v>386</v>
      </c>
      <c r="F6709" t="s">
        <v>164</v>
      </c>
      <c r="G6709" s="18">
        <v>0</v>
      </c>
      <c r="H6709" t="s">
        <v>160</v>
      </c>
      <c r="I6709" t="s">
        <v>17</v>
      </c>
    </row>
    <row r="6710" spans="1:9" x14ac:dyDescent="0.25">
      <c r="A6710">
        <v>1818</v>
      </c>
      <c r="B6710">
        <f>A6710+1</f>
        <v>1819</v>
      </c>
      <c r="C6710" t="s">
        <v>524</v>
      </c>
      <c r="D6710" t="s">
        <v>26</v>
      </c>
      <c r="E6710" s="208" t="s">
        <v>387</v>
      </c>
      <c r="F6710" t="s">
        <v>164</v>
      </c>
      <c r="G6710" s="18">
        <v>0</v>
      </c>
      <c r="H6710" t="s">
        <v>160</v>
      </c>
      <c r="I6710" t="s">
        <v>17</v>
      </c>
    </row>
    <row r="6711" spans="1:9" x14ac:dyDescent="0.25">
      <c r="A6711">
        <v>1818</v>
      </c>
      <c r="B6711">
        <f>A6711+1</f>
        <v>1819</v>
      </c>
      <c r="C6711" t="s">
        <v>524</v>
      </c>
      <c r="D6711" t="s">
        <v>26</v>
      </c>
      <c r="E6711" s="208" t="s">
        <v>388</v>
      </c>
      <c r="F6711" t="s">
        <v>164</v>
      </c>
      <c r="G6711" s="18">
        <v>0</v>
      </c>
      <c r="H6711" t="s">
        <v>160</v>
      </c>
      <c r="I6711" t="s">
        <v>17</v>
      </c>
    </row>
    <row r="6712" spans="1:9" x14ac:dyDescent="0.25">
      <c r="A6712">
        <v>1818</v>
      </c>
      <c r="B6712">
        <f>A6712+1</f>
        <v>1819</v>
      </c>
      <c r="C6712" t="s">
        <v>524</v>
      </c>
      <c r="D6712" t="s">
        <v>26</v>
      </c>
      <c r="E6712" s="208" t="s">
        <v>383</v>
      </c>
      <c r="F6712" t="s">
        <v>164</v>
      </c>
      <c r="G6712" s="18">
        <v>0</v>
      </c>
      <c r="H6712" t="s">
        <v>160</v>
      </c>
      <c r="I6712" t="s">
        <v>17</v>
      </c>
    </row>
    <row r="6713" spans="1:9" x14ac:dyDescent="0.25">
      <c r="A6713">
        <v>1818</v>
      </c>
      <c r="B6713">
        <f>A6713+1</f>
        <v>1819</v>
      </c>
      <c r="C6713" t="s">
        <v>524</v>
      </c>
      <c r="D6713" t="s">
        <v>26</v>
      </c>
      <c r="E6713" s="208" t="s">
        <v>384</v>
      </c>
      <c r="F6713" t="s">
        <v>164</v>
      </c>
      <c r="G6713" s="18">
        <v>0</v>
      </c>
      <c r="H6713" t="s">
        <v>160</v>
      </c>
      <c r="I6713" t="s">
        <v>17</v>
      </c>
    </row>
    <row r="6714" spans="1:9" x14ac:dyDescent="0.25">
      <c r="A6714">
        <v>1818</v>
      </c>
      <c r="B6714">
        <f>A6714+1</f>
        <v>1819</v>
      </c>
      <c r="C6714" t="s">
        <v>524</v>
      </c>
      <c r="D6714" t="s">
        <v>26</v>
      </c>
      <c r="E6714" s="208" t="s">
        <v>107</v>
      </c>
      <c r="F6714" t="s">
        <v>164</v>
      </c>
      <c r="G6714" s="18">
        <v>0</v>
      </c>
      <c r="H6714" t="s">
        <v>160</v>
      </c>
      <c r="I6714" t="s">
        <v>17</v>
      </c>
    </row>
    <row r="6715" spans="1:9" x14ac:dyDescent="0.25">
      <c r="A6715">
        <v>1818</v>
      </c>
      <c r="B6715">
        <f>A6715+1</f>
        <v>1819</v>
      </c>
      <c r="C6715" t="s">
        <v>524</v>
      </c>
      <c r="D6715" t="s">
        <v>26</v>
      </c>
      <c r="E6715" s="208" t="s">
        <v>101</v>
      </c>
      <c r="F6715" t="s">
        <v>164</v>
      </c>
      <c r="G6715" s="18">
        <v>0</v>
      </c>
      <c r="H6715" t="s">
        <v>160</v>
      </c>
      <c r="I6715" t="s">
        <v>17</v>
      </c>
    </row>
    <row r="6716" spans="1:9" x14ac:dyDescent="0.25">
      <c r="A6716">
        <v>1818</v>
      </c>
      <c r="B6716">
        <f>A6716+1</f>
        <v>1819</v>
      </c>
      <c r="C6716" t="s">
        <v>524</v>
      </c>
      <c r="D6716" t="s">
        <v>26</v>
      </c>
      <c r="E6716" s="208" t="s">
        <v>75</v>
      </c>
      <c r="F6716" t="s">
        <v>164</v>
      </c>
      <c r="G6716" s="18">
        <v>0</v>
      </c>
      <c r="H6716" t="s">
        <v>160</v>
      </c>
      <c r="I6716" t="s">
        <v>17</v>
      </c>
    </row>
    <row r="6717" spans="1:9" x14ac:dyDescent="0.25">
      <c r="A6717">
        <v>1818</v>
      </c>
      <c r="B6717">
        <f>A6717+1</f>
        <v>1819</v>
      </c>
      <c r="C6717" t="s">
        <v>524</v>
      </c>
      <c r="D6717" t="s">
        <v>26</v>
      </c>
      <c r="E6717" s="208" t="s">
        <v>331</v>
      </c>
      <c r="F6717" t="s">
        <v>164</v>
      </c>
      <c r="G6717" s="18">
        <v>0</v>
      </c>
      <c r="H6717" t="s">
        <v>160</v>
      </c>
      <c r="I6717" t="s">
        <v>17</v>
      </c>
    </row>
    <row r="6718" spans="1:9" x14ac:dyDescent="0.25">
      <c r="A6718">
        <v>1818</v>
      </c>
      <c r="B6718">
        <f>A6718+1</f>
        <v>1819</v>
      </c>
      <c r="C6718" t="s">
        <v>524</v>
      </c>
      <c r="D6718" t="s">
        <v>26</v>
      </c>
      <c r="E6718" s="208" t="s">
        <v>332</v>
      </c>
      <c r="F6718" t="s">
        <v>164</v>
      </c>
      <c r="G6718" s="18">
        <v>0</v>
      </c>
      <c r="H6718" t="s">
        <v>160</v>
      </c>
      <c r="I6718" t="s">
        <v>17</v>
      </c>
    </row>
    <row r="6719" spans="1:9" x14ac:dyDescent="0.25">
      <c r="A6719">
        <v>1818</v>
      </c>
      <c r="B6719">
        <f>A6719+1</f>
        <v>1819</v>
      </c>
      <c r="C6719" t="s">
        <v>524</v>
      </c>
      <c r="D6719" t="s">
        <v>26</v>
      </c>
      <c r="E6719" s="208" t="s">
        <v>333</v>
      </c>
      <c r="F6719" t="s">
        <v>164</v>
      </c>
      <c r="G6719" s="18">
        <v>0</v>
      </c>
      <c r="H6719" t="s">
        <v>160</v>
      </c>
      <c r="I6719" t="s">
        <v>17</v>
      </c>
    </row>
    <row r="6720" spans="1:9" x14ac:dyDescent="0.25">
      <c r="A6720">
        <v>1818</v>
      </c>
      <c r="B6720">
        <f>A6720+1</f>
        <v>1819</v>
      </c>
      <c r="C6720" t="s">
        <v>524</v>
      </c>
      <c r="D6720" t="s">
        <v>27</v>
      </c>
      <c r="E6720" s="208" t="s">
        <v>155</v>
      </c>
      <c r="F6720" t="s">
        <v>9</v>
      </c>
      <c r="G6720" s="18">
        <v>72</v>
      </c>
      <c r="H6720" t="s">
        <v>17</v>
      </c>
      <c r="I6720" t="s">
        <v>21</v>
      </c>
    </row>
    <row r="6721" spans="1:9" x14ac:dyDescent="0.25">
      <c r="A6721">
        <v>1818</v>
      </c>
      <c r="B6721">
        <f>A6721+1</f>
        <v>1819</v>
      </c>
      <c r="C6721" t="s">
        <v>524</v>
      </c>
      <c r="D6721" t="s">
        <v>27</v>
      </c>
      <c r="E6721" s="208" t="s">
        <v>156</v>
      </c>
      <c r="F6721" t="s">
        <v>9</v>
      </c>
      <c r="G6721" s="18">
        <v>16</v>
      </c>
      <c r="H6721" t="s">
        <v>17</v>
      </c>
      <c r="I6721" t="s">
        <v>21</v>
      </c>
    </row>
    <row r="6722" spans="1:9" x14ac:dyDescent="0.25">
      <c r="A6722">
        <v>1818</v>
      </c>
      <c r="B6722">
        <f>A6722+1</f>
        <v>1819</v>
      </c>
      <c r="C6722" t="s">
        <v>524</v>
      </c>
      <c r="D6722" t="s">
        <v>27</v>
      </c>
      <c r="E6722" s="208" t="s">
        <v>154</v>
      </c>
      <c r="F6722" t="s">
        <v>9</v>
      </c>
      <c r="G6722" s="18">
        <v>1</v>
      </c>
      <c r="H6722" t="s">
        <v>17</v>
      </c>
      <c r="I6722" t="s">
        <v>21</v>
      </c>
    </row>
    <row r="6723" spans="1:9" x14ac:dyDescent="0.25">
      <c r="A6723">
        <v>1818</v>
      </c>
      <c r="B6723">
        <f>A6723+1</f>
        <v>1819</v>
      </c>
      <c r="C6723" t="s">
        <v>524</v>
      </c>
      <c r="D6723" t="s">
        <v>27</v>
      </c>
      <c r="E6723" s="208" t="s">
        <v>150</v>
      </c>
      <c r="F6723" t="s">
        <v>9</v>
      </c>
      <c r="G6723" s="18">
        <v>51</v>
      </c>
      <c r="H6723" t="s">
        <v>17</v>
      </c>
      <c r="I6723" t="s">
        <v>21</v>
      </c>
    </row>
    <row r="6724" spans="1:9" x14ac:dyDescent="0.25">
      <c r="A6724">
        <v>1818</v>
      </c>
      <c r="B6724">
        <f>A6724+1</f>
        <v>1819</v>
      </c>
      <c r="C6724" t="s">
        <v>524</v>
      </c>
      <c r="D6724" t="s">
        <v>27</v>
      </c>
      <c r="E6724" s="208" t="s">
        <v>148</v>
      </c>
      <c r="F6724" t="s">
        <v>9</v>
      </c>
      <c r="G6724" s="18">
        <v>1</v>
      </c>
      <c r="H6724" t="s">
        <v>17</v>
      </c>
      <c r="I6724" t="s">
        <v>21</v>
      </c>
    </row>
    <row r="6725" spans="1:9" x14ac:dyDescent="0.25">
      <c r="A6725">
        <v>1818</v>
      </c>
      <c r="B6725">
        <f>A6725+1</f>
        <v>1819</v>
      </c>
      <c r="C6725" t="s">
        <v>524</v>
      </c>
      <c r="D6725" t="s">
        <v>27</v>
      </c>
      <c r="E6725" s="208" t="s">
        <v>147</v>
      </c>
      <c r="F6725" t="s">
        <v>9</v>
      </c>
      <c r="G6725" s="18">
        <v>0</v>
      </c>
      <c r="H6725" t="s">
        <v>17</v>
      </c>
      <c r="I6725" t="s">
        <v>21</v>
      </c>
    </row>
    <row r="6726" spans="1:9" x14ac:dyDescent="0.25">
      <c r="A6726">
        <v>1818</v>
      </c>
      <c r="B6726">
        <f>A6726+1</f>
        <v>1819</v>
      </c>
      <c r="C6726" t="s">
        <v>524</v>
      </c>
      <c r="D6726" t="s">
        <v>27</v>
      </c>
      <c r="E6726" s="208" t="s">
        <v>314</v>
      </c>
      <c r="F6726" t="s">
        <v>9</v>
      </c>
      <c r="G6726" s="18">
        <v>0</v>
      </c>
      <c r="H6726" t="s">
        <v>17</v>
      </c>
      <c r="I6726" t="s">
        <v>21</v>
      </c>
    </row>
    <row r="6727" spans="1:9" x14ac:dyDescent="0.25">
      <c r="A6727">
        <v>1818</v>
      </c>
      <c r="B6727">
        <f>A6727+1</f>
        <v>1819</v>
      </c>
      <c r="C6727" t="s">
        <v>524</v>
      </c>
      <c r="D6727" t="s">
        <v>27</v>
      </c>
      <c r="E6727" s="208" t="s">
        <v>139</v>
      </c>
      <c r="F6727" t="s">
        <v>9</v>
      </c>
      <c r="G6727" s="18">
        <v>30</v>
      </c>
      <c r="H6727" t="s">
        <v>17</v>
      </c>
      <c r="I6727" t="s">
        <v>21</v>
      </c>
    </row>
    <row r="6728" spans="1:9" x14ac:dyDescent="0.25">
      <c r="A6728">
        <v>1818</v>
      </c>
      <c r="B6728">
        <f>A6728+1</f>
        <v>1819</v>
      </c>
      <c r="C6728" t="s">
        <v>524</v>
      </c>
      <c r="D6728" t="s">
        <v>27</v>
      </c>
      <c r="E6728" s="208" t="s">
        <v>132</v>
      </c>
      <c r="F6728" t="s">
        <v>9</v>
      </c>
      <c r="G6728" s="18">
        <v>0</v>
      </c>
      <c r="H6728" t="s">
        <v>17</v>
      </c>
      <c r="I6728" t="s">
        <v>21</v>
      </c>
    </row>
    <row r="6729" spans="1:9" x14ac:dyDescent="0.25">
      <c r="A6729">
        <v>1818</v>
      </c>
      <c r="B6729">
        <f>A6729+1</f>
        <v>1819</v>
      </c>
      <c r="C6729" t="s">
        <v>524</v>
      </c>
      <c r="D6729" t="s">
        <v>27</v>
      </c>
      <c r="E6729" s="208" t="s">
        <v>130</v>
      </c>
      <c r="F6729" t="s">
        <v>9</v>
      </c>
      <c r="G6729" s="18">
        <v>0</v>
      </c>
      <c r="H6729" t="s">
        <v>17</v>
      </c>
      <c r="I6729" t="s">
        <v>21</v>
      </c>
    </row>
    <row r="6730" spans="1:9" x14ac:dyDescent="0.25">
      <c r="A6730">
        <v>1818</v>
      </c>
      <c r="B6730">
        <f>A6730+1</f>
        <v>1819</v>
      </c>
      <c r="C6730" t="s">
        <v>524</v>
      </c>
      <c r="D6730" t="s">
        <v>27</v>
      </c>
      <c r="E6730" s="208" t="s">
        <v>144</v>
      </c>
      <c r="F6730" t="s">
        <v>9</v>
      </c>
      <c r="G6730" s="18">
        <v>0</v>
      </c>
      <c r="H6730" t="s">
        <v>17</v>
      </c>
      <c r="I6730" t="s">
        <v>21</v>
      </c>
    </row>
    <row r="6731" spans="1:9" x14ac:dyDescent="0.25">
      <c r="A6731">
        <v>1818</v>
      </c>
      <c r="B6731">
        <f>A6731+1</f>
        <v>1819</v>
      </c>
      <c r="C6731" t="s">
        <v>524</v>
      </c>
      <c r="D6731" t="s">
        <v>27</v>
      </c>
      <c r="E6731" s="208" t="s">
        <v>142</v>
      </c>
      <c r="F6731" t="s">
        <v>9</v>
      </c>
      <c r="G6731" s="18">
        <v>200</v>
      </c>
      <c r="H6731" t="s">
        <v>17</v>
      </c>
      <c r="I6731" t="s">
        <v>21</v>
      </c>
    </row>
    <row r="6732" spans="1:9" x14ac:dyDescent="0.25">
      <c r="A6732">
        <v>1818</v>
      </c>
      <c r="B6732">
        <f>A6732+1</f>
        <v>1819</v>
      </c>
      <c r="C6732" t="s">
        <v>524</v>
      </c>
      <c r="D6732" t="s">
        <v>27</v>
      </c>
      <c r="E6732" s="208" t="s">
        <v>124</v>
      </c>
      <c r="F6732" t="s">
        <v>9</v>
      </c>
      <c r="G6732" s="18">
        <v>22263</v>
      </c>
      <c r="H6732" t="s">
        <v>17</v>
      </c>
      <c r="I6732" t="s">
        <v>21</v>
      </c>
    </row>
    <row r="6733" spans="1:9" x14ac:dyDescent="0.25">
      <c r="A6733">
        <v>1818</v>
      </c>
      <c r="B6733">
        <f>A6733+1</f>
        <v>1819</v>
      </c>
      <c r="C6733" t="s">
        <v>524</v>
      </c>
      <c r="D6733" t="s">
        <v>27</v>
      </c>
      <c r="E6733" s="208" t="s">
        <v>155</v>
      </c>
      <c r="F6733" t="s">
        <v>13</v>
      </c>
      <c r="G6733" s="18">
        <v>0</v>
      </c>
      <c r="H6733" t="s">
        <v>17</v>
      </c>
      <c r="I6733" t="s">
        <v>25</v>
      </c>
    </row>
    <row r="6734" spans="1:9" x14ac:dyDescent="0.25">
      <c r="A6734">
        <v>1818</v>
      </c>
      <c r="B6734">
        <f>A6734+1</f>
        <v>1819</v>
      </c>
      <c r="C6734" t="s">
        <v>524</v>
      </c>
      <c r="D6734" t="s">
        <v>27</v>
      </c>
      <c r="E6734" s="208" t="s">
        <v>156</v>
      </c>
      <c r="F6734" t="s">
        <v>13</v>
      </c>
      <c r="G6734" s="18">
        <v>0</v>
      </c>
      <c r="H6734" t="s">
        <v>17</v>
      </c>
      <c r="I6734" t="s">
        <v>25</v>
      </c>
    </row>
    <row r="6735" spans="1:9" x14ac:dyDescent="0.25">
      <c r="A6735">
        <v>1818</v>
      </c>
      <c r="B6735">
        <f>A6735+1</f>
        <v>1819</v>
      </c>
      <c r="C6735" t="s">
        <v>524</v>
      </c>
      <c r="D6735" t="s">
        <v>27</v>
      </c>
      <c r="E6735" s="208" t="s">
        <v>154</v>
      </c>
      <c r="F6735" t="s">
        <v>13</v>
      </c>
      <c r="G6735" s="18">
        <v>0</v>
      </c>
      <c r="H6735" t="s">
        <v>17</v>
      </c>
      <c r="I6735" t="s">
        <v>25</v>
      </c>
    </row>
    <row r="6736" spans="1:9" x14ac:dyDescent="0.25">
      <c r="A6736">
        <v>1818</v>
      </c>
      <c r="B6736">
        <f>A6736+1</f>
        <v>1819</v>
      </c>
      <c r="C6736" t="s">
        <v>524</v>
      </c>
      <c r="D6736" t="s">
        <v>27</v>
      </c>
      <c r="E6736" s="208" t="s">
        <v>150</v>
      </c>
      <c r="F6736" t="s">
        <v>13</v>
      </c>
      <c r="G6736" s="18">
        <v>14</v>
      </c>
      <c r="H6736" t="s">
        <v>17</v>
      </c>
      <c r="I6736" t="s">
        <v>25</v>
      </c>
    </row>
    <row r="6737" spans="1:9" x14ac:dyDescent="0.25">
      <c r="A6737">
        <v>1818</v>
      </c>
      <c r="B6737">
        <f>A6737+1</f>
        <v>1819</v>
      </c>
      <c r="C6737" t="s">
        <v>524</v>
      </c>
      <c r="D6737" t="s">
        <v>27</v>
      </c>
      <c r="E6737" s="208" t="s">
        <v>148</v>
      </c>
      <c r="F6737" t="s">
        <v>13</v>
      </c>
      <c r="G6737" s="18">
        <v>2</v>
      </c>
      <c r="H6737" t="s">
        <v>17</v>
      </c>
      <c r="I6737" t="s">
        <v>25</v>
      </c>
    </row>
    <row r="6738" spans="1:9" x14ac:dyDescent="0.25">
      <c r="A6738">
        <v>1818</v>
      </c>
      <c r="B6738">
        <f>A6738+1</f>
        <v>1819</v>
      </c>
      <c r="C6738" t="s">
        <v>524</v>
      </c>
      <c r="D6738" t="s">
        <v>27</v>
      </c>
      <c r="E6738" s="208" t="s">
        <v>147</v>
      </c>
      <c r="F6738" t="s">
        <v>13</v>
      </c>
      <c r="G6738" s="18">
        <v>0</v>
      </c>
      <c r="H6738" t="s">
        <v>17</v>
      </c>
      <c r="I6738" t="s">
        <v>25</v>
      </c>
    </row>
    <row r="6739" spans="1:9" x14ac:dyDescent="0.25">
      <c r="A6739">
        <v>1818</v>
      </c>
      <c r="B6739">
        <f>A6739+1</f>
        <v>1819</v>
      </c>
      <c r="C6739" t="s">
        <v>524</v>
      </c>
      <c r="D6739" t="s">
        <v>27</v>
      </c>
      <c r="E6739" s="208" t="s">
        <v>314</v>
      </c>
      <c r="F6739" t="s">
        <v>13</v>
      </c>
      <c r="G6739" s="18">
        <v>0</v>
      </c>
      <c r="H6739" t="s">
        <v>17</v>
      </c>
      <c r="I6739" t="s">
        <v>25</v>
      </c>
    </row>
    <row r="6740" spans="1:9" x14ac:dyDescent="0.25">
      <c r="A6740">
        <v>1818</v>
      </c>
      <c r="B6740">
        <f>A6740+1</f>
        <v>1819</v>
      </c>
      <c r="C6740" t="s">
        <v>524</v>
      </c>
      <c r="D6740" t="s">
        <v>27</v>
      </c>
      <c r="E6740" s="208" t="s">
        <v>139</v>
      </c>
      <c r="F6740" t="s">
        <v>13</v>
      </c>
      <c r="G6740" s="18">
        <v>0</v>
      </c>
      <c r="H6740" t="s">
        <v>17</v>
      </c>
      <c r="I6740" t="s">
        <v>25</v>
      </c>
    </row>
    <row r="6741" spans="1:9" x14ac:dyDescent="0.25">
      <c r="A6741">
        <v>1818</v>
      </c>
      <c r="B6741">
        <f>A6741+1</f>
        <v>1819</v>
      </c>
      <c r="C6741" t="s">
        <v>524</v>
      </c>
      <c r="D6741" t="s">
        <v>27</v>
      </c>
      <c r="E6741" s="208" t="s">
        <v>132</v>
      </c>
      <c r="F6741" t="s">
        <v>13</v>
      </c>
      <c r="G6741" s="18">
        <v>0</v>
      </c>
      <c r="H6741" t="s">
        <v>17</v>
      </c>
      <c r="I6741" t="s">
        <v>25</v>
      </c>
    </row>
    <row r="6742" spans="1:9" x14ac:dyDescent="0.25">
      <c r="A6742">
        <v>1818</v>
      </c>
      <c r="B6742">
        <f>A6742+1</f>
        <v>1819</v>
      </c>
      <c r="C6742" t="s">
        <v>524</v>
      </c>
      <c r="D6742" t="s">
        <v>27</v>
      </c>
      <c r="E6742" s="208" t="s">
        <v>130</v>
      </c>
      <c r="F6742" t="s">
        <v>13</v>
      </c>
      <c r="G6742" s="18">
        <v>0</v>
      </c>
      <c r="H6742" t="s">
        <v>17</v>
      </c>
      <c r="I6742" t="s">
        <v>25</v>
      </c>
    </row>
    <row r="6743" spans="1:9" x14ac:dyDescent="0.25">
      <c r="A6743">
        <v>1818</v>
      </c>
      <c r="B6743">
        <f>A6743+1</f>
        <v>1819</v>
      </c>
      <c r="C6743" t="s">
        <v>524</v>
      </c>
      <c r="D6743" t="s">
        <v>27</v>
      </c>
      <c r="E6743" s="208" t="s">
        <v>144</v>
      </c>
      <c r="F6743" t="s">
        <v>13</v>
      </c>
      <c r="G6743" s="18">
        <v>0</v>
      </c>
      <c r="H6743" t="s">
        <v>17</v>
      </c>
      <c r="I6743" t="s">
        <v>25</v>
      </c>
    </row>
    <row r="6744" spans="1:9" x14ac:dyDescent="0.25">
      <c r="A6744">
        <v>1818</v>
      </c>
      <c r="B6744">
        <f>A6744+1</f>
        <v>1819</v>
      </c>
      <c r="C6744" t="s">
        <v>524</v>
      </c>
      <c r="D6744" t="s">
        <v>27</v>
      </c>
      <c r="E6744" s="208" t="s">
        <v>142</v>
      </c>
      <c r="F6744" t="s">
        <v>13</v>
      </c>
      <c r="G6744" s="18">
        <v>0</v>
      </c>
      <c r="H6744" t="s">
        <v>17</v>
      </c>
      <c r="I6744" t="s">
        <v>25</v>
      </c>
    </row>
    <row r="6745" spans="1:9" x14ac:dyDescent="0.25">
      <c r="A6745">
        <v>1818</v>
      </c>
      <c r="B6745">
        <f>A6745+1</f>
        <v>1819</v>
      </c>
      <c r="C6745" t="s">
        <v>524</v>
      </c>
      <c r="D6745" t="s">
        <v>27</v>
      </c>
      <c r="E6745" s="208" t="s">
        <v>124</v>
      </c>
      <c r="F6745" t="s">
        <v>13</v>
      </c>
      <c r="G6745" s="18">
        <v>0</v>
      </c>
      <c r="H6745" t="s">
        <v>17</v>
      </c>
      <c r="I6745" t="s">
        <v>25</v>
      </c>
    </row>
    <row r="6746" spans="1:9" x14ac:dyDescent="0.25">
      <c r="A6746">
        <v>1818</v>
      </c>
      <c r="B6746">
        <f>A6746+1</f>
        <v>1819</v>
      </c>
      <c r="C6746" t="s">
        <v>524</v>
      </c>
      <c r="D6746" t="s">
        <v>26</v>
      </c>
      <c r="E6746" s="208" t="s">
        <v>62</v>
      </c>
      <c r="F6746" t="s">
        <v>13</v>
      </c>
      <c r="G6746" s="18">
        <v>249</v>
      </c>
      <c r="H6746" t="s">
        <v>25</v>
      </c>
      <c r="I6746" t="s">
        <v>17</v>
      </c>
    </row>
    <row r="6747" spans="1:9" x14ac:dyDescent="0.25">
      <c r="A6747">
        <v>1818</v>
      </c>
      <c r="B6747">
        <f>A6747+1</f>
        <v>1819</v>
      </c>
      <c r="C6747" t="s">
        <v>524</v>
      </c>
      <c r="D6747" t="s">
        <v>26</v>
      </c>
      <c r="E6747" s="208" t="s">
        <v>36</v>
      </c>
      <c r="F6747" t="s">
        <v>13</v>
      </c>
      <c r="G6747" s="18">
        <v>0</v>
      </c>
      <c r="H6747" t="s">
        <v>25</v>
      </c>
      <c r="I6747" t="s">
        <v>17</v>
      </c>
    </row>
    <row r="6748" spans="1:9" x14ac:dyDescent="0.25">
      <c r="A6748">
        <v>1818</v>
      </c>
      <c r="B6748">
        <f>A6748+1</f>
        <v>1819</v>
      </c>
      <c r="C6748" t="s">
        <v>524</v>
      </c>
      <c r="D6748" t="s">
        <v>26</v>
      </c>
      <c r="E6748" s="208" t="s">
        <v>35</v>
      </c>
      <c r="F6748" t="s">
        <v>13</v>
      </c>
      <c r="G6748" s="18">
        <v>0</v>
      </c>
      <c r="H6748" t="s">
        <v>25</v>
      </c>
      <c r="I6748" t="s">
        <v>17</v>
      </c>
    </row>
    <row r="6749" spans="1:9" x14ac:dyDescent="0.25">
      <c r="A6749">
        <v>1818</v>
      </c>
      <c r="B6749">
        <f>A6749+1</f>
        <v>1819</v>
      </c>
      <c r="C6749" t="s">
        <v>524</v>
      </c>
      <c r="D6749" t="s">
        <v>26</v>
      </c>
      <c r="E6749" s="208" t="s">
        <v>39</v>
      </c>
      <c r="F6749" t="s">
        <v>13</v>
      </c>
      <c r="G6749" s="18">
        <v>0</v>
      </c>
      <c r="H6749" t="s">
        <v>25</v>
      </c>
      <c r="I6749" t="s">
        <v>17</v>
      </c>
    </row>
    <row r="6750" spans="1:9" x14ac:dyDescent="0.25">
      <c r="A6750">
        <v>1818</v>
      </c>
      <c r="B6750">
        <f>A6750+1</f>
        <v>1819</v>
      </c>
      <c r="C6750" t="s">
        <v>524</v>
      </c>
      <c r="D6750" t="s">
        <v>26</v>
      </c>
      <c r="E6750" s="208" t="s">
        <v>99</v>
      </c>
      <c r="F6750" t="s">
        <v>13</v>
      </c>
      <c r="G6750" s="18">
        <v>7</v>
      </c>
      <c r="H6750" t="s">
        <v>25</v>
      </c>
      <c r="I6750" t="s">
        <v>17</v>
      </c>
    </row>
    <row r="6751" spans="1:9" x14ac:dyDescent="0.25">
      <c r="A6751">
        <v>1818</v>
      </c>
      <c r="B6751">
        <f>A6751+1</f>
        <v>1819</v>
      </c>
      <c r="C6751" t="s">
        <v>524</v>
      </c>
      <c r="D6751" t="s">
        <v>26</v>
      </c>
      <c r="E6751" s="208" t="s">
        <v>95</v>
      </c>
      <c r="F6751" t="s">
        <v>13</v>
      </c>
      <c r="G6751" s="18">
        <v>2</v>
      </c>
      <c r="H6751" t="s">
        <v>25</v>
      </c>
      <c r="I6751" t="s">
        <v>17</v>
      </c>
    </row>
    <row r="6752" spans="1:9" x14ac:dyDescent="0.25">
      <c r="A6752">
        <v>1818</v>
      </c>
      <c r="B6752">
        <f>A6752+1</f>
        <v>1819</v>
      </c>
      <c r="C6752" t="s">
        <v>524</v>
      </c>
      <c r="D6752" t="s">
        <v>26</v>
      </c>
      <c r="E6752" s="208" t="s">
        <v>386</v>
      </c>
      <c r="F6752" t="s">
        <v>13</v>
      </c>
      <c r="G6752" s="18">
        <v>2480</v>
      </c>
      <c r="H6752" t="s">
        <v>25</v>
      </c>
      <c r="I6752" t="s">
        <v>17</v>
      </c>
    </row>
    <row r="6753" spans="1:9" x14ac:dyDescent="0.25">
      <c r="A6753">
        <v>1818</v>
      </c>
      <c r="B6753">
        <f>A6753+1</f>
        <v>1819</v>
      </c>
      <c r="C6753" t="s">
        <v>524</v>
      </c>
      <c r="D6753" t="s">
        <v>26</v>
      </c>
      <c r="E6753" s="208" t="s">
        <v>387</v>
      </c>
      <c r="F6753" t="s">
        <v>13</v>
      </c>
      <c r="G6753" s="18">
        <v>0</v>
      </c>
      <c r="H6753" t="s">
        <v>25</v>
      </c>
      <c r="I6753" t="s">
        <v>17</v>
      </c>
    </row>
    <row r="6754" spans="1:9" x14ac:dyDescent="0.25">
      <c r="A6754">
        <v>1818</v>
      </c>
      <c r="B6754">
        <f>A6754+1</f>
        <v>1819</v>
      </c>
      <c r="C6754" t="s">
        <v>524</v>
      </c>
      <c r="D6754" t="s">
        <v>26</v>
      </c>
      <c r="E6754" s="208" t="s">
        <v>388</v>
      </c>
      <c r="F6754" t="s">
        <v>13</v>
      </c>
      <c r="G6754" s="18">
        <v>9</v>
      </c>
      <c r="H6754" t="s">
        <v>25</v>
      </c>
      <c r="I6754" t="s">
        <v>17</v>
      </c>
    </row>
    <row r="6755" spans="1:9" x14ac:dyDescent="0.25">
      <c r="A6755">
        <v>1818</v>
      </c>
      <c r="B6755">
        <f>A6755+1</f>
        <v>1819</v>
      </c>
      <c r="C6755" t="s">
        <v>524</v>
      </c>
      <c r="D6755" t="s">
        <v>26</v>
      </c>
      <c r="E6755" s="208" t="s">
        <v>383</v>
      </c>
      <c r="F6755" t="s">
        <v>13</v>
      </c>
      <c r="G6755" s="18">
        <v>0</v>
      </c>
      <c r="H6755" t="s">
        <v>25</v>
      </c>
      <c r="I6755" t="s">
        <v>17</v>
      </c>
    </row>
    <row r="6756" spans="1:9" x14ac:dyDescent="0.25">
      <c r="A6756">
        <v>1818</v>
      </c>
      <c r="B6756">
        <f>A6756+1</f>
        <v>1819</v>
      </c>
      <c r="C6756" t="s">
        <v>524</v>
      </c>
      <c r="D6756" t="s">
        <v>26</v>
      </c>
      <c r="E6756" s="208" t="s">
        <v>384</v>
      </c>
      <c r="F6756" t="s">
        <v>13</v>
      </c>
      <c r="G6756" s="18">
        <v>40</v>
      </c>
      <c r="H6756" t="s">
        <v>25</v>
      </c>
      <c r="I6756" t="s">
        <v>17</v>
      </c>
    </row>
    <row r="6757" spans="1:9" x14ac:dyDescent="0.25">
      <c r="A6757">
        <v>1818</v>
      </c>
      <c r="B6757">
        <f>A6757+1</f>
        <v>1819</v>
      </c>
      <c r="C6757" t="s">
        <v>524</v>
      </c>
      <c r="D6757" t="s">
        <v>26</v>
      </c>
      <c r="E6757" s="208" t="s">
        <v>107</v>
      </c>
      <c r="F6757" t="s">
        <v>13</v>
      </c>
      <c r="G6757" s="18">
        <v>0</v>
      </c>
      <c r="H6757" t="s">
        <v>25</v>
      </c>
      <c r="I6757" t="s">
        <v>17</v>
      </c>
    </row>
    <row r="6758" spans="1:9" x14ac:dyDescent="0.25">
      <c r="A6758">
        <v>1818</v>
      </c>
      <c r="B6758">
        <f>A6758+1</f>
        <v>1819</v>
      </c>
      <c r="C6758" t="s">
        <v>524</v>
      </c>
      <c r="D6758" t="s">
        <v>26</v>
      </c>
      <c r="E6758" s="208" t="s">
        <v>101</v>
      </c>
      <c r="F6758" t="s">
        <v>13</v>
      </c>
      <c r="G6758" s="18">
        <v>0</v>
      </c>
      <c r="H6758" t="s">
        <v>25</v>
      </c>
      <c r="I6758" t="s">
        <v>17</v>
      </c>
    </row>
    <row r="6759" spans="1:9" x14ac:dyDescent="0.25">
      <c r="A6759">
        <v>1818</v>
      </c>
      <c r="B6759">
        <f>A6759+1</f>
        <v>1819</v>
      </c>
      <c r="C6759" t="s">
        <v>524</v>
      </c>
      <c r="D6759" t="s">
        <v>26</v>
      </c>
      <c r="E6759" s="208" t="s">
        <v>75</v>
      </c>
      <c r="F6759" t="s">
        <v>13</v>
      </c>
      <c r="G6759" s="18">
        <v>0</v>
      </c>
      <c r="H6759" t="s">
        <v>25</v>
      </c>
      <c r="I6759" t="s">
        <v>17</v>
      </c>
    </row>
    <row r="6760" spans="1:9" x14ac:dyDescent="0.25">
      <c r="A6760">
        <v>1818</v>
      </c>
      <c r="B6760">
        <f>A6760+1</f>
        <v>1819</v>
      </c>
      <c r="C6760" t="s">
        <v>524</v>
      </c>
      <c r="D6760" t="s">
        <v>26</v>
      </c>
      <c r="E6760" s="208" t="s">
        <v>330</v>
      </c>
      <c r="F6760" t="s">
        <v>13</v>
      </c>
      <c r="G6760" s="18">
        <v>331</v>
      </c>
      <c r="H6760" t="s">
        <v>25</v>
      </c>
      <c r="I6760" t="s">
        <v>17</v>
      </c>
    </row>
    <row r="6761" spans="1:9" x14ac:dyDescent="0.25">
      <c r="A6761">
        <v>1818</v>
      </c>
      <c r="B6761">
        <f>A6761+1</f>
        <v>1819</v>
      </c>
      <c r="C6761" t="s">
        <v>524</v>
      </c>
      <c r="D6761" t="s">
        <v>26</v>
      </c>
      <c r="E6761" s="208" t="s">
        <v>331</v>
      </c>
      <c r="F6761" t="s">
        <v>13</v>
      </c>
      <c r="G6761" s="18">
        <v>594</v>
      </c>
      <c r="H6761" t="s">
        <v>25</v>
      </c>
      <c r="I6761" t="s">
        <v>17</v>
      </c>
    </row>
    <row r="6762" spans="1:9" x14ac:dyDescent="0.25">
      <c r="A6762">
        <v>1818</v>
      </c>
      <c r="B6762">
        <f>A6762+1</f>
        <v>1819</v>
      </c>
      <c r="C6762" t="s">
        <v>524</v>
      </c>
      <c r="D6762" t="s">
        <v>26</v>
      </c>
      <c r="E6762" s="208" t="s">
        <v>332</v>
      </c>
      <c r="F6762" t="s">
        <v>13</v>
      </c>
      <c r="G6762" s="18">
        <v>7</v>
      </c>
      <c r="H6762" t="s">
        <v>25</v>
      </c>
      <c r="I6762" t="s">
        <v>17</v>
      </c>
    </row>
    <row r="6763" spans="1:9" x14ac:dyDescent="0.25">
      <c r="A6763">
        <v>1818</v>
      </c>
      <c r="B6763">
        <f>A6763+1</f>
        <v>1819</v>
      </c>
      <c r="C6763" t="s">
        <v>524</v>
      </c>
      <c r="D6763" t="s">
        <v>26</v>
      </c>
      <c r="E6763" s="208" t="s">
        <v>333</v>
      </c>
      <c r="F6763" t="s">
        <v>13</v>
      </c>
      <c r="G6763" s="18">
        <v>241</v>
      </c>
      <c r="H6763" t="s">
        <v>25</v>
      </c>
      <c r="I6763" t="s">
        <v>17</v>
      </c>
    </row>
    <row r="6764" spans="1:9" x14ac:dyDescent="0.25">
      <c r="A6764">
        <v>1818</v>
      </c>
      <c r="B6764">
        <f>A6764+1</f>
        <v>1819</v>
      </c>
      <c r="C6764" t="s">
        <v>524</v>
      </c>
      <c r="D6764" t="s">
        <v>27</v>
      </c>
      <c r="E6764" s="208" t="s">
        <v>155</v>
      </c>
      <c r="F6764" t="s">
        <v>11</v>
      </c>
      <c r="G6764" s="18">
        <v>0</v>
      </c>
      <c r="H6764" t="s">
        <v>17</v>
      </c>
      <c r="I6764" t="s">
        <v>23</v>
      </c>
    </row>
    <row r="6765" spans="1:9" x14ac:dyDescent="0.25">
      <c r="A6765">
        <v>1818</v>
      </c>
      <c r="B6765">
        <f>A6765+1</f>
        <v>1819</v>
      </c>
      <c r="C6765" t="s">
        <v>524</v>
      </c>
      <c r="D6765" t="s">
        <v>27</v>
      </c>
      <c r="E6765" s="208" t="s">
        <v>156</v>
      </c>
      <c r="F6765" t="s">
        <v>11</v>
      </c>
      <c r="G6765" s="18">
        <v>0</v>
      </c>
      <c r="H6765" t="s">
        <v>17</v>
      </c>
      <c r="I6765" t="s">
        <v>23</v>
      </c>
    </row>
    <row r="6766" spans="1:9" x14ac:dyDescent="0.25">
      <c r="A6766">
        <v>1818</v>
      </c>
      <c r="B6766">
        <f>A6766+1</f>
        <v>1819</v>
      </c>
      <c r="C6766" t="s">
        <v>524</v>
      </c>
      <c r="D6766" t="s">
        <v>27</v>
      </c>
      <c r="E6766" s="208" t="s">
        <v>154</v>
      </c>
      <c r="F6766" t="s">
        <v>11</v>
      </c>
      <c r="G6766" s="18">
        <v>0</v>
      </c>
      <c r="H6766" t="s">
        <v>17</v>
      </c>
      <c r="I6766" t="s">
        <v>23</v>
      </c>
    </row>
    <row r="6767" spans="1:9" x14ac:dyDescent="0.25">
      <c r="A6767">
        <v>1818</v>
      </c>
      <c r="B6767">
        <f>A6767+1</f>
        <v>1819</v>
      </c>
      <c r="C6767" t="s">
        <v>524</v>
      </c>
      <c r="D6767" t="s">
        <v>27</v>
      </c>
      <c r="E6767" s="208" t="s">
        <v>150</v>
      </c>
      <c r="F6767" t="s">
        <v>11</v>
      </c>
      <c r="G6767" s="18">
        <v>0</v>
      </c>
      <c r="H6767" t="s">
        <v>17</v>
      </c>
      <c r="I6767" t="s">
        <v>23</v>
      </c>
    </row>
    <row r="6768" spans="1:9" x14ac:dyDescent="0.25">
      <c r="A6768">
        <v>1818</v>
      </c>
      <c r="B6768">
        <f>A6768+1</f>
        <v>1819</v>
      </c>
      <c r="C6768" t="s">
        <v>524</v>
      </c>
      <c r="D6768" t="s">
        <v>27</v>
      </c>
      <c r="E6768" s="208" t="s">
        <v>148</v>
      </c>
      <c r="F6768" t="s">
        <v>11</v>
      </c>
      <c r="G6768" s="18">
        <v>0</v>
      </c>
      <c r="H6768" t="s">
        <v>17</v>
      </c>
      <c r="I6768" t="s">
        <v>23</v>
      </c>
    </row>
    <row r="6769" spans="1:9" x14ac:dyDescent="0.25">
      <c r="A6769">
        <v>1818</v>
      </c>
      <c r="B6769">
        <f>A6769+1</f>
        <v>1819</v>
      </c>
      <c r="C6769" t="s">
        <v>524</v>
      </c>
      <c r="D6769" t="s">
        <v>27</v>
      </c>
      <c r="E6769" s="208" t="s">
        <v>147</v>
      </c>
      <c r="F6769" t="s">
        <v>11</v>
      </c>
      <c r="G6769" s="18">
        <v>0</v>
      </c>
      <c r="H6769" t="s">
        <v>17</v>
      </c>
      <c r="I6769" t="s">
        <v>23</v>
      </c>
    </row>
    <row r="6770" spans="1:9" x14ac:dyDescent="0.25">
      <c r="A6770">
        <v>1818</v>
      </c>
      <c r="B6770">
        <f>A6770+1</f>
        <v>1819</v>
      </c>
      <c r="C6770" t="s">
        <v>524</v>
      </c>
      <c r="D6770" t="s">
        <v>27</v>
      </c>
      <c r="E6770" s="208" t="s">
        <v>314</v>
      </c>
      <c r="F6770" t="s">
        <v>11</v>
      </c>
      <c r="G6770" s="18">
        <v>0</v>
      </c>
      <c r="H6770" t="s">
        <v>17</v>
      </c>
      <c r="I6770" t="s">
        <v>23</v>
      </c>
    </row>
    <row r="6771" spans="1:9" x14ac:dyDescent="0.25">
      <c r="A6771">
        <v>1818</v>
      </c>
      <c r="B6771">
        <f>A6771+1</f>
        <v>1819</v>
      </c>
      <c r="C6771" t="s">
        <v>524</v>
      </c>
      <c r="D6771" t="s">
        <v>27</v>
      </c>
      <c r="E6771" s="208" t="s">
        <v>139</v>
      </c>
      <c r="F6771" t="s">
        <v>11</v>
      </c>
      <c r="G6771" s="18">
        <v>0</v>
      </c>
      <c r="H6771" t="s">
        <v>17</v>
      </c>
      <c r="I6771" t="s">
        <v>23</v>
      </c>
    </row>
    <row r="6772" spans="1:9" x14ac:dyDescent="0.25">
      <c r="A6772">
        <v>1818</v>
      </c>
      <c r="B6772">
        <f>A6772+1</f>
        <v>1819</v>
      </c>
      <c r="C6772" t="s">
        <v>524</v>
      </c>
      <c r="D6772" t="s">
        <v>27</v>
      </c>
      <c r="E6772" s="208" t="s">
        <v>132</v>
      </c>
      <c r="F6772" t="s">
        <v>11</v>
      </c>
      <c r="G6772" s="18">
        <v>0</v>
      </c>
      <c r="H6772" t="s">
        <v>17</v>
      </c>
      <c r="I6772" t="s">
        <v>23</v>
      </c>
    </row>
    <row r="6773" spans="1:9" x14ac:dyDescent="0.25">
      <c r="A6773">
        <v>1818</v>
      </c>
      <c r="B6773">
        <f>A6773+1</f>
        <v>1819</v>
      </c>
      <c r="C6773" t="s">
        <v>524</v>
      </c>
      <c r="D6773" t="s">
        <v>27</v>
      </c>
      <c r="E6773" s="208" t="s">
        <v>130</v>
      </c>
      <c r="F6773" t="s">
        <v>11</v>
      </c>
      <c r="G6773" s="18">
        <v>0</v>
      </c>
      <c r="H6773" t="s">
        <v>17</v>
      </c>
      <c r="I6773" t="s">
        <v>23</v>
      </c>
    </row>
    <row r="6774" spans="1:9" x14ac:dyDescent="0.25">
      <c r="A6774">
        <v>1818</v>
      </c>
      <c r="B6774">
        <f>A6774+1</f>
        <v>1819</v>
      </c>
      <c r="C6774" t="s">
        <v>524</v>
      </c>
      <c r="D6774" t="s">
        <v>27</v>
      </c>
      <c r="E6774" s="208" t="s">
        <v>144</v>
      </c>
      <c r="F6774" t="s">
        <v>11</v>
      </c>
      <c r="G6774" s="18">
        <v>0</v>
      </c>
      <c r="H6774" t="s">
        <v>17</v>
      </c>
      <c r="I6774" t="s">
        <v>23</v>
      </c>
    </row>
    <row r="6775" spans="1:9" x14ac:dyDescent="0.25">
      <c r="A6775">
        <v>1818</v>
      </c>
      <c r="B6775">
        <f>A6775+1</f>
        <v>1819</v>
      </c>
      <c r="C6775" t="s">
        <v>524</v>
      </c>
      <c r="D6775" t="s">
        <v>27</v>
      </c>
      <c r="E6775" s="208" t="s">
        <v>142</v>
      </c>
      <c r="F6775" t="s">
        <v>11</v>
      </c>
      <c r="G6775" s="18">
        <v>0</v>
      </c>
      <c r="H6775" t="s">
        <v>17</v>
      </c>
      <c r="I6775" t="s">
        <v>23</v>
      </c>
    </row>
    <row r="6776" spans="1:9" x14ac:dyDescent="0.25">
      <c r="A6776">
        <v>1818</v>
      </c>
      <c r="B6776">
        <f>A6776+1</f>
        <v>1819</v>
      </c>
      <c r="C6776" t="s">
        <v>524</v>
      </c>
      <c r="D6776" t="s">
        <v>27</v>
      </c>
      <c r="E6776" s="208" t="s">
        <v>124</v>
      </c>
      <c r="F6776" t="s">
        <v>11</v>
      </c>
      <c r="G6776" s="18">
        <v>0</v>
      </c>
      <c r="H6776" t="s">
        <v>17</v>
      </c>
      <c r="I6776" t="s">
        <v>23</v>
      </c>
    </row>
    <row r="6777" spans="1:9" x14ac:dyDescent="0.25">
      <c r="A6777">
        <v>1818</v>
      </c>
      <c r="B6777">
        <f>A6777+1</f>
        <v>1819</v>
      </c>
      <c r="C6777" t="s">
        <v>524</v>
      </c>
      <c r="D6777" t="s">
        <v>26</v>
      </c>
      <c r="E6777" s="208" t="s">
        <v>62</v>
      </c>
      <c r="F6777" t="s">
        <v>11</v>
      </c>
      <c r="G6777" s="18">
        <v>1400</v>
      </c>
      <c r="H6777" t="s">
        <v>23</v>
      </c>
      <c r="I6777" t="s">
        <v>17</v>
      </c>
    </row>
    <row r="6778" spans="1:9" x14ac:dyDescent="0.25">
      <c r="A6778">
        <v>1818</v>
      </c>
      <c r="B6778">
        <f>A6778+1</f>
        <v>1819</v>
      </c>
      <c r="C6778" t="s">
        <v>524</v>
      </c>
      <c r="D6778" t="s">
        <v>26</v>
      </c>
      <c r="E6778" s="208" t="s">
        <v>36</v>
      </c>
      <c r="F6778" t="s">
        <v>11</v>
      </c>
      <c r="G6778" s="18">
        <v>59</v>
      </c>
      <c r="H6778" t="s">
        <v>23</v>
      </c>
      <c r="I6778" t="s">
        <v>17</v>
      </c>
    </row>
    <row r="6779" spans="1:9" x14ac:dyDescent="0.25">
      <c r="A6779">
        <v>1818</v>
      </c>
      <c r="B6779">
        <f>A6779+1</f>
        <v>1819</v>
      </c>
      <c r="C6779" t="s">
        <v>524</v>
      </c>
      <c r="D6779" t="s">
        <v>26</v>
      </c>
      <c r="E6779" s="208" t="s">
        <v>35</v>
      </c>
      <c r="F6779" t="s">
        <v>11</v>
      </c>
      <c r="G6779" s="18">
        <v>0</v>
      </c>
      <c r="H6779" t="s">
        <v>23</v>
      </c>
      <c r="I6779" t="s">
        <v>17</v>
      </c>
    </row>
    <row r="6780" spans="1:9" x14ac:dyDescent="0.25">
      <c r="A6780">
        <v>1818</v>
      </c>
      <c r="B6780">
        <f>A6780+1</f>
        <v>1819</v>
      </c>
      <c r="C6780" t="s">
        <v>524</v>
      </c>
      <c r="D6780" t="s">
        <v>26</v>
      </c>
      <c r="E6780" s="208" t="s">
        <v>39</v>
      </c>
      <c r="F6780" t="s">
        <v>11</v>
      </c>
      <c r="G6780" s="18">
        <v>30</v>
      </c>
      <c r="H6780" t="s">
        <v>23</v>
      </c>
      <c r="I6780" t="s">
        <v>17</v>
      </c>
    </row>
    <row r="6781" spans="1:9" x14ac:dyDescent="0.25">
      <c r="A6781">
        <v>1818</v>
      </c>
      <c r="B6781">
        <f>A6781+1</f>
        <v>1819</v>
      </c>
      <c r="C6781" t="s">
        <v>524</v>
      </c>
      <c r="D6781" t="s">
        <v>26</v>
      </c>
      <c r="E6781" s="208" t="s">
        <v>99</v>
      </c>
      <c r="F6781" t="s">
        <v>11</v>
      </c>
      <c r="G6781" s="18">
        <v>139</v>
      </c>
      <c r="H6781" t="s">
        <v>23</v>
      </c>
      <c r="I6781" t="s">
        <v>17</v>
      </c>
    </row>
    <row r="6782" spans="1:9" x14ac:dyDescent="0.25">
      <c r="A6782">
        <v>1818</v>
      </c>
      <c r="B6782">
        <f>A6782+1</f>
        <v>1819</v>
      </c>
      <c r="C6782" t="s">
        <v>524</v>
      </c>
      <c r="D6782" t="s">
        <v>26</v>
      </c>
      <c r="E6782" s="208" t="s">
        <v>95</v>
      </c>
      <c r="F6782" t="s">
        <v>11</v>
      </c>
      <c r="G6782" s="18">
        <v>3</v>
      </c>
      <c r="H6782" t="s">
        <v>23</v>
      </c>
      <c r="I6782" t="s">
        <v>17</v>
      </c>
    </row>
    <row r="6783" spans="1:9" x14ac:dyDescent="0.25">
      <c r="A6783">
        <v>1818</v>
      </c>
      <c r="B6783">
        <f>A6783+1</f>
        <v>1819</v>
      </c>
      <c r="C6783" t="s">
        <v>524</v>
      </c>
      <c r="D6783" t="s">
        <v>26</v>
      </c>
      <c r="E6783" s="208" t="s">
        <v>386</v>
      </c>
      <c r="F6783" t="s">
        <v>11</v>
      </c>
      <c r="G6783" s="18">
        <v>320</v>
      </c>
      <c r="H6783" t="s">
        <v>23</v>
      </c>
      <c r="I6783" t="s">
        <v>17</v>
      </c>
    </row>
    <row r="6784" spans="1:9" x14ac:dyDescent="0.25">
      <c r="A6784">
        <v>1818</v>
      </c>
      <c r="B6784">
        <f>A6784+1</f>
        <v>1819</v>
      </c>
      <c r="C6784" t="s">
        <v>524</v>
      </c>
      <c r="D6784" t="s">
        <v>26</v>
      </c>
      <c r="E6784" s="208" t="s">
        <v>387</v>
      </c>
      <c r="F6784" t="s">
        <v>11</v>
      </c>
      <c r="G6784" s="18">
        <v>0</v>
      </c>
      <c r="H6784" t="s">
        <v>23</v>
      </c>
      <c r="I6784" t="s">
        <v>17</v>
      </c>
    </row>
    <row r="6785" spans="1:9" x14ac:dyDescent="0.25">
      <c r="A6785">
        <v>1818</v>
      </c>
      <c r="B6785">
        <f>A6785+1</f>
        <v>1819</v>
      </c>
      <c r="C6785" t="s">
        <v>524</v>
      </c>
      <c r="D6785" t="s">
        <v>26</v>
      </c>
      <c r="E6785" s="208" t="s">
        <v>388</v>
      </c>
      <c r="F6785" t="s">
        <v>11</v>
      </c>
      <c r="G6785" s="18">
        <v>344</v>
      </c>
      <c r="H6785" t="s">
        <v>23</v>
      </c>
      <c r="I6785" t="s">
        <v>17</v>
      </c>
    </row>
    <row r="6786" spans="1:9" x14ac:dyDescent="0.25">
      <c r="A6786">
        <v>1818</v>
      </c>
      <c r="B6786">
        <f>A6786+1</f>
        <v>1819</v>
      </c>
      <c r="C6786" t="s">
        <v>524</v>
      </c>
      <c r="D6786" t="s">
        <v>26</v>
      </c>
      <c r="E6786" s="208" t="s">
        <v>383</v>
      </c>
      <c r="F6786" t="s">
        <v>11</v>
      </c>
      <c r="G6786" s="18">
        <v>0</v>
      </c>
      <c r="H6786" t="s">
        <v>23</v>
      </c>
      <c r="I6786" t="s">
        <v>17</v>
      </c>
    </row>
    <row r="6787" spans="1:9" x14ac:dyDescent="0.25">
      <c r="A6787">
        <v>1818</v>
      </c>
      <c r="B6787">
        <f>A6787+1</f>
        <v>1819</v>
      </c>
      <c r="C6787" t="s">
        <v>524</v>
      </c>
      <c r="D6787" t="s">
        <v>26</v>
      </c>
      <c r="E6787" s="208" t="s">
        <v>384</v>
      </c>
      <c r="F6787" t="s">
        <v>11</v>
      </c>
      <c r="G6787" s="18">
        <v>0</v>
      </c>
      <c r="H6787" t="s">
        <v>23</v>
      </c>
      <c r="I6787" t="s">
        <v>17</v>
      </c>
    </row>
    <row r="6788" spans="1:9" x14ac:dyDescent="0.25">
      <c r="A6788">
        <v>1818</v>
      </c>
      <c r="B6788">
        <f>A6788+1</f>
        <v>1819</v>
      </c>
      <c r="C6788" t="s">
        <v>524</v>
      </c>
      <c r="D6788" t="s">
        <v>26</v>
      </c>
      <c r="E6788" s="208" t="s">
        <v>107</v>
      </c>
      <c r="F6788" t="s">
        <v>11</v>
      </c>
      <c r="G6788" s="18">
        <v>1481871</v>
      </c>
      <c r="H6788" t="s">
        <v>23</v>
      </c>
      <c r="I6788" t="s">
        <v>17</v>
      </c>
    </row>
    <row r="6789" spans="1:9" x14ac:dyDescent="0.25">
      <c r="A6789">
        <v>1818</v>
      </c>
      <c r="B6789">
        <f>A6789+1</f>
        <v>1819</v>
      </c>
      <c r="C6789" t="s">
        <v>524</v>
      </c>
      <c r="D6789" t="s">
        <v>26</v>
      </c>
      <c r="E6789" s="208" t="s">
        <v>101</v>
      </c>
      <c r="F6789" t="s">
        <v>11</v>
      </c>
      <c r="G6789" s="18">
        <v>1030222</v>
      </c>
      <c r="H6789" t="s">
        <v>23</v>
      </c>
      <c r="I6789" t="s">
        <v>17</v>
      </c>
    </row>
    <row r="6790" spans="1:9" x14ac:dyDescent="0.25">
      <c r="A6790">
        <v>1818</v>
      </c>
      <c r="B6790">
        <f>A6790+1</f>
        <v>1819</v>
      </c>
      <c r="C6790" t="s">
        <v>524</v>
      </c>
      <c r="D6790" t="s">
        <v>26</v>
      </c>
      <c r="E6790" s="208" t="s">
        <v>75</v>
      </c>
      <c r="F6790" t="s">
        <v>11</v>
      </c>
      <c r="G6790" s="18">
        <v>506240</v>
      </c>
      <c r="H6790" t="s">
        <v>23</v>
      </c>
      <c r="I6790" t="s">
        <v>17</v>
      </c>
    </row>
    <row r="6791" spans="1:9" x14ac:dyDescent="0.25">
      <c r="A6791">
        <v>1818</v>
      </c>
      <c r="B6791">
        <f>A6791+1</f>
        <v>1819</v>
      </c>
      <c r="C6791" t="s">
        <v>524</v>
      </c>
      <c r="D6791" t="s">
        <v>26</v>
      </c>
      <c r="E6791" s="208" t="s">
        <v>330</v>
      </c>
      <c r="F6791" t="s">
        <v>11</v>
      </c>
      <c r="G6791" s="18">
        <v>4</v>
      </c>
      <c r="H6791" t="s">
        <v>23</v>
      </c>
      <c r="I6791" t="s">
        <v>17</v>
      </c>
    </row>
    <row r="6792" spans="1:9" x14ac:dyDescent="0.25">
      <c r="A6792">
        <v>1818</v>
      </c>
      <c r="B6792">
        <f>A6792+1</f>
        <v>1819</v>
      </c>
      <c r="C6792" t="s">
        <v>524</v>
      </c>
      <c r="D6792" t="s">
        <v>26</v>
      </c>
      <c r="E6792" s="208" t="s">
        <v>331</v>
      </c>
      <c r="F6792" t="s">
        <v>11</v>
      </c>
      <c r="G6792" s="18">
        <v>0</v>
      </c>
      <c r="H6792" t="s">
        <v>23</v>
      </c>
      <c r="I6792" t="s">
        <v>17</v>
      </c>
    </row>
    <row r="6793" spans="1:9" x14ac:dyDescent="0.25">
      <c r="A6793">
        <v>1818</v>
      </c>
      <c r="B6793">
        <f>A6793+1</f>
        <v>1819</v>
      </c>
      <c r="C6793" t="s">
        <v>524</v>
      </c>
      <c r="D6793" t="s">
        <v>26</v>
      </c>
      <c r="E6793" s="208" t="s">
        <v>332</v>
      </c>
      <c r="F6793" t="s">
        <v>11</v>
      </c>
      <c r="G6793" s="18">
        <v>0</v>
      </c>
      <c r="H6793" t="s">
        <v>23</v>
      </c>
      <c r="I6793" t="s">
        <v>17</v>
      </c>
    </row>
    <row r="6794" spans="1:9" x14ac:dyDescent="0.25">
      <c r="A6794">
        <v>1818</v>
      </c>
      <c r="B6794">
        <f>A6794+1</f>
        <v>1819</v>
      </c>
      <c r="C6794" t="s">
        <v>524</v>
      </c>
      <c r="D6794" t="s">
        <v>26</v>
      </c>
      <c r="E6794" s="208" t="s">
        <v>333</v>
      </c>
      <c r="F6794" t="s">
        <v>11</v>
      </c>
      <c r="G6794" s="18">
        <v>1</v>
      </c>
      <c r="H6794" t="s">
        <v>23</v>
      </c>
      <c r="I6794" t="s">
        <v>17</v>
      </c>
    </row>
    <row r="6795" spans="1:9" x14ac:dyDescent="0.25">
      <c r="A6795">
        <v>1818</v>
      </c>
      <c r="B6795">
        <f>A6795+1</f>
        <v>1819</v>
      </c>
      <c r="C6795" t="s">
        <v>524</v>
      </c>
      <c r="D6795" t="s">
        <v>27</v>
      </c>
      <c r="E6795" s="208" t="s">
        <v>155</v>
      </c>
      <c r="F6795" t="s">
        <v>14</v>
      </c>
      <c r="G6795" s="18">
        <v>79081</v>
      </c>
      <c r="H6795" t="s">
        <v>17</v>
      </c>
      <c r="I6795" s="151" t="s">
        <v>562</v>
      </c>
    </row>
    <row r="6796" spans="1:9" x14ac:dyDescent="0.25">
      <c r="A6796">
        <v>1818</v>
      </c>
      <c r="B6796">
        <f>A6796+1</f>
        <v>1819</v>
      </c>
      <c r="C6796" t="s">
        <v>524</v>
      </c>
      <c r="D6796" t="s">
        <v>27</v>
      </c>
      <c r="E6796" s="208" t="s">
        <v>156</v>
      </c>
      <c r="F6796" t="s">
        <v>14</v>
      </c>
      <c r="G6796" s="18">
        <v>8992</v>
      </c>
      <c r="H6796" t="s">
        <v>17</v>
      </c>
      <c r="I6796" s="151" t="s">
        <v>562</v>
      </c>
    </row>
    <row r="6797" spans="1:9" x14ac:dyDescent="0.25">
      <c r="A6797">
        <v>1818</v>
      </c>
      <c r="B6797">
        <f>A6797+1</f>
        <v>1819</v>
      </c>
      <c r="C6797" t="s">
        <v>524</v>
      </c>
      <c r="D6797" t="s">
        <v>27</v>
      </c>
      <c r="E6797" s="208" t="s">
        <v>154</v>
      </c>
      <c r="F6797" t="s">
        <v>14</v>
      </c>
      <c r="G6797" s="18">
        <v>1153</v>
      </c>
      <c r="H6797" t="s">
        <v>17</v>
      </c>
      <c r="I6797" s="151" t="s">
        <v>562</v>
      </c>
    </row>
    <row r="6798" spans="1:9" x14ac:dyDescent="0.25">
      <c r="A6798">
        <v>1818</v>
      </c>
      <c r="B6798">
        <f>A6798+1</f>
        <v>1819</v>
      </c>
      <c r="C6798" t="s">
        <v>524</v>
      </c>
      <c r="D6798" t="s">
        <v>27</v>
      </c>
      <c r="E6798" s="208" t="s">
        <v>150</v>
      </c>
      <c r="F6798" t="s">
        <v>14</v>
      </c>
      <c r="G6798" s="18">
        <v>33289</v>
      </c>
      <c r="H6798" t="s">
        <v>17</v>
      </c>
      <c r="I6798" s="151" t="s">
        <v>562</v>
      </c>
    </row>
    <row r="6799" spans="1:9" x14ac:dyDescent="0.25">
      <c r="A6799">
        <v>1818</v>
      </c>
      <c r="B6799">
        <f>A6799+1</f>
        <v>1819</v>
      </c>
      <c r="C6799" t="s">
        <v>524</v>
      </c>
      <c r="D6799" t="s">
        <v>27</v>
      </c>
      <c r="E6799" s="208" t="s">
        <v>148</v>
      </c>
      <c r="F6799" t="s">
        <v>14</v>
      </c>
      <c r="G6799" s="18">
        <v>688</v>
      </c>
      <c r="H6799" t="s">
        <v>17</v>
      </c>
      <c r="I6799" s="151" t="s">
        <v>562</v>
      </c>
    </row>
    <row r="6800" spans="1:9" x14ac:dyDescent="0.25">
      <c r="A6800">
        <v>1818</v>
      </c>
      <c r="B6800">
        <f>A6800+1</f>
        <v>1819</v>
      </c>
      <c r="C6800" t="s">
        <v>524</v>
      </c>
      <c r="D6800" t="s">
        <v>27</v>
      </c>
      <c r="E6800" s="208" t="s">
        <v>147</v>
      </c>
      <c r="F6800" t="s">
        <v>14</v>
      </c>
      <c r="G6800" s="18">
        <v>0</v>
      </c>
      <c r="H6800" t="s">
        <v>17</v>
      </c>
      <c r="I6800" s="151" t="s">
        <v>562</v>
      </c>
    </row>
    <row r="6801" spans="1:9" x14ac:dyDescent="0.25">
      <c r="A6801">
        <v>1818</v>
      </c>
      <c r="B6801">
        <f>A6801+1</f>
        <v>1819</v>
      </c>
      <c r="C6801" t="s">
        <v>524</v>
      </c>
      <c r="D6801" t="s">
        <v>27</v>
      </c>
      <c r="E6801" s="208" t="s">
        <v>314</v>
      </c>
      <c r="F6801" t="s">
        <v>14</v>
      </c>
      <c r="G6801" s="18">
        <v>0</v>
      </c>
      <c r="H6801" t="s">
        <v>17</v>
      </c>
      <c r="I6801" s="151" t="s">
        <v>562</v>
      </c>
    </row>
    <row r="6802" spans="1:9" x14ac:dyDescent="0.25">
      <c r="A6802">
        <v>1818</v>
      </c>
      <c r="B6802">
        <f>A6802+1</f>
        <v>1819</v>
      </c>
      <c r="C6802" t="s">
        <v>524</v>
      </c>
      <c r="D6802" t="s">
        <v>27</v>
      </c>
      <c r="E6802" s="208" t="s">
        <v>139</v>
      </c>
      <c r="F6802" t="s">
        <v>14</v>
      </c>
      <c r="G6802" s="18">
        <v>246</v>
      </c>
      <c r="H6802" t="s">
        <v>17</v>
      </c>
      <c r="I6802" s="151" t="s">
        <v>562</v>
      </c>
    </row>
    <row r="6803" spans="1:9" x14ac:dyDescent="0.25">
      <c r="A6803">
        <v>1818</v>
      </c>
      <c r="B6803">
        <f>A6803+1</f>
        <v>1819</v>
      </c>
      <c r="C6803" t="s">
        <v>524</v>
      </c>
      <c r="D6803" t="s">
        <v>27</v>
      </c>
      <c r="E6803" s="208" t="s">
        <v>132</v>
      </c>
      <c r="F6803" t="s">
        <v>14</v>
      </c>
      <c r="G6803" s="18">
        <v>778</v>
      </c>
      <c r="H6803" t="s">
        <v>17</v>
      </c>
      <c r="I6803" s="151" t="s">
        <v>562</v>
      </c>
    </row>
    <row r="6804" spans="1:9" x14ac:dyDescent="0.25">
      <c r="A6804">
        <v>1818</v>
      </c>
      <c r="B6804">
        <f>A6804+1</f>
        <v>1819</v>
      </c>
      <c r="C6804" t="s">
        <v>524</v>
      </c>
      <c r="D6804" t="s">
        <v>27</v>
      </c>
      <c r="E6804" s="208" t="s">
        <v>130</v>
      </c>
      <c r="F6804" t="s">
        <v>14</v>
      </c>
      <c r="G6804" s="18">
        <v>529</v>
      </c>
      <c r="H6804" t="s">
        <v>17</v>
      </c>
      <c r="I6804" s="151" t="s">
        <v>562</v>
      </c>
    </row>
    <row r="6805" spans="1:9" x14ac:dyDescent="0.25">
      <c r="A6805">
        <v>1818</v>
      </c>
      <c r="B6805">
        <f>A6805+1</f>
        <v>1819</v>
      </c>
      <c r="C6805" t="s">
        <v>524</v>
      </c>
      <c r="D6805" t="s">
        <v>27</v>
      </c>
      <c r="E6805" s="208" t="s">
        <v>144</v>
      </c>
      <c r="F6805" t="s">
        <v>14</v>
      </c>
      <c r="G6805" s="18">
        <v>334</v>
      </c>
      <c r="H6805" t="s">
        <v>17</v>
      </c>
      <c r="I6805" s="151" t="s">
        <v>562</v>
      </c>
    </row>
    <row r="6806" spans="1:9" x14ac:dyDescent="0.25">
      <c r="A6806">
        <v>1818</v>
      </c>
      <c r="B6806">
        <f>A6806+1</f>
        <v>1819</v>
      </c>
      <c r="C6806" t="s">
        <v>524</v>
      </c>
      <c r="D6806" t="s">
        <v>27</v>
      </c>
      <c r="E6806" s="208" t="s">
        <v>142</v>
      </c>
      <c r="F6806" t="s">
        <v>14</v>
      </c>
      <c r="G6806" s="18">
        <v>20880</v>
      </c>
      <c r="H6806" t="s">
        <v>17</v>
      </c>
      <c r="I6806" s="151" t="s">
        <v>562</v>
      </c>
    </row>
    <row r="6807" spans="1:9" x14ac:dyDescent="0.25">
      <c r="A6807">
        <v>1818</v>
      </c>
      <c r="B6807">
        <f>A6807+1</f>
        <v>1819</v>
      </c>
      <c r="C6807" t="s">
        <v>524</v>
      </c>
      <c r="D6807" t="s">
        <v>27</v>
      </c>
      <c r="E6807" s="208" t="s">
        <v>124</v>
      </c>
      <c r="F6807" t="s">
        <v>14</v>
      </c>
      <c r="G6807" s="18">
        <v>6941569</v>
      </c>
      <c r="H6807" t="s">
        <v>17</v>
      </c>
      <c r="I6807" s="151" t="s">
        <v>562</v>
      </c>
    </row>
    <row r="6808" spans="1:9" x14ac:dyDescent="0.25">
      <c r="A6808">
        <v>1818</v>
      </c>
      <c r="B6808">
        <f>A6808+1</f>
        <v>1819</v>
      </c>
      <c r="C6808" t="s">
        <v>524</v>
      </c>
      <c r="D6808" t="s">
        <v>26</v>
      </c>
      <c r="E6808" s="208" t="s">
        <v>62</v>
      </c>
      <c r="F6808" t="s">
        <v>14</v>
      </c>
      <c r="G6808" s="18">
        <v>8010</v>
      </c>
      <c r="H6808" s="151" t="s">
        <v>563</v>
      </c>
      <c r="I6808" t="s">
        <v>17</v>
      </c>
    </row>
    <row r="6809" spans="1:9" x14ac:dyDescent="0.25">
      <c r="A6809">
        <v>1818</v>
      </c>
      <c r="B6809">
        <f>A6809+1</f>
        <v>1819</v>
      </c>
      <c r="C6809" t="s">
        <v>524</v>
      </c>
      <c r="D6809" t="s">
        <v>26</v>
      </c>
      <c r="E6809" s="208" t="s">
        <v>36</v>
      </c>
      <c r="F6809" t="s">
        <v>14</v>
      </c>
      <c r="G6809" s="18">
        <v>666</v>
      </c>
      <c r="H6809" s="151" t="s">
        <v>563</v>
      </c>
      <c r="I6809" t="s">
        <v>17</v>
      </c>
    </row>
    <row r="6810" spans="1:9" x14ac:dyDescent="0.25">
      <c r="A6810">
        <v>1818</v>
      </c>
      <c r="B6810">
        <f>A6810+1</f>
        <v>1819</v>
      </c>
      <c r="C6810" t="s">
        <v>524</v>
      </c>
      <c r="D6810" t="s">
        <v>26</v>
      </c>
      <c r="E6810" s="208" t="s">
        <v>35</v>
      </c>
      <c r="F6810" t="s">
        <v>14</v>
      </c>
      <c r="G6810" s="18">
        <v>0</v>
      </c>
      <c r="H6810" s="151" t="s">
        <v>563</v>
      </c>
      <c r="I6810" t="s">
        <v>17</v>
      </c>
    </row>
    <row r="6811" spans="1:9" x14ac:dyDescent="0.25">
      <c r="A6811">
        <v>1818</v>
      </c>
      <c r="B6811">
        <f>A6811+1</f>
        <v>1819</v>
      </c>
      <c r="C6811" t="s">
        <v>524</v>
      </c>
      <c r="D6811" t="s">
        <v>26</v>
      </c>
      <c r="E6811" s="208" t="s">
        <v>39</v>
      </c>
      <c r="F6811" t="s">
        <v>14</v>
      </c>
      <c r="G6811" s="18">
        <v>418</v>
      </c>
      <c r="H6811" s="151" t="s">
        <v>563</v>
      </c>
      <c r="I6811" t="s">
        <v>17</v>
      </c>
    </row>
    <row r="6812" spans="1:9" x14ac:dyDescent="0.25">
      <c r="A6812">
        <v>1818</v>
      </c>
      <c r="B6812">
        <f>A6812+1</f>
        <v>1819</v>
      </c>
      <c r="C6812" t="s">
        <v>524</v>
      </c>
      <c r="D6812" t="s">
        <v>26</v>
      </c>
      <c r="E6812" s="208" t="s">
        <v>99</v>
      </c>
      <c r="F6812" t="s">
        <v>14</v>
      </c>
      <c r="G6812" s="18">
        <v>304</v>
      </c>
      <c r="H6812" s="151" t="s">
        <v>563</v>
      </c>
      <c r="I6812" t="s">
        <v>17</v>
      </c>
    </row>
    <row r="6813" spans="1:9" x14ac:dyDescent="0.25">
      <c r="A6813">
        <v>1818</v>
      </c>
      <c r="B6813">
        <f>A6813+1</f>
        <v>1819</v>
      </c>
      <c r="C6813" t="s">
        <v>524</v>
      </c>
      <c r="D6813" t="s">
        <v>26</v>
      </c>
      <c r="E6813" s="208" t="s">
        <v>95</v>
      </c>
      <c r="F6813" t="s">
        <v>14</v>
      </c>
      <c r="G6813" s="18">
        <v>975</v>
      </c>
      <c r="H6813" s="151" t="s">
        <v>563</v>
      </c>
      <c r="I6813" t="s">
        <v>17</v>
      </c>
    </row>
    <row r="6814" spans="1:9" x14ac:dyDescent="0.25">
      <c r="A6814">
        <v>1818</v>
      </c>
      <c r="B6814">
        <f>A6814+1</f>
        <v>1819</v>
      </c>
      <c r="C6814" t="s">
        <v>524</v>
      </c>
      <c r="D6814" t="s">
        <v>26</v>
      </c>
      <c r="E6814" s="208" t="s">
        <v>94</v>
      </c>
      <c r="F6814" t="s">
        <v>14</v>
      </c>
      <c r="G6814" s="18">
        <v>85</v>
      </c>
      <c r="H6814" s="151" t="s">
        <v>563</v>
      </c>
      <c r="I6814" t="s">
        <v>17</v>
      </c>
    </row>
    <row r="6815" spans="1:9" x14ac:dyDescent="0.25">
      <c r="A6815">
        <v>1818</v>
      </c>
      <c r="B6815">
        <f>A6815+1</f>
        <v>1819</v>
      </c>
      <c r="C6815" t="s">
        <v>524</v>
      </c>
      <c r="D6815" t="s">
        <v>26</v>
      </c>
      <c r="E6815" s="208" t="s">
        <v>386</v>
      </c>
      <c r="F6815" t="s">
        <v>14</v>
      </c>
      <c r="G6815" s="18">
        <v>5031</v>
      </c>
      <c r="H6815" s="151" t="s">
        <v>563</v>
      </c>
      <c r="I6815" t="s">
        <v>17</v>
      </c>
    </row>
    <row r="6816" spans="1:9" x14ac:dyDescent="0.25">
      <c r="A6816">
        <v>1818</v>
      </c>
      <c r="B6816">
        <f>A6816+1</f>
        <v>1819</v>
      </c>
      <c r="C6816" t="s">
        <v>524</v>
      </c>
      <c r="D6816" t="s">
        <v>26</v>
      </c>
      <c r="E6816" s="208" t="s">
        <v>387</v>
      </c>
      <c r="F6816" t="s">
        <v>14</v>
      </c>
      <c r="G6816" s="18">
        <v>100</v>
      </c>
      <c r="H6816" s="151" t="s">
        <v>563</v>
      </c>
      <c r="I6816" t="s">
        <v>17</v>
      </c>
    </row>
    <row r="6817" spans="1:9" x14ac:dyDescent="0.25">
      <c r="A6817">
        <v>1818</v>
      </c>
      <c r="B6817">
        <f>A6817+1</f>
        <v>1819</v>
      </c>
      <c r="C6817" t="s">
        <v>524</v>
      </c>
      <c r="D6817" t="s">
        <v>26</v>
      </c>
      <c r="E6817" s="208" t="s">
        <v>388</v>
      </c>
      <c r="F6817" t="s">
        <v>14</v>
      </c>
      <c r="G6817" s="18">
        <v>2078</v>
      </c>
      <c r="H6817" s="151" t="s">
        <v>563</v>
      </c>
      <c r="I6817" t="s">
        <v>17</v>
      </c>
    </row>
    <row r="6818" spans="1:9" x14ac:dyDescent="0.25">
      <c r="A6818">
        <v>1818</v>
      </c>
      <c r="B6818">
        <f>A6818+1</f>
        <v>1819</v>
      </c>
      <c r="C6818" t="s">
        <v>524</v>
      </c>
      <c r="D6818" t="s">
        <v>26</v>
      </c>
      <c r="E6818" s="208" t="s">
        <v>383</v>
      </c>
      <c r="F6818" t="s">
        <v>14</v>
      </c>
      <c r="G6818" s="18">
        <v>214</v>
      </c>
      <c r="H6818" s="151" t="s">
        <v>563</v>
      </c>
      <c r="I6818" t="s">
        <v>17</v>
      </c>
    </row>
    <row r="6819" spans="1:9" x14ac:dyDescent="0.25">
      <c r="A6819">
        <v>1818</v>
      </c>
      <c r="B6819">
        <f>A6819+1</f>
        <v>1819</v>
      </c>
      <c r="C6819" t="s">
        <v>524</v>
      </c>
      <c r="D6819" t="s">
        <v>26</v>
      </c>
      <c r="E6819" s="208" t="s">
        <v>384</v>
      </c>
      <c r="F6819" t="s">
        <v>14</v>
      </c>
      <c r="G6819" s="18">
        <v>67</v>
      </c>
      <c r="H6819" s="151" t="s">
        <v>563</v>
      </c>
      <c r="I6819" t="s">
        <v>17</v>
      </c>
    </row>
    <row r="6820" spans="1:9" x14ac:dyDescent="0.25">
      <c r="A6820">
        <v>1818</v>
      </c>
      <c r="B6820">
        <f>A6820+1</f>
        <v>1819</v>
      </c>
      <c r="C6820" t="s">
        <v>524</v>
      </c>
      <c r="D6820" t="s">
        <v>26</v>
      </c>
      <c r="E6820" s="208" t="s">
        <v>107</v>
      </c>
      <c r="F6820" t="s">
        <v>14</v>
      </c>
      <c r="G6820" s="18">
        <v>3508327</v>
      </c>
      <c r="H6820" s="151" t="s">
        <v>563</v>
      </c>
      <c r="I6820" t="s">
        <v>17</v>
      </c>
    </row>
    <row r="6821" spans="1:9" x14ac:dyDescent="0.25">
      <c r="A6821">
        <v>1818</v>
      </c>
      <c r="B6821">
        <f>A6821+1</f>
        <v>1819</v>
      </c>
      <c r="C6821" t="s">
        <v>524</v>
      </c>
      <c r="D6821" t="s">
        <v>26</v>
      </c>
      <c r="E6821" s="208" t="s">
        <v>101</v>
      </c>
      <c r="F6821" t="s">
        <v>14</v>
      </c>
      <c r="G6821" s="18">
        <v>4292992</v>
      </c>
      <c r="H6821" s="151" t="s">
        <v>563</v>
      </c>
      <c r="I6821" t="s">
        <v>17</v>
      </c>
    </row>
    <row r="6822" spans="1:9" x14ac:dyDescent="0.25">
      <c r="A6822">
        <v>1818</v>
      </c>
      <c r="B6822">
        <f>A6822+1</f>
        <v>1819</v>
      </c>
      <c r="C6822" t="s">
        <v>524</v>
      </c>
      <c r="D6822" t="s">
        <v>26</v>
      </c>
      <c r="E6822" s="208" t="s">
        <v>75</v>
      </c>
      <c r="F6822" t="s">
        <v>14</v>
      </c>
      <c r="G6822" s="18">
        <v>4490066</v>
      </c>
      <c r="H6822" s="151" t="s">
        <v>563</v>
      </c>
      <c r="I6822" t="s">
        <v>17</v>
      </c>
    </row>
    <row r="6823" spans="1:9" x14ac:dyDescent="0.25">
      <c r="A6823">
        <v>1818</v>
      </c>
      <c r="B6823">
        <f>A6823+1</f>
        <v>1819</v>
      </c>
      <c r="C6823" t="s">
        <v>524</v>
      </c>
      <c r="D6823" t="s">
        <v>26</v>
      </c>
      <c r="E6823" s="208" t="s">
        <v>330</v>
      </c>
      <c r="F6823" t="s">
        <v>14</v>
      </c>
      <c r="G6823" s="18">
        <v>354</v>
      </c>
      <c r="H6823" s="151" t="s">
        <v>563</v>
      </c>
      <c r="I6823" t="s">
        <v>17</v>
      </c>
    </row>
    <row r="6824" spans="1:9" x14ac:dyDescent="0.25">
      <c r="A6824">
        <v>1818</v>
      </c>
      <c r="B6824">
        <f>A6824+1</f>
        <v>1819</v>
      </c>
      <c r="C6824" t="s">
        <v>524</v>
      </c>
      <c r="D6824" t="s">
        <v>26</v>
      </c>
      <c r="E6824" s="208" t="s">
        <v>331</v>
      </c>
      <c r="F6824" t="s">
        <v>14</v>
      </c>
      <c r="G6824" s="18">
        <v>594</v>
      </c>
      <c r="H6824" s="151" t="s">
        <v>563</v>
      </c>
      <c r="I6824" t="s">
        <v>17</v>
      </c>
    </row>
    <row r="6825" spans="1:9" x14ac:dyDescent="0.25">
      <c r="A6825">
        <v>1818</v>
      </c>
      <c r="B6825">
        <f>A6825+1</f>
        <v>1819</v>
      </c>
      <c r="C6825" t="s">
        <v>524</v>
      </c>
      <c r="D6825" t="s">
        <v>26</v>
      </c>
      <c r="E6825" s="208" t="s">
        <v>332</v>
      </c>
      <c r="F6825" t="s">
        <v>14</v>
      </c>
      <c r="G6825" s="18">
        <v>7</v>
      </c>
      <c r="H6825" s="151" t="s">
        <v>563</v>
      </c>
      <c r="I6825" t="s">
        <v>17</v>
      </c>
    </row>
    <row r="6826" spans="1:9" x14ac:dyDescent="0.25">
      <c r="A6826">
        <v>1818</v>
      </c>
      <c r="B6826">
        <f>A6826+1</f>
        <v>1819</v>
      </c>
      <c r="C6826" t="s">
        <v>524</v>
      </c>
      <c r="D6826" t="s">
        <v>26</v>
      </c>
      <c r="E6826" s="208" t="s">
        <v>333</v>
      </c>
      <c r="F6826" t="s">
        <v>14</v>
      </c>
      <c r="G6826" s="18">
        <v>277</v>
      </c>
      <c r="H6826" s="151" t="s">
        <v>563</v>
      </c>
      <c r="I6826" t="s">
        <v>17</v>
      </c>
    </row>
    <row r="6827" spans="1:9" x14ac:dyDescent="0.25">
      <c r="A6827">
        <v>1818</v>
      </c>
      <c r="B6827">
        <f>A6827+1</f>
        <v>1819</v>
      </c>
      <c r="C6827" t="s">
        <v>524</v>
      </c>
      <c r="D6827" t="s">
        <v>27</v>
      </c>
      <c r="E6827" s="208" t="s">
        <v>155</v>
      </c>
      <c r="F6827" t="s">
        <v>15</v>
      </c>
      <c r="G6827" s="18">
        <v>108305</v>
      </c>
      <c r="H6827" t="s">
        <v>561</v>
      </c>
      <c r="I6827" s="151" t="s">
        <v>562</v>
      </c>
    </row>
    <row r="6828" spans="1:9" x14ac:dyDescent="0.25">
      <c r="A6828">
        <v>1818</v>
      </c>
      <c r="B6828">
        <f>A6828+1</f>
        <v>1819</v>
      </c>
      <c r="C6828" t="s">
        <v>524</v>
      </c>
      <c r="D6828" t="s">
        <v>27</v>
      </c>
      <c r="E6828" s="208" t="s">
        <v>156</v>
      </c>
      <c r="F6828" t="s">
        <v>15</v>
      </c>
      <c r="G6828" s="18">
        <v>11450</v>
      </c>
      <c r="H6828" t="s">
        <v>561</v>
      </c>
      <c r="I6828" s="151" t="s">
        <v>562</v>
      </c>
    </row>
    <row r="6829" spans="1:9" x14ac:dyDescent="0.25">
      <c r="A6829">
        <v>1818</v>
      </c>
      <c r="B6829">
        <f>A6829+1</f>
        <v>1819</v>
      </c>
      <c r="C6829" t="s">
        <v>524</v>
      </c>
      <c r="D6829" t="s">
        <v>27</v>
      </c>
      <c r="E6829" s="208" t="s">
        <v>154</v>
      </c>
      <c r="F6829" t="s">
        <v>15</v>
      </c>
      <c r="G6829" s="18">
        <v>3244</v>
      </c>
      <c r="H6829" t="s">
        <v>561</v>
      </c>
      <c r="I6829" s="151" t="s">
        <v>562</v>
      </c>
    </row>
    <row r="6830" spans="1:9" x14ac:dyDescent="0.25">
      <c r="A6830">
        <v>1818</v>
      </c>
      <c r="B6830">
        <f>A6830+1</f>
        <v>1819</v>
      </c>
      <c r="C6830" t="s">
        <v>524</v>
      </c>
      <c r="D6830" t="s">
        <v>27</v>
      </c>
      <c r="E6830" s="208" t="s">
        <v>150</v>
      </c>
      <c r="F6830" t="s">
        <v>15</v>
      </c>
      <c r="G6830" s="18">
        <v>43946</v>
      </c>
      <c r="H6830" t="s">
        <v>561</v>
      </c>
      <c r="I6830" s="151" t="s">
        <v>562</v>
      </c>
    </row>
    <row r="6831" spans="1:9" x14ac:dyDescent="0.25">
      <c r="A6831">
        <v>1818</v>
      </c>
      <c r="B6831">
        <f>A6831+1</f>
        <v>1819</v>
      </c>
      <c r="C6831" t="s">
        <v>524</v>
      </c>
      <c r="D6831" t="s">
        <v>27</v>
      </c>
      <c r="E6831" s="208" t="s">
        <v>148</v>
      </c>
      <c r="F6831" t="s">
        <v>15</v>
      </c>
      <c r="G6831" s="18">
        <v>1695</v>
      </c>
      <c r="H6831" t="s">
        <v>561</v>
      </c>
      <c r="I6831" s="151" t="s">
        <v>562</v>
      </c>
    </row>
    <row r="6832" spans="1:9" x14ac:dyDescent="0.25">
      <c r="A6832">
        <v>1818</v>
      </c>
      <c r="B6832">
        <f>A6832+1</f>
        <v>1819</v>
      </c>
      <c r="C6832" t="s">
        <v>524</v>
      </c>
      <c r="D6832" t="s">
        <v>27</v>
      </c>
      <c r="E6832" s="208" t="s">
        <v>147</v>
      </c>
      <c r="F6832" t="s">
        <v>15</v>
      </c>
      <c r="G6832" s="18">
        <v>602</v>
      </c>
      <c r="H6832" t="s">
        <v>561</v>
      </c>
      <c r="I6832" s="151" t="s">
        <v>562</v>
      </c>
    </row>
    <row r="6833" spans="1:9" x14ac:dyDescent="0.25">
      <c r="A6833">
        <v>1818</v>
      </c>
      <c r="B6833">
        <f>A6833+1</f>
        <v>1819</v>
      </c>
      <c r="C6833" t="s">
        <v>524</v>
      </c>
      <c r="D6833" t="s">
        <v>27</v>
      </c>
      <c r="E6833" s="208" t="s">
        <v>314</v>
      </c>
      <c r="F6833" t="s">
        <v>15</v>
      </c>
      <c r="G6833" s="18">
        <v>1558</v>
      </c>
      <c r="H6833" t="s">
        <v>561</v>
      </c>
      <c r="I6833" s="151" t="s">
        <v>562</v>
      </c>
    </row>
    <row r="6834" spans="1:9" x14ac:dyDescent="0.25">
      <c r="A6834">
        <v>1818</v>
      </c>
      <c r="B6834">
        <f>A6834+1</f>
        <v>1819</v>
      </c>
      <c r="C6834" t="s">
        <v>524</v>
      </c>
      <c r="D6834" t="s">
        <v>27</v>
      </c>
      <c r="E6834" s="208" t="s">
        <v>139</v>
      </c>
      <c r="F6834" t="s">
        <v>15</v>
      </c>
      <c r="G6834" s="18">
        <v>253</v>
      </c>
      <c r="H6834" t="s">
        <v>561</v>
      </c>
      <c r="I6834" s="151" t="s">
        <v>562</v>
      </c>
    </row>
    <row r="6835" spans="1:9" x14ac:dyDescent="0.25">
      <c r="A6835">
        <v>1818</v>
      </c>
      <c r="B6835">
        <f>A6835+1</f>
        <v>1819</v>
      </c>
      <c r="C6835" t="s">
        <v>524</v>
      </c>
      <c r="D6835" t="s">
        <v>27</v>
      </c>
      <c r="E6835" s="208" t="s">
        <v>132</v>
      </c>
      <c r="F6835" t="s">
        <v>15</v>
      </c>
      <c r="G6835" s="18">
        <v>1714</v>
      </c>
      <c r="H6835" t="s">
        <v>561</v>
      </c>
      <c r="I6835" s="151" t="s">
        <v>562</v>
      </c>
    </row>
    <row r="6836" spans="1:9" x14ac:dyDescent="0.25">
      <c r="A6836">
        <v>1818</v>
      </c>
      <c r="B6836">
        <f>A6836+1</f>
        <v>1819</v>
      </c>
      <c r="C6836" t="s">
        <v>524</v>
      </c>
      <c r="D6836" t="s">
        <v>27</v>
      </c>
      <c r="E6836" s="208" t="s">
        <v>130</v>
      </c>
      <c r="F6836" t="s">
        <v>15</v>
      </c>
      <c r="G6836" s="18">
        <v>718</v>
      </c>
      <c r="H6836" t="s">
        <v>561</v>
      </c>
      <c r="I6836" s="151" t="s">
        <v>562</v>
      </c>
    </row>
    <row r="6837" spans="1:9" x14ac:dyDescent="0.25">
      <c r="A6837">
        <v>1818</v>
      </c>
      <c r="B6837">
        <f>A6837+1</f>
        <v>1819</v>
      </c>
      <c r="C6837" t="s">
        <v>524</v>
      </c>
      <c r="D6837" t="s">
        <v>27</v>
      </c>
      <c r="E6837" s="208" t="s">
        <v>144</v>
      </c>
      <c r="F6837" t="s">
        <v>15</v>
      </c>
      <c r="G6837" s="18">
        <v>882</v>
      </c>
      <c r="H6837" t="s">
        <v>561</v>
      </c>
      <c r="I6837" s="151" t="s">
        <v>562</v>
      </c>
    </row>
    <row r="6838" spans="1:9" x14ac:dyDescent="0.25">
      <c r="A6838">
        <v>1818</v>
      </c>
      <c r="B6838">
        <f>A6838+1</f>
        <v>1819</v>
      </c>
      <c r="C6838" t="s">
        <v>524</v>
      </c>
      <c r="D6838" t="s">
        <v>27</v>
      </c>
      <c r="E6838" s="208" t="s">
        <v>142</v>
      </c>
      <c r="F6838" t="s">
        <v>15</v>
      </c>
      <c r="G6838" s="18">
        <v>24500</v>
      </c>
      <c r="H6838" t="s">
        <v>561</v>
      </c>
      <c r="I6838" s="151" t="s">
        <v>562</v>
      </c>
    </row>
    <row r="6839" spans="1:9" x14ac:dyDescent="0.25">
      <c r="A6839">
        <v>1818</v>
      </c>
      <c r="B6839">
        <f>A6839+1</f>
        <v>1819</v>
      </c>
      <c r="C6839" t="s">
        <v>524</v>
      </c>
      <c r="D6839" t="s">
        <v>27</v>
      </c>
      <c r="E6839" s="208" t="s">
        <v>124</v>
      </c>
      <c r="F6839" t="s">
        <v>15</v>
      </c>
      <c r="G6839" s="18">
        <v>14091983</v>
      </c>
      <c r="H6839" t="s">
        <v>561</v>
      </c>
      <c r="I6839" s="151" t="s">
        <v>562</v>
      </c>
    </row>
    <row r="6840" spans="1:9" x14ac:dyDescent="0.25">
      <c r="A6840">
        <v>1818</v>
      </c>
      <c r="B6840">
        <f>A6840+1</f>
        <v>1819</v>
      </c>
      <c r="C6840" t="s">
        <v>524</v>
      </c>
      <c r="D6840" t="s">
        <v>26</v>
      </c>
      <c r="E6840" s="208" t="s">
        <v>62</v>
      </c>
      <c r="F6840" t="s">
        <v>15</v>
      </c>
      <c r="G6840" s="18">
        <v>62932</v>
      </c>
      <c r="H6840" s="151" t="s">
        <v>563</v>
      </c>
      <c r="I6840" t="s">
        <v>561</v>
      </c>
    </row>
    <row r="6841" spans="1:9" x14ac:dyDescent="0.25">
      <c r="A6841">
        <v>1818</v>
      </c>
      <c r="B6841">
        <f>A6841+1</f>
        <v>1819</v>
      </c>
      <c r="C6841" t="s">
        <v>524</v>
      </c>
      <c r="D6841" t="s">
        <v>26</v>
      </c>
      <c r="E6841" s="208" t="s">
        <v>36</v>
      </c>
      <c r="F6841" t="s">
        <v>15</v>
      </c>
      <c r="G6841" s="18">
        <v>3964</v>
      </c>
      <c r="H6841" s="151" t="s">
        <v>563</v>
      </c>
      <c r="I6841" t="s">
        <v>561</v>
      </c>
    </row>
    <row r="6842" spans="1:9" x14ac:dyDescent="0.25">
      <c r="A6842">
        <v>1818</v>
      </c>
      <c r="B6842">
        <f>A6842+1</f>
        <v>1819</v>
      </c>
      <c r="C6842" t="s">
        <v>524</v>
      </c>
      <c r="D6842" t="s">
        <v>26</v>
      </c>
      <c r="E6842" s="208" t="s">
        <v>35</v>
      </c>
      <c r="F6842" t="s">
        <v>15</v>
      </c>
      <c r="G6842" s="18">
        <v>4647</v>
      </c>
      <c r="H6842" s="151" t="s">
        <v>563</v>
      </c>
      <c r="I6842" t="s">
        <v>561</v>
      </c>
    </row>
    <row r="6843" spans="1:9" x14ac:dyDescent="0.25">
      <c r="A6843">
        <v>1818</v>
      </c>
      <c r="B6843">
        <f>A6843+1</f>
        <v>1819</v>
      </c>
      <c r="C6843" t="s">
        <v>524</v>
      </c>
      <c r="D6843" t="s">
        <v>26</v>
      </c>
      <c r="E6843" s="208" t="s">
        <v>39</v>
      </c>
      <c r="F6843" t="s">
        <v>15</v>
      </c>
      <c r="G6843" s="18">
        <v>2584</v>
      </c>
      <c r="H6843" s="151" t="s">
        <v>563</v>
      </c>
      <c r="I6843" t="s">
        <v>561</v>
      </c>
    </row>
    <row r="6844" spans="1:9" x14ac:dyDescent="0.25">
      <c r="A6844">
        <v>1818</v>
      </c>
      <c r="B6844">
        <f>A6844+1</f>
        <v>1819</v>
      </c>
      <c r="C6844" t="s">
        <v>524</v>
      </c>
      <c r="D6844" t="s">
        <v>26</v>
      </c>
      <c r="E6844" s="208" t="s">
        <v>99</v>
      </c>
      <c r="F6844" t="s">
        <v>15</v>
      </c>
      <c r="G6844" s="18">
        <v>1349</v>
      </c>
      <c r="H6844" s="151" t="s">
        <v>563</v>
      </c>
      <c r="I6844" t="s">
        <v>561</v>
      </c>
    </row>
    <row r="6845" spans="1:9" x14ac:dyDescent="0.25">
      <c r="A6845">
        <v>1818</v>
      </c>
      <c r="B6845">
        <f>A6845+1</f>
        <v>1819</v>
      </c>
      <c r="C6845" t="s">
        <v>524</v>
      </c>
      <c r="D6845" t="s">
        <v>26</v>
      </c>
      <c r="E6845" s="208" t="s">
        <v>95</v>
      </c>
      <c r="F6845" t="s">
        <v>15</v>
      </c>
      <c r="G6845" s="18">
        <v>1435</v>
      </c>
      <c r="H6845" s="151" t="s">
        <v>563</v>
      </c>
      <c r="I6845" t="s">
        <v>561</v>
      </c>
    </row>
    <row r="6846" spans="1:9" x14ac:dyDescent="0.25">
      <c r="A6846">
        <v>1818</v>
      </c>
      <c r="B6846">
        <f>A6846+1</f>
        <v>1819</v>
      </c>
      <c r="C6846" t="s">
        <v>524</v>
      </c>
      <c r="D6846" t="s">
        <v>26</v>
      </c>
      <c r="E6846" s="208" t="s">
        <v>94</v>
      </c>
      <c r="F6846" t="s">
        <v>15</v>
      </c>
      <c r="G6846" s="18">
        <v>9368</v>
      </c>
      <c r="H6846" s="151" t="s">
        <v>563</v>
      </c>
      <c r="I6846" t="s">
        <v>561</v>
      </c>
    </row>
    <row r="6847" spans="1:9" x14ac:dyDescent="0.25">
      <c r="A6847">
        <v>1818</v>
      </c>
      <c r="B6847">
        <f>A6847+1</f>
        <v>1819</v>
      </c>
      <c r="C6847" t="s">
        <v>524</v>
      </c>
      <c r="D6847" t="s">
        <v>26</v>
      </c>
      <c r="E6847" s="208" t="s">
        <v>386</v>
      </c>
      <c r="F6847" t="s">
        <v>15</v>
      </c>
      <c r="G6847" s="18">
        <v>18420</v>
      </c>
      <c r="H6847" s="151" t="s">
        <v>563</v>
      </c>
      <c r="I6847" t="s">
        <v>561</v>
      </c>
    </row>
    <row r="6848" spans="1:9" x14ac:dyDescent="0.25">
      <c r="A6848">
        <v>1818</v>
      </c>
      <c r="B6848">
        <f>A6848+1</f>
        <v>1819</v>
      </c>
      <c r="C6848" t="s">
        <v>524</v>
      </c>
      <c r="D6848" t="s">
        <v>26</v>
      </c>
      <c r="E6848" s="208" t="s">
        <v>387</v>
      </c>
      <c r="F6848" t="s">
        <v>15</v>
      </c>
      <c r="G6848" s="18">
        <v>3336</v>
      </c>
      <c r="H6848" s="151" t="s">
        <v>563</v>
      </c>
      <c r="I6848" t="s">
        <v>561</v>
      </c>
    </row>
    <row r="6849" spans="1:9" x14ac:dyDescent="0.25">
      <c r="A6849">
        <v>1818</v>
      </c>
      <c r="B6849">
        <f>A6849+1</f>
        <v>1819</v>
      </c>
      <c r="C6849" t="s">
        <v>524</v>
      </c>
      <c r="D6849" t="s">
        <v>26</v>
      </c>
      <c r="E6849" s="208" t="s">
        <v>388</v>
      </c>
      <c r="F6849" t="s">
        <v>15</v>
      </c>
      <c r="G6849" s="18">
        <v>12080</v>
      </c>
      <c r="H6849" s="151" t="s">
        <v>563</v>
      </c>
      <c r="I6849" t="s">
        <v>561</v>
      </c>
    </row>
    <row r="6850" spans="1:9" x14ac:dyDescent="0.25">
      <c r="A6850">
        <v>1818</v>
      </c>
      <c r="B6850">
        <f>A6850+1</f>
        <v>1819</v>
      </c>
      <c r="C6850" t="s">
        <v>524</v>
      </c>
      <c r="D6850" t="s">
        <v>26</v>
      </c>
      <c r="E6850" s="208" t="s">
        <v>383</v>
      </c>
      <c r="F6850" t="s">
        <v>15</v>
      </c>
      <c r="G6850" s="18">
        <v>733</v>
      </c>
      <c r="H6850" s="151" t="s">
        <v>563</v>
      </c>
      <c r="I6850" t="s">
        <v>561</v>
      </c>
    </row>
    <row r="6851" spans="1:9" x14ac:dyDescent="0.25">
      <c r="A6851">
        <v>1818</v>
      </c>
      <c r="B6851">
        <f>A6851+1</f>
        <v>1819</v>
      </c>
      <c r="C6851" t="s">
        <v>524</v>
      </c>
      <c r="D6851" t="s">
        <v>26</v>
      </c>
      <c r="E6851" s="208" t="s">
        <v>384</v>
      </c>
      <c r="F6851" t="s">
        <v>15</v>
      </c>
      <c r="G6851" s="18">
        <v>1410</v>
      </c>
      <c r="H6851" s="151" t="s">
        <v>563</v>
      </c>
      <c r="I6851" t="s">
        <v>561</v>
      </c>
    </row>
    <row r="6852" spans="1:9" x14ac:dyDescent="0.25">
      <c r="A6852">
        <v>1818</v>
      </c>
      <c r="B6852">
        <f>A6852+1</f>
        <v>1819</v>
      </c>
      <c r="C6852" t="s">
        <v>524</v>
      </c>
      <c r="D6852" t="s">
        <v>26</v>
      </c>
      <c r="E6852" s="208" t="s">
        <v>107</v>
      </c>
      <c r="F6852" t="s">
        <v>15</v>
      </c>
      <c r="G6852" s="18">
        <v>5821597</v>
      </c>
      <c r="H6852" s="151" t="s">
        <v>563</v>
      </c>
      <c r="I6852" t="s">
        <v>561</v>
      </c>
    </row>
    <row r="6853" spans="1:9" x14ac:dyDescent="0.25">
      <c r="A6853">
        <v>1818</v>
      </c>
      <c r="B6853">
        <f>A6853+1</f>
        <v>1819</v>
      </c>
      <c r="C6853" t="s">
        <v>524</v>
      </c>
      <c r="D6853" t="s">
        <v>26</v>
      </c>
      <c r="E6853" s="208" t="s">
        <v>101</v>
      </c>
      <c r="F6853" t="s">
        <v>15</v>
      </c>
      <c r="G6853" s="18">
        <v>8895741</v>
      </c>
      <c r="H6853" s="151" t="s">
        <v>563</v>
      </c>
      <c r="I6853" t="s">
        <v>561</v>
      </c>
    </row>
    <row r="6854" spans="1:9" x14ac:dyDescent="0.25">
      <c r="A6854">
        <v>1818</v>
      </c>
      <c r="B6854">
        <f>A6854+1</f>
        <v>1819</v>
      </c>
      <c r="C6854" t="s">
        <v>524</v>
      </c>
      <c r="D6854" t="s">
        <v>26</v>
      </c>
      <c r="E6854" s="208" t="s">
        <v>75</v>
      </c>
      <c r="F6854" t="s">
        <v>15</v>
      </c>
      <c r="G6854" s="18">
        <v>7348635</v>
      </c>
      <c r="H6854" s="151" t="s">
        <v>563</v>
      </c>
      <c r="I6854" t="s">
        <v>561</v>
      </c>
    </row>
    <row r="6855" spans="1:9" x14ac:dyDescent="0.25">
      <c r="A6855">
        <v>1818</v>
      </c>
      <c r="B6855">
        <f>A6855+1</f>
        <v>1819</v>
      </c>
      <c r="C6855" t="s">
        <v>524</v>
      </c>
      <c r="D6855" t="s">
        <v>26</v>
      </c>
      <c r="E6855" s="208" t="s">
        <v>330</v>
      </c>
      <c r="F6855" t="s">
        <v>15</v>
      </c>
      <c r="G6855" s="18">
        <v>1672</v>
      </c>
      <c r="H6855" s="151" t="s">
        <v>563</v>
      </c>
      <c r="I6855" t="s">
        <v>561</v>
      </c>
    </row>
    <row r="6856" spans="1:9" x14ac:dyDescent="0.25">
      <c r="A6856">
        <v>1818</v>
      </c>
      <c r="B6856">
        <f>A6856+1</f>
        <v>1819</v>
      </c>
      <c r="C6856" t="s">
        <v>524</v>
      </c>
      <c r="D6856" t="s">
        <v>26</v>
      </c>
      <c r="E6856" s="208" t="s">
        <v>331</v>
      </c>
      <c r="F6856" t="s">
        <v>15</v>
      </c>
      <c r="G6856" s="18">
        <v>2802</v>
      </c>
      <c r="H6856" s="151" t="s">
        <v>563</v>
      </c>
      <c r="I6856" t="s">
        <v>561</v>
      </c>
    </row>
    <row r="6857" spans="1:9" x14ac:dyDescent="0.25">
      <c r="A6857">
        <v>1818</v>
      </c>
      <c r="B6857">
        <f>A6857+1</f>
        <v>1819</v>
      </c>
      <c r="C6857" t="s">
        <v>524</v>
      </c>
      <c r="D6857" t="s">
        <v>26</v>
      </c>
      <c r="E6857" s="208" t="s">
        <v>332</v>
      </c>
      <c r="F6857" t="s">
        <v>15</v>
      </c>
      <c r="G6857" s="18">
        <v>1025</v>
      </c>
      <c r="H6857" s="151" t="s">
        <v>563</v>
      </c>
      <c r="I6857" t="s">
        <v>561</v>
      </c>
    </row>
    <row r="6858" spans="1:9" x14ac:dyDescent="0.25">
      <c r="A6858">
        <v>1818</v>
      </c>
      <c r="B6858">
        <f>A6858+1</f>
        <v>1819</v>
      </c>
      <c r="C6858" t="s">
        <v>524</v>
      </c>
      <c r="D6858" t="s">
        <v>26</v>
      </c>
      <c r="E6858" s="208" t="s">
        <v>333</v>
      </c>
      <c r="F6858" t="s">
        <v>15</v>
      </c>
      <c r="G6858" s="18">
        <v>1525</v>
      </c>
      <c r="H6858" s="151" t="s">
        <v>563</v>
      </c>
      <c r="I6858" t="s">
        <v>561</v>
      </c>
    </row>
    <row r="6859" spans="1:9" x14ac:dyDescent="0.25">
      <c r="A6859">
        <v>1818</v>
      </c>
      <c r="B6859">
        <f>A6859+1</f>
        <v>1819</v>
      </c>
      <c r="C6859" t="s">
        <v>524</v>
      </c>
      <c r="D6859" t="s">
        <v>26</v>
      </c>
      <c r="E6859" s="208" t="s">
        <v>567</v>
      </c>
      <c r="F6859" t="s">
        <v>3</v>
      </c>
      <c r="G6859" s="18">
        <v>20164</v>
      </c>
      <c r="H6859" t="s">
        <v>24</v>
      </c>
      <c r="I6859" t="s">
        <v>16</v>
      </c>
    </row>
    <row r="6860" spans="1:9" x14ac:dyDescent="0.25">
      <c r="A6860">
        <v>1818</v>
      </c>
      <c r="B6860">
        <f>A6860+1</f>
        <v>1819</v>
      </c>
      <c r="C6860" t="s">
        <v>524</v>
      </c>
      <c r="D6860" t="s">
        <v>26</v>
      </c>
      <c r="E6860" s="208" t="s">
        <v>567</v>
      </c>
      <c r="F6860" t="s">
        <v>169</v>
      </c>
      <c r="G6860" s="18">
        <v>17854</v>
      </c>
      <c r="H6860" t="s">
        <v>160</v>
      </c>
      <c r="I6860" t="s">
        <v>16</v>
      </c>
    </row>
    <row r="6861" spans="1:9" x14ac:dyDescent="0.25">
      <c r="A6861">
        <v>1818</v>
      </c>
      <c r="B6861">
        <f>A6861+1</f>
        <v>1819</v>
      </c>
      <c r="C6861" t="s">
        <v>524</v>
      </c>
      <c r="D6861" t="s">
        <v>26</v>
      </c>
      <c r="E6861" s="208" t="s">
        <v>567</v>
      </c>
      <c r="F6861" t="s">
        <v>6</v>
      </c>
      <c r="G6861" s="18">
        <v>0</v>
      </c>
      <c r="H6861" t="s">
        <v>25</v>
      </c>
      <c r="I6861" t="s">
        <v>16</v>
      </c>
    </row>
    <row r="6862" spans="1:9" x14ac:dyDescent="0.25">
      <c r="A6862">
        <v>1818</v>
      </c>
      <c r="B6862">
        <f>A6862+1</f>
        <v>1819</v>
      </c>
      <c r="C6862" t="s">
        <v>524</v>
      </c>
      <c r="D6862" t="s">
        <v>26</v>
      </c>
      <c r="E6862" s="208" t="s">
        <v>567</v>
      </c>
      <c r="F6862" t="s">
        <v>4</v>
      </c>
      <c r="G6862" s="18">
        <v>0</v>
      </c>
      <c r="H6862" t="s">
        <v>23</v>
      </c>
      <c r="I6862" t="s">
        <v>16</v>
      </c>
    </row>
    <row r="6863" spans="1:9" x14ac:dyDescent="0.25">
      <c r="A6863">
        <v>1818</v>
      </c>
      <c r="B6863">
        <f>A6863+1</f>
        <v>1819</v>
      </c>
      <c r="C6863" t="s">
        <v>524</v>
      </c>
      <c r="D6863" t="s">
        <v>26</v>
      </c>
      <c r="E6863" s="208" t="s">
        <v>567</v>
      </c>
      <c r="F6863" t="s">
        <v>7</v>
      </c>
      <c r="G6863" s="18">
        <v>38018</v>
      </c>
      <c r="H6863" s="151" t="s">
        <v>563</v>
      </c>
      <c r="I6863" t="s">
        <v>16</v>
      </c>
    </row>
    <row r="6864" spans="1:9" x14ac:dyDescent="0.25">
      <c r="A6864">
        <v>1818</v>
      </c>
      <c r="B6864">
        <f>A6864+1</f>
        <v>1819</v>
      </c>
      <c r="C6864" t="s">
        <v>524</v>
      </c>
      <c r="D6864" t="s">
        <v>26</v>
      </c>
      <c r="E6864" s="208" t="s">
        <v>567</v>
      </c>
      <c r="F6864" t="s">
        <v>10</v>
      </c>
      <c r="G6864" s="18">
        <v>8184</v>
      </c>
      <c r="H6864" t="s">
        <v>24</v>
      </c>
      <c r="I6864" t="s">
        <v>17</v>
      </c>
    </row>
    <row r="6865" spans="1:9" x14ac:dyDescent="0.25">
      <c r="A6865">
        <v>1818</v>
      </c>
      <c r="B6865">
        <f>A6865+1</f>
        <v>1819</v>
      </c>
      <c r="C6865" t="s">
        <v>524</v>
      </c>
      <c r="D6865" t="s">
        <v>26</v>
      </c>
      <c r="E6865" s="208" t="s">
        <v>567</v>
      </c>
      <c r="F6865" t="s">
        <v>164</v>
      </c>
      <c r="G6865" s="18">
        <v>37212</v>
      </c>
      <c r="H6865" t="s">
        <v>160</v>
      </c>
      <c r="I6865" t="s">
        <v>17</v>
      </c>
    </row>
    <row r="6866" spans="1:9" x14ac:dyDescent="0.25">
      <c r="A6866">
        <v>1818</v>
      </c>
      <c r="B6866">
        <f>A6866+1</f>
        <v>1819</v>
      </c>
      <c r="C6866" t="s">
        <v>524</v>
      </c>
      <c r="D6866" t="s">
        <v>26</v>
      </c>
      <c r="E6866" s="208" t="s">
        <v>567</v>
      </c>
      <c r="F6866" t="s">
        <v>13</v>
      </c>
      <c r="G6866" s="18">
        <v>0</v>
      </c>
      <c r="H6866" t="s">
        <v>25</v>
      </c>
      <c r="I6866" t="s">
        <v>17</v>
      </c>
    </row>
    <row r="6867" spans="1:9" x14ac:dyDescent="0.25">
      <c r="A6867">
        <v>1818</v>
      </c>
      <c r="B6867">
        <f>A6867+1</f>
        <v>1819</v>
      </c>
      <c r="C6867" t="s">
        <v>524</v>
      </c>
      <c r="D6867" t="s">
        <v>26</v>
      </c>
      <c r="E6867" s="208" t="s">
        <v>567</v>
      </c>
      <c r="F6867" t="s">
        <v>11</v>
      </c>
      <c r="G6867" s="18">
        <v>0</v>
      </c>
      <c r="H6867" t="s">
        <v>23</v>
      </c>
      <c r="I6867" t="s">
        <v>17</v>
      </c>
    </row>
    <row r="6868" spans="1:9" x14ac:dyDescent="0.25">
      <c r="A6868">
        <v>1818</v>
      </c>
      <c r="B6868">
        <f>A6868+1</f>
        <v>1819</v>
      </c>
      <c r="C6868" t="s">
        <v>524</v>
      </c>
      <c r="D6868" t="s">
        <v>26</v>
      </c>
      <c r="E6868" s="208" t="s">
        <v>567</v>
      </c>
      <c r="F6868" t="s">
        <v>14</v>
      </c>
      <c r="G6868" s="18">
        <v>45396</v>
      </c>
      <c r="H6868" s="151" t="s">
        <v>563</v>
      </c>
      <c r="I6868" t="s">
        <v>17</v>
      </c>
    </row>
    <row r="6869" spans="1:9" x14ac:dyDescent="0.25">
      <c r="A6869">
        <v>1818</v>
      </c>
      <c r="B6869">
        <f>A6869+1</f>
        <v>1819</v>
      </c>
      <c r="C6869" t="s">
        <v>524</v>
      </c>
      <c r="D6869" t="s">
        <v>26</v>
      </c>
      <c r="E6869" s="208" t="s">
        <v>567</v>
      </c>
      <c r="F6869" t="s">
        <v>15</v>
      </c>
      <c r="G6869" s="18">
        <v>83414</v>
      </c>
      <c r="H6869" s="151" t="s">
        <v>563</v>
      </c>
      <c r="I6869" t="s">
        <v>561</v>
      </c>
    </row>
    <row r="6870" spans="1:9" x14ac:dyDescent="0.25">
      <c r="A6870">
        <v>1818</v>
      </c>
      <c r="B6870">
        <f>A6870+1</f>
        <v>1819</v>
      </c>
      <c r="C6870" t="s">
        <v>524</v>
      </c>
      <c r="D6870" t="s">
        <v>26</v>
      </c>
      <c r="E6870" s="208" t="s">
        <v>568</v>
      </c>
      <c r="F6870" t="s">
        <v>3</v>
      </c>
      <c r="G6870" s="18">
        <v>504</v>
      </c>
      <c r="H6870" t="s">
        <v>24</v>
      </c>
      <c r="I6870" t="s">
        <v>16</v>
      </c>
    </row>
    <row r="6871" spans="1:9" x14ac:dyDescent="0.25">
      <c r="A6871">
        <v>1818</v>
      </c>
      <c r="B6871">
        <f>A6871+1</f>
        <v>1819</v>
      </c>
      <c r="C6871" t="s">
        <v>524</v>
      </c>
      <c r="D6871" t="s">
        <v>26</v>
      </c>
      <c r="E6871" s="208" t="s">
        <v>568</v>
      </c>
      <c r="F6871" t="s">
        <v>169</v>
      </c>
      <c r="G6871" s="18">
        <v>0</v>
      </c>
      <c r="H6871" t="s">
        <v>160</v>
      </c>
      <c r="I6871" t="s">
        <v>16</v>
      </c>
    </row>
    <row r="6872" spans="1:9" x14ac:dyDescent="0.25">
      <c r="A6872">
        <v>1818</v>
      </c>
      <c r="B6872">
        <f>A6872+1</f>
        <v>1819</v>
      </c>
      <c r="C6872" t="s">
        <v>524</v>
      </c>
      <c r="D6872" t="s">
        <v>26</v>
      </c>
      <c r="E6872" s="208" t="s">
        <v>568</v>
      </c>
      <c r="F6872" t="s">
        <v>6</v>
      </c>
      <c r="G6872" s="18">
        <v>0</v>
      </c>
      <c r="H6872" t="s">
        <v>25</v>
      </c>
      <c r="I6872" t="s">
        <v>16</v>
      </c>
    </row>
    <row r="6873" spans="1:9" x14ac:dyDescent="0.25">
      <c r="A6873">
        <v>1818</v>
      </c>
      <c r="B6873">
        <f>A6873+1</f>
        <v>1819</v>
      </c>
      <c r="C6873" t="s">
        <v>524</v>
      </c>
      <c r="D6873" t="s">
        <v>26</v>
      </c>
      <c r="E6873" s="208" t="s">
        <v>568</v>
      </c>
      <c r="F6873" t="s">
        <v>4</v>
      </c>
      <c r="G6873" s="18">
        <v>0</v>
      </c>
      <c r="H6873" t="s">
        <v>23</v>
      </c>
      <c r="I6873" t="s">
        <v>16</v>
      </c>
    </row>
    <row r="6874" spans="1:9" x14ac:dyDescent="0.25">
      <c r="A6874">
        <v>1818</v>
      </c>
      <c r="B6874">
        <f>A6874+1</f>
        <v>1819</v>
      </c>
      <c r="C6874" t="s">
        <v>524</v>
      </c>
      <c r="D6874" t="s">
        <v>26</v>
      </c>
      <c r="E6874" s="208" t="s">
        <v>568</v>
      </c>
      <c r="F6874" t="s">
        <v>7</v>
      </c>
      <c r="G6874" s="18">
        <v>504</v>
      </c>
      <c r="H6874" s="151" t="s">
        <v>563</v>
      </c>
      <c r="I6874" t="s">
        <v>16</v>
      </c>
    </row>
    <row r="6875" spans="1:9" x14ac:dyDescent="0.25">
      <c r="A6875">
        <v>1818</v>
      </c>
      <c r="B6875">
        <f>A6875+1</f>
        <v>1819</v>
      </c>
      <c r="C6875" t="s">
        <v>524</v>
      </c>
      <c r="D6875" t="s">
        <v>26</v>
      </c>
      <c r="E6875" s="208" t="s">
        <v>568</v>
      </c>
      <c r="F6875" t="s">
        <v>10</v>
      </c>
      <c r="G6875" s="18">
        <v>146</v>
      </c>
      <c r="H6875" t="s">
        <v>24</v>
      </c>
      <c r="I6875" t="s">
        <v>17</v>
      </c>
    </row>
    <row r="6876" spans="1:9" x14ac:dyDescent="0.25">
      <c r="A6876">
        <v>1818</v>
      </c>
      <c r="B6876">
        <f>A6876+1</f>
        <v>1819</v>
      </c>
      <c r="C6876" t="s">
        <v>524</v>
      </c>
      <c r="D6876" t="s">
        <v>26</v>
      </c>
      <c r="E6876" s="208" t="s">
        <v>568</v>
      </c>
      <c r="F6876" t="s">
        <v>164</v>
      </c>
      <c r="G6876" s="18">
        <v>0</v>
      </c>
      <c r="H6876" t="s">
        <v>160</v>
      </c>
      <c r="I6876" t="s">
        <v>17</v>
      </c>
    </row>
    <row r="6877" spans="1:9" x14ac:dyDescent="0.25">
      <c r="A6877">
        <v>1818</v>
      </c>
      <c r="B6877">
        <f>A6877+1</f>
        <v>1819</v>
      </c>
      <c r="C6877" t="s">
        <v>524</v>
      </c>
      <c r="D6877" t="s">
        <v>26</v>
      </c>
      <c r="E6877" s="208" t="s">
        <v>568</v>
      </c>
      <c r="F6877" t="s">
        <v>13</v>
      </c>
      <c r="G6877" s="18">
        <v>0</v>
      </c>
      <c r="H6877" t="s">
        <v>25</v>
      </c>
      <c r="I6877" t="s">
        <v>17</v>
      </c>
    </row>
    <row r="6878" spans="1:9" x14ac:dyDescent="0.25">
      <c r="A6878">
        <v>1818</v>
      </c>
      <c r="B6878">
        <f>A6878+1</f>
        <v>1819</v>
      </c>
      <c r="C6878" t="s">
        <v>524</v>
      </c>
      <c r="D6878" t="s">
        <v>26</v>
      </c>
      <c r="E6878" s="208" t="s">
        <v>568</v>
      </c>
      <c r="F6878" t="s">
        <v>11</v>
      </c>
      <c r="G6878" s="18">
        <v>0</v>
      </c>
      <c r="H6878" t="s">
        <v>23</v>
      </c>
      <c r="I6878" t="s">
        <v>17</v>
      </c>
    </row>
    <row r="6879" spans="1:9" x14ac:dyDescent="0.25">
      <c r="A6879">
        <v>1818</v>
      </c>
      <c r="B6879">
        <f>A6879+1</f>
        <v>1819</v>
      </c>
      <c r="C6879" t="s">
        <v>524</v>
      </c>
      <c r="D6879" t="s">
        <v>26</v>
      </c>
      <c r="E6879" s="208" t="s">
        <v>568</v>
      </c>
      <c r="F6879" t="s">
        <v>14</v>
      </c>
      <c r="G6879" s="18">
        <v>146</v>
      </c>
      <c r="H6879" s="151" t="s">
        <v>563</v>
      </c>
      <c r="I6879" t="s">
        <v>17</v>
      </c>
    </row>
    <row r="6880" spans="1:9" x14ac:dyDescent="0.25">
      <c r="A6880">
        <v>1818</v>
      </c>
      <c r="B6880">
        <f>A6880+1</f>
        <v>1819</v>
      </c>
      <c r="C6880" t="s">
        <v>524</v>
      </c>
      <c r="D6880" t="s">
        <v>26</v>
      </c>
      <c r="E6880" s="208" t="s">
        <v>568</v>
      </c>
      <c r="F6880" t="s">
        <v>15</v>
      </c>
      <c r="G6880" s="18">
        <v>650</v>
      </c>
      <c r="H6880" s="151" t="s">
        <v>563</v>
      </c>
      <c r="I6880" t="s">
        <v>561</v>
      </c>
    </row>
    <row r="6881" spans="1:9" x14ac:dyDescent="0.25">
      <c r="A6881">
        <v>1818</v>
      </c>
      <c r="B6881">
        <f>A6881+1</f>
        <v>1819</v>
      </c>
      <c r="C6881" t="s">
        <v>524</v>
      </c>
      <c r="D6881" t="s">
        <v>26</v>
      </c>
      <c r="E6881" s="208" t="s">
        <v>566</v>
      </c>
      <c r="F6881" t="s">
        <v>3</v>
      </c>
      <c r="G6881" s="18">
        <v>508</v>
      </c>
      <c r="H6881" t="s">
        <v>24</v>
      </c>
      <c r="I6881" t="s">
        <v>16</v>
      </c>
    </row>
    <row r="6882" spans="1:9" x14ac:dyDescent="0.25">
      <c r="A6882">
        <v>1818</v>
      </c>
      <c r="B6882">
        <f>A6882+1</f>
        <v>1819</v>
      </c>
      <c r="C6882" t="s">
        <v>524</v>
      </c>
      <c r="D6882" t="s">
        <v>26</v>
      </c>
      <c r="E6882" s="208" t="s">
        <v>566</v>
      </c>
      <c r="F6882" t="s">
        <v>169</v>
      </c>
      <c r="G6882" s="18">
        <v>0</v>
      </c>
      <c r="H6882" t="s">
        <v>160</v>
      </c>
      <c r="I6882" t="s">
        <v>16</v>
      </c>
    </row>
    <row r="6883" spans="1:9" x14ac:dyDescent="0.25">
      <c r="A6883">
        <v>1818</v>
      </c>
      <c r="B6883">
        <f>A6883+1</f>
        <v>1819</v>
      </c>
      <c r="C6883" t="s">
        <v>524</v>
      </c>
      <c r="D6883" t="s">
        <v>26</v>
      </c>
      <c r="E6883" s="208" t="s">
        <v>566</v>
      </c>
      <c r="F6883" t="s">
        <v>6</v>
      </c>
      <c r="G6883" s="18">
        <v>0</v>
      </c>
      <c r="H6883" t="s">
        <v>25</v>
      </c>
      <c r="I6883" t="s">
        <v>16</v>
      </c>
    </row>
    <row r="6884" spans="1:9" x14ac:dyDescent="0.25">
      <c r="A6884">
        <v>1818</v>
      </c>
      <c r="B6884">
        <f>A6884+1</f>
        <v>1819</v>
      </c>
      <c r="C6884" t="s">
        <v>524</v>
      </c>
      <c r="D6884" t="s">
        <v>26</v>
      </c>
      <c r="E6884" s="208" t="s">
        <v>566</v>
      </c>
      <c r="F6884" t="s">
        <v>4</v>
      </c>
      <c r="G6884" s="18">
        <v>0</v>
      </c>
      <c r="H6884" t="s">
        <v>23</v>
      </c>
      <c r="I6884" t="s">
        <v>16</v>
      </c>
    </row>
    <row r="6885" spans="1:9" x14ac:dyDescent="0.25">
      <c r="A6885">
        <v>1818</v>
      </c>
      <c r="B6885">
        <f>A6885+1</f>
        <v>1819</v>
      </c>
      <c r="C6885" t="s">
        <v>524</v>
      </c>
      <c r="D6885" t="s">
        <v>26</v>
      </c>
      <c r="E6885" s="208" t="s">
        <v>566</v>
      </c>
      <c r="F6885" t="s">
        <v>7</v>
      </c>
      <c r="G6885" s="18">
        <v>508</v>
      </c>
      <c r="H6885" s="151" t="s">
        <v>563</v>
      </c>
      <c r="I6885" t="s">
        <v>16</v>
      </c>
    </row>
    <row r="6886" spans="1:9" x14ac:dyDescent="0.25">
      <c r="A6886">
        <v>1818</v>
      </c>
      <c r="B6886">
        <f>A6886+1</f>
        <v>1819</v>
      </c>
      <c r="C6886" t="s">
        <v>524</v>
      </c>
      <c r="D6886" t="s">
        <v>26</v>
      </c>
      <c r="E6886" s="208" t="s">
        <v>566</v>
      </c>
      <c r="F6886" t="s">
        <v>10</v>
      </c>
      <c r="G6886" s="18">
        <v>6</v>
      </c>
      <c r="H6886" t="s">
        <v>24</v>
      </c>
      <c r="I6886" t="s">
        <v>17</v>
      </c>
    </row>
    <row r="6887" spans="1:9" x14ac:dyDescent="0.25">
      <c r="A6887">
        <v>1818</v>
      </c>
      <c r="B6887">
        <f>A6887+1</f>
        <v>1819</v>
      </c>
      <c r="C6887" t="s">
        <v>524</v>
      </c>
      <c r="D6887" t="s">
        <v>26</v>
      </c>
      <c r="E6887" s="208" t="s">
        <v>566</v>
      </c>
      <c r="F6887" t="s">
        <v>164</v>
      </c>
      <c r="G6887" s="18">
        <v>0</v>
      </c>
      <c r="H6887" t="s">
        <v>160</v>
      </c>
      <c r="I6887" t="s">
        <v>17</v>
      </c>
    </row>
    <row r="6888" spans="1:9" x14ac:dyDescent="0.25">
      <c r="A6888">
        <v>1818</v>
      </c>
      <c r="B6888">
        <f>A6888+1</f>
        <v>1819</v>
      </c>
      <c r="C6888" t="s">
        <v>524</v>
      </c>
      <c r="D6888" t="s">
        <v>26</v>
      </c>
      <c r="E6888" s="208" t="s">
        <v>566</v>
      </c>
      <c r="F6888" t="s">
        <v>13</v>
      </c>
      <c r="G6888" s="18">
        <v>0</v>
      </c>
      <c r="H6888" t="s">
        <v>25</v>
      </c>
      <c r="I6888" t="s">
        <v>17</v>
      </c>
    </row>
    <row r="6889" spans="1:9" x14ac:dyDescent="0.25">
      <c r="A6889">
        <v>1818</v>
      </c>
      <c r="B6889">
        <f>A6889+1</f>
        <v>1819</v>
      </c>
      <c r="C6889" t="s">
        <v>524</v>
      </c>
      <c r="D6889" t="s">
        <v>26</v>
      </c>
      <c r="E6889" s="208" t="s">
        <v>566</v>
      </c>
      <c r="F6889" t="s">
        <v>11</v>
      </c>
      <c r="G6889" s="18">
        <v>0</v>
      </c>
      <c r="H6889" t="s">
        <v>23</v>
      </c>
      <c r="I6889" t="s">
        <v>17</v>
      </c>
    </row>
    <row r="6890" spans="1:9" x14ac:dyDescent="0.25">
      <c r="A6890">
        <v>1818</v>
      </c>
      <c r="B6890">
        <f>A6890+1</f>
        <v>1819</v>
      </c>
      <c r="C6890" t="s">
        <v>524</v>
      </c>
      <c r="D6890" t="s">
        <v>26</v>
      </c>
      <c r="E6890" s="208" t="s">
        <v>566</v>
      </c>
      <c r="F6890" t="s">
        <v>14</v>
      </c>
      <c r="G6890" s="18">
        <v>6</v>
      </c>
      <c r="H6890" s="151" t="s">
        <v>563</v>
      </c>
      <c r="I6890" t="s">
        <v>17</v>
      </c>
    </row>
    <row r="6891" spans="1:9" x14ac:dyDescent="0.25">
      <c r="A6891">
        <v>1818</v>
      </c>
      <c r="B6891">
        <f>A6891+1</f>
        <v>1819</v>
      </c>
      <c r="C6891" t="s">
        <v>524</v>
      </c>
      <c r="D6891" t="s">
        <v>26</v>
      </c>
      <c r="E6891" s="208" t="s">
        <v>566</v>
      </c>
      <c r="F6891" t="s">
        <v>15</v>
      </c>
      <c r="G6891" s="18">
        <v>514</v>
      </c>
      <c r="H6891" s="151" t="s">
        <v>563</v>
      </c>
      <c r="I6891" t="s">
        <v>561</v>
      </c>
    </row>
    <row r="6892" spans="1:9" x14ac:dyDescent="0.25">
      <c r="A6892">
        <v>1819</v>
      </c>
      <c r="B6892">
        <f>A6892+1</f>
        <v>1820</v>
      </c>
      <c r="C6892" t="s">
        <v>525</v>
      </c>
      <c r="D6892" t="s">
        <v>26</v>
      </c>
      <c r="E6892" s="208" t="s">
        <v>572</v>
      </c>
      <c r="F6892" t="s">
        <v>3</v>
      </c>
      <c r="G6892" s="18">
        <v>1845</v>
      </c>
      <c r="H6892" t="s">
        <v>24</v>
      </c>
      <c r="I6892" t="s">
        <v>16</v>
      </c>
    </row>
    <row r="6893" spans="1:9" x14ac:dyDescent="0.25">
      <c r="A6893">
        <v>1819</v>
      </c>
      <c r="B6893">
        <f>A6893+1</f>
        <v>1820</v>
      </c>
      <c r="C6893" t="s">
        <v>525</v>
      </c>
      <c r="D6893" t="s">
        <v>26</v>
      </c>
      <c r="E6893" s="208" t="s">
        <v>572</v>
      </c>
      <c r="F6893" t="s">
        <v>169</v>
      </c>
      <c r="G6893" s="18">
        <v>0</v>
      </c>
      <c r="H6893" t="s">
        <v>160</v>
      </c>
      <c r="I6893" t="s">
        <v>16</v>
      </c>
    </row>
    <row r="6894" spans="1:9" x14ac:dyDescent="0.25">
      <c r="A6894">
        <v>1819</v>
      </c>
      <c r="B6894">
        <f>A6894+1</f>
        <v>1820</v>
      </c>
      <c r="C6894" t="s">
        <v>525</v>
      </c>
      <c r="D6894" t="s">
        <v>26</v>
      </c>
      <c r="E6894" s="208" t="s">
        <v>572</v>
      </c>
      <c r="F6894" t="s">
        <v>6</v>
      </c>
      <c r="G6894" s="18">
        <v>0</v>
      </c>
      <c r="H6894" t="s">
        <v>25</v>
      </c>
      <c r="I6894" t="s">
        <v>16</v>
      </c>
    </row>
    <row r="6895" spans="1:9" x14ac:dyDescent="0.25">
      <c r="A6895">
        <v>1819</v>
      </c>
      <c r="B6895">
        <f>A6895+1</f>
        <v>1820</v>
      </c>
      <c r="C6895" t="s">
        <v>525</v>
      </c>
      <c r="D6895" t="s">
        <v>26</v>
      </c>
      <c r="E6895" s="208" t="s">
        <v>572</v>
      </c>
      <c r="F6895" t="s">
        <v>7</v>
      </c>
      <c r="G6895" s="18">
        <v>1845</v>
      </c>
      <c r="H6895" s="151" t="s">
        <v>563</v>
      </c>
      <c r="I6895" t="s">
        <v>16</v>
      </c>
    </row>
    <row r="6896" spans="1:9" x14ac:dyDescent="0.25">
      <c r="A6896">
        <v>1819</v>
      </c>
      <c r="B6896">
        <f>A6896+1</f>
        <v>1820</v>
      </c>
      <c r="C6896" t="s">
        <v>525</v>
      </c>
      <c r="D6896" t="s">
        <v>26</v>
      </c>
      <c r="E6896" s="208" t="s">
        <v>572</v>
      </c>
      <c r="F6896" t="s">
        <v>10</v>
      </c>
      <c r="G6896" s="18">
        <v>1138</v>
      </c>
      <c r="H6896" t="s">
        <v>24</v>
      </c>
      <c r="I6896" t="s">
        <v>17</v>
      </c>
    </row>
    <row r="6897" spans="1:9" x14ac:dyDescent="0.25">
      <c r="A6897">
        <v>1819</v>
      </c>
      <c r="B6897">
        <f>A6897+1</f>
        <v>1820</v>
      </c>
      <c r="C6897" t="s">
        <v>525</v>
      </c>
      <c r="D6897" t="s">
        <v>26</v>
      </c>
      <c r="E6897" s="208" t="s">
        <v>572</v>
      </c>
      <c r="F6897" t="s">
        <v>164</v>
      </c>
      <c r="G6897" s="18">
        <v>0</v>
      </c>
      <c r="H6897" t="s">
        <v>160</v>
      </c>
      <c r="I6897" t="s">
        <v>17</v>
      </c>
    </row>
    <row r="6898" spans="1:9" x14ac:dyDescent="0.25">
      <c r="A6898">
        <v>1819</v>
      </c>
      <c r="B6898">
        <f>A6898+1</f>
        <v>1820</v>
      </c>
      <c r="C6898" t="s">
        <v>525</v>
      </c>
      <c r="D6898" t="s">
        <v>26</v>
      </c>
      <c r="E6898" s="208" t="s">
        <v>572</v>
      </c>
      <c r="F6898" t="s">
        <v>13</v>
      </c>
      <c r="G6898" s="18">
        <v>0</v>
      </c>
      <c r="H6898" t="s">
        <v>25</v>
      </c>
      <c r="I6898" t="s">
        <v>17</v>
      </c>
    </row>
    <row r="6899" spans="1:9" x14ac:dyDescent="0.25">
      <c r="A6899">
        <v>1819</v>
      </c>
      <c r="B6899">
        <f>A6899+1</f>
        <v>1820</v>
      </c>
      <c r="C6899" t="s">
        <v>525</v>
      </c>
      <c r="D6899" t="s">
        <v>26</v>
      </c>
      <c r="E6899" s="208" t="s">
        <v>572</v>
      </c>
      <c r="F6899" t="s">
        <v>14</v>
      </c>
      <c r="G6899" s="18">
        <v>1138</v>
      </c>
      <c r="H6899" s="151" t="s">
        <v>563</v>
      </c>
      <c r="I6899" t="s">
        <v>17</v>
      </c>
    </row>
    <row r="6900" spans="1:9" x14ac:dyDescent="0.25">
      <c r="A6900">
        <v>1819</v>
      </c>
      <c r="B6900">
        <f>A6900+1</f>
        <v>1820</v>
      </c>
      <c r="C6900" t="s">
        <v>525</v>
      </c>
      <c r="D6900" t="s">
        <v>26</v>
      </c>
      <c r="E6900" s="208" t="s">
        <v>572</v>
      </c>
      <c r="F6900" t="s">
        <v>15</v>
      </c>
      <c r="G6900" s="18">
        <v>2983</v>
      </c>
      <c r="H6900" s="151" t="s">
        <v>563</v>
      </c>
      <c r="I6900" t="s">
        <v>561</v>
      </c>
    </row>
    <row r="6901" spans="1:9" x14ac:dyDescent="0.25">
      <c r="A6901">
        <v>1819</v>
      </c>
      <c r="B6901">
        <f>A6901+1</f>
        <v>1820</v>
      </c>
      <c r="C6901" t="s">
        <v>525</v>
      </c>
      <c r="D6901" t="s">
        <v>26</v>
      </c>
      <c r="E6901" s="208" t="s">
        <v>571</v>
      </c>
      <c r="F6901" t="s">
        <v>3</v>
      </c>
      <c r="G6901" s="18">
        <v>4026</v>
      </c>
      <c r="H6901" t="s">
        <v>24</v>
      </c>
      <c r="I6901" t="s">
        <v>16</v>
      </c>
    </row>
    <row r="6902" spans="1:9" x14ac:dyDescent="0.25">
      <c r="A6902">
        <v>1819</v>
      </c>
      <c r="B6902">
        <f>A6902+1</f>
        <v>1820</v>
      </c>
      <c r="C6902" t="s">
        <v>525</v>
      </c>
      <c r="D6902" t="s">
        <v>26</v>
      </c>
      <c r="E6902" s="208" t="s">
        <v>571</v>
      </c>
      <c r="F6902" t="s">
        <v>169</v>
      </c>
      <c r="G6902" s="18">
        <v>0</v>
      </c>
      <c r="H6902" t="s">
        <v>160</v>
      </c>
      <c r="I6902" t="s">
        <v>16</v>
      </c>
    </row>
    <row r="6903" spans="1:9" x14ac:dyDescent="0.25">
      <c r="A6903">
        <v>1819</v>
      </c>
      <c r="B6903">
        <f>A6903+1</f>
        <v>1820</v>
      </c>
      <c r="C6903" t="s">
        <v>525</v>
      </c>
      <c r="D6903" t="s">
        <v>26</v>
      </c>
      <c r="E6903" s="208" t="s">
        <v>571</v>
      </c>
      <c r="F6903" t="s">
        <v>6</v>
      </c>
      <c r="G6903" s="18">
        <v>0</v>
      </c>
      <c r="H6903" t="s">
        <v>25</v>
      </c>
      <c r="I6903" t="s">
        <v>16</v>
      </c>
    </row>
    <row r="6904" spans="1:9" x14ac:dyDescent="0.25">
      <c r="A6904">
        <v>1819</v>
      </c>
      <c r="B6904">
        <f>A6904+1</f>
        <v>1820</v>
      </c>
      <c r="C6904" t="s">
        <v>525</v>
      </c>
      <c r="D6904" t="s">
        <v>26</v>
      </c>
      <c r="E6904" s="208" t="s">
        <v>571</v>
      </c>
      <c r="F6904" t="s">
        <v>7</v>
      </c>
      <c r="G6904" s="18">
        <v>4026</v>
      </c>
      <c r="H6904" s="151" t="s">
        <v>563</v>
      </c>
      <c r="I6904" t="s">
        <v>16</v>
      </c>
    </row>
    <row r="6905" spans="1:9" x14ac:dyDescent="0.25">
      <c r="A6905">
        <v>1819</v>
      </c>
      <c r="B6905">
        <f>A6905+1</f>
        <v>1820</v>
      </c>
      <c r="C6905" t="s">
        <v>525</v>
      </c>
      <c r="D6905" t="s">
        <v>26</v>
      </c>
      <c r="E6905" s="208" t="s">
        <v>571</v>
      </c>
      <c r="F6905" t="s">
        <v>10</v>
      </c>
      <c r="G6905" s="18">
        <v>2245</v>
      </c>
      <c r="H6905" t="s">
        <v>24</v>
      </c>
      <c r="I6905" t="s">
        <v>17</v>
      </c>
    </row>
    <row r="6906" spans="1:9" x14ac:dyDescent="0.25">
      <c r="A6906">
        <v>1819</v>
      </c>
      <c r="B6906">
        <f>A6906+1</f>
        <v>1820</v>
      </c>
      <c r="C6906" t="s">
        <v>525</v>
      </c>
      <c r="D6906" t="s">
        <v>26</v>
      </c>
      <c r="E6906" s="208" t="s">
        <v>571</v>
      </c>
      <c r="F6906" t="s">
        <v>164</v>
      </c>
      <c r="G6906" s="18">
        <v>0</v>
      </c>
      <c r="H6906" t="s">
        <v>160</v>
      </c>
      <c r="I6906" t="s">
        <v>17</v>
      </c>
    </row>
    <row r="6907" spans="1:9" x14ac:dyDescent="0.25">
      <c r="A6907">
        <v>1819</v>
      </c>
      <c r="B6907">
        <f>A6907+1</f>
        <v>1820</v>
      </c>
      <c r="C6907" t="s">
        <v>525</v>
      </c>
      <c r="D6907" t="s">
        <v>26</v>
      </c>
      <c r="E6907" s="208" t="s">
        <v>571</v>
      </c>
      <c r="F6907" t="s">
        <v>13</v>
      </c>
      <c r="G6907" s="18">
        <v>0</v>
      </c>
      <c r="H6907" t="s">
        <v>25</v>
      </c>
      <c r="I6907" t="s">
        <v>17</v>
      </c>
    </row>
    <row r="6908" spans="1:9" x14ac:dyDescent="0.25">
      <c r="A6908">
        <v>1819</v>
      </c>
      <c r="B6908">
        <f>A6908+1</f>
        <v>1820</v>
      </c>
      <c r="C6908" t="s">
        <v>525</v>
      </c>
      <c r="D6908" t="s">
        <v>26</v>
      </c>
      <c r="E6908" s="208" t="s">
        <v>571</v>
      </c>
      <c r="F6908" t="s">
        <v>14</v>
      </c>
      <c r="G6908" s="18">
        <v>2245</v>
      </c>
      <c r="H6908" s="151" t="s">
        <v>563</v>
      </c>
      <c r="I6908" t="s">
        <v>17</v>
      </c>
    </row>
    <row r="6909" spans="1:9" x14ac:dyDescent="0.25">
      <c r="A6909">
        <v>1819</v>
      </c>
      <c r="B6909">
        <f>A6909+1</f>
        <v>1820</v>
      </c>
      <c r="C6909" t="s">
        <v>525</v>
      </c>
      <c r="D6909" t="s">
        <v>26</v>
      </c>
      <c r="E6909" s="208" t="s">
        <v>571</v>
      </c>
      <c r="F6909" t="s">
        <v>15</v>
      </c>
      <c r="G6909" s="18">
        <v>6271</v>
      </c>
      <c r="H6909" s="151" t="s">
        <v>563</v>
      </c>
      <c r="I6909" t="s">
        <v>561</v>
      </c>
    </row>
    <row r="6910" spans="1:9" x14ac:dyDescent="0.25">
      <c r="A6910">
        <v>1819</v>
      </c>
      <c r="B6910">
        <f>A6910+1</f>
        <v>1820</v>
      </c>
      <c r="C6910" t="s">
        <v>525</v>
      </c>
      <c r="D6910" t="s">
        <v>26</v>
      </c>
      <c r="E6910" s="208" t="s">
        <v>570</v>
      </c>
      <c r="F6910" t="s">
        <v>3</v>
      </c>
      <c r="G6910" s="18">
        <v>2344</v>
      </c>
      <c r="H6910" t="s">
        <v>24</v>
      </c>
      <c r="I6910" t="s">
        <v>16</v>
      </c>
    </row>
    <row r="6911" spans="1:9" x14ac:dyDescent="0.25">
      <c r="A6911">
        <v>1819</v>
      </c>
      <c r="B6911">
        <f>A6911+1</f>
        <v>1820</v>
      </c>
      <c r="C6911" t="s">
        <v>525</v>
      </c>
      <c r="D6911" t="s">
        <v>26</v>
      </c>
      <c r="E6911" s="208" t="s">
        <v>570</v>
      </c>
      <c r="F6911" t="s">
        <v>169</v>
      </c>
      <c r="G6911" s="18">
        <v>0</v>
      </c>
      <c r="H6911" t="s">
        <v>160</v>
      </c>
      <c r="I6911" t="s">
        <v>16</v>
      </c>
    </row>
    <row r="6912" spans="1:9" x14ac:dyDescent="0.25">
      <c r="A6912">
        <v>1819</v>
      </c>
      <c r="B6912">
        <f>A6912+1</f>
        <v>1820</v>
      </c>
      <c r="C6912" t="s">
        <v>525</v>
      </c>
      <c r="D6912" t="s">
        <v>26</v>
      </c>
      <c r="E6912" s="208" t="s">
        <v>570</v>
      </c>
      <c r="F6912" t="s">
        <v>6</v>
      </c>
      <c r="G6912" s="18">
        <v>0</v>
      </c>
      <c r="H6912" t="s">
        <v>25</v>
      </c>
      <c r="I6912" t="s">
        <v>16</v>
      </c>
    </row>
    <row r="6913" spans="1:9" x14ac:dyDescent="0.25">
      <c r="A6913">
        <v>1819</v>
      </c>
      <c r="B6913">
        <f>A6913+1</f>
        <v>1820</v>
      </c>
      <c r="C6913" t="s">
        <v>525</v>
      </c>
      <c r="D6913" t="s">
        <v>26</v>
      </c>
      <c r="E6913" s="208" t="s">
        <v>570</v>
      </c>
      <c r="F6913" t="s">
        <v>7</v>
      </c>
      <c r="G6913" s="18">
        <v>2344</v>
      </c>
      <c r="H6913" s="151" t="s">
        <v>563</v>
      </c>
      <c r="I6913" t="s">
        <v>16</v>
      </c>
    </row>
    <row r="6914" spans="1:9" x14ac:dyDescent="0.25">
      <c r="A6914">
        <v>1819</v>
      </c>
      <c r="B6914">
        <f>A6914+1</f>
        <v>1820</v>
      </c>
      <c r="C6914" t="s">
        <v>525</v>
      </c>
      <c r="D6914" t="s">
        <v>26</v>
      </c>
      <c r="E6914" s="208" t="s">
        <v>570</v>
      </c>
      <c r="F6914" t="s">
        <v>10</v>
      </c>
      <c r="G6914" s="18">
        <v>1521</v>
      </c>
      <c r="H6914" t="s">
        <v>24</v>
      </c>
      <c r="I6914" t="s">
        <v>17</v>
      </c>
    </row>
    <row r="6915" spans="1:9" x14ac:dyDescent="0.25">
      <c r="A6915">
        <v>1819</v>
      </c>
      <c r="B6915">
        <f>A6915+1</f>
        <v>1820</v>
      </c>
      <c r="C6915" t="s">
        <v>525</v>
      </c>
      <c r="D6915" t="s">
        <v>26</v>
      </c>
      <c r="E6915" s="208" t="s">
        <v>570</v>
      </c>
      <c r="F6915" t="s">
        <v>164</v>
      </c>
      <c r="G6915" s="18">
        <v>0</v>
      </c>
      <c r="H6915" t="s">
        <v>160</v>
      </c>
      <c r="I6915" t="s">
        <v>17</v>
      </c>
    </row>
    <row r="6916" spans="1:9" x14ac:dyDescent="0.25">
      <c r="A6916">
        <v>1819</v>
      </c>
      <c r="B6916">
        <f>A6916+1</f>
        <v>1820</v>
      </c>
      <c r="C6916" t="s">
        <v>525</v>
      </c>
      <c r="D6916" t="s">
        <v>26</v>
      </c>
      <c r="E6916" s="208" t="s">
        <v>570</v>
      </c>
      <c r="F6916" t="s">
        <v>13</v>
      </c>
      <c r="G6916" s="18">
        <v>0</v>
      </c>
      <c r="H6916" t="s">
        <v>25</v>
      </c>
      <c r="I6916" t="s">
        <v>17</v>
      </c>
    </row>
    <row r="6917" spans="1:9" x14ac:dyDescent="0.25">
      <c r="A6917">
        <v>1819</v>
      </c>
      <c r="B6917">
        <f>A6917+1</f>
        <v>1820</v>
      </c>
      <c r="C6917" t="s">
        <v>525</v>
      </c>
      <c r="D6917" t="s">
        <v>26</v>
      </c>
      <c r="E6917" s="208" t="s">
        <v>570</v>
      </c>
      <c r="F6917" t="s">
        <v>14</v>
      </c>
      <c r="G6917" s="18">
        <v>1521</v>
      </c>
      <c r="H6917" s="151" t="s">
        <v>563</v>
      </c>
      <c r="I6917" t="s">
        <v>17</v>
      </c>
    </row>
    <row r="6918" spans="1:9" x14ac:dyDescent="0.25">
      <c r="A6918">
        <v>1819</v>
      </c>
      <c r="B6918">
        <f>A6918+1</f>
        <v>1820</v>
      </c>
      <c r="C6918" t="s">
        <v>525</v>
      </c>
      <c r="D6918" t="s">
        <v>26</v>
      </c>
      <c r="E6918" s="208" t="s">
        <v>570</v>
      </c>
      <c r="F6918" t="s">
        <v>15</v>
      </c>
      <c r="G6918" s="18">
        <v>3865</v>
      </c>
      <c r="H6918" s="151" t="s">
        <v>563</v>
      </c>
      <c r="I6918" t="s">
        <v>561</v>
      </c>
    </row>
    <row r="6919" spans="1:9" x14ac:dyDescent="0.25">
      <c r="A6919">
        <v>1819</v>
      </c>
      <c r="B6919">
        <f>A6919+1</f>
        <v>1820</v>
      </c>
      <c r="C6919" t="s">
        <v>525</v>
      </c>
      <c r="D6919" t="s">
        <v>27</v>
      </c>
      <c r="E6919" s="208" t="s">
        <v>155</v>
      </c>
      <c r="F6919" t="s">
        <v>3</v>
      </c>
      <c r="G6919" s="18">
        <v>648</v>
      </c>
      <c r="H6919" t="s">
        <v>16</v>
      </c>
      <c r="I6919" t="s">
        <v>24</v>
      </c>
    </row>
    <row r="6920" spans="1:9" x14ac:dyDescent="0.25">
      <c r="A6920">
        <v>1819</v>
      </c>
      <c r="B6920">
        <f>A6920+1</f>
        <v>1820</v>
      </c>
      <c r="C6920" t="s">
        <v>525</v>
      </c>
      <c r="D6920" t="s">
        <v>27</v>
      </c>
      <c r="E6920" s="208" t="s">
        <v>156</v>
      </c>
      <c r="F6920" t="s">
        <v>3</v>
      </c>
      <c r="G6920" s="18">
        <v>52</v>
      </c>
      <c r="H6920" t="s">
        <v>16</v>
      </c>
      <c r="I6920" t="s">
        <v>24</v>
      </c>
    </row>
    <row r="6921" spans="1:9" x14ac:dyDescent="0.25">
      <c r="A6921">
        <v>1819</v>
      </c>
      <c r="B6921">
        <f>A6921+1</f>
        <v>1820</v>
      </c>
      <c r="C6921" t="s">
        <v>525</v>
      </c>
      <c r="D6921" t="s">
        <v>27</v>
      </c>
      <c r="E6921" s="208" t="s">
        <v>154</v>
      </c>
      <c r="F6921" t="s">
        <v>3</v>
      </c>
      <c r="G6921" s="18">
        <v>835</v>
      </c>
      <c r="H6921" t="s">
        <v>16</v>
      </c>
      <c r="I6921" t="s">
        <v>24</v>
      </c>
    </row>
    <row r="6922" spans="1:9" x14ac:dyDescent="0.25">
      <c r="A6922">
        <v>1819</v>
      </c>
      <c r="B6922">
        <f>A6922+1</f>
        <v>1820</v>
      </c>
      <c r="C6922" t="s">
        <v>525</v>
      </c>
      <c r="D6922" t="s">
        <v>27</v>
      </c>
      <c r="E6922" s="208" t="s">
        <v>150</v>
      </c>
      <c r="F6922" t="s">
        <v>3</v>
      </c>
      <c r="G6922" s="18">
        <v>3027</v>
      </c>
      <c r="H6922" t="s">
        <v>16</v>
      </c>
      <c r="I6922" t="s">
        <v>24</v>
      </c>
    </row>
    <row r="6923" spans="1:9" x14ac:dyDescent="0.25">
      <c r="A6923">
        <v>1819</v>
      </c>
      <c r="B6923">
        <f>A6923+1</f>
        <v>1820</v>
      </c>
      <c r="C6923" t="s">
        <v>525</v>
      </c>
      <c r="D6923" t="s">
        <v>27</v>
      </c>
      <c r="E6923" s="208" t="s">
        <v>148</v>
      </c>
      <c r="F6923" t="s">
        <v>3</v>
      </c>
      <c r="G6923" s="18">
        <v>52</v>
      </c>
      <c r="H6923" t="s">
        <v>16</v>
      </c>
      <c r="I6923" t="s">
        <v>24</v>
      </c>
    </row>
    <row r="6924" spans="1:9" x14ac:dyDescent="0.25">
      <c r="A6924">
        <v>1819</v>
      </c>
      <c r="B6924">
        <f>A6924+1</f>
        <v>1820</v>
      </c>
      <c r="C6924" t="s">
        <v>525</v>
      </c>
      <c r="D6924" t="s">
        <v>27</v>
      </c>
      <c r="E6924" s="208" t="s">
        <v>147</v>
      </c>
      <c r="F6924" t="s">
        <v>3</v>
      </c>
      <c r="G6924" s="18">
        <v>0</v>
      </c>
      <c r="H6924" t="s">
        <v>16</v>
      </c>
      <c r="I6924" t="s">
        <v>24</v>
      </c>
    </row>
    <row r="6925" spans="1:9" x14ac:dyDescent="0.25">
      <c r="A6925">
        <v>1819</v>
      </c>
      <c r="B6925">
        <f>A6925+1</f>
        <v>1820</v>
      </c>
      <c r="C6925" t="s">
        <v>525</v>
      </c>
      <c r="D6925" t="s">
        <v>27</v>
      </c>
      <c r="E6925" s="208" t="s">
        <v>314</v>
      </c>
      <c r="F6925" t="s">
        <v>3</v>
      </c>
      <c r="G6925" s="18">
        <v>24</v>
      </c>
      <c r="H6925" t="s">
        <v>16</v>
      </c>
      <c r="I6925" t="s">
        <v>24</v>
      </c>
    </row>
    <row r="6926" spans="1:9" x14ac:dyDescent="0.25">
      <c r="A6926">
        <v>1819</v>
      </c>
      <c r="B6926">
        <f>A6926+1</f>
        <v>1820</v>
      </c>
      <c r="C6926" t="s">
        <v>525</v>
      </c>
      <c r="D6926" t="s">
        <v>27</v>
      </c>
      <c r="E6926" s="208" t="s">
        <v>139</v>
      </c>
      <c r="F6926" t="s">
        <v>3</v>
      </c>
      <c r="G6926" s="18">
        <v>13</v>
      </c>
      <c r="H6926" t="s">
        <v>16</v>
      </c>
      <c r="I6926" t="s">
        <v>24</v>
      </c>
    </row>
    <row r="6927" spans="1:9" x14ac:dyDescent="0.25">
      <c r="A6927">
        <v>1819</v>
      </c>
      <c r="B6927">
        <f>A6927+1</f>
        <v>1820</v>
      </c>
      <c r="C6927" t="s">
        <v>525</v>
      </c>
      <c r="D6927" t="s">
        <v>27</v>
      </c>
      <c r="E6927" s="208" t="s">
        <v>132</v>
      </c>
      <c r="F6927" t="s">
        <v>3</v>
      </c>
      <c r="G6927" s="18">
        <v>40</v>
      </c>
      <c r="H6927" t="s">
        <v>16</v>
      </c>
      <c r="I6927" t="s">
        <v>24</v>
      </c>
    </row>
    <row r="6928" spans="1:9" x14ac:dyDescent="0.25">
      <c r="A6928">
        <v>1819</v>
      </c>
      <c r="B6928">
        <f>A6928+1</f>
        <v>1820</v>
      </c>
      <c r="C6928" t="s">
        <v>525</v>
      </c>
      <c r="D6928" t="s">
        <v>27</v>
      </c>
      <c r="E6928" s="208" t="s">
        <v>130</v>
      </c>
      <c r="F6928" t="s">
        <v>3</v>
      </c>
      <c r="G6928" s="18">
        <v>0</v>
      </c>
      <c r="H6928" t="s">
        <v>16</v>
      </c>
      <c r="I6928" t="s">
        <v>24</v>
      </c>
    </row>
    <row r="6929" spans="1:9" x14ac:dyDescent="0.25">
      <c r="A6929">
        <v>1819</v>
      </c>
      <c r="B6929">
        <f>A6929+1</f>
        <v>1820</v>
      </c>
      <c r="C6929" t="s">
        <v>525</v>
      </c>
      <c r="D6929" t="s">
        <v>27</v>
      </c>
      <c r="E6929" s="208" t="s">
        <v>144</v>
      </c>
      <c r="F6929" t="s">
        <v>3</v>
      </c>
      <c r="G6929" s="18">
        <v>119</v>
      </c>
      <c r="H6929" t="s">
        <v>16</v>
      </c>
      <c r="I6929" t="s">
        <v>24</v>
      </c>
    </row>
    <row r="6930" spans="1:9" x14ac:dyDescent="0.25">
      <c r="A6930">
        <v>1819</v>
      </c>
      <c r="B6930">
        <f>A6930+1</f>
        <v>1820</v>
      </c>
      <c r="C6930" t="s">
        <v>525</v>
      </c>
      <c r="D6930" t="s">
        <v>27</v>
      </c>
      <c r="E6930" s="208" t="s">
        <v>142</v>
      </c>
      <c r="F6930" t="s">
        <v>3</v>
      </c>
      <c r="G6930" s="18">
        <v>857</v>
      </c>
      <c r="H6930" t="s">
        <v>16</v>
      </c>
      <c r="I6930" t="s">
        <v>24</v>
      </c>
    </row>
    <row r="6931" spans="1:9" x14ac:dyDescent="0.25">
      <c r="A6931">
        <v>1819</v>
      </c>
      <c r="B6931">
        <f>A6931+1</f>
        <v>1820</v>
      </c>
      <c r="C6931" t="s">
        <v>525</v>
      </c>
      <c r="D6931" t="s">
        <v>27</v>
      </c>
      <c r="E6931" s="208" t="s">
        <v>124</v>
      </c>
      <c r="F6931" t="s">
        <v>3</v>
      </c>
      <c r="G6931" s="18">
        <v>209020</v>
      </c>
      <c r="H6931" t="s">
        <v>16</v>
      </c>
      <c r="I6931" t="s">
        <v>24</v>
      </c>
    </row>
    <row r="6932" spans="1:9" x14ac:dyDescent="0.25">
      <c r="A6932">
        <v>1819</v>
      </c>
      <c r="B6932">
        <f>A6932+1</f>
        <v>1820</v>
      </c>
      <c r="C6932" t="s">
        <v>525</v>
      </c>
      <c r="D6932" t="s">
        <v>26</v>
      </c>
      <c r="E6932" s="208" t="s">
        <v>62</v>
      </c>
      <c r="F6932" t="s">
        <v>3</v>
      </c>
      <c r="G6932" s="18">
        <v>23223</v>
      </c>
      <c r="H6932" t="s">
        <v>24</v>
      </c>
      <c r="I6932" t="s">
        <v>16</v>
      </c>
    </row>
    <row r="6933" spans="1:9" x14ac:dyDescent="0.25">
      <c r="A6933">
        <v>1819</v>
      </c>
      <c r="B6933">
        <f>A6933+1</f>
        <v>1820</v>
      </c>
      <c r="C6933" t="s">
        <v>525</v>
      </c>
      <c r="D6933" t="s">
        <v>26</v>
      </c>
      <c r="E6933" s="208" t="s">
        <v>36</v>
      </c>
      <c r="F6933" t="s">
        <v>3</v>
      </c>
      <c r="G6933" s="18">
        <v>1514</v>
      </c>
      <c r="H6933" t="s">
        <v>24</v>
      </c>
      <c r="I6933" t="s">
        <v>16</v>
      </c>
    </row>
    <row r="6934" spans="1:9" x14ac:dyDescent="0.25">
      <c r="A6934">
        <v>1819</v>
      </c>
      <c r="B6934">
        <f>A6934+1</f>
        <v>1820</v>
      </c>
      <c r="C6934" t="s">
        <v>525</v>
      </c>
      <c r="D6934" t="s">
        <v>26</v>
      </c>
      <c r="E6934" s="208" t="s">
        <v>35</v>
      </c>
      <c r="F6934" t="s">
        <v>3</v>
      </c>
      <c r="G6934" s="18">
        <v>20</v>
      </c>
      <c r="H6934" t="s">
        <v>24</v>
      </c>
      <c r="I6934" t="s">
        <v>16</v>
      </c>
    </row>
    <row r="6935" spans="1:9" x14ac:dyDescent="0.25">
      <c r="A6935">
        <v>1819</v>
      </c>
      <c r="B6935">
        <f>A6935+1</f>
        <v>1820</v>
      </c>
      <c r="C6935" t="s">
        <v>525</v>
      </c>
      <c r="D6935" t="s">
        <v>26</v>
      </c>
      <c r="E6935" s="208" t="s">
        <v>39</v>
      </c>
      <c r="F6935" t="s">
        <v>3</v>
      </c>
      <c r="G6935" s="18">
        <v>866</v>
      </c>
      <c r="H6935" t="s">
        <v>24</v>
      </c>
      <c r="I6935" t="s">
        <v>16</v>
      </c>
    </row>
    <row r="6936" spans="1:9" x14ac:dyDescent="0.25">
      <c r="A6936">
        <v>1819</v>
      </c>
      <c r="B6936">
        <f>A6936+1</f>
        <v>1820</v>
      </c>
      <c r="C6936" t="s">
        <v>525</v>
      </c>
      <c r="D6936" t="s">
        <v>26</v>
      </c>
      <c r="E6936" s="208" t="s">
        <v>99</v>
      </c>
      <c r="F6936" t="s">
        <v>3</v>
      </c>
      <c r="G6936" s="18">
        <v>248</v>
      </c>
      <c r="H6936" t="s">
        <v>24</v>
      </c>
      <c r="I6936" t="s">
        <v>16</v>
      </c>
    </row>
    <row r="6937" spans="1:9" x14ac:dyDescent="0.25">
      <c r="A6937">
        <v>1819</v>
      </c>
      <c r="B6937">
        <f>A6937+1</f>
        <v>1820</v>
      </c>
      <c r="C6937" t="s">
        <v>525</v>
      </c>
      <c r="D6937" t="s">
        <v>26</v>
      </c>
      <c r="E6937" s="208" t="s">
        <v>95</v>
      </c>
      <c r="F6937" t="s">
        <v>3</v>
      </c>
      <c r="G6937" s="18">
        <v>1</v>
      </c>
      <c r="H6937" t="s">
        <v>24</v>
      </c>
      <c r="I6937" t="s">
        <v>16</v>
      </c>
    </row>
    <row r="6938" spans="1:9" x14ac:dyDescent="0.25">
      <c r="A6938">
        <v>1819</v>
      </c>
      <c r="B6938">
        <f>A6938+1</f>
        <v>1820</v>
      </c>
      <c r="C6938" t="s">
        <v>525</v>
      </c>
      <c r="D6938" t="s">
        <v>26</v>
      </c>
      <c r="E6938" s="208" t="s">
        <v>94</v>
      </c>
      <c r="F6938" t="s">
        <v>3</v>
      </c>
      <c r="G6938" s="18">
        <v>30</v>
      </c>
      <c r="H6938" t="s">
        <v>24</v>
      </c>
      <c r="I6938" t="s">
        <v>16</v>
      </c>
    </row>
    <row r="6939" spans="1:9" x14ac:dyDescent="0.25">
      <c r="A6939">
        <v>1819</v>
      </c>
      <c r="B6939">
        <f>A6939+1</f>
        <v>1820</v>
      </c>
      <c r="C6939" t="s">
        <v>525</v>
      </c>
      <c r="D6939" t="s">
        <v>26</v>
      </c>
      <c r="E6939" s="208" t="s">
        <v>386</v>
      </c>
      <c r="F6939" t="s">
        <v>3</v>
      </c>
      <c r="G6939" s="18">
        <v>3133</v>
      </c>
      <c r="H6939" t="s">
        <v>24</v>
      </c>
      <c r="I6939" t="s">
        <v>16</v>
      </c>
    </row>
    <row r="6940" spans="1:9" x14ac:dyDescent="0.25">
      <c r="A6940">
        <v>1819</v>
      </c>
      <c r="B6940">
        <f>A6940+1</f>
        <v>1820</v>
      </c>
      <c r="C6940" t="s">
        <v>525</v>
      </c>
      <c r="D6940" t="s">
        <v>26</v>
      </c>
      <c r="E6940" s="208" t="s">
        <v>387</v>
      </c>
      <c r="F6940" t="s">
        <v>3</v>
      </c>
      <c r="G6940" s="18">
        <v>442</v>
      </c>
      <c r="H6940" t="s">
        <v>24</v>
      </c>
      <c r="I6940" t="s">
        <v>16</v>
      </c>
    </row>
    <row r="6941" spans="1:9" x14ac:dyDescent="0.25">
      <c r="A6941">
        <v>1819</v>
      </c>
      <c r="B6941">
        <f>A6941+1</f>
        <v>1820</v>
      </c>
      <c r="C6941" t="s">
        <v>525</v>
      </c>
      <c r="D6941" t="s">
        <v>26</v>
      </c>
      <c r="E6941" s="208" t="s">
        <v>388</v>
      </c>
      <c r="F6941" t="s">
        <v>3</v>
      </c>
      <c r="G6941" s="18">
        <v>5291</v>
      </c>
      <c r="H6941" t="s">
        <v>24</v>
      </c>
      <c r="I6941" t="s">
        <v>16</v>
      </c>
    </row>
    <row r="6942" spans="1:9" x14ac:dyDescent="0.25">
      <c r="A6942">
        <v>1819</v>
      </c>
      <c r="B6942">
        <f>A6942+1</f>
        <v>1820</v>
      </c>
      <c r="C6942" t="s">
        <v>525</v>
      </c>
      <c r="D6942" t="s">
        <v>26</v>
      </c>
      <c r="E6942" s="208" t="s">
        <v>383</v>
      </c>
      <c r="F6942" t="s">
        <v>3</v>
      </c>
      <c r="G6942" s="18">
        <v>547</v>
      </c>
      <c r="H6942" t="s">
        <v>24</v>
      </c>
      <c r="I6942" t="s">
        <v>16</v>
      </c>
    </row>
    <row r="6943" spans="1:9" x14ac:dyDescent="0.25">
      <c r="A6943">
        <v>1819</v>
      </c>
      <c r="B6943">
        <f>A6943+1</f>
        <v>1820</v>
      </c>
      <c r="C6943" t="s">
        <v>525</v>
      </c>
      <c r="D6943" t="s">
        <v>26</v>
      </c>
      <c r="E6943" s="208" t="s">
        <v>384</v>
      </c>
      <c r="F6943" t="s">
        <v>3</v>
      </c>
      <c r="G6943" s="18">
        <v>797</v>
      </c>
      <c r="H6943" t="s">
        <v>24</v>
      </c>
      <c r="I6943" t="s">
        <v>16</v>
      </c>
    </row>
    <row r="6944" spans="1:9" x14ac:dyDescent="0.25">
      <c r="A6944">
        <v>1819</v>
      </c>
      <c r="B6944">
        <f>A6944+1</f>
        <v>1820</v>
      </c>
      <c r="C6944" t="s">
        <v>525</v>
      </c>
      <c r="D6944" t="s">
        <v>26</v>
      </c>
      <c r="E6944" s="208" t="s">
        <v>107</v>
      </c>
      <c r="F6944" t="s">
        <v>3</v>
      </c>
      <c r="G6944" s="18">
        <v>3135835</v>
      </c>
      <c r="H6944" t="s">
        <v>24</v>
      </c>
      <c r="I6944" t="s">
        <v>16</v>
      </c>
    </row>
    <row r="6945" spans="1:9" x14ac:dyDescent="0.25">
      <c r="A6945">
        <v>1819</v>
      </c>
      <c r="B6945">
        <f>A6945+1</f>
        <v>1820</v>
      </c>
      <c r="C6945" t="s">
        <v>525</v>
      </c>
      <c r="D6945" t="s">
        <v>26</v>
      </c>
      <c r="E6945" s="208" t="s">
        <v>101</v>
      </c>
      <c r="F6945" t="s">
        <v>3</v>
      </c>
      <c r="G6945" s="18">
        <v>6066373</v>
      </c>
      <c r="H6945" t="s">
        <v>24</v>
      </c>
      <c r="I6945" t="s">
        <v>16</v>
      </c>
    </row>
    <row r="6946" spans="1:9" x14ac:dyDescent="0.25">
      <c r="A6946">
        <v>1819</v>
      </c>
      <c r="B6946">
        <f>A6946+1</f>
        <v>1820</v>
      </c>
      <c r="C6946" t="s">
        <v>525</v>
      </c>
      <c r="D6946" t="s">
        <v>26</v>
      </c>
      <c r="E6946" s="208" t="s">
        <v>75</v>
      </c>
      <c r="F6946" t="s">
        <v>3</v>
      </c>
      <c r="G6946" s="18">
        <v>4809342</v>
      </c>
      <c r="H6946" t="s">
        <v>24</v>
      </c>
      <c r="I6946" t="s">
        <v>16</v>
      </c>
    </row>
    <row r="6947" spans="1:9" x14ac:dyDescent="0.25">
      <c r="A6947">
        <v>1819</v>
      </c>
      <c r="B6947">
        <f>A6947+1</f>
        <v>1820</v>
      </c>
      <c r="C6947" t="s">
        <v>525</v>
      </c>
      <c r="D6947" t="s">
        <v>26</v>
      </c>
      <c r="E6947" s="208" t="s">
        <v>330</v>
      </c>
      <c r="F6947" t="s">
        <v>3</v>
      </c>
      <c r="G6947" s="18">
        <v>68</v>
      </c>
      <c r="H6947" t="s">
        <v>24</v>
      </c>
      <c r="I6947" t="s">
        <v>16</v>
      </c>
    </row>
    <row r="6948" spans="1:9" x14ac:dyDescent="0.25">
      <c r="A6948">
        <v>1819</v>
      </c>
      <c r="B6948">
        <f>A6948+1</f>
        <v>1820</v>
      </c>
      <c r="C6948" t="s">
        <v>525</v>
      </c>
      <c r="D6948" t="s">
        <v>26</v>
      </c>
      <c r="E6948" s="208" t="s">
        <v>331</v>
      </c>
      <c r="F6948" t="s">
        <v>3</v>
      </c>
      <c r="G6948" s="18">
        <v>0</v>
      </c>
      <c r="H6948" t="s">
        <v>24</v>
      </c>
      <c r="I6948" t="s">
        <v>16</v>
      </c>
    </row>
    <row r="6949" spans="1:9" x14ac:dyDescent="0.25">
      <c r="A6949">
        <v>1819</v>
      </c>
      <c r="B6949">
        <f>A6949+1</f>
        <v>1820</v>
      </c>
      <c r="C6949" t="s">
        <v>525</v>
      </c>
      <c r="D6949" t="s">
        <v>26</v>
      </c>
      <c r="E6949" s="208" t="s">
        <v>332</v>
      </c>
      <c r="F6949" t="s">
        <v>3</v>
      </c>
      <c r="G6949" s="18">
        <v>0</v>
      </c>
      <c r="H6949" t="s">
        <v>24</v>
      </c>
      <c r="I6949" t="s">
        <v>16</v>
      </c>
    </row>
    <row r="6950" spans="1:9" x14ac:dyDescent="0.25">
      <c r="A6950">
        <v>1819</v>
      </c>
      <c r="B6950">
        <f>A6950+1</f>
        <v>1820</v>
      </c>
      <c r="C6950" t="s">
        <v>525</v>
      </c>
      <c r="D6950" t="s">
        <v>26</v>
      </c>
      <c r="E6950" s="208" t="s">
        <v>333</v>
      </c>
      <c r="F6950" t="s">
        <v>3</v>
      </c>
      <c r="G6950" s="18">
        <v>6</v>
      </c>
      <c r="H6950" t="s">
        <v>24</v>
      </c>
      <c r="I6950" t="s">
        <v>16</v>
      </c>
    </row>
    <row r="6951" spans="1:9" x14ac:dyDescent="0.25">
      <c r="A6951">
        <v>1819</v>
      </c>
      <c r="B6951">
        <f>A6951+1</f>
        <v>1820</v>
      </c>
      <c r="C6951" t="s">
        <v>525</v>
      </c>
      <c r="D6951" t="s">
        <v>26</v>
      </c>
      <c r="E6951" s="208" t="s">
        <v>113</v>
      </c>
      <c r="F6951" t="s">
        <v>2</v>
      </c>
      <c r="G6951" s="18">
        <v>493</v>
      </c>
      <c r="H6951" t="s">
        <v>22</v>
      </c>
      <c r="I6951" t="s">
        <v>16</v>
      </c>
    </row>
    <row r="6952" spans="1:9" x14ac:dyDescent="0.25">
      <c r="A6952">
        <v>1819</v>
      </c>
      <c r="B6952">
        <f>A6952+1</f>
        <v>1820</v>
      </c>
      <c r="C6952" t="s">
        <v>525</v>
      </c>
      <c r="D6952" t="s">
        <v>26</v>
      </c>
      <c r="E6952" s="208" t="s">
        <v>112</v>
      </c>
      <c r="F6952" t="s">
        <v>2</v>
      </c>
      <c r="G6952" s="18">
        <v>373</v>
      </c>
      <c r="H6952" t="s">
        <v>22</v>
      </c>
      <c r="I6952" t="s">
        <v>16</v>
      </c>
    </row>
    <row r="6953" spans="1:9" x14ac:dyDescent="0.25">
      <c r="A6953">
        <v>1819</v>
      </c>
      <c r="B6953">
        <f>A6953+1</f>
        <v>1820</v>
      </c>
      <c r="C6953" t="s">
        <v>525</v>
      </c>
      <c r="D6953" t="s">
        <v>27</v>
      </c>
      <c r="E6953" s="208" t="s">
        <v>155</v>
      </c>
      <c r="F6953" t="s">
        <v>0</v>
      </c>
      <c r="G6953" s="18">
        <v>25090</v>
      </c>
      <c r="H6953" t="s">
        <v>16</v>
      </c>
      <c r="I6953" t="s">
        <v>18</v>
      </c>
    </row>
    <row r="6954" spans="1:9" x14ac:dyDescent="0.25">
      <c r="A6954">
        <v>1819</v>
      </c>
      <c r="B6954">
        <f>A6954+1</f>
        <v>1820</v>
      </c>
      <c r="C6954" t="s">
        <v>525</v>
      </c>
      <c r="D6954" t="s">
        <v>27</v>
      </c>
      <c r="E6954" s="208" t="s">
        <v>156</v>
      </c>
      <c r="F6954" t="s">
        <v>0</v>
      </c>
      <c r="G6954" s="18">
        <v>2001</v>
      </c>
      <c r="H6954" t="s">
        <v>16</v>
      </c>
      <c r="I6954" t="s">
        <v>18</v>
      </c>
    </row>
    <row r="6955" spans="1:9" x14ac:dyDescent="0.25">
      <c r="A6955">
        <v>1819</v>
      </c>
      <c r="B6955">
        <f>A6955+1</f>
        <v>1820</v>
      </c>
      <c r="C6955" t="s">
        <v>525</v>
      </c>
      <c r="D6955" t="s">
        <v>27</v>
      </c>
      <c r="E6955" s="208" t="s">
        <v>154</v>
      </c>
      <c r="F6955" t="s">
        <v>0</v>
      </c>
      <c r="G6955" s="18">
        <v>548</v>
      </c>
      <c r="H6955" t="s">
        <v>16</v>
      </c>
      <c r="I6955" t="s">
        <v>18</v>
      </c>
    </row>
    <row r="6956" spans="1:9" x14ac:dyDescent="0.25">
      <c r="A6956">
        <v>1819</v>
      </c>
      <c r="B6956">
        <f>A6956+1</f>
        <v>1820</v>
      </c>
      <c r="C6956" t="s">
        <v>525</v>
      </c>
      <c r="D6956" t="s">
        <v>27</v>
      </c>
      <c r="E6956" s="208" t="s">
        <v>150</v>
      </c>
      <c r="F6956" t="s">
        <v>0</v>
      </c>
      <c r="G6956" s="18">
        <v>6507</v>
      </c>
      <c r="H6956" t="s">
        <v>16</v>
      </c>
      <c r="I6956" t="s">
        <v>18</v>
      </c>
    </row>
    <row r="6957" spans="1:9" x14ac:dyDescent="0.25">
      <c r="A6957">
        <v>1819</v>
      </c>
      <c r="B6957">
        <f>A6957+1</f>
        <v>1820</v>
      </c>
      <c r="C6957" t="s">
        <v>525</v>
      </c>
      <c r="D6957" t="s">
        <v>27</v>
      </c>
      <c r="E6957" s="208" t="s">
        <v>148</v>
      </c>
      <c r="F6957" t="s">
        <v>0</v>
      </c>
      <c r="G6957" s="18">
        <v>618</v>
      </c>
      <c r="H6957" t="s">
        <v>16</v>
      </c>
      <c r="I6957" t="s">
        <v>18</v>
      </c>
    </row>
    <row r="6958" spans="1:9" x14ac:dyDescent="0.25">
      <c r="A6958">
        <v>1819</v>
      </c>
      <c r="B6958">
        <f>A6958+1</f>
        <v>1820</v>
      </c>
      <c r="C6958" t="s">
        <v>525</v>
      </c>
      <c r="D6958" t="s">
        <v>27</v>
      </c>
      <c r="E6958" s="208" t="s">
        <v>147</v>
      </c>
      <c r="F6958" t="s">
        <v>0</v>
      </c>
      <c r="G6958" s="18">
        <v>0</v>
      </c>
      <c r="H6958" t="s">
        <v>16</v>
      </c>
      <c r="I6958" t="s">
        <v>18</v>
      </c>
    </row>
    <row r="6959" spans="1:9" x14ac:dyDescent="0.25">
      <c r="A6959">
        <v>1819</v>
      </c>
      <c r="B6959">
        <f>A6959+1</f>
        <v>1820</v>
      </c>
      <c r="C6959" t="s">
        <v>525</v>
      </c>
      <c r="D6959" t="s">
        <v>27</v>
      </c>
      <c r="E6959" s="208" t="s">
        <v>314</v>
      </c>
      <c r="F6959" t="s">
        <v>0</v>
      </c>
      <c r="G6959" s="18">
        <v>0</v>
      </c>
      <c r="H6959" t="s">
        <v>16</v>
      </c>
      <c r="I6959" t="s">
        <v>18</v>
      </c>
    </row>
    <row r="6960" spans="1:9" x14ac:dyDescent="0.25">
      <c r="A6960">
        <v>1819</v>
      </c>
      <c r="B6960">
        <f>A6960+1</f>
        <v>1820</v>
      </c>
      <c r="C6960" t="s">
        <v>525</v>
      </c>
      <c r="D6960" t="s">
        <v>27</v>
      </c>
      <c r="E6960" s="208" t="s">
        <v>139</v>
      </c>
      <c r="F6960" t="s">
        <v>0</v>
      </c>
      <c r="G6960" s="18">
        <v>0</v>
      </c>
      <c r="H6960" t="s">
        <v>16</v>
      </c>
      <c r="I6960" t="s">
        <v>18</v>
      </c>
    </row>
    <row r="6961" spans="1:9" x14ac:dyDescent="0.25">
      <c r="A6961">
        <v>1819</v>
      </c>
      <c r="B6961">
        <f>A6961+1</f>
        <v>1820</v>
      </c>
      <c r="C6961" t="s">
        <v>525</v>
      </c>
      <c r="D6961" t="s">
        <v>27</v>
      </c>
      <c r="E6961" s="208" t="s">
        <v>132</v>
      </c>
      <c r="F6961" t="s">
        <v>0</v>
      </c>
      <c r="G6961" s="18">
        <v>353</v>
      </c>
      <c r="H6961" t="s">
        <v>16</v>
      </c>
      <c r="I6961" t="s">
        <v>18</v>
      </c>
    </row>
    <row r="6962" spans="1:9" x14ac:dyDescent="0.25">
      <c r="A6962">
        <v>1819</v>
      </c>
      <c r="B6962">
        <f>A6962+1</f>
        <v>1820</v>
      </c>
      <c r="C6962" t="s">
        <v>525</v>
      </c>
      <c r="D6962" t="s">
        <v>27</v>
      </c>
      <c r="E6962" s="208" t="s">
        <v>130</v>
      </c>
      <c r="F6962" t="s">
        <v>0</v>
      </c>
      <c r="G6962" s="18">
        <v>15</v>
      </c>
      <c r="H6962" t="s">
        <v>16</v>
      </c>
      <c r="I6962" t="s">
        <v>18</v>
      </c>
    </row>
    <row r="6963" spans="1:9" x14ac:dyDescent="0.25">
      <c r="A6963">
        <v>1819</v>
      </c>
      <c r="B6963">
        <f>A6963+1</f>
        <v>1820</v>
      </c>
      <c r="C6963" t="s">
        <v>525</v>
      </c>
      <c r="D6963" t="s">
        <v>27</v>
      </c>
      <c r="E6963" s="208" t="s">
        <v>144</v>
      </c>
      <c r="F6963" t="s">
        <v>0</v>
      </c>
      <c r="G6963" s="18">
        <v>207</v>
      </c>
      <c r="H6963" t="s">
        <v>16</v>
      </c>
      <c r="I6963" t="s">
        <v>18</v>
      </c>
    </row>
    <row r="6964" spans="1:9" x14ac:dyDescent="0.25">
      <c r="A6964">
        <v>1819</v>
      </c>
      <c r="B6964">
        <f>A6964+1</f>
        <v>1820</v>
      </c>
      <c r="C6964" t="s">
        <v>525</v>
      </c>
      <c r="D6964" t="s">
        <v>27</v>
      </c>
      <c r="E6964" s="208" t="s">
        <v>142</v>
      </c>
      <c r="F6964" t="s">
        <v>0</v>
      </c>
      <c r="G6964" s="18">
        <v>460</v>
      </c>
      <c r="H6964" t="s">
        <v>16</v>
      </c>
      <c r="I6964" t="s">
        <v>18</v>
      </c>
    </row>
    <row r="6965" spans="1:9" x14ac:dyDescent="0.25">
      <c r="A6965">
        <v>1819</v>
      </c>
      <c r="B6965">
        <f>A6965+1</f>
        <v>1820</v>
      </c>
      <c r="C6965" t="s">
        <v>525</v>
      </c>
      <c r="D6965" t="s">
        <v>27</v>
      </c>
      <c r="E6965" s="208" t="s">
        <v>124</v>
      </c>
      <c r="F6965" t="s">
        <v>0</v>
      </c>
      <c r="G6965" s="18">
        <v>15102479</v>
      </c>
      <c r="H6965" t="s">
        <v>16</v>
      </c>
      <c r="I6965" t="s">
        <v>18</v>
      </c>
    </row>
    <row r="6966" spans="1:9" x14ac:dyDescent="0.25">
      <c r="A6966">
        <v>1819</v>
      </c>
      <c r="B6966">
        <f>A6966+1</f>
        <v>1820</v>
      </c>
      <c r="C6966" t="s">
        <v>525</v>
      </c>
      <c r="D6966" t="s">
        <v>26</v>
      </c>
      <c r="E6966" s="208" t="s">
        <v>493</v>
      </c>
      <c r="F6966" t="s">
        <v>0</v>
      </c>
      <c r="G6966" s="18">
        <v>13332</v>
      </c>
      <c r="H6966" t="s">
        <v>18</v>
      </c>
      <c r="I6966" t="s">
        <v>16</v>
      </c>
    </row>
    <row r="6967" spans="1:9" x14ac:dyDescent="0.25">
      <c r="A6967">
        <v>1819</v>
      </c>
      <c r="B6967">
        <f>A6967+1</f>
        <v>1820</v>
      </c>
      <c r="C6967" t="s">
        <v>525</v>
      </c>
      <c r="D6967" t="s">
        <v>26</v>
      </c>
      <c r="E6967" s="208" t="s">
        <v>113</v>
      </c>
      <c r="F6967" t="s">
        <v>0</v>
      </c>
      <c r="G6967" s="18">
        <v>209</v>
      </c>
      <c r="H6967" t="s">
        <v>18</v>
      </c>
      <c r="I6967" t="s">
        <v>16</v>
      </c>
    </row>
    <row r="6968" spans="1:9" x14ac:dyDescent="0.25">
      <c r="A6968">
        <v>1819</v>
      </c>
      <c r="B6968">
        <f>A6968+1</f>
        <v>1820</v>
      </c>
      <c r="C6968" t="s">
        <v>525</v>
      </c>
      <c r="D6968" t="s">
        <v>26</v>
      </c>
      <c r="E6968" s="208" t="s">
        <v>112</v>
      </c>
      <c r="F6968" t="s">
        <v>0</v>
      </c>
      <c r="G6968" s="18">
        <v>114</v>
      </c>
      <c r="H6968" t="s">
        <v>18</v>
      </c>
      <c r="I6968" t="s">
        <v>16</v>
      </c>
    </row>
    <row r="6969" spans="1:9" x14ac:dyDescent="0.25">
      <c r="A6969">
        <v>1819</v>
      </c>
      <c r="B6969">
        <f>A6969+1</f>
        <v>1820</v>
      </c>
      <c r="C6969" t="s">
        <v>525</v>
      </c>
      <c r="D6969" t="s">
        <v>26</v>
      </c>
      <c r="E6969" s="208" t="s">
        <v>494</v>
      </c>
      <c r="F6969" t="s">
        <v>0</v>
      </c>
      <c r="G6969" s="18">
        <v>525</v>
      </c>
      <c r="H6969" t="s">
        <v>18</v>
      </c>
      <c r="I6969" t="s">
        <v>16</v>
      </c>
    </row>
    <row r="6970" spans="1:9" x14ac:dyDescent="0.25">
      <c r="A6970">
        <v>1819</v>
      </c>
      <c r="B6970">
        <f>A6970+1</f>
        <v>1820</v>
      </c>
      <c r="C6970" t="s">
        <v>525</v>
      </c>
      <c r="D6970" t="s">
        <v>26</v>
      </c>
      <c r="E6970" s="208" t="s">
        <v>495</v>
      </c>
      <c r="F6970" t="s">
        <v>0</v>
      </c>
      <c r="G6970" s="18">
        <v>166</v>
      </c>
      <c r="H6970" t="s">
        <v>18</v>
      </c>
      <c r="I6970" t="s">
        <v>16</v>
      </c>
    </row>
    <row r="6971" spans="1:9" x14ac:dyDescent="0.25">
      <c r="A6971">
        <v>1819</v>
      </c>
      <c r="B6971">
        <f>A6971+1</f>
        <v>1820</v>
      </c>
      <c r="C6971" t="s">
        <v>525</v>
      </c>
      <c r="D6971" t="s">
        <v>26</v>
      </c>
      <c r="E6971" s="208" t="s">
        <v>109</v>
      </c>
      <c r="F6971" t="s">
        <v>0</v>
      </c>
      <c r="G6971" s="18">
        <v>6748</v>
      </c>
      <c r="H6971" t="s">
        <v>18</v>
      </c>
      <c r="I6971" t="s">
        <v>16</v>
      </c>
    </row>
    <row r="6972" spans="1:9" x14ac:dyDescent="0.25">
      <c r="A6972">
        <v>1819</v>
      </c>
      <c r="B6972">
        <f>A6972+1</f>
        <v>1820</v>
      </c>
      <c r="C6972" t="s">
        <v>525</v>
      </c>
      <c r="D6972" t="s">
        <v>26</v>
      </c>
      <c r="E6972" s="208" t="s">
        <v>496</v>
      </c>
      <c r="F6972" t="s">
        <v>0</v>
      </c>
      <c r="G6972" s="18">
        <v>33091</v>
      </c>
      <c r="H6972" t="s">
        <v>18</v>
      </c>
      <c r="I6972" t="s">
        <v>16</v>
      </c>
    </row>
    <row r="6973" spans="1:9" x14ac:dyDescent="0.25">
      <c r="A6973">
        <v>1819</v>
      </c>
      <c r="B6973">
        <f>A6973+1</f>
        <v>1820</v>
      </c>
      <c r="C6973" t="s">
        <v>525</v>
      </c>
      <c r="D6973" t="s">
        <v>26</v>
      </c>
      <c r="E6973" s="208" t="s">
        <v>28</v>
      </c>
      <c r="F6973" t="s">
        <v>0</v>
      </c>
      <c r="G6973" s="18">
        <v>3628</v>
      </c>
      <c r="H6973" t="s">
        <v>18</v>
      </c>
      <c r="I6973" t="s">
        <v>16</v>
      </c>
    </row>
    <row r="6974" spans="1:9" x14ac:dyDescent="0.25">
      <c r="A6974">
        <v>1819</v>
      </c>
      <c r="B6974">
        <f>A6974+1</f>
        <v>1820</v>
      </c>
      <c r="C6974" t="s">
        <v>525</v>
      </c>
      <c r="D6974" t="s">
        <v>26</v>
      </c>
      <c r="E6974" s="208" t="s">
        <v>89</v>
      </c>
      <c r="F6974" t="s">
        <v>0</v>
      </c>
      <c r="G6974" s="18">
        <v>11831</v>
      </c>
      <c r="H6974" t="s">
        <v>18</v>
      </c>
      <c r="I6974" t="s">
        <v>16</v>
      </c>
    </row>
    <row r="6975" spans="1:9" x14ac:dyDescent="0.25">
      <c r="A6975">
        <v>1819</v>
      </c>
      <c r="B6975">
        <f>A6975+1</f>
        <v>1820</v>
      </c>
      <c r="C6975" t="s">
        <v>525</v>
      </c>
      <c r="D6975" t="s">
        <v>26</v>
      </c>
      <c r="E6975" s="208" t="s">
        <v>45</v>
      </c>
      <c r="F6975" t="s">
        <v>0</v>
      </c>
      <c r="G6975" s="18">
        <v>14001</v>
      </c>
      <c r="H6975" t="s">
        <v>18</v>
      </c>
      <c r="I6975" t="s">
        <v>16</v>
      </c>
    </row>
    <row r="6976" spans="1:9" x14ac:dyDescent="0.25">
      <c r="A6976">
        <v>1819</v>
      </c>
      <c r="B6976">
        <f>A6976+1</f>
        <v>1820</v>
      </c>
      <c r="C6976" t="s">
        <v>525</v>
      </c>
      <c r="D6976" t="s">
        <v>26</v>
      </c>
      <c r="E6976" s="208" t="s">
        <v>392</v>
      </c>
      <c r="F6976" t="s">
        <v>0</v>
      </c>
      <c r="G6976" s="18">
        <v>5201</v>
      </c>
      <c r="H6976" t="s">
        <v>18</v>
      </c>
      <c r="I6976" t="s">
        <v>16</v>
      </c>
    </row>
    <row r="6977" spans="1:9" x14ac:dyDescent="0.25">
      <c r="A6977">
        <v>1819</v>
      </c>
      <c r="B6977">
        <f>A6977+1</f>
        <v>1820</v>
      </c>
      <c r="C6977" t="s">
        <v>525</v>
      </c>
      <c r="D6977" t="s">
        <v>26</v>
      </c>
      <c r="E6977" s="208" t="s">
        <v>102</v>
      </c>
      <c r="F6977" t="s">
        <v>0</v>
      </c>
      <c r="G6977" s="18">
        <v>16480</v>
      </c>
      <c r="H6977" t="s">
        <v>18</v>
      </c>
      <c r="I6977" t="s">
        <v>16</v>
      </c>
    </row>
    <row r="6978" spans="1:9" x14ac:dyDescent="0.25">
      <c r="A6978">
        <v>1819</v>
      </c>
      <c r="B6978">
        <f>A6978+1</f>
        <v>1820</v>
      </c>
      <c r="C6978" t="s">
        <v>525</v>
      </c>
      <c r="D6978" t="s">
        <v>26</v>
      </c>
      <c r="E6978" s="208" t="s">
        <v>48</v>
      </c>
      <c r="F6978" t="s">
        <v>0</v>
      </c>
      <c r="G6978" s="18">
        <v>14253</v>
      </c>
      <c r="H6978" t="s">
        <v>18</v>
      </c>
      <c r="I6978" t="s">
        <v>16</v>
      </c>
    </row>
    <row r="6979" spans="1:9" x14ac:dyDescent="0.25">
      <c r="A6979">
        <v>1819</v>
      </c>
      <c r="B6979">
        <f>A6979+1</f>
        <v>1820</v>
      </c>
      <c r="C6979" t="s">
        <v>525</v>
      </c>
      <c r="D6979" t="s">
        <v>26</v>
      </c>
      <c r="E6979" s="208" t="s">
        <v>110</v>
      </c>
      <c r="F6979" t="s">
        <v>0</v>
      </c>
      <c r="G6979" s="18">
        <v>39671</v>
      </c>
      <c r="H6979" t="s">
        <v>18</v>
      </c>
      <c r="I6979" t="s">
        <v>16</v>
      </c>
    </row>
    <row r="6980" spans="1:9" x14ac:dyDescent="0.25">
      <c r="A6980">
        <v>1819</v>
      </c>
      <c r="B6980">
        <f>A6980+1</f>
        <v>1820</v>
      </c>
      <c r="C6980" t="s">
        <v>525</v>
      </c>
      <c r="D6980" t="s">
        <v>26</v>
      </c>
      <c r="E6980" s="208" t="s">
        <v>62</v>
      </c>
      <c r="F6980" t="s">
        <v>169</v>
      </c>
      <c r="G6980" s="18">
        <v>17579</v>
      </c>
      <c r="H6980" t="s">
        <v>160</v>
      </c>
      <c r="I6980" t="s">
        <v>16</v>
      </c>
    </row>
    <row r="6981" spans="1:9" x14ac:dyDescent="0.25">
      <c r="A6981">
        <v>1819</v>
      </c>
      <c r="B6981">
        <f>A6981+1</f>
        <v>1820</v>
      </c>
      <c r="C6981" t="s">
        <v>525</v>
      </c>
      <c r="D6981" t="s">
        <v>26</v>
      </c>
      <c r="E6981" s="208" t="s">
        <v>36</v>
      </c>
      <c r="F6981" t="s">
        <v>169</v>
      </c>
      <c r="G6981" s="18">
        <v>286</v>
      </c>
      <c r="H6981" t="s">
        <v>160</v>
      </c>
      <c r="I6981" t="s">
        <v>16</v>
      </c>
    </row>
    <row r="6982" spans="1:9" x14ac:dyDescent="0.25">
      <c r="A6982">
        <v>1819</v>
      </c>
      <c r="B6982">
        <f>A6982+1</f>
        <v>1820</v>
      </c>
      <c r="C6982" t="s">
        <v>525</v>
      </c>
      <c r="D6982" t="s">
        <v>26</v>
      </c>
      <c r="E6982" s="208" t="s">
        <v>35</v>
      </c>
      <c r="F6982" t="s">
        <v>169</v>
      </c>
      <c r="G6982" s="18">
        <v>5388</v>
      </c>
      <c r="H6982" t="s">
        <v>160</v>
      </c>
      <c r="I6982" t="s">
        <v>16</v>
      </c>
    </row>
    <row r="6983" spans="1:9" x14ac:dyDescent="0.25">
      <c r="A6983">
        <v>1819</v>
      </c>
      <c r="B6983">
        <f>A6983+1</f>
        <v>1820</v>
      </c>
      <c r="C6983" t="s">
        <v>525</v>
      </c>
      <c r="D6983" t="s">
        <v>26</v>
      </c>
      <c r="E6983" s="208" t="s">
        <v>39</v>
      </c>
      <c r="F6983" t="s">
        <v>169</v>
      </c>
      <c r="G6983" s="18">
        <v>0</v>
      </c>
      <c r="H6983" t="s">
        <v>160</v>
      </c>
      <c r="I6983" t="s">
        <v>16</v>
      </c>
    </row>
    <row r="6984" spans="1:9" x14ac:dyDescent="0.25">
      <c r="A6984">
        <v>1819</v>
      </c>
      <c r="B6984">
        <f>A6984+1</f>
        <v>1820</v>
      </c>
      <c r="C6984" t="s">
        <v>525</v>
      </c>
      <c r="D6984" t="s">
        <v>26</v>
      </c>
      <c r="E6984" s="208" t="s">
        <v>99</v>
      </c>
      <c r="F6984" t="s">
        <v>169</v>
      </c>
      <c r="G6984" s="18">
        <v>0</v>
      </c>
      <c r="H6984" t="s">
        <v>160</v>
      </c>
      <c r="I6984" t="s">
        <v>16</v>
      </c>
    </row>
    <row r="6985" spans="1:9" x14ac:dyDescent="0.25">
      <c r="A6985">
        <v>1819</v>
      </c>
      <c r="B6985">
        <f>A6985+1</f>
        <v>1820</v>
      </c>
      <c r="C6985" t="s">
        <v>525</v>
      </c>
      <c r="D6985" t="s">
        <v>26</v>
      </c>
      <c r="E6985" s="208" t="s">
        <v>95</v>
      </c>
      <c r="F6985" t="s">
        <v>169</v>
      </c>
      <c r="G6985" s="18">
        <v>1937</v>
      </c>
      <c r="H6985" t="s">
        <v>160</v>
      </c>
      <c r="I6985" t="s">
        <v>16</v>
      </c>
    </row>
    <row r="6986" spans="1:9" x14ac:dyDescent="0.25">
      <c r="A6986">
        <v>1819</v>
      </c>
      <c r="B6986">
        <f>A6986+1</f>
        <v>1820</v>
      </c>
      <c r="C6986" t="s">
        <v>525</v>
      </c>
      <c r="D6986" t="s">
        <v>26</v>
      </c>
      <c r="E6986" s="208" t="s">
        <v>94</v>
      </c>
      <c r="F6986" t="s">
        <v>169</v>
      </c>
      <c r="G6986" s="18">
        <v>5397</v>
      </c>
      <c r="H6986" t="s">
        <v>160</v>
      </c>
      <c r="I6986" t="s">
        <v>16</v>
      </c>
    </row>
    <row r="6987" spans="1:9" x14ac:dyDescent="0.25">
      <c r="A6987">
        <v>1819</v>
      </c>
      <c r="B6987">
        <f>A6987+1</f>
        <v>1820</v>
      </c>
      <c r="C6987" t="s">
        <v>525</v>
      </c>
      <c r="D6987" t="s">
        <v>26</v>
      </c>
      <c r="E6987" s="208" t="s">
        <v>386</v>
      </c>
      <c r="F6987" t="s">
        <v>169</v>
      </c>
      <c r="G6987" s="18">
        <v>0</v>
      </c>
      <c r="H6987" t="s">
        <v>160</v>
      </c>
      <c r="I6987" t="s">
        <v>16</v>
      </c>
    </row>
    <row r="6988" spans="1:9" x14ac:dyDescent="0.25">
      <c r="A6988">
        <v>1819</v>
      </c>
      <c r="B6988">
        <f>A6988+1</f>
        <v>1820</v>
      </c>
      <c r="C6988" t="s">
        <v>525</v>
      </c>
      <c r="D6988" t="s">
        <v>26</v>
      </c>
      <c r="E6988" s="208" t="s">
        <v>387</v>
      </c>
      <c r="F6988" t="s">
        <v>169</v>
      </c>
      <c r="G6988" s="18">
        <v>0</v>
      </c>
      <c r="H6988" t="s">
        <v>160</v>
      </c>
      <c r="I6988" t="s">
        <v>16</v>
      </c>
    </row>
    <row r="6989" spans="1:9" x14ac:dyDescent="0.25">
      <c r="A6989">
        <v>1819</v>
      </c>
      <c r="B6989">
        <f>A6989+1</f>
        <v>1820</v>
      </c>
      <c r="C6989" t="s">
        <v>525</v>
      </c>
      <c r="D6989" t="s">
        <v>26</v>
      </c>
      <c r="E6989" s="208" t="s">
        <v>388</v>
      </c>
      <c r="F6989" t="s">
        <v>169</v>
      </c>
      <c r="G6989" s="18">
        <v>0</v>
      </c>
      <c r="H6989" t="s">
        <v>160</v>
      </c>
      <c r="I6989" t="s">
        <v>16</v>
      </c>
    </row>
    <row r="6990" spans="1:9" x14ac:dyDescent="0.25">
      <c r="A6990">
        <v>1819</v>
      </c>
      <c r="B6990">
        <f>A6990+1</f>
        <v>1820</v>
      </c>
      <c r="C6990" t="s">
        <v>525</v>
      </c>
      <c r="D6990" t="s">
        <v>26</v>
      </c>
      <c r="E6990" s="208" t="s">
        <v>383</v>
      </c>
      <c r="F6990" t="s">
        <v>169</v>
      </c>
      <c r="G6990" s="18">
        <v>0</v>
      </c>
      <c r="H6990" t="s">
        <v>160</v>
      </c>
      <c r="I6990" t="s">
        <v>16</v>
      </c>
    </row>
    <row r="6991" spans="1:9" x14ac:dyDescent="0.25">
      <c r="A6991">
        <v>1819</v>
      </c>
      <c r="B6991">
        <f>A6991+1</f>
        <v>1820</v>
      </c>
      <c r="C6991" t="s">
        <v>525</v>
      </c>
      <c r="D6991" t="s">
        <v>26</v>
      </c>
      <c r="E6991" s="208" t="s">
        <v>384</v>
      </c>
      <c r="F6991" t="s">
        <v>169</v>
      </c>
      <c r="G6991" s="18">
        <v>0</v>
      </c>
      <c r="H6991" t="s">
        <v>160</v>
      </c>
      <c r="I6991" t="s">
        <v>16</v>
      </c>
    </row>
    <row r="6992" spans="1:9" x14ac:dyDescent="0.25">
      <c r="A6992">
        <v>1819</v>
      </c>
      <c r="B6992">
        <f>A6992+1</f>
        <v>1820</v>
      </c>
      <c r="C6992" t="s">
        <v>525</v>
      </c>
      <c r="D6992" t="s">
        <v>26</v>
      </c>
      <c r="E6992" s="208" t="s">
        <v>107</v>
      </c>
      <c r="F6992" t="s">
        <v>169</v>
      </c>
      <c r="G6992" s="18">
        <v>0</v>
      </c>
      <c r="H6992" t="s">
        <v>160</v>
      </c>
      <c r="I6992" t="s">
        <v>16</v>
      </c>
    </row>
    <row r="6993" spans="1:9" x14ac:dyDescent="0.25">
      <c r="A6993">
        <v>1819</v>
      </c>
      <c r="B6993">
        <f>A6993+1</f>
        <v>1820</v>
      </c>
      <c r="C6993" t="s">
        <v>525</v>
      </c>
      <c r="D6993" t="s">
        <v>26</v>
      </c>
      <c r="E6993" s="208" t="s">
        <v>101</v>
      </c>
      <c r="F6993" t="s">
        <v>169</v>
      </c>
      <c r="G6993" s="18">
        <v>0</v>
      </c>
      <c r="H6993" t="s">
        <v>160</v>
      </c>
      <c r="I6993" t="s">
        <v>16</v>
      </c>
    </row>
    <row r="6994" spans="1:9" x14ac:dyDescent="0.25">
      <c r="A6994">
        <v>1819</v>
      </c>
      <c r="B6994">
        <f>A6994+1</f>
        <v>1820</v>
      </c>
      <c r="C6994" t="s">
        <v>525</v>
      </c>
      <c r="D6994" t="s">
        <v>26</v>
      </c>
      <c r="E6994" s="208" t="s">
        <v>75</v>
      </c>
      <c r="F6994" t="s">
        <v>169</v>
      </c>
      <c r="G6994" s="18">
        <v>0</v>
      </c>
      <c r="H6994" t="s">
        <v>160</v>
      </c>
      <c r="I6994" t="s">
        <v>16</v>
      </c>
    </row>
    <row r="6995" spans="1:9" x14ac:dyDescent="0.25">
      <c r="A6995">
        <v>1819</v>
      </c>
      <c r="B6995">
        <f>A6995+1</f>
        <v>1820</v>
      </c>
      <c r="C6995" t="s">
        <v>525</v>
      </c>
      <c r="D6995" t="s">
        <v>26</v>
      </c>
      <c r="E6995" s="208" t="s">
        <v>330</v>
      </c>
      <c r="F6995" t="s">
        <v>169</v>
      </c>
      <c r="G6995" s="18">
        <v>0</v>
      </c>
      <c r="H6995" t="s">
        <v>160</v>
      </c>
      <c r="I6995" t="s">
        <v>16</v>
      </c>
    </row>
    <row r="6996" spans="1:9" x14ac:dyDescent="0.25">
      <c r="A6996">
        <v>1819</v>
      </c>
      <c r="B6996">
        <f>A6996+1</f>
        <v>1820</v>
      </c>
      <c r="C6996" t="s">
        <v>525</v>
      </c>
      <c r="D6996" t="s">
        <v>26</v>
      </c>
      <c r="E6996" s="208" t="s">
        <v>331</v>
      </c>
      <c r="F6996" t="s">
        <v>169</v>
      </c>
      <c r="G6996" s="18">
        <v>0</v>
      </c>
      <c r="H6996" t="s">
        <v>160</v>
      </c>
      <c r="I6996" t="s">
        <v>16</v>
      </c>
    </row>
    <row r="6997" spans="1:9" x14ac:dyDescent="0.25">
      <c r="A6997">
        <v>1819</v>
      </c>
      <c r="B6997">
        <f>A6997+1</f>
        <v>1820</v>
      </c>
      <c r="C6997" t="s">
        <v>525</v>
      </c>
      <c r="D6997" t="s">
        <v>26</v>
      </c>
      <c r="E6997" s="208" t="s">
        <v>332</v>
      </c>
      <c r="F6997" t="s">
        <v>169</v>
      </c>
      <c r="G6997" s="18">
        <v>0</v>
      </c>
      <c r="H6997" t="s">
        <v>160</v>
      </c>
      <c r="I6997" t="s">
        <v>16</v>
      </c>
    </row>
    <row r="6998" spans="1:9" x14ac:dyDescent="0.25">
      <c r="A6998">
        <v>1819</v>
      </c>
      <c r="B6998">
        <f>A6998+1</f>
        <v>1820</v>
      </c>
      <c r="C6998" t="s">
        <v>525</v>
      </c>
      <c r="D6998" t="s">
        <v>26</v>
      </c>
      <c r="E6998" s="208" t="s">
        <v>333</v>
      </c>
      <c r="F6998" t="s">
        <v>169</v>
      </c>
      <c r="G6998" s="18">
        <v>0</v>
      </c>
      <c r="H6998" t="s">
        <v>160</v>
      </c>
      <c r="I6998" t="s">
        <v>16</v>
      </c>
    </row>
    <row r="6999" spans="1:9" x14ac:dyDescent="0.25">
      <c r="A6999">
        <v>1819</v>
      </c>
      <c r="B6999">
        <f>A6999+1</f>
        <v>1820</v>
      </c>
      <c r="C6999" t="s">
        <v>525</v>
      </c>
      <c r="D6999" t="s">
        <v>27</v>
      </c>
      <c r="E6999" s="208" t="s">
        <v>155</v>
      </c>
      <c r="F6999" t="s">
        <v>1</v>
      </c>
      <c r="G6999" s="18">
        <v>1020</v>
      </c>
      <c r="H6999" t="s">
        <v>16</v>
      </c>
      <c r="I6999" t="s">
        <v>21</v>
      </c>
    </row>
    <row r="7000" spans="1:9" x14ac:dyDescent="0.25">
      <c r="A7000">
        <v>1819</v>
      </c>
      <c r="B7000">
        <f>A7000+1</f>
        <v>1820</v>
      </c>
      <c r="C7000" t="s">
        <v>525</v>
      </c>
      <c r="D7000" t="s">
        <v>27</v>
      </c>
      <c r="E7000" s="208" t="s">
        <v>156</v>
      </c>
      <c r="F7000" t="s">
        <v>1</v>
      </c>
      <c r="G7000" s="18">
        <v>96</v>
      </c>
      <c r="H7000" t="s">
        <v>16</v>
      </c>
      <c r="I7000" t="s">
        <v>21</v>
      </c>
    </row>
    <row r="7001" spans="1:9" x14ac:dyDescent="0.25">
      <c r="A7001">
        <v>1819</v>
      </c>
      <c r="B7001">
        <f>A7001+1</f>
        <v>1820</v>
      </c>
      <c r="C7001" t="s">
        <v>525</v>
      </c>
      <c r="D7001" t="s">
        <v>27</v>
      </c>
      <c r="E7001" s="208" t="s">
        <v>154</v>
      </c>
      <c r="F7001" t="s">
        <v>1</v>
      </c>
      <c r="G7001" s="18">
        <v>121</v>
      </c>
      <c r="H7001" t="s">
        <v>16</v>
      </c>
      <c r="I7001" t="s">
        <v>21</v>
      </c>
    </row>
    <row r="7002" spans="1:9" x14ac:dyDescent="0.25">
      <c r="A7002">
        <v>1819</v>
      </c>
      <c r="B7002">
        <f>A7002+1</f>
        <v>1820</v>
      </c>
      <c r="C7002" t="s">
        <v>525</v>
      </c>
      <c r="D7002" t="s">
        <v>27</v>
      </c>
      <c r="E7002" s="208" t="s">
        <v>150</v>
      </c>
      <c r="F7002" t="s">
        <v>1</v>
      </c>
      <c r="G7002" s="18">
        <v>77</v>
      </c>
      <c r="H7002" t="s">
        <v>16</v>
      </c>
      <c r="I7002" t="s">
        <v>21</v>
      </c>
    </row>
    <row r="7003" spans="1:9" x14ac:dyDescent="0.25">
      <c r="A7003">
        <v>1819</v>
      </c>
      <c r="B7003">
        <f>A7003+1</f>
        <v>1820</v>
      </c>
      <c r="C7003" t="s">
        <v>525</v>
      </c>
      <c r="D7003" t="s">
        <v>27</v>
      </c>
      <c r="E7003" s="208" t="s">
        <v>148</v>
      </c>
      <c r="F7003" t="s">
        <v>1</v>
      </c>
      <c r="G7003" s="18">
        <v>125</v>
      </c>
      <c r="H7003" t="s">
        <v>16</v>
      </c>
      <c r="I7003" t="s">
        <v>21</v>
      </c>
    </row>
    <row r="7004" spans="1:9" x14ac:dyDescent="0.25">
      <c r="A7004">
        <v>1819</v>
      </c>
      <c r="B7004">
        <f>A7004+1</f>
        <v>1820</v>
      </c>
      <c r="C7004" t="s">
        <v>525</v>
      </c>
      <c r="D7004" t="s">
        <v>27</v>
      </c>
      <c r="E7004" s="208" t="s">
        <v>147</v>
      </c>
      <c r="F7004" t="s">
        <v>1</v>
      </c>
      <c r="G7004" s="18">
        <v>0</v>
      </c>
      <c r="H7004" t="s">
        <v>16</v>
      </c>
      <c r="I7004" t="s">
        <v>21</v>
      </c>
    </row>
    <row r="7005" spans="1:9" x14ac:dyDescent="0.25">
      <c r="A7005">
        <v>1819</v>
      </c>
      <c r="B7005">
        <f>A7005+1</f>
        <v>1820</v>
      </c>
      <c r="C7005" t="s">
        <v>525</v>
      </c>
      <c r="D7005" t="s">
        <v>27</v>
      </c>
      <c r="E7005" s="208" t="s">
        <v>314</v>
      </c>
      <c r="F7005" t="s">
        <v>1</v>
      </c>
      <c r="G7005" s="18">
        <v>0</v>
      </c>
      <c r="H7005" t="s">
        <v>16</v>
      </c>
      <c r="I7005" t="s">
        <v>21</v>
      </c>
    </row>
    <row r="7006" spans="1:9" x14ac:dyDescent="0.25">
      <c r="A7006">
        <v>1819</v>
      </c>
      <c r="B7006">
        <f>A7006+1</f>
        <v>1820</v>
      </c>
      <c r="C7006" t="s">
        <v>525</v>
      </c>
      <c r="D7006" t="s">
        <v>27</v>
      </c>
      <c r="E7006" s="208" t="s">
        <v>139</v>
      </c>
      <c r="F7006" t="s">
        <v>1</v>
      </c>
      <c r="G7006" s="18">
        <v>0</v>
      </c>
      <c r="H7006" t="s">
        <v>16</v>
      </c>
      <c r="I7006" t="s">
        <v>21</v>
      </c>
    </row>
    <row r="7007" spans="1:9" x14ac:dyDescent="0.25">
      <c r="A7007">
        <v>1819</v>
      </c>
      <c r="B7007">
        <f>A7007+1</f>
        <v>1820</v>
      </c>
      <c r="C7007" t="s">
        <v>525</v>
      </c>
      <c r="D7007" t="s">
        <v>27</v>
      </c>
      <c r="E7007" s="208" t="s">
        <v>132</v>
      </c>
      <c r="F7007" t="s">
        <v>1</v>
      </c>
      <c r="G7007" s="18">
        <v>168</v>
      </c>
      <c r="H7007" t="s">
        <v>16</v>
      </c>
      <c r="I7007" t="s">
        <v>21</v>
      </c>
    </row>
    <row r="7008" spans="1:9" x14ac:dyDescent="0.25">
      <c r="A7008">
        <v>1819</v>
      </c>
      <c r="B7008">
        <f>A7008+1</f>
        <v>1820</v>
      </c>
      <c r="C7008" t="s">
        <v>525</v>
      </c>
      <c r="D7008" t="s">
        <v>27</v>
      </c>
      <c r="E7008" s="208" t="s">
        <v>130</v>
      </c>
      <c r="F7008" t="s">
        <v>1</v>
      </c>
      <c r="G7008" s="18">
        <v>2</v>
      </c>
      <c r="H7008" t="s">
        <v>16</v>
      </c>
      <c r="I7008" t="s">
        <v>21</v>
      </c>
    </row>
    <row r="7009" spans="1:9" x14ac:dyDescent="0.25">
      <c r="A7009">
        <v>1819</v>
      </c>
      <c r="B7009">
        <f>A7009+1</f>
        <v>1820</v>
      </c>
      <c r="C7009" t="s">
        <v>525</v>
      </c>
      <c r="D7009" t="s">
        <v>27</v>
      </c>
      <c r="E7009" s="208" t="s">
        <v>144</v>
      </c>
      <c r="F7009" t="s">
        <v>1</v>
      </c>
      <c r="G7009" s="18">
        <v>42</v>
      </c>
      <c r="H7009" t="s">
        <v>16</v>
      </c>
      <c r="I7009" t="s">
        <v>21</v>
      </c>
    </row>
    <row r="7010" spans="1:9" x14ac:dyDescent="0.25">
      <c r="A7010">
        <v>1819</v>
      </c>
      <c r="B7010">
        <f>A7010+1</f>
        <v>1820</v>
      </c>
      <c r="C7010" t="s">
        <v>525</v>
      </c>
      <c r="D7010" t="s">
        <v>27</v>
      </c>
      <c r="E7010" s="208" t="s">
        <v>142</v>
      </c>
      <c r="F7010" t="s">
        <v>1</v>
      </c>
      <c r="G7010" s="18">
        <v>1</v>
      </c>
      <c r="H7010" t="s">
        <v>16</v>
      </c>
      <c r="I7010" t="s">
        <v>21</v>
      </c>
    </row>
    <row r="7011" spans="1:9" x14ac:dyDescent="0.25">
      <c r="A7011">
        <v>1819</v>
      </c>
      <c r="B7011">
        <f>A7011+1</f>
        <v>1820</v>
      </c>
      <c r="C7011" t="s">
        <v>525</v>
      </c>
      <c r="D7011" t="s">
        <v>27</v>
      </c>
      <c r="E7011" s="208" t="s">
        <v>124</v>
      </c>
      <c r="F7011" t="s">
        <v>1</v>
      </c>
      <c r="G7011" s="18">
        <v>122080</v>
      </c>
      <c r="H7011" t="s">
        <v>16</v>
      </c>
      <c r="I7011" t="s">
        <v>21</v>
      </c>
    </row>
    <row r="7012" spans="1:9" x14ac:dyDescent="0.25">
      <c r="A7012">
        <v>1819</v>
      </c>
      <c r="B7012">
        <f>A7012+1</f>
        <v>1820</v>
      </c>
      <c r="C7012" t="s">
        <v>525</v>
      </c>
      <c r="D7012" t="s">
        <v>27</v>
      </c>
      <c r="E7012" s="208" t="s">
        <v>155</v>
      </c>
      <c r="F7012" t="s">
        <v>6</v>
      </c>
      <c r="G7012" s="18">
        <v>0</v>
      </c>
      <c r="H7012" t="s">
        <v>16</v>
      </c>
      <c r="I7012" t="s">
        <v>25</v>
      </c>
    </row>
    <row r="7013" spans="1:9" x14ac:dyDescent="0.25">
      <c r="A7013">
        <v>1819</v>
      </c>
      <c r="B7013">
        <f>A7013+1</f>
        <v>1820</v>
      </c>
      <c r="C7013" t="s">
        <v>525</v>
      </c>
      <c r="D7013" t="s">
        <v>27</v>
      </c>
      <c r="E7013" s="208" t="s">
        <v>156</v>
      </c>
      <c r="F7013" t="s">
        <v>6</v>
      </c>
      <c r="G7013" s="18">
        <v>0</v>
      </c>
      <c r="H7013" t="s">
        <v>16</v>
      </c>
      <c r="I7013" t="s">
        <v>25</v>
      </c>
    </row>
    <row r="7014" spans="1:9" x14ac:dyDescent="0.25">
      <c r="A7014">
        <v>1819</v>
      </c>
      <c r="B7014">
        <f>A7014+1</f>
        <v>1820</v>
      </c>
      <c r="C7014" t="s">
        <v>525</v>
      </c>
      <c r="D7014" t="s">
        <v>27</v>
      </c>
      <c r="E7014" s="208" t="s">
        <v>154</v>
      </c>
      <c r="F7014" t="s">
        <v>6</v>
      </c>
      <c r="G7014" s="18">
        <v>0</v>
      </c>
      <c r="H7014" t="s">
        <v>16</v>
      </c>
      <c r="I7014" t="s">
        <v>25</v>
      </c>
    </row>
    <row r="7015" spans="1:9" x14ac:dyDescent="0.25">
      <c r="A7015">
        <v>1819</v>
      </c>
      <c r="B7015">
        <f>A7015+1</f>
        <v>1820</v>
      </c>
      <c r="C7015" t="s">
        <v>525</v>
      </c>
      <c r="D7015" t="s">
        <v>27</v>
      </c>
      <c r="E7015" s="208" t="s">
        <v>150</v>
      </c>
      <c r="F7015" t="s">
        <v>6</v>
      </c>
      <c r="G7015" s="18">
        <v>557</v>
      </c>
      <c r="H7015" t="s">
        <v>16</v>
      </c>
      <c r="I7015" t="s">
        <v>25</v>
      </c>
    </row>
    <row r="7016" spans="1:9" x14ac:dyDescent="0.25">
      <c r="A7016">
        <v>1819</v>
      </c>
      <c r="B7016">
        <f>A7016+1</f>
        <v>1820</v>
      </c>
      <c r="C7016" t="s">
        <v>525</v>
      </c>
      <c r="D7016" t="s">
        <v>27</v>
      </c>
      <c r="E7016" s="208" t="s">
        <v>148</v>
      </c>
      <c r="F7016" t="s">
        <v>6</v>
      </c>
      <c r="G7016" s="18">
        <v>100</v>
      </c>
      <c r="H7016" t="s">
        <v>16</v>
      </c>
      <c r="I7016" t="s">
        <v>25</v>
      </c>
    </row>
    <row r="7017" spans="1:9" x14ac:dyDescent="0.25">
      <c r="A7017">
        <v>1819</v>
      </c>
      <c r="B7017">
        <f>A7017+1</f>
        <v>1820</v>
      </c>
      <c r="C7017" t="s">
        <v>525</v>
      </c>
      <c r="D7017" t="s">
        <v>27</v>
      </c>
      <c r="E7017" s="208" t="s">
        <v>147</v>
      </c>
      <c r="F7017" t="s">
        <v>6</v>
      </c>
      <c r="G7017" s="18">
        <v>106</v>
      </c>
      <c r="H7017" t="s">
        <v>16</v>
      </c>
      <c r="I7017" t="s">
        <v>25</v>
      </c>
    </row>
    <row r="7018" spans="1:9" x14ac:dyDescent="0.25">
      <c r="A7018">
        <v>1819</v>
      </c>
      <c r="B7018">
        <f>A7018+1</f>
        <v>1820</v>
      </c>
      <c r="C7018" t="s">
        <v>525</v>
      </c>
      <c r="D7018" t="s">
        <v>27</v>
      </c>
      <c r="E7018" s="208" t="s">
        <v>314</v>
      </c>
      <c r="F7018" t="s">
        <v>6</v>
      </c>
      <c r="G7018" s="18">
        <v>396</v>
      </c>
      <c r="H7018" t="s">
        <v>16</v>
      </c>
      <c r="I7018" t="s">
        <v>25</v>
      </c>
    </row>
    <row r="7019" spans="1:9" x14ac:dyDescent="0.25">
      <c r="A7019">
        <v>1819</v>
      </c>
      <c r="B7019">
        <f>A7019+1</f>
        <v>1820</v>
      </c>
      <c r="C7019" t="s">
        <v>525</v>
      </c>
      <c r="D7019" t="s">
        <v>27</v>
      </c>
      <c r="E7019" s="208" t="s">
        <v>139</v>
      </c>
      <c r="F7019" t="s">
        <v>6</v>
      </c>
      <c r="G7019" s="18">
        <v>0</v>
      </c>
      <c r="H7019" t="s">
        <v>16</v>
      </c>
      <c r="I7019" t="s">
        <v>25</v>
      </c>
    </row>
    <row r="7020" spans="1:9" x14ac:dyDescent="0.25">
      <c r="A7020">
        <v>1819</v>
      </c>
      <c r="B7020">
        <f>A7020+1</f>
        <v>1820</v>
      </c>
      <c r="C7020" t="s">
        <v>525</v>
      </c>
      <c r="D7020" t="s">
        <v>27</v>
      </c>
      <c r="E7020" s="208" t="s">
        <v>132</v>
      </c>
      <c r="F7020" t="s">
        <v>6</v>
      </c>
      <c r="G7020" s="18">
        <v>0</v>
      </c>
      <c r="H7020" t="s">
        <v>16</v>
      </c>
      <c r="I7020" t="s">
        <v>25</v>
      </c>
    </row>
    <row r="7021" spans="1:9" x14ac:dyDescent="0.25">
      <c r="A7021">
        <v>1819</v>
      </c>
      <c r="B7021">
        <f>A7021+1</f>
        <v>1820</v>
      </c>
      <c r="C7021" t="s">
        <v>525</v>
      </c>
      <c r="D7021" t="s">
        <v>27</v>
      </c>
      <c r="E7021" s="208" t="s">
        <v>130</v>
      </c>
      <c r="F7021" t="s">
        <v>6</v>
      </c>
      <c r="G7021" s="18">
        <v>0</v>
      </c>
      <c r="H7021" t="s">
        <v>16</v>
      </c>
      <c r="I7021" t="s">
        <v>25</v>
      </c>
    </row>
    <row r="7022" spans="1:9" x14ac:dyDescent="0.25">
      <c r="A7022">
        <v>1819</v>
      </c>
      <c r="B7022">
        <f>A7022+1</f>
        <v>1820</v>
      </c>
      <c r="C7022" t="s">
        <v>525</v>
      </c>
      <c r="D7022" t="s">
        <v>27</v>
      </c>
      <c r="E7022" s="208" t="s">
        <v>144</v>
      </c>
      <c r="F7022" t="s">
        <v>6</v>
      </c>
      <c r="G7022" s="18">
        <v>0</v>
      </c>
      <c r="H7022" t="s">
        <v>16</v>
      </c>
      <c r="I7022" t="s">
        <v>25</v>
      </c>
    </row>
    <row r="7023" spans="1:9" x14ac:dyDescent="0.25">
      <c r="A7023">
        <v>1819</v>
      </c>
      <c r="B7023">
        <f>A7023+1</f>
        <v>1820</v>
      </c>
      <c r="C7023" t="s">
        <v>525</v>
      </c>
      <c r="D7023" t="s">
        <v>27</v>
      </c>
      <c r="E7023" s="208" t="s">
        <v>142</v>
      </c>
      <c r="F7023" t="s">
        <v>6</v>
      </c>
      <c r="G7023" s="18">
        <v>0</v>
      </c>
      <c r="H7023" t="s">
        <v>16</v>
      </c>
      <c r="I7023" t="s">
        <v>25</v>
      </c>
    </row>
    <row r="7024" spans="1:9" x14ac:dyDescent="0.25">
      <c r="A7024">
        <v>1819</v>
      </c>
      <c r="B7024">
        <f>A7024+1</f>
        <v>1820</v>
      </c>
      <c r="C7024" t="s">
        <v>525</v>
      </c>
      <c r="D7024" t="s">
        <v>27</v>
      </c>
      <c r="E7024" s="208" t="s">
        <v>124</v>
      </c>
      <c r="F7024" t="s">
        <v>6</v>
      </c>
      <c r="G7024" s="18">
        <v>0</v>
      </c>
      <c r="H7024" t="s">
        <v>16</v>
      </c>
      <c r="I7024" t="s">
        <v>25</v>
      </c>
    </row>
    <row r="7025" spans="1:9" x14ac:dyDescent="0.25">
      <c r="A7025">
        <v>1819</v>
      </c>
      <c r="B7025">
        <f>A7025+1</f>
        <v>1820</v>
      </c>
      <c r="C7025" t="s">
        <v>525</v>
      </c>
      <c r="D7025" t="s">
        <v>26</v>
      </c>
      <c r="E7025" s="208" t="s">
        <v>62</v>
      </c>
      <c r="F7025" t="s">
        <v>6</v>
      </c>
      <c r="G7025" s="18">
        <v>18011</v>
      </c>
      <c r="H7025" t="s">
        <v>25</v>
      </c>
      <c r="I7025" t="s">
        <v>16</v>
      </c>
    </row>
    <row r="7026" spans="1:9" x14ac:dyDescent="0.25">
      <c r="A7026">
        <v>1819</v>
      </c>
      <c r="B7026">
        <f>A7026+1</f>
        <v>1820</v>
      </c>
      <c r="C7026" t="s">
        <v>525</v>
      </c>
      <c r="D7026" t="s">
        <v>26</v>
      </c>
      <c r="E7026" s="208" t="s">
        <v>36</v>
      </c>
      <c r="F7026" t="s">
        <v>6</v>
      </c>
      <c r="G7026" s="18">
        <v>0</v>
      </c>
      <c r="H7026" t="s">
        <v>25</v>
      </c>
      <c r="I7026" t="s">
        <v>16</v>
      </c>
    </row>
    <row r="7027" spans="1:9" x14ac:dyDescent="0.25">
      <c r="A7027">
        <v>1819</v>
      </c>
      <c r="B7027">
        <f>A7027+1</f>
        <v>1820</v>
      </c>
      <c r="C7027" t="s">
        <v>525</v>
      </c>
      <c r="D7027" t="s">
        <v>26</v>
      </c>
      <c r="E7027" s="208" t="s">
        <v>35</v>
      </c>
      <c r="F7027" t="s">
        <v>6</v>
      </c>
      <c r="G7027" s="18">
        <v>0</v>
      </c>
      <c r="H7027" t="s">
        <v>25</v>
      </c>
      <c r="I7027" t="s">
        <v>16</v>
      </c>
    </row>
    <row r="7028" spans="1:9" x14ac:dyDescent="0.25">
      <c r="A7028">
        <v>1819</v>
      </c>
      <c r="B7028">
        <f>A7028+1</f>
        <v>1820</v>
      </c>
      <c r="C7028" t="s">
        <v>525</v>
      </c>
      <c r="D7028" t="s">
        <v>26</v>
      </c>
      <c r="E7028" s="208" t="s">
        <v>39</v>
      </c>
      <c r="F7028" t="s">
        <v>6</v>
      </c>
      <c r="G7028" s="18">
        <v>0</v>
      </c>
      <c r="H7028" t="s">
        <v>25</v>
      </c>
      <c r="I7028" t="s">
        <v>16</v>
      </c>
    </row>
    <row r="7029" spans="1:9" x14ac:dyDescent="0.25">
      <c r="A7029">
        <v>1819</v>
      </c>
      <c r="B7029">
        <f>A7029+1</f>
        <v>1820</v>
      </c>
      <c r="C7029" t="s">
        <v>525</v>
      </c>
      <c r="D7029" t="s">
        <v>26</v>
      </c>
      <c r="E7029" s="208" t="s">
        <v>99</v>
      </c>
      <c r="F7029" t="s">
        <v>6</v>
      </c>
      <c r="G7029" s="18">
        <v>384</v>
      </c>
      <c r="H7029" t="s">
        <v>25</v>
      </c>
      <c r="I7029" t="s">
        <v>16</v>
      </c>
    </row>
    <row r="7030" spans="1:9" x14ac:dyDescent="0.25">
      <c r="A7030">
        <v>1819</v>
      </c>
      <c r="B7030">
        <f>A7030+1</f>
        <v>1820</v>
      </c>
      <c r="C7030" t="s">
        <v>525</v>
      </c>
      <c r="D7030" t="s">
        <v>26</v>
      </c>
      <c r="E7030" s="208" t="s">
        <v>95</v>
      </c>
      <c r="F7030" t="s">
        <v>6</v>
      </c>
      <c r="G7030" s="18">
        <v>9</v>
      </c>
      <c r="H7030" t="s">
        <v>25</v>
      </c>
      <c r="I7030" t="s">
        <v>16</v>
      </c>
    </row>
    <row r="7031" spans="1:9" x14ac:dyDescent="0.25">
      <c r="A7031">
        <v>1819</v>
      </c>
      <c r="B7031">
        <f>A7031+1</f>
        <v>1820</v>
      </c>
      <c r="C7031" t="s">
        <v>525</v>
      </c>
      <c r="D7031" t="s">
        <v>26</v>
      </c>
      <c r="E7031" s="208" t="s">
        <v>94</v>
      </c>
      <c r="F7031" t="s">
        <v>6</v>
      </c>
      <c r="G7031" s="18">
        <v>4048</v>
      </c>
      <c r="H7031" t="s">
        <v>25</v>
      </c>
      <c r="I7031" t="s">
        <v>16</v>
      </c>
    </row>
    <row r="7032" spans="1:9" x14ac:dyDescent="0.25">
      <c r="A7032">
        <v>1819</v>
      </c>
      <c r="B7032">
        <f>A7032+1</f>
        <v>1820</v>
      </c>
      <c r="C7032" t="s">
        <v>525</v>
      </c>
      <c r="D7032" t="s">
        <v>26</v>
      </c>
      <c r="E7032" s="208" t="s">
        <v>386</v>
      </c>
      <c r="F7032" t="s">
        <v>6</v>
      </c>
      <c r="G7032" s="18">
        <v>13131</v>
      </c>
      <c r="H7032" t="s">
        <v>25</v>
      </c>
      <c r="I7032" t="s">
        <v>16</v>
      </c>
    </row>
    <row r="7033" spans="1:9" x14ac:dyDescent="0.25">
      <c r="A7033">
        <v>1819</v>
      </c>
      <c r="B7033">
        <f>A7033+1</f>
        <v>1820</v>
      </c>
      <c r="C7033" t="s">
        <v>525</v>
      </c>
      <c r="D7033" t="s">
        <v>26</v>
      </c>
      <c r="E7033" s="208" t="s">
        <v>387</v>
      </c>
      <c r="F7033" t="s">
        <v>6</v>
      </c>
      <c r="G7033" s="18">
        <v>2150</v>
      </c>
      <c r="H7033" t="s">
        <v>25</v>
      </c>
      <c r="I7033" t="s">
        <v>16</v>
      </c>
    </row>
    <row r="7034" spans="1:9" x14ac:dyDescent="0.25">
      <c r="A7034">
        <v>1819</v>
      </c>
      <c r="B7034">
        <f>A7034+1</f>
        <v>1820</v>
      </c>
      <c r="C7034" t="s">
        <v>525</v>
      </c>
      <c r="D7034" t="s">
        <v>26</v>
      </c>
      <c r="E7034" s="208" t="s">
        <v>388</v>
      </c>
      <c r="F7034" t="s">
        <v>6</v>
      </c>
      <c r="G7034" s="18">
        <v>1676</v>
      </c>
      <c r="H7034" t="s">
        <v>25</v>
      </c>
      <c r="I7034" t="s">
        <v>16</v>
      </c>
    </row>
    <row r="7035" spans="1:9" x14ac:dyDescent="0.25">
      <c r="A7035">
        <v>1819</v>
      </c>
      <c r="B7035">
        <f>A7035+1</f>
        <v>1820</v>
      </c>
      <c r="C7035" t="s">
        <v>525</v>
      </c>
      <c r="D7035" t="s">
        <v>26</v>
      </c>
      <c r="E7035" s="208" t="s">
        <v>383</v>
      </c>
      <c r="F7035" t="s">
        <v>6</v>
      </c>
      <c r="G7035" s="18">
        <v>33</v>
      </c>
      <c r="H7035" t="s">
        <v>25</v>
      </c>
      <c r="I7035" t="s">
        <v>16</v>
      </c>
    </row>
    <row r="7036" spans="1:9" x14ac:dyDescent="0.25">
      <c r="A7036">
        <v>1819</v>
      </c>
      <c r="B7036">
        <f>A7036+1</f>
        <v>1820</v>
      </c>
      <c r="C7036" t="s">
        <v>525</v>
      </c>
      <c r="D7036" t="s">
        <v>26</v>
      </c>
      <c r="E7036" s="208" t="s">
        <v>384</v>
      </c>
      <c r="F7036" t="s">
        <v>6</v>
      </c>
      <c r="G7036" s="18">
        <v>914</v>
      </c>
      <c r="H7036" t="s">
        <v>25</v>
      </c>
      <c r="I7036" t="s">
        <v>16</v>
      </c>
    </row>
    <row r="7037" spans="1:9" x14ac:dyDescent="0.25">
      <c r="A7037">
        <v>1819</v>
      </c>
      <c r="B7037">
        <f>A7037+1</f>
        <v>1820</v>
      </c>
      <c r="C7037" t="s">
        <v>525</v>
      </c>
      <c r="D7037" t="s">
        <v>26</v>
      </c>
      <c r="E7037" s="208" t="s">
        <v>107</v>
      </c>
      <c r="F7037" t="s">
        <v>6</v>
      </c>
      <c r="G7037" s="18">
        <v>0</v>
      </c>
      <c r="H7037" t="s">
        <v>25</v>
      </c>
      <c r="I7037" t="s">
        <v>16</v>
      </c>
    </row>
    <row r="7038" spans="1:9" x14ac:dyDescent="0.25">
      <c r="A7038">
        <v>1819</v>
      </c>
      <c r="B7038">
        <f>A7038+1</f>
        <v>1820</v>
      </c>
      <c r="C7038" t="s">
        <v>525</v>
      </c>
      <c r="D7038" t="s">
        <v>26</v>
      </c>
      <c r="E7038" s="208" t="s">
        <v>101</v>
      </c>
      <c r="F7038" t="s">
        <v>6</v>
      </c>
      <c r="G7038" s="18">
        <v>0</v>
      </c>
      <c r="H7038" t="s">
        <v>25</v>
      </c>
      <c r="I7038" t="s">
        <v>16</v>
      </c>
    </row>
    <row r="7039" spans="1:9" x14ac:dyDescent="0.25">
      <c r="A7039">
        <v>1819</v>
      </c>
      <c r="B7039">
        <f>A7039+1</f>
        <v>1820</v>
      </c>
      <c r="C7039" t="s">
        <v>525</v>
      </c>
      <c r="D7039" t="s">
        <v>26</v>
      </c>
      <c r="E7039" s="208" t="s">
        <v>75</v>
      </c>
      <c r="F7039" t="s">
        <v>6</v>
      </c>
      <c r="G7039" s="18">
        <v>0</v>
      </c>
      <c r="H7039" t="s">
        <v>25</v>
      </c>
      <c r="I7039" t="s">
        <v>16</v>
      </c>
    </row>
    <row r="7040" spans="1:9" x14ac:dyDescent="0.25">
      <c r="A7040">
        <v>1819</v>
      </c>
      <c r="B7040">
        <f>A7040+1</f>
        <v>1820</v>
      </c>
      <c r="C7040" t="s">
        <v>525</v>
      </c>
      <c r="D7040" t="s">
        <v>26</v>
      </c>
      <c r="E7040" s="208" t="s">
        <v>330</v>
      </c>
      <c r="F7040" t="s">
        <v>6</v>
      </c>
      <c r="G7040" s="18">
        <v>1158</v>
      </c>
      <c r="H7040" t="s">
        <v>25</v>
      </c>
      <c r="I7040" t="s">
        <v>16</v>
      </c>
    </row>
    <row r="7041" spans="1:9" x14ac:dyDescent="0.25">
      <c r="A7041">
        <v>1819</v>
      </c>
      <c r="B7041">
        <f>A7041+1</f>
        <v>1820</v>
      </c>
      <c r="C7041" t="s">
        <v>525</v>
      </c>
      <c r="D7041" t="s">
        <v>26</v>
      </c>
      <c r="E7041" s="208" t="s">
        <v>331</v>
      </c>
      <c r="F7041" t="s">
        <v>6</v>
      </c>
      <c r="G7041" s="18">
        <v>2025</v>
      </c>
      <c r="H7041" t="s">
        <v>25</v>
      </c>
      <c r="I7041" t="s">
        <v>16</v>
      </c>
    </row>
    <row r="7042" spans="1:9" x14ac:dyDescent="0.25">
      <c r="A7042">
        <v>1819</v>
      </c>
      <c r="B7042">
        <f>A7042+1</f>
        <v>1820</v>
      </c>
      <c r="C7042" t="s">
        <v>525</v>
      </c>
      <c r="D7042" t="s">
        <v>26</v>
      </c>
      <c r="E7042" s="208" t="s">
        <v>332</v>
      </c>
      <c r="F7042" t="s">
        <v>6</v>
      </c>
      <c r="G7042" s="18">
        <v>735</v>
      </c>
      <c r="H7042" t="s">
        <v>25</v>
      </c>
      <c r="I7042" t="s">
        <v>16</v>
      </c>
    </row>
    <row r="7043" spans="1:9" x14ac:dyDescent="0.25">
      <c r="A7043">
        <v>1819</v>
      </c>
      <c r="B7043">
        <f>A7043+1</f>
        <v>1820</v>
      </c>
      <c r="C7043" t="s">
        <v>525</v>
      </c>
      <c r="D7043" t="s">
        <v>26</v>
      </c>
      <c r="E7043" s="208" t="s">
        <v>333</v>
      </c>
      <c r="F7043" t="s">
        <v>6</v>
      </c>
      <c r="G7043" s="18">
        <v>884</v>
      </c>
      <c r="H7043" t="s">
        <v>25</v>
      </c>
      <c r="I7043" t="s">
        <v>16</v>
      </c>
    </row>
    <row r="7044" spans="1:9" x14ac:dyDescent="0.25">
      <c r="A7044">
        <v>1819</v>
      </c>
      <c r="B7044">
        <f>A7044+1</f>
        <v>1820</v>
      </c>
      <c r="C7044" t="s">
        <v>525</v>
      </c>
      <c r="D7044" t="s">
        <v>27</v>
      </c>
      <c r="E7044" s="208" t="s">
        <v>155</v>
      </c>
      <c r="F7044" t="s">
        <v>7</v>
      </c>
      <c r="G7044" s="18">
        <v>26758</v>
      </c>
      <c r="H7044" t="s">
        <v>16</v>
      </c>
      <c r="I7044" s="151" t="s">
        <v>562</v>
      </c>
    </row>
    <row r="7045" spans="1:9" x14ac:dyDescent="0.25">
      <c r="A7045">
        <v>1819</v>
      </c>
      <c r="B7045">
        <f>A7045+1</f>
        <v>1820</v>
      </c>
      <c r="C7045" t="s">
        <v>525</v>
      </c>
      <c r="D7045" t="s">
        <v>27</v>
      </c>
      <c r="E7045" s="208" t="s">
        <v>156</v>
      </c>
      <c r="F7045" t="s">
        <v>7</v>
      </c>
      <c r="G7045" s="18">
        <v>2149</v>
      </c>
      <c r="H7045" t="s">
        <v>16</v>
      </c>
      <c r="I7045" s="151" t="s">
        <v>562</v>
      </c>
    </row>
    <row r="7046" spans="1:9" x14ac:dyDescent="0.25">
      <c r="A7046">
        <v>1819</v>
      </c>
      <c r="B7046">
        <f>A7046+1</f>
        <v>1820</v>
      </c>
      <c r="C7046" t="s">
        <v>525</v>
      </c>
      <c r="D7046" t="s">
        <v>27</v>
      </c>
      <c r="E7046" s="208" t="s">
        <v>154</v>
      </c>
      <c r="F7046" t="s">
        <v>7</v>
      </c>
      <c r="G7046" s="18">
        <v>1504</v>
      </c>
      <c r="H7046" t="s">
        <v>16</v>
      </c>
      <c r="I7046" s="151" t="s">
        <v>562</v>
      </c>
    </row>
    <row r="7047" spans="1:9" x14ac:dyDescent="0.25">
      <c r="A7047">
        <v>1819</v>
      </c>
      <c r="B7047">
        <f>A7047+1</f>
        <v>1820</v>
      </c>
      <c r="C7047" t="s">
        <v>525</v>
      </c>
      <c r="D7047" t="s">
        <v>27</v>
      </c>
      <c r="E7047" s="208" t="s">
        <v>150</v>
      </c>
      <c r="F7047" t="s">
        <v>7</v>
      </c>
      <c r="G7047" s="18">
        <v>10168</v>
      </c>
      <c r="H7047" t="s">
        <v>16</v>
      </c>
      <c r="I7047" s="151" t="s">
        <v>562</v>
      </c>
    </row>
    <row r="7048" spans="1:9" x14ac:dyDescent="0.25">
      <c r="A7048">
        <v>1819</v>
      </c>
      <c r="B7048">
        <f>A7048+1</f>
        <v>1820</v>
      </c>
      <c r="C7048" t="s">
        <v>525</v>
      </c>
      <c r="D7048" t="s">
        <v>27</v>
      </c>
      <c r="E7048" s="208" t="s">
        <v>148</v>
      </c>
      <c r="F7048" t="s">
        <v>7</v>
      </c>
      <c r="G7048" s="18">
        <v>895</v>
      </c>
      <c r="H7048" t="s">
        <v>16</v>
      </c>
      <c r="I7048" s="151" t="s">
        <v>562</v>
      </c>
    </row>
    <row r="7049" spans="1:9" x14ac:dyDescent="0.25">
      <c r="A7049">
        <v>1819</v>
      </c>
      <c r="B7049">
        <f>A7049+1</f>
        <v>1820</v>
      </c>
      <c r="C7049" t="s">
        <v>525</v>
      </c>
      <c r="D7049" t="s">
        <v>27</v>
      </c>
      <c r="E7049" s="208" t="s">
        <v>147</v>
      </c>
      <c r="F7049" t="s">
        <v>7</v>
      </c>
      <c r="G7049" s="18">
        <v>106</v>
      </c>
      <c r="H7049" t="s">
        <v>16</v>
      </c>
      <c r="I7049" s="151" t="s">
        <v>562</v>
      </c>
    </row>
    <row r="7050" spans="1:9" x14ac:dyDescent="0.25">
      <c r="A7050">
        <v>1819</v>
      </c>
      <c r="B7050">
        <f>A7050+1</f>
        <v>1820</v>
      </c>
      <c r="C7050" t="s">
        <v>525</v>
      </c>
      <c r="D7050" t="s">
        <v>27</v>
      </c>
      <c r="E7050" s="208" t="s">
        <v>314</v>
      </c>
      <c r="F7050" t="s">
        <v>7</v>
      </c>
      <c r="G7050" s="18">
        <v>420</v>
      </c>
      <c r="H7050" t="s">
        <v>16</v>
      </c>
      <c r="I7050" s="151" t="s">
        <v>562</v>
      </c>
    </row>
    <row r="7051" spans="1:9" x14ac:dyDescent="0.25">
      <c r="A7051">
        <v>1819</v>
      </c>
      <c r="B7051">
        <f>A7051+1</f>
        <v>1820</v>
      </c>
      <c r="C7051" t="s">
        <v>525</v>
      </c>
      <c r="D7051" t="s">
        <v>27</v>
      </c>
      <c r="E7051" s="208" t="s">
        <v>139</v>
      </c>
      <c r="F7051" t="s">
        <v>7</v>
      </c>
      <c r="G7051" s="18">
        <v>13</v>
      </c>
      <c r="H7051" t="s">
        <v>16</v>
      </c>
      <c r="I7051" s="151" t="s">
        <v>562</v>
      </c>
    </row>
    <row r="7052" spans="1:9" x14ac:dyDescent="0.25">
      <c r="A7052">
        <v>1819</v>
      </c>
      <c r="B7052">
        <f>A7052+1</f>
        <v>1820</v>
      </c>
      <c r="C7052" t="s">
        <v>525</v>
      </c>
      <c r="D7052" t="s">
        <v>27</v>
      </c>
      <c r="E7052" s="208" t="s">
        <v>132</v>
      </c>
      <c r="F7052" t="s">
        <v>7</v>
      </c>
      <c r="G7052" s="18">
        <v>561</v>
      </c>
      <c r="H7052" t="s">
        <v>16</v>
      </c>
      <c r="I7052" s="151" t="s">
        <v>562</v>
      </c>
    </row>
    <row r="7053" spans="1:9" x14ac:dyDescent="0.25">
      <c r="A7053">
        <v>1819</v>
      </c>
      <c r="B7053">
        <f>A7053+1</f>
        <v>1820</v>
      </c>
      <c r="C7053" t="s">
        <v>525</v>
      </c>
      <c r="D7053" t="s">
        <v>27</v>
      </c>
      <c r="E7053" s="208" t="s">
        <v>130</v>
      </c>
      <c r="F7053" t="s">
        <v>7</v>
      </c>
      <c r="G7053" s="18">
        <v>17</v>
      </c>
      <c r="H7053" t="s">
        <v>16</v>
      </c>
      <c r="I7053" s="151" t="s">
        <v>562</v>
      </c>
    </row>
    <row r="7054" spans="1:9" x14ac:dyDescent="0.25">
      <c r="A7054">
        <v>1819</v>
      </c>
      <c r="B7054">
        <f>A7054+1</f>
        <v>1820</v>
      </c>
      <c r="C7054" t="s">
        <v>525</v>
      </c>
      <c r="D7054" t="s">
        <v>27</v>
      </c>
      <c r="E7054" s="208" t="s">
        <v>144</v>
      </c>
      <c r="F7054" t="s">
        <v>7</v>
      </c>
      <c r="G7054" s="18">
        <v>368</v>
      </c>
      <c r="H7054" t="s">
        <v>16</v>
      </c>
      <c r="I7054" s="151" t="s">
        <v>562</v>
      </c>
    </row>
    <row r="7055" spans="1:9" x14ac:dyDescent="0.25">
      <c r="A7055">
        <v>1819</v>
      </c>
      <c r="B7055">
        <f>A7055+1</f>
        <v>1820</v>
      </c>
      <c r="C7055" t="s">
        <v>525</v>
      </c>
      <c r="D7055" t="s">
        <v>27</v>
      </c>
      <c r="E7055" s="208" t="s">
        <v>142</v>
      </c>
      <c r="F7055" t="s">
        <v>7</v>
      </c>
      <c r="G7055" s="18">
        <v>1318</v>
      </c>
      <c r="H7055" t="s">
        <v>16</v>
      </c>
      <c r="I7055" s="151" t="s">
        <v>562</v>
      </c>
    </row>
    <row r="7056" spans="1:9" x14ac:dyDescent="0.25">
      <c r="A7056">
        <v>1819</v>
      </c>
      <c r="B7056">
        <f>A7056+1</f>
        <v>1820</v>
      </c>
      <c r="C7056" t="s">
        <v>525</v>
      </c>
      <c r="D7056" t="s">
        <v>27</v>
      </c>
      <c r="E7056" s="208" t="s">
        <v>124</v>
      </c>
      <c r="F7056" t="s">
        <v>7</v>
      </c>
      <c r="G7056" s="18">
        <v>15433579</v>
      </c>
      <c r="H7056" t="s">
        <v>16</v>
      </c>
      <c r="I7056" s="151" t="s">
        <v>562</v>
      </c>
    </row>
    <row r="7057" spans="1:9" x14ac:dyDescent="0.25">
      <c r="A7057">
        <v>1819</v>
      </c>
      <c r="B7057">
        <f>A7057+1</f>
        <v>1820</v>
      </c>
      <c r="C7057" t="s">
        <v>525</v>
      </c>
      <c r="D7057" t="s">
        <v>26</v>
      </c>
      <c r="E7057" s="208" t="s">
        <v>62</v>
      </c>
      <c r="F7057" t="s">
        <v>7</v>
      </c>
      <c r="G7057" s="18">
        <v>58813</v>
      </c>
      <c r="H7057" s="151" t="s">
        <v>563</v>
      </c>
      <c r="I7057" t="s">
        <v>16</v>
      </c>
    </row>
    <row r="7058" spans="1:9" x14ac:dyDescent="0.25">
      <c r="A7058">
        <v>1819</v>
      </c>
      <c r="B7058">
        <f>A7058+1</f>
        <v>1820</v>
      </c>
      <c r="C7058" t="s">
        <v>525</v>
      </c>
      <c r="D7058" t="s">
        <v>26</v>
      </c>
      <c r="E7058" s="208" t="s">
        <v>36</v>
      </c>
      <c r="F7058" t="s">
        <v>7</v>
      </c>
      <c r="G7058" s="18">
        <v>1800</v>
      </c>
      <c r="H7058" s="151" t="s">
        <v>563</v>
      </c>
      <c r="I7058" t="s">
        <v>16</v>
      </c>
    </row>
    <row r="7059" spans="1:9" x14ac:dyDescent="0.25">
      <c r="A7059">
        <v>1819</v>
      </c>
      <c r="B7059">
        <f>A7059+1</f>
        <v>1820</v>
      </c>
      <c r="C7059" t="s">
        <v>525</v>
      </c>
      <c r="D7059" t="s">
        <v>26</v>
      </c>
      <c r="E7059" s="208" t="s">
        <v>35</v>
      </c>
      <c r="F7059" t="s">
        <v>7</v>
      </c>
      <c r="G7059" s="18">
        <v>5408</v>
      </c>
      <c r="H7059" s="151" t="s">
        <v>563</v>
      </c>
      <c r="I7059" t="s">
        <v>16</v>
      </c>
    </row>
    <row r="7060" spans="1:9" x14ac:dyDescent="0.25">
      <c r="A7060">
        <v>1819</v>
      </c>
      <c r="B7060">
        <f>A7060+1</f>
        <v>1820</v>
      </c>
      <c r="C7060" t="s">
        <v>525</v>
      </c>
      <c r="D7060" t="s">
        <v>26</v>
      </c>
      <c r="E7060" s="208" t="s">
        <v>39</v>
      </c>
      <c r="F7060" t="s">
        <v>7</v>
      </c>
      <c r="G7060" s="18">
        <v>866</v>
      </c>
      <c r="H7060" s="151" t="s">
        <v>563</v>
      </c>
      <c r="I7060" t="s">
        <v>16</v>
      </c>
    </row>
    <row r="7061" spans="1:9" x14ac:dyDescent="0.25">
      <c r="A7061">
        <v>1819</v>
      </c>
      <c r="B7061">
        <f>A7061+1</f>
        <v>1820</v>
      </c>
      <c r="C7061" t="s">
        <v>525</v>
      </c>
      <c r="D7061" t="s">
        <v>26</v>
      </c>
      <c r="E7061" s="208" t="s">
        <v>99</v>
      </c>
      <c r="F7061" t="s">
        <v>7</v>
      </c>
      <c r="G7061" s="18">
        <v>632</v>
      </c>
      <c r="H7061" s="151" t="s">
        <v>563</v>
      </c>
      <c r="I7061" t="s">
        <v>16</v>
      </c>
    </row>
    <row r="7062" spans="1:9" x14ac:dyDescent="0.25">
      <c r="A7062">
        <v>1819</v>
      </c>
      <c r="B7062">
        <f>A7062+1</f>
        <v>1820</v>
      </c>
      <c r="C7062" t="s">
        <v>525</v>
      </c>
      <c r="D7062" t="s">
        <v>26</v>
      </c>
      <c r="E7062" s="208" t="s">
        <v>95</v>
      </c>
      <c r="F7062" t="s">
        <v>7</v>
      </c>
      <c r="G7062" s="18">
        <v>1947</v>
      </c>
      <c r="H7062" s="151" t="s">
        <v>563</v>
      </c>
      <c r="I7062" t="s">
        <v>16</v>
      </c>
    </row>
    <row r="7063" spans="1:9" x14ac:dyDescent="0.25">
      <c r="A7063">
        <v>1819</v>
      </c>
      <c r="B7063">
        <f>A7063+1</f>
        <v>1820</v>
      </c>
      <c r="C7063" t="s">
        <v>525</v>
      </c>
      <c r="D7063" t="s">
        <v>26</v>
      </c>
      <c r="E7063" s="208" t="s">
        <v>94</v>
      </c>
      <c r="F7063" t="s">
        <v>7</v>
      </c>
      <c r="G7063" s="18">
        <v>9475</v>
      </c>
      <c r="H7063" s="151" t="s">
        <v>563</v>
      </c>
      <c r="I7063" t="s">
        <v>16</v>
      </c>
    </row>
    <row r="7064" spans="1:9" x14ac:dyDescent="0.25">
      <c r="A7064">
        <v>1819</v>
      </c>
      <c r="B7064">
        <f>A7064+1</f>
        <v>1820</v>
      </c>
      <c r="C7064" t="s">
        <v>525</v>
      </c>
      <c r="D7064" t="s">
        <v>26</v>
      </c>
      <c r="E7064" s="208" t="s">
        <v>386</v>
      </c>
      <c r="F7064" t="s">
        <v>7</v>
      </c>
      <c r="G7064" s="18">
        <v>16264</v>
      </c>
      <c r="H7064" s="151" t="s">
        <v>563</v>
      </c>
      <c r="I7064" t="s">
        <v>16</v>
      </c>
    </row>
    <row r="7065" spans="1:9" x14ac:dyDescent="0.25">
      <c r="A7065">
        <v>1819</v>
      </c>
      <c r="B7065">
        <f>A7065+1</f>
        <v>1820</v>
      </c>
      <c r="C7065" t="s">
        <v>525</v>
      </c>
      <c r="D7065" t="s">
        <v>26</v>
      </c>
      <c r="E7065" s="208" t="s">
        <v>387</v>
      </c>
      <c r="F7065" t="s">
        <v>7</v>
      </c>
      <c r="G7065" s="18">
        <v>2592</v>
      </c>
      <c r="H7065" s="151" t="s">
        <v>563</v>
      </c>
      <c r="I7065" t="s">
        <v>16</v>
      </c>
    </row>
    <row r="7066" spans="1:9" x14ac:dyDescent="0.25">
      <c r="A7066">
        <v>1819</v>
      </c>
      <c r="B7066">
        <f>A7066+1</f>
        <v>1820</v>
      </c>
      <c r="C7066" t="s">
        <v>525</v>
      </c>
      <c r="D7066" t="s">
        <v>26</v>
      </c>
      <c r="E7066" s="208" t="s">
        <v>388</v>
      </c>
      <c r="F7066" t="s">
        <v>7</v>
      </c>
      <c r="G7066" s="18">
        <v>6967</v>
      </c>
      <c r="H7066" s="151" t="s">
        <v>563</v>
      </c>
      <c r="I7066" t="s">
        <v>16</v>
      </c>
    </row>
    <row r="7067" spans="1:9" x14ac:dyDescent="0.25">
      <c r="A7067">
        <v>1819</v>
      </c>
      <c r="B7067">
        <f>A7067+1</f>
        <v>1820</v>
      </c>
      <c r="C7067" t="s">
        <v>525</v>
      </c>
      <c r="D7067" t="s">
        <v>26</v>
      </c>
      <c r="E7067" s="208" t="s">
        <v>383</v>
      </c>
      <c r="F7067" t="s">
        <v>7</v>
      </c>
      <c r="G7067" s="18">
        <v>580</v>
      </c>
      <c r="H7067" s="151" t="s">
        <v>563</v>
      </c>
      <c r="I7067" t="s">
        <v>16</v>
      </c>
    </row>
    <row r="7068" spans="1:9" x14ac:dyDescent="0.25">
      <c r="A7068">
        <v>1819</v>
      </c>
      <c r="B7068">
        <f>A7068+1</f>
        <v>1820</v>
      </c>
      <c r="C7068" t="s">
        <v>525</v>
      </c>
      <c r="D7068" t="s">
        <v>26</v>
      </c>
      <c r="E7068" s="208" t="s">
        <v>384</v>
      </c>
      <c r="F7068" t="s">
        <v>7</v>
      </c>
      <c r="G7068" s="18">
        <v>1711</v>
      </c>
      <c r="H7068" s="151" t="s">
        <v>563</v>
      </c>
      <c r="I7068" t="s">
        <v>16</v>
      </c>
    </row>
    <row r="7069" spans="1:9" x14ac:dyDescent="0.25">
      <c r="A7069">
        <v>1819</v>
      </c>
      <c r="B7069">
        <f>A7069+1</f>
        <v>1820</v>
      </c>
      <c r="C7069" t="s">
        <v>525</v>
      </c>
      <c r="D7069" t="s">
        <v>26</v>
      </c>
      <c r="E7069" s="208" t="s">
        <v>107</v>
      </c>
      <c r="F7069" t="s">
        <v>7</v>
      </c>
      <c r="G7069" s="18">
        <v>3135835</v>
      </c>
      <c r="H7069" s="151" t="s">
        <v>563</v>
      </c>
      <c r="I7069" t="s">
        <v>16</v>
      </c>
    </row>
    <row r="7070" spans="1:9" x14ac:dyDescent="0.25">
      <c r="A7070">
        <v>1819</v>
      </c>
      <c r="B7070">
        <f>A7070+1</f>
        <v>1820</v>
      </c>
      <c r="C7070" t="s">
        <v>525</v>
      </c>
      <c r="D7070" t="s">
        <v>26</v>
      </c>
      <c r="E7070" s="208" t="s">
        <v>101</v>
      </c>
      <c r="F7070" t="s">
        <v>7</v>
      </c>
      <c r="G7070" s="18">
        <v>6066373</v>
      </c>
      <c r="H7070" s="151" t="s">
        <v>563</v>
      </c>
      <c r="I7070" t="s">
        <v>16</v>
      </c>
    </row>
    <row r="7071" spans="1:9" x14ac:dyDescent="0.25">
      <c r="A7071">
        <v>1819</v>
      </c>
      <c r="B7071">
        <f>A7071+1</f>
        <v>1820</v>
      </c>
      <c r="C7071" t="s">
        <v>525</v>
      </c>
      <c r="D7071" t="s">
        <v>26</v>
      </c>
      <c r="E7071" s="208" t="s">
        <v>75</v>
      </c>
      <c r="F7071" t="s">
        <v>7</v>
      </c>
      <c r="G7071" s="18">
        <v>4809342</v>
      </c>
      <c r="H7071" s="151" t="s">
        <v>563</v>
      </c>
      <c r="I7071" t="s">
        <v>16</v>
      </c>
    </row>
    <row r="7072" spans="1:9" x14ac:dyDescent="0.25">
      <c r="A7072">
        <v>1819</v>
      </c>
      <c r="B7072">
        <f>A7072+1</f>
        <v>1820</v>
      </c>
      <c r="C7072" t="s">
        <v>525</v>
      </c>
      <c r="D7072" t="s">
        <v>26</v>
      </c>
      <c r="E7072" s="208" t="s">
        <v>330</v>
      </c>
      <c r="F7072" t="s">
        <v>7</v>
      </c>
      <c r="G7072" s="18">
        <v>1226</v>
      </c>
      <c r="H7072" s="151" t="s">
        <v>563</v>
      </c>
      <c r="I7072" t="s">
        <v>16</v>
      </c>
    </row>
    <row r="7073" spans="1:9" x14ac:dyDescent="0.25">
      <c r="A7073">
        <v>1819</v>
      </c>
      <c r="B7073">
        <f>A7073+1</f>
        <v>1820</v>
      </c>
      <c r="C7073" t="s">
        <v>525</v>
      </c>
      <c r="D7073" t="s">
        <v>26</v>
      </c>
      <c r="E7073" s="208" t="s">
        <v>331</v>
      </c>
      <c r="F7073" t="s">
        <v>7</v>
      </c>
      <c r="G7073" s="18">
        <v>2025</v>
      </c>
      <c r="H7073" s="151" t="s">
        <v>563</v>
      </c>
      <c r="I7073" t="s">
        <v>16</v>
      </c>
    </row>
    <row r="7074" spans="1:9" x14ac:dyDescent="0.25">
      <c r="A7074">
        <v>1819</v>
      </c>
      <c r="B7074">
        <f>A7074+1</f>
        <v>1820</v>
      </c>
      <c r="C7074" t="s">
        <v>525</v>
      </c>
      <c r="D7074" t="s">
        <v>26</v>
      </c>
      <c r="E7074" s="208" t="s">
        <v>332</v>
      </c>
      <c r="F7074" t="s">
        <v>7</v>
      </c>
      <c r="G7074" s="18">
        <v>735</v>
      </c>
      <c r="H7074" s="151" t="s">
        <v>563</v>
      </c>
      <c r="I7074" t="s">
        <v>16</v>
      </c>
    </row>
    <row r="7075" spans="1:9" x14ac:dyDescent="0.25">
      <c r="A7075">
        <v>1819</v>
      </c>
      <c r="B7075">
        <f>A7075+1</f>
        <v>1820</v>
      </c>
      <c r="C7075" t="s">
        <v>525</v>
      </c>
      <c r="D7075" t="s">
        <v>26</v>
      </c>
      <c r="E7075" s="208" t="s">
        <v>333</v>
      </c>
      <c r="F7075" t="s">
        <v>7</v>
      </c>
      <c r="G7075" s="18">
        <v>890</v>
      </c>
      <c r="H7075" s="151" t="s">
        <v>563</v>
      </c>
      <c r="I7075" t="s">
        <v>16</v>
      </c>
    </row>
    <row r="7076" spans="1:9" x14ac:dyDescent="0.25">
      <c r="A7076">
        <v>1819</v>
      </c>
      <c r="B7076">
        <f>A7076+1</f>
        <v>1820</v>
      </c>
      <c r="C7076" t="s">
        <v>525</v>
      </c>
      <c r="D7076" t="s">
        <v>26</v>
      </c>
      <c r="E7076" s="208" t="s">
        <v>493</v>
      </c>
      <c r="F7076" t="s">
        <v>7</v>
      </c>
      <c r="G7076" s="18">
        <v>13332</v>
      </c>
      <c r="H7076" s="151" t="s">
        <v>563</v>
      </c>
      <c r="I7076" t="s">
        <v>16</v>
      </c>
    </row>
    <row r="7077" spans="1:9" x14ac:dyDescent="0.25">
      <c r="A7077">
        <v>1819</v>
      </c>
      <c r="B7077">
        <f>A7077+1</f>
        <v>1820</v>
      </c>
      <c r="C7077" t="s">
        <v>525</v>
      </c>
      <c r="D7077" t="s">
        <v>26</v>
      </c>
      <c r="E7077" s="208" t="s">
        <v>113</v>
      </c>
      <c r="F7077" t="s">
        <v>7</v>
      </c>
      <c r="G7077" s="18">
        <v>702</v>
      </c>
      <c r="H7077" s="151" t="s">
        <v>563</v>
      </c>
      <c r="I7077" t="s">
        <v>16</v>
      </c>
    </row>
    <row r="7078" spans="1:9" x14ac:dyDescent="0.25">
      <c r="A7078">
        <v>1819</v>
      </c>
      <c r="B7078">
        <f>A7078+1</f>
        <v>1820</v>
      </c>
      <c r="C7078" t="s">
        <v>525</v>
      </c>
      <c r="D7078" t="s">
        <v>26</v>
      </c>
      <c r="E7078" s="208" t="s">
        <v>112</v>
      </c>
      <c r="F7078" t="s">
        <v>7</v>
      </c>
      <c r="G7078" s="18">
        <v>487</v>
      </c>
      <c r="H7078" s="151" t="s">
        <v>563</v>
      </c>
      <c r="I7078" t="s">
        <v>16</v>
      </c>
    </row>
    <row r="7079" spans="1:9" x14ac:dyDescent="0.25">
      <c r="A7079">
        <v>1819</v>
      </c>
      <c r="B7079">
        <f>A7079+1</f>
        <v>1820</v>
      </c>
      <c r="C7079" t="s">
        <v>525</v>
      </c>
      <c r="D7079" t="s">
        <v>26</v>
      </c>
      <c r="E7079" s="208" t="s">
        <v>494</v>
      </c>
      <c r="F7079" t="s">
        <v>7</v>
      </c>
      <c r="G7079" s="18">
        <v>525</v>
      </c>
      <c r="H7079" s="151" t="s">
        <v>563</v>
      </c>
      <c r="I7079" t="s">
        <v>16</v>
      </c>
    </row>
    <row r="7080" spans="1:9" x14ac:dyDescent="0.25">
      <c r="A7080">
        <v>1819</v>
      </c>
      <c r="B7080">
        <f>A7080+1</f>
        <v>1820</v>
      </c>
      <c r="C7080" t="s">
        <v>525</v>
      </c>
      <c r="D7080" t="s">
        <v>26</v>
      </c>
      <c r="E7080" s="208" t="s">
        <v>495</v>
      </c>
      <c r="F7080" t="s">
        <v>7</v>
      </c>
      <c r="G7080" s="18">
        <v>166</v>
      </c>
      <c r="H7080" s="151" t="s">
        <v>563</v>
      </c>
      <c r="I7080" t="s">
        <v>16</v>
      </c>
    </row>
    <row r="7081" spans="1:9" x14ac:dyDescent="0.25">
      <c r="A7081">
        <v>1819</v>
      </c>
      <c r="B7081">
        <f>A7081+1</f>
        <v>1820</v>
      </c>
      <c r="C7081" t="s">
        <v>525</v>
      </c>
      <c r="D7081" t="s">
        <v>26</v>
      </c>
      <c r="E7081" s="208" t="s">
        <v>109</v>
      </c>
      <c r="F7081" t="s">
        <v>7</v>
      </c>
      <c r="G7081" s="18">
        <v>6748</v>
      </c>
      <c r="H7081" s="151" t="s">
        <v>563</v>
      </c>
      <c r="I7081" t="s">
        <v>16</v>
      </c>
    </row>
    <row r="7082" spans="1:9" x14ac:dyDescent="0.25">
      <c r="A7082">
        <v>1819</v>
      </c>
      <c r="B7082">
        <f>A7082+1</f>
        <v>1820</v>
      </c>
      <c r="C7082" t="s">
        <v>525</v>
      </c>
      <c r="D7082" t="s">
        <v>26</v>
      </c>
      <c r="E7082" s="208" t="s">
        <v>496</v>
      </c>
      <c r="F7082" t="s">
        <v>7</v>
      </c>
      <c r="G7082" s="18">
        <v>33091</v>
      </c>
      <c r="H7082" s="151" t="s">
        <v>563</v>
      </c>
      <c r="I7082" t="s">
        <v>16</v>
      </c>
    </row>
    <row r="7083" spans="1:9" x14ac:dyDescent="0.25">
      <c r="A7083">
        <v>1819</v>
      </c>
      <c r="B7083">
        <f>A7083+1</f>
        <v>1820</v>
      </c>
      <c r="C7083" t="s">
        <v>525</v>
      </c>
      <c r="D7083" t="s">
        <v>26</v>
      </c>
      <c r="E7083" s="208" t="s">
        <v>28</v>
      </c>
      <c r="F7083" t="s">
        <v>7</v>
      </c>
      <c r="G7083" s="18">
        <v>3628</v>
      </c>
      <c r="H7083" s="151" t="s">
        <v>563</v>
      </c>
      <c r="I7083" t="s">
        <v>16</v>
      </c>
    </row>
    <row r="7084" spans="1:9" x14ac:dyDescent="0.25">
      <c r="A7084">
        <v>1819</v>
      </c>
      <c r="B7084">
        <f>A7084+1</f>
        <v>1820</v>
      </c>
      <c r="C7084" t="s">
        <v>525</v>
      </c>
      <c r="D7084" t="s">
        <v>26</v>
      </c>
      <c r="E7084" s="208" t="s">
        <v>89</v>
      </c>
      <c r="F7084" t="s">
        <v>7</v>
      </c>
      <c r="G7084" s="18">
        <v>11831</v>
      </c>
      <c r="H7084" s="151" t="s">
        <v>563</v>
      </c>
      <c r="I7084" t="s">
        <v>16</v>
      </c>
    </row>
    <row r="7085" spans="1:9" x14ac:dyDescent="0.25">
      <c r="A7085">
        <v>1819</v>
      </c>
      <c r="B7085">
        <f>A7085+1</f>
        <v>1820</v>
      </c>
      <c r="C7085" t="s">
        <v>525</v>
      </c>
      <c r="D7085" t="s">
        <v>26</v>
      </c>
      <c r="E7085" s="208" t="s">
        <v>45</v>
      </c>
      <c r="F7085" t="s">
        <v>7</v>
      </c>
      <c r="G7085" s="18">
        <v>14001</v>
      </c>
      <c r="H7085" s="151" t="s">
        <v>563</v>
      </c>
      <c r="I7085" t="s">
        <v>16</v>
      </c>
    </row>
    <row r="7086" spans="1:9" x14ac:dyDescent="0.25">
      <c r="A7086">
        <v>1819</v>
      </c>
      <c r="B7086">
        <f>A7086+1</f>
        <v>1820</v>
      </c>
      <c r="C7086" t="s">
        <v>525</v>
      </c>
      <c r="D7086" t="s">
        <v>26</v>
      </c>
      <c r="E7086" s="208" t="s">
        <v>392</v>
      </c>
      <c r="F7086" t="s">
        <v>7</v>
      </c>
      <c r="G7086" s="18">
        <v>5201</v>
      </c>
      <c r="H7086" s="151" t="s">
        <v>563</v>
      </c>
      <c r="I7086" t="s">
        <v>16</v>
      </c>
    </row>
    <row r="7087" spans="1:9" x14ac:dyDescent="0.25">
      <c r="A7087">
        <v>1819</v>
      </c>
      <c r="B7087">
        <f>A7087+1</f>
        <v>1820</v>
      </c>
      <c r="C7087" t="s">
        <v>525</v>
      </c>
      <c r="D7087" t="s">
        <v>26</v>
      </c>
      <c r="E7087" s="208" t="s">
        <v>102</v>
      </c>
      <c r="F7087" t="s">
        <v>7</v>
      </c>
      <c r="G7087" s="18">
        <v>16480</v>
      </c>
      <c r="H7087" s="151" t="s">
        <v>563</v>
      </c>
      <c r="I7087" t="s">
        <v>16</v>
      </c>
    </row>
    <row r="7088" spans="1:9" x14ac:dyDescent="0.25">
      <c r="A7088">
        <v>1819</v>
      </c>
      <c r="B7088">
        <f>A7088+1</f>
        <v>1820</v>
      </c>
      <c r="C7088" t="s">
        <v>525</v>
      </c>
      <c r="D7088" t="s">
        <v>26</v>
      </c>
      <c r="E7088" s="208" t="s">
        <v>48</v>
      </c>
      <c r="F7088" t="s">
        <v>7</v>
      </c>
      <c r="G7088" s="18">
        <v>14253</v>
      </c>
      <c r="H7088" s="151" t="s">
        <v>563</v>
      </c>
      <c r="I7088" t="s">
        <v>16</v>
      </c>
    </row>
    <row r="7089" spans="1:9" x14ac:dyDescent="0.25">
      <c r="A7089">
        <v>1819</v>
      </c>
      <c r="B7089">
        <f>A7089+1</f>
        <v>1820</v>
      </c>
      <c r="C7089" t="s">
        <v>525</v>
      </c>
      <c r="D7089" t="s">
        <v>26</v>
      </c>
      <c r="E7089" s="208" t="s">
        <v>110</v>
      </c>
      <c r="F7089" t="s">
        <v>7</v>
      </c>
      <c r="G7089" s="18">
        <v>39671</v>
      </c>
      <c r="H7089" s="151" t="s">
        <v>563</v>
      </c>
      <c r="I7089" t="s">
        <v>16</v>
      </c>
    </row>
    <row r="7090" spans="1:9" x14ac:dyDescent="0.25">
      <c r="A7090">
        <v>1819</v>
      </c>
      <c r="B7090">
        <f>A7090+1</f>
        <v>1820</v>
      </c>
      <c r="C7090" t="s">
        <v>525</v>
      </c>
      <c r="D7090" t="s">
        <v>27</v>
      </c>
      <c r="E7090" s="208" t="s">
        <v>155</v>
      </c>
      <c r="F7090" t="s">
        <v>10</v>
      </c>
      <c r="G7090" s="18">
        <v>329</v>
      </c>
      <c r="H7090" t="s">
        <v>17</v>
      </c>
      <c r="I7090" t="s">
        <v>24</v>
      </c>
    </row>
    <row r="7091" spans="1:9" x14ac:dyDescent="0.25">
      <c r="A7091">
        <v>1819</v>
      </c>
      <c r="B7091">
        <f>A7091+1</f>
        <v>1820</v>
      </c>
      <c r="C7091" t="s">
        <v>525</v>
      </c>
      <c r="D7091" t="s">
        <v>27</v>
      </c>
      <c r="E7091" s="208" t="s">
        <v>156</v>
      </c>
      <c r="F7091" t="s">
        <v>10</v>
      </c>
      <c r="G7091" s="18">
        <v>145</v>
      </c>
      <c r="H7091" t="s">
        <v>17</v>
      </c>
      <c r="I7091" t="s">
        <v>24</v>
      </c>
    </row>
    <row r="7092" spans="1:9" x14ac:dyDescent="0.25">
      <c r="A7092">
        <v>1819</v>
      </c>
      <c r="B7092">
        <f>A7092+1</f>
        <v>1820</v>
      </c>
      <c r="C7092" t="s">
        <v>525</v>
      </c>
      <c r="D7092" t="s">
        <v>27</v>
      </c>
      <c r="E7092" s="208" t="s">
        <v>154</v>
      </c>
      <c r="F7092" t="s">
        <v>10</v>
      </c>
      <c r="G7092" s="18">
        <v>291</v>
      </c>
      <c r="H7092" t="s">
        <v>17</v>
      </c>
      <c r="I7092" t="s">
        <v>24</v>
      </c>
    </row>
    <row r="7093" spans="1:9" x14ac:dyDescent="0.25">
      <c r="A7093">
        <v>1819</v>
      </c>
      <c r="B7093">
        <f>A7093+1</f>
        <v>1820</v>
      </c>
      <c r="C7093" t="s">
        <v>525</v>
      </c>
      <c r="D7093" t="s">
        <v>27</v>
      </c>
      <c r="E7093" s="208" t="s">
        <v>150</v>
      </c>
      <c r="F7093" t="s">
        <v>10</v>
      </c>
      <c r="G7093" s="18">
        <v>7767</v>
      </c>
      <c r="H7093" t="s">
        <v>17</v>
      </c>
      <c r="I7093" t="s">
        <v>24</v>
      </c>
    </row>
    <row r="7094" spans="1:9" x14ac:dyDescent="0.25">
      <c r="A7094">
        <v>1819</v>
      </c>
      <c r="B7094">
        <f>A7094+1</f>
        <v>1820</v>
      </c>
      <c r="C7094" t="s">
        <v>525</v>
      </c>
      <c r="D7094" t="s">
        <v>27</v>
      </c>
      <c r="E7094" s="208" t="s">
        <v>148</v>
      </c>
      <c r="F7094" t="s">
        <v>10</v>
      </c>
      <c r="G7094" s="18">
        <v>62</v>
      </c>
      <c r="H7094" t="s">
        <v>17</v>
      </c>
      <c r="I7094" t="s">
        <v>24</v>
      </c>
    </row>
    <row r="7095" spans="1:9" x14ac:dyDescent="0.25">
      <c r="A7095">
        <v>1819</v>
      </c>
      <c r="B7095">
        <f>A7095+1</f>
        <v>1820</v>
      </c>
      <c r="C7095" t="s">
        <v>525</v>
      </c>
      <c r="D7095" t="s">
        <v>27</v>
      </c>
      <c r="E7095" s="208" t="s">
        <v>147</v>
      </c>
      <c r="F7095" t="s">
        <v>10</v>
      </c>
      <c r="G7095" s="18">
        <v>0</v>
      </c>
      <c r="H7095" t="s">
        <v>17</v>
      </c>
      <c r="I7095" t="s">
        <v>24</v>
      </c>
    </row>
    <row r="7096" spans="1:9" x14ac:dyDescent="0.25">
      <c r="A7096">
        <v>1819</v>
      </c>
      <c r="B7096">
        <f>A7096+1</f>
        <v>1820</v>
      </c>
      <c r="C7096" t="s">
        <v>525</v>
      </c>
      <c r="D7096" t="s">
        <v>27</v>
      </c>
      <c r="E7096" s="208" t="s">
        <v>314</v>
      </c>
      <c r="F7096" t="s">
        <v>10</v>
      </c>
      <c r="G7096" s="18">
        <v>0</v>
      </c>
      <c r="H7096" t="s">
        <v>17</v>
      </c>
      <c r="I7096" t="s">
        <v>24</v>
      </c>
    </row>
    <row r="7097" spans="1:9" x14ac:dyDescent="0.25">
      <c r="A7097">
        <v>1819</v>
      </c>
      <c r="B7097">
        <f>A7097+1</f>
        <v>1820</v>
      </c>
      <c r="C7097" t="s">
        <v>525</v>
      </c>
      <c r="D7097" t="s">
        <v>27</v>
      </c>
      <c r="E7097" s="208" t="s">
        <v>139</v>
      </c>
      <c r="F7097" t="s">
        <v>10</v>
      </c>
      <c r="G7097" s="18">
        <v>195</v>
      </c>
      <c r="H7097" t="s">
        <v>17</v>
      </c>
      <c r="I7097" t="s">
        <v>24</v>
      </c>
    </row>
    <row r="7098" spans="1:9" x14ac:dyDescent="0.25">
      <c r="A7098">
        <v>1819</v>
      </c>
      <c r="B7098">
        <f>A7098+1</f>
        <v>1820</v>
      </c>
      <c r="C7098" t="s">
        <v>525</v>
      </c>
      <c r="D7098" t="s">
        <v>27</v>
      </c>
      <c r="E7098" s="208" t="s">
        <v>132</v>
      </c>
      <c r="F7098" t="s">
        <v>10</v>
      </c>
      <c r="G7098" s="18">
        <v>0</v>
      </c>
      <c r="H7098" t="s">
        <v>17</v>
      </c>
      <c r="I7098" t="s">
        <v>24</v>
      </c>
    </row>
    <row r="7099" spans="1:9" x14ac:dyDescent="0.25">
      <c r="A7099">
        <v>1819</v>
      </c>
      <c r="B7099">
        <f>A7099+1</f>
        <v>1820</v>
      </c>
      <c r="C7099" t="s">
        <v>525</v>
      </c>
      <c r="D7099" t="s">
        <v>27</v>
      </c>
      <c r="E7099" s="208" t="s">
        <v>130</v>
      </c>
      <c r="F7099" t="s">
        <v>10</v>
      </c>
      <c r="G7099" s="18">
        <v>0</v>
      </c>
      <c r="H7099" t="s">
        <v>17</v>
      </c>
      <c r="I7099" t="s">
        <v>24</v>
      </c>
    </row>
    <row r="7100" spans="1:9" x14ac:dyDescent="0.25">
      <c r="A7100">
        <v>1819</v>
      </c>
      <c r="B7100">
        <f>A7100+1</f>
        <v>1820</v>
      </c>
      <c r="C7100" t="s">
        <v>525</v>
      </c>
      <c r="D7100" t="s">
        <v>27</v>
      </c>
      <c r="E7100" s="208" t="s">
        <v>144</v>
      </c>
      <c r="F7100" t="s">
        <v>10</v>
      </c>
      <c r="G7100" s="18">
        <v>43</v>
      </c>
      <c r="H7100" t="s">
        <v>17</v>
      </c>
      <c r="I7100" t="s">
        <v>24</v>
      </c>
    </row>
    <row r="7101" spans="1:9" x14ac:dyDescent="0.25">
      <c r="A7101">
        <v>1819</v>
      </c>
      <c r="B7101">
        <f>A7101+1</f>
        <v>1820</v>
      </c>
      <c r="C7101" t="s">
        <v>525</v>
      </c>
      <c r="D7101" t="s">
        <v>27</v>
      </c>
      <c r="E7101" s="208" t="s">
        <v>142</v>
      </c>
      <c r="F7101" t="s">
        <v>10</v>
      </c>
      <c r="G7101" s="18">
        <v>1979</v>
      </c>
      <c r="H7101" t="s">
        <v>17</v>
      </c>
      <c r="I7101" t="s">
        <v>24</v>
      </c>
    </row>
    <row r="7102" spans="1:9" x14ac:dyDescent="0.25">
      <c r="A7102">
        <v>1819</v>
      </c>
      <c r="B7102">
        <f>A7102+1</f>
        <v>1820</v>
      </c>
      <c r="C7102" t="s">
        <v>525</v>
      </c>
      <c r="D7102" t="s">
        <v>27</v>
      </c>
      <c r="E7102" s="208" t="s">
        <v>124</v>
      </c>
      <c r="F7102" t="s">
        <v>10</v>
      </c>
      <c r="G7102" s="18">
        <v>58497</v>
      </c>
      <c r="H7102" t="s">
        <v>17</v>
      </c>
      <c r="I7102" t="s">
        <v>24</v>
      </c>
    </row>
    <row r="7103" spans="1:9" x14ac:dyDescent="0.25">
      <c r="A7103">
        <v>1819</v>
      </c>
      <c r="B7103">
        <f>A7103+1</f>
        <v>1820</v>
      </c>
      <c r="C7103" t="s">
        <v>525</v>
      </c>
      <c r="D7103" t="s">
        <v>26</v>
      </c>
      <c r="E7103" s="208" t="s">
        <v>62</v>
      </c>
      <c r="F7103" t="s">
        <v>10</v>
      </c>
      <c r="G7103" s="18">
        <v>5995</v>
      </c>
      <c r="H7103" t="s">
        <v>24</v>
      </c>
      <c r="I7103" t="s">
        <v>17</v>
      </c>
    </row>
    <row r="7104" spans="1:9" x14ac:dyDescent="0.25">
      <c r="A7104">
        <v>1819</v>
      </c>
      <c r="B7104">
        <f>A7104+1</f>
        <v>1820</v>
      </c>
      <c r="C7104" t="s">
        <v>525</v>
      </c>
      <c r="D7104" t="s">
        <v>26</v>
      </c>
      <c r="E7104" s="208" t="s">
        <v>36</v>
      </c>
      <c r="F7104" t="s">
        <v>10</v>
      </c>
      <c r="G7104" s="18">
        <v>354</v>
      </c>
      <c r="H7104" t="s">
        <v>24</v>
      </c>
      <c r="I7104" t="s">
        <v>17</v>
      </c>
    </row>
    <row r="7105" spans="1:9" x14ac:dyDescent="0.25">
      <c r="A7105">
        <v>1819</v>
      </c>
      <c r="B7105">
        <f>A7105+1</f>
        <v>1820</v>
      </c>
      <c r="C7105" t="s">
        <v>525</v>
      </c>
      <c r="D7105" t="s">
        <v>26</v>
      </c>
      <c r="E7105" s="208" t="s">
        <v>35</v>
      </c>
      <c r="F7105" t="s">
        <v>10</v>
      </c>
      <c r="G7105" s="18">
        <v>0</v>
      </c>
      <c r="H7105" t="s">
        <v>24</v>
      </c>
      <c r="I7105" t="s">
        <v>17</v>
      </c>
    </row>
    <row r="7106" spans="1:9" x14ac:dyDescent="0.25">
      <c r="A7106">
        <v>1819</v>
      </c>
      <c r="B7106">
        <f>A7106+1</f>
        <v>1820</v>
      </c>
      <c r="C7106" t="s">
        <v>525</v>
      </c>
      <c r="D7106" t="s">
        <v>26</v>
      </c>
      <c r="E7106" s="208" t="s">
        <v>39</v>
      </c>
      <c r="F7106" t="s">
        <v>10</v>
      </c>
      <c r="G7106" s="18">
        <v>155</v>
      </c>
      <c r="H7106" t="s">
        <v>24</v>
      </c>
      <c r="I7106" t="s">
        <v>17</v>
      </c>
    </row>
    <row r="7107" spans="1:9" x14ac:dyDescent="0.25">
      <c r="A7107">
        <v>1819</v>
      </c>
      <c r="B7107">
        <f>A7107+1</f>
        <v>1820</v>
      </c>
      <c r="C7107" t="s">
        <v>525</v>
      </c>
      <c r="D7107" t="s">
        <v>26</v>
      </c>
      <c r="E7107" s="208" t="s">
        <v>99</v>
      </c>
      <c r="F7107" t="s">
        <v>10</v>
      </c>
      <c r="G7107" s="18">
        <v>232</v>
      </c>
      <c r="H7107" t="s">
        <v>24</v>
      </c>
      <c r="I7107" t="s">
        <v>17</v>
      </c>
    </row>
    <row r="7108" spans="1:9" x14ac:dyDescent="0.25">
      <c r="A7108">
        <v>1819</v>
      </c>
      <c r="B7108">
        <f>A7108+1</f>
        <v>1820</v>
      </c>
      <c r="C7108" t="s">
        <v>525</v>
      </c>
      <c r="D7108" t="s">
        <v>26</v>
      </c>
      <c r="E7108" s="208" t="s">
        <v>95</v>
      </c>
      <c r="F7108" t="s">
        <v>10</v>
      </c>
      <c r="G7108" s="18">
        <v>46</v>
      </c>
      <c r="H7108" t="s">
        <v>24</v>
      </c>
      <c r="I7108" t="s">
        <v>17</v>
      </c>
    </row>
    <row r="7109" spans="1:9" x14ac:dyDescent="0.25">
      <c r="A7109">
        <v>1819</v>
      </c>
      <c r="B7109">
        <f>A7109+1</f>
        <v>1820</v>
      </c>
      <c r="C7109" t="s">
        <v>525</v>
      </c>
      <c r="D7109" t="s">
        <v>26</v>
      </c>
      <c r="E7109" s="208" t="s">
        <v>94</v>
      </c>
      <c r="F7109" t="s">
        <v>10</v>
      </c>
      <c r="G7109" s="18">
        <v>133</v>
      </c>
      <c r="H7109" t="s">
        <v>24</v>
      </c>
      <c r="I7109" t="s">
        <v>17</v>
      </c>
    </row>
    <row r="7110" spans="1:9" x14ac:dyDescent="0.25">
      <c r="A7110">
        <v>1819</v>
      </c>
      <c r="B7110">
        <f>A7110+1</f>
        <v>1820</v>
      </c>
      <c r="C7110" t="s">
        <v>525</v>
      </c>
      <c r="D7110" t="s">
        <v>26</v>
      </c>
      <c r="E7110" s="208" t="s">
        <v>386</v>
      </c>
      <c r="F7110" t="s">
        <v>10</v>
      </c>
      <c r="G7110" s="18">
        <v>3180</v>
      </c>
      <c r="H7110" t="s">
        <v>24</v>
      </c>
      <c r="I7110" t="s">
        <v>17</v>
      </c>
    </row>
    <row r="7111" spans="1:9" x14ac:dyDescent="0.25">
      <c r="A7111">
        <v>1819</v>
      </c>
      <c r="B7111">
        <f>A7111+1</f>
        <v>1820</v>
      </c>
      <c r="C7111" t="s">
        <v>525</v>
      </c>
      <c r="D7111" t="s">
        <v>26</v>
      </c>
      <c r="E7111" s="208" t="s">
        <v>387</v>
      </c>
      <c r="F7111" t="s">
        <v>10</v>
      </c>
      <c r="G7111" s="18">
        <v>25</v>
      </c>
      <c r="H7111" t="s">
        <v>24</v>
      </c>
      <c r="I7111" t="s">
        <v>17</v>
      </c>
    </row>
    <row r="7112" spans="1:9" x14ac:dyDescent="0.25">
      <c r="A7112">
        <v>1819</v>
      </c>
      <c r="B7112">
        <f>A7112+1</f>
        <v>1820</v>
      </c>
      <c r="C7112" t="s">
        <v>525</v>
      </c>
      <c r="D7112" t="s">
        <v>26</v>
      </c>
      <c r="E7112" s="208" t="s">
        <v>388</v>
      </c>
      <c r="F7112" t="s">
        <v>10</v>
      </c>
      <c r="G7112" s="18">
        <v>1662</v>
      </c>
      <c r="H7112" t="s">
        <v>24</v>
      </c>
      <c r="I7112" t="s">
        <v>17</v>
      </c>
    </row>
    <row r="7113" spans="1:9" x14ac:dyDescent="0.25">
      <c r="A7113">
        <v>1819</v>
      </c>
      <c r="B7113">
        <f>A7113+1</f>
        <v>1820</v>
      </c>
      <c r="C7113" t="s">
        <v>525</v>
      </c>
      <c r="D7113" t="s">
        <v>26</v>
      </c>
      <c r="E7113" s="208" t="s">
        <v>383</v>
      </c>
      <c r="F7113" t="s">
        <v>10</v>
      </c>
      <c r="G7113" s="18">
        <v>170</v>
      </c>
      <c r="H7113" t="s">
        <v>24</v>
      </c>
      <c r="I7113" t="s">
        <v>17</v>
      </c>
    </row>
    <row r="7114" spans="1:9" x14ac:dyDescent="0.25">
      <c r="A7114">
        <v>1819</v>
      </c>
      <c r="B7114">
        <f>A7114+1</f>
        <v>1820</v>
      </c>
      <c r="C7114" t="s">
        <v>525</v>
      </c>
      <c r="D7114" t="s">
        <v>26</v>
      </c>
      <c r="E7114" s="208" t="s">
        <v>384</v>
      </c>
      <c r="F7114" t="s">
        <v>10</v>
      </c>
      <c r="G7114" s="18">
        <v>916</v>
      </c>
      <c r="H7114" t="s">
        <v>24</v>
      </c>
      <c r="I7114" t="s">
        <v>17</v>
      </c>
    </row>
    <row r="7115" spans="1:9" x14ac:dyDescent="0.25">
      <c r="A7115">
        <v>1819</v>
      </c>
      <c r="B7115">
        <f>A7115+1</f>
        <v>1820</v>
      </c>
      <c r="C7115" t="s">
        <v>525</v>
      </c>
      <c r="D7115" t="s">
        <v>26</v>
      </c>
      <c r="E7115" s="208" t="s">
        <v>107</v>
      </c>
      <c r="F7115" t="s">
        <v>10</v>
      </c>
      <c r="G7115" s="18">
        <v>4513484</v>
      </c>
      <c r="H7115" t="s">
        <v>24</v>
      </c>
      <c r="I7115" t="s">
        <v>17</v>
      </c>
    </row>
    <row r="7116" spans="1:9" x14ac:dyDescent="0.25">
      <c r="A7116">
        <v>1819</v>
      </c>
      <c r="B7116">
        <f>A7116+1</f>
        <v>1820</v>
      </c>
      <c r="C7116" t="s">
        <v>525</v>
      </c>
      <c r="D7116" t="s">
        <v>26</v>
      </c>
      <c r="E7116" s="208" t="s">
        <v>101</v>
      </c>
      <c r="F7116" t="s">
        <v>10</v>
      </c>
      <c r="G7116" s="18">
        <v>5293940</v>
      </c>
      <c r="H7116" t="s">
        <v>24</v>
      </c>
      <c r="I7116" t="s">
        <v>17</v>
      </c>
    </row>
    <row r="7117" spans="1:9" x14ac:dyDescent="0.25">
      <c r="A7117">
        <v>1819</v>
      </c>
      <c r="B7117">
        <f>A7117+1</f>
        <v>1820</v>
      </c>
      <c r="C7117" t="s">
        <v>525</v>
      </c>
      <c r="D7117" t="s">
        <v>26</v>
      </c>
      <c r="E7117" s="208" t="s">
        <v>75</v>
      </c>
      <c r="F7117" t="s">
        <v>10</v>
      </c>
      <c r="G7117" s="18">
        <v>4633164</v>
      </c>
      <c r="H7117" t="s">
        <v>24</v>
      </c>
      <c r="I7117" t="s">
        <v>17</v>
      </c>
    </row>
    <row r="7118" spans="1:9" x14ac:dyDescent="0.25">
      <c r="A7118">
        <v>1819</v>
      </c>
      <c r="B7118">
        <f>A7118+1</f>
        <v>1820</v>
      </c>
      <c r="C7118" t="s">
        <v>525</v>
      </c>
      <c r="D7118" t="s">
        <v>26</v>
      </c>
      <c r="E7118" s="208" t="s">
        <v>330</v>
      </c>
      <c r="F7118" t="s">
        <v>10</v>
      </c>
      <c r="G7118" s="18">
        <v>7</v>
      </c>
      <c r="H7118" t="s">
        <v>24</v>
      </c>
      <c r="I7118" t="s">
        <v>17</v>
      </c>
    </row>
    <row r="7119" spans="1:9" x14ac:dyDescent="0.25">
      <c r="A7119">
        <v>1819</v>
      </c>
      <c r="B7119">
        <f>A7119+1</f>
        <v>1820</v>
      </c>
      <c r="C7119" t="s">
        <v>525</v>
      </c>
      <c r="D7119" t="s">
        <v>26</v>
      </c>
      <c r="E7119" s="208" t="s">
        <v>331</v>
      </c>
      <c r="F7119" t="s">
        <v>10</v>
      </c>
      <c r="G7119" s="18">
        <v>0</v>
      </c>
      <c r="H7119" t="s">
        <v>24</v>
      </c>
      <c r="I7119" t="s">
        <v>17</v>
      </c>
    </row>
    <row r="7120" spans="1:9" x14ac:dyDescent="0.25">
      <c r="A7120">
        <v>1819</v>
      </c>
      <c r="B7120">
        <f>A7120+1</f>
        <v>1820</v>
      </c>
      <c r="C7120" t="s">
        <v>525</v>
      </c>
      <c r="D7120" t="s">
        <v>26</v>
      </c>
      <c r="E7120" s="208" t="s">
        <v>332</v>
      </c>
      <c r="F7120" t="s">
        <v>10</v>
      </c>
      <c r="G7120" s="18">
        <v>0</v>
      </c>
      <c r="H7120" t="s">
        <v>24</v>
      </c>
      <c r="I7120" t="s">
        <v>17</v>
      </c>
    </row>
    <row r="7121" spans="1:9" x14ac:dyDescent="0.25">
      <c r="A7121">
        <v>1819</v>
      </c>
      <c r="B7121">
        <f>A7121+1</f>
        <v>1820</v>
      </c>
      <c r="C7121" t="s">
        <v>525</v>
      </c>
      <c r="D7121" t="s">
        <v>26</v>
      </c>
      <c r="E7121" s="208" t="s">
        <v>333</v>
      </c>
      <c r="F7121" t="s">
        <v>10</v>
      </c>
      <c r="G7121" s="18">
        <v>39</v>
      </c>
      <c r="H7121" t="s">
        <v>24</v>
      </c>
      <c r="I7121" t="s">
        <v>17</v>
      </c>
    </row>
    <row r="7122" spans="1:9" x14ac:dyDescent="0.25">
      <c r="A7122">
        <v>1819</v>
      </c>
      <c r="B7122">
        <f>A7122+1</f>
        <v>1820</v>
      </c>
      <c r="C7122" t="s">
        <v>525</v>
      </c>
      <c r="D7122" t="s">
        <v>27</v>
      </c>
      <c r="E7122" s="208" t="s">
        <v>155</v>
      </c>
      <c r="F7122" t="s">
        <v>8</v>
      </c>
      <c r="G7122" s="18">
        <v>87440</v>
      </c>
      <c r="H7122" t="s">
        <v>17</v>
      </c>
      <c r="I7122" t="s">
        <v>18</v>
      </c>
    </row>
    <row r="7123" spans="1:9" x14ac:dyDescent="0.25">
      <c r="A7123">
        <v>1819</v>
      </c>
      <c r="B7123">
        <f>A7123+1</f>
        <v>1820</v>
      </c>
      <c r="C7123" t="s">
        <v>525</v>
      </c>
      <c r="D7123" t="s">
        <v>27</v>
      </c>
      <c r="E7123" s="208" t="s">
        <v>156</v>
      </c>
      <c r="F7123" t="s">
        <v>8</v>
      </c>
      <c r="G7123" s="18">
        <v>8982</v>
      </c>
      <c r="H7123" t="s">
        <v>17</v>
      </c>
      <c r="I7123" t="s">
        <v>18</v>
      </c>
    </row>
    <row r="7124" spans="1:9" x14ac:dyDescent="0.25">
      <c r="A7124">
        <v>1819</v>
      </c>
      <c r="B7124">
        <f>A7124+1</f>
        <v>1820</v>
      </c>
      <c r="C7124" t="s">
        <v>525</v>
      </c>
      <c r="D7124" t="s">
        <v>27</v>
      </c>
      <c r="E7124" s="208" t="s">
        <v>154</v>
      </c>
      <c r="F7124" t="s">
        <v>8</v>
      </c>
      <c r="G7124" s="18">
        <v>679</v>
      </c>
      <c r="H7124" t="s">
        <v>17</v>
      </c>
      <c r="I7124" t="s">
        <v>18</v>
      </c>
    </row>
    <row r="7125" spans="1:9" x14ac:dyDescent="0.25">
      <c r="A7125">
        <v>1819</v>
      </c>
      <c r="B7125">
        <f>A7125+1</f>
        <v>1820</v>
      </c>
      <c r="C7125" t="s">
        <v>525</v>
      </c>
      <c r="D7125" t="s">
        <v>27</v>
      </c>
      <c r="E7125" s="208" t="s">
        <v>150</v>
      </c>
      <c r="F7125" t="s">
        <v>8</v>
      </c>
      <c r="G7125" s="18">
        <v>27221</v>
      </c>
      <c r="H7125" t="s">
        <v>17</v>
      </c>
      <c r="I7125" t="s">
        <v>18</v>
      </c>
    </row>
    <row r="7126" spans="1:9" x14ac:dyDescent="0.25">
      <c r="A7126">
        <v>1819</v>
      </c>
      <c r="B7126">
        <f>A7126+1</f>
        <v>1820</v>
      </c>
      <c r="C7126" t="s">
        <v>525</v>
      </c>
      <c r="D7126" t="s">
        <v>27</v>
      </c>
      <c r="E7126" s="208" t="s">
        <v>148</v>
      </c>
      <c r="F7126" t="s">
        <v>8</v>
      </c>
      <c r="G7126" s="18">
        <v>772</v>
      </c>
      <c r="H7126" t="s">
        <v>17</v>
      </c>
      <c r="I7126" t="s">
        <v>18</v>
      </c>
    </row>
    <row r="7127" spans="1:9" x14ac:dyDescent="0.25">
      <c r="A7127">
        <v>1819</v>
      </c>
      <c r="B7127">
        <f>A7127+1</f>
        <v>1820</v>
      </c>
      <c r="C7127" t="s">
        <v>525</v>
      </c>
      <c r="D7127" t="s">
        <v>27</v>
      </c>
      <c r="E7127" s="208" t="s">
        <v>147</v>
      </c>
      <c r="F7127" t="s">
        <v>8</v>
      </c>
      <c r="G7127" s="18">
        <v>0</v>
      </c>
      <c r="H7127" t="s">
        <v>17</v>
      </c>
      <c r="I7127" t="s">
        <v>18</v>
      </c>
    </row>
    <row r="7128" spans="1:9" x14ac:dyDescent="0.25">
      <c r="A7128">
        <v>1819</v>
      </c>
      <c r="B7128">
        <f>A7128+1</f>
        <v>1820</v>
      </c>
      <c r="C7128" t="s">
        <v>525</v>
      </c>
      <c r="D7128" t="s">
        <v>27</v>
      </c>
      <c r="E7128" s="208" t="s">
        <v>314</v>
      </c>
      <c r="F7128" t="s">
        <v>8</v>
      </c>
      <c r="G7128" s="18">
        <v>0</v>
      </c>
      <c r="H7128" t="s">
        <v>17</v>
      </c>
      <c r="I7128" t="s">
        <v>18</v>
      </c>
    </row>
    <row r="7129" spans="1:9" x14ac:dyDescent="0.25">
      <c r="A7129">
        <v>1819</v>
      </c>
      <c r="B7129">
        <f>A7129+1</f>
        <v>1820</v>
      </c>
      <c r="C7129" t="s">
        <v>525</v>
      </c>
      <c r="D7129" t="s">
        <v>27</v>
      </c>
      <c r="E7129" s="208" t="s">
        <v>139</v>
      </c>
      <c r="F7129" t="s">
        <v>8</v>
      </c>
      <c r="G7129" s="18">
        <v>44</v>
      </c>
      <c r="H7129" t="s">
        <v>17</v>
      </c>
      <c r="I7129" t="s">
        <v>18</v>
      </c>
    </row>
    <row r="7130" spans="1:9" x14ac:dyDescent="0.25">
      <c r="A7130">
        <v>1819</v>
      </c>
      <c r="B7130">
        <f>A7130+1</f>
        <v>1820</v>
      </c>
      <c r="C7130" t="s">
        <v>525</v>
      </c>
      <c r="D7130" t="s">
        <v>27</v>
      </c>
      <c r="E7130" s="208" t="s">
        <v>132</v>
      </c>
      <c r="F7130" t="s">
        <v>8</v>
      </c>
      <c r="G7130" s="18">
        <v>598</v>
      </c>
      <c r="H7130" t="s">
        <v>17</v>
      </c>
      <c r="I7130" t="s">
        <v>18</v>
      </c>
    </row>
    <row r="7131" spans="1:9" x14ac:dyDescent="0.25">
      <c r="A7131">
        <v>1819</v>
      </c>
      <c r="B7131">
        <f>A7131+1</f>
        <v>1820</v>
      </c>
      <c r="C7131" t="s">
        <v>525</v>
      </c>
      <c r="D7131" t="s">
        <v>27</v>
      </c>
      <c r="E7131" s="208" t="s">
        <v>130</v>
      </c>
      <c r="F7131" t="s">
        <v>8</v>
      </c>
      <c r="G7131" s="18">
        <v>298</v>
      </c>
      <c r="H7131" t="s">
        <v>17</v>
      </c>
      <c r="I7131" t="s">
        <v>18</v>
      </c>
    </row>
    <row r="7132" spans="1:9" x14ac:dyDescent="0.25">
      <c r="A7132">
        <v>1819</v>
      </c>
      <c r="B7132">
        <f>A7132+1</f>
        <v>1820</v>
      </c>
      <c r="C7132" t="s">
        <v>525</v>
      </c>
      <c r="D7132" t="s">
        <v>27</v>
      </c>
      <c r="E7132" s="208" t="s">
        <v>144</v>
      </c>
      <c r="F7132" t="s">
        <v>8</v>
      </c>
      <c r="G7132" s="18">
        <v>262</v>
      </c>
      <c r="H7132" t="s">
        <v>17</v>
      </c>
      <c r="I7132" t="s">
        <v>18</v>
      </c>
    </row>
    <row r="7133" spans="1:9" x14ac:dyDescent="0.25">
      <c r="A7133">
        <v>1819</v>
      </c>
      <c r="B7133">
        <f>A7133+1</f>
        <v>1820</v>
      </c>
      <c r="C7133" t="s">
        <v>525</v>
      </c>
      <c r="D7133" t="s">
        <v>27</v>
      </c>
      <c r="E7133" s="208" t="s">
        <v>142</v>
      </c>
      <c r="F7133" t="s">
        <v>8</v>
      </c>
      <c r="G7133" s="18">
        <v>9578</v>
      </c>
      <c r="H7133" t="s">
        <v>17</v>
      </c>
      <c r="I7133" t="s">
        <v>18</v>
      </c>
    </row>
    <row r="7134" spans="1:9" x14ac:dyDescent="0.25">
      <c r="A7134">
        <v>1819</v>
      </c>
      <c r="B7134">
        <f>A7134+1</f>
        <v>1820</v>
      </c>
      <c r="C7134" t="s">
        <v>525</v>
      </c>
      <c r="D7134" t="s">
        <v>27</v>
      </c>
      <c r="E7134" s="208" t="s">
        <v>124</v>
      </c>
      <c r="F7134" t="s">
        <v>8</v>
      </c>
      <c r="G7134" s="18">
        <v>8597879</v>
      </c>
      <c r="H7134" t="s">
        <v>17</v>
      </c>
      <c r="I7134" t="s">
        <v>18</v>
      </c>
    </row>
    <row r="7135" spans="1:9" x14ac:dyDescent="0.25">
      <c r="A7135">
        <v>1819</v>
      </c>
      <c r="B7135">
        <f>A7135+1</f>
        <v>1820</v>
      </c>
      <c r="C7135" t="s">
        <v>525</v>
      </c>
      <c r="D7135" t="s">
        <v>26</v>
      </c>
      <c r="E7135" s="208" t="s">
        <v>493</v>
      </c>
      <c r="F7135" t="s">
        <v>8</v>
      </c>
      <c r="G7135" s="18">
        <v>6646</v>
      </c>
      <c r="H7135" t="s">
        <v>18</v>
      </c>
      <c r="I7135" t="s">
        <v>17</v>
      </c>
    </row>
    <row r="7136" spans="1:9" x14ac:dyDescent="0.25">
      <c r="A7136">
        <v>1819</v>
      </c>
      <c r="B7136">
        <f>A7136+1</f>
        <v>1820</v>
      </c>
      <c r="C7136" t="s">
        <v>525</v>
      </c>
      <c r="D7136" t="s">
        <v>26</v>
      </c>
      <c r="E7136" s="208" t="s">
        <v>113</v>
      </c>
      <c r="F7136" t="s">
        <v>8</v>
      </c>
      <c r="G7136" s="18">
        <v>125</v>
      </c>
      <c r="H7136" t="s">
        <v>18</v>
      </c>
      <c r="I7136" t="s">
        <v>17</v>
      </c>
    </row>
    <row r="7137" spans="1:9" x14ac:dyDescent="0.25">
      <c r="A7137">
        <v>1819</v>
      </c>
      <c r="B7137">
        <f>A7137+1</f>
        <v>1820</v>
      </c>
      <c r="C7137" t="s">
        <v>525</v>
      </c>
      <c r="D7137" t="s">
        <v>26</v>
      </c>
      <c r="E7137" s="208" t="s">
        <v>112</v>
      </c>
      <c r="F7137" t="s">
        <v>8</v>
      </c>
      <c r="G7137" s="18">
        <v>508</v>
      </c>
      <c r="H7137" t="s">
        <v>18</v>
      </c>
      <c r="I7137" t="s">
        <v>17</v>
      </c>
    </row>
    <row r="7138" spans="1:9" x14ac:dyDescent="0.25">
      <c r="A7138">
        <v>1819</v>
      </c>
      <c r="B7138">
        <f>A7138+1</f>
        <v>1820</v>
      </c>
      <c r="C7138" t="s">
        <v>525</v>
      </c>
      <c r="D7138" t="s">
        <v>26</v>
      </c>
      <c r="E7138" s="208" t="s">
        <v>494</v>
      </c>
      <c r="F7138" t="s">
        <v>8</v>
      </c>
      <c r="G7138" s="18">
        <v>420</v>
      </c>
      <c r="H7138" t="s">
        <v>18</v>
      </c>
      <c r="I7138" t="s">
        <v>17</v>
      </c>
    </row>
    <row r="7139" spans="1:9" x14ac:dyDescent="0.25">
      <c r="A7139">
        <v>1819</v>
      </c>
      <c r="B7139">
        <f>A7139+1</f>
        <v>1820</v>
      </c>
      <c r="C7139" t="s">
        <v>525</v>
      </c>
      <c r="D7139" t="s">
        <v>26</v>
      </c>
      <c r="E7139" s="208" t="s">
        <v>495</v>
      </c>
      <c r="F7139" t="s">
        <v>8</v>
      </c>
      <c r="G7139" s="18">
        <v>82</v>
      </c>
      <c r="H7139" t="s">
        <v>18</v>
      </c>
      <c r="I7139" t="s">
        <v>17</v>
      </c>
    </row>
    <row r="7140" spans="1:9" x14ac:dyDescent="0.25">
      <c r="A7140">
        <v>1819</v>
      </c>
      <c r="B7140">
        <f>A7140+1</f>
        <v>1820</v>
      </c>
      <c r="C7140" t="s">
        <v>525</v>
      </c>
      <c r="D7140" t="s">
        <v>26</v>
      </c>
      <c r="E7140" s="208" t="s">
        <v>109</v>
      </c>
      <c r="F7140" t="s">
        <v>8</v>
      </c>
      <c r="G7140" s="18">
        <v>2592</v>
      </c>
      <c r="H7140" t="s">
        <v>18</v>
      </c>
      <c r="I7140" t="s">
        <v>17</v>
      </c>
    </row>
    <row r="7141" spans="1:9" x14ac:dyDescent="0.25">
      <c r="A7141">
        <v>1819</v>
      </c>
      <c r="B7141">
        <f>A7141+1</f>
        <v>1820</v>
      </c>
      <c r="C7141" t="s">
        <v>525</v>
      </c>
      <c r="D7141" t="s">
        <v>26</v>
      </c>
      <c r="E7141" s="208" t="s">
        <v>496</v>
      </c>
      <c r="F7141" t="s">
        <v>8</v>
      </c>
      <c r="G7141" s="18">
        <v>8361</v>
      </c>
      <c r="H7141" t="s">
        <v>18</v>
      </c>
      <c r="I7141" t="s">
        <v>17</v>
      </c>
    </row>
    <row r="7142" spans="1:9" x14ac:dyDescent="0.25">
      <c r="A7142">
        <v>1819</v>
      </c>
      <c r="B7142">
        <f>A7142+1</f>
        <v>1820</v>
      </c>
      <c r="C7142" t="s">
        <v>525</v>
      </c>
      <c r="D7142" t="s">
        <v>26</v>
      </c>
      <c r="E7142" s="208" t="s">
        <v>28</v>
      </c>
      <c r="F7142" t="s">
        <v>8</v>
      </c>
      <c r="G7142" s="18">
        <v>2684</v>
      </c>
      <c r="H7142" t="s">
        <v>18</v>
      </c>
      <c r="I7142" t="s">
        <v>17</v>
      </c>
    </row>
    <row r="7143" spans="1:9" x14ac:dyDescent="0.25">
      <c r="A7143">
        <v>1819</v>
      </c>
      <c r="B7143">
        <f>A7143+1</f>
        <v>1820</v>
      </c>
      <c r="C7143" t="s">
        <v>525</v>
      </c>
      <c r="D7143" t="s">
        <v>26</v>
      </c>
      <c r="E7143" s="208" t="s">
        <v>89</v>
      </c>
      <c r="F7143" t="s">
        <v>8</v>
      </c>
      <c r="G7143" s="18">
        <v>3417</v>
      </c>
      <c r="H7143" t="s">
        <v>18</v>
      </c>
      <c r="I7143" t="s">
        <v>17</v>
      </c>
    </row>
    <row r="7144" spans="1:9" x14ac:dyDescent="0.25">
      <c r="A7144">
        <v>1819</v>
      </c>
      <c r="B7144">
        <f>A7144+1</f>
        <v>1820</v>
      </c>
      <c r="C7144" t="s">
        <v>525</v>
      </c>
      <c r="D7144" t="s">
        <v>26</v>
      </c>
      <c r="E7144" s="208" t="s">
        <v>45</v>
      </c>
      <c r="F7144" t="s">
        <v>8</v>
      </c>
      <c r="G7144" s="18">
        <v>4003</v>
      </c>
      <c r="H7144" t="s">
        <v>18</v>
      </c>
      <c r="I7144" t="s">
        <v>17</v>
      </c>
    </row>
    <row r="7145" spans="1:9" x14ac:dyDescent="0.25">
      <c r="A7145">
        <v>1819</v>
      </c>
      <c r="B7145">
        <f>A7145+1</f>
        <v>1820</v>
      </c>
      <c r="C7145" t="s">
        <v>525</v>
      </c>
      <c r="D7145" t="s">
        <v>26</v>
      </c>
      <c r="E7145" s="208" t="s">
        <v>392</v>
      </c>
      <c r="F7145" t="s">
        <v>8</v>
      </c>
      <c r="G7145" s="18">
        <v>0</v>
      </c>
      <c r="H7145" t="s">
        <v>18</v>
      </c>
      <c r="I7145" t="s">
        <v>17</v>
      </c>
    </row>
    <row r="7146" spans="1:9" x14ac:dyDescent="0.25">
      <c r="A7146">
        <v>1819</v>
      </c>
      <c r="B7146">
        <f>A7146+1</f>
        <v>1820</v>
      </c>
      <c r="C7146" t="s">
        <v>525</v>
      </c>
      <c r="D7146" t="s">
        <v>26</v>
      </c>
      <c r="E7146" s="208" t="s">
        <v>102</v>
      </c>
      <c r="F7146" t="s">
        <v>8</v>
      </c>
      <c r="G7146" s="18">
        <v>1807</v>
      </c>
      <c r="H7146" t="s">
        <v>18</v>
      </c>
      <c r="I7146" t="s">
        <v>17</v>
      </c>
    </row>
    <row r="7147" spans="1:9" x14ac:dyDescent="0.25">
      <c r="A7147">
        <v>1819</v>
      </c>
      <c r="B7147">
        <f>A7147+1</f>
        <v>1820</v>
      </c>
      <c r="C7147" t="s">
        <v>525</v>
      </c>
      <c r="D7147" t="s">
        <v>26</v>
      </c>
      <c r="E7147" s="208" t="s">
        <v>48</v>
      </c>
      <c r="F7147" t="s">
        <v>8</v>
      </c>
      <c r="G7147" s="18">
        <v>1707</v>
      </c>
      <c r="H7147" t="s">
        <v>18</v>
      </c>
      <c r="I7147" t="s">
        <v>17</v>
      </c>
    </row>
    <row r="7148" spans="1:9" x14ac:dyDescent="0.25">
      <c r="A7148">
        <v>1819</v>
      </c>
      <c r="B7148">
        <f>A7148+1</f>
        <v>1820</v>
      </c>
      <c r="C7148" t="s">
        <v>525</v>
      </c>
      <c r="D7148" t="s">
        <v>26</v>
      </c>
      <c r="E7148" s="208" t="s">
        <v>110</v>
      </c>
      <c r="F7148" t="s">
        <v>8</v>
      </c>
      <c r="G7148" s="18">
        <v>572</v>
      </c>
      <c r="H7148" t="s">
        <v>18</v>
      </c>
      <c r="I7148" t="s">
        <v>17</v>
      </c>
    </row>
    <row r="7149" spans="1:9" x14ac:dyDescent="0.25">
      <c r="A7149">
        <v>1819</v>
      </c>
      <c r="B7149">
        <f>A7149+1</f>
        <v>1820</v>
      </c>
      <c r="C7149" t="s">
        <v>525</v>
      </c>
      <c r="D7149" t="s">
        <v>26</v>
      </c>
      <c r="E7149" s="208" t="s">
        <v>62</v>
      </c>
      <c r="F7149" t="s">
        <v>164</v>
      </c>
      <c r="G7149" s="18">
        <v>1570</v>
      </c>
      <c r="H7149" t="s">
        <v>160</v>
      </c>
      <c r="I7149" t="s">
        <v>17</v>
      </c>
    </row>
    <row r="7150" spans="1:9" x14ac:dyDescent="0.25">
      <c r="A7150">
        <v>1819</v>
      </c>
      <c r="B7150">
        <f>A7150+1</f>
        <v>1820</v>
      </c>
      <c r="C7150" t="s">
        <v>525</v>
      </c>
      <c r="D7150" t="s">
        <v>26</v>
      </c>
      <c r="E7150" s="208" t="s">
        <v>36</v>
      </c>
      <c r="F7150" t="s">
        <v>164</v>
      </c>
      <c r="G7150" s="18">
        <v>298</v>
      </c>
      <c r="H7150" t="s">
        <v>160</v>
      </c>
      <c r="I7150" t="s">
        <v>17</v>
      </c>
    </row>
    <row r="7151" spans="1:9" x14ac:dyDescent="0.25">
      <c r="A7151">
        <v>1819</v>
      </c>
      <c r="B7151">
        <f>A7151+1</f>
        <v>1820</v>
      </c>
      <c r="C7151" t="s">
        <v>525</v>
      </c>
      <c r="D7151" t="s">
        <v>26</v>
      </c>
      <c r="E7151" s="208" t="s">
        <v>35</v>
      </c>
      <c r="F7151" t="s">
        <v>164</v>
      </c>
      <c r="G7151" s="18">
        <v>0</v>
      </c>
      <c r="H7151" t="s">
        <v>160</v>
      </c>
      <c r="I7151" t="s">
        <v>17</v>
      </c>
    </row>
    <row r="7152" spans="1:9" x14ac:dyDescent="0.25">
      <c r="A7152">
        <v>1819</v>
      </c>
      <c r="B7152">
        <f>A7152+1</f>
        <v>1820</v>
      </c>
      <c r="C7152" t="s">
        <v>525</v>
      </c>
      <c r="D7152" t="s">
        <v>26</v>
      </c>
      <c r="E7152" s="208" t="s">
        <v>39</v>
      </c>
      <c r="F7152" t="s">
        <v>164</v>
      </c>
      <c r="G7152" s="18">
        <v>0</v>
      </c>
      <c r="H7152" t="s">
        <v>160</v>
      </c>
      <c r="I7152" t="s">
        <v>17</v>
      </c>
    </row>
    <row r="7153" spans="1:9" x14ac:dyDescent="0.25">
      <c r="A7153">
        <v>1819</v>
      </c>
      <c r="B7153">
        <f>A7153+1</f>
        <v>1820</v>
      </c>
      <c r="C7153" t="s">
        <v>525</v>
      </c>
      <c r="D7153" t="s">
        <v>26</v>
      </c>
      <c r="E7153" s="208" t="s">
        <v>99</v>
      </c>
      <c r="F7153" t="s">
        <v>164</v>
      </c>
      <c r="G7153" s="18">
        <v>0</v>
      </c>
      <c r="H7153" t="s">
        <v>160</v>
      </c>
      <c r="I7153" t="s">
        <v>17</v>
      </c>
    </row>
    <row r="7154" spans="1:9" x14ac:dyDescent="0.25">
      <c r="A7154">
        <v>1819</v>
      </c>
      <c r="B7154">
        <f>A7154+1</f>
        <v>1820</v>
      </c>
      <c r="C7154" t="s">
        <v>525</v>
      </c>
      <c r="D7154" t="s">
        <v>26</v>
      </c>
      <c r="E7154" s="208" t="s">
        <v>95</v>
      </c>
      <c r="F7154" t="s">
        <v>164</v>
      </c>
      <c r="G7154" s="18">
        <v>1141</v>
      </c>
      <c r="H7154" t="s">
        <v>160</v>
      </c>
      <c r="I7154" t="s">
        <v>17</v>
      </c>
    </row>
    <row r="7155" spans="1:9" x14ac:dyDescent="0.25">
      <c r="A7155">
        <v>1819</v>
      </c>
      <c r="B7155">
        <f>A7155+1</f>
        <v>1820</v>
      </c>
      <c r="C7155" t="s">
        <v>525</v>
      </c>
      <c r="D7155" t="s">
        <v>26</v>
      </c>
      <c r="E7155" s="208" t="s">
        <v>94</v>
      </c>
      <c r="F7155" t="s">
        <v>164</v>
      </c>
      <c r="G7155" s="18">
        <v>1086</v>
      </c>
      <c r="H7155" t="s">
        <v>160</v>
      </c>
      <c r="I7155" t="s">
        <v>17</v>
      </c>
    </row>
    <row r="7156" spans="1:9" x14ac:dyDescent="0.25">
      <c r="A7156">
        <v>1819</v>
      </c>
      <c r="B7156">
        <f>A7156+1</f>
        <v>1820</v>
      </c>
      <c r="C7156" t="s">
        <v>525</v>
      </c>
      <c r="D7156" t="s">
        <v>26</v>
      </c>
      <c r="E7156" s="208" t="s">
        <v>386</v>
      </c>
      <c r="F7156" t="s">
        <v>164</v>
      </c>
      <c r="G7156" s="18">
        <v>0</v>
      </c>
      <c r="H7156" t="s">
        <v>160</v>
      </c>
      <c r="I7156" t="s">
        <v>17</v>
      </c>
    </row>
    <row r="7157" spans="1:9" x14ac:dyDescent="0.25">
      <c r="A7157">
        <v>1819</v>
      </c>
      <c r="B7157">
        <f>A7157+1</f>
        <v>1820</v>
      </c>
      <c r="C7157" t="s">
        <v>525</v>
      </c>
      <c r="D7157" t="s">
        <v>26</v>
      </c>
      <c r="E7157" s="208" t="s">
        <v>387</v>
      </c>
      <c r="F7157" t="s">
        <v>164</v>
      </c>
      <c r="G7157" s="18">
        <v>0</v>
      </c>
      <c r="H7157" t="s">
        <v>160</v>
      </c>
      <c r="I7157" t="s">
        <v>17</v>
      </c>
    </row>
    <row r="7158" spans="1:9" x14ac:dyDescent="0.25">
      <c r="A7158">
        <v>1819</v>
      </c>
      <c r="B7158">
        <f>A7158+1</f>
        <v>1820</v>
      </c>
      <c r="C7158" t="s">
        <v>525</v>
      </c>
      <c r="D7158" t="s">
        <v>26</v>
      </c>
      <c r="E7158" s="208" t="s">
        <v>388</v>
      </c>
      <c r="F7158" t="s">
        <v>164</v>
      </c>
      <c r="G7158" s="18">
        <v>0</v>
      </c>
      <c r="H7158" t="s">
        <v>160</v>
      </c>
      <c r="I7158" t="s">
        <v>17</v>
      </c>
    </row>
    <row r="7159" spans="1:9" x14ac:dyDescent="0.25">
      <c r="A7159">
        <v>1819</v>
      </c>
      <c r="B7159">
        <f>A7159+1</f>
        <v>1820</v>
      </c>
      <c r="C7159" t="s">
        <v>525</v>
      </c>
      <c r="D7159" t="s">
        <v>26</v>
      </c>
      <c r="E7159" s="208" t="s">
        <v>383</v>
      </c>
      <c r="F7159" t="s">
        <v>164</v>
      </c>
      <c r="G7159" s="18">
        <v>0</v>
      </c>
      <c r="H7159" t="s">
        <v>160</v>
      </c>
      <c r="I7159" t="s">
        <v>17</v>
      </c>
    </row>
    <row r="7160" spans="1:9" x14ac:dyDescent="0.25">
      <c r="A7160">
        <v>1819</v>
      </c>
      <c r="B7160">
        <f>A7160+1</f>
        <v>1820</v>
      </c>
      <c r="C7160" t="s">
        <v>525</v>
      </c>
      <c r="D7160" t="s">
        <v>26</v>
      </c>
      <c r="E7160" s="208" t="s">
        <v>384</v>
      </c>
      <c r="F7160" t="s">
        <v>164</v>
      </c>
      <c r="G7160" s="18">
        <v>0</v>
      </c>
      <c r="H7160" t="s">
        <v>160</v>
      </c>
      <c r="I7160" t="s">
        <v>17</v>
      </c>
    </row>
    <row r="7161" spans="1:9" x14ac:dyDescent="0.25">
      <c r="A7161">
        <v>1819</v>
      </c>
      <c r="B7161">
        <f>A7161+1</f>
        <v>1820</v>
      </c>
      <c r="C7161" t="s">
        <v>525</v>
      </c>
      <c r="D7161" t="s">
        <v>26</v>
      </c>
      <c r="E7161" s="208" t="s">
        <v>107</v>
      </c>
      <c r="F7161" t="s">
        <v>164</v>
      </c>
      <c r="G7161" s="18">
        <v>0</v>
      </c>
      <c r="H7161" t="s">
        <v>160</v>
      </c>
      <c r="I7161" t="s">
        <v>17</v>
      </c>
    </row>
    <row r="7162" spans="1:9" x14ac:dyDescent="0.25">
      <c r="A7162">
        <v>1819</v>
      </c>
      <c r="B7162">
        <f>A7162+1</f>
        <v>1820</v>
      </c>
      <c r="C7162" t="s">
        <v>525</v>
      </c>
      <c r="D7162" t="s">
        <v>26</v>
      </c>
      <c r="E7162" s="208" t="s">
        <v>101</v>
      </c>
      <c r="F7162" t="s">
        <v>164</v>
      </c>
      <c r="G7162" s="18">
        <v>0</v>
      </c>
      <c r="H7162" t="s">
        <v>160</v>
      </c>
      <c r="I7162" t="s">
        <v>17</v>
      </c>
    </row>
    <row r="7163" spans="1:9" x14ac:dyDescent="0.25">
      <c r="A7163">
        <v>1819</v>
      </c>
      <c r="B7163">
        <f>A7163+1</f>
        <v>1820</v>
      </c>
      <c r="C7163" t="s">
        <v>525</v>
      </c>
      <c r="D7163" t="s">
        <v>26</v>
      </c>
      <c r="E7163" s="208" t="s">
        <v>75</v>
      </c>
      <c r="F7163" t="s">
        <v>164</v>
      </c>
      <c r="G7163" s="18">
        <v>0</v>
      </c>
      <c r="H7163" t="s">
        <v>160</v>
      </c>
      <c r="I7163" t="s">
        <v>17</v>
      </c>
    </row>
    <row r="7164" spans="1:9" x14ac:dyDescent="0.25">
      <c r="A7164">
        <v>1819</v>
      </c>
      <c r="B7164">
        <f>A7164+1</f>
        <v>1820</v>
      </c>
      <c r="C7164" t="s">
        <v>525</v>
      </c>
      <c r="D7164" t="s">
        <v>26</v>
      </c>
      <c r="E7164" s="208" t="s">
        <v>330</v>
      </c>
      <c r="F7164" t="s">
        <v>164</v>
      </c>
      <c r="G7164" s="18">
        <v>0</v>
      </c>
      <c r="H7164" t="s">
        <v>160</v>
      </c>
      <c r="I7164" t="s">
        <v>17</v>
      </c>
    </row>
    <row r="7165" spans="1:9" x14ac:dyDescent="0.25">
      <c r="A7165">
        <v>1819</v>
      </c>
      <c r="B7165">
        <f>A7165+1</f>
        <v>1820</v>
      </c>
      <c r="C7165" t="s">
        <v>525</v>
      </c>
      <c r="D7165" t="s">
        <v>26</v>
      </c>
      <c r="E7165" s="208" t="s">
        <v>331</v>
      </c>
      <c r="F7165" t="s">
        <v>164</v>
      </c>
      <c r="G7165" s="18">
        <v>0</v>
      </c>
      <c r="H7165" t="s">
        <v>160</v>
      </c>
      <c r="I7165" t="s">
        <v>17</v>
      </c>
    </row>
    <row r="7166" spans="1:9" x14ac:dyDescent="0.25">
      <c r="A7166">
        <v>1819</v>
      </c>
      <c r="B7166">
        <f>A7166+1</f>
        <v>1820</v>
      </c>
      <c r="C7166" t="s">
        <v>525</v>
      </c>
      <c r="D7166" t="s">
        <v>26</v>
      </c>
      <c r="E7166" s="208" t="s">
        <v>332</v>
      </c>
      <c r="F7166" t="s">
        <v>164</v>
      </c>
      <c r="G7166" s="18">
        <v>0</v>
      </c>
      <c r="H7166" t="s">
        <v>160</v>
      </c>
      <c r="I7166" t="s">
        <v>17</v>
      </c>
    </row>
    <row r="7167" spans="1:9" x14ac:dyDescent="0.25">
      <c r="A7167">
        <v>1819</v>
      </c>
      <c r="B7167">
        <f>A7167+1</f>
        <v>1820</v>
      </c>
      <c r="C7167" t="s">
        <v>525</v>
      </c>
      <c r="D7167" t="s">
        <v>26</v>
      </c>
      <c r="E7167" s="208" t="s">
        <v>333</v>
      </c>
      <c r="F7167" t="s">
        <v>164</v>
      </c>
      <c r="G7167" s="18">
        <v>0</v>
      </c>
      <c r="H7167" t="s">
        <v>160</v>
      </c>
      <c r="I7167" t="s">
        <v>17</v>
      </c>
    </row>
    <row r="7168" spans="1:9" x14ac:dyDescent="0.25">
      <c r="A7168">
        <v>1819</v>
      </c>
      <c r="B7168">
        <f>A7168+1</f>
        <v>1820</v>
      </c>
      <c r="C7168" t="s">
        <v>525</v>
      </c>
      <c r="D7168" t="s">
        <v>27</v>
      </c>
      <c r="E7168" s="208" t="s">
        <v>155</v>
      </c>
      <c r="F7168" t="s">
        <v>9</v>
      </c>
      <c r="G7168" s="18">
        <v>538</v>
      </c>
      <c r="H7168" t="s">
        <v>17</v>
      </c>
      <c r="I7168" t="s">
        <v>21</v>
      </c>
    </row>
    <row r="7169" spans="1:9" x14ac:dyDescent="0.25">
      <c r="A7169">
        <v>1819</v>
      </c>
      <c r="B7169">
        <f>A7169+1</f>
        <v>1820</v>
      </c>
      <c r="C7169" t="s">
        <v>525</v>
      </c>
      <c r="D7169" t="s">
        <v>27</v>
      </c>
      <c r="E7169" s="208" t="s">
        <v>156</v>
      </c>
      <c r="F7169" t="s">
        <v>9</v>
      </c>
      <c r="G7169" s="18">
        <v>46</v>
      </c>
      <c r="H7169" t="s">
        <v>17</v>
      </c>
      <c r="I7169" t="s">
        <v>21</v>
      </c>
    </row>
    <row r="7170" spans="1:9" x14ac:dyDescent="0.25">
      <c r="A7170">
        <v>1819</v>
      </c>
      <c r="B7170">
        <f>A7170+1</f>
        <v>1820</v>
      </c>
      <c r="C7170" t="s">
        <v>525</v>
      </c>
      <c r="D7170" t="s">
        <v>27</v>
      </c>
      <c r="E7170" s="208" t="s">
        <v>154</v>
      </c>
      <c r="F7170" t="s">
        <v>9</v>
      </c>
      <c r="G7170" s="18">
        <v>0</v>
      </c>
      <c r="H7170" t="s">
        <v>17</v>
      </c>
      <c r="I7170" t="s">
        <v>21</v>
      </c>
    </row>
    <row r="7171" spans="1:9" x14ac:dyDescent="0.25">
      <c r="A7171">
        <v>1819</v>
      </c>
      <c r="B7171">
        <f>A7171+1</f>
        <v>1820</v>
      </c>
      <c r="C7171" t="s">
        <v>525</v>
      </c>
      <c r="D7171" t="s">
        <v>27</v>
      </c>
      <c r="E7171" s="208" t="s">
        <v>150</v>
      </c>
      <c r="F7171" t="s">
        <v>9</v>
      </c>
      <c r="G7171" s="18">
        <v>120</v>
      </c>
      <c r="H7171" t="s">
        <v>17</v>
      </c>
      <c r="I7171" t="s">
        <v>21</v>
      </c>
    </row>
    <row r="7172" spans="1:9" x14ac:dyDescent="0.25">
      <c r="A7172">
        <v>1819</v>
      </c>
      <c r="B7172">
        <f>A7172+1</f>
        <v>1820</v>
      </c>
      <c r="C7172" t="s">
        <v>525</v>
      </c>
      <c r="D7172" t="s">
        <v>27</v>
      </c>
      <c r="E7172" s="208" t="s">
        <v>148</v>
      </c>
      <c r="F7172" t="s">
        <v>9</v>
      </c>
      <c r="G7172" s="18">
        <v>53</v>
      </c>
      <c r="H7172" t="s">
        <v>17</v>
      </c>
      <c r="I7172" t="s">
        <v>21</v>
      </c>
    </row>
    <row r="7173" spans="1:9" x14ac:dyDescent="0.25">
      <c r="A7173">
        <v>1819</v>
      </c>
      <c r="B7173">
        <f>A7173+1</f>
        <v>1820</v>
      </c>
      <c r="C7173" t="s">
        <v>525</v>
      </c>
      <c r="D7173" t="s">
        <v>27</v>
      </c>
      <c r="E7173" s="208" t="s">
        <v>147</v>
      </c>
      <c r="F7173" t="s">
        <v>9</v>
      </c>
      <c r="G7173" s="18">
        <v>0</v>
      </c>
      <c r="H7173" t="s">
        <v>17</v>
      </c>
      <c r="I7173" t="s">
        <v>21</v>
      </c>
    </row>
    <row r="7174" spans="1:9" x14ac:dyDescent="0.25">
      <c r="A7174">
        <v>1819</v>
      </c>
      <c r="B7174">
        <f>A7174+1</f>
        <v>1820</v>
      </c>
      <c r="C7174" t="s">
        <v>525</v>
      </c>
      <c r="D7174" t="s">
        <v>27</v>
      </c>
      <c r="E7174" s="208" t="s">
        <v>314</v>
      </c>
      <c r="F7174" t="s">
        <v>9</v>
      </c>
      <c r="G7174" s="18">
        <v>0</v>
      </c>
      <c r="H7174" t="s">
        <v>17</v>
      </c>
      <c r="I7174" t="s">
        <v>21</v>
      </c>
    </row>
    <row r="7175" spans="1:9" x14ac:dyDescent="0.25">
      <c r="A7175">
        <v>1819</v>
      </c>
      <c r="B7175">
        <f>A7175+1</f>
        <v>1820</v>
      </c>
      <c r="C7175" t="s">
        <v>525</v>
      </c>
      <c r="D7175" t="s">
        <v>27</v>
      </c>
      <c r="E7175" s="208" t="s">
        <v>139</v>
      </c>
      <c r="F7175" t="s">
        <v>9</v>
      </c>
      <c r="G7175" s="18">
        <v>0</v>
      </c>
      <c r="H7175" t="s">
        <v>17</v>
      </c>
      <c r="I7175" t="s">
        <v>21</v>
      </c>
    </row>
    <row r="7176" spans="1:9" x14ac:dyDescent="0.25">
      <c r="A7176">
        <v>1819</v>
      </c>
      <c r="B7176">
        <f>A7176+1</f>
        <v>1820</v>
      </c>
      <c r="C7176" t="s">
        <v>525</v>
      </c>
      <c r="D7176" t="s">
        <v>27</v>
      </c>
      <c r="E7176" s="208" t="s">
        <v>132</v>
      </c>
      <c r="F7176" t="s">
        <v>9</v>
      </c>
      <c r="G7176" s="18">
        <v>0</v>
      </c>
      <c r="H7176" t="s">
        <v>17</v>
      </c>
      <c r="I7176" t="s">
        <v>21</v>
      </c>
    </row>
    <row r="7177" spans="1:9" x14ac:dyDescent="0.25">
      <c r="A7177">
        <v>1819</v>
      </c>
      <c r="B7177">
        <f>A7177+1</f>
        <v>1820</v>
      </c>
      <c r="C7177" t="s">
        <v>525</v>
      </c>
      <c r="D7177" t="s">
        <v>27</v>
      </c>
      <c r="E7177" s="208" t="s">
        <v>130</v>
      </c>
      <c r="F7177" t="s">
        <v>9</v>
      </c>
      <c r="G7177" s="18">
        <v>1</v>
      </c>
      <c r="H7177" t="s">
        <v>17</v>
      </c>
      <c r="I7177" t="s">
        <v>21</v>
      </c>
    </row>
    <row r="7178" spans="1:9" x14ac:dyDescent="0.25">
      <c r="A7178">
        <v>1819</v>
      </c>
      <c r="B7178">
        <f>A7178+1</f>
        <v>1820</v>
      </c>
      <c r="C7178" t="s">
        <v>525</v>
      </c>
      <c r="D7178" t="s">
        <v>27</v>
      </c>
      <c r="E7178" s="208" t="s">
        <v>144</v>
      </c>
      <c r="F7178" t="s">
        <v>9</v>
      </c>
      <c r="G7178" s="18">
        <v>0</v>
      </c>
      <c r="H7178" t="s">
        <v>17</v>
      </c>
      <c r="I7178" t="s">
        <v>21</v>
      </c>
    </row>
    <row r="7179" spans="1:9" x14ac:dyDescent="0.25">
      <c r="A7179">
        <v>1819</v>
      </c>
      <c r="B7179">
        <f>A7179+1</f>
        <v>1820</v>
      </c>
      <c r="C7179" t="s">
        <v>525</v>
      </c>
      <c r="D7179" t="s">
        <v>27</v>
      </c>
      <c r="E7179" s="208" t="s">
        <v>142</v>
      </c>
      <c r="F7179" t="s">
        <v>9</v>
      </c>
      <c r="G7179" s="18">
        <v>5</v>
      </c>
      <c r="H7179" t="s">
        <v>17</v>
      </c>
      <c r="I7179" t="s">
        <v>21</v>
      </c>
    </row>
    <row r="7180" spans="1:9" x14ac:dyDescent="0.25">
      <c r="A7180">
        <v>1819</v>
      </c>
      <c r="B7180">
        <f>A7180+1</f>
        <v>1820</v>
      </c>
      <c r="C7180" t="s">
        <v>525</v>
      </c>
      <c r="D7180" t="s">
        <v>27</v>
      </c>
      <c r="E7180" s="208" t="s">
        <v>124</v>
      </c>
      <c r="F7180" t="s">
        <v>9</v>
      </c>
      <c r="G7180" s="18">
        <v>37489</v>
      </c>
      <c r="H7180" t="s">
        <v>17</v>
      </c>
      <c r="I7180" t="s">
        <v>21</v>
      </c>
    </row>
    <row r="7181" spans="1:9" x14ac:dyDescent="0.25">
      <c r="A7181">
        <v>1819</v>
      </c>
      <c r="B7181">
        <f>A7181+1</f>
        <v>1820</v>
      </c>
      <c r="C7181" t="s">
        <v>525</v>
      </c>
      <c r="D7181" t="s">
        <v>27</v>
      </c>
      <c r="E7181" s="208" t="s">
        <v>155</v>
      </c>
      <c r="F7181" t="s">
        <v>13</v>
      </c>
      <c r="G7181" s="18">
        <v>0</v>
      </c>
      <c r="H7181" t="s">
        <v>17</v>
      </c>
      <c r="I7181" t="s">
        <v>25</v>
      </c>
    </row>
    <row r="7182" spans="1:9" x14ac:dyDescent="0.25">
      <c r="A7182">
        <v>1819</v>
      </c>
      <c r="B7182">
        <f>A7182+1</f>
        <v>1820</v>
      </c>
      <c r="C7182" t="s">
        <v>525</v>
      </c>
      <c r="D7182" t="s">
        <v>27</v>
      </c>
      <c r="E7182" s="208" t="s">
        <v>156</v>
      </c>
      <c r="F7182" t="s">
        <v>13</v>
      </c>
      <c r="G7182" s="18">
        <v>0</v>
      </c>
      <c r="H7182" t="s">
        <v>17</v>
      </c>
      <c r="I7182" t="s">
        <v>25</v>
      </c>
    </row>
    <row r="7183" spans="1:9" x14ac:dyDescent="0.25">
      <c r="A7183">
        <v>1819</v>
      </c>
      <c r="B7183">
        <f>A7183+1</f>
        <v>1820</v>
      </c>
      <c r="C7183" t="s">
        <v>525</v>
      </c>
      <c r="D7183" t="s">
        <v>27</v>
      </c>
      <c r="E7183" s="208" t="s">
        <v>154</v>
      </c>
      <c r="F7183" t="s">
        <v>13</v>
      </c>
      <c r="G7183" s="18">
        <v>0</v>
      </c>
      <c r="H7183" t="s">
        <v>17</v>
      </c>
      <c r="I7183" t="s">
        <v>25</v>
      </c>
    </row>
    <row r="7184" spans="1:9" x14ac:dyDescent="0.25">
      <c r="A7184">
        <v>1819</v>
      </c>
      <c r="B7184">
        <f>A7184+1</f>
        <v>1820</v>
      </c>
      <c r="C7184" t="s">
        <v>525</v>
      </c>
      <c r="D7184" t="s">
        <v>27</v>
      </c>
      <c r="E7184" s="208" t="s">
        <v>150</v>
      </c>
      <c r="F7184" t="s">
        <v>13</v>
      </c>
      <c r="G7184" s="18">
        <v>85</v>
      </c>
      <c r="H7184" t="s">
        <v>17</v>
      </c>
      <c r="I7184" t="s">
        <v>25</v>
      </c>
    </row>
    <row r="7185" spans="1:9" x14ac:dyDescent="0.25">
      <c r="A7185">
        <v>1819</v>
      </c>
      <c r="B7185">
        <f>A7185+1</f>
        <v>1820</v>
      </c>
      <c r="C7185" t="s">
        <v>525</v>
      </c>
      <c r="D7185" t="s">
        <v>27</v>
      </c>
      <c r="E7185" s="208" t="s">
        <v>148</v>
      </c>
      <c r="F7185" t="s">
        <v>13</v>
      </c>
      <c r="G7185" s="18">
        <v>1</v>
      </c>
      <c r="H7185" t="s">
        <v>17</v>
      </c>
      <c r="I7185" t="s">
        <v>25</v>
      </c>
    </row>
    <row r="7186" spans="1:9" x14ac:dyDescent="0.25">
      <c r="A7186">
        <v>1819</v>
      </c>
      <c r="B7186">
        <f>A7186+1</f>
        <v>1820</v>
      </c>
      <c r="C7186" t="s">
        <v>525</v>
      </c>
      <c r="D7186" t="s">
        <v>27</v>
      </c>
      <c r="E7186" s="208" t="s">
        <v>147</v>
      </c>
      <c r="F7186" t="s">
        <v>13</v>
      </c>
      <c r="G7186" s="18">
        <v>0</v>
      </c>
      <c r="H7186" t="s">
        <v>17</v>
      </c>
      <c r="I7186" t="s">
        <v>25</v>
      </c>
    </row>
    <row r="7187" spans="1:9" x14ac:dyDescent="0.25">
      <c r="A7187">
        <v>1819</v>
      </c>
      <c r="B7187">
        <f>A7187+1</f>
        <v>1820</v>
      </c>
      <c r="C7187" t="s">
        <v>525</v>
      </c>
      <c r="D7187" t="s">
        <v>27</v>
      </c>
      <c r="E7187" s="208" t="s">
        <v>314</v>
      </c>
      <c r="F7187" t="s">
        <v>13</v>
      </c>
      <c r="G7187" s="18">
        <v>40</v>
      </c>
      <c r="H7187" t="s">
        <v>17</v>
      </c>
      <c r="I7187" t="s">
        <v>25</v>
      </c>
    </row>
    <row r="7188" spans="1:9" x14ac:dyDescent="0.25">
      <c r="A7188">
        <v>1819</v>
      </c>
      <c r="B7188">
        <f>A7188+1</f>
        <v>1820</v>
      </c>
      <c r="C7188" t="s">
        <v>525</v>
      </c>
      <c r="D7188" t="s">
        <v>27</v>
      </c>
      <c r="E7188" s="208" t="s">
        <v>139</v>
      </c>
      <c r="F7188" t="s">
        <v>13</v>
      </c>
      <c r="G7188" s="18">
        <v>0</v>
      </c>
      <c r="H7188" t="s">
        <v>17</v>
      </c>
      <c r="I7188" t="s">
        <v>25</v>
      </c>
    </row>
    <row r="7189" spans="1:9" x14ac:dyDescent="0.25">
      <c r="A7189">
        <v>1819</v>
      </c>
      <c r="B7189">
        <f>A7189+1</f>
        <v>1820</v>
      </c>
      <c r="C7189" t="s">
        <v>525</v>
      </c>
      <c r="D7189" t="s">
        <v>27</v>
      </c>
      <c r="E7189" s="208" t="s">
        <v>132</v>
      </c>
      <c r="F7189" t="s">
        <v>13</v>
      </c>
      <c r="G7189" s="18">
        <v>0</v>
      </c>
      <c r="H7189" t="s">
        <v>17</v>
      </c>
      <c r="I7189" t="s">
        <v>25</v>
      </c>
    </row>
    <row r="7190" spans="1:9" x14ac:dyDescent="0.25">
      <c r="A7190">
        <v>1819</v>
      </c>
      <c r="B7190">
        <f>A7190+1</f>
        <v>1820</v>
      </c>
      <c r="C7190" t="s">
        <v>525</v>
      </c>
      <c r="D7190" t="s">
        <v>27</v>
      </c>
      <c r="E7190" s="208" t="s">
        <v>130</v>
      </c>
      <c r="F7190" t="s">
        <v>13</v>
      </c>
      <c r="G7190" s="18">
        <v>0</v>
      </c>
      <c r="H7190" t="s">
        <v>17</v>
      </c>
      <c r="I7190" t="s">
        <v>25</v>
      </c>
    </row>
    <row r="7191" spans="1:9" x14ac:dyDescent="0.25">
      <c r="A7191">
        <v>1819</v>
      </c>
      <c r="B7191">
        <f>A7191+1</f>
        <v>1820</v>
      </c>
      <c r="C7191" t="s">
        <v>525</v>
      </c>
      <c r="D7191" t="s">
        <v>27</v>
      </c>
      <c r="E7191" s="208" t="s">
        <v>144</v>
      </c>
      <c r="F7191" t="s">
        <v>13</v>
      </c>
      <c r="G7191" s="18">
        <v>0</v>
      </c>
      <c r="H7191" t="s">
        <v>17</v>
      </c>
      <c r="I7191" t="s">
        <v>25</v>
      </c>
    </row>
    <row r="7192" spans="1:9" x14ac:dyDescent="0.25">
      <c r="A7192">
        <v>1819</v>
      </c>
      <c r="B7192">
        <f>A7192+1</f>
        <v>1820</v>
      </c>
      <c r="C7192" t="s">
        <v>525</v>
      </c>
      <c r="D7192" t="s">
        <v>27</v>
      </c>
      <c r="E7192" s="208" t="s">
        <v>142</v>
      </c>
      <c r="F7192" t="s">
        <v>13</v>
      </c>
      <c r="G7192" s="18">
        <v>0</v>
      </c>
      <c r="H7192" t="s">
        <v>17</v>
      </c>
      <c r="I7192" t="s">
        <v>25</v>
      </c>
    </row>
    <row r="7193" spans="1:9" x14ac:dyDescent="0.25">
      <c r="A7193">
        <v>1819</v>
      </c>
      <c r="B7193">
        <f>A7193+1</f>
        <v>1820</v>
      </c>
      <c r="C7193" t="s">
        <v>525</v>
      </c>
      <c r="D7193" t="s">
        <v>27</v>
      </c>
      <c r="E7193" s="208" t="s">
        <v>124</v>
      </c>
      <c r="F7193" t="s">
        <v>13</v>
      </c>
      <c r="G7193" s="18">
        <v>0</v>
      </c>
      <c r="H7193" t="s">
        <v>17</v>
      </c>
      <c r="I7193" t="s">
        <v>25</v>
      </c>
    </row>
    <row r="7194" spans="1:9" x14ac:dyDescent="0.25">
      <c r="A7194">
        <v>1819</v>
      </c>
      <c r="B7194">
        <f>A7194+1</f>
        <v>1820</v>
      </c>
      <c r="C7194" t="s">
        <v>525</v>
      </c>
      <c r="D7194" t="s">
        <v>26</v>
      </c>
      <c r="E7194" s="208" t="s">
        <v>62</v>
      </c>
      <c r="F7194" t="s">
        <v>13</v>
      </c>
      <c r="G7194" s="18">
        <v>3042</v>
      </c>
      <c r="H7194" t="s">
        <v>25</v>
      </c>
      <c r="I7194" t="s">
        <v>17</v>
      </c>
    </row>
    <row r="7195" spans="1:9" x14ac:dyDescent="0.25">
      <c r="A7195">
        <v>1819</v>
      </c>
      <c r="B7195">
        <f>A7195+1</f>
        <v>1820</v>
      </c>
      <c r="C7195" t="s">
        <v>525</v>
      </c>
      <c r="D7195" t="s">
        <v>26</v>
      </c>
      <c r="E7195" s="208" t="s">
        <v>36</v>
      </c>
      <c r="F7195" t="s">
        <v>13</v>
      </c>
      <c r="G7195" s="18">
        <v>0</v>
      </c>
      <c r="H7195" t="s">
        <v>25</v>
      </c>
      <c r="I7195" t="s">
        <v>17</v>
      </c>
    </row>
    <row r="7196" spans="1:9" x14ac:dyDescent="0.25">
      <c r="A7196">
        <v>1819</v>
      </c>
      <c r="B7196">
        <f>A7196+1</f>
        <v>1820</v>
      </c>
      <c r="C7196" t="s">
        <v>525</v>
      </c>
      <c r="D7196" t="s">
        <v>26</v>
      </c>
      <c r="E7196" s="208" t="s">
        <v>35</v>
      </c>
      <c r="F7196" t="s">
        <v>13</v>
      </c>
      <c r="G7196" s="18">
        <v>0</v>
      </c>
      <c r="H7196" t="s">
        <v>25</v>
      </c>
      <c r="I7196" t="s">
        <v>17</v>
      </c>
    </row>
    <row r="7197" spans="1:9" x14ac:dyDescent="0.25">
      <c r="A7197">
        <v>1819</v>
      </c>
      <c r="B7197">
        <f>A7197+1</f>
        <v>1820</v>
      </c>
      <c r="C7197" t="s">
        <v>525</v>
      </c>
      <c r="D7197" t="s">
        <v>26</v>
      </c>
      <c r="E7197" s="208" t="s">
        <v>39</v>
      </c>
      <c r="F7197" t="s">
        <v>13</v>
      </c>
      <c r="G7197" s="18">
        <v>0</v>
      </c>
      <c r="H7197" t="s">
        <v>25</v>
      </c>
      <c r="I7197" t="s">
        <v>17</v>
      </c>
    </row>
    <row r="7198" spans="1:9" x14ac:dyDescent="0.25">
      <c r="A7198">
        <v>1819</v>
      </c>
      <c r="B7198">
        <f>A7198+1</f>
        <v>1820</v>
      </c>
      <c r="C7198" t="s">
        <v>525</v>
      </c>
      <c r="D7198" t="s">
        <v>26</v>
      </c>
      <c r="E7198" s="208" t="s">
        <v>99</v>
      </c>
      <c r="F7198" t="s">
        <v>13</v>
      </c>
      <c r="G7198" s="18">
        <v>0</v>
      </c>
      <c r="H7198" t="s">
        <v>25</v>
      </c>
      <c r="I7198" t="s">
        <v>17</v>
      </c>
    </row>
    <row r="7199" spans="1:9" x14ac:dyDescent="0.25">
      <c r="A7199">
        <v>1819</v>
      </c>
      <c r="B7199">
        <f>A7199+1</f>
        <v>1820</v>
      </c>
      <c r="C7199" t="s">
        <v>525</v>
      </c>
      <c r="D7199" t="s">
        <v>26</v>
      </c>
      <c r="E7199" s="208" t="s">
        <v>95</v>
      </c>
      <c r="F7199" t="s">
        <v>13</v>
      </c>
      <c r="G7199" s="18">
        <v>0</v>
      </c>
      <c r="H7199" t="s">
        <v>25</v>
      </c>
      <c r="I7199" t="s">
        <v>17</v>
      </c>
    </row>
    <row r="7200" spans="1:9" x14ac:dyDescent="0.25">
      <c r="A7200">
        <v>1819</v>
      </c>
      <c r="B7200">
        <f>A7200+1</f>
        <v>1820</v>
      </c>
      <c r="C7200" t="s">
        <v>525</v>
      </c>
      <c r="D7200" t="s">
        <v>26</v>
      </c>
      <c r="E7200" s="208" t="s">
        <v>94</v>
      </c>
      <c r="F7200" t="s">
        <v>13</v>
      </c>
      <c r="G7200" s="18">
        <v>0</v>
      </c>
      <c r="H7200" t="s">
        <v>25</v>
      </c>
      <c r="I7200" t="s">
        <v>17</v>
      </c>
    </row>
    <row r="7201" spans="1:9" x14ac:dyDescent="0.25">
      <c r="A7201">
        <v>1819</v>
      </c>
      <c r="B7201">
        <f>A7201+1</f>
        <v>1820</v>
      </c>
      <c r="C7201" t="s">
        <v>525</v>
      </c>
      <c r="D7201" t="s">
        <v>26</v>
      </c>
      <c r="E7201" s="208" t="s">
        <v>386</v>
      </c>
      <c r="F7201" t="s">
        <v>13</v>
      </c>
      <c r="G7201" s="18">
        <v>5330</v>
      </c>
      <c r="H7201" t="s">
        <v>25</v>
      </c>
      <c r="I7201" t="s">
        <v>17</v>
      </c>
    </row>
    <row r="7202" spans="1:9" x14ac:dyDescent="0.25">
      <c r="A7202">
        <v>1819</v>
      </c>
      <c r="B7202">
        <f>A7202+1</f>
        <v>1820</v>
      </c>
      <c r="C7202" t="s">
        <v>525</v>
      </c>
      <c r="D7202" t="s">
        <v>26</v>
      </c>
      <c r="E7202" s="208" t="s">
        <v>387</v>
      </c>
      <c r="F7202" t="s">
        <v>13</v>
      </c>
      <c r="G7202" s="18">
        <v>0</v>
      </c>
      <c r="H7202" t="s">
        <v>25</v>
      </c>
      <c r="I7202" t="s">
        <v>17</v>
      </c>
    </row>
    <row r="7203" spans="1:9" x14ac:dyDescent="0.25">
      <c r="A7203">
        <v>1819</v>
      </c>
      <c r="B7203">
        <f>A7203+1</f>
        <v>1820</v>
      </c>
      <c r="C7203" t="s">
        <v>525</v>
      </c>
      <c r="D7203" t="s">
        <v>26</v>
      </c>
      <c r="E7203" s="208" t="s">
        <v>388</v>
      </c>
      <c r="F7203" t="s">
        <v>13</v>
      </c>
      <c r="G7203" s="18">
        <v>118</v>
      </c>
      <c r="H7203" t="s">
        <v>25</v>
      </c>
      <c r="I7203" t="s">
        <v>17</v>
      </c>
    </row>
    <row r="7204" spans="1:9" x14ac:dyDescent="0.25">
      <c r="A7204">
        <v>1819</v>
      </c>
      <c r="B7204">
        <f>A7204+1</f>
        <v>1820</v>
      </c>
      <c r="C7204" t="s">
        <v>525</v>
      </c>
      <c r="D7204" t="s">
        <v>26</v>
      </c>
      <c r="E7204" s="208" t="s">
        <v>383</v>
      </c>
      <c r="F7204" t="s">
        <v>13</v>
      </c>
      <c r="G7204" s="18">
        <v>0</v>
      </c>
      <c r="H7204" t="s">
        <v>25</v>
      </c>
      <c r="I7204" t="s">
        <v>17</v>
      </c>
    </row>
    <row r="7205" spans="1:9" x14ac:dyDescent="0.25">
      <c r="A7205">
        <v>1819</v>
      </c>
      <c r="B7205">
        <f>A7205+1</f>
        <v>1820</v>
      </c>
      <c r="C7205" t="s">
        <v>525</v>
      </c>
      <c r="D7205" t="s">
        <v>26</v>
      </c>
      <c r="E7205" s="208" t="s">
        <v>384</v>
      </c>
      <c r="F7205" t="s">
        <v>13</v>
      </c>
      <c r="G7205" s="18">
        <v>0</v>
      </c>
      <c r="H7205" t="s">
        <v>25</v>
      </c>
      <c r="I7205" t="s">
        <v>17</v>
      </c>
    </row>
    <row r="7206" spans="1:9" x14ac:dyDescent="0.25">
      <c r="A7206">
        <v>1819</v>
      </c>
      <c r="B7206">
        <f>A7206+1</f>
        <v>1820</v>
      </c>
      <c r="C7206" t="s">
        <v>525</v>
      </c>
      <c r="D7206" t="s">
        <v>26</v>
      </c>
      <c r="E7206" s="208" t="s">
        <v>107</v>
      </c>
      <c r="F7206" t="s">
        <v>13</v>
      </c>
      <c r="G7206" s="18">
        <v>0</v>
      </c>
      <c r="H7206" t="s">
        <v>25</v>
      </c>
      <c r="I7206" t="s">
        <v>17</v>
      </c>
    </row>
    <row r="7207" spans="1:9" x14ac:dyDescent="0.25">
      <c r="A7207">
        <v>1819</v>
      </c>
      <c r="B7207">
        <f>A7207+1</f>
        <v>1820</v>
      </c>
      <c r="C7207" t="s">
        <v>525</v>
      </c>
      <c r="D7207" t="s">
        <v>26</v>
      </c>
      <c r="E7207" s="208" t="s">
        <v>101</v>
      </c>
      <c r="F7207" t="s">
        <v>13</v>
      </c>
      <c r="G7207" s="18">
        <v>0</v>
      </c>
      <c r="H7207" t="s">
        <v>25</v>
      </c>
      <c r="I7207" t="s">
        <v>17</v>
      </c>
    </row>
    <row r="7208" spans="1:9" x14ac:dyDescent="0.25">
      <c r="A7208">
        <v>1819</v>
      </c>
      <c r="B7208">
        <f>A7208+1</f>
        <v>1820</v>
      </c>
      <c r="C7208" t="s">
        <v>525</v>
      </c>
      <c r="D7208" t="s">
        <v>26</v>
      </c>
      <c r="E7208" s="208" t="s">
        <v>75</v>
      </c>
      <c r="F7208" t="s">
        <v>13</v>
      </c>
      <c r="G7208" s="18">
        <v>0</v>
      </c>
      <c r="H7208" t="s">
        <v>25</v>
      </c>
      <c r="I7208" t="s">
        <v>17</v>
      </c>
    </row>
    <row r="7209" spans="1:9" x14ac:dyDescent="0.25">
      <c r="A7209">
        <v>1819</v>
      </c>
      <c r="B7209">
        <f>A7209+1</f>
        <v>1820</v>
      </c>
      <c r="C7209" t="s">
        <v>525</v>
      </c>
      <c r="D7209" t="s">
        <v>26</v>
      </c>
      <c r="E7209" s="208" t="s">
        <v>330</v>
      </c>
      <c r="F7209" t="s">
        <v>13</v>
      </c>
      <c r="G7209" s="18">
        <v>330</v>
      </c>
      <c r="H7209" t="s">
        <v>25</v>
      </c>
      <c r="I7209" t="s">
        <v>17</v>
      </c>
    </row>
    <row r="7210" spans="1:9" x14ac:dyDescent="0.25">
      <c r="A7210">
        <v>1819</v>
      </c>
      <c r="B7210">
        <f>A7210+1</f>
        <v>1820</v>
      </c>
      <c r="C7210" t="s">
        <v>525</v>
      </c>
      <c r="D7210" t="s">
        <v>26</v>
      </c>
      <c r="E7210" s="208" t="s">
        <v>331</v>
      </c>
      <c r="F7210" t="s">
        <v>13</v>
      </c>
      <c r="G7210" s="18">
        <v>395</v>
      </c>
      <c r="H7210" t="s">
        <v>25</v>
      </c>
      <c r="I7210" t="s">
        <v>17</v>
      </c>
    </row>
    <row r="7211" spans="1:9" x14ac:dyDescent="0.25">
      <c r="A7211">
        <v>1819</v>
      </c>
      <c r="B7211">
        <f>A7211+1</f>
        <v>1820</v>
      </c>
      <c r="C7211" t="s">
        <v>525</v>
      </c>
      <c r="D7211" t="s">
        <v>26</v>
      </c>
      <c r="E7211" s="208" t="s">
        <v>332</v>
      </c>
      <c r="F7211" t="s">
        <v>13</v>
      </c>
      <c r="G7211" s="18">
        <v>42</v>
      </c>
      <c r="H7211" t="s">
        <v>25</v>
      </c>
      <c r="I7211" t="s">
        <v>17</v>
      </c>
    </row>
    <row r="7212" spans="1:9" x14ac:dyDescent="0.25">
      <c r="A7212">
        <v>1819</v>
      </c>
      <c r="B7212">
        <f>A7212+1</f>
        <v>1820</v>
      </c>
      <c r="C7212" t="s">
        <v>525</v>
      </c>
      <c r="D7212" t="s">
        <v>26</v>
      </c>
      <c r="E7212" s="208" t="s">
        <v>333</v>
      </c>
      <c r="F7212" t="s">
        <v>13</v>
      </c>
      <c r="G7212" s="18">
        <v>374</v>
      </c>
      <c r="H7212" t="s">
        <v>25</v>
      </c>
      <c r="I7212" t="s">
        <v>17</v>
      </c>
    </row>
    <row r="7213" spans="1:9" x14ac:dyDescent="0.25">
      <c r="A7213">
        <v>1819</v>
      </c>
      <c r="B7213">
        <f>A7213+1</f>
        <v>1820</v>
      </c>
      <c r="C7213" t="s">
        <v>525</v>
      </c>
      <c r="D7213" t="s">
        <v>26</v>
      </c>
      <c r="E7213" s="208" t="s">
        <v>113</v>
      </c>
      <c r="F7213" s="151" t="s">
        <v>486</v>
      </c>
      <c r="G7213" s="18">
        <v>209</v>
      </c>
      <c r="H7213" t="s">
        <v>22</v>
      </c>
      <c r="I7213" t="s">
        <v>17</v>
      </c>
    </row>
    <row r="7214" spans="1:9" x14ac:dyDescent="0.25">
      <c r="A7214">
        <v>1819</v>
      </c>
      <c r="B7214">
        <f>A7214+1</f>
        <v>1820</v>
      </c>
      <c r="C7214" t="s">
        <v>525</v>
      </c>
      <c r="D7214" t="s">
        <v>26</v>
      </c>
      <c r="E7214" s="208" t="s">
        <v>112</v>
      </c>
      <c r="F7214" s="151" t="s">
        <v>486</v>
      </c>
      <c r="G7214" s="18">
        <v>113</v>
      </c>
      <c r="H7214" t="s">
        <v>22</v>
      </c>
      <c r="I7214" t="s">
        <v>17</v>
      </c>
    </row>
    <row r="7215" spans="1:9" x14ac:dyDescent="0.25">
      <c r="A7215">
        <v>1819</v>
      </c>
      <c r="B7215">
        <f>A7215+1</f>
        <v>1820</v>
      </c>
      <c r="C7215" t="s">
        <v>525</v>
      </c>
      <c r="D7215" t="s">
        <v>27</v>
      </c>
      <c r="E7215" s="208" t="s">
        <v>155</v>
      </c>
      <c r="F7215" t="s">
        <v>14</v>
      </c>
      <c r="G7215" s="18">
        <v>88307</v>
      </c>
      <c r="H7215" t="s">
        <v>17</v>
      </c>
      <c r="I7215" s="151" t="s">
        <v>562</v>
      </c>
    </row>
    <row r="7216" spans="1:9" x14ac:dyDescent="0.25">
      <c r="A7216">
        <v>1819</v>
      </c>
      <c r="B7216">
        <f>A7216+1</f>
        <v>1820</v>
      </c>
      <c r="C7216" t="s">
        <v>525</v>
      </c>
      <c r="D7216" t="s">
        <v>27</v>
      </c>
      <c r="E7216" s="208" t="s">
        <v>156</v>
      </c>
      <c r="F7216" t="s">
        <v>14</v>
      </c>
      <c r="G7216" s="18">
        <v>9173</v>
      </c>
      <c r="H7216" t="s">
        <v>17</v>
      </c>
      <c r="I7216" s="151" t="s">
        <v>562</v>
      </c>
    </row>
    <row r="7217" spans="1:9" x14ac:dyDescent="0.25">
      <c r="A7217">
        <v>1819</v>
      </c>
      <c r="B7217">
        <f>A7217+1</f>
        <v>1820</v>
      </c>
      <c r="C7217" t="s">
        <v>525</v>
      </c>
      <c r="D7217" t="s">
        <v>27</v>
      </c>
      <c r="E7217" s="208" t="s">
        <v>154</v>
      </c>
      <c r="F7217" t="s">
        <v>14</v>
      </c>
      <c r="G7217" s="18">
        <v>970</v>
      </c>
      <c r="H7217" t="s">
        <v>17</v>
      </c>
      <c r="I7217" s="151" t="s">
        <v>562</v>
      </c>
    </row>
    <row r="7218" spans="1:9" x14ac:dyDescent="0.25">
      <c r="A7218">
        <v>1819</v>
      </c>
      <c r="B7218">
        <f>A7218+1</f>
        <v>1820</v>
      </c>
      <c r="C7218" t="s">
        <v>525</v>
      </c>
      <c r="D7218" t="s">
        <v>27</v>
      </c>
      <c r="E7218" s="208" t="s">
        <v>150</v>
      </c>
      <c r="F7218" t="s">
        <v>14</v>
      </c>
      <c r="G7218" s="18">
        <v>35193</v>
      </c>
      <c r="H7218" t="s">
        <v>17</v>
      </c>
      <c r="I7218" s="151" t="s">
        <v>562</v>
      </c>
    </row>
    <row r="7219" spans="1:9" x14ac:dyDescent="0.25">
      <c r="A7219">
        <v>1819</v>
      </c>
      <c r="B7219">
        <f>A7219+1</f>
        <v>1820</v>
      </c>
      <c r="C7219" t="s">
        <v>525</v>
      </c>
      <c r="D7219" t="s">
        <v>27</v>
      </c>
      <c r="E7219" s="208" t="s">
        <v>148</v>
      </c>
      <c r="F7219" t="s">
        <v>14</v>
      </c>
      <c r="G7219" s="18">
        <v>888</v>
      </c>
      <c r="H7219" t="s">
        <v>17</v>
      </c>
      <c r="I7219" s="151" t="s">
        <v>562</v>
      </c>
    </row>
    <row r="7220" spans="1:9" x14ac:dyDescent="0.25">
      <c r="A7220">
        <v>1819</v>
      </c>
      <c r="B7220">
        <f>A7220+1</f>
        <v>1820</v>
      </c>
      <c r="C7220" t="s">
        <v>525</v>
      </c>
      <c r="D7220" t="s">
        <v>27</v>
      </c>
      <c r="E7220" s="208" t="s">
        <v>147</v>
      </c>
      <c r="F7220" t="s">
        <v>14</v>
      </c>
      <c r="G7220" s="18">
        <v>0</v>
      </c>
      <c r="H7220" t="s">
        <v>17</v>
      </c>
      <c r="I7220" s="151" t="s">
        <v>562</v>
      </c>
    </row>
    <row r="7221" spans="1:9" x14ac:dyDescent="0.25">
      <c r="A7221">
        <v>1819</v>
      </c>
      <c r="B7221">
        <f>A7221+1</f>
        <v>1820</v>
      </c>
      <c r="C7221" t="s">
        <v>525</v>
      </c>
      <c r="D7221" t="s">
        <v>27</v>
      </c>
      <c r="E7221" s="208" t="s">
        <v>314</v>
      </c>
      <c r="F7221" t="s">
        <v>14</v>
      </c>
      <c r="G7221" s="18">
        <v>40</v>
      </c>
      <c r="H7221" t="s">
        <v>17</v>
      </c>
      <c r="I7221" s="151" t="s">
        <v>562</v>
      </c>
    </row>
    <row r="7222" spans="1:9" x14ac:dyDescent="0.25">
      <c r="A7222">
        <v>1819</v>
      </c>
      <c r="B7222">
        <f>A7222+1</f>
        <v>1820</v>
      </c>
      <c r="C7222" t="s">
        <v>525</v>
      </c>
      <c r="D7222" t="s">
        <v>27</v>
      </c>
      <c r="E7222" s="208" t="s">
        <v>139</v>
      </c>
      <c r="F7222" t="s">
        <v>14</v>
      </c>
      <c r="G7222" s="18">
        <v>239</v>
      </c>
      <c r="H7222" t="s">
        <v>17</v>
      </c>
      <c r="I7222" s="151" t="s">
        <v>562</v>
      </c>
    </row>
    <row r="7223" spans="1:9" x14ac:dyDescent="0.25">
      <c r="A7223">
        <v>1819</v>
      </c>
      <c r="B7223">
        <f>A7223+1</f>
        <v>1820</v>
      </c>
      <c r="C7223" t="s">
        <v>525</v>
      </c>
      <c r="D7223" t="s">
        <v>27</v>
      </c>
      <c r="E7223" s="208" t="s">
        <v>132</v>
      </c>
      <c r="F7223" t="s">
        <v>14</v>
      </c>
      <c r="G7223" s="18">
        <v>598</v>
      </c>
      <c r="H7223" t="s">
        <v>17</v>
      </c>
      <c r="I7223" s="151" t="s">
        <v>562</v>
      </c>
    </row>
    <row r="7224" spans="1:9" x14ac:dyDescent="0.25">
      <c r="A7224">
        <v>1819</v>
      </c>
      <c r="B7224">
        <f>A7224+1</f>
        <v>1820</v>
      </c>
      <c r="C7224" t="s">
        <v>525</v>
      </c>
      <c r="D7224" t="s">
        <v>27</v>
      </c>
      <c r="E7224" s="208" t="s">
        <v>130</v>
      </c>
      <c r="F7224" t="s">
        <v>14</v>
      </c>
      <c r="G7224" s="18">
        <v>299</v>
      </c>
      <c r="H7224" t="s">
        <v>17</v>
      </c>
      <c r="I7224" s="151" t="s">
        <v>562</v>
      </c>
    </row>
    <row r="7225" spans="1:9" x14ac:dyDescent="0.25">
      <c r="A7225">
        <v>1819</v>
      </c>
      <c r="B7225">
        <f>A7225+1</f>
        <v>1820</v>
      </c>
      <c r="C7225" t="s">
        <v>525</v>
      </c>
      <c r="D7225" t="s">
        <v>27</v>
      </c>
      <c r="E7225" s="208" t="s">
        <v>144</v>
      </c>
      <c r="F7225" t="s">
        <v>14</v>
      </c>
      <c r="G7225" s="18">
        <v>305</v>
      </c>
      <c r="H7225" t="s">
        <v>17</v>
      </c>
      <c r="I7225" s="151" t="s">
        <v>562</v>
      </c>
    </row>
    <row r="7226" spans="1:9" x14ac:dyDescent="0.25">
      <c r="A7226">
        <v>1819</v>
      </c>
      <c r="B7226">
        <f>A7226+1</f>
        <v>1820</v>
      </c>
      <c r="C7226" t="s">
        <v>525</v>
      </c>
      <c r="D7226" t="s">
        <v>27</v>
      </c>
      <c r="E7226" s="208" t="s">
        <v>142</v>
      </c>
      <c r="F7226" t="s">
        <v>14</v>
      </c>
      <c r="G7226" s="18">
        <v>11562</v>
      </c>
      <c r="H7226" t="s">
        <v>17</v>
      </c>
      <c r="I7226" s="151" t="s">
        <v>562</v>
      </c>
    </row>
    <row r="7227" spans="1:9" x14ac:dyDescent="0.25">
      <c r="A7227">
        <v>1819</v>
      </c>
      <c r="B7227">
        <f>A7227+1</f>
        <v>1820</v>
      </c>
      <c r="C7227" t="s">
        <v>525</v>
      </c>
      <c r="D7227" t="s">
        <v>27</v>
      </c>
      <c r="E7227" s="208" t="s">
        <v>124</v>
      </c>
      <c r="F7227" t="s">
        <v>14</v>
      </c>
      <c r="G7227" s="18">
        <v>8693865</v>
      </c>
      <c r="H7227" t="s">
        <v>17</v>
      </c>
      <c r="I7227" s="151" t="s">
        <v>562</v>
      </c>
    </row>
    <row r="7228" spans="1:9" x14ac:dyDescent="0.25">
      <c r="A7228">
        <v>1819</v>
      </c>
      <c r="B7228">
        <f>A7228+1</f>
        <v>1820</v>
      </c>
      <c r="C7228" t="s">
        <v>525</v>
      </c>
      <c r="D7228" t="s">
        <v>26</v>
      </c>
      <c r="E7228" s="208" t="s">
        <v>62</v>
      </c>
      <c r="F7228" t="s">
        <v>14</v>
      </c>
      <c r="G7228" s="18">
        <v>10607</v>
      </c>
      <c r="H7228" s="151" t="s">
        <v>563</v>
      </c>
      <c r="I7228" t="s">
        <v>17</v>
      </c>
    </row>
    <row r="7229" spans="1:9" x14ac:dyDescent="0.25">
      <c r="A7229">
        <v>1819</v>
      </c>
      <c r="B7229">
        <f>A7229+1</f>
        <v>1820</v>
      </c>
      <c r="C7229" t="s">
        <v>525</v>
      </c>
      <c r="D7229" t="s">
        <v>26</v>
      </c>
      <c r="E7229" s="208" t="s">
        <v>36</v>
      </c>
      <c r="F7229" t="s">
        <v>14</v>
      </c>
      <c r="G7229" s="18">
        <v>652</v>
      </c>
      <c r="H7229" s="151" t="s">
        <v>563</v>
      </c>
      <c r="I7229" t="s">
        <v>17</v>
      </c>
    </row>
    <row r="7230" spans="1:9" x14ac:dyDescent="0.25">
      <c r="A7230">
        <v>1819</v>
      </c>
      <c r="B7230">
        <f>A7230+1</f>
        <v>1820</v>
      </c>
      <c r="C7230" t="s">
        <v>525</v>
      </c>
      <c r="D7230" t="s">
        <v>26</v>
      </c>
      <c r="E7230" s="208" t="s">
        <v>35</v>
      </c>
      <c r="F7230" t="s">
        <v>14</v>
      </c>
      <c r="G7230" s="18">
        <v>0</v>
      </c>
      <c r="H7230" s="151" t="s">
        <v>563</v>
      </c>
      <c r="I7230" t="s">
        <v>17</v>
      </c>
    </row>
    <row r="7231" spans="1:9" x14ac:dyDescent="0.25">
      <c r="A7231">
        <v>1819</v>
      </c>
      <c r="B7231">
        <f>A7231+1</f>
        <v>1820</v>
      </c>
      <c r="C7231" t="s">
        <v>525</v>
      </c>
      <c r="D7231" t="s">
        <v>26</v>
      </c>
      <c r="E7231" s="208" t="s">
        <v>39</v>
      </c>
      <c r="F7231" t="s">
        <v>14</v>
      </c>
      <c r="G7231" s="18">
        <v>155</v>
      </c>
      <c r="H7231" s="151" t="s">
        <v>563</v>
      </c>
      <c r="I7231" t="s">
        <v>17</v>
      </c>
    </row>
    <row r="7232" spans="1:9" x14ac:dyDescent="0.25">
      <c r="A7232">
        <v>1819</v>
      </c>
      <c r="B7232">
        <f>A7232+1</f>
        <v>1820</v>
      </c>
      <c r="C7232" t="s">
        <v>525</v>
      </c>
      <c r="D7232" t="s">
        <v>26</v>
      </c>
      <c r="E7232" s="208" t="s">
        <v>99</v>
      </c>
      <c r="F7232" t="s">
        <v>14</v>
      </c>
      <c r="G7232" s="18">
        <v>232</v>
      </c>
      <c r="H7232" s="151" t="s">
        <v>563</v>
      </c>
      <c r="I7232" t="s">
        <v>17</v>
      </c>
    </row>
    <row r="7233" spans="1:9" x14ac:dyDescent="0.25">
      <c r="A7233">
        <v>1819</v>
      </c>
      <c r="B7233">
        <f>A7233+1</f>
        <v>1820</v>
      </c>
      <c r="C7233" t="s">
        <v>525</v>
      </c>
      <c r="D7233" t="s">
        <v>26</v>
      </c>
      <c r="E7233" s="208" t="s">
        <v>95</v>
      </c>
      <c r="F7233" t="s">
        <v>14</v>
      </c>
      <c r="G7233" s="18">
        <v>1187</v>
      </c>
      <c r="H7233" s="151" t="s">
        <v>563</v>
      </c>
      <c r="I7233" t="s">
        <v>17</v>
      </c>
    </row>
    <row r="7234" spans="1:9" x14ac:dyDescent="0.25">
      <c r="A7234">
        <v>1819</v>
      </c>
      <c r="B7234">
        <f>A7234+1</f>
        <v>1820</v>
      </c>
      <c r="C7234" t="s">
        <v>525</v>
      </c>
      <c r="D7234" t="s">
        <v>26</v>
      </c>
      <c r="E7234" s="208" t="s">
        <v>94</v>
      </c>
      <c r="F7234" t="s">
        <v>14</v>
      </c>
      <c r="G7234" s="18">
        <v>1219</v>
      </c>
      <c r="H7234" s="151" t="s">
        <v>563</v>
      </c>
      <c r="I7234" t="s">
        <v>17</v>
      </c>
    </row>
    <row r="7235" spans="1:9" x14ac:dyDescent="0.25">
      <c r="A7235">
        <v>1819</v>
      </c>
      <c r="B7235">
        <f>A7235+1</f>
        <v>1820</v>
      </c>
      <c r="C7235" t="s">
        <v>525</v>
      </c>
      <c r="D7235" t="s">
        <v>26</v>
      </c>
      <c r="E7235" s="208" t="s">
        <v>386</v>
      </c>
      <c r="F7235" t="s">
        <v>14</v>
      </c>
      <c r="G7235" s="18">
        <v>8510</v>
      </c>
      <c r="H7235" s="151" t="s">
        <v>563</v>
      </c>
      <c r="I7235" t="s">
        <v>17</v>
      </c>
    </row>
    <row r="7236" spans="1:9" x14ac:dyDescent="0.25">
      <c r="A7236">
        <v>1819</v>
      </c>
      <c r="B7236">
        <f>A7236+1</f>
        <v>1820</v>
      </c>
      <c r="C7236" t="s">
        <v>525</v>
      </c>
      <c r="D7236" t="s">
        <v>26</v>
      </c>
      <c r="E7236" s="208" t="s">
        <v>387</v>
      </c>
      <c r="F7236" t="s">
        <v>14</v>
      </c>
      <c r="G7236" s="18">
        <v>25</v>
      </c>
      <c r="H7236" s="151" t="s">
        <v>563</v>
      </c>
      <c r="I7236" t="s">
        <v>17</v>
      </c>
    </row>
    <row r="7237" spans="1:9" x14ac:dyDescent="0.25">
      <c r="A7237">
        <v>1819</v>
      </c>
      <c r="B7237">
        <f>A7237+1</f>
        <v>1820</v>
      </c>
      <c r="C7237" t="s">
        <v>525</v>
      </c>
      <c r="D7237" t="s">
        <v>26</v>
      </c>
      <c r="E7237" s="208" t="s">
        <v>388</v>
      </c>
      <c r="F7237" t="s">
        <v>14</v>
      </c>
      <c r="G7237" s="18">
        <v>1780</v>
      </c>
      <c r="H7237" s="151" t="s">
        <v>563</v>
      </c>
      <c r="I7237" t="s">
        <v>17</v>
      </c>
    </row>
    <row r="7238" spans="1:9" x14ac:dyDescent="0.25">
      <c r="A7238">
        <v>1819</v>
      </c>
      <c r="B7238">
        <f>A7238+1</f>
        <v>1820</v>
      </c>
      <c r="C7238" t="s">
        <v>525</v>
      </c>
      <c r="D7238" t="s">
        <v>26</v>
      </c>
      <c r="E7238" s="208" t="s">
        <v>383</v>
      </c>
      <c r="F7238" t="s">
        <v>14</v>
      </c>
      <c r="G7238" s="18">
        <v>170</v>
      </c>
      <c r="H7238" s="151" t="s">
        <v>563</v>
      </c>
      <c r="I7238" t="s">
        <v>17</v>
      </c>
    </row>
    <row r="7239" spans="1:9" x14ac:dyDescent="0.25">
      <c r="A7239">
        <v>1819</v>
      </c>
      <c r="B7239">
        <f>A7239+1</f>
        <v>1820</v>
      </c>
      <c r="C7239" t="s">
        <v>525</v>
      </c>
      <c r="D7239" t="s">
        <v>26</v>
      </c>
      <c r="E7239" s="208" t="s">
        <v>384</v>
      </c>
      <c r="F7239" t="s">
        <v>14</v>
      </c>
      <c r="G7239" s="18">
        <v>916</v>
      </c>
      <c r="H7239" s="151" t="s">
        <v>563</v>
      </c>
      <c r="I7239" t="s">
        <v>17</v>
      </c>
    </row>
    <row r="7240" spans="1:9" x14ac:dyDescent="0.25">
      <c r="A7240">
        <v>1819</v>
      </c>
      <c r="B7240">
        <f>A7240+1</f>
        <v>1820</v>
      </c>
      <c r="C7240" t="s">
        <v>525</v>
      </c>
      <c r="D7240" t="s">
        <v>26</v>
      </c>
      <c r="E7240" s="208" t="s">
        <v>107</v>
      </c>
      <c r="F7240" t="s">
        <v>14</v>
      </c>
      <c r="G7240" s="18">
        <v>4513484</v>
      </c>
      <c r="H7240" s="151" t="s">
        <v>563</v>
      </c>
      <c r="I7240" t="s">
        <v>17</v>
      </c>
    </row>
    <row r="7241" spans="1:9" x14ac:dyDescent="0.25">
      <c r="A7241">
        <v>1819</v>
      </c>
      <c r="B7241">
        <f>A7241+1</f>
        <v>1820</v>
      </c>
      <c r="C7241" t="s">
        <v>525</v>
      </c>
      <c r="D7241" t="s">
        <v>26</v>
      </c>
      <c r="E7241" s="208" t="s">
        <v>101</v>
      </c>
      <c r="F7241" t="s">
        <v>14</v>
      </c>
      <c r="G7241" s="18">
        <v>5293940</v>
      </c>
      <c r="H7241" s="151" t="s">
        <v>563</v>
      </c>
      <c r="I7241" t="s">
        <v>17</v>
      </c>
    </row>
    <row r="7242" spans="1:9" x14ac:dyDescent="0.25">
      <c r="A7242">
        <v>1819</v>
      </c>
      <c r="B7242">
        <f>A7242+1</f>
        <v>1820</v>
      </c>
      <c r="C7242" t="s">
        <v>525</v>
      </c>
      <c r="D7242" t="s">
        <v>26</v>
      </c>
      <c r="E7242" s="208" t="s">
        <v>75</v>
      </c>
      <c r="F7242" t="s">
        <v>14</v>
      </c>
      <c r="G7242" s="18">
        <v>4633164</v>
      </c>
      <c r="H7242" s="151" t="s">
        <v>563</v>
      </c>
      <c r="I7242" t="s">
        <v>17</v>
      </c>
    </row>
    <row r="7243" spans="1:9" x14ac:dyDescent="0.25">
      <c r="A7243">
        <v>1819</v>
      </c>
      <c r="B7243">
        <f>A7243+1</f>
        <v>1820</v>
      </c>
      <c r="C7243" t="s">
        <v>525</v>
      </c>
      <c r="D7243" t="s">
        <v>26</v>
      </c>
      <c r="E7243" s="208" t="s">
        <v>330</v>
      </c>
      <c r="F7243" t="s">
        <v>14</v>
      </c>
      <c r="G7243" s="18">
        <v>337</v>
      </c>
      <c r="H7243" s="151" t="s">
        <v>563</v>
      </c>
      <c r="I7243" t="s">
        <v>17</v>
      </c>
    </row>
    <row r="7244" spans="1:9" x14ac:dyDescent="0.25">
      <c r="A7244">
        <v>1819</v>
      </c>
      <c r="B7244">
        <f>A7244+1</f>
        <v>1820</v>
      </c>
      <c r="C7244" t="s">
        <v>525</v>
      </c>
      <c r="D7244" t="s">
        <v>26</v>
      </c>
      <c r="E7244" s="208" t="s">
        <v>331</v>
      </c>
      <c r="F7244" t="s">
        <v>14</v>
      </c>
      <c r="G7244" s="18">
        <v>395</v>
      </c>
      <c r="H7244" s="151" t="s">
        <v>563</v>
      </c>
      <c r="I7244" t="s">
        <v>17</v>
      </c>
    </row>
    <row r="7245" spans="1:9" x14ac:dyDescent="0.25">
      <c r="A7245">
        <v>1819</v>
      </c>
      <c r="B7245">
        <f>A7245+1</f>
        <v>1820</v>
      </c>
      <c r="C7245" t="s">
        <v>525</v>
      </c>
      <c r="D7245" t="s">
        <v>26</v>
      </c>
      <c r="E7245" s="208" t="s">
        <v>332</v>
      </c>
      <c r="F7245" t="s">
        <v>14</v>
      </c>
      <c r="G7245" s="18">
        <v>42</v>
      </c>
      <c r="H7245" s="151" t="s">
        <v>563</v>
      </c>
      <c r="I7245" t="s">
        <v>17</v>
      </c>
    </row>
    <row r="7246" spans="1:9" x14ac:dyDescent="0.25">
      <c r="A7246">
        <v>1819</v>
      </c>
      <c r="B7246">
        <f>A7246+1</f>
        <v>1820</v>
      </c>
      <c r="C7246" t="s">
        <v>525</v>
      </c>
      <c r="D7246" t="s">
        <v>26</v>
      </c>
      <c r="E7246" s="208" t="s">
        <v>333</v>
      </c>
      <c r="F7246" t="s">
        <v>14</v>
      </c>
      <c r="G7246" s="18">
        <v>413</v>
      </c>
      <c r="H7246" s="151" t="s">
        <v>563</v>
      </c>
      <c r="I7246" t="s">
        <v>17</v>
      </c>
    </row>
    <row r="7247" spans="1:9" x14ac:dyDescent="0.25">
      <c r="A7247">
        <v>1819</v>
      </c>
      <c r="B7247">
        <f>A7247+1</f>
        <v>1820</v>
      </c>
      <c r="C7247" t="s">
        <v>525</v>
      </c>
      <c r="D7247" t="s">
        <v>26</v>
      </c>
      <c r="E7247" s="208" t="s">
        <v>493</v>
      </c>
      <c r="F7247" t="s">
        <v>14</v>
      </c>
      <c r="G7247" s="18">
        <v>6646</v>
      </c>
      <c r="H7247" s="151" t="s">
        <v>563</v>
      </c>
      <c r="I7247" t="s">
        <v>17</v>
      </c>
    </row>
    <row r="7248" spans="1:9" x14ac:dyDescent="0.25">
      <c r="A7248">
        <v>1819</v>
      </c>
      <c r="B7248">
        <f>A7248+1</f>
        <v>1820</v>
      </c>
      <c r="C7248" t="s">
        <v>525</v>
      </c>
      <c r="D7248" t="s">
        <v>26</v>
      </c>
      <c r="E7248" s="208" t="s">
        <v>113</v>
      </c>
      <c r="F7248" t="s">
        <v>14</v>
      </c>
      <c r="G7248" s="18">
        <v>334</v>
      </c>
      <c r="H7248" s="151" t="s">
        <v>563</v>
      </c>
      <c r="I7248" t="s">
        <v>17</v>
      </c>
    </row>
    <row r="7249" spans="1:9" x14ac:dyDescent="0.25">
      <c r="A7249">
        <v>1819</v>
      </c>
      <c r="B7249">
        <f>A7249+1</f>
        <v>1820</v>
      </c>
      <c r="C7249" t="s">
        <v>525</v>
      </c>
      <c r="D7249" t="s">
        <v>26</v>
      </c>
      <c r="E7249" s="208" t="s">
        <v>112</v>
      </c>
      <c r="F7249" t="s">
        <v>14</v>
      </c>
      <c r="G7249" s="18">
        <v>621</v>
      </c>
      <c r="H7249" s="151" t="s">
        <v>563</v>
      </c>
      <c r="I7249" t="s">
        <v>17</v>
      </c>
    </row>
    <row r="7250" spans="1:9" x14ac:dyDescent="0.25">
      <c r="A7250">
        <v>1819</v>
      </c>
      <c r="B7250">
        <f>A7250+1</f>
        <v>1820</v>
      </c>
      <c r="C7250" t="s">
        <v>525</v>
      </c>
      <c r="D7250" t="s">
        <v>26</v>
      </c>
      <c r="E7250" s="208" t="s">
        <v>494</v>
      </c>
      <c r="F7250" t="s">
        <v>14</v>
      </c>
      <c r="G7250" s="18">
        <v>420</v>
      </c>
      <c r="H7250" s="151" t="s">
        <v>563</v>
      </c>
      <c r="I7250" t="s">
        <v>17</v>
      </c>
    </row>
    <row r="7251" spans="1:9" x14ac:dyDescent="0.25">
      <c r="A7251">
        <v>1819</v>
      </c>
      <c r="B7251">
        <f>A7251+1</f>
        <v>1820</v>
      </c>
      <c r="C7251" t="s">
        <v>525</v>
      </c>
      <c r="D7251" t="s">
        <v>26</v>
      </c>
      <c r="E7251" s="208" t="s">
        <v>495</v>
      </c>
      <c r="F7251" t="s">
        <v>14</v>
      </c>
      <c r="G7251" s="18">
        <v>82</v>
      </c>
      <c r="H7251" s="151" t="s">
        <v>563</v>
      </c>
      <c r="I7251" t="s">
        <v>17</v>
      </c>
    </row>
    <row r="7252" spans="1:9" x14ac:dyDescent="0.25">
      <c r="A7252">
        <v>1819</v>
      </c>
      <c r="B7252">
        <f>A7252+1</f>
        <v>1820</v>
      </c>
      <c r="C7252" t="s">
        <v>525</v>
      </c>
      <c r="D7252" t="s">
        <v>26</v>
      </c>
      <c r="E7252" s="208" t="s">
        <v>109</v>
      </c>
      <c r="F7252" t="s">
        <v>14</v>
      </c>
      <c r="G7252" s="18">
        <v>2592</v>
      </c>
      <c r="H7252" s="151" t="s">
        <v>563</v>
      </c>
      <c r="I7252" t="s">
        <v>17</v>
      </c>
    </row>
    <row r="7253" spans="1:9" x14ac:dyDescent="0.25">
      <c r="A7253">
        <v>1819</v>
      </c>
      <c r="B7253">
        <f>A7253+1</f>
        <v>1820</v>
      </c>
      <c r="C7253" t="s">
        <v>525</v>
      </c>
      <c r="D7253" t="s">
        <v>26</v>
      </c>
      <c r="E7253" s="208" t="s">
        <v>496</v>
      </c>
      <c r="F7253" t="s">
        <v>14</v>
      </c>
      <c r="G7253" s="18">
        <v>8361</v>
      </c>
      <c r="H7253" s="151" t="s">
        <v>563</v>
      </c>
      <c r="I7253" t="s">
        <v>17</v>
      </c>
    </row>
    <row r="7254" spans="1:9" x14ac:dyDescent="0.25">
      <c r="A7254">
        <v>1819</v>
      </c>
      <c r="B7254">
        <f>A7254+1</f>
        <v>1820</v>
      </c>
      <c r="C7254" t="s">
        <v>525</v>
      </c>
      <c r="D7254" t="s">
        <v>26</v>
      </c>
      <c r="E7254" s="208" t="s">
        <v>28</v>
      </c>
      <c r="F7254" t="s">
        <v>14</v>
      </c>
      <c r="G7254" s="18">
        <v>2684</v>
      </c>
      <c r="H7254" s="151" t="s">
        <v>563</v>
      </c>
      <c r="I7254" t="s">
        <v>17</v>
      </c>
    </row>
    <row r="7255" spans="1:9" x14ac:dyDescent="0.25">
      <c r="A7255">
        <v>1819</v>
      </c>
      <c r="B7255">
        <f>A7255+1</f>
        <v>1820</v>
      </c>
      <c r="C7255" t="s">
        <v>525</v>
      </c>
      <c r="D7255" t="s">
        <v>26</v>
      </c>
      <c r="E7255" s="208" t="s">
        <v>89</v>
      </c>
      <c r="F7255" t="s">
        <v>14</v>
      </c>
      <c r="G7255" s="18">
        <v>3417</v>
      </c>
      <c r="H7255" s="151" t="s">
        <v>563</v>
      </c>
      <c r="I7255" t="s">
        <v>17</v>
      </c>
    </row>
    <row r="7256" spans="1:9" x14ac:dyDescent="0.25">
      <c r="A7256">
        <v>1819</v>
      </c>
      <c r="B7256">
        <f>A7256+1</f>
        <v>1820</v>
      </c>
      <c r="C7256" t="s">
        <v>525</v>
      </c>
      <c r="D7256" t="s">
        <v>26</v>
      </c>
      <c r="E7256" s="208" t="s">
        <v>45</v>
      </c>
      <c r="F7256" t="s">
        <v>14</v>
      </c>
      <c r="G7256" s="18">
        <v>4003</v>
      </c>
      <c r="H7256" s="151" t="s">
        <v>563</v>
      </c>
      <c r="I7256" t="s">
        <v>17</v>
      </c>
    </row>
    <row r="7257" spans="1:9" x14ac:dyDescent="0.25">
      <c r="A7257">
        <v>1819</v>
      </c>
      <c r="B7257">
        <f>A7257+1</f>
        <v>1820</v>
      </c>
      <c r="C7257" t="s">
        <v>525</v>
      </c>
      <c r="D7257" t="s">
        <v>26</v>
      </c>
      <c r="E7257" s="208" t="s">
        <v>392</v>
      </c>
      <c r="F7257" t="s">
        <v>14</v>
      </c>
      <c r="G7257" s="18">
        <v>0</v>
      </c>
      <c r="H7257" s="151" t="s">
        <v>563</v>
      </c>
      <c r="I7257" t="s">
        <v>17</v>
      </c>
    </row>
    <row r="7258" spans="1:9" x14ac:dyDescent="0.25">
      <c r="A7258">
        <v>1819</v>
      </c>
      <c r="B7258">
        <f>A7258+1</f>
        <v>1820</v>
      </c>
      <c r="C7258" t="s">
        <v>525</v>
      </c>
      <c r="D7258" t="s">
        <v>26</v>
      </c>
      <c r="E7258" s="208" t="s">
        <v>102</v>
      </c>
      <c r="F7258" t="s">
        <v>14</v>
      </c>
      <c r="G7258" s="18">
        <v>1807</v>
      </c>
      <c r="H7258" s="151" t="s">
        <v>563</v>
      </c>
      <c r="I7258" t="s">
        <v>17</v>
      </c>
    </row>
    <row r="7259" spans="1:9" x14ac:dyDescent="0.25">
      <c r="A7259">
        <v>1819</v>
      </c>
      <c r="B7259">
        <f>A7259+1</f>
        <v>1820</v>
      </c>
      <c r="C7259" t="s">
        <v>525</v>
      </c>
      <c r="D7259" t="s">
        <v>26</v>
      </c>
      <c r="E7259" s="208" t="s">
        <v>48</v>
      </c>
      <c r="F7259" t="s">
        <v>14</v>
      </c>
      <c r="G7259" s="18">
        <v>1707</v>
      </c>
      <c r="H7259" s="151" t="s">
        <v>563</v>
      </c>
      <c r="I7259" t="s">
        <v>17</v>
      </c>
    </row>
    <row r="7260" spans="1:9" x14ac:dyDescent="0.25">
      <c r="A7260">
        <v>1819</v>
      </c>
      <c r="B7260">
        <f>A7260+1</f>
        <v>1820</v>
      </c>
      <c r="C7260" t="s">
        <v>525</v>
      </c>
      <c r="D7260" t="s">
        <v>26</v>
      </c>
      <c r="E7260" s="208" t="s">
        <v>110</v>
      </c>
      <c r="F7260" t="s">
        <v>14</v>
      </c>
      <c r="G7260" s="18">
        <v>572</v>
      </c>
      <c r="H7260" s="151" t="s">
        <v>563</v>
      </c>
      <c r="I7260" t="s">
        <v>17</v>
      </c>
    </row>
    <row r="7261" spans="1:9" x14ac:dyDescent="0.25">
      <c r="A7261">
        <v>1819</v>
      </c>
      <c r="B7261">
        <f>A7261+1</f>
        <v>1820</v>
      </c>
      <c r="C7261" t="s">
        <v>525</v>
      </c>
      <c r="D7261" t="s">
        <v>27</v>
      </c>
      <c r="E7261" s="208" t="s">
        <v>155</v>
      </c>
      <c r="F7261" t="s">
        <v>15</v>
      </c>
      <c r="G7261" s="18">
        <v>115065</v>
      </c>
      <c r="H7261" t="s">
        <v>561</v>
      </c>
      <c r="I7261" s="151" t="s">
        <v>562</v>
      </c>
    </row>
    <row r="7262" spans="1:9" x14ac:dyDescent="0.25">
      <c r="A7262">
        <v>1819</v>
      </c>
      <c r="B7262">
        <f>A7262+1</f>
        <v>1820</v>
      </c>
      <c r="C7262" t="s">
        <v>525</v>
      </c>
      <c r="D7262" t="s">
        <v>27</v>
      </c>
      <c r="E7262" s="208" t="s">
        <v>156</v>
      </c>
      <c r="F7262" t="s">
        <v>15</v>
      </c>
      <c r="G7262" s="18">
        <v>11322</v>
      </c>
      <c r="H7262" t="s">
        <v>561</v>
      </c>
      <c r="I7262" s="151" t="s">
        <v>562</v>
      </c>
    </row>
    <row r="7263" spans="1:9" x14ac:dyDescent="0.25">
      <c r="A7263">
        <v>1819</v>
      </c>
      <c r="B7263">
        <f>A7263+1</f>
        <v>1820</v>
      </c>
      <c r="C7263" t="s">
        <v>525</v>
      </c>
      <c r="D7263" t="s">
        <v>27</v>
      </c>
      <c r="E7263" s="208" t="s">
        <v>154</v>
      </c>
      <c r="F7263" t="s">
        <v>15</v>
      </c>
      <c r="G7263" s="18">
        <v>2474</v>
      </c>
      <c r="H7263" t="s">
        <v>561</v>
      </c>
      <c r="I7263" s="151" t="s">
        <v>562</v>
      </c>
    </row>
    <row r="7264" spans="1:9" x14ac:dyDescent="0.25">
      <c r="A7264">
        <v>1819</v>
      </c>
      <c r="B7264">
        <f>A7264+1</f>
        <v>1820</v>
      </c>
      <c r="C7264" t="s">
        <v>525</v>
      </c>
      <c r="D7264" t="s">
        <v>27</v>
      </c>
      <c r="E7264" s="208" t="s">
        <v>150</v>
      </c>
      <c r="F7264" t="s">
        <v>15</v>
      </c>
      <c r="G7264" s="18">
        <v>45361</v>
      </c>
      <c r="H7264" t="s">
        <v>561</v>
      </c>
      <c r="I7264" s="151" t="s">
        <v>562</v>
      </c>
    </row>
    <row r="7265" spans="1:9" x14ac:dyDescent="0.25">
      <c r="A7265">
        <v>1819</v>
      </c>
      <c r="B7265">
        <f>A7265+1</f>
        <v>1820</v>
      </c>
      <c r="C7265" t="s">
        <v>525</v>
      </c>
      <c r="D7265" t="s">
        <v>27</v>
      </c>
      <c r="E7265" s="208" t="s">
        <v>148</v>
      </c>
      <c r="F7265" t="s">
        <v>15</v>
      </c>
      <c r="G7265" s="18">
        <v>1783</v>
      </c>
      <c r="H7265" t="s">
        <v>561</v>
      </c>
      <c r="I7265" s="151" t="s">
        <v>562</v>
      </c>
    </row>
    <row r="7266" spans="1:9" x14ac:dyDescent="0.25">
      <c r="A7266">
        <v>1819</v>
      </c>
      <c r="B7266">
        <f>A7266+1</f>
        <v>1820</v>
      </c>
      <c r="C7266" t="s">
        <v>525</v>
      </c>
      <c r="D7266" t="s">
        <v>27</v>
      </c>
      <c r="E7266" s="208" t="s">
        <v>147</v>
      </c>
      <c r="F7266" t="s">
        <v>15</v>
      </c>
      <c r="G7266" s="18">
        <v>106</v>
      </c>
      <c r="H7266" t="s">
        <v>561</v>
      </c>
      <c r="I7266" s="151" t="s">
        <v>562</v>
      </c>
    </row>
    <row r="7267" spans="1:9" x14ac:dyDescent="0.25">
      <c r="A7267">
        <v>1819</v>
      </c>
      <c r="B7267">
        <f>A7267+1</f>
        <v>1820</v>
      </c>
      <c r="C7267" t="s">
        <v>525</v>
      </c>
      <c r="D7267" t="s">
        <v>27</v>
      </c>
      <c r="E7267" s="208" t="s">
        <v>314</v>
      </c>
      <c r="F7267" t="s">
        <v>15</v>
      </c>
      <c r="G7267" s="18">
        <v>460</v>
      </c>
      <c r="H7267" t="s">
        <v>561</v>
      </c>
      <c r="I7267" s="151" t="s">
        <v>562</v>
      </c>
    </row>
    <row r="7268" spans="1:9" x14ac:dyDescent="0.25">
      <c r="A7268">
        <v>1819</v>
      </c>
      <c r="B7268">
        <f>A7268+1</f>
        <v>1820</v>
      </c>
      <c r="C7268" t="s">
        <v>525</v>
      </c>
      <c r="D7268" t="s">
        <v>27</v>
      </c>
      <c r="E7268" s="208" t="s">
        <v>139</v>
      </c>
      <c r="F7268" t="s">
        <v>15</v>
      </c>
      <c r="G7268" s="18">
        <v>252</v>
      </c>
      <c r="H7268" t="s">
        <v>561</v>
      </c>
      <c r="I7268" s="151" t="s">
        <v>562</v>
      </c>
    </row>
    <row r="7269" spans="1:9" x14ac:dyDescent="0.25">
      <c r="A7269">
        <v>1819</v>
      </c>
      <c r="B7269">
        <f>A7269+1</f>
        <v>1820</v>
      </c>
      <c r="C7269" t="s">
        <v>525</v>
      </c>
      <c r="D7269" t="s">
        <v>27</v>
      </c>
      <c r="E7269" s="208" t="s">
        <v>132</v>
      </c>
      <c r="F7269" t="s">
        <v>15</v>
      </c>
      <c r="G7269" s="18">
        <v>1159</v>
      </c>
      <c r="H7269" t="s">
        <v>561</v>
      </c>
      <c r="I7269" s="151" t="s">
        <v>562</v>
      </c>
    </row>
    <row r="7270" spans="1:9" x14ac:dyDescent="0.25">
      <c r="A7270">
        <v>1819</v>
      </c>
      <c r="B7270">
        <f>A7270+1</f>
        <v>1820</v>
      </c>
      <c r="C7270" t="s">
        <v>525</v>
      </c>
      <c r="D7270" t="s">
        <v>27</v>
      </c>
      <c r="E7270" s="208" t="s">
        <v>130</v>
      </c>
      <c r="F7270" t="s">
        <v>15</v>
      </c>
      <c r="G7270" s="18">
        <v>316</v>
      </c>
      <c r="H7270" t="s">
        <v>561</v>
      </c>
      <c r="I7270" s="151" t="s">
        <v>562</v>
      </c>
    </row>
    <row r="7271" spans="1:9" x14ac:dyDescent="0.25">
      <c r="A7271">
        <v>1819</v>
      </c>
      <c r="B7271">
        <f>A7271+1</f>
        <v>1820</v>
      </c>
      <c r="C7271" t="s">
        <v>525</v>
      </c>
      <c r="D7271" t="s">
        <v>27</v>
      </c>
      <c r="E7271" s="208" t="s">
        <v>144</v>
      </c>
      <c r="F7271" t="s">
        <v>15</v>
      </c>
      <c r="G7271" s="18">
        <v>673</v>
      </c>
      <c r="H7271" t="s">
        <v>561</v>
      </c>
      <c r="I7271" s="151" t="s">
        <v>562</v>
      </c>
    </row>
    <row r="7272" spans="1:9" x14ac:dyDescent="0.25">
      <c r="A7272">
        <v>1819</v>
      </c>
      <c r="B7272">
        <f>A7272+1</f>
        <v>1820</v>
      </c>
      <c r="C7272" t="s">
        <v>525</v>
      </c>
      <c r="D7272" t="s">
        <v>27</v>
      </c>
      <c r="E7272" s="208" t="s">
        <v>142</v>
      </c>
      <c r="F7272" t="s">
        <v>15</v>
      </c>
      <c r="G7272" s="18">
        <v>12880</v>
      </c>
      <c r="H7272" t="s">
        <v>561</v>
      </c>
      <c r="I7272" s="151" t="s">
        <v>562</v>
      </c>
    </row>
    <row r="7273" spans="1:9" x14ac:dyDescent="0.25">
      <c r="A7273">
        <v>1819</v>
      </c>
      <c r="B7273">
        <f>A7273+1</f>
        <v>1820</v>
      </c>
      <c r="C7273" t="s">
        <v>525</v>
      </c>
      <c r="D7273" t="s">
        <v>27</v>
      </c>
      <c r="E7273" s="208" t="s">
        <v>124</v>
      </c>
      <c r="F7273" t="s">
        <v>15</v>
      </c>
      <c r="G7273" s="18">
        <v>24127444</v>
      </c>
      <c r="H7273" t="s">
        <v>561</v>
      </c>
      <c r="I7273" s="151" t="s">
        <v>562</v>
      </c>
    </row>
    <row r="7274" spans="1:9" x14ac:dyDescent="0.25">
      <c r="A7274">
        <v>1819</v>
      </c>
      <c r="B7274">
        <f>A7274+1</f>
        <v>1820</v>
      </c>
      <c r="C7274" t="s">
        <v>525</v>
      </c>
      <c r="D7274" t="s">
        <v>26</v>
      </c>
      <c r="E7274" s="208" t="s">
        <v>62</v>
      </c>
      <c r="F7274" t="s">
        <v>15</v>
      </c>
      <c r="G7274" s="18">
        <v>69420</v>
      </c>
      <c r="H7274" s="151" t="s">
        <v>563</v>
      </c>
      <c r="I7274" t="s">
        <v>561</v>
      </c>
    </row>
    <row r="7275" spans="1:9" x14ac:dyDescent="0.25">
      <c r="A7275">
        <v>1819</v>
      </c>
      <c r="B7275">
        <f>A7275+1</f>
        <v>1820</v>
      </c>
      <c r="C7275" t="s">
        <v>525</v>
      </c>
      <c r="D7275" t="s">
        <v>26</v>
      </c>
      <c r="E7275" s="208" t="s">
        <v>36</v>
      </c>
      <c r="F7275" t="s">
        <v>15</v>
      </c>
      <c r="G7275" s="18">
        <v>2452</v>
      </c>
      <c r="H7275" s="151" t="s">
        <v>563</v>
      </c>
      <c r="I7275" t="s">
        <v>561</v>
      </c>
    </row>
    <row r="7276" spans="1:9" x14ac:dyDescent="0.25">
      <c r="A7276">
        <v>1819</v>
      </c>
      <c r="B7276">
        <f>A7276+1</f>
        <v>1820</v>
      </c>
      <c r="C7276" t="s">
        <v>525</v>
      </c>
      <c r="D7276" t="s">
        <v>26</v>
      </c>
      <c r="E7276" s="208" t="s">
        <v>35</v>
      </c>
      <c r="F7276" t="s">
        <v>15</v>
      </c>
      <c r="G7276" s="18">
        <v>5408</v>
      </c>
      <c r="H7276" s="151" t="s">
        <v>563</v>
      </c>
      <c r="I7276" t="s">
        <v>561</v>
      </c>
    </row>
    <row r="7277" spans="1:9" x14ac:dyDescent="0.25">
      <c r="A7277">
        <v>1819</v>
      </c>
      <c r="B7277">
        <f>A7277+1</f>
        <v>1820</v>
      </c>
      <c r="C7277" t="s">
        <v>525</v>
      </c>
      <c r="D7277" t="s">
        <v>26</v>
      </c>
      <c r="E7277" s="208" t="s">
        <v>39</v>
      </c>
      <c r="F7277" t="s">
        <v>15</v>
      </c>
      <c r="G7277" s="18">
        <v>1021</v>
      </c>
      <c r="H7277" s="151" t="s">
        <v>563</v>
      </c>
      <c r="I7277" t="s">
        <v>561</v>
      </c>
    </row>
    <row r="7278" spans="1:9" x14ac:dyDescent="0.25">
      <c r="A7278">
        <v>1819</v>
      </c>
      <c r="B7278">
        <f>A7278+1</f>
        <v>1820</v>
      </c>
      <c r="C7278" t="s">
        <v>525</v>
      </c>
      <c r="D7278" t="s">
        <v>26</v>
      </c>
      <c r="E7278" s="208" t="s">
        <v>99</v>
      </c>
      <c r="F7278" t="s">
        <v>15</v>
      </c>
      <c r="G7278" s="18">
        <v>864</v>
      </c>
      <c r="H7278" s="151" t="s">
        <v>563</v>
      </c>
      <c r="I7278" t="s">
        <v>561</v>
      </c>
    </row>
    <row r="7279" spans="1:9" x14ac:dyDescent="0.25">
      <c r="A7279">
        <v>1819</v>
      </c>
      <c r="B7279">
        <f>A7279+1</f>
        <v>1820</v>
      </c>
      <c r="C7279" t="s">
        <v>525</v>
      </c>
      <c r="D7279" t="s">
        <v>26</v>
      </c>
      <c r="E7279" s="208" t="s">
        <v>95</v>
      </c>
      <c r="F7279" t="s">
        <v>15</v>
      </c>
      <c r="G7279" s="18">
        <v>3134</v>
      </c>
      <c r="H7279" s="151" t="s">
        <v>563</v>
      </c>
      <c r="I7279" t="s">
        <v>561</v>
      </c>
    </row>
    <row r="7280" spans="1:9" x14ac:dyDescent="0.25">
      <c r="A7280">
        <v>1819</v>
      </c>
      <c r="B7280">
        <f>A7280+1</f>
        <v>1820</v>
      </c>
      <c r="C7280" t="s">
        <v>525</v>
      </c>
      <c r="D7280" t="s">
        <v>26</v>
      </c>
      <c r="E7280" s="208" t="s">
        <v>94</v>
      </c>
      <c r="F7280" t="s">
        <v>15</v>
      </c>
      <c r="G7280" s="18">
        <v>10694</v>
      </c>
      <c r="H7280" s="151" t="s">
        <v>563</v>
      </c>
      <c r="I7280" t="s">
        <v>561</v>
      </c>
    </row>
    <row r="7281" spans="1:9" x14ac:dyDescent="0.25">
      <c r="A7281">
        <v>1819</v>
      </c>
      <c r="B7281">
        <f>A7281+1</f>
        <v>1820</v>
      </c>
      <c r="C7281" t="s">
        <v>525</v>
      </c>
      <c r="D7281" t="s">
        <v>26</v>
      </c>
      <c r="E7281" s="208" t="s">
        <v>386</v>
      </c>
      <c r="F7281" t="s">
        <v>15</v>
      </c>
      <c r="G7281" s="18">
        <v>24774</v>
      </c>
      <c r="H7281" s="151" t="s">
        <v>563</v>
      </c>
      <c r="I7281" t="s">
        <v>561</v>
      </c>
    </row>
    <row r="7282" spans="1:9" x14ac:dyDescent="0.25">
      <c r="A7282">
        <v>1819</v>
      </c>
      <c r="B7282">
        <f>A7282+1</f>
        <v>1820</v>
      </c>
      <c r="C7282" t="s">
        <v>525</v>
      </c>
      <c r="D7282" t="s">
        <v>26</v>
      </c>
      <c r="E7282" s="208" t="s">
        <v>387</v>
      </c>
      <c r="F7282" t="s">
        <v>15</v>
      </c>
      <c r="G7282" s="18">
        <v>2617</v>
      </c>
      <c r="H7282" s="151" t="s">
        <v>563</v>
      </c>
      <c r="I7282" t="s">
        <v>561</v>
      </c>
    </row>
    <row r="7283" spans="1:9" x14ac:dyDescent="0.25">
      <c r="A7283">
        <v>1819</v>
      </c>
      <c r="B7283">
        <f>A7283+1</f>
        <v>1820</v>
      </c>
      <c r="C7283" t="s">
        <v>525</v>
      </c>
      <c r="D7283" t="s">
        <v>26</v>
      </c>
      <c r="E7283" s="208" t="s">
        <v>388</v>
      </c>
      <c r="F7283" t="s">
        <v>15</v>
      </c>
      <c r="G7283" s="18">
        <v>8747</v>
      </c>
      <c r="H7283" s="151" t="s">
        <v>563</v>
      </c>
      <c r="I7283" t="s">
        <v>561</v>
      </c>
    </row>
    <row r="7284" spans="1:9" x14ac:dyDescent="0.25">
      <c r="A7284">
        <v>1819</v>
      </c>
      <c r="B7284">
        <f>A7284+1</f>
        <v>1820</v>
      </c>
      <c r="C7284" t="s">
        <v>525</v>
      </c>
      <c r="D7284" t="s">
        <v>26</v>
      </c>
      <c r="E7284" s="208" t="s">
        <v>383</v>
      </c>
      <c r="F7284" t="s">
        <v>15</v>
      </c>
      <c r="G7284" s="18">
        <v>750</v>
      </c>
      <c r="H7284" s="151" t="s">
        <v>563</v>
      </c>
      <c r="I7284" t="s">
        <v>561</v>
      </c>
    </row>
    <row r="7285" spans="1:9" x14ac:dyDescent="0.25">
      <c r="A7285">
        <v>1819</v>
      </c>
      <c r="B7285">
        <f>A7285+1</f>
        <v>1820</v>
      </c>
      <c r="C7285" t="s">
        <v>525</v>
      </c>
      <c r="D7285" t="s">
        <v>26</v>
      </c>
      <c r="E7285" s="208" t="s">
        <v>384</v>
      </c>
      <c r="F7285" t="s">
        <v>15</v>
      </c>
      <c r="G7285" s="18">
        <v>2627</v>
      </c>
      <c r="H7285" s="151" t="s">
        <v>563</v>
      </c>
      <c r="I7285" t="s">
        <v>561</v>
      </c>
    </row>
    <row r="7286" spans="1:9" x14ac:dyDescent="0.25">
      <c r="A7286">
        <v>1819</v>
      </c>
      <c r="B7286">
        <f>A7286+1</f>
        <v>1820</v>
      </c>
      <c r="C7286" t="s">
        <v>525</v>
      </c>
      <c r="D7286" t="s">
        <v>26</v>
      </c>
      <c r="E7286" s="208" t="s">
        <v>107</v>
      </c>
      <c r="F7286" t="s">
        <v>15</v>
      </c>
      <c r="G7286" s="18">
        <v>7649319</v>
      </c>
      <c r="H7286" s="151" t="s">
        <v>563</v>
      </c>
      <c r="I7286" t="s">
        <v>561</v>
      </c>
    </row>
    <row r="7287" spans="1:9" x14ac:dyDescent="0.25">
      <c r="A7287">
        <v>1819</v>
      </c>
      <c r="B7287">
        <f>A7287+1</f>
        <v>1820</v>
      </c>
      <c r="C7287" t="s">
        <v>525</v>
      </c>
      <c r="D7287" t="s">
        <v>26</v>
      </c>
      <c r="E7287" s="208" t="s">
        <v>101</v>
      </c>
      <c r="F7287" t="s">
        <v>15</v>
      </c>
      <c r="G7287" s="18">
        <v>11360313</v>
      </c>
      <c r="H7287" s="151" t="s">
        <v>563</v>
      </c>
      <c r="I7287" t="s">
        <v>561</v>
      </c>
    </row>
    <row r="7288" spans="1:9" x14ac:dyDescent="0.25">
      <c r="A7288">
        <v>1819</v>
      </c>
      <c r="B7288">
        <f>A7288+1</f>
        <v>1820</v>
      </c>
      <c r="C7288" t="s">
        <v>525</v>
      </c>
      <c r="D7288" t="s">
        <v>26</v>
      </c>
      <c r="E7288" s="208" t="s">
        <v>75</v>
      </c>
      <c r="F7288" t="s">
        <v>15</v>
      </c>
      <c r="G7288" s="18">
        <v>9442506</v>
      </c>
      <c r="H7288" s="151" t="s">
        <v>563</v>
      </c>
      <c r="I7288" t="s">
        <v>561</v>
      </c>
    </row>
    <row r="7289" spans="1:9" x14ac:dyDescent="0.25">
      <c r="A7289">
        <v>1819</v>
      </c>
      <c r="B7289">
        <f>A7289+1</f>
        <v>1820</v>
      </c>
      <c r="C7289" t="s">
        <v>525</v>
      </c>
      <c r="D7289" t="s">
        <v>26</v>
      </c>
      <c r="E7289" s="208" t="s">
        <v>330</v>
      </c>
      <c r="F7289" t="s">
        <v>15</v>
      </c>
      <c r="G7289" s="18">
        <v>1563</v>
      </c>
      <c r="H7289" s="151" t="s">
        <v>563</v>
      </c>
      <c r="I7289" t="s">
        <v>561</v>
      </c>
    </row>
    <row r="7290" spans="1:9" x14ac:dyDescent="0.25">
      <c r="A7290">
        <v>1819</v>
      </c>
      <c r="B7290">
        <f>A7290+1</f>
        <v>1820</v>
      </c>
      <c r="C7290" t="s">
        <v>525</v>
      </c>
      <c r="D7290" t="s">
        <v>26</v>
      </c>
      <c r="E7290" s="208" t="s">
        <v>331</v>
      </c>
      <c r="F7290" t="s">
        <v>15</v>
      </c>
      <c r="G7290" s="18">
        <v>2420</v>
      </c>
      <c r="H7290" s="151" t="s">
        <v>563</v>
      </c>
      <c r="I7290" t="s">
        <v>561</v>
      </c>
    </row>
    <row r="7291" spans="1:9" x14ac:dyDescent="0.25">
      <c r="A7291">
        <v>1819</v>
      </c>
      <c r="B7291">
        <f>A7291+1</f>
        <v>1820</v>
      </c>
      <c r="C7291" t="s">
        <v>525</v>
      </c>
      <c r="D7291" t="s">
        <v>26</v>
      </c>
      <c r="E7291" s="208" t="s">
        <v>332</v>
      </c>
      <c r="F7291" t="s">
        <v>15</v>
      </c>
      <c r="G7291" s="18">
        <v>777</v>
      </c>
      <c r="H7291" s="151" t="s">
        <v>563</v>
      </c>
      <c r="I7291" t="s">
        <v>561</v>
      </c>
    </row>
    <row r="7292" spans="1:9" x14ac:dyDescent="0.25">
      <c r="A7292">
        <v>1819</v>
      </c>
      <c r="B7292">
        <f>A7292+1</f>
        <v>1820</v>
      </c>
      <c r="C7292" t="s">
        <v>525</v>
      </c>
      <c r="D7292" t="s">
        <v>26</v>
      </c>
      <c r="E7292" s="208" t="s">
        <v>333</v>
      </c>
      <c r="F7292" t="s">
        <v>15</v>
      </c>
      <c r="G7292" s="18">
        <v>1303</v>
      </c>
      <c r="H7292" s="151" t="s">
        <v>563</v>
      </c>
      <c r="I7292" t="s">
        <v>561</v>
      </c>
    </row>
    <row r="7293" spans="1:9" x14ac:dyDescent="0.25">
      <c r="A7293">
        <v>1819</v>
      </c>
      <c r="B7293">
        <f>A7293+1</f>
        <v>1820</v>
      </c>
      <c r="C7293" t="s">
        <v>525</v>
      </c>
      <c r="D7293" t="s">
        <v>26</v>
      </c>
      <c r="E7293" s="208" t="s">
        <v>493</v>
      </c>
      <c r="F7293" t="s">
        <v>15</v>
      </c>
      <c r="G7293" s="18">
        <v>19978</v>
      </c>
      <c r="H7293" s="151" t="s">
        <v>563</v>
      </c>
      <c r="I7293" t="s">
        <v>561</v>
      </c>
    </row>
    <row r="7294" spans="1:9" x14ac:dyDescent="0.25">
      <c r="A7294">
        <v>1819</v>
      </c>
      <c r="B7294">
        <f>A7294+1</f>
        <v>1820</v>
      </c>
      <c r="C7294" t="s">
        <v>525</v>
      </c>
      <c r="D7294" t="s">
        <v>26</v>
      </c>
      <c r="E7294" s="208" t="s">
        <v>113</v>
      </c>
      <c r="F7294" t="s">
        <v>15</v>
      </c>
      <c r="G7294" s="18">
        <v>1036</v>
      </c>
      <c r="H7294" s="151" t="s">
        <v>563</v>
      </c>
      <c r="I7294" t="s">
        <v>561</v>
      </c>
    </row>
    <row r="7295" spans="1:9" x14ac:dyDescent="0.25">
      <c r="A7295">
        <v>1819</v>
      </c>
      <c r="B7295">
        <f>A7295+1</f>
        <v>1820</v>
      </c>
      <c r="C7295" t="s">
        <v>525</v>
      </c>
      <c r="D7295" t="s">
        <v>26</v>
      </c>
      <c r="E7295" s="208" t="s">
        <v>112</v>
      </c>
      <c r="F7295" t="s">
        <v>15</v>
      </c>
      <c r="G7295" s="18">
        <v>1108</v>
      </c>
      <c r="H7295" s="151" t="s">
        <v>563</v>
      </c>
      <c r="I7295" t="s">
        <v>561</v>
      </c>
    </row>
    <row r="7296" spans="1:9" x14ac:dyDescent="0.25">
      <c r="A7296">
        <v>1819</v>
      </c>
      <c r="B7296">
        <f>A7296+1</f>
        <v>1820</v>
      </c>
      <c r="C7296" t="s">
        <v>525</v>
      </c>
      <c r="D7296" t="s">
        <v>26</v>
      </c>
      <c r="E7296" s="208" t="s">
        <v>494</v>
      </c>
      <c r="F7296" t="s">
        <v>15</v>
      </c>
      <c r="G7296" s="18">
        <v>945</v>
      </c>
      <c r="H7296" s="151" t="s">
        <v>563</v>
      </c>
      <c r="I7296" t="s">
        <v>561</v>
      </c>
    </row>
    <row r="7297" spans="1:9" x14ac:dyDescent="0.25">
      <c r="A7297">
        <v>1819</v>
      </c>
      <c r="B7297">
        <f>A7297+1</f>
        <v>1820</v>
      </c>
      <c r="C7297" t="s">
        <v>525</v>
      </c>
      <c r="D7297" t="s">
        <v>26</v>
      </c>
      <c r="E7297" s="208" t="s">
        <v>495</v>
      </c>
      <c r="F7297" t="s">
        <v>15</v>
      </c>
      <c r="G7297" s="18">
        <v>248</v>
      </c>
      <c r="H7297" s="151" t="s">
        <v>563</v>
      </c>
      <c r="I7297" t="s">
        <v>561</v>
      </c>
    </row>
    <row r="7298" spans="1:9" x14ac:dyDescent="0.25">
      <c r="A7298">
        <v>1819</v>
      </c>
      <c r="B7298">
        <f>A7298+1</f>
        <v>1820</v>
      </c>
      <c r="C7298" t="s">
        <v>525</v>
      </c>
      <c r="D7298" t="s">
        <v>26</v>
      </c>
      <c r="E7298" s="208" t="s">
        <v>109</v>
      </c>
      <c r="F7298" t="s">
        <v>15</v>
      </c>
      <c r="G7298" s="18">
        <v>9340</v>
      </c>
      <c r="H7298" s="151" t="s">
        <v>563</v>
      </c>
      <c r="I7298" t="s">
        <v>561</v>
      </c>
    </row>
    <row r="7299" spans="1:9" x14ac:dyDescent="0.25">
      <c r="A7299">
        <v>1819</v>
      </c>
      <c r="B7299">
        <f>A7299+1</f>
        <v>1820</v>
      </c>
      <c r="C7299" t="s">
        <v>525</v>
      </c>
      <c r="D7299" t="s">
        <v>26</v>
      </c>
      <c r="E7299" s="208" t="s">
        <v>496</v>
      </c>
      <c r="F7299" t="s">
        <v>15</v>
      </c>
      <c r="G7299" s="18">
        <v>41452</v>
      </c>
      <c r="H7299" s="151" t="s">
        <v>563</v>
      </c>
      <c r="I7299" t="s">
        <v>561</v>
      </c>
    </row>
    <row r="7300" spans="1:9" x14ac:dyDescent="0.25">
      <c r="A7300">
        <v>1819</v>
      </c>
      <c r="B7300">
        <f>A7300+1</f>
        <v>1820</v>
      </c>
      <c r="C7300" t="s">
        <v>525</v>
      </c>
      <c r="D7300" t="s">
        <v>26</v>
      </c>
      <c r="E7300" s="208" t="s">
        <v>28</v>
      </c>
      <c r="F7300" t="s">
        <v>15</v>
      </c>
      <c r="G7300" s="18">
        <v>6312</v>
      </c>
      <c r="H7300" s="151" t="s">
        <v>563</v>
      </c>
      <c r="I7300" t="s">
        <v>561</v>
      </c>
    </row>
    <row r="7301" spans="1:9" x14ac:dyDescent="0.25">
      <c r="A7301">
        <v>1819</v>
      </c>
      <c r="B7301">
        <f>A7301+1</f>
        <v>1820</v>
      </c>
      <c r="C7301" t="s">
        <v>525</v>
      </c>
      <c r="D7301" t="s">
        <v>26</v>
      </c>
      <c r="E7301" s="208" t="s">
        <v>89</v>
      </c>
      <c r="F7301" t="s">
        <v>15</v>
      </c>
      <c r="G7301" s="18">
        <v>15248</v>
      </c>
      <c r="H7301" s="151" t="s">
        <v>563</v>
      </c>
      <c r="I7301" t="s">
        <v>561</v>
      </c>
    </row>
    <row r="7302" spans="1:9" x14ac:dyDescent="0.25">
      <c r="A7302">
        <v>1819</v>
      </c>
      <c r="B7302">
        <f>A7302+1</f>
        <v>1820</v>
      </c>
      <c r="C7302" t="s">
        <v>525</v>
      </c>
      <c r="D7302" t="s">
        <v>26</v>
      </c>
      <c r="E7302" s="208" t="s">
        <v>45</v>
      </c>
      <c r="F7302" t="s">
        <v>15</v>
      </c>
      <c r="G7302" s="18">
        <v>18004</v>
      </c>
      <c r="H7302" s="151" t="s">
        <v>563</v>
      </c>
      <c r="I7302" t="s">
        <v>561</v>
      </c>
    </row>
    <row r="7303" spans="1:9" x14ac:dyDescent="0.25">
      <c r="A7303">
        <v>1819</v>
      </c>
      <c r="B7303">
        <f>A7303+1</f>
        <v>1820</v>
      </c>
      <c r="C7303" t="s">
        <v>525</v>
      </c>
      <c r="D7303" t="s">
        <v>26</v>
      </c>
      <c r="E7303" s="208" t="s">
        <v>392</v>
      </c>
      <c r="F7303" t="s">
        <v>15</v>
      </c>
      <c r="G7303" s="18">
        <v>5201</v>
      </c>
      <c r="H7303" s="151" t="s">
        <v>563</v>
      </c>
      <c r="I7303" t="s">
        <v>561</v>
      </c>
    </row>
    <row r="7304" spans="1:9" x14ac:dyDescent="0.25">
      <c r="A7304">
        <v>1819</v>
      </c>
      <c r="B7304">
        <f>A7304+1</f>
        <v>1820</v>
      </c>
      <c r="C7304" t="s">
        <v>525</v>
      </c>
      <c r="D7304" t="s">
        <v>26</v>
      </c>
      <c r="E7304" s="208" t="s">
        <v>102</v>
      </c>
      <c r="F7304" t="s">
        <v>15</v>
      </c>
      <c r="G7304" s="18">
        <v>18287</v>
      </c>
      <c r="H7304" s="151" t="s">
        <v>563</v>
      </c>
      <c r="I7304" t="s">
        <v>561</v>
      </c>
    </row>
    <row r="7305" spans="1:9" x14ac:dyDescent="0.25">
      <c r="A7305">
        <v>1819</v>
      </c>
      <c r="B7305">
        <f>A7305+1</f>
        <v>1820</v>
      </c>
      <c r="C7305" t="s">
        <v>525</v>
      </c>
      <c r="D7305" t="s">
        <v>26</v>
      </c>
      <c r="E7305" s="208" t="s">
        <v>48</v>
      </c>
      <c r="F7305" t="s">
        <v>15</v>
      </c>
      <c r="G7305" s="18">
        <v>15960</v>
      </c>
      <c r="H7305" s="151" t="s">
        <v>563</v>
      </c>
      <c r="I7305" t="s">
        <v>561</v>
      </c>
    </row>
    <row r="7306" spans="1:9" x14ac:dyDescent="0.25">
      <c r="A7306">
        <v>1819</v>
      </c>
      <c r="B7306">
        <f>A7306+1</f>
        <v>1820</v>
      </c>
      <c r="C7306" t="s">
        <v>525</v>
      </c>
      <c r="D7306" t="s">
        <v>26</v>
      </c>
      <c r="E7306" s="208" t="s">
        <v>110</v>
      </c>
      <c r="F7306" t="s">
        <v>15</v>
      </c>
      <c r="G7306" s="18">
        <v>40243</v>
      </c>
      <c r="H7306" s="151" t="s">
        <v>563</v>
      </c>
      <c r="I7306" t="s">
        <v>561</v>
      </c>
    </row>
    <row r="7307" spans="1:9" x14ac:dyDescent="0.25">
      <c r="A7307">
        <v>1819</v>
      </c>
      <c r="B7307">
        <f>A7307+1</f>
        <v>1820</v>
      </c>
      <c r="C7307" t="s">
        <v>525</v>
      </c>
      <c r="D7307" t="s">
        <v>26</v>
      </c>
      <c r="E7307" s="208" t="s">
        <v>567</v>
      </c>
      <c r="F7307" t="s">
        <v>3</v>
      </c>
      <c r="G7307" s="18">
        <v>14545</v>
      </c>
      <c r="H7307" t="s">
        <v>24</v>
      </c>
      <c r="I7307" t="s">
        <v>16</v>
      </c>
    </row>
    <row r="7308" spans="1:9" x14ac:dyDescent="0.25">
      <c r="A7308">
        <v>1819</v>
      </c>
      <c r="B7308">
        <f>A7308+1</f>
        <v>1820</v>
      </c>
      <c r="C7308" t="s">
        <v>525</v>
      </c>
      <c r="D7308" t="s">
        <v>26</v>
      </c>
      <c r="E7308" s="208" t="s">
        <v>567</v>
      </c>
      <c r="F7308" t="s">
        <v>169</v>
      </c>
      <c r="G7308" s="18">
        <v>21470</v>
      </c>
      <c r="H7308" t="s">
        <v>160</v>
      </c>
      <c r="I7308" t="s">
        <v>16</v>
      </c>
    </row>
    <row r="7309" spans="1:9" x14ac:dyDescent="0.25">
      <c r="A7309">
        <v>1819</v>
      </c>
      <c r="B7309">
        <f>A7309+1</f>
        <v>1820</v>
      </c>
      <c r="C7309" t="s">
        <v>525</v>
      </c>
      <c r="D7309" t="s">
        <v>26</v>
      </c>
      <c r="E7309" s="208" t="s">
        <v>567</v>
      </c>
      <c r="F7309" t="s">
        <v>6</v>
      </c>
      <c r="G7309" s="18">
        <v>0</v>
      </c>
      <c r="H7309" t="s">
        <v>25</v>
      </c>
      <c r="I7309" t="s">
        <v>16</v>
      </c>
    </row>
    <row r="7310" spans="1:9" x14ac:dyDescent="0.25">
      <c r="A7310">
        <v>1819</v>
      </c>
      <c r="B7310">
        <f>A7310+1</f>
        <v>1820</v>
      </c>
      <c r="C7310" t="s">
        <v>525</v>
      </c>
      <c r="D7310" t="s">
        <v>26</v>
      </c>
      <c r="E7310" s="208" t="s">
        <v>567</v>
      </c>
      <c r="F7310" t="s">
        <v>7</v>
      </c>
      <c r="G7310" s="18">
        <v>36015</v>
      </c>
      <c r="H7310" s="151" t="s">
        <v>563</v>
      </c>
      <c r="I7310" t="s">
        <v>16</v>
      </c>
    </row>
    <row r="7311" spans="1:9" x14ac:dyDescent="0.25">
      <c r="A7311">
        <v>1819</v>
      </c>
      <c r="B7311">
        <f>A7311+1</f>
        <v>1820</v>
      </c>
      <c r="C7311" t="s">
        <v>525</v>
      </c>
      <c r="D7311" t="s">
        <v>26</v>
      </c>
      <c r="E7311" s="208" t="s">
        <v>567</v>
      </c>
      <c r="F7311" t="s">
        <v>10</v>
      </c>
      <c r="G7311" s="18">
        <v>4299</v>
      </c>
      <c r="H7311" t="s">
        <v>24</v>
      </c>
      <c r="I7311" t="s">
        <v>17</v>
      </c>
    </row>
    <row r="7312" spans="1:9" x14ac:dyDescent="0.25">
      <c r="A7312">
        <v>1819</v>
      </c>
      <c r="B7312">
        <f>A7312+1</f>
        <v>1820</v>
      </c>
      <c r="C7312" t="s">
        <v>525</v>
      </c>
      <c r="D7312" t="s">
        <v>26</v>
      </c>
      <c r="E7312" s="208" t="s">
        <v>567</v>
      </c>
      <c r="F7312" t="s">
        <v>164</v>
      </c>
      <c r="G7312" s="18">
        <v>43099</v>
      </c>
      <c r="H7312" t="s">
        <v>160</v>
      </c>
      <c r="I7312" t="s">
        <v>17</v>
      </c>
    </row>
    <row r="7313" spans="1:9" x14ac:dyDescent="0.25">
      <c r="A7313">
        <v>1819</v>
      </c>
      <c r="B7313">
        <f>A7313+1</f>
        <v>1820</v>
      </c>
      <c r="C7313" t="s">
        <v>525</v>
      </c>
      <c r="D7313" t="s">
        <v>26</v>
      </c>
      <c r="E7313" s="208" t="s">
        <v>567</v>
      </c>
      <c r="F7313" t="s">
        <v>13</v>
      </c>
      <c r="G7313" s="18">
        <v>0</v>
      </c>
      <c r="H7313" t="s">
        <v>25</v>
      </c>
      <c r="I7313" t="s">
        <v>17</v>
      </c>
    </row>
    <row r="7314" spans="1:9" x14ac:dyDescent="0.25">
      <c r="A7314">
        <v>1819</v>
      </c>
      <c r="B7314">
        <f>A7314+1</f>
        <v>1820</v>
      </c>
      <c r="C7314" t="s">
        <v>525</v>
      </c>
      <c r="D7314" t="s">
        <v>26</v>
      </c>
      <c r="E7314" s="208" t="s">
        <v>567</v>
      </c>
      <c r="F7314" t="s">
        <v>14</v>
      </c>
      <c r="G7314" s="18">
        <v>47398</v>
      </c>
      <c r="H7314" s="151" t="s">
        <v>563</v>
      </c>
      <c r="I7314" t="s">
        <v>17</v>
      </c>
    </row>
    <row r="7315" spans="1:9" x14ac:dyDescent="0.25">
      <c r="A7315">
        <v>1819</v>
      </c>
      <c r="B7315">
        <f>A7315+1</f>
        <v>1820</v>
      </c>
      <c r="C7315" t="s">
        <v>525</v>
      </c>
      <c r="D7315" t="s">
        <v>26</v>
      </c>
      <c r="E7315" s="208" t="s">
        <v>567</v>
      </c>
      <c r="F7315" t="s">
        <v>15</v>
      </c>
      <c r="G7315" s="18">
        <v>83413</v>
      </c>
      <c r="H7315" s="151" t="s">
        <v>563</v>
      </c>
      <c r="I7315" t="s">
        <v>561</v>
      </c>
    </row>
    <row r="7316" spans="1:9" x14ac:dyDescent="0.25">
      <c r="A7316">
        <v>1819</v>
      </c>
      <c r="B7316">
        <f>A7316+1</f>
        <v>1820</v>
      </c>
      <c r="C7316" t="s">
        <v>525</v>
      </c>
      <c r="D7316" t="s">
        <v>26</v>
      </c>
      <c r="E7316" s="208" t="s">
        <v>568</v>
      </c>
      <c r="F7316" t="s">
        <v>3</v>
      </c>
      <c r="G7316" s="18">
        <v>634</v>
      </c>
      <c r="H7316" t="s">
        <v>24</v>
      </c>
      <c r="I7316" t="s">
        <v>16</v>
      </c>
    </row>
    <row r="7317" spans="1:9" x14ac:dyDescent="0.25">
      <c r="A7317">
        <v>1819</v>
      </c>
      <c r="B7317">
        <f>A7317+1</f>
        <v>1820</v>
      </c>
      <c r="C7317" t="s">
        <v>525</v>
      </c>
      <c r="D7317" t="s">
        <v>26</v>
      </c>
      <c r="E7317" s="208" t="s">
        <v>568</v>
      </c>
      <c r="F7317" t="s">
        <v>169</v>
      </c>
      <c r="G7317" s="18">
        <v>0</v>
      </c>
      <c r="H7317" t="s">
        <v>160</v>
      </c>
      <c r="I7317" t="s">
        <v>16</v>
      </c>
    </row>
    <row r="7318" spans="1:9" x14ac:dyDescent="0.25">
      <c r="A7318">
        <v>1819</v>
      </c>
      <c r="B7318">
        <f>A7318+1</f>
        <v>1820</v>
      </c>
      <c r="C7318" t="s">
        <v>525</v>
      </c>
      <c r="D7318" t="s">
        <v>26</v>
      </c>
      <c r="E7318" s="208" t="s">
        <v>568</v>
      </c>
      <c r="F7318" t="s">
        <v>6</v>
      </c>
      <c r="G7318" s="18">
        <v>0</v>
      </c>
      <c r="H7318" t="s">
        <v>25</v>
      </c>
      <c r="I7318" t="s">
        <v>16</v>
      </c>
    </row>
    <row r="7319" spans="1:9" x14ac:dyDescent="0.25">
      <c r="A7319">
        <v>1819</v>
      </c>
      <c r="B7319">
        <f>A7319+1</f>
        <v>1820</v>
      </c>
      <c r="C7319" t="s">
        <v>525</v>
      </c>
      <c r="D7319" t="s">
        <v>26</v>
      </c>
      <c r="E7319" s="208" t="s">
        <v>568</v>
      </c>
      <c r="F7319" t="s">
        <v>7</v>
      </c>
      <c r="G7319" s="18">
        <v>634</v>
      </c>
      <c r="H7319" s="151" t="s">
        <v>563</v>
      </c>
      <c r="I7319" t="s">
        <v>16</v>
      </c>
    </row>
    <row r="7320" spans="1:9" x14ac:dyDescent="0.25">
      <c r="A7320">
        <v>1819</v>
      </c>
      <c r="B7320">
        <f>A7320+1</f>
        <v>1820</v>
      </c>
      <c r="C7320" t="s">
        <v>525</v>
      </c>
      <c r="D7320" t="s">
        <v>26</v>
      </c>
      <c r="E7320" s="208" t="s">
        <v>568</v>
      </c>
      <c r="F7320" t="s">
        <v>10</v>
      </c>
      <c r="G7320" s="18">
        <v>127</v>
      </c>
      <c r="H7320" t="s">
        <v>24</v>
      </c>
      <c r="I7320" t="s">
        <v>17</v>
      </c>
    </row>
    <row r="7321" spans="1:9" x14ac:dyDescent="0.25">
      <c r="A7321">
        <v>1819</v>
      </c>
      <c r="B7321">
        <f>A7321+1</f>
        <v>1820</v>
      </c>
      <c r="C7321" t="s">
        <v>525</v>
      </c>
      <c r="D7321" t="s">
        <v>26</v>
      </c>
      <c r="E7321" s="208" t="s">
        <v>568</v>
      </c>
      <c r="F7321" t="s">
        <v>164</v>
      </c>
      <c r="G7321" s="18">
        <v>0</v>
      </c>
      <c r="H7321" t="s">
        <v>160</v>
      </c>
      <c r="I7321" t="s">
        <v>17</v>
      </c>
    </row>
    <row r="7322" spans="1:9" x14ac:dyDescent="0.25">
      <c r="A7322">
        <v>1819</v>
      </c>
      <c r="B7322">
        <f>A7322+1</f>
        <v>1820</v>
      </c>
      <c r="C7322" t="s">
        <v>525</v>
      </c>
      <c r="D7322" t="s">
        <v>26</v>
      </c>
      <c r="E7322" s="208" t="s">
        <v>568</v>
      </c>
      <c r="F7322" t="s">
        <v>13</v>
      </c>
      <c r="G7322" s="18">
        <v>0</v>
      </c>
      <c r="H7322" t="s">
        <v>25</v>
      </c>
      <c r="I7322" t="s">
        <v>17</v>
      </c>
    </row>
    <row r="7323" spans="1:9" x14ac:dyDescent="0.25">
      <c r="A7323">
        <v>1819</v>
      </c>
      <c r="B7323">
        <f>A7323+1</f>
        <v>1820</v>
      </c>
      <c r="C7323" t="s">
        <v>525</v>
      </c>
      <c r="D7323" t="s">
        <v>26</v>
      </c>
      <c r="E7323" s="208" t="s">
        <v>568</v>
      </c>
      <c r="F7323" t="s">
        <v>14</v>
      </c>
      <c r="G7323" s="18">
        <v>127</v>
      </c>
      <c r="H7323" s="151" t="s">
        <v>563</v>
      </c>
      <c r="I7323" t="s">
        <v>17</v>
      </c>
    </row>
    <row r="7324" spans="1:9" x14ac:dyDescent="0.25">
      <c r="A7324">
        <v>1819</v>
      </c>
      <c r="B7324">
        <f>A7324+1</f>
        <v>1820</v>
      </c>
      <c r="C7324" t="s">
        <v>525</v>
      </c>
      <c r="D7324" t="s">
        <v>26</v>
      </c>
      <c r="E7324" s="208" t="s">
        <v>568</v>
      </c>
      <c r="F7324" t="s">
        <v>15</v>
      </c>
      <c r="G7324" s="18">
        <v>761</v>
      </c>
      <c r="H7324" s="151" t="s">
        <v>563</v>
      </c>
      <c r="I7324" t="s">
        <v>561</v>
      </c>
    </row>
    <row r="7325" spans="1:9" x14ac:dyDescent="0.25">
      <c r="A7325">
        <v>1819</v>
      </c>
      <c r="B7325">
        <f>A7325+1</f>
        <v>1820</v>
      </c>
      <c r="C7325" t="s">
        <v>525</v>
      </c>
      <c r="D7325" t="s">
        <v>26</v>
      </c>
      <c r="E7325" s="208" t="s">
        <v>566</v>
      </c>
      <c r="F7325" t="s">
        <v>3</v>
      </c>
      <c r="G7325" s="18">
        <v>211</v>
      </c>
      <c r="H7325" t="s">
        <v>24</v>
      </c>
      <c r="I7325" t="s">
        <v>16</v>
      </c>
    </row>
    <row r="7326" spans="1:9" x14ac:dyDescent="0.25">
      <c r="A7326">
        <v>1819</v>
      </c>
      <c r="B7326">
        <f>A7326+1</f>
        <v>1820</v>
      </c>
      <c r="C7326" t="s">
        <v>525</v>
      </c>
      <c r="D7326" t="s">
        <v>26</v>
      </c>
      <c r="E7326" s="208" t="s">
        <v>566</v>
      </c>
      <c r="F7326" t="s">
        <v>169</v>
      </c>
      <c r="G7326" s="18">
        <v>0</v>
      </c>
      <c r="H7326" t="s">
        <v>160</v>
      </c>
      <c r="I7326" t="s">
        <v>16</v>
      </c>
    </row>
    <row r="7327" spans="1:9" x14ac:dyDescent="0.25">
      <c r="A7327">
        <v>1819</v>
      </c>
      <c r="B7327">
        <f>A7327+1</f>
        <v>1820</v>
      </c>
      <c r="C7327" t="s">
        <v>525</v>
      </c>
      <c r="D7327" t="s">
        <v>26</v>
      </c>
      <c r="E7327" s="208" t="s">
        <v>566</v>
      </c>
      <c r="F7327" t="s">
        <v>6</v>
      </c>
      <c r="G7327" s="18">
        <v>0</v>
      </c>
      <c r="H7327" t="s">
        <v>25</v>
      </c>
      <c r="I7327" t="s">
        <v>16</v>
      </c>
    </row>
    <row r="7328" spans="1:9" x14ac:dyDescent="0.25">
      <c r="A7328">
        <v>1819</v>
      </c>
      <c r="B7328">
        <f>A7328+1</f>
        <v>1820</v>
      </c>
      <c r="C7328" t="s">
        <v>525</v>
      </c>
      <c r="D7328" t="s">
        <v>26</v>
      </c>
      <c r="E7328" s="208" t="s">
        <v>566</v>
      </c>
      <c r="F7328" t="s">
        <v>7</v>
      </c>
      <c r="G7328" s="18">
        <v>211</v>
      </c>
      <c r="H7328" s="151" t="s">
        <v>563</v>
      </c>
      <c r="I7328" t="s">
        <v>16</v>
      </c>
    </row>
    <row r="7329" spans="1:9" x14ac:dyDescent="0.25">
      <c r="A7329">
        <v>1819</v>
      </c>
      <c r="B7329">
        <f>A7329+1</f>
        <v>1820</v>
      </c>
      <c r="C7329" t="s">
        <v>525</v>
      </c>
      <c r="D7329" t="s">
        <v>26</v>
      </c>
      <c r="E7329" s="208" t="s">
        <v>566</v>
      </c>
      <c r="F7329" t="s">
        <v>10</v>
      </c>
      <c r="G7329" s="18">
        <v>178</v>
      </c>
      <c r="H7329" t="s">
        <v>24</v>
      </c>
      <c r="I7329" t="s">
        <v>17</v>
      </c>
    </row>
    <row r="7330" spans="1:9" x14ac:dyDescent="0.25">
      <c r="A7330">
        <v>1819</v>
      </c>
      <c r="B7330">
        <f>A7330+1</f>
        <v>1820</v>
      </c>
      <c r="C7330" t="s">
        <v>525</v>
      </c>
      <c r="D7330" t="s">
        <v>26</v>
      </c>
      <c r="E7330" s="208" t="s">
        <v>566</v>
      </c>
      <c r="F7330" t="s">
        <v>164</v>
      </c>
      <c r="G7330" s="18">
        <v>0</v>
      </c>
      <c r="H7330" t="s">
        <v>160</v>
      </c>
      <c r="I7330" t="s">
        <v>17</v>
      </c>
    </row>
    <row r="7331" spans="1:9" x14ac:dyDescent="0.25">
      <c r="A7331">
        <v>1819</v>
      </c>
      <c r="B7331">
        <f>A7331+1</f>
        <v>1820</v>
      </c>
      <c r="C7331" t="s">
        <v>525</v>
      </c>
      <c r="D7331" t="s">
        <v>26</v>
      </c>
      <c r="E7331" s="208" t="s">
        <v>566</v>
      </c>
      <c r="F7331" t="s">
        <v>13</v>
      </c>
      <c r="G7331" s="18">
        <v>0</v>
      </c>
      <c r="H7331" t="s">
        <v>25</v>
      </c>
      <c r="I7331" t="s">
        <v>17</v>
      </c>
    </row>
    <row r="7332" spans="1:9" x14ac:dyDescent="0.25">
      <c r="A7332">
        <v>1819</v>
      </c>
      <c r="B7332">
        <f>A7332+1</f>
        <v>1820</v>
      </c>
      <c r="C7332" t="s">
        <v>525</v>
      </c>
      <c r="D7332" t="s">
        <v>26</v>
      </c>
      <c r="E7332" s="208" t="s">
        <v>566</v>
      </c>
      <c r="F7332" t="s">
        <v>14</v>
      </c>
      <c r="G7332" s="18">
        <v>178</v>
      </c>
      <c r="H7332" s="151" t="s">
        <v>563</v>
      </c>
      <c r="I7332" t="s">
        <v>17</v>
      </c>
    </row>
    <row r="7333" spans="1:9" x14ac:dyDescent="0.25">
      <c r="A7333">
        <v>1819</v>
      </c>
      <c r="B7333">
        <f>A7333+1</f>
        <v>1820</v>
      </c>
      <c r="C7333" t="s">
        <v>525</v>
      </c>
      <c r="D7333" t="s">
        <v>26</v>
      </c>
      <c r="E7333" s="208" t="s">
        <v>566</v>
      </c>
      <c r="F7333" t="s">
        <v>15</v>
      </c>
      <c r="G7333" s="18">
        <v>389</v>
      </c>
      <c r="H7333" s="151" t="s">
        <v>563</v>
      </c>
      <c r="I7333" t="s">
        <v>561</v>
      </c>
    </row>
    <row r="7334" spans="1:9" x14ac:dyDescent="0.25">
      <c r="A7334">
        <v>1820</v>
      </c>
      <c r="B7334">
        <f>A7334+1</f>
        <v>1821</v>
      </c>
      <c r="C7334" t="s">
        <v>526</v>
      </c>
      <c r="D7334" t="s">
        <v>26</v>
      </c>
      <c r="E7334" s="208" t="s">
        <v>572</v>
      </c>
      <c r="F7334" t="s">
        <v>3</v>
      </c>
      <c r="G7334" s="18">
        <v>3602</v>
      </c>
      <c r="H7334" t="s">
        <v>24</v>
      </c>
      <c r="I7334" t="s">
        <v>16</v>
      </c>
    </row>
    <row r="7335" spans="1:9" x14ac:dyDescent="0.25">
      <c r="A7335">
        <v>1820</v>
      </c>
      <c r="B7335">
        <f>A7335+1</f>
        <v>1821</v>
      </c>
      <c r="C7335" t="s">
        <v>526</v>
      </c>
      <c r="D7335" t="s">
        <v>26</v>
      </c>
      <c r="E7335" s="208" t="s">
        <v>572</v>
      </c>
      <c r="F7335" t="s">
        <v>169</v>
      </c>
      <c r="G7335" s="18">
        <v>0</v>
      </c>
      <c r="H7335" t="s">
        <v>160</v>
      </c>
      <c r="I7335" t="s">
        <v>16</v>
      </c>
    </row>
    <row r="7336" spans="1:9" x14ac:dyDescent="0.25">
      <c r="A7336">
        <v>1820</v>
      </c>
      <c r="B7336">
        <f>A7336+1</f>
        <v>1821</v>
      </c>
      <c r="C7336" t="s">
        <v>526</v>
      </c>
      <c r="D7336" t="s">
        <v>26</v>
      </c>
      <c r="E7336" s="208" t="s">
        <v>572</v>
      </c>
      <c r="F7336" t="s">
        <v>6</v>
      </c>
      <c r="G7336" s="18">
        <v>0</v>
      </c>
      <c r="H7336" t="s">
        <v>25</v>
      </c>
      <c r="I7336" t="s">
        <v>16</v>
      </c>
    </row>
    <row r="7337" spans="1:9" x14ac:dyDescent="0.25">
      <c r="A7337">
        <v>1820</v>
      </c>
      <c r="B7337">
        <f>A7337+1</f>
        <v>1821</v>
      </c>
      <c r="C7337" t="s">
        <v>526</v>
      </c>
      <c r="D7337" t="s">
        <v>26</v>
      </c>
      <c r="E7337" s="208" t="s">
        <v>572</v>
      </c>
      <c r="F7337" t="s">
        <v>7</v>
      </c>
      <c r="G7337" s="18">
        <v>3602</v>
      </c>
      <c r="H7337" s="151" t="s">
        <v>563</v>
      </c>
      <c r="I7337" t="s">
        <v>16</v>
      </c>
    </row>
    <row r="7338" spans="1:9" x14ac:dyDescent="0.25">
      <c r="A7338">
        <v>1820</v>
      </c>
      <c r="B7338">
        <f>A7338+1</f>
        <v>1821</v>
      </c>
      <c r="C7338" t="s">
        <v>526</v>
      </c>
      <c r="D7338" t="s">
        <v>26</v>
      </c>
      <c r="E7338" s="208" t="s">
        <v>572</v>
      </c>
      <c r="F7338" t="s">
        <v>10</v>
      </c>
      <c r="G7338" s="18">
        <v>746</v>
      </c>
      <c r="H7338" t="s">
        <v>24</v>
      </c>
      <c r="I7338" t="s">
        <v>17</v>
      </c>
    </row>
    <row r="7339" spans="1:9" x14ac:dyDescent="0.25">
      <c r="A7339">
        <v>1820</v>
      </c>
      <c r="B7339">
        <f>A7339+1</f>
        <v>1821</v>
      </c>
      <c r="C7339" t="s">
        <v>526</v>
      </c>
      <c r="D7339" t="s">
        <v>26</v>
      </c>
      <c r="E7339" s="208" t="s">
        <v>572</v>
      </c>
      <c r="F7339" t="s">
        <v>164</v>
      </c>
      <c r="G7339" s="18">
        <v>0</v>
      </c>
      <c r="H7339" t="s">
        <v>160</v>
      </c>
      <c r="I7339" t="s">
        <v>17</v>
      </c>
    </row>
    <row r="7340" spans="1:9" x14ac:dyDescent="0.25">
      <c r="A7340">
        <v>1820</v>
      </c>
      <c r="B7340">
        <f>A7340+1</f>
        <v>1821</v>
      </c>
      <c r="C7340" t="s">
        <v>526</v>
      </c>
      <c r="D7340" t="s">
        <v>26</v>
      </c>
      <c r="E7340" s="208" t="s">
        <v>572</v>
      </c>
      <c r="F7340" t="s">
        <v>13</v>
      </c>
      <c r="G7340" s="18">
        <v>0</v>
      </c>
      <c r="H7340" t="s">
        <v>25</v>
      </c>
      <c r="I7340" t="s">
        <v>17</v>
      </c>
    </row>
    <row r="7341" spans="1:9" x14ac:dyDescent="0.25">
      <c r="A7341">
        <v>1820</v>
      </c>
      <c r="B7341">
        <f>A7341+1</f>
        <v>1821</v>
      </c>
      <c r="C7341" t="s">
        <v>526</v>
      </c>
      <c r="D7341" t="s">
        <v>26</v>
      </c>
      <c r="E7341" s="208" t="s">
        <v>572</v>
      </c>
      <c r="F7341" t="s">
        <v>14</v>
      </c>
      <c r="G7341" s="18">
        <v>746</v>
      </c>
      <c r="H7341" s="151" t="s">
        <v>563</v>
      </c>
      <c r="I7341" t="s">
        <v>17</v>
      </c>
    </row>
    <row r="7342" spans="1:9" x14ac:dyDescent="0.25">
      <c r="A7342">
        <v>1820</v>
      </c>
      <c r="B7342">
        <f>A7342+1</f>
        <v>1821</v>
      </c>
      <c r="C7342" t="s">
        <v>526</v>
      </c>
      <c r="D7342" t="s">
        <v>26</v>
      </c>
      <c r="E7342" s="208" t="s">
        <v>572</v>
      </c>
      <c r="F7342" t="s">
        <v>15</v>
      </c>
      <c r="G7342" s="18">
        <v>4348</v>
      </c>
      <c r="H7342" s="151" t="s">
        <v>563</v>
      </c>
      <c r="I7342" t="s">
        <v>561</v>
      </c>
    </row>
    <row r="7343" spans="1:9" x14ac:dyDescent="0.25">
      <c r="A7343">
        <v>1820</v>
      </c>
      <c r="B7343">
        <f>A7343+1</f>
        <v>1821</v>
      </c>
      <c r="C7343" t="s">
        <v>526</v>
      </c>
      <c r="D7343" t="s">
        <v>26</v>
      </c>
      <c r="E7343" s="208" t="s">
        <v>571</v>
      </c>
      <c r="F7343" t="s">
        <v>3</v>
      </c>
      <c r="G7343" s="18">
        <v>5663</v>
      </c>
      <c r="H7343" t="s">
        <v>24</v>
      </c>
      <c r="I7343" t="s">
        <v>16</v>
      </c>
    </row>
    <row r="7344" spans="1:9" x14ac:dyDescent="0.25">
      <c r="A7344">
        <v>1820</v>
      </c>
      <c r="B7344">
        <f>A7344+1</f>
        <v>1821</v>
      </c>
      <c r="C7344" t="s">
        <v>526</v>
      </c>
      <c r="D7344" t="s">
        <v>26</v>
      </c>
      <c r="E7344" s="208" t="s">
        <v>571</v>
      </c>
      <c r="F7344" t="s">
        <v>169</v>
      </c>
      <c r="G7344" s="18">
        <v>0</v>
      </c>
      <c r="H7344" t="s">
        <v>160</v>
      </c>
      <c r="I7344" t="s">
        <v>16</v>
      </c>
    </row>
    <row r="7345" spans="1:9" x14ac:dyDescent="0.25">
      <c r="A7345">
        <v>1820</v>
      </c>
      <c r="B7345">
        <f>A7345+1</f>
        <v>1821</v>
      </c>
      <c r="C7345" t="s">
        <v>526</v>
      </c>
      <c r="D7345" t="s">
        <v>26</v>
      </c>
      <c r="E7345" s="208" t="s">
        <v>571</v>
      </c>
      <c r="F7345" t="s">
        <v>6</v>
      </c>
      <c r="G7345" s="18">
        <v>0</v>
      </c>
      <c r="H7345" t="s">
        <v>25</v>
      </c>
      <c r="I7345" t="s">
        <v>16</v>
      </c>
    </row>
    <row r="7346" spans="1:9" x14ac:dyDescent="0.25">
      <c r="A7346">
        <v>1820</v>
      </c>
      <c r="B7346">
        <f>A7346+1</f>
        <v>1821</v>
      </c>
      <c r="C7346" t="s">
        <v>526</v>
      </c>
      <c r="D7346" t="s">
        <v>26</v>
      </c>
      <c r="E7346" s="208" t="s">
        <v>571</v>
      </c>
      <c r="F7346" t="s">
        <v>7</v>
      </c>
      <c r="G7346" s="18">
        <v>5663</v>
      </c>
      <c r="H7346" s="151" t="s">
        <v>563</v>
      </c>
      <c r="I7346" t="s">
        <v>16</v>
      </c>
    </row>
    <row r="7347" spans="1:9" x14ac:dyDescent="0.25">
      <c r="A7347">
        <v>1820</v>
      </c>
      <c r="B7347">
        <f>A7347+1</f>
        <v>1821</v>
      </c>
      <c r="C7347" t="s">
        <v>526</v>
      </c>
      <c r="D7347" t="s">
        <v>26</v>
      </c>
      <c r="E7347" s="208" t="s">
        <v>571</v>
      </c>
      <c r="F7347" t="s">
        <v>10</v>
      </c>
      <c r="G7347" s="18">
        <v>2223</v>
      </c>
      <c r="H7347" t="s">
        <v>24</v>
      </c>
      <c r="I7347" t="s">
        <v>17</v>
      </c>
    </row>
    <row r="7348" spans="1:9" x14ac:dyDescent="0.25">
      <c r="A7348">
        <v>1820</v>
      </c>
      <c r="B7348">
        <f>A7348+1</f>
        <v>1821</v>
      </c>
      <c r="C7348" t="s">
        <v>526</v>
      </c>
      <c r="D7348" t="s">
        <v>26</v>
      </c>
      <c r="E7348" s="208" t="s">
        <v>571</v>
      </c>
      <c r="F7348" t="s">
        <v>164</v>
      </c>
      <c r="G7348" s="18">
        <v>0</v>
      </c>
      <c r="H7348" t="s">
        <v>160</v>
      </c>
      <c r="I7348" t="s">
        <v>17</v>
      </c>
    </row>
    <row r="7349" spans="1:9" x14ac:dyDescent="0.25">
      <c r="A7349">
        <v>1820</v>
      </c>
      <c r="B7349">
        <f>A7349+1</f>
        <v>1821</v>
      </c>
      <c r="C7349" t="s">
        <v>526</v>
      </c>
      <c r="D7349" t="s">
        <v>26</v>
      </c>
      <c r="E7349" s="208" t="s">
        <v>571</v>
      </c>
      <c r="F7349" t="s">
        <v>13</v>
      </c>
      <c r="G7349" s="18">
        <v>0</v>
      </c>
      <c r="H7349" t="s">
        <v>25</v>
      </c>
      <c r="I7349" t="s">
        <v>17</v>
      </c>
    </row>
    <row r="7350" spans="1:9" x14ac:dyDescent="0.25">
      <c r="A7350">
        <v>1820</v>
      </c>
      <c r="B7350">
        <f>A7350+1</f>
        <v>1821</v>
      </c>
      <c r="C7350" t="s">
        <v>526</v>
      </c>
      <c r="D7350" t="s">
        <v>26</v>
      </c>
      <c r="E7350" s="208" t="s">
        <v>571</v>
      </c>
      <c r="F7350" t="s">
        <v>14</v>
      </c>
      <c r="G7350" s="18">
        <v>2223</v>
      </c>
      <c r="H7350" s="151" t="s">
        <v>563</v>
      </c>
      <c r="I7350" t="s">
        <v>17</v>
      </c>
    </row>
    <row r="7351" spans="1:9" x14ac:dyDescent="0.25">
      <c r="A7351">
        <v>1820</v>
      </c>
      <c r="B7351">
        <f>A7351+1</f>
        <v>1821</v>
      </c>
      <c r="C7351" t="s">
        <v>526</v>
      </c>
      <c r="D7351" t="s">
        <v>26</v>
      </c>
      <c r="E7351" s="208" t="s">
        <v>571</v>
      </c>
      <c r="F7351" t="s">
        <v>15</v>
      </c>
      <c r="G7351" s="18">
        <v>7886</v>
      </c>
      <c r="H7351" s="151" t="s">
        <v>563</v>
      </c>
      <c r="I7351" t="s">
        <v>561</v>
      </c>
    </row>
    <row r="7352" spans="1:9" x14ac:dyDescent="0.25">
      <c r="A7352">
        <v>1820</v>
      </c>
      <c r="B7352">
        <f>A7352+1</f>
        <v>1821</v>
      </c>
      <c r="C7352" t="s">
        <v>526</v>
      </c>
      <c r="D7352" t="s">
        <v>26</v>
      </c>
      <c r="E7352" s="208" t="s">
        <v>570</v>
      </c>
      <c r="F7352" t="s">
        <v>3</v>
      </c>
      <c r="G7352" s="18">
        <v>1886</v>
      </c>
      <c r="H7352" t="s">
        <v>24</v>
      </c>
      <c r="I7352" t="s">
        <v>16</v>
      </c>
    </row>
    <row r="7353" spans="1:9" x14ac:dyDescent="0.25">
      <c r="A7353">
        <v>1820</v>
      </c>
      <c r="B7353">
        <f>A7353+1</f>
        <v>1821</v>
      </c>
      <c r="C7353" t="s">
        <v>526</v>
      </c>
      <c r="D7353" t="s">
        <v>26</v>
      </c>
      <c r="E7353" s="208" t="s">
        <v>570</v>
      </c>
      <c r="F7353" t="s">
        <v>169</v>
      </c>
      <c r="G7353" s="18">
        <v>0</v>
      </c>
      <c r="H7353" t="s">
        <v>160</v>
      </c>
      <c r="I7353" t="s">
        <v>16</v>
      </c>
    </row>
    <row r="7354" spans="1:9" x14ac:dyDescent="0.25">
      <c r="A7354">
        <v>1820</v>
      </c>
      <c r="B7354">
        <f>A7354+1</f>
        <v>1821</v>
      </c>
      <c r="C7354" t="s">
        <v>526</v>
      </c>
      <c r="D7354" t="s">
        <v>26</v>
      </c>
      <c r="E7354" s="208" t="s">
        <v>570</v>
      </c>
      <c r="F7354" t="s">
        <v>6</v>
      </c>
      <c r="G7354" s="18">
        <v>0</v>
      </c>
      <c r="H7354" t="s">
        <v>25</v>
      </c>
      <c r="I7354" t="s">
        <v>16</v>
      </c>
    </row>
    <row r="7355" spans="1:9" x14ac:dyDescent="0.25">
      <c r="A7355">
        <v>1820</v>
      </c>
      <c r="B7355">
        <f>A7355+1</f>
        <v>1821</v>
      </c>
      <c r="C7355" t="s">
        <v>526</v>
      </c>
      <c r="D7355" t="s">
        <v>26</v>
      </c>
      <c r="E7355" s="208" t="s">
        <v>570</v>
      </c>
      <c r="F7355" t="s">
        <v>7</v>
      </c>
      <c r="G7355" s="18">
        <v>1886</v>
      </c>
      <c r="H7355" s="151" t="s">
        <v>563</v>
      </c>
      <c r="I7355" t="s">
        <v>16</v>
      </c>
    </row>
    <row r="7356" spans="1:9" x14ac:dyDescent="0.25">
      <c r="A7356">
        <v>1820</v>
      </c>
      <c r="B7356">
        <f>A7356+1</f>
        <v>1821</v>
      </c>
      <c r="C7356" t="s">
        <v>526</v>
      </c>
      <c r="D7356" t="s">
        <v>26</v>
      </c>
      <c r="E7356" s="208" t="s">
        <v>570</v>
      </c>
      <c r="F7356" t="s">
        <v>10</v>
      </c>
      <c r="G7356" s="18">
        <v>932</v>
      </c>
      <c r="H7356" t="s">
        <v>24</v>
      </c>
      <c r="I7356" t="s">
        <v>17</v>
      </c>
    </row>
    <row r="7357" spans="1:9" x14ac:dyDescent="0.25">
      <c r="A7357">
        <v>1820</v>
      </c>
      <c r="B7357">
        <f>A7357+1</f>
        <v>1821</v>
      </c>
      <c r="C7357" t="s">
        <v>526</v>
      </c>
      <c r="D7357" t="s">
        <v>26</v>
      </c>
      <c r="E7357" s="208" t="s">
        <v>570</v>
      </c>
      <c r="F7357" t="s">
        <v>164</v>
      </c>
      <c r="G7357" s="18">
        <v>0</v>
      </c>
      <c r="H7357" t="s">
        <v>160</v>
      </c>
      <c r="I7357" t="s">
        <v>17</v>
      </c>
    </row>
    <row r="7358" spans="1:9" x14ac:dyDescent="0.25">
      <c r="A7358">
        <v>1820</v>
      </c>
      <c r="B7358">
        <f>A7358+1</f>
        <v>1821</v>
      </c>
      <c r="C7358" t="s">
        <v>526</v>
      </c>
      <c r="D7358" t="s">
        <v>26</v>
      </c>
      <c r="E7358" s="208" t="s">
        <v>570</v>
      </c>
      <c r="F7358" t="s">
        <v>13</v>
      </c>
      <c r="G7358" s="18">
        <v>0</v>
      </c>
      <c r="H7358" t="s">
        <v>25</v>
      </c>
      <c r="I7358" t="s">
        <v>17</v>
      </c>
    </row>
    <row r="7359" spans="1:9" x14ac:dyDescent="0.25">
      <c r="A7359">
        <v>1820</v>
      </c>
      <c r="B7359">
        <f>A7359+1</f>
        <v>1821</v>
      </c>
      <c r="C7359" t="s">
        <v>526</v>
      </c>
      <c r="D7359" t="s">
        <v>26</v>
      </c>
      <c r="E7359" s="208" t="s">
        <v>570</v>
      </c>
      <c r="F7359" t="s">
        <v>14</v>
      </c>
      <c r="G7359" s="18">
        <v>932</v>
      </c>
      <c r="H7359" s="151" t="s">
        <v>563</v>
      </c>
      <c r="I7359" t="s">
        <v>17</v>
      </c>
    </row>
    <row r="7360" spans="1:9" x14ac:dyDescent="0.25">
      <c r="A7360">
        <v>1820</v>
      </c>
      <c r="B7360">
        <f>A7360+1</f>
        <v>1821</v>
      </c>
      <c r="C7360" t="s">
        <v>526</v>
      </c>
      <c r="D7360" t="s">
        <v>26</v>
      </c>
      <c r="E7360" s="208" t="s">
        <v>570</v>
      </c>
      <c r="F7360" t="s">
        <v>15</v>
      </c>
      <c r="G7360" s="18">
        <v>2818</v>
      </c>
      <c r="H7360" s="151" t="s">
        <v>563</v>
      </c>
      <c r="I7360" t="s">
        <v>561</v>
      </c>
    </row>
    <row r="7361" spans="1:9" x14ac:dyDescent="0.25">
      <c r="A7361">
        <v>1820</v>
      </c>
      <c r="B7361">
        <f>A7361+1</f>
        <v>1821</v>
      </c>
      <c r="C7361" t="s">
        <v>526</v>
      </c>
      <c r="D7361" t="s">
        <v>27</v>
      </c>
      <c r="E7361" s="208" t="s">
        <v>155</v>
      </c>
      <c r="F7361" t="s">
        <v>3</v>
      </c>
      <c r="G7361" s="18">
        <v>141</v>
      </c>
      <c r="H7361" t="s">
        <v>16</v>
      </c>
      <c r="I7361" t="s">
        <v>24</v>
      </c>
    </row>
    <row r="7362" spans="1:9" x14ac:dyDescent="0.25">
      <c r="A7362">
        <v>1820</v>
      </c>
      <c r="B7362">
        <f>A7362+1</f>
        <v>1821</v>
      </c>
      <c r="C7362" t="s">
        <v>526</v>
      </c>
      <c r="D7362" t="s">
        <v>27</v>
      </c>
      <c r="E7362" s="208" t="s">
        <v>156</v>
      </c>
      <c r="F7362" t="s">
        <v>3</v>
      </c>
      <c r="G7362" s="18">
        <v>35</v>
      </c>
      <c r="H7362" t="s">
        <v>16</v>
      </c>
      <c r="I7362" t="s">
        <v>24</v>
      </c>
    </row>
    <row r="7363" spans="1:9" x14ac:dyDescent="0.25">
      <c r="A7363">
        <v>1820</v>
      </c>
      <c r="B7363">
        <f>A7363+1</f>
        <v>1821</v>
      </c>
      <c r="C7363" t="s">
        <v>526</v>
      </c>
      <c r="D7363" t="s">
        <v>27</v>
      </c>
      <c r="E7363" s="208" t="s">
        <v>154</v>
      </c>
      <c r="F7363" t="s">
        <v>3</v>
      </c>
      <c r="G7363" s="18">
        <v>253</v>
      </c>
      <c r="H7363" t="s">
        <v>16</v>
      </c>
      <c r="I7363" t="s">
        <v>24</v>
      </c>
    </row>
    <row r="7364" spans="1:9" x14ac:dyDescent="0.25">
      <c r="A7364">
        <v>1820</v>
      </c>
      <c r="B7364">
        <f>A7364+1</f>
        <v>1821</v>
      </c>
      <c r="C7364" t="s">
        <v>526</v>
      </c>
      <c r="D7364" t="s">
        <v>27</v>
      </c>
      <c r="E7364" s="208" t="s">
        <v>150</v>
      </c>
      <c r="F7364" t="s">
        <v>3</v>
      </c>
      <c r="G7364" s="18">
        <v>1098</v>
      </c>
      <c r="H7364" t="s">
        <v>16</v>
      </c>
      <c r="I7364" t="s">
        <v>24</v>
      </c>
    </row>
    <row r="7365" spans="1:9" x14ac:dyDescent="0.25">
      <c r="A7365">
        <v>1820</v>
      </c>
      <c r="B7365">
        <f>A7365+1</f>
        <v>1821</v>
      </c>
      <c r="C7365" t="s">
        <v>526</v>
      </c>
      <c r="D7365" t="s">
        <v>27</v>
      </c>
      <c r="E7365" s="208" t="s">
        <v>148</v>
      </c>
      <c r="F7365" t="s">
        <v>3</v>
      </c>
      <c r="G7365" s="18">
        <v>38</v>
      </c>
      <c r="H7365" t="s">
        <v>16</v>
      </c>
      <c r="I7365" t="s">
        <v>24</v>
      </c>
    </row>
    <row r="7366" spans="1:9" x14ac:dyDescent="0.25">
      <c r="A7366">
        <v>1820</v>
      </c>
      <c r="B7366">
        <f>A7366+1</f>
        <v>1821</v>
      </c>
      <c r="C7366" t="s">
        <v>526</v>
      </c>
      <c r="D7366" t="s">
        <v>27</v>
      </c>
      <c r="E7366" s="208" t="s">
        <v>147</v>
      </c>
      <c r="F7366" t="s">
        <v>3</v>
      </c>
      <c r="G7366" s="18">
        <v>0</v>
      </c>
      <c r="H7366" t="s">
        <v>16</v>
      </c>
      <c r="I7366" t="s">
        <v>24</v>
      </c>
    </row>
    <row r="7367" spans="1:9" x14ac:dyDescent="0.25">
      <c r="A7367">
        <v>1820</v>
      </c>
      <c r="B7367">
        <f>A7367+1</f>
        <v>1821</v>
      </c>
      <c r="C7367" t="s">
        <v>526</v>
      </c>
      <c r="D7367" t="s">
        <v>27</v>
      </c>
      <c r="E7367" s="208" t="s">
        <v>314</v>
      </c>
      <c r="F7367" t="s">
        <v>3</v>
      </c>
      <c r="G7367" s="18">
        <v>0</v>
      </c>
      <c r="H7367" t="s">
        <v>16</v>
      </c>
      <c r="I7367" t="s">
        <v>24</v>
      </c>
    </row>
    <row r="7368" spans="1:9" x14ac:dyDescent="0.25">
      <c r="A7368">
        <v>1820</v>
      </c>
      <c r="B7368">
        <f>A7368+1</f>
        <v>1821</v>
      </c>
      <c r="C7368" t="s">
        <v>526</v>
      </c>
      <c r="D7368" t="s">
        <v>27</v>
      </c>
      <c r="E7368" s="208" t="s">
        <v>139</v>
      </c>
      <c r="F7368" t="s">
        <v>3</v>
      </c>
      <c r="G7368" s="18">
        <v>7</v>
      </c>
      <c r="H7368" t="s">
        <v>16</v>
      </c>
      <c r="I7368" t="s">
        <v>24</v>
      </c>
    </row>
    <row r="7369" spans="1:9" x14ac:dyDescent="0.25">
      <c r="A7369">
        <v>1820</v>
      </c>
      <c r="B7369">
        <f>A7369+1</f>
        <v>1821</v>
      </c>
      <c r="C7369" t="s">
        <v>526</v>
      </c>
      <c r="D7369" t="s">
        <v>27</v>
      </c>
      <c r="E7369" s="208" t="s">
        <v>132</v>
      </c>
      <c r="F7369" t="s">
        <v>3</v>
      </c>
      <c r="G7369" s="18">
        <v>0</v>
      </c>
      <c r="H7369" t="s">
        <v>16</v>
      </c>
      <c r="I7369" t="s">
        <v>24</v>
      </c>
    </row>
    <row r="7370" spans="1:9" x14ac:dyDescent="0.25">
      <c r="A7370">
        <v>1820</v>
      </c>
      <c r="B7370">
        <f>A7370+1</f>
        <v>1821</v>
      </c>
      <c r="C7370" t="s">
        <v>526</v>
      </c>
      <c r="D7370" t="s">
        <v>27</v>
      </c>
      <c r="E7370" s="208" t="s">
        <v>130</v>
      </c>
      <c r="F7370" t="s">
        <v>3</v>
      </c>
      <c r="G7370" s="18">
        <v>0</v>
      </c>
      <c r="H7370" t="s">
        <v>16</v>
      </c>
      <c r="I7370" t="s">
        <v>24</v>
      </c>
    </row>
    <row r="7371" spans="1:9" x14ac:dyDescent="0.25">
      <c r="A7371">
        <v>1820</v>
      </c>
      <c r="B7371">
        <f>A7371+1</f>
        <v>1821</v>
      </c>
      <c r="C7371" t="s">
        <v>526</v>
      </c>
      <c r="D7371" t="s">
        <v>27</v>
      </c>
      <c r="E7371" s="208" t="s">
        <v>144</v>
      </c>
      <c r="F7371" t="s">
        <v>3</v>
      </c>
      <c r="G7371" s="18">
        <v>24</v>
      </c>
      <c r="H7371" t="s">
        <v>16</v>
      </c>
      <c r="I7371" t="s">
        <v>24</v>
      </c>
    </row>
    <row r="7372" spans="1:9" x14ac:dyDescent="0.25">
      <c r="A7372">
        <v>1820</v>
      </c>
      <c r="B7372">
        <f>A7372+1</f>
        <v>1821</v>
      </c>
      <c r="C7372" t="s">
        <v>526</v>
      </c>
      <c r="D7372" t="s">
        <v>27</v>
      </c>
      <c r="E7372" s="208" t="s">
        <v>142</v>
      </c>
      <c r="F7372" t="s">
        <v>3</v>
      </c>
      <c r="G7372" s="18">
        <v>152</v>
      </c>
      <c r="H7372" t="s">
        <v>16</v>
      </c>
      <c r="I7372" t="s">
        <v>24</v>
      </c>
    </row>
    <row r="7373" spans="1:9" x14ac:dyDescent="0.25">
      <c r="A7373">
        <v>1820</v>
      </c>
      <c r="B7373">
        <f>A7373+1</f>
        <v>1821</v>
      </c>
      <c r="C7373" t="s">
        <v>526</v>
      </c>
      <c r="D7373" t="s">
        <v>27</v>
      </c>
      <c r="E7373" s="208" t="s">
        <v>124</v>
      </c>
      <c r="F7373" t="s">
        <v>3</v>
      </c>
      <c r="G7373" s="18">
        <v>93726</v>
      </c>
      <c r="H7373" t="s">
        <v>16</v>
      </c>
      <c r="I7373" t="s">
        <v>24</v>
      </c>
    </row>
    <row r="7374" spans="1:9" x14ac:dyDescent="0.25">
      <c r="A7374">
        <v>1820</v>
      </c>
      <c r="B7374">
        <f>A7374+1</f>
        <v>1821</v>
      </c>
      <c r="C7374" t="s">
        <v>526</v>
      </c>
      <c r="D7374" t="s">
        <v>26</v>
      </c>
      <c r="E7374" s="208" t="s">
        <v>62</v>
      </c>
      <c r="F7374" t="s">
        <v>3</v>
      </c>
      <c r="G7374" s="18">
        <v>8461</v>
      </c>
      <c r="H7374" t="s">
        <v>24</v>
      </c>
      <c r="I7374" t="s">
        <v>16</v>
      </c>
    </row>
    <row r="7375" spans="1:9" x14ac:dyDescent="0.25">
      <c r="A7375">
        <v>1820</v>
      </c>
      <c r="B7375">
        <f>A7375+1</f>
        <v>1821</v>
      </c>
      <c r="C7375" t="s">
        <v>526</v>
      </c>
      <c r="D7375" t="s">
        <v>26</v>
      </c>
      <c r="E7375" s="208" t="s">
        <v>36</v>
      </c>
      <c r="F7375" t="s">
        <v>3</v>
      </c>
      <c r="G7375" s="18">
        <v>1622</v>
      </c>
      <c r="H7375" t="s">
        <v>24</v>
      </c>
      <c r="I7375" t="s">
        <v>16</v>
      </c>
    </row>
    <row r="7376" spans="1:9" x14ac:dyDescent="0.25">
      <c r="A7376">
        <v>1820</v>
      </c>
      <c r="B7376">
        <f>A7376+1</f>
        <v>1821</v>
      </c>
      <c r="C7376" t="s">
        <v>526</v>
      </c>
      <c r="D7376" t="s">
        <v>26</v>
      </c>
      <c r="E7376" s="208" t="s">
        <v>35</v>
      </c>
      <c r="F7376" t="s">
        <v>3</v>
      </c>
      <c r="G7376" s="18">
        <v>20</v>
      </c>
      <c r="H7376" t="s">
        <v>24</v>
      </c>
      <c r="I7376" t="s">
        <v>16</v>
      </c>
    </row>
    <row r="7377" spans="1:9" x14ac:dyDescent="0.25">
      <c r="A7377">
        <v>1820</v>
      </c>
      <c r="B7377">
        <f>A7377+1</f>
        <v>1821</v>
      </c>
      <c r="C7377" t="s">
        <v>526</v>
      </c>
      <c r="D7377" t="s">
        <v>26</v>
      </c>
      <c r="E7377" s="208" t="s">
        <v>39</v>
      </c>
      <c r="F7377" t="s">
        <v>3</v>
      </c>
      <c r="G7377" s="18">
        <v>935</v>
      </c>
      <c r="H7377" t="s">
        <v>24</v>
      </c>
      <c r="I7377" t="s">
        <v>16</v>
      </c>
    </row>
    <row r="7378" spans="1:9" x14ac:dyDescent="0.25">
      <c r="A7378">
        <v>1820</v>
      </c>
      <c r="B7378">
        <f>A7378+1</f>
        <v>1821</v>
      </c>
      <c r="C7378" t="s">
        <v>526</v>
      </c>
      <c r="D7378" t="s">
        <v>26</v>
      </c>
      <c r="E7378" s="208" t="s">
        <v>99</v>
      </c>
      <c r="F7378" t="s">
        <v>3</v>
      </c>
      <c r="G7378" s="18">
        <v>70</v>
      </c>
      <c r="H7378" t="s">
        <v>24</v>
      </c>
      <c r="I7378" t="s">
        <v>16</v>
      </c>
    </row>
    <row r="7379" spans="1:9" x14ac:dyDescent="0.25">
      <c r="A7379">
        <v>1820</v>
      </c>
      <c r="B7379">
        <f>A7379+1</f>
        <v>1821</v>
      </c>
      <c r="C7379" t="s">
        <v>526</v>
      </c>
      <c r="D7379" t="s">
        <v>26</v>
      </c>
      <c r="E7379" s="208" t="s">
        <v>95</v>
      </c>
      <c r="F7379" t="s">
        <v>3</v>
      </c>
      <c r="G7379" s="18">
        <v>0</v>
      </c>
      <c r="H7379" t="s">
        <v>24</v>
      </c>
      <c r="I7379" t="s">
        <v>16</v>
      </c>
    </row>
    <row r="7380" spans="1:9" x14ac:dyDescent="0.25">
      <c r="A7380">
        <v>1820</v>
      </c>
      <c r="B7380">
        <f>A7380+1</f>
        <v>1821</v>
      </c>
      <c r="C7380" t="s">
        <v>526</v>
      </c>
      <c r="D7380" t="s">
        <v>26</v>
      </c>
      <c r="E7380" s="208" t="s">
        <v>94</v>
      </c>
      <c r="F7380" t="s">
        <v>3</v>
      </c>
      <c r="G7380" s="18">
        <v>0</v>
      </c>
      <c r="H7380" t="s">
        <v>24</v>
      </c>
      <c r="I7380" t="s">
        <v>16</v>
      </c>
    </row>
    <row r="7381" spans="1:9" x14ac:dyDescent="0.25">
      <c r="A7381">
        <v>1820</v>
      </c>
      <c r="B7381">
        <f>A7381+1</f>
        <v>1821</v>
      </c>
      <c r="C7381" t="s">
        <v>526</v>
      </c>
      <c r="D7381" t="s">
        <v>26</v>
      </c>
      <c r="E7381" s="208" t="s">
        <v>386</v>
      </c>
      <c r="F7381" t="s">
        <v>3</v>
      </c>
      <c r="G7381" s="18">
        <v>7289</v>
      </c>
      <c r="H7381" t="s">
        <v>24</v>
      </c>
      <c r="I7381" t="s">
        <v>16</v>
      </c>
    </row>
    <row r="7382" spans="1:9" x14ac:dyDescent="0.25">
      <c r="A7382">
        <v>1820</v>
      </c>
      <c r="B7382">
        <f>A7382+1</f>
        <v>1821</v>
      </c>
      <c r="C7382" t="s">
        <v>526</v>
      </c>
      <c r="D7382" t="s">
        <v>26</v>
      </c>
      <c r="E7382" s="208" t="s">
        <v>387</v>
      </c>
      <c r="F7382" t="s">
        <v>3</v>
      </c>
      <c r="G7382" s="18">
        <v>1371</v>
      </c>
      <c r="H7382" t="s">
        <v>24</v>
      </c>
      <c r="I7382" t="s">
        <v>16</v>
      </c>
    </row>
    <row r="7383" spans="1:9" x14ac:dyDescent="0.25">
      <c r="A7383">
        <v>1820</v>
      </c>
      <c r="B7383">
        <f>A7383+1</f>
        <v>1821</v>
      </c>
      <c r="C7383" t="s">
        <v>526</v>
      </c>
      <c r="D7383" t="s">
        <v>26</v>
      </c>
      <c r="E7383" s="208" t="s">
        <v>388</v>
      </c>
      <c r="F7383" t="s">
        <v>3</v>
      </c>
      <c r="G7383" s="18">
        <v>5480</v>
      </c>
      <c r="H7383" t="s">
        <v>24</v>
      </c>
      <c r="I7383" t="s">
        <v>16</v>
      </c>
    </row>
    <row r="7384" spans="1:9" x14ac:dyDescent="0.25">
      <c r="A7384">
        <v>1820</v>
      </c>
      <c r="B7384">
        <f>A7384+1</f>
        <v>1821</v>
      </c>
      <c r="C7384" t="s">
        <v>526</v>
      </c>
      <c r="D7384" t="s">
        <v>26</v>
      </c>
      <c r="E7384" s="208" t="s">
        <v>383</v>
      </c>
      <c r="F7384" t="s">
        <v>3</v>
      </c>
      <c r="G7384" s="18">
        <v>110</v>
      </c>
      <c r="H7384" t="s">
        <v>24</v>
      </c>
      <c r="I7384" t="s">
        <v>16</v>
      </c>
    </row>
    <row r="7385" spans="1:9" x14ac:dyDescent="0.25">
      <c r="A7385">
        <v>1820</v>
      </c>
      <c r="B7385">
        <f>A7385+1</f>
        <v>1821</v>
      </c>
      <c r="C7385" t="s">
        <v>526</v>
      </c>
      <c r="D7385" t="s">
        <v>26</v>
      </c>
      <c r="E7385" s="208" t="s">
        <v>384</v>
      </c>
      <c r="F7385" t="s">
        <v>3</v>
      </c>
      <c r="G7385" s="18">
        <v>64</v>
      </c>
      <c r="H7385" t="s">
        <v>24</v>
      </c>
      <c r="I7385" t="s">
        <v>16</v>
      </c>
    </row>
    <row r="7386" spans="1:9" x14ac:dyDescent="0.25">
      <c r="A7386">
        <v>1820</v>
      </c>
      <c r="B7386">
        <f>A7386+1</f>
        <v>1821</v>
      </c>
      <c r="C7386" t="s">
        <v>526</v>
      </c>
      <c r="D7386" t="s">
        <v>26</v>
      </c>
      <c r="E7386" s="208" t="s">
        <v>107</v>
      </c>
      <c r="F7386" t="s">
        <v>3</v>
      </c>
      <c r="G7386" s="18">
        <v>2359395</v>
      </c>
      <c r="H7386" t="s">
        <v>24</v>
      </c>
      <c r="I7386" t="s">
        <v>16</v>
      </c>
    </row>
    <row r="7387" spans="1:9" x14ac:dyDescent="0.25">
      <c r="A7387">
        <v>1820</v>
      </c>
      <c r="B7387">
        <f>A7387+1</f>
        <v>1821</v>
      </c>
      <c r="C7387" t="s">
        <v>526</v>
      </c>
      <c r="D7387" t="s">
        <v>26</v>
      </c>
      <c r="E7387" s="208" t="s">
        <v>101</v>
      </c>
      <c r="F7387" t="s">
        <v>3</v>
      </c>
      <c r="G7387" s="18">
        <v>4728370</v>
      </c>
      <c r="H7387" t="s">
        <v>24</v>
      </c>
      <c r="I7387" t="s">
        <v>16</v>
      </c>
    </row>
    <row r="7388" spans="1:9" x14ac:dyDescent="0.25">
      <c r="A7388">
        <v>1820</v>
      </c>
      <c r="B7388">
        <f>A7388+1</f>
        <v>1821</v>
      </c>
      <c r="C7388" t="s">
        <v>526</v>
      </c>
      <c r="D7388" t="s">
        <v>26</v>
      </c>
      <c r="E7388" s="208" t="s">
        <v>75</v>
      </c>
      <c r="F7388" t="s">
        <v>3</v>
      </c>
      <c r="G7388" s="18">
        <v>4060155</v>
      </c>
      <c r="H7388" t="s">
        <v>24</v>
      </c>
      <c r="I7388" t="s">
        <v>16</v>
      </c>
    </row>
    <row r="7389" spans="1:9" x14ac:dyDescent="0.25">
      <c r="A7389">
        <v>1820</v>
      </c>
      <c r="B7389">
        <f>A7389+1</f>
        <v>1821</v>
      </c>
      <c r="C7389" t="s">
        <v>526</v>
      </c>
      <c r="D7389" t="s">
        <v>26</v>
      </c>
      <c r="E7389" s="208" t="s">
        <v>330</v>
      </c>
      <c r="F7389" t="s">
        <v>3</v>
      </c>
      <c r="G7389" s="18">
        <v>103</v>
      </c>
      <c r="H7389" t="s">
        <v>24</v>
      </c>
      <c r="I7389" t="s">
        <v>16</v>
      </c>
    </row>
    <row r="7390" spans="1:9" x14ac:dyDescent="0.25">
      <c r="A7390">
        <v>1820</v>
      </c>
      <c r="B7390">
        <f>A7390+1</f>
        <v>1821</v>
      </c>
      <c r="C7390" t="s">
        <v>526</v>
      </c>
      <c r="D7390" t="s">
        <v>26</v>
      </c>
      <c r="E7390" s="208" t="s">
        <v>331</v>
      </c>
      <c r="F7390" t="s">
        <v>3</v>
      </c>
      <c r="G7390" s="18">
        <v>0</v>
      </c>
      <c r="H7390" t="s">
        <v>24</v>
      </c>
      <c r="I7390" t="s">
        <v>16</v>
      </c>
    </row>
    <row r="7391" spans="1:9" x14ac:dyDescent="0.25">
      <c r="A7391">
        <v>1820</v>
      </c>
      <c r="B7391">
        <f>A7391+1</f>
        <v>1821</v>
      </c>
      <c r="C7391" t="s">
        <v>526</v>
      </c>
      <c r="D7391" t="s">
        <v>26</v>
      </c>
      <c r="E7391" s="208" t="s">
        <v>332</v>
      </c>
      <c r="F7391" t="s">
        <v>3</v>
      </c>
      <c r="G7391" s="18">
        <v>0</v>
      </c>
      <c r="H7391" t="s">
        <v>24</v>
      </c>
      <c r="I7391" t="s">
        <v>16</v>
      </c>
    </row>
    <row r="7392" spans="1:9" x14ac:dyDescent="0.25">
      <c r="A7392">
        <v>1820</v>
      </c>
      <c r="B7392">
        <f>A7392+1</f>
        <v>1821</v>
      </c>
      <c r="C7392" t="s">
        <v>526</v>
      </c>
      <c r="D7392" t="s">
        <v>26</v>
      </c>
      <c r="E7392" s="208" t="s">
        <v>333</v>
      </c>
      <c r="F7392" t="s">
        <v>3</v>
      </c>
      <c r="G7392" s="18">
        <v>0</v>
      </c>
      <c r="H7392" t="s">
        <v>24</v>
      </c>
      <c r="I7392" t="s">
        <v>16</v>
      </c>
    </row>
    <row r="7393" spans="1:9" x14ac:dyDescent="0.25">
      <c r="A7393">
        <v>1820</v>
      </c>
      <c r="B7393">
        <f>A7393+1</f>
        <v>1821</v>
      </c>
      <c r="C7393" t="s">
        <v>526</v>
      </c>
      <c r="D7393" t="s">
        <v>27</v>
      </c>
      <c r="E7393" s="208" t="s">
        <v>155</v>
      </c>
      <c r="F7393" t="s">
        <v>0</v>
      </c>
      <c r="G7393" s="18">
        <v>21651</v>
      </c>
      <c r="H7393" t="s">
        <v>16</v>
      </c>
      <c r="I7393" t="s">
        <v>18</v>
      </c>
    </row>
    <row r="7394" spans="1:9" x14ac:dyDescent="0.25">
      <c r="A7394">
        <v>1820</v>
      </c>
      <c r="B7394">
        <f>A7394+1</f>
        <v>1821</v>
      </c>
      <c r="C7394" t="s">
        <v>526</v>
      </c>
      <c r="D7394" t="s">
        <v>27</v>
      </c>
      <c r="E7394" s="208" t="s">
        <v>156</v>
      </c>
      <c r="F7394" t="s">
        <v>0</v>
      </c>
      <c r="G7394" s="18">
        <v>1953</v>
      </c>
      <c r="H7394" t="s">
        <v>16</v>
      </c>
      <c r="I7394" t="s">
        <v>18</v>
      </c>
    </row>
    <row r="7395" spans="1:9" x14ac:dyDescent="0.25">
      <c r="A7395">
        <v>1820</v>
      </c>
      <c r="B7395">
        <f>A7395+1</f>
        <v>1821</v>
      </c>
      <c r="C7395" t="s">
        <v>526</v>
      </c>
      <c r="D7395" t="s">
        <v>27</v>
      </c>
      <c r="E7395" s="208" t="s">
        <v>154</v>
      </c>
      <c r="F7395" t="s">
        <v>0</v>
      </c>
      <c r="G7395" s="18">
        <v>830</v>
      </c>
      <c r="H7395" t="s">
        <v>16</v>
      </c>
      <c r="I7395" t="s">
        <v>18</v>
      </c>
    </row>
    <row r="7396" spans="1:9" x14ac:dyDescent="0.25">
      <c r="A7396">
        <v>1820</v>
      </c>
      <c r="B7396">
        <f>A7396+1</f>
        <v>1821</v>
      </c>
      <c r="C7396" t="s">
        <v>526</v>
      </c>
      <c r="D7396" t="s">
        <v>27</v>
      </c>
      <c r="E7396" s="208" t="s">
        <v>150</v>
      </c>
      <c r="F7396" t="s">
        <v>0</v>
      </c>
      <c r="G7396" s="18">
        <v>6961</v>
      </c>
      <c r="H7396" t="s">
        <v>16</v>
      </c>
      <c r="I7396" t="s">
        <v>18</v>
      </c>
    </row>
    <row r="7397" spans="1:9" x14ac:dyDescent="0.25">
      <c r="A7397">
        <v>1820</v>
      </c>
      <c r="B7397">
        <f>A7397+1</f>
        <v>1821</v>
      </c>
      <c r="C7397" t="s">
        <v>526</v>
      </c>
      <c r="D7397" t="s">
        <v>27</v>
      </c>
      <c r="E7397" s="208" t="s">
        <v>148</v>
      </c>
      <c r="F7397" t="s">
        <v>0</v>
      </c>
      <c r="G7397" s="18">
        <v>453</v>
      </c>
      <c r="H7397" t="s">
        <v>16</v>
      </c>
      <c r="I7397" t="s">
        <v>18</v>
      </c>
    </row>
    <row r="7398" spans="1:9" x14ac:dyDescent="0.25">
      <c r="A7398">
        <v>1820</v>
      </c>
      <c r="B7398">
        <f>A7398+1</f>
        <v>1821</v>
      </c>
      <c r="C7398" t="s">
        <v>526</v>
      </c>
      <c r="D7398" t="s">
        <v>27</v>
      </c>
      <c r="E7398" s="208" t="s">
        <v>147</v>
      </c>
      <c r="F7398" t="s">
        <v>0</v>
      </c>
      <c r="G7398" s="18">
        <v>0</v>
      </c>
      <c r="H7398" t="s">
        <v>16</v>
      </c>
      <c r="I7398" t="s">
        <v>18</v>
      </c>
    </row>
    <row r="7399" spans="1:9" x14ac:dyDescent="0.25">
      <c r="A7399">
        <v>1820</v>
      </c>
      <c r="B7399">
        <f>A7399+1</f>
        <v>1821</v>
      </c>
      <c r="C7399" t="s">
        <v>526</v>
      </c>
      <c r="D7399" t="s">
        <v>27</v>
      </c>
      <c r="E7399" s="208" t="s">
        <v>314</v>
      </c>
      <c r="F7399" t="s">
        <v>0</v>
      </c>
      <c r="G7399" s="18">
        <v>0</v>
      </c>
      <c r="H7399" t="s">
        <v>16</v>
      </c>
      <c r="I7399" t="s">
        <v>18</v>
      </c>
    </row>
    <row r="7400" spans="1:9" x14ac:dyDescent="0.25">
      <c r="A7400">
        <v>1820</v>
      </c>
      <c r="B7400">
        <f>A7400+1</f>
        <v>1821</v>
      </c>
      <c r="C7400" t="s">
        <v>526</v>
      </c>
      <c r="D7400" t="s">
        <v>27</v>
      </c>
      <c r="E7400" s="208" t="s">
        <v>139</v>
      </c>
      <c r="F7400" t="s">
        <v>0</v>
      </c>
      <c r="G7400" s="18">
        <v>0</v>
      </c>
      <c r="H7400" t="s">
        <v>16</v>
      </c>
      <c r="I7400" t="s">
        <v>18</v>
      </c>
    </row>
    <row r="7401" spans="1:9" x14ac:dyDescent="0.25">
      <c r="A7401">
        <v>1820</v>
      </c>
      <c r="B7401">
        <f>A7401+1</f>
        <v>1821</v>
      </c>
      <c r="C7401" t="s">
        <v>526</v>
      </c>
      <c r="D7401" t="s">
        <v>27</v>
      </c>
      <c r="E7401" s="208" t="s">
        <v>132</v>
      </c>
      <c r="F7401" t="s">
        <v>0</v>
      </c>
      <c r="G7401" s="18">
        <v>158</v>
      </c>
      <c r="H7401" t="s">
        <v>16</v>
      </c>
      <c r="I7401" t="s">
        <v>18</v>
      </c>
    </row>
    <row r="7402" spans="1:9" x14ac:dyDescent="0.25">
      <c r="A7402">
        <v>1820</v>
      </c>
      <c r="B7402">
        <f>A7402+1</f>
        <v>1821</v>
      </c>
      <c r="C7402" t="s">
        <v>526</v>
      </c>
      <c r="D7402" t="s">
        <v>27</v>
      </c>
      <c r="E7402" s="208" t="s">
        <v>130</v>
      </c>
      <c r="F7402" t="s">
        <v>0</v>
      </c>
      <c r="G7402" s="18">
        <v>98</v>
      </c>
      <c r="H7402" t="s">
        <v>16</v>
      </c>
      <c r="I7402" t="s">
        <v>18</v>
      </c>
    </row>
    <row r="7403" spans="1:9" x14ac:dyDescent="0.25">
      <c r="A7403">
        <v>1820</v>
      </c>
      <c r="B7403">
        <f>A7403+1</f>
        <v>1821</v>
      </c>
      <c r="C7403" t="s">
        <v>526</v>
      </c>
      <c r="D7403" t="s">
        <v>27</v>
      </c>
      <c r="E7403" s="208" t="s">
        <v>144</v>
      </c>
      <c r="F7403" t="s">
        <v>0</v>
      </c>
      <c r="G7403" s="18">
        <v>833</v>
      </c>
      <c r="H7403" t="s">
        <v>16</v>
      </c>
      <c r="I7403" t="s">
        <v>18</v>
      </c>
    </row>
    <row r="7404" spans="1:9" x14ac:dyDescent="0.25">
      <c r="A7404">
        <v>1820</v>
      </c>
      <c r="B7404">
        <f>A7404+1</f>
        <v>1821</v>
      </c>
      <c r="C7404" t="s">
        <v>526</v>
      </c>
      <c r="D7404" t="s">
        <v>27</v>
      </c>
      <c r="E7404" s="208" t="s">
        <v>142</v>
      </c>
      <c r="F7404" t="s">
        <v>0</v>
      </c>
      <c r="G7404" s="18">
        <v>3108</v>
      </c>
      <c r="H7404" t="s">
        <v>16</v>
      </c>
      <c r="I7404" t="s">
        <v>18</v>
      </c>
    </row>
    <row r="7405" spans="1:9" x14ac:dyDescent="0.25">
      <c r="A7405">
        <v>1820</v>
      </c>
      <c r="B7405">
        <f>A7405+1</f>
        <v>1821</v>
      </c>
      <c r="C7405" t="s">
        <v>526</v>
      </c>
      <c r="D7405" t="s">
        <v>27</v>
      </c>
      <c r="E7405" s="208" t="s">
        <v>124</v>
      </c>
      <c r="F7405" t="s">
        <v>0</v>
      </c>
      <c r="G7405" s="18">
        <v>9233062</v>
      </c>
      <c r="H7405" t="s">
        <v>16</v>
      </c>
      <c r="I7405" t="s">
        <v>18</v>
      </c>
    </row>
    <row r="7406" spans="1:9" x14ac:dyDescent="0.25">
      <c r="A7406">
        <v>1820</v>
      </c>
      <c r="B7406">
        <f>A7406+1</f>
        <v>1821</v>
      </c>
      <c r="C7406" t="s">
        <v>526</v>
      </c>
      <c r="D7406" t="s">
        <v>26</v>
      </c>
      <c r="E7406" s="208" t="s">
        <v>62</v>
      </c>
      <c r="F7406" t="s">
        <v>169</v>
      </c>
      <c r="G7406" s="18">
        <v>41769</v>
      </c>
      <c r="H7406" t="s">
        <v>160</v>
      </c>
      <c r="I7406" t="s">
        <v>16</v>
      </c>
    </row>
    <row r="7407" spans="1:9" x14ac:dyDescent="0.25">
      <c r="A7407">
        <v>1820</v>
      </c>
      <c r="B7407">
        <f>A7407+1</f>
        <v>1821</v>
      </c>
      <c r="C7407" t="s">
        <v>526</v>
      </c>
      <c r="D7407" t="s">
        <v>26</v>
      </c>
      <c r="E7407" s="208" t="s">
        <v>36</v>
      </c>
      <c r="F7407" t="s">
        <v>169</v>
      </c>
      <c r="G7407" s="18">
        <v>187</v>
      </c>
      <c r="H7407" t="s">
        <v>160</v>
      </c>
      <c r="I7407" t="s">
        <v>16</v>
      </c>
    </row>
    <row r="7408" spans="1:9" x14ac:dyDescent="0.25">
      <c r="A7408">
        <v>1820</v>
      </c>
      <c r="B7408">
        <f>A7408+1</f>
        <v>1821</v>
      </c>
      <c r="C7408" t="s">
        <v>526</v>
      </c>
      <c r="D7408" t="s">
        <v>26</v>
      </c>
      <c r="E7408" s="208" t="s">
        <v>35</v>
      </c>
      <c r="F7408" t="s">
        <v>169</v>
      </c>
      <c r="G7408" s="18">
        <v>2364</v>
      </c>
      <c r="H7408" t="s">
        <v>160</v>
      </c>
      <c r="I7408" t="s">
        <v>16</v>
      </c>
    </row>
    <row r="7409" spans="1:9" x14ac:dyDescent="0.25">
      <c r="A7409">
        <v>1820</v>
      </c>
      <c r="B7409">
        <f>A7409+1</f>
        <v>1821</v>
      </c>
      <c r="C7409" t="s">
        <v>526</v>
      </c>
      <c r="D7409" t="s">
        <v>26</v>
      </c>
      <c r="E7409" s="208" t="s">
        <v>39</v>
      </c>
      <c r="F7409" t="s">
        <v>169</v>
      </c>
      <c r="G7409" s="18">
        <v>0</v>
      </c>
      <c r="H7409" t="s">
        <v>160</v>
      </c>
      <c r="I7409" t="s">
        <v>16</v>
      </c>
    </row>
    <row r="7410" spans="1:9" x14ac:dyDescent="0.25">
      <c r="A7410">
        <v>1820</v>
      </c>
      <c r="B7410">
        <f>A7410+1</f>
        <v>1821</v>
      </c>
      <c r="C7410" t="s">
        <v>526</v>
      </c>
      <c r="D7410" t="s">
        <v>26</v>
      </c>
      <c r="E7410" s="208" t="s">
        <v>99</v>
      </c>
      <c r="F7410" t="s">
        <v>169</v>
      </c>
      <c r="G7410" s="18">
        <v>943</v>
      </c>
      <c r="H7410" t="s">
        <v>160</v>
      </c>
      <c r="I7410" t="s">
        <v>16</v>
      </c>
    </row>
    <row r="7411" spans="1:9" x14ac:dyDescent="0.25">
      <c r="A7411">
        <v>1820</v>
      </c>
      <c r="B7411">
        <f>A7411+1</f>
        <v>1821</v>
      </c>
      <c r="C7411" t="s">
        <v>526</v>
      </c>
      <c r="D7411" t="s">
        <v>26</v>
      </c>
      <c r="E7411" s="208" t="s">
        <v>95</v>
      </c>
      <c r="F7411" t="s">
        <v>169</v>
      </c>
      <c r="G7411" s="18">
        <v>0</v>
      </c>
      <c r="H7411" t="s">
        <v>160</v>
      </c>
      <c r="I7411" t="s">
        <v>16</v>
      </c>
    </row>
    <row r="7412" spans="1:9" x14ac:dyDescent="0.25">
      <c r="A7412">
        <v>1820</v>
      </c>
      <c r="B7412">
        <f>A7412+1</f>
        <v>1821</v>
      </c>
      <c r="C7412" t="s">
        <v>526</v>
      </c>
      <c r="D7412" t="s">
        <v>26</v>
      </c>
      <c r="E7412" s="208" t="s">
        <v>94</v>
      </c>
      <c r="F7412" t="s">
        <v>169</v>
      </c>
      <c r="G7412" s="18">
        <v>3561</v>
      </c>
      <c r="H7412" t="s">
        <v>160</v>
      </c>
      <c r="I7412" t="s">
        <v>16</v>
      </c>
    </row>
    <row r="7413" spans="1:9" x14ac:dyDescent="0.25">
      <c r="A7413">
        <v>1820</v>
      </c>
      <c r="B7413">
        <f>A7413+1</f>
        <v>1821</v>
      </c>
      <c r="C7413" t="s">
        <v>526</v>
      </c>
      <c r="D7413" t="s">
        <v>26</v>
      </c>
      <c r="E7413" s="208" t="s">
        <v>386</v>
      </c>
      <c r="F7413" t="s">
        <v>169</v>
      </c>
      <c r="G7413" s="18">
        <v>320</v>
      </c>
      <c r="H7413" t="s">
        <v>160</v>
      </c>
      <c r="I7413" t="s">
        <v>16</v>
      </c>
    </row>
    <row r="7414" spans="1:9" x14ac:dyDescent="0.25">
      <c r="A7414">
        <v>1820</v>
      </c>
      <c r="B7414">
        <f>A7414+1</f>
        <v>1821</v>
      </c>
      <c r="C7414" t="s">
        <v>526</v>
      </c>
      <c r="D7414" t="s">
        <v>26</v>
      </c>
      <c r="E7414" s="208" t="s">
        <v>387</v>
      </c>
      <c r="F7414" t="s">
        <v>169</v>
      </c>
      <c r="G7414" s="18">
        <v>1938</v>
      </c>
      <c r="H7414" t="s">
        <v>160</v>
      </c>
      <c r="I7414" t="s">
        <v>16</v>
      </c>
    </row>
    <row r="7415" spans="1:9" x14ac:dyDescent="0.25">
      <c r="A7415">
        <v>1820</v>
      </c>
      <c r="B7415">
        <f>A7415+1</f>
        <v>1821</v>
      </c>
      <c r="C7415" t="s">
        <v>526</v>
      </c>
      <c r="D7415" t="s">
        <v>26</v>
      </c>
      <c r="E7415" s="208" t="s">
        <v>388</v>
      </c>
      <c r="F7415" t="s">
        <v>169</v>
      </c>
      <c r="G7415" s="18">
        <v>0</v>
      </c>
      <c r="H7415" t="s">
        <v>160</v>
      </c>
      <c r="I7415" t="s">
        <v>16</v>
      </c>
    </row>
    <row r="7416" spans="1:9" x14ac:dyDescent="0.25">
      <c r="A7416">
        <v>1820</v>
      </c>
      <c r="B7416">
        <f>A7416+1</f>
        <v>1821</v>
      </c>
      <c r="C7416" t="s">
        <v>526</v>
      </c>
      <c r="D7416" t="s">
        <v>26</v>
      </c>
      <c r="E7416" s="208" t="s">
        <v>383</v>
      </c>
      <c r="F7416" t="s">
        <v>169</v>
      </c>
      <c r="G7416" s="18">
        <v>0</v>
      </c>
      <c r="H7416" t="s">
        <v>160</v>
      </c>
      <c r="I7416" t="s">
        <v>16</v>
      </c>
    </row>
    <row r="7417" spans="1:9" x14ac:dyDescent="0.25">
      <c r="A7417">
        <v>1820</v>
      </c>
      <c r="B7417">
        <f>A7417+1</f>
        <v>1821</v>
      </c>
      <c r="C7417" t="s">
        <v>526</v>
      </c>
      <c r="D7417" t="s">
        <v>26</v>
      </c>
      <c r="E7417" s="208" t="s">
        <v>384</v>
      </c>
      <c r="F7417" t="s">
        <v>169</v>
      </c>
      <c r="G7417" s="18">
        <v>0</v>
      </c>
      <c r="H7417" t="s">
        <v>160</v>
      </c>
      <c r="I7417" t="s">
        <v>16</v>
      </c>
    </row>
    <row r="7418" spans="1:9" x14ac:dyDescent="0.25">
      <c r="A7418">
        <v>1820</v>
      </c>
      <c r="B7418">
        <f>A7418+1</f>
        <v>1821</v>
      </c>
      <c r="C7418" t="s">
        <v>526</v>
      </c>
      <c r="D7418" t="s">
        <v>26</v>
      </c>
      <c r="E7418" s="208" t="s">
        <v>107</v>
      </c>
      <c r="F7418" t="s">
        <v>169</v>
      </c>
      <c r="G7418" s="18">
        <v>0</v>
      </c>
      <c r="H7418" t="s">
        <v>160</v>
      </c>
      <c r="I7418" t="s">
        <v>16</v>
      </c>
    </row>
    <row r="7419" spans="1:9" x14ac:dyDescent="0.25">
      <c r="A7419">
        <v>1820</v>
      </c>
      <c r="B7419">
        <f>A7419+1</f>
        <v>1821</v>
      </c>
      <c r="C7419" t="s">
        <v>526</v>
      </c>
      <c r="D7419" t="s">
        <v>26</v>
      </c>
      <c r="E7419" s="208" t="s">
        <v>101</v>
      </c>
      <c r="F7419" t="s">
        <v>169</v>
      </c>
      <c r="G7419" s="18">
        <v>0</v>
      </c>
      <c r="H7419" t="s">
        <v>160</v>
      </c>
      <c r="I7419" t="s">
        <v>16</v>
      </c>
    </row>
    <row r="7420" spans="1:9" x14ac:dyDescent="0.25">
      <c r="A7420">
        <v>1820</v>
      </c>
      <c r="B7420">
        <f>A7420+1</f>
        <v>1821</v>
      </c>
      <c r="C7420" t="s">
        <v>526</v>
      </c>
      <c r="D7420" t="s">
        <v>26</v>
      </c>
      <c r="E7420" s="208" t="s">
        <v>75</v>
      </c>
      <c r="F7420" t="s">
        <v>169</v>
      </c>
      <c r="G7420" s="18">
        <v>0</v>
      </c>
      <c r="H7420" t="s">
        <v>160</v>
      </c>
      <c r="I7420" t="s">
        <v>16</v>
      </c>
    </row>
    <row r="7421" spans="1:9" x14ac:dyDescent="0.25">
      <c r="A7421">
        <v>1820</v>
      </c>
      <c r="B7421">
        <f>A7421+1</f>
        <v>1821</v>
      </c>
      <c r="C7421" t="s">
        <v>526</v>
      </c>
      <c r="D7421" t="s">
        <v>26</v>
      </c>
      <c r="E7421" s="208" t="s">
        <v>330</v>
      </c>
      <c r="F7421" t="s">
        <v>169</v>
      </c>
      <c r="G7421" s="18">
        <v>0</v>
      </c>
      <c r="H7421" t="s">
        <v>160</v>
      </c>
      <c r="I7421" t="s">
        <v>16</v>
      </c>
    </row>
    <row r="7422" spans="1:9" x14ac:dyDescent="0.25">
      <c r="A7422">
        <v>1820</v>
      </c>
      <c r="B7422">
        <f>A7422+1</f>
        <v>1821</v>
      </c>
      <c r="C7422" t="s">
        <v>526</v>
      </c>
      <c r="D7422" t="s">
        <v>26</v>
      </c>
      <c r="E7422" s="208" t="s">
        <v>331</v>
      </c>
      <c r="F7422" t="s">
        <v>169</v>
      </c>
      <c r="G7422" s="18">
        <v>0</v>
      </c>
      <c r="H7422" t="s">
        <v>160</v>
      </c>
      <c r="I7422" t="s">
        <v>16</v>
      </c>
    </row>
    <row r="7423" spans="1:9" x14ac:dyDescent="0.25">
      <c r="A7423">
        <v>1820</v>
      </c>
      <c r="B7423">
        <f>A7423+1</f>
        <v>1821</v>
      </c>
      <c r="C7423" t="s">
        <v>526</v>
      </c>
      <c r="D7423" t="s">
        <v>26</v>
      </c>
      <c r="E7423" s="208" t="s">
        <v>332</v>
      </c>
      <c r="F7423" t="s">
        <v>169</v>
      </c>
      <c r="G7423" s="18">
        <v>0</v>
      </c>
      <c r="H7423" t="s">
        <v>160</v>
      </c>
      <c r="I7423" t="s">
        <v>16</v>
      </c>
    </row>
    <row r="7424" spans="1:9" x14ac:dyDescent="0.25">
      <c r="A7424">
        <v>1820</v>
      </c>
      <c r="B7424">
        <f>A7424+1</f>
        <v>1821</v>
      </c>
      <c r="C7424" t="s">
        <v>526</v>
      </c>
      <c r="D7424" t="s">
        <v>26</v>
      </c>
      <c r="E7424" s="208" t="s">
        <v>333</v>
      </c>
      <c r="F7424" t="s">
        <v>169</v>
      </c>
      <c r="G7424" s="18">
        <v>0</v>
      </c>
      <c r="H7424" t="s">
        <v>160</v>
      </c>
      <c r="I7424" t="s">
        <v>16</v>
      </c>
    </row>
    <row r="7425" spans="1:9" x14ac:dyDescent="0.25">
      <c r="A7425">
        <v>1820</v>
      </c>
      <c r="B7425">
        <f>A7425+1</f>
        <v>1821</v>
      </c>
      <c r="C7425" t="s">
        <v>526</v>
      </c>
      <c r="D7425" t="s">
        <v>27</v>
      </c>
      <c r="E7425" s="208" t="s">
        <v>155</v>
      </c>
      <c r="F7425" t="s">
        <v>1</v>
      </c>
      <c r="G7425" s="18">
        <v>851</v>
      </c>
      <c r="H7425" t="s">
        <v>16</v>
      </c>
      <c r="I7425" t="s">
        <v>21</v>
      </c>
    </row>
    <row r="7426" spans="1:9" x14ac:dyDescent="0.25">
      <c r="A7426">
        <v>1820</v>
      </c>
      <c r="B7426">
        <f>A7426+1</f>
        <v>1821</v>
      </c>
      <c r="C7426" t="s">
        <v>526</v>
      </c>
      <c r="D7426" t="s">
        <v>27</v>
      </c>
      <c r="E7426" s="208" t="s">
        <v>156</v>
      </c>
      <c r="F7426" t="s">
        <v>1</v>
      </c>
      <c r="G7426" s="18">
        <v>251</v>
      </c>
      <c r="H7426" t="s">
        <v>16</v>
      </c>
      <c r="I7426" t="s">
        <v>21</v>
      </c>
    </row>
    <row r="7427" spans="1:9" x14ac:dyDescent="0.25">
      <c r="A7427">
        <v>1820</v>
      </c>
      <c r="B7427">
        <f>A7427+1</f>
        <v>1821</v>
      </c>
      <c r="C7427" t="s">
        <v>526</v>
      </c>
      <c r="D7427" t="s">
        <v>27</v>
      </c>
      <c r="E7427" s="208" t="s">
        <v>154</v>
      </c>
      <c r="F7427" t="s">
        <v>1</v>
      </c>
      <c r="G7427" s="18">
        <v>141</v>
      </c>
      <c r="H7427" t="s">
        <v>16</v>
      </c>
      <c r="I7427" t="s">
        <v>21</v>
      </c>
    </row>
    <row r="7428" spans="1:9" x14ac:dyDescent="0.25">
      <c r="A7428">
        <v>1820</v>
      </c>
      <c r="B7428">
        <f>A7428+1</f>
        <v>1821</v>
      </c>
      <c r="C7428" t="s">
        <v>526</v>
      </c>
      <c r="D7428" t="s">
        <v>27</v>
      </c>
      <c r="E7428" s="208" t="s">
        <v>150</v>
      </c>
      <c r="F7428" t="s">
        <v>1</v>
      </c>
      <c r="G7428" s="18">
        <v>185</v>
      </c>
      <c r="H7428" t="s">
        <v>16</v>
      </c>
      <c r="I7428" t="s">
        <v>21</v>
      </c>
    </row>
    <row r="7429" spans="1:9" x14ac:dyDescent="0.25">
      <c r="A7429">
        <v>1820</v>
      </c>
      <c r="B7429">
        <f>A7429+1</f>
        <v>1821</v>
      </c>
      <c r="C7429" t="s">
        <v>526</v>
      </c>
      <c r="D7429" t="s">
        <v>27</v>
      </c>
      <c r="E7429" s="208" t="s">
        <v>148</v>
      </c>
      <c r="F7429" t="s">
        <v>1</v>
      </c>
      <c r="G7429" s="18">
        <v>77</v>
      </c>
      <c r="H7429" t="s">
        <v>16</v>
      </c>
      <c r="I7429" t="s">
        <v>21</v>
      </c>
    </row>
    <row r="7430" spans="1:9" x14ac:dyDescent="0.25">
      <c r="A7430">
        <v>1820</v>
      </c>
      <c r="B7430">
        <f>A7430+1</f>
        <v>1821</v>
      </c>
      <c r="C7430" t="s">
        <v>526</v>
      </c>
      <c r="D7430" t="s">
        <v>27</v>
      </c>
      <c r="E7430" s="208" t="s">
        <v>147</v>
      </c>
      <c r="F7430" t="s">
        <v>1</v>
      </c>
      <c r="G7430" s="18">
        <v>0</v>
      </c>
      <c r="H7430" t="s">
        <v>16</v>
      </c>
      <c r="I7430" t="s">
        <v>21</v>
      </c>
    </row>
    <row r="7431" spans="1:9" x14ac:dyDescent="0.25">
      <c r="A7431">
        <v>1820</v>
      </c>
      <c r="B7431">
        <f>A7431+1</f>
        <v>1821</v>
      </c>
      <c r="C7431" t="s">
        <v>526</v>
      </c>
      <c r="D7431" t="s">
        <v>27</v>
      </c>
      <c r="E7431" s="208" t="s">
        <v>314</v>
      </c>
      <c r="F7431" t="s">
        <v>1</v>
      </c>
      <c r="G7431" s="18">
        <v>0</v>
      </c>
      <c r="H7431" t="s">
        <v>16</v>
      </c>
      <c r="I7431" t="s">
        <v>21</v>
      </c>
    </row>
    <row r="7432" spans="1:9" x14ac:dyDescent="0.25">
      <c r="A7432">
        <v>1820</v>
      </c>
      <c r="B7432">
        <f>A7432+1</f>
        <v>1821</v>
      </c>
      <c r="C7432" t="s">
        <v>526</v>
      </c>
      <c r="D7432" t="s">
        <v>27</v>
      </c>
      <c r="E7432" s="208" t="s">
        <v>139</v>
      </c>
      <c r="F7432" t="s">
        <v>1</v>
      </c>
      <c r="G7432" s="18">
        <v>0</v>
      </c>
      <c r="H7432" t="s">
        <v>16</v>
      </c>
      <c r="I7432" t="s">
        <v>21</v>
      </c>
    </row>
    <row r="7433" spans="1:9" x14ac:dyDescent="0.25">
      <c r="A7433">
        <v>1820</v>
      </c>
      <c r="B7433">
        <f>A7433+1</f>
        <v>1821</v>
      </c>
      <c r="C7433" t="s">
        <v>526</v>
      </c>
      <c r="D7433" t="s">
        <v>27</v>
      </c>
      <c r="E7433" s="208" t="s">
        <v>132</v>
      </c>
      <c r="F7433" t="s">
        <v>1</v>
      </c>
      <c r="G7433" s="18">
        <v>12</v>
      </c>
      <c r="H7433" t="s">
        <v>16</v>
      </c>
      <c r="I7433" t="s">
        <v>21</v>
      </c>
    </row>
    <row r="7434" spans="1:9" x14ac:dyDescent="0.25">
      <c r="A7434">
        <v>1820</v>
      </c>
      <c r="B7434">
        <f>A7434+1</f>
        <v>1821</v>
      </c>
      <c r="C7434" t="s">
        <v>526</v>
      </c>
      <c r="D7434" t="s">
        <v>27</v>
      </c>
      <c r="E7434" s="208" t="s">
        <v>130</v>
      </c>
      <c r="F7434" t="s">
        <v>1</v>
      </c>
      <c r="G7434" s="18">
        <v>0</v>
      </c>
      <c r="H7434" t="s">
        <v>16</v>
      </c>
      <c r="I7434" t="s">
        <v>21</v>
      </c>
    </row>
    <row r="7435" spans="1:9" x14ac:dyDescent="0.25">
      <c r="A7435">
        <v>1820</v>
      </c>
      <c r="B7435">
        <f>A7435+1</f>
        <v>1821</v>
      </c>
      <c r="C7435" t="s">
        <v>526</v>
      </c>
      <c r="D7435" t="s">
        <v>27</v>
      </c>
      <c r="E7435" s="208" t="s">
        <v>144</v>
      </c>
      <c r="F7435" t="s">
        <v>1</v>
      </c>
      <c r="G7435" s="18">
        <v>0</v>
      </c>
      <c r="H7435" t="s">
        <v>16</v>
      </c>
      <c r="I7435" t="s">
        <v>21</v>
      </c>
    </row>
    <row r="7436" spans="1:9" x14ac:dyDescent="0.25">
      <c r="A7436">
        <v>1820</v>
      </c>
      <c r="B7436">
        <f>A7436+1</f>
        <v>1821</v>
      </c>
      <c r="C7436" t="s">
        <v>526</v>
      </c>
      <c r="D7436" t="s">
        <v>27</v>
      </c>
      <c r="E7436" s="208" t="s">
        <v>142</v>
      </c>
      <c r="F7436" t="s">
        <v>1</v>
      </c>
      <c r="G7436" s="18">
        <v>45</v>
      </c>
      <c r="H7436" t="s">
        <v>16</v>
      </c>
      <c r="I7436" t="s">
        <v>21</v>
      </c>
    </row>
    <row r="7437" spans="1:9" x14ac:dyDescent="0.25">
      <c r="A7437">
        <v>1820</v>
      </c>
      <c r="B7437">
        <f>A7437+1</f>
        <v>1821</v>
      </c>
      <c r="C7437" t="s">
        <v>526</v>
      </c>
      <c r="D7437" t="s">
        <v>27</v>
      </c>
      <c r="E7437" s="208" t="s">
        <v>124</v>
      </c>
      <c r="F7437" t="s">
        <v>1</v>
      </c>
      <c r="G7437" s="18">
        <v>110301</v>
      </c>
      <c r="H7437" t="s">
        <v>16</v>
      </c>
      <c r="I7437" t="s">
        <v>21</v>
      </c>
    </row>
    <row r="7438" spans="1:9" x14ac:dyDescent="0.25">
      <c r="A7438">
        <v>1820</v>
      </c>
      <c r="B7438">
        <f>A7438+1</f>
        <v>1821</v>
      </c>
      <c r="C7438" t="s">
        <v>526</v>
      </c>
      <c r="D7438" t="s">
        <v>27</v>
      </c>
      <c r="E7438" s="208" t="s">
        <v>155</v>
      </c>
      <c r="F7438" t="s">
        <v>6</v>
      </c>
      <c r="G7438" s="18">
        <v>0</v>
      </c>
      <c r="H7438" t="s">
        <v>16</v>
      </c>
      <c r="I7438" t="s">
        <v>25</v>
      </c>
    </row>
    <row r="7439" spans="1:9" x14ac:dyDescent="0.25">
      <c r="A7439">
        <v>1820</v>
      </c>
      <c r="B7439">
        <f>A7439+1</f>
        <v>1821</v>
      </c>
      <c r="C7439" t="s">
        <v>526</v>
      </c>
      <c r="D7439" t="s">
        <v>27</v>
      </c>
      <c r="E7439" s="208" t="s">
        <v>156</v>
      </c>
      <c r="F7439" t="s">
        <v>6</v>
      </c>
      <c r="G7439" s="18">
        <v>0</v>
      </c>
      <c r="H7439" t="s">
        <v>16</v>
      </c>
      <c r="I7439" t="s">
        <v>25</v>
      </c>
    </row>
    <row r="7440" spans="1:9" x14ac:dyDescent="0.25">
      <c r="A7440">
        <v>1820</v>
      </c>
      <c r="B7440">
        <f>A7440+1</f>
        <v>1821</v>
      </c>
      <c r="C7440" t="s">
        <v>526</v>
      </c>
      <c r="D7440" t="s">
        <v>27</v>
      </c>
      <c r="E7440" s="208" t="s">
        <v>154</v>
      </c>
      <c r="F7440" t="s">
        <v>6</v>
      </c>
      <c r="G7440" s="18">
        <v>0</v>
      </c>
      <c r="H7440" t="s">
        <v>16</v>
      </c>
      <c r="I7440" t="s">
        <v>25</v>
      </c>
    </row>
    <row r="7441" spans="1:9" x14ac:dyDescent="0.25">
      <c r="A7441">
        <v>1820</v>
      </c>
      <c r="B7441">
        <f>A7441+1</f>
        <v>1821</v>
      </c>
      <c r="C7441" t="s">
        <v>526</v>
      </c>
      <c r="D7441" t="s">
        <v>27</v>
      </c>
      <c r="E7441" s="208" t="s">
        <v>150</v>
      </c>
      <c r="F7441" t="s">
        <v>6</v>
      </c>
      <c r="G7441" s="18">
        <v>630</v>
      </c>
      <c r="H7441" t="s">
        <v>16</v>
      </c>
      <c r="I7441" t="s">
        <v>25</v>
      </c>
    </row>
    <row r="7442" spans="1:9" x14ac:dyDescent="0.25">
      <c r="A7442">
        <v>1820</v>
      </c>
      <c r="B7442">
        <f>A7442+1</f>
        <v>1821</v>
      </c>
      <c r="C7442" t="s">
        <v>526</v>
      </c>
      <c r="D7442" t="s">
        <v>27</v>
      </c>
      <c r="E7442" s="208" t="s">
        <v>148</v>
      </c>
      <c r="F7442" t="s">
        <v>6</v>
      </c>
      <c r="G7442" s="18">
        <v>57</v>
      </c>
      <c r="H7442" t="s">
        <v>16</v>
      </c>
      <c r="I7442" t="s">
        <v>25</v>
      </c>
    </row>
    <row r="7443" spans="1:9" x14ac:dyDescent="0.25">
      <c r="A7443">
        <v>1820</v>
      </c>
      <c r="B7443">
        <f>A7443+1</f>
        <v>1821</v>
      </c>
      <c r="C7443" t="s">
        <v>526</v>
      </c>
      <c r="D7443" t="s">
        <v>27</v>
      </c>
      <c r="E7443" s="208" t="s">
        <v>147</v>
      </c>
      <c r="F7443" t="s">
        <v>6</v>
      </c>
      <c r="G7443" s="18">
        <v>153</v>
      </c>
      <c r="H7443" t="s">
        <v>16</v>
      </c>
      <c r="I7443" t="s">
        <v>25</v>
      </c>
    </row>
    <row r="7444" spans="1:9" x14ac:dyDescent="0.25">
      <c r="A7444">
        <v>1820</v>
      </c>
      <c r="B7444">
        <f>A7444+1</f>
        <v>1821</v>
      </c>
      <c r="C7444" t="s">
        <v>526</v>
      </c>
      <c r="D7444" t="s">
        <v>27</v>
      </c>
      <c r="E7444" s="208" t="s">
        <v>314</v>
      </c>
      <c r="F7444" t="s">
        <v>6</v>
      </c>
      <c r="G7444" s="18">
        <v>534</v>
      </c>
      <c r="H7444" t="s">
        <v>16</v>
      </c>
      <c r="I7444" t="s">
        <v>25</v>
      </c>
    </row>
    <row r="7445" spans="1:9" x14ac:dyDescent="0.25">
      <c r="A7445">
        <v>1820</v>
      </c>
      <c r="B7445">
        <f>A7445+1</f>
        <v>1821</v>
      </c>
      <c r="C7445" t="s">
        <v>526</v>
      </c>
      <c r="D7445" t="s">
        <v>27</v>
      </c>
      <c r="E7445" s="208" t="s">
        <v>139</v>
      </c>
      <c r="F7445" t="s">
        <v>6</v>
      </c>
      <c r="G7445" s="18">
        <v>0</v>
      </c>
      <c r="H7445" t="s">
        <v>16</v>
      </c>
      <c r="I7445" t="s">
        <v>25</v>
      </c>
    </row>
    <row r="7446" spans="1:9" x14ac:dyDescent="0.25">
      <c r="A7446">
        <v>1820</v>
      </c>
      <c r="B7446">
        <f>A7446+1</f>
        <v>1821</v>
      </c>
      <c r="C7446" t="s">
        <v>526</v>
      </c>
      <c r="D7446" t="s">
        <v>27</v>
      </c>
      <c r="E7446" s="208" t="s">
        <v>132</v>
      </c>
      <c r="F7446" t="s">
        <v>6</v>
      </c>
      <c r="G7446" s="18">
        <v>0</v>
      </c>
      <c r="H7446" t="s">
        <v>16</v>
      </c>
      <c r="I7446" t="s">
        <v>25</v>
      </c>
    </row>
    <row r="7447" spans="1:9" x14ac:dyDescent="0.25">
      <c r="A7447">
        <v>1820</v>
      </c>
      <c r="B7447">
        <f>A7447+1</f>
        <v>1821</v>
      </c>
      <c r="C7447" t="s">
        <v>526</v>
      </c>
      <c r="D7447" t="s">
        <v>27</v>
      </c>
      <c r="E7447" s="208" t="s">
        <v>130</v>
      </c>
      <c r="F7447" t="s">
        <v>6</v>
      </c>
      <c r="G7447" s="18">
        <v>0</v>
      </c>
      <c r="H7447" t="s">
        <v>16</v>
      </c>
      <c r="I7447" t="s">
        <v>25</v>
      </c>
    </row>
    <row r="7448" spans="1:9" x14ac:dyDescent="0.25">
      <c r="A7448">
        <v>1820</v>
      </c>
      <c r="B7448">
        <f>A7448+1</f>
        <v>1821</v>
      </c>
      <c r="C7448" t="s">
        <v>526</v>
      </c>
      <c r="D7448" t="s">
        <v>27</v>
      </c>
      <c r="E7448" s="208" t="s">
        <v>144</v>
      </c>
      <c r="F7448" t="s">
        <v>6</v>
      </c>
      <c r="G7448" s="18">
        <v>0</v>
      </c>
      <c r="H7448" t="s">
        <v>16</v>
      </c>
      <c r="I7448" t="s">
        <v>25</v>
      </c>
    </row>
    <row r="7449" spans="1:9" x14ac:dyDescent="0.25">
      <c r="A7449">
        <v>1820</v>
      </c>
      <c r="B7449">
        <f>A7449+1</f>
        <v>1821</v>
      </c>
      <c r="C7449" t="s">
        <v>526</v>
      </c>
      <c r="D7449" t="s">
        <v>27</v>
      </c>
      <c r="E7449" s="208" t="s">
        <v>142</v>
      </c>
      <c r="F7449" t="s">
        <v>6</v>
      </c>
      <c r="G7449" s="18">
        <v>0</v>
      </c>
      <c r="H7449" t="s">
        <v>16</v>
      </c>
      <c r="I7449" t="s">
        <v>25</v>
      </c>
    </row>
    <row r="7450" spans="1:9" x14ac:dyDescent="0.25">
      <c r="A7450">
        <v>1820</v>
      </c>
      <c r="B7450">
        <f>A7450+1</f>
        <v>1821</v>
      </c>
      <c r="C7450" t="s">
        <v>526</v>
      </c>
      <c r="D7450" t="s">
        <v>27</v>
      </c>
      <c r="E7450" s="208" t="s">
        <v>124</v>
      </c>
      <c r="F7450" t="s">
        <v>6</v>
      </c>
      <c r="G7450" s="18">
        <v>0</v>
      </c>
      <c r="H7450" t="s">
        <v>16</v>
      </c>
      <c r="I7450" t="s">
        <v>25</v>
      </c>
    </row>
    <row r="7451" spans="1:9" x14ac:dyDescent="0.25">
      <c r="A7451">
        <v>1820</v>
      </c>
      <c r="B7451">
        <f>A7451+1</f>
        <v>1821</v>
      </c>
      <c r="C7451" t="s">
        <v>526</v>
      </c>
      <c r="D7451" t="s">
        <v>26</v>
      </c>
      <c r="E7451" s="208" t="s">
        <v>62</v>
      </c>
      <c r="F7451" t="s">
        <v>6</v>
      </c>
      <c r="G7451" s="18">
        <v>18631</v>
      </c>
      <c r="H7451" t="s">
        <v>25</v>
      </c>
      <c r="I7451" t="s">
        <v>16</v>
      </c>
    </row>
    <row r="7452" spans="1:9" x14ac:dyDescent="0.25">
      <c r="A7452">
        <v>1820</v>
      </c>
      <c r="B7452">
        <f>A7452+1</f>
        <v>1821</v>
      </c>
      <c r="C7452" t="s">
        <v>526</v>
      </c>
      <c r="D7452" t="s">
        <v>26</v>
      </c>
      <c r="E7452" s="208" t="s">
        <v>36</v>
      </c>
      <c r="F7452" t="s">
        <v>6</v>
      </c>
      <c r="G7452" s="18">
        <v>0</v>
      </c>
      <c r="H7452" t="s">
        <v>25</v>
      </c>
      <c r="I7452" t="s">
        <v>16</v>
      </c>
    </row>
    <row r="7453" spans="1:9" x14ac:dyDescent="0.25">
      <c r="A7453">
        <v>1820</v>
      </c>
      <c r="B7453">
        <f>A7453+1</f>
        <v>1821</v>
      </c>
      <c r="C7453" t="s">
        <v>526</v>
      </c>
      <c r="D7453" t="s">
        <v>26</v>
      </c>
      <c r="E7453" s="208" t="s">
        <v>35</v>
      </c>
      <c r="F7453" t="s">
        <v>6</v>
      </c>
      <c r="G7453" s="18">
        <v>0</v>
      </c>
      <c r="H7453" t="s">
        <v>25</v>
      </c>
      <c r="I7453" t="s">
        <v>16</v>
      </c>
    </row>
    <row r="7454" spans="1:9" x14ac:dyDescent="0.25">
      <c r="A7454">
        <v>1820</v>
      </c>
      <c r="B7454">
        <f>A7454+1</f>
        <v>1821</v>
      </c>
      <c r="C7454" t="s">
        <v>526</v>
      </c>
      <c r="D7454" t="s">
        <v>26</v>
      </c>
      <c r="E7454" s="208" t="s">
        <v>39</v>
      </c>
      <c r="F7454" t="s">
        <v>6</v>
      </c>
      <c r="G7454" s="18">
        <v>0</v>
      </c>
      <c r="H7454" t="s">
        <v>25</v>
      </c>
      <c r="I7454" t="s">
        <v>16</v>
      </c>
    </row>
    <row r="7455" spans="1:9" x14ac:dyDescent="0.25">
      <c r="A7455">
        <v>1820</v>
      </c>
      <c r="B7455">
        <f>A7455+1</f>
        <v>1821</v>
      </c>
      <c r="C7455" t="s">
        <v>526</v>
      </c>
      <c r="D7455" t="s">
        <v>26</v>
      </c>
      <c r="E7455" s="208" t="s">
        <v>99</v>
      </c>
      <c r="F7455" t="s">
        <v>6</v>
      </c>
      <c r="G7455" s="18">
        <v>18</v>
      </c>
      <c r="H7455" t="s">
        <v>25</v>
      </c>
      <c r="I7455" t="s">
        <v>16</v>
      </c>
    </row>
    <row r="7456" spans="1:9" x14ac:dyDescent="0.25">
      <c r="A7456">
        <v>1820</v>
      </c>
      <c r="B7456">
        <f>A7456+1</f>
        <v>1821</v>
      </c>
      <c r="C7456" t="s">
        <v>526</v>
      </c>
      <c r="D7456" t="s">
        <v>26</v>
      </c>
      <c r="E7456" s="208" t="s">
        <v>95</v>
      </c>
      <c r="F7456" t="s">
        <v>6</v>
      </c>
      <c r="G7456" s="18">
        <v>0</v>
      </c>
      <c r="H7456" t="s">
        <v>25</v>
      </c>
      <c r="I7456" t="s">
        <v>16</v>
      </c>
    </row>
    <row r="7457" spans="1:9" x14ac:dyDescent="0.25">
      <c r="A7457">
        <v>1820</v>
      </c>
      <c r="B7457">
        <f>A7457+1</f>
        <v>1821</v>
      </c>
      <c r="C7457" t="s">
        <v>526</v>
      </c>
      <c r="D7457" t="s">
        <v>26</v>
      </c>
      <c r="E7457" s="208" t="s">
        <v>94</v>
      </c>
      <c r="F7457" t="s">
        <v>6</v>
      </c>
      <c r="G7457" s="18">
        <v>1564</v>
      </c>
      <c r="H7457" t="s">
        <v>25</v>
      </c>
      <c r="I7457" t="s">
        <v>16</v>
      </c>
    </row>
    <row r="7458" spans="1:9" x14ac:dyDescent="0.25">
      <c r="A7458">
        <v>1820</v>
      </c>
      <c r="B7458">
        <f>A7458+1</f>
        <v>1821</v>
      </c>
      <c r="C7458" t="s">
        <v>526</v>
      </c>
      <c r="D7458" t="s">
        <v>26</v>
      </c>
      <c r="E7458" s="208" t="s">
        <v>386</v>
      </c>
      <c r="F7458" t="s">
        <v>6</v>
      </c>
      <c r="G7458" s="18">
        <v>4427</v>
      </c>
      <c r="H7458" t="s">
        <v>25</v>
      </c>
      <c r="I7458" t="s">
        <v>16</v>
      </c>
    </row>
    <row r="7459" spans="1:9" x14ac:dyDescent="0.25">
      <c r="A7459">
        <v>1820</v>
      </c>
      <c r="B7459">
        <f>A7459+1</f>
        <v>1821</v>
      </c>
      <c r="C7459" t="s">
        <v>526</v>
      </c>
      <c r="D7459" t="s">
        <v>26</v>
      </c>
      <c r="E7459" s="208" t="s">
        <v>387</v>
      </c>
      <c r="F7459" t="s">
        <v>6</v>
      </c>
      <c r="G7459" s="18">
        <v>2493</v>
      </c>
      <c r="H7459" t="s">
        <v>25</v>
      </c>
      <c r="I7459" t="s">
        <v>16</v>
      </c>
    </row>
    <row r="7460" spans="1:9" x14ac:dyDescent="0.25">
      <c r="A7460">
        <v>1820</v>
      </c>
      <c r="B7460">
        <f>A7460+1</f>
        <v>1821</v>
      </c>
      <c r="C7460" t="s">
        <v>526</v>
      </c>
      <c r="D7460" t="s">
        <v>26</v>
      </c>
      <c r="E7460" s="208" t="s">
        <v>388</v>
      </c>
      <c r="F7460" t="s">
        <v>6</v>
      </c>
      <c r="G7460" s="18">
        <v>2631</v>
      </c>
      <c r="H7460" t="s">
        <v>25</v>
      </c>
      <c r="I7460" t="s">
        <v>16</v>
      </c>
    </row>
    <row r="7461" spans="1:9" x14ac:dyDescent="0.25">
      <c r="A7461">
        <v>1820</v>
      </c>
      <c r="B7461">
        <f>A7461+1</f>
        <v>1821</v>
      </c>
      <c r="C7461" t="s">
        <v>526</v>
      </c>
      <c r="D7461" t="s">
        <v>26</v>
      </c>
      <c r="E7461" s="208" t="s">
        <v>383</v>
      </c>
      <c r="F7461" t="s">
        <v>6</v>
      </c>
      <c r="G7461" s="18">
        <v>196</v>
      </c>
      <c r="H7461" t="s">
        <v>25</v>
      </c>
      <c r="I7461" t="s">
        <v>16</v>
      </c>
    </row>
    <row r="7462" spans="1:9" x14ac:dyDescent="0.25">
      <c r="A7462">
        <v>1820</v>
      </c>
      <c r="B7462">
        <f>A7462+1</f>
        <v>1821</v>
      </c>
      <c r="C7462" t="s">
        <v>526</v>
      </c>
      <c r="D7462" t="s">
        <v>26</v>
      </c>
      <c r="E7462" s="208" t="s">
        <v>384</v>
      </c>
      <c r="F7462" t="s">
        <v>6</v>
      </c>
      <c r="G7462" s="18">
        <v>165</v>
      </c>
      <c r="H7462" t="s">
        <v>25</v>
      </c>
      <c r="I7462" t="s">
        <v>16</v>
      </c>
    </row>
    <row r="7463" spans="1:9" x14ac:dyDescent="0.25">
      <c r="A7463">
        <v>1820</v>
      </c>
      <c r="B7463">
        <f>A7463+1</f>
        <v>1821</v>
      </c>
      <c r="C7463" t="s">
        <v>526</v>
      </c>
      <c r="D7463" t="s">
        <v>26</v>
      </c>
      <c r="E7463" s="208" t="s">
        <v>107</v>
      </c>
      <c r="F7463" t="s">
        <v>6</v>
      </c>
      <c r="G7463" s="18">
        <v>0</v>
      </c>
      <c r="H7463" t="s">
        <v>25</v>
      </c>
      <c r="I7463" t="s">
        <v>16</v>
      </c>
    </row>
    <row r="7464" spans="1:9" x14ac:dyDescent="0.25">
      <c r="A7464">
        <v>1820</v>
      </c>
      <c r="B7464">
        <f>A7464+1</f>
        <v>1821</v>
      </c>
      <c r="C7464" t="s">
        <v>526</v>
      </c>
      <c r="D7464" t="s">
        <v>26</v>
      </c>
      <c r="E7464" s="208" t="s">
        <v>101</v>
      </c>
      <c r="F7464" t="s">
        <v>6</v>
      </c>
      <c r="G7464" s="18">
        <v>0</v>
      </c>
      <c r="H7464" t="s">
        <v>25</v>
      </c>
      <c r="I7464" t="s">
        <v>16</v>
      </c>
    </row>
    <row r="7465" spans="1:9" x14ac:dyDescent="0.25">
      <c r="A7465">
        <v>1820</v>
      </c>
      <c r="B7465">
        <f>A7465+1</f>
        <v>1821</v>
      </c>
      <c r="C7465" t="s">
        <v>526</v>
      </c>
      <c r="D7465" t="s">
        <v>26</v>
      </c>
      <c r="E7465" s="208" t="s">
        <v>75</v>
      </c>
      <c r="F7465" t="s">
        <v>6</v>
      </c>
      <c r="G7465" s="18">
        <v>0</v>
      </c>
      <c r="H7465" t="s">
        <v>25</v>
      </c>
      <c r="I7465" t="s">
        <v>16</v>
      </c>
    </row>
    <row r="7466" spans="1:9" x14ac:dyDescent="0.25">
      <c r="A7466">
        <v>1820</v>
      </c>
      <c r="B7466">
        <f>A7466+1</f>
        <v>1821</v>
      </c>
      <c r="C7466" t="s">
        <v>526</v>
      </c>
      <c r="D7466" t="s">
        <v>26</v>
      </c>
      <c r="E7466" s="208" t="s">
        <v>330</v>
      </c>
      <c r="F7466" t="s">
        <v>6</v>
      </c>
      <c r="G7466" s="18">
        <v>1164</v>
      </c>
      <c r="H7466" t="s">
        <v>25</v>
      </c>
      <c r="I7466" t="s">
        <v>16</v>
      </c>
    </row>
    <row r="7467" spans="1:9" x14ac:dyDescent="0.25">
      <c r="A7467">
        <v>1820</v>
      </c>
      <c r="B7467">
        <f>A7467+1</f>
        <v>1821</v>
      </c>
      <c r="C7467" t="s">
        <v>526</v>
      </c>
      <c r="D7467" t="s">
        <v>26</v>
      </c>
      <c r="E7467" s="208" t="s">
        <v>331</v>
      </c>
      <c r="F7467" t="s">
        <v>6</v>
      </c>
      <c r="G7467" s="18">
        <v>2018</v>
      </c>
      <c r="H7467" t="s">
        <v>25</v>
      </c>
      <c r="I7467" t="s">
        <v>16</v>
      </c>
    </row>
    <row r="7468" spans="1:9" x14ac:dyDescent="0.25">
      <c r="A7468">
        <v>1820</v>
      </c>
      <c r="B7468">
        <f>A7468+1</f>
        <v>1821</v>
      </c>
      <c r="C7468" t="s">
        <v>526</v>
      </c>
      <c r="D7468" t="s">
        <v>26</v>
      </c>
      <c r="E7468" s="208" t="s">
        <v>332</v>
      </c>
      <c r="F7468" t="s">
        <v>6</v>
      </c>
      <c r="G7468" s="18">
        <v>581</v>
      </c>
      <c r="H7468" t="s">
        <v>25</v>
      </c>
      <c r="I7468" t="s">
        <v>16</v>
      </c>
    </row>
    <row r="7469" spans="1:9" x14ac:dyDescent="0.25">
      <c r="A7469">
        <v>1820</v>
      </c>
      <c r="B7469">
        <f>A7469+1</f>
        <v>1821</v>
      </c>
      <c r="C7469" t="s">
        <v>526</v>
      </c>
      <c r="D7469" t="s">
        <v>26</v>
      </c>
      <c r="E7469" s="208" t="s">
        <v>333</v>
      </c>
      <c r="F7469" t="s">
        <v>6</v>
      </c>
      <c r="G7469" s="18">
        <v>1414</v>
      </c>
      <c r="H7469" t="s">
        <v>25</v>
      </c>
      <c r="I7469" t="s">
        <v>16</v>
      </c>
    </row>
    <row r="7470" spans="1:9" x14ac:dyDescent="0.25">
      <c r="A7470">
        <v>1820</v>
      </c>
      <c r="B7470">
        <f>A7470+1</f>
        <v>1821</v>
      </c>
      <c r="C7470" t="s">
        <v>526</v>
      </c>
      <c r="D7470" t="s">
        <v>27</v>
      </c>
      <c r="E7470" s="208" t="s">
        <v>155</v>
      </c>
      <c r="F7470" t="s">
        <v>7</v>
      </c>
      <c r="G7470" s="18">
        <v>22643</v>
      </c>
      <c r="H7470" t="s">
        <v>16</v>
      </c>
      <c r="I7470" s="151" t="s">
        <v>562</v>
      </c>
    </row>
    <row r="7471" spans="1:9" x14ac:dyDescent="0.25">
      <c r="A7471">
        <v>1820</v>
      </c>
      <c r="B7471">
        <f>A7471+1</f>
        <v>1821</v>
      </c>
      <c r="C7471" t="s">
        <v>526</v>
      </c>
      <c r="D7471" t="s">
        <v>27</v>
      </c>
      <c r="E7471" s="208" t="s">
        <v>156</v>
      </c>
      <c r="F7471" t="s">
        <v>7</v>
      </c>
      <c r="G7471" s="18">
        <v>2239</v>
      </c>
      <c r="H7471" t="s">
        <v>16</v>
      </c>
      <c r="I7471" s="151" t="s">
        <v>562</v>
      </c>
    </row>
    <row r="7472" spans="1:9" x14ac:dyDescent="0.25">
      <c r="A7472">
        <v>1820</v>
      </c>
      <c r="B7472">
        <f>A7472+1</f>
        <v>1821</v>
      </c>
      <c r="C7472" t="s">
        <v>526</v>
      </c>
      <c r="D7472" t="s">
        <v>27</v>
      </c>
      <c r="E7472" s="208" t="s">
        <v>154</v>
      </c>
      <c r="F7472" t="s">
        <v>7</v>
      </c>
      <c r="G7472" s="18">
        <v>1224</v>
      </c>
      <c r="H7472" t="s">
        <v>16</v>
      </c>
      <c r="I7472" s="151" t="s">
        <v>562</v>
      </c>
    </row>
    <row r="7473" spans="1:9" x14ac:dyDescent="0.25">
      <c r="A7473">
        <v>1820</v>
      </c>
      <c r="B7473">
        <f>A7473+1</f>
        <v>1821</v>
      </c>
      <c r="C7473" t="s">
        <v>526</v>
      </c>
      <c r="D7473" t="s">
        <v>27</v>
      </c>
      <c r="E7473" s="208" t="s">
        <v>150</v>
      </c>
      <c r="F7473" t="s">
        <v>7</v>
      </c>
      <c r="G7473" s="18">
        <v>8874</v>
      </c>
      <c r="H7473" t="s">
        <v>16</v>
      </c>
      <c r="I7473" s="151" t="s">
        <v>562</v>
      </c>
    </row>
    <row r="7474" spans="1:9" x14ac:dyDescent="0.25">
      <c r="A7474">
        <v>1820</v>
      </c>
      <c r="B7474">
        <f>A7474+1</f>
        <v>1821</v>
      </c>
      <c r="C7474" t="s">
        <v>526</v>
      </c>
      <c r="D7474" t="s">
        <v>27</v>
      </c>
      <c r="E7474" s="208" t="s">
        <v>148</v>
      </c>
      <c r="F7474" t="s">
        <v>7</v>
      </c>
      <c r="G7474" s="18">
        <v>625</v>
      </c>
      <c r="H7474" t="s">
        <v>16</v>
      </c>
      <c r="I7474" s="151" t="s">
        <v>562</v>
      </c>
    </row>
    <row r="7475" spans="1:9" x14ac:dyDescent="0.25">
      <c r="A7475">
        <v>1820</v>
      </c>
      <c r="B7475">
        <f>A7475+1</f>
        <v>1821</v>
      </c>
      <c r="C7475" t="s">
        <v>526</v>
      </c>
      <c r="D7475" t="s">
        <v>27</v>
      </c>
      <c r="E7475" s="208" t="s">
        <v>147</v>
      </c>
      <c r="F7475" t="s">
        <v>7</v>
      </c>
      <c r="G7475" s="18">
        <v>153</v>
      </c>
      <c r="H7475" t="s">
        <v>16</v>
      </c>
      <c r="I7475" s="151" t="s">
        <v>562</v>
      </c>
    </row>
    <row r="7476" spans="1:9" x14ac:dyDescent="0.25">
      <c r="A7476">
        <v>1820</v>
      </c>
      <c r="B7476">
        <f>A7476+1</f>
        <v>1821</v>
      </c>
      <c r="C7476" t="s">
        <v>526</v>
      </c>
      <c r="D7476" t="s">
        <v>27</v>
      </c>
      <c r="E7476" s="208" t="s">
        <v>314</v>
      </c>
      <c r="F7476" t="s">
        <v>7</v>
      </c>
      <c r="G7476" s="18">
        <v>534</v>
      </c>
      <c r="H7476" t="s">
        <v>16</v>
      </c>
      <c r="I7476" s="151" t="s">
        <v>562</v>
      </c>
    </row>
    <row r="7477" spans="1:9" x14ac:dyDescent="0.25">
      <c r="A7477">
        <v>1820</v>
      </c>
      <c r="B7477">
        <f>A7477+1</f>
        <v>1821</v>
      </c>
      <c r="C7477" t="s">
        <v>526</v>
      </c>
      <c r="D7477" t="s">
        <v>27</v>
      </c>
      <c r="E7477" s="208" t="s">
        <v>139</v>
      </c>
      <c r="F7477" t="s">
        <v>7</v>
      </c>
      <c r="G7477" s="18">
        <v>7</v>
      </c>
      <c r="H7477" t="s">
        <v>16</v>
      </c>
      <c r="I7477" s="151" t="s">
        <v>562</v>
      </c>
    </row>
    <row r="7478" spans="1:9" x14ac:dyDescent="0.25">
      <c r="A7478">
        <v>1820</v>
      </c>
      <c r="B7478">
        <f>A7478+1</f>
        <v>1821</v>
      </c>
      <c r="C7478" t="s">
        <v>526</v>
      </c>
      <c r="D7478" t="s">
        <v>27</v>
      </c>
      <c r="E7478" s="208" t="s">
        <v>132</v>
      </c>
      <c r="F7478" t="s">
        <v>7</v>
      </c>
      <c r="G7478" s="18">
        <v>170</v>
      </c>
      <c r="H7478" t="s">
        <v>16</v>
      </c>
      <c r="I7478" s="151" t="s">
        <v>562</v>
      </c>
    </row>
    <row r="7479" spans="1:9" x14ac:dyDescent="0.25">
      <c r="A7479">
        <v>1820</v>
      </c>
      <c r="B7479">
        <f>A7479+1</f>
        <v>1821</v>
      </c>
      <c r="C7479" t="s">
        <v>526</v>
      </c>
      <c r="D7479" t="s">
        <v>27</v>
      </c>
      <c r="E7479" s="208" t="s">
        <v>130</v>
      </c>
      <c r="F7479" t="s">
        <v>7</v>
      </c>
      <c r="G7479" s="18">
        <v>98</v>
      </c>
      <c r="H7479" t="s">
        <v>16</v>
      </c>
      <c r="I7479" s="151" t="s">
        <v>562</v>
      </c>
    </row>
    <row r="7480" spans="1:9" x14ac:dyDescent="0.25">
      <c r="A7480">
        <v>1820</v>
      </c>
      <c r="B7480">
        <f>A7480+1</f>
        <v>1821</v>
      </c>
      <c r="C7480" t="s">
        <v>526</v>
      </c>
      <c r="D7480" t="s">
        <v>27</v>
      </c>
      <c r="E7480" s="208" t="s">
        <v>144</v>
      </c>
      <c r="F7480" t="s">
        <v>7</v>
      </c>
      <c r="G7480" s="18">
        <v>857</v>
      </c>
      <c r="H7480" t="s">
        <v>16</v>
      </c>
      <c r="I7480" s="151" t="s">
        <v>562</v>
      </c>
    </row>
    <row r="7481" spans="1:9" x14ac:dyDescent="0.25">
      <c r="A7481">
        <v>1820</v>
      </c>
      <c r="B7481">
        <f>A7481+1</f>
        <v>1821</v>
      </c>
      <c r="C7481" t="s">
        <v>526</v>
      </c>
      <c r="D7481" t="s">
        <v>27</v>
      </c>
      <c r="E7481" s="208" t="s">
        <v>142</v>
      </c>
      <c r="F7481" t="s">
        <v>7</v>
      </c>
      <c r="G7481" s="18">
        <v>3305</v>
      </c>
      <c r="H7481" t="s">
        <v>16</v>
      </c>
      <c r="I7481" s="151" t="s">
        <v>562</v>
      </c>
    </row>
    <row r="7482" spans="1:9" x14ac:dyDescent="0.25">
      <c r="A7482">
        <v>1820</v>
      </c>
      <c r="B7482">
        <f>A7482+1</f>
        <v>1821</v>
      </c>
      <c r="C7482" t="s">
        <v>526</v>
      </c>
      <c r="D7482" t="s">
        <v>27</v>
      </c>
      <c r="E7482" s="208" t="s">
        <v>124</v>
      </c>
      <c r="F7482" t="s">
        <v>7</v>
      </c>
      <c r="G7482" s="18">
        <v>9437089</v>
      </c>
      <c r="H7482" t="s">
        <v>16</v>
      </c>
      <c r="I7482" s="151" t="s">
        <v>562</v>
      </c>
    </row>
    <row r="7483" spans="1:9" x14ac:dyDescent="0.25">
      <c r="A7483">
        <v>1820</v>
      </c>
      <c r="B7483">
        <f>A7483+1</f>
        <v>1821</v>
      </c>
      <c r="C7483" t="s">
        <v>526</v>
      </c>
      <c r="D7483" t="s">
        <v>26</v>
      </c>
      <c r="E7483" s="208" t="s">
        <v>62</v>
      </c>
      <c r="F7483" t="s">
        <v>7</v>
      </c>
      <c r="G7483" s="18">
        <v>68861</v>
      </c>
      <c r="H7483" s="151" t="s">
        <v>563</v>
      </c>
      <c r="I7483" t="s">
        <v>16</v>
      </c>
    </row>
    <row r="7484" spans="1:9" x14ac:dyDescent="0.25">
      <c r="A7484">
        <v>1820</v>
      </c>
      <c r="B7484">
        <f>A7484+1</f>
        <v>1821</v>
      </c>
      <c r="C7484" t="s">
        <v>526</v>
      </c>
      <c r="D7484" t="s">
        <v>26</v>
      </c>
      <c r="E7484" s="208" t="s">
        <v>36</v>
      </c>
      <c r="F7484" t="s">
        <v>7</v>
      </c>
      <c r="G7484" s="18">
        <v>1809</v>
      </c>
      <c r="H7484" s="151" t="s">
        <v>563</v>
      </c>
      <c r="I7484" t="s">
        <v>16</v>
      </c>
    </row>
    <row r="7485" spans="1:9" x14ac:dyDescent="0.25">
      <c r="A7485">
        <v>1820</v>
      </c>
      <c r="B7485">
        <f>A7485+1</f>
        <v>1821</v>
      </c>
      <c r="C7485" t="s">
        <v>526</v>
      </c>
      <c r="D7485" t="s">
        <v>26</v>
      </c>
      <c r="E7485" s="208" t="s">
        <v>35</v>
      </c>
      <c r="F7485" t="s">
        <v>7</v>
      </c>
      <c r="G7485" s="18">
        <v>2384</v>
      </c>
      <c r="H7485" s="151" t="s">
        <v>563</v>
      </c>
      <c r="I7485" t="s">
        <v>16</v>
      </c>
    </row>
    <row r="7486" spans="1:9" x14ac:dyDescent="0.25">
      <c r="A7486">
        <v>1820</v>
      </c>
      <c r="B7486">
        <f>A7486+1</f>
        <v>1821</v>
      </c>
      <c r="C7486" t="s">
        <v>526</v>
      </c>
      <c r="D7486" t="s">
        <v>26</v>
      </c>
      <c r="E7486" s="208" t="s">
        <v>39</v>
      </c>
      <c r="F7486" t="s">
        <v>7</v>
      </c>
      <c r="G7486" s="18">
        <v>935</v>
      </c>
      <c r="H7486" s="151" t="s">
        <v>563</v>
      </c>
      <c r="I7486" t="s">
        <v>16</v>
      </c>
    </row>
    <row r="7487" spans="1:9" x14ac:dyDescent="0.25">
      <c r="A7487">
        <v>1820</v>
      </c>
      <c r="B7487">
        <f>A7487+1</f>
        <v>1821</v>
      </c>
      <c r="C7487" t="s">
        <v>526</v>
      </c>
      <c r="D7487" t="s">
        <v>26</v>
      </c>
      <c r="E7487" s="208" t="s">
        <v>99</v>
      </c>
      <c r="F7487" t="s">
        <v>7</v>
      </c>
      <c r="G7487" s="18">
        <v>1031</v>
      </c>
      <c r="H7487" s="151" t="s">
        <v>563</v>
      </c>
      <c r="I7487" t="s">
        <v>16</v>
      </c>
    </row>
    <row r="7488" spans="1:9" x14ac:dyDescent="0.25">
      <c r="A7488">
        <v>1820</v>
      </c>
      <c r="B7488">
        <f>A7488+1</f>
        <v>1821</v>
      </c>
      <c r="C7488" t="s">
        <v>526</v>
      </c>
      <c r="D7488" t="s">
        <v>26</v>
      </c>
      <c r="E7488" s="208" t="s">
        <v>95</v>
      </c>
      <c r="F7488" t="s">
        <v>7</v>
      </c>
      <c r="G7488" s="18">
        <v>0</v>
      </c>
      <c r="H7488" s="151" t="s">
        <v>563</v>
      </c>
      <c r="I7488" t="s">
        <v>16</v>
      </c>
    </row>
    <row r="7489" spans="1:9" x14ac:dyDescent="0.25">
      <c r="A7489">
        <v>1820</v>
      </c>
      <c r="B7489">
        <f>A7489+1</f>
        <v>1821</v>
      </c>
      <c r="C7489" t="s">
        <v>526</v>
      </c>
      <c r="D7489" t="s">
        <v>26</v>
      </c>
      <c r="E7489" s="208" t="s">
        <v>94</v>
      </c>
      <c r="F7489" t="s">
        <v>7</v>
      </c>
      <c r="G7489" s="18">
        <v>5125</v>
      </c>
      <c r="H7489" s="151" t="s">
        <v>563</v>
      </c>
      <c r="I7489" t="s">
        <v>16</v>
      </c>
    </row>
    <row r="7490" spans="1:9" x14ac:dyDescent="0.25">
      <c r="A7490">
        <v>1820</v>
      </c>
      <c r="B7490">
        <f>A7490+1</f>
        <v>1821</v>
      </c>
      <c r="C7490" t="s">
        <v>526</v>
      </c>
      <c r="D7490" t="s">
        <v>26</v>
      </c>
      <c r="E7490" s="208" t="s">
        <v>386</v>
      </c>
      <c r="F7490" t="s">
        <v>7</v>
      </c>
      <c r="G7490" s="18">
        <v>12036</v>
      </c>
      <c r="H7490" s="151" t="s">
        <v>563</v>
      </c>
      <c r="I7490" t="s">
        <v>16</v>
      </c>
    </row>
    <row r="7491" spans="1:9" x14ac:dyDescent="0.25">
      <c r="A7491">
        <v>1820</v>
      </c>
      <c r="B7491">
        <f>A7491+1</f>
        <v>1821</v>
      </c>
      <c r="C7491" t="s">
        <v>526</v>
      </c>
      <c r="D7491" t="s">
        <v>26</v>
      </c>
      <c r="E7491" s="208" t="s">
        <v>387</v>
      </c>
      <c r="F7491" t="s">
        <v>7</v>
      </c>
      <c r="G7491" s="18">
        <v>5802</v>
      </c>
      <c r="H7491" s="151" t="s">
        <v>563</v>
      </c>
      <c r="I7491" t="s">
        <v>16</v>
      </c>
    </row>
    <row r="7492" spans="1:9" x14ac:dyDescent="0.25">
      <c r="A7492">
        <v>1820</v>
      </c>
      <c r="B7492">
        <f>A7492+1</f>
        <v>1821</v>
      </c>
      <c r="C7492" t="s">
        <v>526</v>
      </c>
      <c r="D7492" t="s">
        <v>26</v>
      </c>
      <c r="E7492" s="208" t="s">
        <v>388</v>
      </c>
      <c r="F7492" t="s">
        <v>7</v>
      </c>
      <c r="G7492" s="18">
        <v>8111</v>
      </c>
      <c r="H7492" s="151" t="s">
        <v>563</v>
      </c>
      <c r="I7492" t="s">
        <v>16</v>
      </c>
    </row>
    <row r="7493" spans="1:9" x14ac:dyDescent="0.25">
      <c r="A7493">
        <v>1820</v>
      </c>
      <c r="B7493">
        <f>A7493+1</f>
        <v>1821</v>
      </c>
      <c r="C7493" t="s">
        <v>526</v>
      </c>
      <c r="D7493" t="s">
        <v>26</v>
      </c>
      <c r="E7493" s="208" t="s">
        <v>383</v>
      </c>
      <c r="F7493" t="s">
        <v>7</v>
      </c>
      <c r="G7493" s="18">
        <v>306</v>
      </c>
      <c r="H7493" s="151" t="s">
        <v>563</v>
      </c>
      <c r="I7493" t="s">
        <v>16</v>
      </c>
    </row>
    <row r="7494" spans="1:9" x14ac:dyDescent="0.25">
      <c r="A7494">
        <v>1820</v>
      </c>
      <c r="B7494">
        <f>A7494+1</f>
        <v>1821</v>
      </c>
      <c r="C7494" t="s">
        <v>526</v>
      </c>
      <c r="D7494" t="s">
        <v>26</v>
      </c>
      <c r="E7494" s="208" t="s">
        <v>384</v>
      </c>
      <c r="F7494" t="s">
        <v>7</v>
      </c>
      <c r="G7494" s="18">
        <v>229</v>
      </c>
      <c r="H7494" s="151" t="s">
        <v>563</v>
      </c>
      <c r="I7494" t="s">
        <v>16</v>
      </c>
    </row>
    <row r="7495" spans="1:9" x14ac:dyDescent="0.25">
      <c r="A7495">
        <v>1820</v>
      </c>
      <c r="B7495">
        <f>A7495+1</f>
        <v>1821</v>
      </c>
      <c r="C7495" t="s">
        <v>526</v>
      </c>
      <c r="D7495" t="s">
        <v>26</v>
      </c>
      <c r="E7495" s="208" t="s">
        <v>107</v>
      </c>
      <c r="F7495" t="s">
        <v>7</v>
      </c>
      <c r="G7495" s="18">
        <v>2359395</v>
      </c>
      <c r="H7495" s="151" t="s">
        <v>563</v>
      </c>
      <c r="I7495" t="s">
        <v>16</v>
      </c>
    </row>
    <row r="7496" spans="1:9" x14ac:dyDescent="0.25">
      <c r="A7496">
        <v>1820</v>
      </c>
      <c r="B7496">
        <f>A7496+1</f>
        <v>1821</v>
      </c>
      <c r="C7496" t="s">
        <v>526</v>
      </c>
      <c r="D7496" t="s">
        <v>26</v>
      </c>
      <c r="E7496" s="208" t="s">
        <v>101</v>
      </c>
      <c r="F7496" t="s">
        <v>7</v>
      </c>
      <c r="G7496" s="18">
        <v>4728370</v>
      </c>
      <c r="H7496" s="151" t="s">
        <v>563</v>
      </c>
      <c r="I7496" t="s">
        <v>16</v>
      </c>
    </row>
    <row r="7497" spans="1:9" x14ac:dyDescent="0.25">
      <c r="A7497">
        <v>1820</v>
      </c>
      <c r="B7497">
        <f>A7497+1</f>
        <v>1821</v>
      </c>
      <c r="C7497" t="s">
        <v>526</v>
      </c>
      <c r="D7497" t="s">
        <v>26</v>
      </c>
      <c r="E7497" s="208" t="s">
        <v>75</v>
      </c>
      <c r="F7497" t="s">
        <v>7</v>
      </c>
      <c r="G7497" s="18">
        <v>4060155</v>
      </c>
      <c r="H7497" s="151" t="s">
        <v>563</v>
      </c>
      <c r="I7497" t="s">
        <v>16</v>
      </c>
    </row>
    <row r="7498" spans="1:9" x14ac:dyDescent="0.25">
      <c r="A7498">
        <v>1820</v>
      </c>
      <c r="B7498">
        <f>A7498+1</f>
        <v>1821</v>
      </c>
      <c r="C7498" t="s">
        <v>526</v>
      </c>
      <c r="D7498" t="s">
        <v>26</v>
      </c>
      <c r="E7498" s="208" t="s">
        <v>330</v>
      </c>
      <c r="F7498" t="s">
        <v>7</v>
      </c>
      <c r="G7498" s="18">
        <v>1267</v>
      </c>
      <c r="H7498" s="151" t="s">
        <v>563</v>
      </c>
      <c r="I7498" t="s">
        <v>16</v>
      </c>
    </row>
    <row r="7499" spans="1:9" x14ac:dyDescent="0.25">
      <c r="A7499">
        <v>1820</v>
      </c>
      <c r="B7499">
        <f>A7499+1</f>
        <v>1821</v>
      </c>
      <c r="C7499" t="s">
        <v>526</v>
      </c>
      <c r="D7499" t="s">
        <v>26</v>
      </c>
      <c r="E7499" s="208" t="s">
        <v>331</v>
      </c>
      <c r="F7499" t="s">
        <v>7</v>
      </c>
      <c r="G7499" s="18">
        <v>2018</v>
      </c>
      <c r="H7499" s="151" t="s">
        <v>563</v>
      </c>
      <c r="I7499" t="s">
        <v>16</v>
      </c>
    </row>
    <row r="7500" spans="1:9" x14ac:dyDescent="0.25">
      <c r="A7500">
        <v>1820</v>
      </c>
      <c r="B7500">
        <f>A7500+1</f>
        <v>1821</v>
      </c>
      <c r="C7500" t="s">
        <v>526</v>
      </c>
      <c r="D7500" t="s">
        <v>26</v>
      </c>
      <c r="E7500" s="208" t="s">
        <v>332</v>
      </c>
      <c r="F7500" t="s">
        <v>7</v>
      </c>
      <c r="G7500" s="18">
        <v>581</v>
      </c>
      <c r="H7500" s="151" t="s">
        <v>563</v>
      </c>
      <c r="I7500" t="s">
        <v>16</v>
      </c>
    </row>
    <row r="7501" spans="1:9" x14ac:dyDescent="0.25">
      <c r="A7501">
        <v>1820</v>
      </c>
      <c r="B7501">
        <f>A7501+1</f>
        <v>1821</v>
      </c>
      <c r="C7501" t="s">
        <v>526</v>
      </c>
      <c r="D7501" t="s">
        <v>26</v>
      </c>
      <c r="E7501" s="208" t="s">
        <v>333</v>
      </c>
      <c r="F7501" t="s">
        <v>7</v>
      </c>
      <c r="G7501" s="18">
        <v>1414</v>
      </c>
      <c r="H7501" s="151" t="s">
        <v>563</v>
      </c>
      <c r="I7501" t="s">
        <v>16</v>
      </c>
    </row>
    <row r="7502" spans="1:9" x14ac:dyDescent="0.25">
      <c r="A7502">
        <v>1820</v>
      </c>
      <c r="B7502">
        <f>A7502+1</f>
        <v>1821</v>
      </c>
      <c r="C7502" t="s">
        <v>526</v>
      </c>
      <c r="D7502" t="s">
        <v>27</v>
      </c>
      <c r="E7502" s="208" t="s">
        <v>155</v>
      </c>
      <c r="F7502" t="s">
        <v>10</v>
      </c>
      <c r="G7502" s="18">
        <v>70</v>
      </c>
      <c r="H7502" t="s">
        <v>17</v>
      </c>
      <c r="I7502" t="s">
        <v>24</v>
      </c>
    </row>
    <row r="7503" spans="1:9" x14ac:dyDescent="0.25">
      <c r="A7503">
        <v>1820</v>
      </c>
      <c r="B7503">
        <f>A7503+1</f>
        <v>1821</v>
      </c>
      <c r="C7503" t="s">
        <v>526</v>
      </c>
      <c r="D7503" t="s">
        <v>27</v>
      </c>
      <c r="E7503" s="208" t="s">
        <v>156</v>
      </c>
      <c r="F7503" t="s">
        <v>10</v>
      </c>
      <c r="G7503" s="18">
        <v>32</v>
      </c>
      <c r="H7503" t="s">
        <v>17</v>
      </c>
      <c r="I7503" t="s">
        <v>24</v>
      </c>
    </row>
    <row r="7504" spans="1:9" x14ac:dyDescent="0.25">
      <c r="A7504">
        <v>1820</v>
      </c>
      <c r="B7504">
        <f>A7504+1</f>
        <v>1821</v>
      </c>
      <c r="C7504" t="s">
        <v>526</v>
      </c>
      <c r="D7504" t="s">
        <v>27</v>
      </c>
      <c r="E7504" s="208" t="s">
        <v>154</v>
      </c>
      <c r="F7504" t="s">
        <v>10</v>
      </c>
      <c r="G7504" s="18">
        <v>46</v>
      </c>
      <c r="H7504" t="s">
        <v>17</v>
      </c>
      <c r="I7504" t="s">
        <v>24</v>
      </c>
    </row>
    <row r="7505" spans="1:9" x14ac:dyDescent="0.25">
      <c r="A7505">
        <v>1820</v>
      </c>
      <c r="B7505">
        <f>A7505+1</f>
        <v>1821</v>
      </c>
      <c r="C7505" t="s">
        <v>526</v>
      </c>
      <c r="D7505" t="s">
        <v>27</v>
      </c>
      <c r="E7505" s="208" t="s">
        <v>150</v>
      </c>
      <c r="F7505" t="s">
        <v>10</v>
      </c>
      <c r="G7505" s="18">
        <v>2869</v>
      </c>
      <c r="H7505" t="s">
        <v>17</v>
      </c>
      <c r="I7505" t="s">
        <v>24</v>
      </c>
    </row>
    <row r="7506" spans="1:9" x14ac:dyDescent="0.25">
      <c r="A7506">
        <v>1820</v>
      </c>
      <c r="B7506">
        <f>A7506+1</f>
        <v>1821</v>
      </c>
      <c r="C7506" t="s">
        <v>526</v>
      </c>
      <c r="D7506" t="s">
        <v>27</v>
      </c>
      <c r="E7506" s="208" t="s">
        <v>148</v>
      </c>
      <c r="F7506" t="s">
        <v>10</v>
      </c>
      <c r="G7506" s="18">
        <v>35</v>
      </c>
      <c r="H7506" t="s">
        <v>17</v>
      </c>
      <c r="I7506" t="s">
        <v>24</v>
      </c>
    </row>
    <row r="7507" spans="1:9" x14ac:dyDescent="0.25">
      <c r="A7507">
        <v>1820</v>
      </c>
      <c r="B7507">
        <f>A7507+1</f>
        <v>1821</v>
      </c>
      <c r="C7507" t="s">
        <v>526</v>
      </c>
      <c r="D7507" t="s">
        <v>27</v>
      </c>
      <c r="E7507" s="208" t="s">
        <v>147</v>
      </c>
      <c r="F7507" t="s">
        <v>10</v>
      </c>
      <c r="G7507" s="18">
        <v>0</v>
      </c>
      <c r="H7507" t="s">
        <v>17</v>
      </c>
      <c r="I7507" t="s">
        <v>24</v>
      </c>
    </row>
    <row r="7508" spans="1:9" x14ac:dyDescent="0.25">
      <c r="A7508">
        <v>1820</v>
      </c>
      <c r="B7508">
        <f>A7508+1</f>
        <v>1821</v>
      </c>
      <c r="C7508" t="s">
        <v>526</v>
      </c>
      <c r="D7508" t="s">
        <v>27</v>
      </c>
      <c r="E7508" s="208" t="s">
        <v>314</v>
      </c>
      <c r="F7508" t="s">
        <v>10</v>
      </c>
      <c r="G7508" s="18">
        <v>0</v>
      </c>
      <c r="H7508" t="s">
        <v>17</v>
      </c>
      <c r="I7508" t="s">
        <v>24</v>
      </c>
    </row>
    <row r="7509" spans="1:9" x14ac:dyDescent="0.25">
      <c r="A7509">
        <v>1820</v>
      </c>
      <c r="B7509">
        <f>A7509+1</f>
        <v>1821</v>
      </c>
      <c r="C7509" t="s">
        <v>526</v>
      </c>
      <c r="D7509" t="s">
        <v>27</v>
      </c>
      <c r="E7509" s="208" t="s">
        <v>139</v>
      </c>
      <c r="F7509" t="s">
        <v>10</v>
      </c>
      <c r="G7509" s="18">
        <v>103</v>
      </c>
      <c r="H7509" t="s">
        <v>17</v>
      </c>
      <c r="I7509" t="s">
        <v>24</v>
      </c>
    </row>
    <row r="7510" spans="1:9" x14ac:dyDescent="0.25">
      <c r="A7510">
        <v>1820</v>
      </c>
      <c r="B7510">
        <f>A7510+1</f>
        <v>1821</v>
      </c>
      <c r="C7510" t="s">
        <v>526</v>
      </c>
      <c r="D7510" t="s">
        <v>27</v>
      </c>
      <c r="E7510" s="208" t="s">
        <v>132</v>
      </c>
      <c r="F7510" t="s">
        <v>10</v>
      </c>
      <c r="G7510" s="18">
        <v>0</v>
      </c>
      <c r="H7510" t="s">
        <v>17</v>
      </c>
      <c r="I7510" t="s">
        <v>24</v>
      </c>
    </row>
    <row r="7511" spans="1:9" x14ac:dyDescent="0.25">
      <c r="A7511">
        <v>1820</v>
      </c>
      <c r="B7511">
        <f>A7511+1</f>
        <v>1821</v>
      </c>
      <c r="C7511" t="s">
        <v>526</v>
      </c>
      <c r="D7511" t="s">
        <v>27</v>
      </c>
      <c r="E7511" s="208" t="s">
        <v>130</v>
      </c>
      <c r="F7511" t="s">
        <v>10</v>
      </c>
      <c r="G7511" s="18">
        <v>0</v>
      </c>
      <c r="H7511" t="s">
        <v>17</v>
      </c>
      <c r="I7511" t="s">
        <v>24</v>
      </c>
    </row>
    <row r="7512" spans="1:9" x14ac:dyDescent="0.25">
      <c r="A7512">
        <v>1820</v>
      </c>
      <c r="B7512">
        <f>A7512+1</f>
        <v>1821</v>
      </c>
      <c r="C7512" t="s">
        <v>526</v>
      </c>
      <c r="D7512" t="s">
        <v>27</v>
      </c>
      <c r="E7512" s="208" t="s">
        <v>144</v>
      </c>
      <c r="F7512" t="s">
        <v>10</v>
      </c>
      <c r="G7512" s="18">
        <v>13</v>
      </c>
      <c r="H7512" t="s">
        <v>17</v>
      </c>
      <c r="I7512" t="s">
        <v>24</v>
      </c>
    </row>
    <row r="7513" spans="1:9" x14ac:dyDescent="0.25">
      <c r="A7513">
        <v>1820</v>
      </c>
      <c r="B7513">
        <f>A7513+1</f>
        <v>1821</v>
      </c>
      <c r="C7513" t="s">
        <v>526</v>
      </c>
      <c r="D7513" t="s">
        <v>27</v>
      </c>
      <c r="E7513" s="208" t="s">
        <v>142</v>
      </c>
      <c r="F7513" t="s">
        <v>10</v>
      </c>
      <c r="G7513" s="18">
        <v>269</v>
      </c>
      <c r="H7513" t="s">
        <v>17</v>
      </c>
      <c r="I7513" t="s">
        <v>24</v>
      </c>
    </row>
    <row r="7514" spans="1:9" x14ac:dyDescent="0.25">
      <c r="A7514">
        <v>1820</v>
      </c>
      <c r="B7514">
        <f>A7514+1</f>
        <v>1821</v>
      </c>
      <c r="C7514" t="s">
        <v>526</v>
      </c>
      <c r="D7514" t="s">
        <v>27</v>
      </c>
      <c r="E7514" s="208" t="s">
        <v>124</v>
      </c>
      <c r="F7514" t="s">
        <v>10</v>
      </c>
      <c r="G7514" s="18">
        <v>8823</v>
      </c>
      <c r="H7514" t="s">
        <v>17</v>
      </c>
      <c r="I7514" t="s">
        <v>24</v>
      </c>
    </row>
    <row r="7515" spans="1:9" x14ac:dyDescent="0.25">
      <c r="A7515">
        <v>1820</v>
      </c>
      <c r="B7515">
        <f>A7515+1</f>
        <v>1821</v>
      </c>
      <c r="C7515" t="s">
        <v>526</v>
      </c>
      <c r="D7515" t="s">
        <v>26</v>
      </c>
      <c r="E7515" s="208" t="s">
        <v>62</v>
      </c>
      <c r="F7515" t="s">
        <v>10</v>
      </c>
      <c r="G7515" s="18">
        <v>2428</v>
      </c>
      <c r="H7515" t="s">
        <v>24</v>
      </c>
      <c r="I7515" t="s">
        <v>17</v>
      </c>
    </row>
    <row r="7516" spans="1:9" x14ac:dyDescent="0.25">
      <c r="A7516">
        <v>1820</v>
      </c>
      <c r="B7516">
        <f>A7516+1</f>
        <v>1821</v>
      </c>
      <c r="C7516" t="s">
        <v>526</v>
      </c>
      <c r="D7516" t="s">
        <v>26</v>
      </c>
      <c r="E7516" s="208" t="s">
        <v>36</v>
      </c>
      <c r="F7516" t="s">
        <v>10</v>
      </c>
      <c r="G7516" s="18">
        <v>352</v>
      </c>
      <c r="H7516" t="s">
        <v>24</v>
      </c>
      <c r="I7516" t="s">
        <v>17</v>
      </c>
    </row>
    <row r="7517" spans="1:9" x14ac:dyDescent="0.25">
      <c r="A7517">
        <v>1820</v>
      </c>
      <c r="B7517">
        <f>A7517+1</f>
        <v>1821</v>
      </c>
      <c r="C7517" t="s">
        <v>526</v>
      </c>
      <c r="D7517" t="s">
        <v>26</v>
      </c>
      <c r="E7517" s="208" t="s">
        <v>35</v>
      </c>
      <c r="F7517" t="s">
        <v>10</v>
      </c>
      <c r="G7517" s="18">
        <v>8</v>
      </c>
      <c r="H7517" t="s">
        <v>24</v>
      </c>
      <c r="I7517" t="s">
        <v>17</v>
      </c>
    </row>
    <row r="7518" spans="1:9" x14ac:dyDescent="0.25">
      <c r="A7518">
        <v>1820</v>
      </c>
      <c r="B7518">
        <f>A7518+1</f>
        <v>1821</v>
      </c>
      <c r="C7518" t="s">
        <v>526</v>
      </c>
      <c r="D7518" t="s">
        <v>26</v>
      </c>
      <c r="E7518" s="208" t="s">
        <v>39</v>
      </c>
      <c r="F7518" t="s">
        <v>10</v>
      </c>
      <c r="G7518" s="18">
        <v>235</v>
      </c>
      <c r="H7518" t="s">
        <v>24</v>
      </c>
      <c r="I7518" t="s">
        <v>17</v>
      </c>
    </row>
    <row r="7519" spans="1:9" x14ac:dyDescent="0.25">
      <c r="A7519">
        <v>1820</v>
      </c>
      <c r="B7519">
        <f>A7519+1</f>
        <v>1821</v>
      </c>
      <c r="C7519" t="s">
        <v>526</v>
      </c>
      <c r="D7519" t="s">
        <v>26</v>
      </c>
      <c r="E7519" s="208" t="s">
        <v>99</v>
      </c>
      <c r="F7519" t="s">
        <v>10</v>
      </c>
      <c r="G7519" s="18">
        <v>53</v>
      </c>
      <c r="H7519" t="s">
        <v>24</v>
      </c>
      <c r="I7519" t="s">
        <v>17</v>
      </c>
    </row>
    <row r="7520" spans="1:9" x14ac:dyDescent="0.25">
      <c r="A7520">
        <v>1820</v>
      </c>
      <c r="B7520">
        <f>A7520+1</f>
        <v>1821</v>
      </c>
      <c r="C7520" t="s">
        <v>526</v>
      </c>
      <c r="D7520" t="s">
        <v>26</v>
      </c>
      <c r="E7520" s="208" t="s">
        <v>95</v>
      </c>
      <c r="F7520" t="s">
        <v>10</v>
      </c>
      <c r="G7520" s="18">
        <v>0</v>
      </c>
      <c r="H7520" t="s">
        <v>24</v>
      </c>
      <c r="I7520" t="s">
        <v>17</v>
      </c>
    </row>
    <row r="7521" spans="1:9" x14ac:dyDescent="0.25">
      <c r="A7521">
        <v>1820</v>
      </c>
      <c r="B7521">
        <f>A7521+1</f>
        <v>1821</v>
      </c>
      <c r="C7521" t="s">
        <v>526</v>
      </c>
      <c r="D7521" t="s">
        <v>26</v>
      </c>
      <c r="E7521" s="208" t="s">
        <v>94</v>
      </c>
      <c r="F7521" t="s">
        <v>10</v>
      </c>
      <c r="G7521" s="18">
        <v>0</v>
      </c>
      <c r="H7521" t="s">
        <v>24</v>
      </c>
      <c r="I7521" t="s">
        <v>17</v>
      </c>
    </row>
    <row r="7522" spans="1:9" x14ac:dyDescent="0.25">
      <c r="A7522">
        <v>1820</v>
      </c>
      <c r="B7522">
        <f>A7522+1</f>
        <v>1821</v>
      </c>
      <c r="C7522" t="s">
        <v>526</v>
      </c>
      <c r="D7522" t="s">
        <v>26</v>
      </c>
      <c r="E7522" s="208" t="s">
        <v>386</v>
      </c>
      <c r="F7522" t="s">
        <v>10</v>
      </c>
      <c r="G7522" s="18">
        <v>5046</v>
      </c>
      <c r="H7522" t="s">
        <v>24</v>
      </c>
      <c r="I7522" t="s">
        <v>17</v>
      </c>
    </row>
    <row r="7523" spans="1:9" x14ac:dyDescent="0.25">
      <c r="A7523">
        <v>1820</v>
      </c>
      <c r="B7523">
        <f>A7523+1</f>
        <v>1821</v>
      </c>
      <c r="C7523" t="s">
        <v>526</v>
      </c>
      <c r="D7523" t="s">
        <v>26</v>
      </c>
      <c r="E7523" s="208" t="s">
        <v>387</v>
      </c>
      <c r="F7523" t="s">
        <v>10</v>
      </c>
      <c r="G7523" s="18">
        <v>0</v>
      </c>
      <c r="H7523" t="s">
        <v>24</v>
      </c>
      <c r="I7523" t="s">
        <v>17</v>
      </c>
    </row>
    <row r="7524" spans="1:9" x14ac:dyDescent="0.25">
      <c r="A7524">
        <v>1820</v>
      </c>
      <c r="B7524">
        <f>A7524+1</f>
        <v>1821</v>
      </c>
      <c r="C7524" t="s">
        <v>526</v>
      </c>
      <c r="D7524" t="s">
        <v>26</v>
      </c>
      <c r="E7524" s="208" t="s">
        <v>388</v>
      </c>
      <c r="F7524" t="s">
        <v>10</v>
      </c>
      <c r="G7524" s="18">
        <v>787</v>
      </c>
      <c r="H7524" t="s">
        <v>24</v>
      </c>
      <c r="I7524" t="s">
        <v>17</v>
      </c>
    </row>
    <row r="7525" spans="1:9" x14ac:dyDescent="0.25">
      <c r="A7525">
        <v>1820</v>
      </c>
      <c r="B7525">
        <f>A7525+1</f>
        <v>1821</v>
      </c>
      <c r="C7525" t="s">
        <v>526</v>
      </c>
      <c r="D7525" t="s">
        <v>26</v>
      </c>
      <c r="E7525" s="208" t="s">
        <v>383</v>
      </c>
      <c r="F7525" t="s">
        <v>10</v>
      </c>
      <c r="G7525" s="18">
        <v>46</v>
      </c>
      <c r="H7525" t="s">
        <v>24</v>
      </c>
      <c r="I7525" t="s">
        <v>17</v>
      </c>
    </row>
    <row r="7526" spans="1:9" x14ac:dyDescent="0.25">
      <c r="A7526">
        <v>1820</v>
      </c>
      <c r="B7526">
        <f>A7526+1</f>
        <v>1821</v>
      </c>
      <c r="C7526" t="s">
        <v>526</v>
      </c>
      <c r="D7526" t="s">
        <v>26</v>
      </c>
      <c r="E7526" s="208" t="s">
        <v>384</v>
      </c>
      <c r="F7526" t="s">
        <v>10</v>
      </c>
      <c r="G7526" s="18">
        <v>83</v>
      </c>
      <c r="H7526" t="s">
        <v>24</v>
      </c>
      <c r="I7526" t="s">
        <v>17</v>
      </c>
    </row>
    <row r="7527" spans="1:9" x14ac:dyDescent="0.25">
      <c r="A7527">
        <v>1820</v>
      </c>
      <c r="B7527">
        <f>A7527+1</f>
        <v>1821</v>
      </c>
      <c r="C7527" t="s">
        <v>526</v>
      </c>
      <c r="D7527" t="s">
        <v>26</v>
      </c>
      <c r="E7527" s="208" t="s">
        <v>107</v>
      </c>
      <c r="F7527" t="s">
        <v>10</v>
      </c>
      <c r="G7527" s="18">
        <v>4324644</v>
      </c>
      <c r="H7527" t="s">
        <v>24</v>
      </c>
      <c r="I7527" t="s">
        <v>17</v>
      </c>
    </row>
    <row r="7528" spans="1:9" x14ac:dyDescent="0.25">
      <c r="A7528">
        <v>1820</v>
      </c>
      <c r="B7528">
        <f>A7528+1</f>
        <v>1821</v>
      </c>
      <c r="C7528" t="s">
        <v>526</v>
      </c>
      <c r="D7528" t="s">
        <v>26</v>
      </c>
      <c r="E7528" s="208" t="s">
        <v>101</v>
      </c>
      <c r="F7528" t="s">
        <v>10</v>
      </c>
      <c r="G7528" s="18">
        <v>5192369</v>
      </c>
      <c r="H7528" t="s">
        <v>24</v>
      </c>
      <c r="I7528" t="s">
        <v>17</v>
      </c>
    </row>
    <row r="7529" spans="1:9" x14ac:dyDescent="0.25">
      <c r="A7529">
        <v>1820</v>
      </c>
      <c r="B7529">
        <f>A7529+1</f>
        <v>1821</v>
      </c>
      <c r="C7529" t="s">
        <v>526</v>
      </c>
      <c r="D7529" t="s">
        <v>26</v>
      </c>
      <c r="E7529" s="208" t="s">
        <v>75</v>
      </c>
      <c r="F7529" t="s">
        <v>10</v>
      </c>
      <c r="G7529" s="18">
        <v>4481598</v>
      </c>
      <c r="H7529" t="s">
        <v>24</v>
      </c>
      <c r="I7529" t="s">
        <v>17</v>
      </c>
    </row>
    <row r="7530" spans="1:9" x14ac:dyDescent="0.25">
      <c r="A7530">
        <v>1820</v>
      </c>
      <c r="B7530">
        <f>A7530+1</f>
        <v>1821</v>
      </c>
      <c r="C7530" t="s">
        <v>526</v>
      </c>
      <c r="D7530" t="s">
        <v>26</v>
      </c>
      <c r="E7530" s="208" t="s">
        <v>330</v>
      </c>
      <c r="F7530" t="s">
        <v>10</v>
      </c>
      <c r="G7530" s="18">
        <v>6</v>
      </c>
      <c r="H7530" t="s">
        <v>24</v>
      </c>
      <c r="I7530" t="s">
        <v>17</v>
      </c>
    </row>
    <row r="7531" spans="1:9" x14ac:dyDescent="0.25">
      <c r="A7531">
        <v>1820</v>
      </c>
      <c r="B7531">
        <f>A7531+1</f>
        <v>1821</v>
      </c>
      <c r="C7531" t="s">
        <v>526</v>
      </c>
      <c r="D7531" t="s">
        <v>26</v>
      </c>
      <c r="E7531" s="208" t="s">
        <v>331</v>
      </c>
      <c r="F7531" t="s">
        <v>10</v>
      </c>
      <c r="G7531" s="18">
        <v>0</v>
      </c>
      <c r="H7531" t="s">
        <v>24</v>
      </c>
      <c r="I7531" t="s">
        <v>17</v>
      </c>
    </row>
    <row r="7532" spans="1:9" x14ac:dyDescent="0.25">
      <c r="A7532">
        <v>1820</v>
      </c>
      <c r="B7532">
        <f>A7532+1</f>
        <v>1821</v>
      </c>
      <c r="C7532" t="s">
        <v>526</v>
      </c>
      <c r="D7532" t="s">
        <v>26</v>
      </c>
      <c r="E7532" s="208" t="s">
        <v>332</v>
      </c>
      <c r="F7532" t="s">
        <v>10</v>
      </c>
      <c r="G7532" s="18">
        <v>0</v>
      </c>
      <c r="H7532" t="s">
        <v>24</v>
      </c>
      <c r="I7532" t="s">
        <v>17</v>
      </c>
    </row>
    <row r="7533" spans="1:9" x14ac:dyDescent="0.25">
      <c r="A7533">
        <v>1820</v>
      </c>
      <c r="B7533">
        <f>A7533+1</f>
        <v>1821</v>
      </c>
      <c r="C7533" t="s">
        <v>526</v>
      </c>
      <c r="D7533" t="s">
        <v>26</v>
      </c>
      <c r="E7533" s="208" t="s">
        <v>333</v>
      </c>
      <c r="F7533" t="s">
        <v>10</v>
      </c>
      <c r="G7533" s="18">
        <v>0</v>
      </c>
      <c r="H7533" t="s">
        <v>24</v>
      </c>
      <c r="I7533" t="s">
        <v>17</v>
      </c>
    </row>
    <row r="7534" spans="1:9" x14ac:dyDescent="0.25">
      <c r="A7534">
        <v>1820</v>
      </c>
      <c r="B7534">
        <f>A7534+1</f>
        <v>1821</v>
      </c>
      <c r="C7534" t="s">
        <v>526</v>
      </c>
      <c r="D7534" t="s">
        <v>27</v>
      </c>
      <c r="E7534" s="208" t="s">
        <v>155</v>
      </c>
      <c r="F7534" t="s">
        <v>8</v>
      </c>
      <c r="G7534" s="18">
        <v>88371</v>
      </c>
      <c r="H7534" t="s">
        <v>17</v>
      </c>
      <c r="I7534" t="s">
        <v>18</v>
      </c>
    </row>
    <row r="7535" spans="1:9" x14ac:dyDescent="0.25">
      <c r="A7535">
        <v>1820</v>
      </c>
      <c r="B7535">
        <f>A7535+1</f>
        <v>1821</v>
      </c>
      <c r="C7535" t="s">
        <v>526</v>
      </c>
      <c r="D7535" t="s">
        <v>27</v>
      </c>
      <c r="E7535" s="208" t="s">
        <v>156</v>
      </c>
      <c r="F7535" t="s">
        <v>8</v>
      </c>
      <c r="G7535" s="18">
        <v>9322</v>
      </c>
      <c r="H7535" t="s">
        <v>17</v>
      </c>
      <c r="I7535" t="s">
        <v>18</v>
      </c>
    </row>
    <row r="7536" spans="1:9" x14ac:dyDescent="0.25">
      <c r="A7536">
        <v>1820</v>
      </c>
      <c r="B7536">
        <f>A7536+1</f>
        <v>1821</v>
      </c>
      <c r="C7536" t="s">
        <v>526</v>
      </c>
      <c r="D7536" t="s">
        <v>27</v>
      </c>
      <c r="E7536" s="208" t="s">
        <v>154</v>
      </c>
      <c r="F7536" t="s">
        <v>8</v>
      </c>
      <c r="G7536" s="18">
        <v>695</v>
      </c>
      <c r="H7536" t="s">
        <v>17</v>
      </c>
      <c r="I7536" t="s">
        <v>18</v>
      </c>
    </row>
    <row r="7537" spans="1:9" x14ac:dyDescent="0.25">
      <c r="A7537">
        <v>1820</v>
      </c>
      <c r="B7537">
        <f>A7537+1</f>
        <v>1821</v>
      </c>
      <c r="C7537" t="s">
        <v>526</v>
      </c>
      <c r="D7537" t="s">
        <v>27</v>
      </c>
      <c r="E7537" s="208" t="s">
        <v>150</v>
      </c>
      <c r="F7537" t="s">
        <v>8</v>
      </c>
      <c r="G7537" s="18">
        <v>33590</v>
      </c>
      <c r="H7537" t="s">
        <v>17</v>
      </c>
      <c r="I7537" t="s">
        <v>18</v>
      </c>
    </row>
    <row r="7538" spans="1:9" x14ac:dyDescent="0.25">
      <c r="A7538">
        <v>1820</v>
      </c>
      <c r="B7538">
        <f>A7538+1</f>
        <v>1821</v>
      </c>
      <c r="C7538" t="s">
        <v>526</v>
      </c>
      <c r="D7538" t="s">
        <v>27</v>
      </c>
      <c r="E7538" s="208" t="s">
        <v>148</v>
      </c>
      <c r="F7538" t="s">
        <v>8</v>
      </c>
      <c r="G7538" s="18">
        <v>1099</v>
      </c>
      <c r="H7538" t="s">
        <v>17</v>
      </c>
      <c r="I7538" t="s">
        <v>18</v>
      </c>
    </row>
    <row r="7539" spans="1:9" x14ac:dyDescent="0.25">
      <c r="A7539">
        <v>1820</v>
      </c>
      <c r="B7539">
        <f>A7539+1</f>
        <v>1821</v>
      </c>
      <c r="C7539" t="s">
        <v>526</v>
      </c>
      <c r="D7539" t="s">
        <v>27</v>
      </c>
      <c r="E7539" s="208" t="s">
        <v>147</v>
      </c>
      <c r="F7539" t="s">
        <v>8</v>
      </c>
      <c r="G7539" s="18">
        <v>0</v>
      </c>
      <c r="H7539" t="s">
        <v>17</v>
      </c>
      <c r="I7539" t="s">
        <v>18</v>
      </c>
    </row>
    <row r="7540" spans="1:9" x14ac:dyDescent="0.25">
      <c r="A7540">
        <v>1820</v>
      </c>
      <c r="B7540">
        <f>A7540+1</f>
        <v>1821</v>
      </c>
      <c r="C7540" t="s">
        <v>526</v>
      </c>
      <c r="D7540" t="s">
        <v>27</v>
      </c>
      <c r="E7540" s="208" t="s">
        <v>314</v>
      </c>
      <c r="F7540" t="s">
        <v>8</v>
      </c>
      <c r="G7540" s="18">
        <v>0</v>
      </c>
      <c r="H7540" t="s">
        <v>17</v>
      </c>
      <c r="I7540" t="s">
        <v>18</v>
      </c>
    </row>
    <row r="7541" spans="1:9" x14ac:dyDescent="0.25">
      <c r="A7541">
        <v>1820</v>
      </c>
      <c r="B7541">
        <f>A7541+1</f>
        <v>1821</v>
      </c>
      <c r="C7541" t="s">
        <v>526</v>
      </c>
      <c r="D7541" t="s">
        <v>27</v>
      </c>
      <c r="E7541" s="208" t="s">
        <v>139</v>
      </c>
      <c r="F7541" t="s">
        <v>8</v>
      </c>
      <c r="G7541" s="18">
        <v>57</v>
      </c>
      <c r="H7541" t="s">
        <v>17</v>
      </c>
      <c r="I7541" t="s">
        <v>18</v>
      </c>
    </row>
    <row r="7542" spans="1:9" x14ac:dyDescent="0.25">
      <c r="A7542">
        <v>1820</v>
      </c>
      <c r="B7542">
        <f>A7542+1</f>
        <v>1821</v>
      </c>
      <c r="C7542" t="s">
        <v>526</v>
      </c>
      <c r="D7542" t="s">
        <v>27</v>
      </c>
      <c r="E7542" s="208" t="s">
        <v>132</v>
      </c>
      <c r="F7542" t="s">
        <v>8</v>
      </c>
      <c r="G7542" s="18">
        <v>814</v>
      </c>
      <c r="H7542" t="s">
        <v>17</v>
      </c>
      <c r="I7542" t="s">
        <v>18</v>
      </c>
    </row>
    <row r="7543" spans="1:9" x14ac:dyDescent="0.25">
      <c r="A7543">
        <v>1820</v>
      </c>
      <c r="B7543">
        <f>A7543+1</f>
        <v>1821</v>
      </c>
      <c r="C7543" t="s">
        <v>526</v>
      </c>
      <c r="D7543" t="s">
        <v>27</v>
      </c>
      <c r="E7543" s="208" t="s">
        <v>130</v>
      </c>
      <c r="F7543" t="s">
        <v>8</v>
      </c>
      <c r="G7543" s="18">
        <v>173</v>
      </c>
      <c r="H7543" t="s">
        <v>17</v>
      </c>
      <c r="I7543" t="s">
        <v>18</v>
      </c>
    </row>
    <row r="7544" spans="1:9" x14ac:dyDescent="0.25">
      <c r="A7544">
        <v>1820</v>
      </c>
      <c r="B7544">
        <f>A7544+1</f>
        <v>1821</v>
      </c>
      <c r="C7544" t="s">
        <v>526</v>
      </c>
      <c r="D7544" t="s">
        <v>27</v>
      </c>
      <c r="E7544" s="208" t="s">
        <v>144</v>
      </c>
      <c r="F7544" t="s">
        <v>8</v>
      </c>
      <c r="G7544" s="18">
        <v>354</v>
      </c>
      <c r="H7544" t="s">
        <v>17</v>
      </c>
      <c r="I7544" t="s">
        <v>18</v>
      </c>
    </row>
    <row r="7545" spans="1:9" x14ac:dyDescent="0.25">
      <c r="A7545">
        <v>1820</v>
      </c>
      <c r="B7545">
        <f>A7545+1</f>
        <v>1821</v>
      </c>
      <c r="C7545" t="s">
        <v>526</v>
      </c>
      <c r="D7545" t="s">
        <v>27</v>
      </c>
      <c r="E7545" s="208" t="s">
        <v>142</v>
      </c>
      <c r="F7545" t="s">
        <v>8</v>
      </c>
      <c r="G7545" s="18">
        <v>21213</v>
      </c>
      <c r="H7545" t="s">
        <v>17</v>
      </c>
      <c r="I7545" t="s">
        <v>18</v>
      </c>
    </row>
    <row r="7546" spans="1:9" x14ac:dyDescent="0.25">
      <c r="A7546">
        <v>1820</v>
      </c>
      <c r="B7546">
        <f>A7546+1</f>
        <v>1821</v>
      </c>
      <c r="C7546" t="s">
        <v>526</v>
      </c>
      <c r="D7546" t="s">
        <v>27</v>
      </c>
      <c r="E7546" s="208" t="s">
        <v>124</v>
      </c>
      <c r="F7546" t="s">
        <v>8</v>
      </c>
      <c r="G7546" s="18">
        <v>7352531</v>
      </c>
      <c r="H7546" t="s">
        <v>17</v>
      </c>
      <c r="I7546" t="s">
        <v>18</v>
      </c>
    </row>
    <row r="7547" spans="1:9" x14ac:dyDescent="0.25">
      <c r="A7547">
        <v>1820</v>
      </c>
      <c r="B7547">
        <f>A7547+1</f>
        <v>1821</v>
      </c>
      <c r="C7547" t="s">
        <v>526</v>
      </c>
      <c r="D7547" t="s">
        <v>26</v>
      </c>
      <c r="E7547" s="208" t="s">
        <v>62</v>
      </c>
      <c r="F7547" t="s">
        <v>164</v>
      </c>
      <c r="G7547" s="18">
        <v>832</v>
      </c>
      <c r="H7547" t="s">
        <v>160</v>
      </c>
      <c r="I7547" t="s">
        <v>17</v>
      </c>
    </row>
    <row r="7548" spans="1:9" x14ac:dyDescent="0.25">
      <c r="A7548">
        <v>1820</v>
      </c>
      <c r="B7548">
        <f>A7548+1</f>
        <v>1821</v>
      </c>
      <c r="C7548" t="s">
        <v>526</v>
      </c>
      <c r="D7548" t="s">
        <v>26</v>
      </c>
      <c r="E7548" s="208" t="s">
        <v>36</v>
      </c>
      <c r="F7548" t="s">
        <v>164</v>
      </c>
      <c r="G7548" s="18">
        <v>118</v>
      </c>
      <c r="H7548" t="s">
        <v>160</v>
      </c>
      <c r="I7548" t="s">
        <v>17</v>
      </c>
    </row>
    <row r="7549" spans="1:9" x14ac:dyDescent="0.25">
      <c r="A7549">
        <v>1820</v>
      </c>
      <c r="B7549">
        <f>A7549+1</f>
        <v>1821</v>
      </c>
      <c r="C7549" t="s">
        <v>526</v>
      </c>
      <c r="D7549" t="s">
        <v>26</v>
      </c>
      <c r="E7549" s="208" t="s">
        <v>35</v>
      </c>
      <c r="F7549" t="s">
        <v>164</v>
      </c>
      <c r="G7549" s="18">
        <v>0</v>
      </c>
      <c r="H7549" t="s">
        <v>160</v>
      </c>
      <c r="I7549" t="s">
        <v>17</v>
      </c>
    </row>
    <row r="7550" spans="1:9" x14ac:dyDescent="0.25">
      <c r="A7550">
        <v>1820</v>
      </c>
      <c r="B7550">
        <f>A7550+1</f>
        <v>1821</v>
      </c>
      <c r="C7550" t="s">
        <v>526</v>
      </c>
      <c r="D7550" t="s">
        <v>26</v>
      </c>
      <c r="E7550" s="208" t="s">
        <v>39</v>
      </c>
      <c r="F7550" t="s">
        <v>164</v>
      </c>
      <c r="G7550" s="18">
        <v>0</v>
      </c>
      <c r="H7550" t="s">
        <v>160</v>
      </c>
      <c r="I7550" t="s">
        <v>17</v>
      </c>
    </row>
    <row r="7551" spans="1:9" x14ac:dyDescent="0.25">
      <c r="A7551">
        <v>1820</v>
      </c>
      <c r="B7551">
        <f>A7551+1</f>
        <v>1821</v>
      </c>
      <c r="C7551" t="s">
        <v>526</v>
      </c>
      <c r="D7551" t="s">
        <v>26</v>
      </c>
      <c r="E7551" s="208" t="s">
        <v>99</v>
      </c>
      <c r="F7551" t="s">
        <v>164</v>
      </c>
      <c r="G7551" s="18">
        <v>22</v>
      </c>
      <c r="H7551" t="s">
        <v>160</v>
      </c>
      <c r="I7551" t="s">
        <v>17</v>
      </c>
    </row>
    <row r="7552" spans="1:9" x14ac:dyDescent="0.25">
      <c r="A7552">
        <v>1820</v>
      </c>
      <c r="B7552">
        <f>A7552+1</f>
        <v>1821</v>
      </c>
      <c r="C7552" t="s">
        <v>526</v>
      </c>
      <c r="D7552" t="s">
        <v>26</v>
      </c>
      <c r="E7552" s="208" t="s">
        <v>95</v>
      </c>
      <c r="F7552" t="s">
        <v>164</v>
      </c>
      <c r="G7552" s="18">
        <v>182</v>
      </c>
      <c r="H7552" t="s">
        <v>160</v>
      </c>
      <c r="I7552" t="s">
        <v>17</v>
      </c>
    </row>
    <row r="7553" spans="1:9" x14ac:dyDescent="0.25">
      <c r="A7553">
        <v>1820</v>
      </c>
      <c r="B7553">
        <f>A7553+1</f>
        <v>1821</v>
      </c>
      <c r="C7553" t="s">
        <v>526</v>
      </c>
      <c r="D7553" t="s">
        <v>26</v>
      </c>
      <c r="E7553" s="208" t="s">
        <v>94</v>
      </c>
      <c r="F7553" t="s">
        <v>164</v>
      </c>
      <c r="G7553" s="18">
        <v>0</v>
      </c>
      <c r="H7553" t="s">
        <v>160</v>
      </c>
      <c r="I7553" t="s">
        <v>17</v>
      </c>
    </row>
    <row r="7554" spans="1:9" x14ac:dyDescent="0.25">
      <c r="A7554">
        <v>1820</v>
      </c>
      <c r="B7554">
        <f>A7554+1</f>
        <v>1821</v>
      </c>
      <c r="C7554" t="s">
        <v>526</v>
      </c>
      <c r="D7554" t="s">
        <v>26</v>
      </c>
      <c r="E7554" s="208" t="s">
        <v>386</v>
      </c>
      <c r="F7554" t="s">
        <v>164</v>
      </c>
      <c r="G7554" s="18">
        <v>0</v>
      </c>
      <c r="H7554" t="s">
        <v>160</v>
      </c>
      <c r="I7554" t="s">
        <v>17</v>
      </c>
    </row>
    <row r="7555" spans="1:9" x14ac:dyDescent="0.25">
      <c r="A7555">
        <v>1820</v>
      </c>
      <c r="B7555">
        <f>A7555+1</f>
        <v>1821</v>
      </c>
      <c r="C7555" t="s">
        <v>526</v>
      </c>
      <c r="D7555" t="s">
        <v>26</v>
      </c>
      <c r="E7555" s="208" t="s">
        <v>387</v>
      </c>
      <c r="F7555" t="s">
        <v>164</v>
      </c>
      <c r="G7555" s="18">
        <v>0</v>
      </c>
      <c r="H7555" t="s">
        <v>160</v>
      </c>
      <c r="I7555" t="s">
        <v>17</v>
      </c>
    </row>
    <row r="7556" spans="1:9" x14ac:dyDescent="0.25">
      <c r="A7556">
        <v>1820</v>
      </c>
      <c r="B7556">
        <f>A7556+1</f>
        <v>1821</v>
      </c>
      <c r="C7556" t="s">
        <v>526</v>
      </c>
      <c r="D7556" t="s">
        <v>26</v>
      </c>
      <c r="E7556" s="208" t="s">
        <v>388</v>
      </c>
      <c r="F7556" t="s">
        <v>164</v>
      </c>
      <c r="G7556" s="18">
        <v>0</v>
      </c>
      <c r="H7556" t="s">
        <v>160</v>
      </c>
      <c r="I7556" t="s">
        <v>17</v>
      </c>
    </row>
    <row r="7557" spans="1:9" x14ac:dyDescent="0.25">
      <c r="A7557">
        <v>1820</v>
      </c>
      <c r="B7557">
        <f>A7557+1</f>
        <v>1821</v>
      </c>
      <c r="C7557" t="s">
        <v>526</v>
      </c>
      <c r="D7557" t="s">
        <v>26</v>
      </c>
      <c r="E7557" s="208" t="s">
        <v>383</v>
      </c>
      <c r="F7557" t="s">
        <v>164</v>
      </c>
      <c r="G7557" s="18">
        <v>0</v>
      </c>
      <c r="H7557" t="s">
        <v>160</v>
      </c>
      <c r="I7557" t="s">
        <v>17</v>
      </c>
    </row>
    <row r="7558" spans="1:9" x14ac:dyDescent="0.25">
      <c r="A7558">
        <v>1820</v>
      </c>
      <c r="B7558">
        <f>A7558+1</f>
        <v>1821</v>
      </c>
      <c r="C7558" t="s">
        <v>526</v>
      </c>
      <c r="D7558" t="s">
        <v>26</v>
      </c>
      <c r="E7558" s="208" t="s">
        <v>384</v>
      </c>
      <c r="F7558" t="s">
        <v>164</v>
      </c>
      <c r="G7558" s="18">
        <v>0</v>
      </c>
      <c r="H7558" t="s">
        <v>160</v>
      </c>
      <c r="I7558" t="s">
        <v>17</v>
      </c>
    </row>
    <row r="7559" spans="1:9" x14ac:dyDescent="0.25">
      <c r="A7559">
        <v>1820</v>
      </c>
      <c r="B7559">
        <f>A7559+1</f>
        <v>1821</v>
      </c>
      <c r="C7559" t="s">
        <v>526</v>
      </c>
      <c r="D7559" t="s">
        <v>26</v>
      </c>
      <c r="E7559" s="208" t="s">
        <v>107</v>
      </c>
      <c r="F7559" t="s">
        <v>164</v>
      </c>
      <c r="G7559" s="18">
        <v>0</v>
      </c>
      <c r="H7559" t="s">
        <v>160</v>
      </c>
      <c r="I7559" t="s">
        <v>17</v>
      </c>
    </row>
    <row r="7560" spans="1:9" x14ac:dyDescent="0.25">
      <c r="A7560">
        <v>1820</v>
      </c>
      <c r="B7560">
        <f>A7560+1</f>
        <v>1821</v>
      </c>
      <c r="C7560" t="s">
        <v>526</v>
      </c>
      <c r="D7560" t="s">
        <v>26</v>
      </c>
      <c r="E7560" s="208" t="s">
        <v>101</v>
      </c>
      <c r="F7560" t="s">
        <v>164</v>
      </c>
      <c r="G7560" s="18">
        <v>0</v>
      </c>
      <c r="H7560" t="s">
        <v>160</v>
      </c>
      <c r="I7560" t="s">
        <v>17</v>
      </c>
    </row>
    <row r="7561" spans="1:9" x14ac:dyDescent="0.25">
      <c r="A7561">
        <v>1820</v>
      </c>
      <c r="B7561">
        <f>A7561+1</f>
        <v>1821</v>
      </c>
      <c r="C7561" t="s">
        <v>526</v>
      </c>
      <c r="D7561" t="s">
        <v>26</v>
      </c>
      <c r="E7561" s="208" t="s">
        <v>75</v>
      </c>
      <c r="F7561" t="s">
        <v>164</v>
      </c>
      <c r="G7561" s="18">
        <v>0</v>
      </c>
      <c r="H7561" t="s">
        <v>160</v>
      </c>
      <c r="I7561" t="s">
        <v>17</v>
      </c>
    </row>
    <row r="7562" spans="1:9" x14ac:dyDescent="0.25">
      <c r="A7562">
        <v>1820</v>
      </c>
      <c r="B7562">
        <f>A7562+1</f>
        <v>1821</v>
      </c>
      <c r="C7562" t="s">
        <v>526</v>
      </c>
      <c r="D7562" t="s">
        <v>26</v>
      </c>
      <c r="E7562" s="208" t="s">
        <v>330</v>
      </c>
      <c r="F7562" t="s">
        <v>164</v>
      </c>
      <c r="G7562" s="18">
        <v>0</v>
      </c>
      <c r="H7562" t="s">
        <v>160</v>
      </c>
      <c r="I7562" t="s">
        <v>17</v>
      </c>
    </row>
    <row r="7563" spans="1:9" x14ac:dyDescent="0.25">
      <c r="A7563">
        <v>1820</v>
      </c>
      <c r="B7563">
        <f>A7563+1</f>
        <v>1821</v>
      </c>
      <c r="C7563" t="s">
        <v>526</v>
      </c>
      <c r="D7563" t="s">
        <v>26</v>
      </c>
      <c r="E7563" s="208" t="s">
        <v>331</v>
      </c>
      <c r="F7563" t="s">
        <v>164</v>
      </c>
      <c r="G7563" s="18">
        <v>0</v>
      </c>
      <c r="H7563" t="s">
        <v>160</v>
      </c>
      <c r="I7563" t="s">
        <v>17</v>
      </c>
    </row>
    <row r="7564" spans="1:9" x14ac:dyDescent="0.25">
      <c r="A7564">
        <v>1820</v>
      </c>
      <c r="B7564">
        <f>A7564+1</f>
        <v>1821</v>
      </c>
      <c r="C7564" t="s">
        <v>526</v>
      </c>
      <c r="D7564" t="s">
        <v>26</v>
      </c>
      <c r="E7564" s="208" t="s">
        <v>332</v>
      </c>
      <c r="F7564" t="s">
        <v>164</v>
      </c>
      <c r="G7564" s="18">
        <v>0</v>
      </c>
      <c r="H7564" t="s">
        <v>160</v>
      </c>
      <c r="I7564" t="s">
        <v>17</v>
      </c>
    </row>
    <row r="7565" spans="1:9" x14ac:dyDescent="0.25">
      <c r="A7565">
        <v>1820</v>
      </c>
      <c r="B7565">
        <f>A7565+1</f>
        <v>1821</v>
      </c>
      <c r="C7565" t="s">
        <v>526</v>
      </c>
      <c r="D7565" t="s">
        <v>26</v>
      </c>
      <c r="E7565" s="208" t="s">
        <v>333</v>
      </c>
      <c r="F7565" t="s">
        <v>164</v>
      </c>
      <c r="G7565" s="18">
        <v>0</v>
      </c>
      <c r="H7565" t="s">
        <v>160</v>
      </c>
      <c r="I7565" t="s">
        <v>17</v>
      </c>
    </row>
    <row r="7566" spans="1:9" x14ac:dyDescent="0.25">
      <c r="A7566">
        <v>1820</v>
      </c>
      <c r="B7566">
        <f>A7566+1</f>
        <v>1821</v>
      </c>
      <c r="C7566" t="s">
        <v>526</v>
      </c>
      <c r="D7566" t="s">
        <v>27</v>
      </c>
      <c r="E7566" s="208" t="s">
        <v>155</v>
      </c>
      <c r="F7566" t="s">
        <v>9</v>
      </c>
      <c r="G7566" s="18">
        <v>428</v>
      </c>
      <c r="H7566" t="s">
        <v>17</v>
      </c>
      <c r="I7566" t="s">
        <v>21</v>
      </c>
    </row>
    <row r="7567" spans="1:9" x14ac:dyDescent="0.25">
      <c r="A7567">
        <v>1820</v>
      </c>
      <c r="B7567">
        <f>A7567+1</f>
        <v>1821</v>
      </c>
      <c r="C7567" t="s">
        <v>526</v>
      </c>
      <c r="D7567" t="s">
        <v>27</v>
      </c>
      <c r="E7567" s="208" t="s">
        <v>156</v>
      </c>
      <c r="F7567" t="s">
        <v>9</v>
      </c>
      <c r="G7567" s="18">
        <v>110</v>
      </c>
      <c r="H7567" t="s">
        <v>17</v>
      </c>
      <c r="I7567" t="s">
        <v>21</v>
      </c>
    </row>
    <row r="7568" spans="1:9" x14ac:dyDescent="0.25">
      <c r="A7568">
        <v>1820</v>
      </c>
      <c r="B7568">
        <f>A7568+1</f>
        <v>1821</v>
      </c>
      <c r="C7568" t="s">
        <v>526</v>
      </c>
      <c r="D7568" t="s">
        <v>27</v>
      </c>
      <c r="E7568" s="208" t="s">
        <v>154</v>
      </c>
      <c r="F7568" t="s">
        <v>9</v>
      </c>
      <c r="G7568" s="18">
        <v>7</v>
      </c>
      <c r="H7568" t="s">
        <v>17</v>
      </c>
      <c r="I7568" t="s">
        <v>21</v>
      </c>
    </row>
    <row r="7569" spans="1:9" x14ac:dyDescent="0.25">
      <c r="A7569">
        <v>1820</v>
      </c>
      <c r="B7569">
        <f>A7569+1</f>
        <v>1821</v>
      </c>
      <c r="C7569" t="s">
        <v>526</v>
      </c>
      <c r="D7569" t="s">
        <v>27</v>
      </c>
      <c r="E7569" s="208" t="s">
        <v>150</v>
      </c>
      <c r="F7569" t="s">
        <v>9</v>
      </c>
      <c r="G7569" s="18">
        <v>72</v>
      </c>
      <c r="H7569" t="s">
        <v>17</v>
      </c>
      <c r="I7569" t="s">
        <v>21</v>
      </c>
    </row>
    <row r="7570" spans="1:9" x14ac:dyDescent="0.25">
      <c r="A7570">
        <v>1820</v>
      </c>
      <c r="B7570">
        <f>A7570+1</f>
        <v>1821</v>
      </c>
      <c r="C7570" t="s">
        <v>526</v>
      </c>
      <c r="D7570" t="s">
        <v>27</v>
      </c>
      <c r="E7570" s="208" t="s">
        <v>148</v>
      </c>
      <c r="F7570" t="s">
        <v>9</v>
      </c>
      <c r="G7570" s="18">
        <v>33</v>
      </c>
      <c r="H7570" t="s">
        <v>17</v>
      </c>
      <c r="I7570" t="s">
        <v>21</v>
      </c>
    </row>
    <row r="7571" spans="1:9" x14ac:dyDescent="0.25">
      <c r="A7571">
        <v>1820</v>
      </c>
      <c r="B7571">
        <f>A7571+1</f>
        <v>1821</v>
      </c>
      <c r="C7571" t="s">
        <v>526</v>
      </c>
      <c r="D7571" t="s">
        <v>27</v>
      </c>
      <c r="E7571" s="208" t="s">
        <v>147</v>
      </c>
      <c r="F7571" t="s">
        <v>9</v>
      </c>
      <c r="G7571" s="18">
        <v>0</v>
      </c>
      <c r="H7571" t="s">
        <v>17</v>
      </c>
      <c r="I7571" t="s">
        <v>21</v>
      </c>
    </row>
    <row r="7572" spans="1:9" x14ac:dyDescent="0.25">
      <c r="A7572">
        <v>1820</v>
      </c>
      <c r="B7572">
        <f>A7572+1</f>
        <v>1821</v>
      </c>
      <c r="C7572" t="s">
        <v>526</v>
      </c>
      <c r="D7572" t="s">
        <v>27</v>
      </c>
      <c r="E7572" s="208" t="s">
        <v>314</v>
      </c>
      <c r="F7572" t="s">
        <v>9</v>
      </c>
      <c r="G7572" s="18">
        <v>0</v>
      </c>
      <c r="H7572" t="s">
        <v>17</v>
      </c>
      <c r="I7572" t="s">
        <v>21</v>
      </c>
    </row>
    <row r="7573" spans="1:9" x14ac:dyDescent="0.25">
      <c r="A7573">
        <v>1820</v>
      </c>
      <c r="B7573">
        <f>A7573+1</f>
        <v>1821</v>
      </c>
      <c r="C7573" t="s">
        <v>526</v>
      </c>
      <c r="D7573" t="s">
        <v>27</v>
      </c>
      <c r="E7573" s="208" t="s">
        <v>139</v>
      </c>
      <c r="F7573" t="s">
        <v>9</v>
      </c>
      <c r="G7573" s="18">
        <v>0</v>
      </c>
      <c r="H7573" t="s">
        <v>17</v>
      </c>
      <c r="I7573" t="s">
        <v>21</v>
      </c>
    </row>
    <row r="7574" spans="1:9" x14ac:dyDescent="0.25">
      <c r="A7574">
        <v>1820</v>
      </c>
      <c r="B7574">
        <f>A7574+1</f>
        <v>1821</v>
      </c>
      <c r="C7574" t="s">
        <v>526</v>
      </c>
      <c r="D7574" t="s">
        <v>27</v>
      </c>
      <c r="E7574" s="208" t="s">
        <v>132</v>
      </c>
      <c r="F7574" t="s">
        <v>9</v>
      </c>
      <c r="G7574" s="18">
        <v>0</v>
      </c>
      <c r="H7574" t="s">
        <v>17</v>
      </c>
      <c r="I7574" t="s">
        <v>21</v>
      </c>
    </row>
    <row r="7575" spans="1:9" x14ac:dyDescent="0.25">
      <c r="A7575">
        <v>1820</v>
      </c>
      <c r="B7575">
        <f>A7575+1</f>
        <v>1821</v>
      </c>
      <c r="C7575" t="s">
        <v>526</v>
      </c>
      <c r="D7575" t="s">
        <v>27</v>
      </c>
      <c r="E7575" s="208" t="s">
        <v>130</v>
      </c>
      <c r="F7575" t="s">
        <v>9</v>
      </c>
      <c r="G7575" s="18">
        <v>0</v>
      </c>
      <c r="H7575" t="s">
        <v>17</v>
      </c>
      <c r="I7575" t="s">
        <v>21</v>
      </c>
    </row>
    <row r="7576" spans="1:9" x14ac:dyDescent="0.25">
      <c r="A7576">
        <v>1820</v>
      </c>
      <c r="B7576">
        <f>A7576+1</f>
        <v>1821</v>
      </c>
      <c r="C7576" t="s">
        <v>526</v>
      </c>
      <c r="D7576" t="s">
        <v>27</v>
      </c>
      <c r="E7576" s="208" t="s">
        <v>144</v>
      </c>
      <c r="F7576" t="s">
        <v>9</v>
      </c>
      <c r="G7576" s="18">
        <v>0</v>
      </c>
      <c r="H7576" t="s">
        <v>17</v>
      </c>
      <c r="I7576" t="s">
        <v>21</v>
      </c>
    </row>
    <row r="7577" spans="1:9" x14ac:dyDescent="0.25">
      <c r="A7577">
        <v>1820</v>
      </c>
      <c r="B7577">
        <f>A7577+1</f>
        <v>1821</v>
      </c>
      <c r="C7577" t="s">
        <v>526</v>
      </c>
      <c r="D7577" t="s">
        <v>27</v>
      </c>
      <c r="E7577" s="208" t="s">
        <v>142</v>
      </c>
      <c r="F7577" t="s">
        <v>9</v>
      </c>
      <c r="G7577" s="18">
        <v>40</v>
      </c>
      <c r="H7577" t="s">
        <v>17</v>
      </c>
      <c r="I7577" t="s">
        <v>21</v>
      </c>
    </row>
    <row r="7578" spans="1:9" x14ac:dyDescent="0.25">
      <c r="A7578">
        <v>1820</v>
      </c>
      <c r="B7578">
        <f>A7578+1</f>
        <v>1821</v>
      </c>
      <c r="C7578" t="s">
        <v>526</v>
      </c>
      <c r="D7578" t="s">
        <v>27</v>
      </c>
      <c r="E7578" s="208" t="s">
        <v>124</v>
      </c>
      <c r="F7578" t="s">
        <v>9</v>
      </c>
      <c r="G7578" s="18">
        <v>21318</v>
      </c>
      <c r="H7578" t="s">
        <v>17</v>
      </c>
      <c r="I7578" t="s">
        <v>21</v>
      </c>
    </row>
    <row r="7579" spans="1:9" x14ac:dyDescent="0.25">
      <c r="A7579">
        <v>1820</v>
      </c>
      <c r="B7579">
        <f>A7579+1</f>
        <v>1821</v>
      </c>
      <c r="C7579" t="s">
        <v>526</v>
      </c>
      <c r="D7579" t="s">
        <v>27</v>
      </c>
      <c r="E7579" s="208" t="s">
        <v>155</v>
      </c>
      <c r="F7579" t="s">
        <v>13</v>
      </c>
      <c r="G7579" s="18">
        <v>0</v>
      </c>
      <c r="H7579" t="s">
        <v>17</v>
      </c>
      <c r="I7579" t="s">
        <v>25</v>
      </c>
    </row>
    <row r="7580" spans="1:9" x14ac:dyDescent="0.25">
      <c r="A7580">
        <v>1820</v>
      </c>
      <c r="B7580">
        <f>A7580+1</f>
        <v>1821</v>
      </c>
      <c r="C7580" t="s">
        <v>526</v>
      </c>
      <c r="D7580" t="s">
        <v>27</v>
      </c>
      <c r="E7580" s="208" t="s">
        <v>156</v>
      </c>
      <c r="F7580" t="s">
        <v>13</v>
      </c>
      <c r="G7580" s="18">
        <v>0</v>
      </c>
      <c r="H7580" t="s">
        <v>17</v>
      </c>
      <c r="I7580" t="s">
        <v>25</v>
      </c>
    </row>
    <row r="7581" spans="1:9" x14ac:dyDescent="0.25">
      <c r="A7581">
        <v>1820</v>
      </c>
      <c r="B7581">
        <f>A7581+1</f>
        <v>1821</v>
      </c>
      <c r="C7581" t="s">
        <v>526</v>
      </c>
      <c r="D7581" t="s">
        <v>27</v>
      </c>
      <c r="E7581" s="208" t="s">
        <v>154</v>
      </c>
      <c r="F7581" t="s">
        <v>13</v>
      </c>
      <c r="G7581" s="18">
        <v>0</v>
      </c>
      <c r="H7581" t="s">
        <v>17</v>
      </c>
      <c r="I7581" t="s">
        <v>25</v>
      </c>
    </row>
    <row r="7582" spans="1:9" x14ac:dyDescent="0.25">
      <c r="A7582">
        <v>1820</v>
      </c>
      <c r="B7582">
        <f>A7582+1</f>
        <v>1821</v>
      </c>
      <c r="C7582" t="s">
        <v>526</v>
      </c>
      <c r="D7582" t="s">
        <v>27</v>
      </c>
      <c r="E7582" s="208" t="s">
        <v>150</v>
      </c>
      <c r="F7582" t="s">
        <v>13</v>
      </c>
      <c r="G7582" s="18">
        <v>1397</v>
      </c>
      <c r="H7582" t="s">
        <v>17</v>
      </c>
      <c r="I7582" t="s">
        <v>25</v>
      </c>
    </row>
    <row r="7583" spans="1:9" x14ac:dyDescent="0.25">
      <c r="A7583">
        <v>1820</v>
      </c>
      <c r="B7583">
        <f>A7583+1</f>
        <v>1821</v>
      </c>
      <c r="C7583" t="s">
        <v>526</v>
      </c>
      <c r="D7583" t="s">
        <v>27</v>
      </c>
      <c r="E7583" s="208" t="s">
        <v>148</v>
      </c>
      <c r="F7583" t="s">
        <v>13</v>
      </c>
      <c r="G7583" s="18">
        <v>1</v>
      </c>
      <c r="H7583" t="s">
        <v>17</v>
      </c>
      <c r="I7583" t="s">
        <v>25</v>
      </c>
    </row>
    <row r="7584" spans="1:9" x14ac:dyDescent="0.25">
      <c r="A7584">
        <v>1820</v>
      </c>
      <c r="B7584">
        <f>A7584+1</f>
        <v>1821</v>
      </c>
      <c r="C7584" t="s">
        <v>526</v>
      </c>
      <c r="D7584" t="s">
        <v>27</v>
      </c>
      <c r="E7584" s="208" t="s">
        <v>147</v>
      </c>
      <c r="F7584" t="s">
        <v>13</v>
      </c>
      <c r="G7584" s="18">
        <v>0</v>
      </c>
      <c r="H7584" t="s">
        <v>17</v>
      </c>
      <c r="I7584" t="s">
        <v>25</v>
      </c>
    </row>
    <row r="7585" spans="1:9" x14ac:dyDescent="0.25">
      <c r="A7585">
        <v>1820</v>
      </c>
      <c r="B7585">
        <f>A7585+1</f>
        <v>1821</v>
      </c>
      <c r="C7585" t="s">
        <v>526</v>
      </c>
      <c r="D7585" t="s">
        <v>27</v>
      </c>
      <c r="E7585" s="208" t="s">
        <v>314</v>
      </c>
      <c r="F7585" t="s">
        <v>13</v>
      </c>
      <c r="G7585" s="18">
        <v>0</v>
      </c>
      <c r="H7585" t="s">
        <v>17</v>
      </c>
      <c r="I7585" t="s">
        <v>25</v>
      </c>
    </row>
    <row r="7586" spans="1:9" x14ac:dyDescent="0.25">
      <c r="A7586">
        <v>1820</v>
      </c>
      <c r="B7586">
        <f>A7586+1</f>
        <v>1821</v>
      </c>
      <c r="C7586" t="s">
        <v>526</v>
      </c>
      <c r="D7586" t="s">
        <v>27</v>
      </c>
      <c r="E7586" s="208" t="s">
        <v>139</v>
      </c>
      <c r="F7586" t="s">
        <v>13</v>
      </c>
      <c r="G7586" s="18">
        <v>0</v>
      </c>
      <c r="H7586" t="s">
        <v>17</v>
      </c>
      <c r="I7586" t="s">
        <v>25</v>
      </c>
    </row>
    <row r="7587" spans="1:9" x14ac:dyDescent="0.25">
      <c r="A7587">
        <v>1820</v>
      </c>
      <c r="B7587">
        <f>A7587+1</f>
        <v>1821</v>
      </c>
      <c r="C7587" t="s">
        <v>526</v>
      </c>
      <c r="D7587" t="s">
        <v>27</v>
      </c>
      <c r="E7587" s="208" t="s">
        <v>132</v>
      </c>
      <c r="F7587" t="s">
        <v>13</v>
      </c>
      <c r="G7587" s="18">
        <v>0</v>
      </c>
      <c r="H7587" t="s">
        <v>17</v>
      </c>
      <c r="I7587" t="s">
        <v>25</v>
      </c>
    </row>
    <row r="7588" spans="1:9" x14ac:dyDescent="0.25">
      <c r="A7588">
        <v>1820</v>
      </c>
      <c r="B7588">
        <f>A7588+1</f>
        <v>1821</v>
      </c>
      <c r="C7588" t="s">
        <v>526</v>
      </c>
      <c r="D7588" t="s">
        <v>27</v>
      </c>
      <c r="E7588" s="208" t="s">
        <v>130</v>
      </c>
      <c r="F7588" t="s">
        <v>13</v>
      </c>
      <c r="G7588" s="18">
        <v>0</v>
      </c>
      <c r="H7588" t="s">
        <v>17</v>
      </c>
      <c r="I7588" t="s">
        <v>25</v>
      </c>
    </row>
    <row r="7589" spans="1:9" x14ac:dyDescent="0.25">
      <c r="A7589">
        <v>1820</v>
      </c>
      <c r="B7589">
        <f>A7589+1</f>
        <v>1821</v>
      </c>
      <c r="C7589" t="s">
        <v>526</v>
      </c>
      <c r="D7589" t="s">
        <v>27</v>
      </c>
      <c r="E7589" s="208" t="s">
        <v>144</v>
      </c>
      <c r="F7589" t="s">
        <v>13</v>
      </c>
      <c r="G7589" s="18">
        <v>0</v>
      </c>
      <c r="H7589" t="s">
        <v>17</v>
      </c>
      <c r="I7589" t="s">
        <v>25</v>
      </c>
    </row>
    <row r="7590" spans="1:9" x14ac:dyDescent="0.25">
      <c r="A7590">
        <v>1820</v>
      </c>
      <c r="B7590">
        <f>A7590+1</f>
        <v>1821</v>
      </c>
      <c r="C7590" t="s">
        <v>526</v>
      </c>
      <c r="D7590" t="s">
        <v>27</v>
      </c>
      <c r="E7590" s="208" t="s">
        <v>142</v>
      </c>
      <c r="F7590" t="s">
        <v>13</v>
      </c>
      <c r="G7590" s="18">
        <v>0</v>
      </c>
      <c r="H7590" t="s">
        <v>17</v>
      </c>
      <c r="I7590" t="s">
        <v>25</v>
      </c>
    </row>
    <row r="7591" spans="1:9" x14ac:dyDescent="0.25">
      <c r="A7591">
        <v>1820</v>
      </c>
      <c r="B7591">
        <f>A7591+1</f>
        <v>1821</v>
      </c>
      <c r="C7591" t="s">
        <v>526</v>
      </c>
      <c r="D7591" t="s">
        <v>26</v>
      </c>
      <c r="E7591" s="208" t="s">
        <v>62</v>
      </c>
      <c r="F7591" t="s">
        <v>13</v>
      </c>
      <c r="G7591" s="18">
        <v>2257</v>
      </c>
      <c r="H7591" t="s">
        <v>25</v>
      </c>
      <c r="I7591" t="s">
        <v>17</v>
      </c>
    </row>
    <row r="7592" spans="1:9" x14ac:dyDescent="0.25">
      <c r="A7592">
        <v>1820</v>
      </c>
      <c r="B7592">
        <f>A7592+1</f>
        <v>1821</v>
      </c>
      <c r="C7592" t="s">
        <v>526</v>
      </c>
      <c r="D7592" t="s">
        <v>26</v>
      </c>
      <c r="E7592" s="208" t="s">
        <v>36</v>
      </c>
      <c r="F7592" t="s">
        <v>13</v>
      </c>
      <c r="G7592" s="18">
        <v>0</v>
      </c>
      <c r="H7592" t="s">
        <v>25</v>
      </c>
      <c r="I7592" t="s">
        <v>17</v>
      </c>
    </row>
    <row r="7593" spans="1:9" x14ac:dyDescent="0.25">
      <c r="A7593">
        <v>1820</v>
      </c>
      <c r="B7593">
        <f>A7593+1</f>
        <v>1821</v>
      </c>
      <c r="C7593" t="s">
        <v>526</v>
      </c>
      <c r="D7593" t="s">
        <v>26</v>
      </c>
      <c r="E7593" s="208" t="s">
        <v>35</v>
      </c>
      <c r="F7593" t="s">
        <v>13</v>
      </c>
      <c r="G7593" s="18">
        <v>0</v>
      </c>
      <c r="H7593" t="s">
        <v>25</v>
      </c>
      <c r="I7593" t="s">
        <v>17</v>
      </c>
    </row>
    <row r="7594" spans="1:9" x14ac:dyDescent="0.25">
      <c r="A7594">
        <v>1820</v>
      </c>
      <c r="B7594">
        <f>A7594+1</f>
        <v>1821</v>
      </c>
      <c r="C7594" t="s">
        <v>526</v>
      </c>
      <c r="D7594" t="s">
        <v>26</v>
      </c>
      <c r="E7594" s="208" t="s">
        <v>39</v>
      </c>
      <c r="F7594" t="s">
        <v>13</v>
      </c>
      <c r="G7594" s="18">
        <v>0</v>
      </c>
      <c r="H7594" t="s">
        <v>25</v>
      </c>
      <c r="I7594" t="s">
        <v>17</v>
      </c>
    </row>
    <row r="7595" spans="1:9" x14ac:dyDescent="0.25">
      <c r="A7595">
        <v>1820</v>
      </c>
      <c r="B7595">
        <f>A7595+1</f>
        <v>1821</v>
      </c>
      <c r="C7595" t="s">
        <v>526</v>
      </c>
      <c r="D7595" t="s">
        <v>26</v>
      </c>
      <c r="E7595" s="208" t="s">
        <v>99</v>
      </c>
      <c r="F7595" t="s">
        <v>13</v>
      </c>
      <c r="G7595" s="18">
        <v>2</v>
      </c>
      <c r="H7595" t="s">
        <v>25</v>
      </c>
      <c r="I7595" t="s">
        <v>17</v>
      </c>
    </row>
    <row r="7596" spans="1:9" x14ac:dyDescent="0.25">
      <c r="A7596">
        <v>1820</v>
      </c>
      <c r="B7596">
        <f>A7596+1</f>
        <v>1821</v>
      </c>
      <c r="C7596" t="s">
        <v>526</v>
      </c>
      <c r="D7596" t="s">
        <v>26</v>
      </c>
      <c r="E7596" s="208" t="s">
        <v>95</v>
      </c>
      <c r="F7596" t="s">
        <v>13</v>
      </c>
      <c r="G7596" s="18">
        <v>0</v>
      </c>
      <c r="H7596" t="s">
        <v>25</v>
      </c>
      <c r="I7596" t="s">
        <v>17</v>
      </c>
    </row>
    <row r="7597" spans="1:9" x14ac:dyDescent="0.25">
      <c r="A7597">
        <v>1820</v>
      </c>
      <c r="B7597">
        <f>A7597+1</f>
        <v>1821</v>
      </c>
      <c r="C7597" t="s">
        <v>526</v>
      </c>
      <c r="D7597" t="s">
        <v>26</v>
      </c>
      <c r="E7597" s="208" t="s">
        <v>94</v>
      </c>
      <c r="F7597" t="s">
        <v>13</v>
      </c>
      <c r="G7597" s="18">
        <v>43</v>
      </c>
      <c r="H7597" t="s">
        <v>25</v>
      </c>
      <c r="I7597" t="s">
        <v>17</v>
      </c>
    </row>
    <row r="7598" spans="1:9" x14ac:dyDescent="0.25">
      <c r="A7598">
        <v>1820</v>
      </c>
      <c r="B7598">
        <f>A7598+1</f>
        <v>1821</v>
      </c>
      <c r="C7598" t="s">
        <v>526</v>
      </c>
      <c r="D7598" t="s">
        <v>26</v>
      </c>
      <c r="E7598" s="208" t="s">
        <v>386</v>
      </c>
      <c r="F7598" t="s">
        <v>13</v>
      </c>
      <c r="G7598" s="18">
        <v>400</v>
      </c>
      <c r="H7598" t="s">
        <v>25</v>
      </c>
      <c r="I7598" t="s">
        <v>17</v>
      </c>
    </row>
    <row r="7599" spans="1:9" x14ac:dyDescent="0.25">
      <c r="A7599">
        <v>1820</v>
      </c>
      <c r="B7599">
        <f>A7599+1</f>
        <v>1821</v>
      </c>
      <c r="C7599" t="s">
        <v>526</v>
      </c>
      <c r="D7599" t="s">
        <v>26</v>
      </c>
      <c r="E7599" s="208" t="s">
        <v>387</v>
      </c>
      <c r="F7599" t="s">
        <v>13</v>
      </c>
      <c r="G7599" s="18">
        <v>0</v>
      </c>
      <c r="H7599" t="s">
        <v>25</v>
      </c>
      <c r="I7599" t="s">
        <v>17</v>
      </c>
    </row>
    <row r="7600" spans="1:9" x14ac:dyDescent="0.25">
      <c r="A7600">
        <v>1820</v>
      </c>
      <c r="B7600">
        <f>A7600+1</f>
        <v>1821</v>
      </c>
      <c r="C7600" t="s">
        <v>526</v>
      </c>
      <c r="D7600" t="s">
        <v>26</v>
      </c>
      <c r="E7600" s="208" t="s">
        <v>388</v>
      </c>
      <c r="F7600" t="s">
        <v>13</v>
      </c>
      <c r="G7600" s="18">
        <v>142</v>
      </c>
      <c r="H7600" t="s">
        <v>25</v>
      </c>
      <c r="I7600" t="s">
        <v>17</v>
      </c>
    </row>
    <row r="7601" spans="1:9" x14ac:dyDescent="0.25">
      <c r="A7601">
        <v>1820</v>
      </c>
      <c r="B7601">
        <f>A7601+1</f>
        <v>1821</v>
      </c>
      <c r="C7601" t="s">
        <v>526</v>
      </c>
      <c r="D7601" t="s">
        <v>26</v>
      </c>
      <c r="E7601" s="208" t="s">
        <v>383</v>
      </c>
      <c r="F7601" t="s">
        <v>13</v>
      </c>
      <c r="G7601" s="18">
        <v>5</v>
      </c>
      <c r="H7601" t="s">
        <v>25</v>
      </c>
      <c r="I7601" t="s">
        <v>17</v>
      </c>
    </row>
    <row r="7602" spans="1:9" x14ac:dyDescent="0.25">
      <c r="A7602">
        <v>1820</v>
      </c>
      <c r="B7602">
        <f>A7602+1</f>
        <v>1821</v>
      </c>
      <c r="C7602" t="s">
        <v>526</v>
      </c>
      <c r="D7602" t="s">
        <v>26</v>
      </c>
      <c r="E7602" s="208" t="s">
        <v>384</v>
      </c>
      <c r="F7602" t="s">
        <v>13</v>
      </c>
      <c r="G7602" s="18">
        <v>130</v>
      </c>
      <c r="H7602" t="s">
        <v>25</v>
      </c>
      <c r="I7602" t="s">
        <v>17</v>
      </c>
    </row>
    <row r="7603" spans="1:9" x14ac:dyDescent="0.25">
      <c r="A7603">
        <v>1820</v>
      </c>
      <c r="B7603">
        <f>A7603+1</f>
        <v>1821</v>
      </c>
      <c r="C7603" t="s">
        <v>526</v>
      </c>
      <c r="D7603" t="s">
        <v>26</v>
      </c>
      <c r="E7603" s="208" t="s">
        <v>107</v>
      </c>
      <c r="F7603" t="s">
        <v>13</v>
      </c>
      <c r="G7603" s="18">
        <v>0</v>
      </c>
      <c r="H7603" t="s">
        <v>25</v>
      </c>
      <c r="I7603" t="s">
        <v>17</v>
      </c>
    </row>
    <row r="7604" spans="1:9" x14ac:dyDescent="0.25">
      <c r="A7604">
        <v>1820</v>
      </c>
      <c r="B7604">
        <f>A7604+1</f>
        <v>1821</v>
      </c>
      <c r="C7604" t="s">
        <v>526</v>
      </c>
      <c r="D7604" t="s">
        <v>26</v>
      </c>
      <c r="E7604" s="208" t="s">
        <v>101</v>
      </c>
      <c r="F7604" t="s">
        <v>13</v>
      </c>
      <c r="G7604" s="18">
        <v>0</v>
      </c>
      <c r="H7604" t="s">
        <v>25</v>
      </c>
      <c r="I7604" t="s">
        <v>17</v>
      </c>
    </row>
    <row r="7605" spans="1:9" x14ac:dyDescent="0.25">
      <c r="A7605">
        <v>1820</v>
      </c>
      <c r="B7605">
        <f>A7605+1</f>
        <v>1821</v>
      </c>
      <c r="C7605" t="s">
        <v>526</v>
      </c>
      <c r="D7605" t="s">
        <v>26</v>
      </c>
      <c r="E7605" s="208" t="s">
        <v>330</v>
      </c>
      <c r="F7605" t="s">
        <v>13</v>
      </c>
      <c r="G7605" s="18">
        <v>356</v>
      </c>
      <c r="H7605" t="s">
        <v>25</v>
      </c>
      <c r="I7605" t="s">
        <v>17</v>
      </c>
    </row>
    <row r="7606" spans="1:9" x14ac:dyDescent="0.25">
      <c r="A7606">
        <v>1820</v>
      </c>
      <c r="B7606">
        <f>A7606+1</f>
        <v>1821</v>
      </c>
      <c r="C7606" t="s">
        <v>526</v>
      </c>
      <c r="D7606" t="s">
        <v>26</v>
      </c>
      <c r="E7606" s="208" t="s">
        <v>331</v>
      </c>
      <c r="F7606" t="s">
        <v>13</v>
      </c>
      <c r="G7606" s="18">
        <v>125</v>
      </c>
      <c r="H7606" t="s">
        <v>25</v>
      </c>
      <c r="I7606" t="s">
        <v>17</v>
      </c>
    </row>
    <row r="7607" spans="1:9" x14ac:dyDescent="0.25">
      <c r="A7607">
        <v>1820</v>
      </c>
      <c r="B7607">
        <f>A7607+1</f>
        <v>1821</v>
      </c>
      <c r="C7607" t="s">
        <v>526</v>
      </c>
      <c r="D7607" t="s">
        <v>26</v>
      </c>
      <c r="E7607" s="208" t="s">
        <v>332</v>
      </c>
      <c r="F7607" t="s">
        <v>13</v>
      </c>
      <c r="G7607" s="18">
        <v>110</v>
      </c>
      <c r="H7607" t="s">
        <v>25</v>
      </c>
      <c r="I7607" t="s">
        <v>17</v>
      </c>
    </row>
    <row r="7608" spans="1:9" x14ac:dyDescent="0.25">
      <c r="A7608">
        <v>1820</v>
      </c>
      <c r="B7608">
        <f>A7608+1</f>
        <v>1821</v>
      </c>
      <c r="C7608" t="s">
        <v>526</v>
      </c>
      <c r="D7608" t="s">
        <v>26</v>
      </c>
      <c r="E7608" s="208" t="s">
        <v>333</v>
      </c>
      <c r="F7608" t="s">
        <v>13</v>
      </c>
      <c r="G7608" s="18">
        <v>549</v>
      </c>
      <c r="H7608" t="s">
        <v>25</v>
      </c>
      <c r="I7608" t="s">
        <v>17</v>
      </c>
    </row>
    <row r="7609" spans="1:9" x14ac:dyDescent="0.25">
      <c r="A7609">
        <v>1820</v>
      </c>
      <c r="B7609">
        <f>A7609+1</f>
        <v>1821</v>
      </c>
      <c r="C7609" t="s">
        <v>526</v>
      </c>
      <c r="D7609" t="s">
        <v>27</v>
      </c>
      <c r="E7609" s="208" t="s">
        <v>155</v>
      </c>
      <c r="F7609" t="s">
        <v>14</v>
      </c>
      <c r="G7609" s="18">
        <v>88869</v>
      </c>
      <c r="H7609" t="s">
        <v>17</v>
      </c>
      <c r="I7609" s="151" t="s">
        <v>562</v>
      </c>
    </row>
    <row r="7610" spans="1:9" x14ac:dyDescent="0.25">
      <c r="A7610">
        <v>1820</v>
      </c>
      <c r="B7610">
        <f>A7610+1</f>
        <v>1821</v>
      </c>
      <c r="C7610" t="s">
        <v>526</v>
      </c>
      <c r="D7610" t="s">
        <v>27</v>
      </c>
      <c r="E7610" s="208" t="s">
        <v>156</v>
      </c>
      <c r="F7610" t="s">
        <v>14</v>
      </c>
      <c r="G7610" s="18">
        <v>9464</v>
      </c>
      <c r="H7610" t="s">
        <v>17</v>
      </c>
      <c r="I7610" s="151" t="s">
        <v>562</v>
      </c>
    </row>
    <row r="7611" spans="1:9" x14ac:dyDescent="0.25">
      <c r="A7611">
        <v>1820</v>
      </c>
      <c r="B7611">
        <f>A7611+1</f>
        <v>1821</v>
      </c>
      <c r="C7611" t="s">
        <v>526</v>
      </c>
      <c r="D7611" t="s">
        <v>27</v>
      </c>
      <c r="E7611" s="208" t="s">
        <v>154</v>
      </c>
      <c r="F7611" t="s">
        <v>14</v>
      </c>
      <c r="G7611" s="18">
        <v>748</v>
      </c>
      <c r="H7611" t="s">
        <v>17</v>
      </c>
      <c r="I7611" s="151" t="s">
        <v>562</v>
      </c>
    </row>
    <row r="7612" spans="1:9" x14ac:dyDescent="0.25">
      <c r="A7612">
        <v>1820</v>
      </c>
      <c r="B7612">
        <f>A7612+1</f>
        <v>1821</v>
      </c>
      <c r="C7612" t="s">
        <v>526</v>
      </c>
      <c r="D7612" t="s">
        <v>27</v>
      </c>
      <c r="E7612" s="208" t="s">
        <v>150</v>
      </c>
      <c r="F7612" t="s">
        <v>14</v>
      </c>
      <c r="G7612" s="18">
        <v>37928</v>
      </c>
      <c r="H7612" t="s">
        <v>17</v>
      </c>
      <c r="I7612" s="151" t="s">
        <v>562</v>
      </c>
    </row>
    <row r="7613" spans="1:9" x14ac:dyDescent="0.25">
      <c r="A7613">
        <v>1820</v>
      </c>
      <c r="B7613">
        <f>A7613+1</f>
        <v>1821</v>
      </c>
      <c r="C7613" t="s">
        <v>526</v>
      </c>
      <c r="D7613" t="s">
        <v>27</v>
      </c>
      <c r="E7613" s="208" t="s">
        <v>148</v>
      </c>
      <c r="F7613" t="s">
        <v>14</v>
      </c>
      <c r="G7613" s="18">
        <v>1168</v>
      </c>
      <c r="H7613" t="s">
        <v>17</v>
      </c>
      <c r="I7613" s="151" t="s">
        <v>562</v>
      </c>
    </row>
    <row r="7614" spans="1:9" x14ac:dyDescent="0.25">
      <c r="A7614">
        <v>1820</v>
      </c>
      <c r="B7614">
        <f>A7614+1</f>
        <v>1821</v>
      </c>
      <c r="C7614" t="s">
        <v>526</v>
      </c>
      <c r="D7614" t="s">
        <v>27</v>
      </c>
      <c r="E7614" s="208" t="s">
        <v>147</v>
      </c>
      <c r="F7614" t="s">
        <v>14</v>
      </c>
      <c r="G7614" s="18">
        <v>0</v>
      </c>
      <c r="H7614" t="s">
        <v>17</v>
      </c>
      <c r="I7614" s="151" t="s">
        <v>562</v>
      </c>
    </row>
    <row r="7615" spans="1:9" x14ac:dyDescent="0.25">
      <c r="A7615">
        <v>1820</v>
      </c>
      <c r="B7615">
        <f>A7615+1</f>
        <v>1821</v>
      </c>
      <c r="C7615" t="s">
        <v>526</v>
      </c>
      <c r="D7615" t="s">
        <v>27</v>
      </c>
      <c r="E7615" s="208" t="s">
        <v>314</v>
      </c>
      <c r="F7615" t="s">
        <v>14</v>
      </c>
      <c r="G7615" s="18">
        <v>0</v>
      </c>
      <c r="H7615" t="s">
        <v>17</v>
      </c>
      <c r="I7615" s="151" t="s">
        <v>562</v>
      </c>
    </row>
    <row r="7616" spans="1:9" x14ac:dyDescent="0.25">
      <c r="A7616">
        <v>1820</v>
      </c>
      <c r="B7616">
        <f>A7616+1</f>
        <v>1821</v>
      </c>
      <c r="C7616" t="s">
        <v>526</v>
      </c>
      <c r="D7616" t="s">
        <v>27</v>
      </c>
      <c r="E7616" s="208" t="s">
        <v>139</v>
      </c>
      <c r="F7616" t="s">
        <v>14</v>
      </c>
      <c r="G7616" s="18">
        <v>160</v>
      </c>
      <c r="H7616" t="s">
        <v>17</v>
      </c>
      <c r="I7616" s="151" t="s">
        <v>562</v>
      </c>
    </row>
    <row r="7617" spans="1:9" x14ac:dyDescent="0.25">
      <c r="A7617">
        <v>1820</v>
      </c>
      <c r="B7617">
        <f>A7617+1</f>
        <v>1821</v>
      </c>
      <c r="C7617" t="s">
        <v>526</v>
      </c>
      <c r="D7617" t="s">
        <v>27</v>
      </c>
      <c r="E7617" s="208" t="s">
        <v>132</v>
      </c>
      <c r="F7617" t="s">
        <v>14</v>
      </c>
      <c r="G7617" s="18">
        <v>814</v>
      </c>
      <c r="H7617" t="s">
        <v>17</v>
      </c>
      <c r="I7617" s="151" t="s">
        <v>562</v>
      </c>
    </row>
    <row r="7618" spans="1:9" x14ac:dyDescent="0.25">
      <c r="A7618">
        <v>1820</v>
      </c>
      <c r="B7618">
        <f>A7618+1</f>
        <v>1821</v>
      </c>
      <c r="C7618" t="s">
        <v>526</v>
      </c>
      <c r="D7618" t="s">
        <v>27</v>
      </c>
      <c r="E7618" s="208" t="s">
        <v>130</v>
      </c>
      <c r="F7618" t="s">
        <v>14</v>
      </c>
      <c r="G7618" s="18">
        <v>173</v>
      </c>
      <c r="H7618" t="s">
        <v>17</v>
      </c>
      <c r="I7618" s="151" t="s">
        <v>562</v>
      </c>
    </row>
    <row r="7619" spans="1:9" x14ac:dyDescent="0.25">
      <c r="A7619">
        <v>1820</v>
      </c>
      <c r="B7619">
        <f>A7619+1</f>
        <v>1821</v>
      </c>
      <c r="C7619" t="s">
        <v>526</v>
      </c>
      <c r="D7619" t="s">
        <v>27</v>
      </c>
      <c r="E7619" s="208" t="s">
        <v>144</v>
      </c>
      <c r="F7619" t="s">
        <v>14</v>
      </c>
      <c r="G7619" s="18">
        <v>367</v>
      </c>
      <c r="H7619" t="s">
        <v>17</v>
      </c>
      <c r="I7619" s="151" t="s">
        <v>562</v>
      </c>
    </row>
    <row r="7620" spans="1:9" x14ac:dyDescent="0.25">
      <c r="A7620">
        <v>1820</v>
      </c>
      <c r="B7620">
        <f>A7620+1</f>
        <v>1821</v>
      </c>
      <c r="C7620" t="s">
        <v>526</v>
      </c>
      <c r="D7620" t="s">
        <v>27</v>
      </c>
      <c r="E7620" s="208" t="s">
        <v>142</v>
      </c>
      <c r="F7620" t="s">
        <v>14</v>
      </c>
      <c r="G7620" s="18">
        <v>21522</v>
      </c>
      <c r="H7620" t="s">
        <v>17</v>
      </c>
      <c r="I7620" s="151" t="s">
        <v>562</v>
      </c>
    </row>
    <row r="7621" spans="1:9" x14ac:dyDescent="0.25">
      <c r="A7621">
        <v>1820</v>
      </c>
      <c r="B7621">
        <f>A7621+1</f>
        <v>1821</v>
      </c>
      <c r="C7621" t="s">
        <v>526</v>
      </c>
      <c r="D7621" t="s">
        <v>27</v>
      </c>
      <c r="E7621" s="208" t="s">
        <v>124</v>
      </c>
      <c r="F7621" t="s">
        <v>14</v>
      </c>
      <c r="G7621" s="18">
        <v>7382672</v>
      </c>
      <c r="H7621" t="s">
        <v>17</v>
      </c>
      <c r="I7621" s="151" t="s">
        <v>562</v>
      </c>
    </row>
    <row r="7622" spans="1:9" x14ac:dyDescent="0.25">
      <c r="A7622">
        <v>1820</v>
      </c>
      <c r="B7622">
        <f>A7622+1</f>
        <v>1821</v>
      </c>
      <c r="C7622" t="s">
        <v>526</v>
      </c>
      <c r="D7622" t="s">
        <v>26</v>
      </c>
      <c r="E7622" s="208" t="s">
        <v>62</v>
      </c>
      <c r="F7622" t="s">
        <v>14</v>
      </c>
      <c r="G7622" s="18">
        <v>5517</v>
      </c>
      <c r="H7622" s="151" t="s">
        <v>563</v>
      </c>
      <c r="I7622" t="s">
        <v>17</v>
      </c>
    </row>
    <row r="7623" spans="1:9" x14ac:dyDescent="0.25">
      <c r="A7623">
        <v>1820</v>
      </c>
      <c r="B7623">
        <f>A7623+1</f>
        <v>1821</v>
      </c>
      <c r="C7623" t="s">
        <v>526</v>
      </c>
      <c r="D7623" t="s">
        <v>26</v>
      </c>
      <c r="E7623" s="208" t="s">
        <v>36</v>
      </c>
      <c r="F7623" t="s">
        <v>14</v>
      </c>
      <c r="G7623" s="18">
        <v>470</v>
      </c>
      <c r="H7623" s="151" t="s">
        <v>563</v>
      </c>
      <c r="I7623" t="s">
        <v>17</v>
      </c>
    </row>
    <row r="7624" spans="1:9" x14ac:dyDescent="0.25">
      <c r="A7624">
        <v>1820</v>
      </c>
      <c r="B7624">
        <f>A7624+1</f>
        <v>1821</v>
      </c>
      <c r="C7624" t="s">
        <v>526</v>
      </c>
      <c r="D7624" t="s">
        <v>26</v>
      </c>
      <c r="E7624" s="208" t="s">
        <v>35</v>
      </c>
      <c r="F7624" t="s">
        <v>14</v>
      </c>
      <c r="G7624" s="18">
        <v>8</v>
      </c>
      <c r="H7624" s="151" t="s">
        <v>563</v>
      </c>
      <c r="I7624" t="s">
        <v>17</v>
      </c>
    </row>
    <row r="7625" spans="1:9" x14ac:dyDescent="0.25">
      <c r="A7625">
        <v>1820</v>
      </c>
      <c r="B7625">
        <f>A7625+1</f>
        <v>1821</v>
      </c>
      <c r="C7625" t="s">
        <v>526</v>
      </c>
      <c r="D7625" t="s">
        <v>26</v>
      </c>
      <c r="E7625" s="208" t="s">
        <v>39</v>
      </c>
      <c r="F7625" t="s">
        <v>14</v>
      </c>
      <c r="G7625" s="18">
        <v>235</v>
      </c>
      <c r="H7625" s="151" t="s">
        <v>563</v>
      </c>
      <c r="I7625" t="s">
        <v>17</v>
      </c>
    </row>
    <row r="7626" spans="1:9" x14ac:dyDescent="0.25">
      <c r="A7626">
        <v>1820</v>
      </c>
      <c r="B7626">
        <f>A7626+1</f>
        <v>1821</v>
      </c>
      <c r="C7626" t="s">
        <v>526</v>
      </c>
      <c r="D7626" t="s">
        <v>26</v>
      </c>
      <c r="E7626" s="208" t="s">
        <v>99</v>
      </c>
      <c r="F7626" t="s">
        <v>14</v>
      </c>
      <c r="G7626" s="18">
        <v>77</v>
      </c>
      <c r="H7626" s="151" t="s">
        <v>563</v>
      </c>
      <c r="I7626" t="s">
        <v>17</v>
      </c>
    </row>
    <row r="7627" spans="1:9" x14ac:dyDescent="0.25">
      <c r="A7627">
        <v>1820</v>
      </c>
      <c r="B7627">
        <f>A7627+1</f>
        <v>1821</v>
      </c>
      <c r="C7627" t="s">
        <v>526</v>
      </c>
      <c r="D7627" t="s">
        <v>26</v>
      </c>
      <c r="E7627" s="208" t="s">
        <v>95</v>
      </c>
      <c r="F7627" t="s">
        <v>14</v>
      </c>
      <c r="G7627" s="18">
        <v>182</v>
      </c>
      <c r="H7627" s="151" t="s">
        <v>563</v>
      </c>
      <c r="I7627" t="s">
        <v>17</v>
      </c>
    </row>
    <row r="7628" spans="1:9" x14ac:dyDescent="0.25">
      <c r="A7628">
        <v>1820</v>
      </c>
      <c r="B7628">
        <f>A7628+1</f>
        <v>1821</v>
      </c>
      <c r="C7628" t="s">
        <v>526</v>
      </c>
      <c r="D7628" t="s">
        <v>26</v>
      </c>
      <c r="E7628" s="208" t="s">
        <v>94</v>
      </c>
      <c r="F7628" t="s">
        <v>14</v>
      </c>
      <c r="G7628" s="18">
        <v>43</v>
      </c>
      <c r="H7628" s="151" t="s">
        <v>563</v>
      </c>
      <c r="I7628" t="s">
        <v>17</v>
      </c>
    </row>
    <row r="7629" spans="1:9" x14ac:dyDescent="0.25">
      <c r="A7629">
        <v>1820</v>
      </c>
      <c r="B7629">
        <f>A7629+1</f>
        <v>1821</v>
      </c>
      <c r="C7629" t="s">
        <v>526</v>
      </c>
      <c r="D7629" t="s">
        <v>26</v>
      </c>
      <c r="E7629" s="208" t="s">
        <v>386</v>
      </c>
      <c r="F7629" t="s">
        <v>14</v>
      </c>
      <c r="G7629" s="18">
        <v>5446</v>
      </c>
      <c r="H7629" s="151" t="s">
        <v>563</v>
      </c>
      <c r="I7629" t="s">
        <v>17</v>
      </c>
    </row>
    <row r="7630" spans="1:9" x14ac:dyDescent="0.25">
      <c r="A7630">
        <v>1820</v>
      </c>
      <c r="B7630">
        <f>A7630+1</f>
        <v>1821</v>
      </c>
      <c r="C7630" t="s">
        <v>526</v>
      </c>
      <c r="D7630" t="s">
        <v>26</v>
      </c>
      <c r="E7630" s="208" t="s">
        <v>387</v>
      </c>
      <c r="F7630" t="s">
        <v>14</v>
      </c>
      <c r="G7630" s="18">
        <v>0</v>
      </c>
      <c r="H7630" s="151" t="s">
        <v>563</v>
      </c>
      <c r="I7630" t="s">
        <v>17</v>
      </c>
    </row>
    <row r="7631" spans="1:9" x14ac:dyDescent="0.25">
      <c r="A7631">
        <v>1820</v>
      </c>
      <c r="B7631">
        <f>A7631+1</f>
        <v>1821</v>
      </c>
      <c r="C7631" t="s">
        <v>526</v>
      </c>
      <c r="D7631" t="s">
        <v>26</v>
      </c>
      <c r="E7631" s="208" t="s">
        <v>388</v>
      </c>
      <c r="F7631" t="s">
        <v>14</v>
      </c>
      <c r="G7631" s="18">
        <v>929</v>
      </c>
      <c r="H7631" s="151" t="s">
        <v>563</v>
      </c>
      <c r="I7631" t="s">
        <v>17</v>
      </c>
    </row>
    <row r="7632" spans="1:9" x14ac:dyDescent="0.25">
      <c r="A7632">
        <v>1820</v>
      </c>
      <c r="B7632">
        <f>A7632+1</f>
        <v>1821</v>
      </c>
      <c r="C7632" t="s">
        <v>526</v>
      </c>
      <c r="D7632" t="s">
        <v>26</v>
      </c>
      <c r="E7632" s="208" t="s">
        <v>383</v>
      </c>
      <c r="F7632" t="s">
        <v>14</v>
      </c>
      <c r="G7632" s="18">
        <v>51</v>
      </c>
      <c r="H7632" s="151" t="s">
        <v>563</v>
      </c>
      <c r="I7632" t="s">
        <v>17</v>
      </c>
    </row>
    <row r="7633" spans="1:9" x14ac:dyDescent="0.25">
      <c r="A7633">
        <v>1820</v>
      </c>
      <c r="B7633">
        <f>A7633+1</f>
        <v>1821</v>
      </c>
      <c r="C7633" t="s">
        <v>526</v>
      </c>
      <c r="D7633" t="s">
        <v>26</v>
      </c>
      <c r="E7633" s="208" t="s">
        <v>384</v>
      </c>
      <c r="F7633" t="s">
        <v>14</v>
      </c>
      <c r="G7633" s="18">
        <v>213</v>
      </c>
      <c r="H7633" s="151" t="s">
        <v>563</v>
      </c>
      <c r="I7633" t="s">
        <v>17</v>
      </c>
    </row>
    <row r="7634" spans="1:9" x14ac:dyDescent="0.25">
      <c r="A7634">
        <v>1820</v>
      </c>
      <c r="B7634">
        <f>A7634+1</f>
        <v>1821</v>
      </c>
      <c r="C7634" t="s">
        <v>526</v>
      </c>
      <c r="D7634" t="s">
        <v>26</v>
      </c>
      <c r="E7634" s="208" t="s">
        <v>107</v>
      </c>
      <c r="F7634" t="s">
        <v>14</v>
      </c>
      <c r="G7634" s="18">
        <v>4324644</v>
      </c>
      <c r="H7634" s="151" t="s">
        <v>563</v>
      </c>
      <c r="I7634" t="s">
        <v>17</v>
      </c>
    </row>
    <row r="7635" spans="1:9" x14ac:dyDescent="0.25">
      <c r="A7635">
        <v>1820</v>
      </c>
      <c r="B7635">
        <f>A7635+1</f>
        <v>1821</v>
      </c>
      <c r="C7635" t="s">
        <v>526</v>
      </c>
      <c r="D7635" t="s">
        <v>26</v>
      </c>
      <c r="E7635" s="208" t="s">
        <v>101</v>
      </c>
      <c r="F7635" t="s">
        <v>14</v>
      </c>
      <c r="G7635" s="18">
        <v>5192369</v>
      </c>
      <c r="H7635" s="151" t="s">
        <v>563</v>
      </c>
      <c r="I7635" t="s">
        <v>17</v>
      </c>
    </row>
    <row r="7636" spans="1:9" x14ac:dyDescent="0.25">
      <c r="A7636">
        <v>1820</v>
      </c>
      <c r="B7636">
        <f>A7636+1</f>
        <v>1821</v>
      </c>
      <c r="C7636" t="s">
        <v>526</v>
      </c>
      <c r="D7636" t="s">
        <v>26</v>
      </c>
      <c r="E7636" s="208" t="s">
        <v>75</v>
      </c>
      <c r="F7636" t="s">
        <v>14</v>
      </c>
      <c r="G7636" s="18">
        <v>4481598</v>
      </c>
      <c r="H7636" s="151" t="s">
        <v>563</v>
      </c>
      <c r="I7636" t="s">
        <v>17</v>
      </c>
    </row>
    <row r="7637" spans="1:9" x14ac:dyDescent="0.25">
      <c r="A7637">
        <v>1820</v>
      </c>
      <c r="B7637">
        <f>A7637+1</f>
        <v>1821</v>
      </c>
      <c r="C7637" t="s">
        <v>526</v>
      </c>
      <c r="D7637" t="s">
        <v>26</v>
      </c>
      <c r="E7637" s="208" t="s">
        <v>330</v>
      </c>
      <c r="F7637" t="s">
        <v>14</v>
      </c>
      <c r="G7637" s="18">
        <v>362</v>
      </c>
      <c r="H7637" s="151" t="s">
        <v>563</v>
      </c>
      <c r="I7637" t="s">
        <v>17</v>
      </c>
    </row>
    <row r="7638" spans="1:9" x14ac:dyDescent="0.25">
      <c r="A7638">
        <v>1820</v>
      </c>
      <c r="B7638">
        <f>A7638+1</f>
        <v>1821</v>
      </c>
      <c r="C7638" t="s">
        <v>526</v>
      </c>
      <c r="D7638" t="s">
        <v>26</v>
      </c>
      <c r="E7638" s="208" t="s">
        <v>331</v>
      </c>
      <c r="F7638" t="s">
        <v>14</v>
      </c>
      <c r="G7638" s="18">
        <v>125</v>
      </c>
      <c r="H7638" s="151" t="s">
        <v>563</v>
      </c>
      <c r="I7638" t="s">
        <v>17</v>
      </c>
    </row>
    <row r="7639" spans="1:9" x14ac:dyDescent="0.25">
      <c r="A7639">
        <v>1820</v>
      </c>
      <c r="B7639">
        <f>A7639+1</f>
        <v>1821</v>
      </c>
      <c r="C7639" t="s">
        <v>526</v>
      </c>
      <c r="D7639" t="s">
        <v>26</v>
      </c>
      <c r="E7639" s="208" t="s">
        <v>332</v>
      </c>
      <c r="F7639" t="s">
        <v>14</v>
      </c>
      <c r="G7639" s="18">
        <v>110</v>
      </c>
      <c r="H7639" s="151" t="s">
        <v>563</v>
      </c>
      <c r="I7639" t="s">
        <v>17</v>
      </c>
    </row>
    <row r="7640" spans="1:9" x14ac:dyDescent="0.25">
      <c r="A7640">
        <v>1820</v>
      </c>
      <c r="B7640">
        <f>A7640+1</f>
        <v>1821</v>
      </c>
      <c r="C7640" t="s">
        <v>526</v>
      </c>
      <c r="D7640" t="s">
        <v>26</v>
      </c>
      <c r="E7640" s="208" t="s">
        <v>333</v>
      </c>
      <c r="F7640" t="s">
        <v>14</v>
      </c>
      <c r="G7640" s="18">
        <v>549</v>
      </c>
      <c r="H7640" s="151" t="s">
        <v>563</v>
      </c>
      <c r="I7640" t="s">
        <v>17</v>
      </c>
    </row>
    <row r="7641" spans="1:9" x14ac:dyDescent="0.25">
      <c r="A7641">
        <v>1820</v>
      </c>
      <c r="B7641">
        <f>A7641+1</f>
        <v>1821</v>
      </c>
      <c r="C7641" t="s">
        <v>526</v>
      </c>
      <c r="D7641" t="s">
        <v>27</v>
      </c>
      <c r="E7641" s="208" t="s">
        <v>155</v>
      </c>
      <c r="F7641" t="s">
        <v>15</v>
      </c>
      <c r="G7641" s="18">
        <v>111512</v>
      </c>
      <c r="H7641" t="s">
        <v>561</v>
      </c>
      <c r="I7641" s="151" t="s">
        <v>562</v>
      </c>
    </row>
    <row r="7642" spans="1:9" x14ac:dyDescent="0.25">
      <c r="A7642">
        <v>1820</v>
      </c>
      <c r="B7642">
        <f>A7642+1</f>
        <v>1821</v>
      </c>
      <c r="C7642" t="s">
        <v>526</v>
      </c>
      <c r="D7642" t="s">
        <v>27</v>
      </c>
      <c r="E7642" s="208" t="s">
        <v>156</v>
      </c>
      <c r="F7642" t="s">
        <v>15</v>
      </c>
      <c r="G7642" s="18">
        <v>11703</v>
      </c>
      <c r="H7642" t="s">
        <v>561</v>
      </c>
      <c r="I7642" s="151" t="s">
        <v>562</v>
      </c>
    </row>
    <row r="7643" spans="1:9" x14ac:dyDescent="0.25">
      <c r="A7643">
        <v>1820</v>
      </c>
      <c r="B7643">
        <f>A7643+1</f>
        <v>1821</v>
      </c>
      <c r="C7643" t="s">
        <v>526</v>
      </c>
      <c r="D7643" t="s">
        <v>27</v>
      </c>
      <c r="E7643" s="208" t="s">
        <v>154</v>
      </c>
      <c r="F7643" t="s">
        <v>15</v>
      </c>
      <c r="G7643" s="18">
        <v>1972</v>
      </c>
      <c r="H7643" t="s">
        <v>561</v>
      </c>
      <c r="I7643" s="151" t="s">
        <v>562</v>
      </c>
    </row>
    <row r="7644" spans="1:9" x14ac:dyDescent="0.25">
      <c r="A7644">
        <v>1820</v>
      </c>
      <c r="B7644">
        <f>A7644+1</f>
        <v>1821</v>
      </c>
      <c r="C7644" t="s">
        <v>526</v>
      </c>
      <c r="D7644" t="s">
        <v>27</v>
      </c>
      <c r="E7644" s="208" t="s">
        <v>150</v>
      </c>
      <c r="F7644" t="s">
        <v>15</v>
      </c>
      <c r="G7644" s="18">
        <v>46802</v>
      </c>
      <c r="H7644" t="s">
        <v>561</v>
      </c>
      <c r="I7644" s="151" t="s">
        <v>562</v>
      </c>
    </row>
    <row r="7645" spans="1:9" x14ac:dyDescent="0.25">
      <c r="A7645">
        <v>1820</v>
      </c>
      <c r="B7645">
        <f>A7645+1</f>
        <v>1821</v>
      </c>
      <c r="C7645" t="s">
        <v>526</v>
      </c>
      <c r="D7645" t="s">
        <v>27</v>
      </c>
      <c r="E7645" s="208" t="s">
        <v>148</v>
      </c>
      <c r="F7645" t="s">
        <v>15</v>
      </c>
      <c r="G7645" s="18">
        <v>1793</v>
      </c>
      <c r="H7645" t="s">
        <v>561</v>
      </c>
      <c r="I7645" s="151" t="s">
        <v>562</v>
      </c>
    </row>
    <row r="7646" spans="1:9" x14ac:dyDescent="0.25">
      <c r="A7646">
        <v>1820</v>
      </c>
      <c r="B7646">
        <f>A7646+1</f>
        <v>1821</v>
      </c>
      <c r="C7646" t="s">
        <v>526</v>
      </c>
      <c r="D7646" t="s">
        <v>27</v>
      </c>
      <c r="E7646" s="208" t="s">
        <v>147</v>
      </c>
      <c r="F7646" t="s">
        <v>15</v>
      </c>
      <c r="G7646" s="18">
        <v>153</v>
      </c>
      <c r="H7646" t="s">
        <v>561</v>
      </c>
      <c r="I7646" s="151" t="s">
        <v>562</v>
      </c>
    </row>
    <row r="7647" spans="1:9" x14ac:dyDescent="0.25">
      <c r="A7647">
        <v>1820</v>
      </c>
      <c r="B7647">
        <f>A7647+1</f>
        <v>1821</v>
      </c>
      <c r="C7647" t="s">
        <v>526</v>
      </c>
      <c r="D7647" t="s">
        <v>27</v>
      </c>
      <c r="E7647" s="208" t="s">
        <v>314</v>
      </c>
      <c r="F7647" t="s">
        <v>15</v>
      </c>
      <c r="G7647" s="18">
        <v>534</v>
      </c>
      <c r="H7647" t="s">
        <v>561</v>
      </c>
      <c r="I7647" s="151" t="s">
        <v>562</v>
      </c>
    </row>
    <row r="7648" spans="1:9" x14ac:dyDescent="0.25">
      <c r="A7648">
        <v>1820</v>
      </c>
      <c r="B7648">
        <f>A7648+1</f>
        <v>1821</v>
      </c>
      <c r="C7648" t="s">
        <v>526</v>
      </c>
      <c r="D7648" t="s">
        <v>27</v>
      </c>
      <c r="E7648" s="208" t="s">
        <v>139</v>
      </c>
      <c r="F7648" t="s">
        <v>15</v>
      </c>
      <c r="G7648" s="18">
        <v>167</v>
      </c>
      <c r="H7648" t="s">
        <v>561</v>
      </c>
      <c r="I7648" s="151" t="s">
        <v>562</v>
      </c>
    </row>
    <row r="7649" spans="1:9" x14ac:dyDescent="0.25">
      <c r="A7649">
        <v>1820</v>
      </c>
      <c r="B7649">
        <f>A7649+1</f>
        <v>1821</v>
      </c>
      <c r="C7649" t="s">
        <v>526</v>
      </c>
      <c r="D7649" t="s">
        <v>27</v>
      </c>
      <c r="E7649" s="208" t="s">
        <v>132</v>
      </c>
      <c r="F7649" t="s">
        <v>15</v>
      </c>
      <c r="G7649" s="18">
        <v>984</v>
      </c>
      <c r="H7649" t="s">
        <v>561</v>
      </c>
      <c r="I7649" s="151" t="s">
        <v>562</v>
      </c>
    </row>
    <row r="7650" spans="1:9" x14ac:dyDescent="0.25">
      <c r="A7650">
        <v>1820</v>
      </c>
      <c r="B7650">
        <f>A7650+1</f>
        <v>1821</v>
      </c>
      <c r="C7650" t="s">
        <v>526</v>
      </c>
      <c r="D7650" t="s">
        <v>27</v>
      </c>
      <c r="E7650" s="208" t="s">
        <v>130</v>
      </c>
      <c r="F7650" t="s">
        <v>15</v>
      </c>
      <c r="G7650" s="18">
        <v>271</v>
      </c>
      <c r="H7650" t="s">
        <v>561</v>
      </c>
      <c r="I7650" s="151" t="s">
        <v>562</v>
      </c>
    </row>
    <row r="7651" spans="1:9" x14ac:dyDescent="0.25">
      <c r="A7651">
        <v>1820</v>
      </c>
      <c r="B7651">
        <f>A7651+1</f>
        <v>1821</v>
      </c>
      <c r="C7651" t="s">
        <v>526</v>
      </c>
      <c r="D7651" t="s">
        <v>27</v>
      </c>
      <c r="E7651" s="208" t="s">
        <v>144</v>
      </c>
      <c r="F7651" t="s">
        <v>15</v>
      </c>
      <c r="G7651" s="18">
        <v>1224</v>
      </c>
      <c r="H7651" t="s">
        <v>561</v>
      </c>
      <c r="I7651" s="151" t="s">
        <v>562</v>
      </c>
    </row>
    <row r="7652" spans="1:9" x14ac:dyDescent="0.25">
      <c r="A7652">
        <v>1820</v>
      </c>
      <c r="B7652">
        <f>A7652+1</f>
        <v>1821</v>
      </c>
      <c r="C7652" t="s">
        <v>526</v>
      </c>
      <c r="D7652" t="s">
        <v>27</v>
      </c>
      <c r="E7652" s="208" t="s">
        <v>142</v>
      </c>
      <c r="F7652" t="s">
        <v>15</v>
      </c>
      <c r="G7652" s="18">
        <v>24827</v>
      </c>
      <c r="H7652" t="s">
        <v>561</v>
      </c>
      <c r="I7652" s="151" t="s">
        <v>562</v>
      </c>
    </row>
    <row r="7653" spans="1:9" x14ac:dyDescent="0.25">
      <c r="A7653">
        <v>1820</v>
      </c>
      <c r="B7653">
        <f>A7653+1</f>
        <v>1821</v>
      </c>
      <c r="C7653" t="s">
        <v>526</v>
      </c>
      <c r="D7653" t="s">
        <v>27</v>
      </c>
      <c r="E7653" s="208" t="s">
        <v>124</v>
      </c>
      <c r="F7653" t="s">
        <v>15</v>
      </c>
      <c r="G7653" s="18">
        <v>16819761</v>
      </c>
      <c r="H7653" t="s">
        <v>561</v>
      </c>
      <c r="I7653" s="151" t="s">
        <v>562</v>
      </c>
    </row>
    <row r="7654" spans="1:9" x14ac:dyDescent="0.25">
      <c r="A7654">
        <v>1820</v>
      </c>
      <c r="B7654">
        <f>A7654+1</f>
        <v>1821</v>
      </c>
      <c r="C7654" t="s">
        <v>526</v>
      </c>
      <c r="D7654" t="s">
        <v>26</v>
      </c>
      <c r="E7654" s="208" t="s">
        <v>62</v>
      </c>
      <c r="F7654" t="s">
        <v>15</v>
      </c>
      <c r="G7654" s="18">
        <v>74378</v>
      </c>
      <c r="H7654" s="151" t="s">
        <v>563</v>
      </c>
      <c r="I7654" t="s">
        <v>561</v>
      </c>
    </row>
    <row r="7655" spans="1:9" x14ac:dyDescent="0.25">
      <c r="A7655">
        <v>1820</v>
      </c>
      <c r="B7655">
        <f>A7655+1</f>
        <v>1821</v>
      </c>
      <c r="C7655" t="s">
        <v>526</v>
      </c>
      <c r="D7655" t="s">
        <v>26</v>
      </c>
      <c r="E7655" s="208" t="s">
        <v>36</v>
      </c>
      <c r="F7655" t="s">
        <v>15</v>
      </c>
      <c r="G7655" s="18">
        <v>2279</v>
      </c>
      <c r="H7655" s="151" t="s">
        <v>563</v>
      </c>
      <c r="I7655" t="s">
        <v>561</v>
      </c>
    </row>
    <row r="7656" spans="1:9" x14ac:dyDescent="0.25">
      <c r="A7656">
        <v>1820</v>
      </c>
      <c r="B7656">
        <f>A7656+1</f>
        <v>1821</v>
      </c>
      <c r="C7656" t="s">
        <v>526</v>
      </c>
      <c r="D7656" t="s">
        <v>26</v>
      </c>
      <c r="E7656" s="208" t="s">
        <v>35</v>
      </c>
      <c r="F7656" t="s">
        <v>15</v>
      </c>
      <c r="G7656" s="18">
        <v>2392</v>
      </c>
      <c r="H7656" s="151" t="s">
        <v>563</v>
      </c>
      <c r="I7656" t="s">
        <v>561</v>
      </c>
    </row>
    <row r="7657" spans="1:9" x14ac:dyDescent="0.25">
      <c r="A7657">
        <v>1820</v>
      </c>
      <c r="B7657">
        <f>A7657+1</f>
        <v>1821</v>
      </c>
      <c r="C7657" t="s">
        <v>526</v>
      </c>
      <c r="D7657" t="s">
        <v>26</v>
      </c>
      <c r="E7657" s="208" t="s">
        <v>39</v>
      </c>
      <c r="F7657" t="s">
        <v>15</v>
      </c>
      <c r="G7657" s="18">
        <v>1170</v>
      </c>
      <c r="H7657" s="151" t="s">
        <v>563</v>
      </c>
      <c r="I7657" t="s">
        <v>561</v>
      </c>
    </row>
    <row r="7658" spans="1:9" x14ac:dyDescent="0.25">
      <c r="A7658">
        <v>1820</v>
      </c>
      <c r="B7658">
        <f>A7658+1</f>
        <v>1821</v>
      </c>
      <c r="C7658" t="s">
        <v>526</v>
      </c>
      <c r="D7658" t="s">
        <v>26</v>
      </c>
      <c r="E7658" s="208" t="s">
        <v>99</v>
      </c>
      <c r="F7658" t="s">
        <v>15</v>
      </c>
      <c r="G7658" s="18">
        <v>1108</v>
      </c>
      <c r="H7658" s="151" t="s">
        <v>563</v>
      </c>
      <c r="I7658" t="s">
        <v>561</v>
      </c>
    </row>
    <row r="7659" spans="1:9" x14ac:dyDescent="0.25">
      <c r="A7659">
        <v>1820</v>
      </c>
      <c r="B7659">
        <f>A7659+1</f>
        <v>1821</v>
      </c>
      <c r="C7659" t="s">
        <v>526</v>
      </c>
      <c r="D7659" t="s">
        <v>26</v>
      </c>
      <c r="E7659" s="208" t="s">
        <v>95</v>
      </c>
      <c r="F7659" t="s">
        <v>15</v>
      </c>
      <c r="G7659" s="18">
        <v>182</v>
      </c>
      <c r="H7659" s="151" t="s">
        <v>563</v>
      </c>
      <c r="I7659" t="s">
        <v>561</v>
      </c>
    </row>
    <row r="7660" spans="1:9" x14ac:dyDescent="0.25">
      <c r="A7660">
        <v>1820</v>
      </c>
      <c r="B7660">
        <f>A7660+1</f>
        <v>1821</v>
      </c>
      <c r="C7660" t="s">
        <v>526</v>
      </c>
      <c r="D7660" t="s">
        <v>26</v>
      </c>
      <c r="E7660" s="208" t="s">
        <v>94</v>
      </c>
      <c r="F7660" t="s">
        <v>15</v>
      </c>
      <c r="G7660" s="18">
        <v>5168</v>
      </c>
      <c r="H7660" s="151" t="s">
        <v>563</v>
      </c>
      <c r="I7660" t="s">
        <v>561</v>
      </c>
    </row>
    <row r="7661" spans="1:9" x14ac:dyDescent="0.25">
      <c r="A7661">
        <v>1820</v>
      </c>
      <c r="B7661">
        <f>A7661+1</f>
        <v>1821</v>
      </c>
      <c r="C7661" t="s">
        <v>526</v>
      </c>
      <c r="D7661" t="s">
        <v>26</v>
      </c>
      <c r="E7661" s="208" t="s">
        <v>386</v>
      </c>
      <c r="F7661" t="s">
        <v>15</v>
      </c>
      <c r="G7661" s="18">
        <v>17482</v>
      </c>
      <c r="H7661" s="151" t="s">
        <v>563</v>
      </c>
      <c r="I7661" t="s">
        <v>561</v>
      </c>
    </row>
    <row r="7662" spans="1:9" x14ac:dyDescent="0.25">
      <c r="A7662">
        <v>1820</v>
      </c>
      <c r="B7662">
        <f>A7662+1</f>
        <v>1821</v>
      </c>
      <c r="C7662" t="s">
        <v>526</v>
      </c>
      <c r="D7662" t="s">
        <v>26</v>
      </c>
      <c r="E7662" s="208" t="s">
        <v>387</v>
      </c>
      <c r="F7662" t="s">
        <v>15</v>
      </c>
      <c r="G7662" s="18">
        <v>5802</v>
      </c>
      <c r="H7662" s="151" t="s">
        <v>563</v>
      </c>
      <c r="I7662" t="s">
        <v>561</v>
      </c>
    </row>
    <row r="7663" spans="1:9" x14ac:dyDescent="0.25">
      <c r="A7663">
        <v>1820</v>
      </c>
      <c r="B7663">
        <f>A7663+1</f>
        <v>1821</v>
      </c>
      <c r="C7663" t="s">
        <v>526</v>
      </c>
      <c r="D7663" t="s">
        <v>26</v>
      </c>
      <c r="E7663" s="208" t="s">
        <v>388</v>
      </c>
      <c r="F7663" t="s">
        <v>15</v>
      </c>
      <c r="G7663" s="18">
        <v>9040</v>
      </c>
      <c r="H7663" s="151" t="s">
        <v>563</v>
      </c>
      <c r="I7663" t="s">
        <v>561</v>
      </c>
    </row>
    <row r="7664" spans="1:9" x14ac:dyDescent="0.25">
      <c r="A7664">
        <v>1820</v>
      </c>
      <c r="B7664">
        <f>A7664+1</f>
        <v>1821</v>
      </c>
      <c r="C7664" t="s">
        <v>526</v>
      </c>
      <c r="D7664" t="s">
        <v>26</v>
      </c>
      <c r="E7664" s="208" t="s">
        <v>383</v>
      </c>
      <c r="F7664" t="s">
        <v>15</v>
      </c>
      <c r="G7664" s="18">
        <v>357</v>
      </c>
      <c r="H7664" s="151" t="s">
        <v>563</v>
      </c>
      <c r="I7664" t="s">
        <v>561</v>
      </c>
    </row>
    <row r="7665" spans="1:9" x14ac:dyDescent="0.25">
      <c r="A7665">
        <v>1820</v>
      </c>
      <c r="B7665">
        <f>A7665+1</f>
        <v>1821</v>
      </c>
      <c r="C7665" t="s">
        <v>526</v>
      </c>
      <c r="D7665" t="s">
        <v>26</v>
      </c>
      <c r="E7665" s="208" t="s">
        <v>384</v>
      </c>
      <c r="F7665" t="s">
        <v>15</v>
      </c>
      <c r="G7665" s="18">
        <v>442</v>
      </c>
      <c r="H7665" s="151" t="s">
        <v>563</v>
      </c>
      <c r="I7665" t="s">
        <v>561</v>
      </c>
    </row>
    <row r="7666" spans="1:9" x14ac:dyDescent="0.25">
      <c r="A7666">
        <v>1820</v>
      </c>
      <c r="B7666">
        <f>A7666+1</f>
        <v>1821</v>
      </c>
      <c r="C7666" t="s">
        <v>526</v>
      </c>
      <c r="D7666" t="s">
        <v>26</v>
      </c>
      <c r="E7666" s="208" t="s">
        <v>107</v>
      </c>
      <c r="F7666" t="s">
        <v>15</v>
      </c>
      <c r="G7666" s="18">
        <v>6684039</v>
      </c>
      <c r="H7666" s="151" t="s">
        <v>563</v>
      </c>
      <c r="I7666" t="s">
        <v>561</v>
      </c>
    </row>
    <row r="7667" spans="1:9" x14ac:dyDescent="0.25">
      <c r="A7667">
        <v>1820</v>
      </c>
      <c r="B7667">
        <f>A7667+1</f>
        <v>1821</v>
      </c>
      <c r="C7667" t="s">
        <v>526</v>
      </c>
      <c r="D7667" t="s">
        <v>26</v>
      </c>
      <c r="E7667" s="208" t="s">
        <v>101</v>
      </c>
      <c r="F7667" t="s">
        <v>15</v>
      </c>
      <c r="G7667" s="18">
        <v>9920739</v>
      </c>
      <c r="H7667" s="151" t="s">
        <v>563</v>
      </c>
      <c r="I7667" t="s">
        <v>561</v>
      </c>
    </row>
    <row r="7668" spans="1:9" x14ac:dyDescent="0.25">
      <c r="A7668">
        <v>1820</v>
      </c>
      <c r="B7668">
        <f>A7668+1</f>
        <v>1821</v>
      </c>
      <c r="C7668" t="s">
        <v>526</v>
      </c>
      <c r="D7668" t="s">
        <v>26</v>
      </c>
      <c r="E7668" s="208" t="s">
        <v>75</v>
      </c>
      <c r="F7668" t="s">
        <v>15</v>
      </c>
      <c r="G7668" s="18">
        <v>8541753</v>
      </c>
      <c r="H7668" s="151" t="s">
        <v>563</v>
      </c>
      <c r="I7668" t="s">
        <v>561</v>
      </c>
    </row>
    <row r="7669" spans="1:9" x14ac:dyDescent="0.25">
      <c r="A7669">
        <v>1820</v>
      </c>
      <c r="B7669">
        <f>A7669+1</f>
        <v>1821</v>
      </c>
      <c r="C7669" t="s">
        <v>526</v>
      </c>
      <c r="D7669" t="s">
        <v>26</v>
      </c>
      <c r="E7669" s="208" t="s">
        <v>330</v>
      </c>
      <c r="F7669" t="s">
        <v>15</v>
      </c>
      <c r="G7669" s="18">
        <v>1629</v>
      </c>
      <c r="H7669" s="151" t="s">
        <v>563</v>
      </c>
      <c r="I7669" t="s">
        <v>561</v>
      </c>
    </row>
    <row r="7670" spans="1:9" x14ac:dyDescent="0.25">
      <c r="A7670">
        <v>1820</v>
      </c>
      <c r="B7670">
        <f>A7670+1</f>
        <v>1821</v>
      </c>
      <c r="C7670" t="s">
        <v>526</v>
      </c>
      <c r="D7670" t="s">
        <v>26</v>
      </c>
      <c r="E7670" s="208" t="s">
        <v>331</v>
      </c>
      <c r="F7670" t="s">
        <v>15</v>
      </c>
      <c r="G7670" s="18">
        <v>2143</v>
      </c>
      <c r="H7670" s="151" t="s">
        <v>563</v>
      </c>
      <c r="I7670" t="s">
        <v>561</v>
      </c>
    </row>
    <row r="7671" spans="1:9" x14ac:dyDescent="0.25">
      <c r="A7671">
        <v>1820</v>
      </c>
      <c r="B7671">
        <f>A7671+1</f>
        <v>1821</v>
      </c>
      <c r="C7671" t="s">
        <v>526</v>
      </c>
      <c r="D7671" t="s">
        <v>26</v>
      </c>
      <c r="E7671" s="208" t="s">
        <v>332</v>
      </c>
      <c r="F7671" t="s">
        <v>15</v>
      </c>
      <c r="G7671" s="18">
        <v>691</v>
      </c>
      <c r="H7671" s="151" t="s">
        <v>563</v>
      </c>
      <c r="I7671" t="s">
        <v>561</v>
      </c>
    </row>
    <row r="7672" spans="1:9" x14ac:dyDescent="0.25">
      <c r="A7672">
        <v>1820</v>
      </c>
      <c r="B7672">
        <f>A7672+1</f>
        <v>1821</v>
      </c>
      <c r="C7672" t="s">
        <v>526</v>
      </c>
      <c r="D7672" t="s">
        <v>26</v>
      </c>
      <c r="E7672" s="208" t="s">
        <v>333</v>
      </c>
      <c r="F7672" t="s">
        <v>15</v>
      </c>
      <c r="G7672" s="18">
        <v>1963</v>
      </c>
      <c r="H7672" s="151" t="s">
        <v>563</v>
      </c>
      <c r="I7672" t="s">
        <v>561</v>
      </c>
    </row>
    <row r="7673" spans="1:9" x14ac:dyDescent="0.25">
      <c r="A7673">
        <v>1820</v>
      </c>
      <c r="B7673">
        <f>A7673+1</f>
        <v>1821</v>
      </c>
      <c r="C7673" t="s">
        <v>526</v>
      </c>
      <c r="D7673" t="s">
        <v>26</v>
      </c>
      <c r="E7673" s="208" t="s">
        <v>567</v>
      </c>
      <c r="F7673" t="s">
        <v>3</v>
      </c>
      <c r="G7673" s="18">
        <v>20281</v>
      </c>
      <c r="H7673" t="s">
        <v>24</v>
      </c>
      <c r="I7673" t="s">
        <v>16</v>
      </c>
    </row>
    <row r="7674" spans="1:9" x14ac:dyDescent="0.25">
      <c r="A7674">
        <v>1820</v>
      </c>
      <c r="B7674">
        <f>A7674+1</f>
        <v>1821</v>
      </c>
      <c r="C7674" t="s">
        <v>526</v>
      </c>
      <c r="D7674" t="s">
        <v>26</v>
      </c>
      <c r="E7674" s="208" t="s">
        <v>567</v>
      </c>
      <c r="F7674" t="s">
        <v>169</v>
      </c>
      <c r="G7674" s="18">
        <v>17566</v>
      </c>
      <c r="H7674" t="s">
        <v>160</v>
      </c>
      <c r="I7674" t="s">
        <v>16</v>
      </c>
    </row>
    <row r="7675" spans="1:9" x14ac:dyDescent="0.25">
      <c r="A7675">
        <v>1820</v>
      </c>
      <c r="B7675">
        <f>A7675+1</f>
        <v>1821</v>
      </c>
      <c r="C7675" t="s">
        <v>526</v>
      </c>
      <c r="D7675" t="s">
        <v>26</v>
      </c>
      <c r="E7675" s="208" t="s">
        <v>567</v>
      </c>
      <c r="F7675" t="s">
        <v>6</v>
      </c>
      <c r="G7675" s="18">
        <v>0</v>
      </c>
      <c r="H7675" t="s">
        <v>25</v>
      </c>
      <c r="I7675" t="s">
        <v>16</v>
      </c>
    </row>
    <row r="7676" spans="1:9" x14ac:dyDescent="0.25">
      <c r="A7676">
        <v>1820</v>
      </c>
      <c r="B7676">
        <f>A7676+1</f>
        <v>1821</v>
      </c>
      <c r="C7676" t="s">
        <v>526</v>
      </c>
      <c r="D7676" t="s">
        <v>26</v>
      </c>
      <c r="E7676" s="208" t="s">
        <v>567</v>
      </c>
      <c r="F7676" t="s">
        <v>7</v>
      </c>
      <c r="G7676" s="18">
        <v>37847</v>
      </c>
      <c r="H7676" s="151" t="s">
        <v>563</v>
      </c>
      <c r="I7676" t="s">
        <v>16</v>
      </c>
    </row>
    <row r="7677" spans="1:9" x14ac:dyDescent="0.25">
      <c r="A7677">
        <v>1820</v>
      </c>
      <c r="B7677">
        <f>A7677+1</f>
        <v>1821</v>
      </c>
      <c r="C7677" t="s">
        <v>526</v>
      </c>
      <c r="D7677" t="s">
        <v>26</v>
      </c>
      <c r="E7677" s="208" t="s">
        <v>567</v>
      </c>
      <c r="F7677" t="s">
        <v>10</v>
      </c>
      <c r="G7677" s="18">
        <v>2525</v>
      </c>
      <c r="H7677" t="s">
        <v>24</v>
      </c>
      <c r="I7677" t="s">
        <v>17</v>
      </c>
    </row>
    <row r="7678" spans="1:9" x14ac:dyDescent="0.25">
      <c r="A7678">
        <v>1820</v>
      </c>
      <c r="B7678">
        <f>A7678+1</f>
        <v>1821</v>
      </c>
      <c r="C7678" t="s">
        <v>526</v>
      </c>
      <c r="D7678" t="s">
        <v>26</v>
      </c>
      <c r="E7678" s="208" t="s">
        <v>567</v>
      </c>
      <c r="F7678" t="s">
        <v>164</v>
      </c>
      <c r="G7678" s="18">
        <v>34145</v>
      </c>
      <c r="H7678" t="s">
        <v>160</v>
      </c>
      <c r="I7678" t="s">
        <v>17</v>
      </c>
    </row>
    <row r="7679" spans="1:9" x14ac:dyDescent="0.25">
      <c r="A7679">
        <v>1820</v>
      </c>
      <c r="B7679">
        <f>A7679+1</f>
        <v>1821</v>
      </c>
      <c r="C7679" t="s">
        <v>526</v>
      </c>
      <c r="D7679" t="s">
        <v>26</v>
      </c>
      <c r="E7679" s="208" t="s">
        <v>567</v>
      </c>
      <c r="F7679" t="s">
        <v>13</v>
      </c>
      <c r="G7679" s="18">
        <v>0</v>
      </c>
      <c r="H7679" t="s">
        <v>25</v>
      </c>
      <c r="I7679" t="s">
        <v>17</v>
      </c>
    </row>
    <row r="7680" spans="1:9" x14ac:dyDescent="0.25">
      <c r="A7680">
        <v>1820</v>
      </c>
      <c r="B7680">
        <f>A7680+1</f>
        <v>1821</v>
      </c>
      <c r="C7680" t="s">
        <v>526</v>
      </c>
      <c r="D7680" t="s">
        <v>26</v>
      </c>
      <c r="E7680" s="208" t="s">
        <v>567</v>
      </c>
      <c r="F7680" t="s">
        <v>14</v>
      </c>
      <c r="G7680" s="18">
        <v>36670</v>
      </c>
      <c r="H7680" s="151" t="s">
        <v>563</v>
      </c>
      <c r="I7680" t="s">
        <v>17</v>
      </c>
    </row>
    <row r="7681" spans="1:9" x14ac:dyDescent="0.25">
      <c r="A7681">
        <v>1820</v>
      </c>
      <c r="B7681">
        <f>A7681+1</f>
        <v>1821</v>
      </c>
      <c r="C7681" t="s">
        <v>526</v>
      </c>
      <c r="D7681" t="s">
        <v>26</v>
      </c>
      <c r="E7681" s="208" t="s">
        <v>567</v>
      </c>
      <c r="F7681" t="s">
        <v>15</v>
      </c>
      <c r="G7681" s="18">
        <v>74517</v>
      </c>
      <c r="H7681" s="151" t="s">
        <v>563</v>
      </c>
      <c r="I7681" t="s">
        <v>561</v>
      </c>
    </row>
    <row r="7682" spans="1:9" x14ac:dyDescent="0.25">
      <c r="A7682">
        <v>1820</v>
      </c>
      <c r="B7682">
        <f>A7682+1</f>
        <v>1821</v>
      </c>
      <c r="C7682" t="s">
        <v>526</v>
      </c>
      <c r="D7682" t="s">
        <v>26</v>
      </c>
      <c r="E7682" s="208" t="s">
        <v>568</v>
      </c>
      <c r="F7682" t="s">
        <v>3</v>
      </c>
      <c r="G7682" s="18">
        <v>180</v>
      </c>
      <c r="H7682" t="s">
        <v>24</v>
      </c>
      <c r="I7682" t="s">
        <v>16</v>
      </c>
    </row>
    <row r="7683" spans="1:9" x14ac:dyDescent="0.25">
      <c r="A7683">
        <v>1820</v>
      </c>
      <c r="B7683">
        <f>A7683+1</f>
        <v>1821</v>
      </c>
      <c r="C7683" t="s">
        <v>526</v>
      </c>
      <c r="D7683" t="s">
        <v>26</v>
      </c>
      <c r="E7683" s="208" t="s">
        <v>568</v>
      </c>
      <c r="F7683" t="s">
        <v>169</v>
      </c>
      <c r="G7683" s="18">
        <v>0</v>
      </c>
      <c r="H7683" t="s">
        <v>160</v>
      </c>
      <c r="I7683" t="s">
        <v>16</v>
      </c>
    </row>
    <row r="7684" spans="1:9" x14ac:dyDescent="0.25">
      <c r="A7684">
        <v>1820</v>
      </c>
      <c r="B7684">
        <f>A7684+1</f>
        <v>1821</v>
      </c>
      <c r="C7684" t="s">
        <v>526</v>
      </c>
      <c r="D7684" t="s">
        <v>26</v>
      </c>
      <c r="E7684" s="208" t="s">
        <v>568</v>
      </c>
      <c r="F7684" t="s">
        <v>6</v>
      </c>
      <c r="G7684" s="18">
        <v>0</v>
      </c>
      <c r="H7684" t="s">
        <v>25</v>
      </c>
      <c r="I7684" t="s">
        <v>16</v>
      </c>
    </row>
    <row r="7685" spans="1:9" x14ac:dyDescent="0.25">
      <c r="A7685">
        <v>1820</v>
      </c>
      <c r="B7685">
        <f>A7685+1</f>
        <v>1821</v>
      </c>
      <c r="C7685" t="s">
        <v>526</v>
      </c>
      <c r="D7685" t="s">
        <v>26</v>
      </c>
      <c r="E7685" s="208" t="s">
        <v>568</v>
      </c>
      <c r="F7685" t="s">
        <v>7</v>
      </c>
      <c r="G7685" s="18">
        <v>180</v>
      </c>
      <c r="H7685" s="151" t="s">
        <v>563</v>
      </c>
      <c r="I7685" t="s">
        <v>16</v>
      </c>
    </row>
    <row r="7686" spans="1:9" x14ac:dyDescent="0.25">
      <c r="A7686">
        <v>1820</v>
      </c>
      <c r="B7686">
        <f>A7686+1</f>
        <v>1821</v>
      </c>
      <c r="C7686" t="s">
        <v>526</v>
      </c>
      <c r="D7686" t="s">
        <v>26</v>
      </c>
      <c r="E7686" s="208" t="s">
        <v>568</v>
      </c>
      <c r="F7686" t="s">
        <v>10</v>
      </c>
      <c r="G7686" s="18">
        <v>200</v>
      </c>
      <c r="H7686" t="s">
        <v>24</v>
      </c>
      <c r="I7686" t="s">
        <v>17</v>
      </c>
    </row>
    <row r="7687" spans="1:9" x14ac:dyDescent="0.25">
      <c r="A7687">
        <v>1820</v>
      </c>
      <c r="B7687">
        <f>A7687+1</f>
        <v>1821</v>
      </c>
      <c r="C7687" t="s">
        <v>526</v>
      </c>
      <c r="D7687" t="s">
        <v>26</v>
      </c>
      <c r="E7687" s="208" t="s">
        <v>568</v>
      </c>
      <c r="F7687" t="s">
        <v>164</v>
      </c>
      <c r="G7687" s="18">
        <v>0</v>
      </c>
      <c r="H7687" t="s">
        <v>160</v>
      </c>
      <c r="I7687" t="s">
        <v>17</v>
      </c>
    </row>
    <row r="7688" spans="1:9" x14ac:dyDescent="0.25">
      <c r="A7688">
        <v>1820</v>
      </c>
      <c r="B7688">
        <f>A7688+1</f>
        <v>1821</v>
      </c>
      <c r="C7688" t="s">
        <v>526</v>
      </c>
      <c r="D7688" t="s">
        <v>26</v>
      </c>
      <c r="E7688" s="208" t="s">
        <v>568</v>
      </c>
      <c r="F7688" t="s">
        <v>13</v>
      </c>
      <c r="G7688" s="18">
        <v>0</v>
      </c>
      <c r="H7688" t="s">
        <v>25</v>
      </c>
      <c r="I7688" t="s">
        <v>17</v>
      </c>
    </row>
    <row r="7689" spans="1:9" x14ac:dyDescent="0.25">
      <c r="A7689">
        <v>1820</v>
      </c>
      <c r="B7689">
        <f>A7689+1</f>
        <v>1821</v>
      </c>
      <c r="C7689" t="s">
        <v>526</v>
      </c>
      <c r="D7689" t="s">
        <v>26</v>
      </c>
      <c r="E7689" s="208" t="s">
        <v>568</v>
      </c>
      <c r="F7689" t="s">
        <v>14</v>
      </c>
      <c r="G7689" s="18">
        <v>200</v>
      </c>
      <c r="H7689" s="151" t="s">
        <v>563</v>
      </c>
      <c r="I7689" t="s">
        <v>17</v>
      </c>
    </row>
    <row r="7690" spans="1:9" x14ac:dyDescent="0.25">
      <c r="A7690">
        <v>1820</v>
      </c>
      <c r="B7690">
        <f>A7690+1</f>
        <v>1821</v>
      </c>
      <c r="C7690" t="s">
        <v>526</v>
      </c>
      <c r="D7690" t="s">
        <v>26</v>
      </c>
      <c r="E7690" s="208" t="s">
        <v>568</v>
      </c>
      <c r="F7690" t="s">
        <v>15</v>
      </c>
      <c r="G7690" s="18">
        <v>380</v>
      </c>
      <c r="H7690" s="151" t="s">
        <v>563</v>
      </c>
      <c r="I7690" t="s">
        <v>561</v>
      </c>
    </row>
    <row r="7691" spans="1:9" x14ac:dyDescent="0.25">
      <c r="A7691">
        <v>1820</v>
      </c>
      <c r="B7691">
        <f>A7691+1</f>
        <v>1821</v>
      </c>
      <c r="C7691" t="s">
        <v>526</v>
      </c>
      <c r="D7691" t="s">
        <v>26</v>
      </c>
      <c r="E7691" s="208" t="s">
        <v>566</v>
      </c>
      <c r="F7691" t="s">
        <v>3</v>
      </c>
      <c r="G7691" s="18">
        <v>350</v>
      </c>
      <c r="H7691" t="s">
        <v>24</v>
      </c>
      <c r="I7691" t="s">
        <v>16</v>
      </c>
    </row>
    <row r="7692" spans="1:9" x14ac:dyDescent="0.25">
      <c r="A7692">
        <v>1820</v>
      </c>
      <c r="B7692">
        <f>A7692+1</f>
        <v>1821</v>
      </c>
      <c r="C7692" t="s">
        <v>526</v>
      </c>
      <c r="D7692" t="s">
        <v>26</v>
      </c>
      <c r="E7692" s="208" t="s">
        <v>566</v>
      </c>
      <c r="F7692" t="s">
        <v>169</v>
      </c>
      <c r="G7692" s="18">
        <v>0</v>
      </c>
      <c r="H7692" t="s">
        <v>160</v>
      </c>
      <c r="I7692" t="s">
        <v>16</v>
      </c>
    </row>
    <row r="7693" spans="1:9" x14ac:dyDescent="0.25">
      <c r="A7693">
        <v>1820</v>
      </c>
      <c r="B7693">
        <f>A7693+1</f>
        <v>1821</v>
      </c>
      <c r="C7693" t="s">
        <v>526</v>
      </c>
      <c r="D7693" t="s">
        <v>26</v>
      </c>
      <c r="E7693" s="208" t="s">
        <v>566</v>
      </c>
      <c r="F7693" t="s">
        <v>6</v>
      </c>
      <c r="G7693" s="18">
        <v>0</v>
      </c>
      <c r="H7693" t="s">
        <v>25</v>
      </c>
      <c r="I7693" t="s">
        <v>16</v>
      </c>
    </row>
    <row r="7694" spans="1:9" x14ac:dyDescent="0.25">
      <c r="A7694">
        <v>1820</v>
      </c>
      <c r="B7694">
        <f>A7694+1</f>
        <v>1821</v>
      </c>
      <c r="C7694" t="s">
        <v>526</v>
      </c>
      <c r="D7694" t="s">
        <v>26</v>
      </c>
      <c r="E7694" s="208" t="s">
        <v>566</v>
      </c>
      <c r="F7694" t="s">
        <v>7</v>
      </c>
      <c r="G7694" s="18">
        <v>350</v>
      </c>
      <c r="H7694" s="151" t="s">
        <v>563</v>
      </c>
      <c r="I7694" t="s">
        <v>16</v>
      </c>
    </row>
    <row r="7695" spans="1:9" x14ac:dyDescent="0.25">
      <c r="A7695">
        <v>1820</v>
      </c>
      <c r="B7695">
        <f>A7695+1</f>
        <v>1821</v>
      </c>
      <c r="C7695" t="s">
        <v>526</v>
      </c>
      <c r="D7695" t="s">
        <v>26</v>
      </c>
      <c r="E7695" s="208" t="s">
        <v>566</v>
      </c>
      <c r="F7695" t="s">
        <v>10</v>
      </c>
      <c r="G7695" s="18">
        <v>165</v>
      </c>
      <c r="H7695" t="s">
        <v>24</v>
      </c>
      <c r="I7695" t="s">
        <v>17</v>
      </c>
    </row>
    <row r="7696" spans="1:9" x14ac:dyDescent="0.25">
      <c r="A7696">
        <v>1820</v>
      </c>
      <c r="B7696">
        <f>A7696+1</f>
        <v>1821</v>
      </c>
      <c r="C7696" t="s">
        <v>526</v>
      </c>
      <c r="D7696" t="s">
        <v>26</v>
      </c>
      <c r="E7696" s="208" t="s">
        <v>566</v>
      </c>
      <c r="F7696" t="s">
        <v>164</v>
      </c>
      <c r="G7696" s="18">
        <v>0</v>
      </c>
      <c r="H7696" t="s">
        <v>160</v>
      </c>
      <c r="I7696" t="s">
        <v>17</v>
      </c>
    </row>
    <row r="7697" spans="1:9" x14ac:dyDescent="0.25">
      <c r="A7697">
        <v>1820</v>
      </c>
      <c r="B7697">
        <f>A7697+1</f>
        <v>1821</v>
      </c>
      <c r="C7697" t="s">
        <v>526</v>
      </c>
      <c r="D7697" t="s">
        <v>26</v>
      </c>
      <c r="E7697" s="208" t="s">
        <v>566</v>
      </c>
      <c r="F7697" t="s">
        <v>13</v>
      </c>
      <c r="G7697" s="18">
        <v>0</v>
      </c>
      <c r="H7697" t="s">
        <v>25</v>
      </c>
      <c r="I7697" t="s">
        <v>17</v>
      </c>
    </row>
    <row r="7698" spans="1:9" x14ac:dyDescent="0.25">
      <c r="A7698">
        <v>1820</v>
      </c>
      <c r="B7698">
        <f>A7698+1</f>
        <v>1821</v>
      </c>
      <c r="C7698" t="s">
        <v>526</v>
      </c>
      <c r="D7698" t="s">
        <v>26</v>
      </c>
      <c r="E7698" s="208" t="s">
        <v>566</v>
      </c>
      <c r="F7698" t="s">
        <v>14</v>
      </c>
      <c r="G7698" s="18">
        <v>165</v>
      </c>
      <c r="H7698" s="151" t="s">
        <v>563</v>
      </c>
      <c r="I7698" t="s">
        <v>17</v>
      </c>
    </row>
    <row r="7699" spans="1:9" x14ac:dyDescent="0.25">
      <c r="A7699">
        <v>1820</v>
      </c>
      <c r="B7699">
        <f>A7699+1</f>
        <v>1821</v>
      </c>
      <c r="C7699" t="s">
        <v>526</v>
      </c>
      <c r="D7699" t="s">
        <v>26</v>
      </c>
      <c r="E7699" s="208" t="s">
        <v>566</v>
      </c>
      <c r="F7699" t="s">
        <v>15</v>
      </c>
      <c r="G7699" s="18">
        <v>515</v>
      </c>
      <c r="H7699" s="151" t="s">
        <v>563</v>
      </c>
      <c r="I7699" t="s">
        <v>561</v>
      </c>
    </row>
    <row r="7700" spans="1:9" x14ac:dyDescent="0.25">
      <c r="A7700">
        <v>1821</v>
      </c>
      <c r="B7700">
        <f>A7700+1</f>
        <v>1822</v>
      </c>
      <c r="C7700" t="s">
        <v>527</v>
      </c>
      <c r="D7700" t="s">
        <v>26</v>
      </c>
      <c r="E7700" s="208" t="s">
        <v>572</v>
      </c>
      <c r="F7700" t="s">
        <v>3</v>
      </c>
      <c r="G7700" s="18">
        <v>3325</v>
      </c>
      <c r="H7700" t="s">
        <v>24</v>
      </c>
      <c r="I7700" t="s">
        <v>16</v>
      </c>
    </row>
    <row r="7701" spans="1:9" x14ac:dyDescent="0.25">
      <c r="A7701">
        <v>1821</v>
      </c>
      <c r="B7701">
        <f>A7701+1</f>
        <v>1822</v>
      </c>
      <c r="C7701" t="s">
        <v>527</v>
      </c>
      <c r="D7701" t="s">
        <v>26</v>
      </c>
      <c r="E7701" s="208" t="s">
        <v>572</v>
      </c>
      <c r="F7701" t="s">
        <v>169</v>
      </c>
      <c r="G7701" s="18">
        <v>0</v>
      </c>
      <c r="H7701" t="s">
        <v>160</v>
      </c>
      <c r="I7701" t="s">
        <v>16</v>
      </c>
    </row>
    <row r="7702" spans="1:9" x14ac:dyDescent="0.25">
      <c r="A7702">
        <v>1821</v>
      </c>
      <c r="B7702">
        <f>A7702+1</f>
        <v>1822</v>
      </c>
      <c r="C7702" t="s">
        <v>527</v>
      </c>
      <c r="D7702" t="s">
        <v>26</v>
      </c>
      <c r="E7702" s="208" t="s">
        <v>572</v>
      </c>
      <c r="F7702" t="s">
        <v>6</v>
      </c>
      <c r="G7702" s="18">
        <v>0</v>
      </c>
      <c r="H7702" t="s">
        <v>25</v>
      </c>
      <c r="I7702" t="s">
        <v>16</v>
      </c>
    </row>
    <row r="7703" spans="1:9" x14ac:dyDescent="0.25">
      <c r="A7703">
        <v>1821</v>
      </c>
      <c r="B7703">
        <f>A7703+1</f>
        <v>1822</v>
      </c>
      <c r="C7703" t="s">
        <v>527</v>
      </c>
      <c r="D7703" t="s">
        <v>26</v>
      </c>
      <c r="E7703" s="208" t="s">
        <v>572</v>
      </c>
      <c r="F7703" t="s">
        <v>4</v>
      </c>
      <c r="G7703" s="18">
        <v>0</v>
      </c>
      <c r="H7703" t="s">
        <v>23</v>
      </c>
      <c r="I7703" t="s">
        <v>16</v>
      </c>
    </row>
    <row r="7704" spans="1:9" x14ac:dyDescent="0.25">
      <c r="A7704">
        <v>1821</v>
      </c>
      <c r="B7704">
        <f>A7704+1</f>
        <v>1822</v>
      </c>
      <c r="C7704" t="s">
        <v>527</v>
      </c>
      <c r="D7704" t="s">
        <v>26</v>
      </c>
      <c r="E7704" s="208" t="s">
        <v>572</v>
      </c>
      <c r="F7704" t="s">
        <v>7</v>
      </c>
      <c r="G7704" s="18">
        <v>3325</v>
      </c>
      <c r="H7704" s="151" t="s">
        <v>563</v>
      </c>
      <c r="I7704" t="s">
        <v>16</v>
      </c>
    </row>
    <row r="7705" spans="1:9" x14ac:dyDescent="0.25">
      <c r="A7705">
        <v>1821</v>
      </c>
      <c r="B7705">
        <f>A7705+1</f>
        <v>1822</v>
      </c>
      <c r="C7705" t="s">
        <v>527</v>
      </c>
      <c r="D7705" t="s">
        <v>26</v>
      </c>
      <c r="E7705" s="208" t="s">
        <v>572</v>
      </c>
      <c r="F7705" t="s">
        <v>10</v>
      </c>
      <c r="G7705" s="18">
        <v>1791</v>
      </c>
      <c r="H7705" t="s">
        <v>24</v>
      </c>
      <c r="I7705" t="s">
        <v>17</v>
      </c>
    </row>
    <row r="7706" spans="1:9" x14ac:dyDescent="0.25">
      <c r="A7706">
        <v>1821</v>
      </c>
      <c r="B7706">
        <f>A7706+1</f>
        <v>1822</v>
      </c>
      <c r="C7706" t="s">
        <v>527</v>
      </c>
      <c r="D7706" t="s">
        <v>26</v>
      </c>
      <c r="E7706" s="208" t="s">
        <v>572</v>
      </c>
      <c r="F7706" t="s">
        <v>164</v>
      </c>
      <c r="G7706" s="18">
        <v>0</v>
      </c>
      <c r="H7706" t="s">
        <v>160</v>
      </c>
      <c r="I7706" t="s">
        <v>17</v>
      </c>
    </row>
    <row r="7707" spans="1:9" x14ac:dyDescent="0.25">
      <c r="A7707">
        <v>1821</v>
      </c>
      <c r="B7707">
        <f>A7707+1</f>
        <v>1822</v>
      </c>
      <c r="C7707" t="s">
        <v>527</v>
      </c>
      <c r="D7707" t="s">
        <v>26</v>
      </c>
      <c r="E7707" s="208" t="s">
        <v>572</v>
      </c>
      <c r="F7707" t="s">
        <v>13</v>
      </c>
      <c r="G7707" s="18">
        <v>0</v>
      </c>
      <c r="H7707" t="s">
        <v>25</v>
      </c>
      <c r="I7707" t="s">
        <v>17</v>
      </c>
    </row>
    <row r="7708" spans="1:9" x14ac:dyDescent="0.25">
      <c r="A7708">
        <v>1821</v>
      </c>
      <c r="B7708">
        <f>A7708+1</f>
        <v>1822</v>
      </c>
      <c r="C7708" t="s">
        <v>527</v>
      </c>
      <c r="D7708" t="s">
        <v>26</v>
      </c>
      <c r="E7708" s="208" t="s">
        <v>572</v>
      </c>
      <c r="F7708" t="s">
        <v>11</v>
      </c>
      <c r="G7708" s="18">
        <v>0</v>
      </c>
      <c r="H7708" t="s">
        <v>23</v>
      </c>
      <c r="I7708" t="s">
        <v>17</v>
      </c>
    </row>
    <row r="7709" spans="1:9" x14ac:dyDescent="0.25">
      <c r="A7709">
        <v>1821</v>
      </c>
      <c r="B7709">
        <f>A7709+1</f>
        <v>1822</v>
      </c>
      <c r="C7709" t="s">
        <v>527</v>
      </c>
      <c r="D7709" t="s">
        <v>26</v>
      </c>
      <c r="E7709" s="208" t="s">
        <v>572</v>
      </c>
      <c r="F7709" t="s">
        <v>14</v>
      </c>
      <c r="G7709" s="18">
        <v>1791</v>
      </c>
      <c r="H7709" s="151" t="s">
        <v>563</v>
      </c>
      <c r="I7709" t="s">
        <v>17</v>
      </c>
    </row>
    <row r="7710" spans="1:9" x14ac:dyDescent="0.25">
      <c r="A7710">
        <v>1821</v>
      </c>
      <c r="B7710">
        <f>A7710+1</f>
        <v>1822</v>
      </c>
      <c r="C7710" t="s">
        <v>527</v>
      </c>
      <c r="D7710" t="s">
        <v>26</v>
      </c>
      <c r="E7710" s="208" t="s">
        <v>572</v>
      </c>
      <c r="F7710" t="s">
        <v>15</v>
      </c>
      <c r="G7710" s="18">
        <v>5116</v>
      </c>
      <c r="H7710" s="151" t="s">
        <v>563</v>
      </c>
      <c r="I7710" t="s">
        <v>561</v>
      </c>
    </row>
    <row r="7711" spans="1:9" x14ac:dyDescent="0.25">
      <c r="A7711">
        <v>1821</v>
      </c>
      <c r="B7711">
        <f>A7711+1</f>
        <v>1822</v>
      </c>
      <c r="C7711" t="s">
        <v>527</v>
      </c>
      <c r="D7711" t="s">
        <v>26</v>
      </c>
      <c r="E7711" s="208" t="s">
        <v>571</v>
      </c>
      <c r="F7711" t="s">
        <v>3</v>
      </c>
      <c r="G7711" s="18">
        <v>4308</v>
      </c>
      <c r="H7711" t="s">
        <v>24</v>
      </c>
      <c r="I7711" t="s">
        <v>16</v>
      </c>
    </row>
    <row r="7712" spans="1:9" x14ac:dyDescent="0.25">
      <c r="A7712">
        <v>1821</v>
      </c>
      <c r="B7712">
        <f>A7712+1</f>
        <v>1822</v>
      </c>
      <c r="C7712" t="s">
        <v>527</v>
      </c>
      <c r="D7712" t="s">
        <v>26</v>
      </c>
      <c r="E7712" s="208" t="s">
        <v>571</v>
      </c>
      <c r="F7712" t="s">
        <v>169</v>
      </c>
      <c r="G7712" s="18">
        <v>0</v>
      </c>
      <c r="H7712" t="s">
        <v>160</v>
      </c>
      <c r="I7712" t="s">
        <v>16</v>
      </c>
    </row>
    <row r="7713" spans="1:9" x14ac:dyDescent="0.25">
      <c r="A7713">
        <v>1821</v>
      </c>
      <c r="B7713">
        <f>A7713+1</f>
        <v>1822</v>
      </c>
      <c r="C7713" t="s">
        <v>527</v>
      </c>
      <c r="D7713" t="s">
        <v>26</v>
      </c>
      <c r="E7713" s="208" t="s">
        <v>571</v>
      </c>
      <c r="F7713" t="s">
        <v>6</v>
      </c>
      <c r="G7713" s="18">
        <v>0</v>
      </c>
      <c r="H7713" t="s">
        <v>25</v>
      </c>
      <c r="I7713" t="s">
        <v>16</v>
      </c>
    </row>
    <row r="7714" spans="1:9" x14ac:dyDescent="0.25">
      <c r="A7714">
        <v>1821</v>
      </c>
      <c r="B7714">
        <f>A7714+1</f>
        <v>1822</v>
      </c>
      <c r="C7714" t="s">
        <v>527</v>
      </c>
      <c r="D7714" t="s">
        <v>26</v>
      </c>
      <c r="E7714" s="208" t="s">
        <v>571</v>
      </c>
      <c r="F7714" t="s">
        <v>4</v>
      </c>
      <c r="G7714" s="18">
        <v>0</v>
      </c>
      <c r="H7714" t="s">
        <v>23</v>
      </c>
      <c r="I7714" t="s">
        <v>16</v>
      </c>
    </row>
    <row r="7715" spans="1:9" x14ac:dyDescent="0.25">
      <c r="A7715">
        <v>1821</v>
      </c>
      <c r="B7715">
        <f>A7715+1</f>
        <v>1822</v>
      </c>
      <c r="C7715" t="s">
        <v>527</v>
      </c>
      <c r="D7715" t="s">
        <v>26</v>
      </c>
      <c r="E7715" s="208" t="s">
        <v>571</v>
      </c>
      <c r="F7715" t="s">
        <v>7</v>
      </c>
      <c r="G7715" s="18">
        <v>4308</v>
      </c>
      <c r="H7715" s="151" t="s">
        <v>563</v>
      </c>
      <c r="I7715" t="s">
        <v>16</v>
      </c>
    </row>
    <row r="7716" spans="1:9" x14ac:dyDescent="0.25">
      <c r="A7716">
        <v>1821</v>
      </c>
      <c r="B7716">
        <f>A7716+1</f>
        <v>1822</v>
      </c>
      <c r="C7716" t="s">
        <v>527</v>
      </c>
      <c r="D7716" t="s">
        <v>26</v>
      </c>
      <c r="E7716" s="208" t="s">
        <v>571</v>
      </c>
      <c r="F7716" t="s">
        <v>10</v>
      </c>
      <c r="G7716" s="18">
        <v>959</v>
      </c>
      <c r="H7716" t="s">
        <v>24</v>
      </c>
      <c r="I7716" t="s">
        <v>17</v>
      </c>
    </row>
    <row r="7717" spans="1:9" x14ac:dyDescent="0.25">
      <c r="A7717">
        <v>1821</v>
      </c>
      <c r="B7717">
        <f>A7717+1</f>
        <v>1822</v>
      </c>
      <c r="C7717" t="s">
        <v>527</v>
      </c>
      <c r="D7717" t="s">
        <v>26</v>
      </c>
      <c r="E7717" s="208" t="s">
        <v>571</v>
      </c>
      <c r="F7717" t="s">
        <v>164</v>
      </c>
      <c r="G7717" s="18">
        <v>0</v>
      </c>
      <c r="H7717" t="s">
        <v>160</v>
      </c>
      <c r="I7717" t="s">
        <v>17</v>
      </c>
    </row>
    <row r="7718" spans="1:9" x14ac:dyDescent="0.25">
      <c r="A7718">
        <v>1821</v>
      </c>
      <c r="B7718">
        <f>A7718+1</f>
        <v>1822</v>
      </c>
      <c r="C7718" t="s">
        <v>527</v>
      </c>
      <c r="D7718" t="s">
        <v>26</v>
      </c>
      <c r="E7718" s="208" t="s">
        <v>571</v>
      </c>
      <c r="F7718" t="s">
        <v>13</v>
      </c>
      <c r="G7718" s="18">
        <v>0</v>
      </c>
      <c r="H7718" t="s">
        <v>25</v>
      </c>
      <c r="I7718" t="s">
        <v>17</v>
      </c>
    </row>
    <row r="7719" spans="1:9" x14ac:dyDescent="0.25">
      <c r="A7719">
        <v>1821</v>
      </c>
      <c r="B7719">
        <f>A7719+1</f>
        <v>1822</v>
      </c>
      <c r="C7719" t="s">
        <v>527</v>
      </c>
      <c r="D7719" t="s">
        <v>26</v>
      </c>
      <c r="E7719" s="208" t="s">
        <v>571</v>
      </c>
      <c r="F7719" t="s">
        <v>11</v>
      </c>
      <c r="G7719" s="18">
        <v>0</v>
      </c>
      <c r="H7719" t="s">
        <v>23</v>
      </c>
      <c r="I7719" t="s">
        <v>17</v>
      </c>
    </row>
    <row r="7720" spans="1:9" x14ac:dyDescent="0.25">
      <c r="A7720">
        <v>1821</v>
      </c>
      <c r="B7720">
        <f>A7720+1</f>
        <v>1822</v>
      </c>
      <c r="C7720" t="s">
        <v>527</v>
      </c>
      <c r="D7720" t="s">
        <v>26</v>
      </c>
      <c r="E7720" s="208" t="s">
        <v>571</v>
      </c>
      <c r="F7720" t="s">
        <v>14</v>
      </c>
      <c r="G7720" s="18">
        <v>959</v>
      </c>
      <c r="H7720" s="151" t="s">
        <v>563</v>
      </c>
      <c r="I7720" t="s">
        <v>17</v>
      </c>
    </row>
    <row r="7721" spans="1:9" x14ac:dyDescent="0.25">
      <c r="A7721">
        <v>1821</v>
      </c>
      <c r="B7721">
        <f>A7721+1</f>
        <v>1822</v>
      </c>
      <c r="C7721" t="s">
        <v>527</v>
      </c>
      <c r="D7721" t="s">
        <v>26</v>
      </c>
      <c r="E7721" s="208" t="s">
        <v>571</v>
      </c>
      <c r="F7721" t="s">
        <v>15</v>
      </c>
      <c r="G7721" s="18">
        <v>5267</v>
      </c>
      <c r="H7721" s="151" t="s">
        <v>563</v>
      </c>
      <c r="I7721" t="s">
        <v>561</v>
      </c>
    </row>
    <row r="7722" spans="1:9" x14ac:dyDescent="0.25">
      <c r="A7722">
        <v>1821</v>
      </c>
      <c r="B7722">
        <f>A7722+1</f>
        <v>1822</v>
      </c>
      <c r="C7722" t="s">
        <v>527</v>
      </c>
      <c r="D7722" t="s">
        <v>26</v>
      </c>
      <c r="E7722" s="208" t="s">
        <v>570</v>
      </c>
      <c r="F7722" t="s">
        <v>3</v>
      </c>
      <c r="G7722" s="18">
        <v>2390</v>
      </c>
      <c r="H7722" t="s">
        <v>24</v>
      </c>
      <c r="I7722" t="s">
        <v>16</v>
      </c>
    </row>
    <row r="7723" spans="1:9" x14ac:dyDescent="0.25">
      <c r="A7723">
        <v>1821</v>
      </c>
      <c r="B7723">
        <f>A7723+1</f>
        <v>1822</v>
      </c>
      <c r="C7723" t="s">
        <v>527</v>
      </c>
      <c r="D7723" t="s">
        <v>26</v>
      </c>
      <c r="E7723" s="208" t="s">
        <v>570</v>
      </c>
      <c r="F7723" t="s">
        <v>169</v>
      </c>
      <c r="G7723" s="18">
        <v>0</v>
      </c>
      <c r="H7723" t="s">
        <v>160</v>
      </c>
      <c r="I7723" t="s">
        <v>16</v>
      </c>
    </row>
    <row r="7724" spans="1:9" x14ac:dyDescent="0.25">
      <c r="A7724">
        <v>1821</v>
      </c>
      <c r="B7724">
        <f>A7724+1</f>
        <v>1822</v>
      </c>
      <c r="C7724" t="s">
        <v>527</v>
      </c>
      <c r="D7724" t="s">
        <v>26</v>
      </c>
      <c r="E7724" s="208" t="s">
        <v>570</v>
      </c>
      <c r="F7724" t="s">
        <v>6</v>
      </c>
      <c r="G7724" s="18">
        <v>0</v>
      </c>
      <c r="H7724" t="s">
        <v>25</v>
      </c>
      <c r="I7724" t="s">
        <v>16</v>
      </c>
    </row>
    <row r="7725" spans="1:9" x14ac:dyDescent="0.25">
      <c r="A7725">
        <v>1821</v>
      </c>
      <c r="B7725">
        <f>A7725+1</f>
        <v>1822</v>
      </c>
      <c r="C7725" t="s">
        <v>527</v>
      </c>
      <c r="D7725" t="s">
        <v>26</v>
      </c>
      <c r="E7725" s="208" t="s">
        <v>570</v>
      </c>
      <c r="F7725" t="s">
        <v>4</v>
      </c>
      <c r="G7725" s="18">
        <v>0</v>
      </c>
      <c r="H7725" t="s">
        <v>23</v>
      </c>
      <c r="I7725" t="s">
        <v>16</v>
      </c>
    </row>
    <row r="7726" spans="1:9" x14ac:dyDescent="0.25">
      <c r="A7726">
        <v>1821</v>
      </c>
      <c r="B7726">
        <f>A7726+1</f>
        <v>1822</v>
      </c>
      <c r="C7726" t="s">
        <v>527</v>
      </c>
      <c r="D7726" t="s">
        <v>26</v>
      </c>
      <c r="E7726" s="208" t="s">
        <v>570</v>
      </c>
      <c r="F7726" t="s">
        <v>7</v>
      </c>
      <c r="G7726" s="18">
        <v>2390</v>
      </c>
      <c r="H7726" s="151" t="s">
        <v>563</v>
      </c>
      <c r="I7726" t="s">
        <v>16</v>
      </c>
    </row>
    <row r="7727" spans="1:9" x14ac:dyDescent="0.25">
      <c r="A7727">
        <v>1821</v>
      </c>
      <c r="B7727">
        <f>A7727+1</f>
        <v>1822</v>
      </c>
      <c r="C7727" t="s">
        <v>527</v>
      </c>
      <c r="D7727" t="s">
        <v>26</v>
      </c>
      <c r="E7727" s="208" t="s">
        <v>570</v>
      </c>
      <c r="F7727" t="s">
        <v>10</v>
      </c>
      <c r="G7727" s="18">
        <v>763</v>
      </c>
      <c r="H7727" t="s">
        <v>24</v>
      </c>
      <c r="I7727" t="s">
        <v>17</v>
      </c>
    </row>
    <row r="7728" spans="1:9" x14ac:dyDescent="0.25">
      <c r="A7728">
        <v>1821</v>
      </c>
      <c r="B7728">
        <f>A7728+1</f>
        <v>1822</v>
      </c>
      <c r="C7728" t="s">
        <v>527</v>
      </c>
      <c r="D7728" t="s">
        <v>26</v>
      </c>
      <c r="E7728" s="208" t="s">
        <v>570</v>
      </c>
      <c r="F7728" t="s">
        <v>164</v>
      </c>
      <c r="G7728" s="18">
        <v>0</v>
      </c>
      <c r="H7728" t="s">
        <v>160</v>
      </c>
      <c r="I7728" t="s">
        <v>17</v>
      </c>
    </row>
    <row r="7729" spans="1:9" x14ac:dyDescent="0.25">
      <c r="A7729">
        <v>1821</v>
      </c>
      <c r="B7729">
        <f>A7729+1</f>
        <v>1822</v>
      </c>
      <c r="C7729" t="s">
        <v>527</v>
      </c>
      <c r="D7729" t="s">
        <v>26</v>
      </c>
      <c r="E7729" s="208" t="s">
        <v>570</v>
      </c>
      <c r="F7729" t="s">
        <v>13</v>
      </c>
      <c r="G7729" s="18">
        <v>0</v>
      </c>
      <c r="H7729" t="s">
        <v>25</v>
      </c>
      <c r="I7729" t="s">
        <v>17</v>
      </c>
    </row>
    <row r="7730" spans="1:9" x14ac:dyDescent="0.25">
      <c r="A7730">
        <v>1821</v>
      </c>
      <c r="B7730">
        <f>A7730+1</f>
        <v>1822</v>
      </c>
      <c r="C7730" t="s">
        <v>527</v>
      </c>
      <c r="D7730" t="s">
        <v>26</v>
      </c>
      <c r="E7730" s="208" t="s">
        <v>570</v>
      </c>
      <c r="F7730" t="s">
        <v>11</v>
      </c>
      <c r="G7730" s="18">
        <v>0</v>
      </c>
      <c r="H7730" t="s">
        <v>23</v>
      </c>
      <c r="I7730" t="s">
        <v>17</v>
      </c>
    </row>
    <row r="7731" spans="1:9" x14ac:dyDescent="0.25">
      <c r="A7731">
        <v>1821</v>
      </c>
      <c r="B7731">
        <f>A7731+1</f>
        <v>1822</v>
      </c>
      <c r="C7731" t="s">
        <v>527</v>
      </c>
      <c r="D7731" t="s">
        <v>26</v>
      </c>
      <c r="E7731" s="208" t="s">
        <v>570</v>
      </c>
      <c r="F7731" t="s">
        <v>14</v>
      </c>
      <c r="G7731" s="18">
        <v>763</v>
      </c>
      <c r="H7731" s="151" t="s">
        <v>563</v>
      </c>
      <c r="I7731" t="s">
        <v>17</v>
      </c>
    </row>
    <row r="7732" spans="1:9" x14ac:dyDescent="0.25">
      <c r="A7732">
        <v>1821</v>
      </c>
      <c r="B7732">
        <f>A7732+1</f>
        <v>1822</v>
      </c>
      <c r="C7732" t="s">
        <v>527</v>
      </c>
      <c r="D7732" t="s">
        <v>26</v>
      </c>
      <c r="E7732" s="208" t="s">
        <v>570</v>
      </c>
      <c r="F7732" t="s">
        <v>15</v>
      </c>
      <c r="G7732" s="18">
        <v>3153</v>
      </c>
      <c r="H7732" s="151" t="s">
        <v>563</v>
      </c>
      <c r="I7732" t="s">
        <v>561</v>
      </c>
    </row>
    <row r="7733" spans="1:9" x14ac:dyDescent="0.25">
      <c r="A7733">
        <v>1821</v>
      </c>
      <c r="B7733">
        <f>A7733+1</f>
        <v>1822</v>
      </c>
      <c r="C7733" t="s">
        <v>527</v>
      </c>
      <c r="D7733" t="s">
        <v>27</v>
      </c>
      <c r="E7733" s="208" t="s">
        <v>155</v>
      </c>
      <c r="F7733" t="s">
        <v>3</v>
      </c>
      <c r="G7733" s="18">
        <v>180</v>
      </c>
      <c r="H7733" t="s">
        <v>16</v>
      </c>
      <c r="I7733" t="s">
        <v>24</v>
      </c>
    </row>
    <row r="7734" spans="1:9" x14ac:dyDescent="0.25">
      <c r="A7734">
        <v>1821</v>
      </c>
      <c r="B7734">
        <f>A7734+1</f>
        <v>1822</v>
      </c>
      <c r="C7734" t="s">
        <v>527</v>
      </c>
      <c r="D7734" t="s">
        <v>27</v>
      </c>
      <c r="E7734" s="208" t="s">
        <v>156</v>
      </c>
      <c r="F7734" t="s">
        <v>3</v>
      </c>
      <c r="G7734" s="18">
        <v>58</v>
      </c>
      <c r="H7734" t="s">
        <v>16</v>
      </c>
      <c r="I7734" t="s">
        <v>24</v>
      </c>
    </row>
    <row r="7735" spans="1:9" x14ac:dyDescent="0.25">
      <c r="A7735">
        <v>1821</v>
      </c>
      <c r="B7735">
        <f>A7735+1</f>
        <v>1822</v>
      </c>
      <c r="C7735" t="s">
        <v>527</v>
      </c>
      <c r="D7735" t="s">
        <v>27</v>
      </c>
      <c r="E7735" s="208" t="s">
        <v>154</v>
      </c>
      <c r="F7735" t="s">
        <v>3</v>
      </c>
      <c r="G7735" s="18">
        <v>264</v>
      </c>
      <c r="H7735" t="s">
        <v>16</v>
      </c>
      <c r="I7735" t="s">
        <v>24</v>
      </c>
    </row>
    <row r="7736" spans="1:9" x14ac:dyDescent="0.25">
      <c r="A7736">
        <v>1821</v>
      </c>
      <c r="B7736">
        <f>A7736+1</f>
        <v>1822</v>
      </c>
      <c r="C7736" t="s">
        <v>527</v>
      </c>
      <c r="D7736" t="s">
        <v>27</v>
      </c>
      <c r="E7736" s="208" t="s">
        <v>150</v>
      </c>
      <c r="F7736" t="s">
        <v>3</v>
      </c>
      <c r="G7736" s="18">
        <v>1054</v>
      </c>
      <c r="H7736" t="s">
        <v>16</v>
      </c>
      <c r="I7736" t="s">
        <v>24</v>
      </c>
    </row>
    <row r="7737" spans="1:9" x14ac:dyDescent="0.25">
      <c r="A7737">
        <v>1821</v>
      </c>
      <c r="B7737">
        <f>A7737+1</f>
        <v>1822</v>
      </c>
      <c r="C7737" t="s">
        <v>527</v>
      </c>
      <c r="D7737" t="s">
        <v>27</v>
      </c>
      <c r="E7737" s="208" t="s">
        <v>148</v>
      </c>
      <c r="F7737" t="s">
        <v>3</v>
      </c>
      <c r="G7737" s="18">
        <v>71</v>
      </c>
      <c r="H7737" t="s">
        <v>16</v>
      </c>
      <c r="I7737" t="s">
        <v>24</v>
      </c>
    </row>
    <row r="7738" spans="1:9" x14ac:dyDescent="0.25">
      <c r="A7738">
        <v>1821</v>
      </c>
      <c r="B7738">
        <f>A7738+1</f>
        <v>1822</v>
      </c>
      <c r="C7738" t="s">
        <v>527</v>
      </c>
      <c r="D7738" t="s">
        <v>27</v>
      </c>
      <c r="E7738" s="208" t="s">
        <v>147</v>
      </c>
      <c r="F7738" t="s">
        <v>3</v>
      </c>
      <c r="G7738" s="18">
        <v>2</v>
      </c>
      <c r="H7738" t="s">
        <v>16</v>
      </c>
      <c r="I7738" t="s">
        <v>24</v>
      </c>
    </row>
    <row r="7739" spans="1:9" x14ac:dyDescent="0.25">
      <c r="A7739">
        <v>1821</v>
      </c>
      <c r="B7739">
        <f>A7739+1</f>
        <v>1822</v>
      </c>
      <c r="C7739" t="s">
        <v>527</v>
      </c>
      <c r="D7739" t="s">
        <v>27</v>
      </c>
      <c r="E7739" s="208" t="s">
        <v>314</v>
      </c>
      <c r="F7739" t="s">
        <v>3</v>
      </c>
      <c r="G7739" s="18">
        <v>0</v>
      </c>
      <c r="H7739" t="s">
        <v>16</v>
      </c>
      <c r="I7739" t="s">
        <v>24</v>
      </c>
    </row>
    <row r="7740" spans="1:9" x14ac:dyDescent="0.25">
      <c r="A7740">
        <v>1821</v>
      </c>
      <c r="B7740">
        <f>A7740+1</f>
        <v>1822</v>
      </c>
      <c r="C7740" t="s">
        <v>527</v>
      </c>
      <c r="D7740" t="s">
        <v>27</v>
      </c>
      <c r="E7740" s="208" t="s">
        <v>139</v>
      </c>
      <c r="F7740" t="s">
        <v>3</v>
      </c>
      <c r="G7740" s="18">
        <v>8</v>
      </c>
      <c r="H7740" t="s">
        <v>16</v>
      </c>
      <c r="I7740" t="s">
        <v>24</v>
      </c>
    </row>
    <row r="7741" spans="1:9" x14ac:dyDescent="0.25">
      <c r="A7741">
        <v>1821</v>
      </c>
      <c r="B7741">
        <f>A7741+1</f>
        <v>1822</v>
      </c>
      <c r="C7741" t="s">
        <v>527</v>
      </c>
      <c r="D7741" t="s">
        <v>27</v>
      </c>
      <c r="E7741" s="208" t="s">
        <v>132</v>
      </c>
      <c r="F7741" t="s">
        <v>3</v>
      </c>
      <c r="G7741" s="18">
        <v>0</v>
      </c>
      <c r="H7741" t="s">
        <v>16</v>
      </c>
      <c r="I7741" t="s">
        <v>24</v>
      </c>
    </row>
    <row r="7742" spans="1:9" x14ac:dyDescent="0.25">
      <c r="A7742">
        <v>1821</v>
      </c>
      <c r="B7742">
        <f>A7742+1</f>
        <v>1822</v>
      </c>
      <c r="C7742" t="s">
        <v>527</v>
      </c>
      <c r="D7742" t="s">
        <v>27</v>
      </c>
      <c r="E7742" s="208" t="s">
        <v>130</v>
      </c>
      <c r="F7742" t="s">
        <v>3</v>
      </c>
      <c r="G7742" s="18">
        <v>0</v>
      </c>
      <c r="H7742" t="s">
        <v>16</v>
      </c>
      <c r="I7742" t="s">
        <v>24</v>
      </c>
    </row>
    <row r="7743" spans="1:9" x14ac:dyDescent="0.25">
      <c r="A7743">
        <v>1821</v>
      </c>
      <c r="B7743">
        <f>A7743+1</f>
        <v>1822</v>
      </c>
      <c r="C7743" t="s">
        <v>527</v>
      </c>
      <c r="D7743" t="s">
        <v>27</v>
      </c>
      <c r="E7743" s="208" t="s">
        <v>144</v>
      </c>
      <c r="F7743" t="s">
        <v>3</v>
      </c>
      <c r="G7743" s="18">
        <v>11</v>
      </c>
      <c r="H7743" t="s">
        <v>16</v>
      </c>
      <c r="I7743" t="s">
        <v>24</v>
      </c>
    </row>
    <row r="7744" spans="1:9" x14ac:dyDescent="0.25">
      <c r="A7744">
        <v>1821</v>
      </c>
      <c r="B7744">
        <f>A7744+1</f>
        <v>1822</v>
      </c>
      <c r="C7744" t="s">
        <v>527</v>
      </c>
      <c r="D7744" t="s">
        <v>27</v>
      </c>
      <c r="E7744" s="208" t="s">
        <v>142</v>
      </c>
      <c r="F7744" t="s">
        <v>3</v>
      </c>
      <c r="G7744" s="18">
        <v>1411</v>
      </c>
      <c r="H7744" t="s">
        <v>16</v>
      </c>
      <c r="I7744" t="s">
        <v>24</v>
      </c>
    </row>
    <row r="7745" spans="1:9" x14ac:dyDescent="0.25">
      <c r="A7745">
        <v>1821</v>
      </c>
      <c r="B7745">
        <f>A7745+1</f>
        <v>1822</v>
      </c>
      <c r="C7745" t="s">
        <v>527</v>
      </c>
      <c r="D7745" t="s">
        <v>27</v>
      </c>
      <c r="E7745" s="208" t="s">
        <v>124</v>
      </c>
      <c r="F7745" t="s">
        <v>3</v>
      </c>
      <c r="G7745" s="18">
        <v>111951</v>
      </c>
      <c r="H7745" t="s">
        <v>16</v>
      </c>
      <c r="I7745" t="s">
        <v>24</v>
      </c>
    </row>
    <row r="7746" spans="1:9" x14ac:dyDescent="0.25">
      <c r="A7746">
        <v>1821</v>
      </c>
      <c r="B7746">
        <f>A7746+1</f>
        <v>1822</v>
      </c>
      <c r="C7746" t="s">
        <v>527</v>
      </c>
      <c r="D7746" t="s">
        <v>26</v>
      </c>
      <c r="E7746" s="208" t="s">
        <v>62</v>
      </c>
      <c r="F7746" t="s">
        <v>3</v>
      </c>
      <c r="G7746" s="18">
        <v>9945</v>
      </c>
      <c r="H7746" t="s">
        <v>24</v>
      </c>
      <c r="I7746" t="s">
        <v>16</v>
      </c>
    </row>
    <row r="7747" spans="1:9" x14ac:dyDescent="0.25">
      <c r="A7747">
        <v>1821</v>
      </c>
      <c r="B7747">
        <f>A7747+1</f>
        <v>1822</v>
      </c>
      <c r="C7747" t="s">
        <v>527</v>
      </c>
      <c r="D7747" t="s">
        <v>26</v>
      </c>
      <c r="E7747" s="208" t="s">
        <v>36</v>
      </c>
      <c r="F7747" t="s">
        <v>3</v>
      </c>
      <c r="G7747" s="18">
        <v>3805</v>
      </c>
      <c r="H7747" t="s">
        <v>24</v>
      </c>
      <c r="I7747" t="s">
        <v>16</v>
      </c>
    </row>
    <row r="7748" spans="1:9" x14ac:dyDescent="0.25">
      <c r="A7748">
        <v>1821</v>
      </c>
      <c r="B7748">
        <f>A7748+1</f>
        <v>1822</v>
      </c>
      <c r="C7748" t="s">
        <v>527</v>
      </c>
      <c r="D7748" t="s">
        <v>26</v>
      </c>
      <c r="E7748" s="208" t="s">
        <v>35</v>
      </c>
      <c r="F7748" t="s">
        <v>3</v>
      </c>
      <c r="G7748" s="18">
        <v>0</v>
      </c>
      <c r="H7748" t="s">
        <v>24</v>
      </c>
      <c r="I7748" t="s">
        <v>16</v>
      </c>
    </row>
    <row r="7749" spans="1:9" x14ac:dyDescent="0.25">
      <c r="A7749">
        <v>1821</v>
      </c>
      <c r="B7749">
        <f>A7749+1</f>
        <v>1822</v>
      </c>
      <c r="C7749" t="s">
        <v>527</v>
      </c>
      <c r="D7749" t="s">
        <v>26</v>
      </c>
      <c r="E7749" s="208" t="s">
        <v>39</v>
      </c>
      <c r="F7749" t="s">
        <v>3</v>
      </c>
      <c r="G7749" s="18">
        <v>1854</v>
      </c>
      <c r="H7749" t="s">
        <v>24</v>
      </c>
      <c r="I7749" t="s">
        <v>16</v>
      </c>
    </row>
    <row r="7750" spans="1:9" x14ac:dyDescent="0.25">
      <c r="A7750">
        <v>1821</v>
      </c>
      <c r="B7750">
        <f>A7750+1</f>
        <v>1822</v>
      </c>
      <c r="C7750" t="s">
        <v>527</v>
      </c>
      <c r="D7750" t="s">
        <v>26</v>
      </c>
      <c r="E7750" s="208" t="s">
        <v>99</v>
      </c>
      <c r="F7750" t="s">
        <v>3</v>
      </c>
      <c r="G7750" s="18">
        <v>477</v>
      </c>
      <c r="H7750" t="s">
        <v>24</v>
      </c>
      <c r="I7750" t="s">
        <v>16</v>
      </c>
    </row>
    <row r="7751" spans="1:9" x14ac:dyDescent="0.25">
      <c r="A7751">
        <v>1821</v>
      </c>
      <c r="B7751">
        <f>A7751+1</f>
        <v>1822</v>
      </c>
      <c r="C7751" t="s">
        <v>527</v>
      </c>
      <c r="D7751" t="s">
        <v>26</v>
      </c>
      <c r="E7751" s="208" t="s">
        <v>95</v>
      </c>
      <c r="F7751" t="s">
        <v>3</v>
      </c>
      <c r="G7751" s="18">
        <v>2</v>
      </c>
      <c r="H7751" t="s">
        <v>24</v>
      </c>
      <c r="I7751" t="s">
        <v>16</v>
      </c>
    </row>
    <row r="7752" spans="1:9" x14ac:dyDescent="0.25">
      <c r="A7752">
        <v>1821</v>
      </c>
      <c r="B7752">
        <f>A7752+1</f>
        <v>1822</v>
      </c>
      <c r="C7752" t="s">
        <v>527</v>
      </c>
      <c r="D7752" t="s">
        <v>26</v>
      </c>
      <c r="E7752" s="208" t="s">
        <v>94</v>
      </c>
      <c r="F7752" t="s">
        <v>3</v>
      </c>
      <c r="G7752" s="18">
        <v>0</v>
      </c>
      <c r="H7752" t="s">
        <v>24</v>
      </c>
      <c r="I7752" t="s">
        <v>16</v>
      </c>
    </row>
    <row r="7753" spans="1:9" x14ac:dyDescent="0.25">
      <c r="A7753">
        <v>1821</v>
      </c>
      <c r="B7753">
        <f>A7753+1</f>
        <v>1822</v>
      </c>
      <c r="C7753" t="s">
        <v>527</v>
      </c>
      <c r="D7753" t="s">
        <v>26</v>
      </c>
      <c r="E7753" s="208" t="s">
        <v>386</v>
      </c>
      <c r="F7753" t="s">
        <v>3</v>
      </c>
      <c r="G7753" s="18">
        <v>8927</v>
      </c>
      <c r="H7753" t="s">
        <v>24</v>
      </c>
      <c r="I7753" t="s">
        <v>16</v>
      </c>
    </row>
    <row r="7754" spans="1:9" x14ac:dyDescent="0.25">
      <c r="A7754">
        <v>1821</v>
      </c>
      <c r="B7754">
        <f>A7754+1</f>
        <v>1822</v>
      </c>
      <c r="C7754" t="s">
        <v>527</v>
      </c>
      <c r="D7754" t="s">
        <v>26</v>
      </c>
      <c r="E7754" s="208" t="s">
        <v>387</v>
      </c>
      <c r="F7754" t="s">
        <v>3</v>
      </c>
      <c r="G7754" s="18">
        <v>454</v>
      </c>
      <c r="H7754" t="s">
        <v>24</v>
      </c>
      <c r="I7754" t="s">
        <v>16</v>
      </c>
    </row>
    <row r="7755" spans="1:9" x14ac:dyDescent="0.25">
      <c r="A7755">
        <v>1821</v>
      </c>
      <c r="B7755">
        <f>A7755+1</f>
        <v>1822</v>
      </c>
      <c r="C7755" t="s">
        <v>527</v>
      </c>
      <c r="D7755" t="s">
        <v>26</v>
      </c>
      <c r="E7755" s="208" t="s">
        <v>388</v>
      </c>
      <c r="F7755" t="s">
        <v>3</v>
      </c>
      <c r="G7755" s="18">
        <v>6725</v>
      </c>
      <c r="H7755" t="s">
        <v>24</v>
      </c>
      <c r="I7755" t="s">
        <v>16</v>
      </c>
    </row>
    <row r="7756" spans="1:9" x14ac:dyDescent="0.25">
      <c r="A7756">
        <v>1821</v>
      </c>
      <c r="B7756">
        <f>A7756+1</f>
        <v>1822</v>
      </c>
      <c r="C7756" t="s">
        <v>527</v>
      </c>
      <c r="D7756" t="s">
        <v>26</v>
      </c>
      <c r="E7756" s="208" t="s">
        <v>383</v>
      </c>
      <c r="F7756" t="s">
        <v>3</v>
      </c>
      <c r="G7756" s="18">
        <v>369</v>
      </c>
      <c r="H7756" t="s">
        <v>24</v>
      </c>
      <c r="I7756" t="s">
        <v>16</v>
      </c>
    </row>
    <row r="7757" spans="1:9" x14ac:dyDescent="0.25">
      <c r="A7757">
        <v>1821</v>
      </c>
      <c r="B7757">
        <f>A7757+1</f>
        <v>1822</v>
      </c>
      <c r="C7757" t="s">
        <v>527</v>
      </c>
      <c r="D7757" t="s">
        <v>26</v>
      </c>
      <c r="E7757" s="208" t="s">
        <v>384</v>
      </c>
      <c r="F7757" t="s">
        <v>3</v>
      </c>
      <c r="G7757" s="18">
        <v>24</v>
      </c>
      <c r="H7757" t="s">
        <v>24</v>
      </c>
      <c r="I7757" t="s">
        <v>16</v>
      </c>
    </row>
    <row r="7758" spans="1:9" x14ac:dyDescent="0.25">
      <c r="A7758">
        <v>1821</v>
      </c>
      <c r="B7758">
        <f>A7758+1</f>
        <v>1822</v>
      </c>
      <c r="C7758" t="s">
        <v>527</v>
      </c>
      <c r="D7758" t="s">
        <v>26</v>
      </c>
      <c r="E7758" s="208" t="s">
        <v>107</v>
      </c>
      <c r="F7758" t="s">
        <v>3</v>
      </c>
      <c r="G7758" s="18">
        <v>931918</v>
      </c>
      <c r="H7758" t="s">
        <v>24</v>
      </c>
      <c r="I7758" t="s">
        <v>16</v>
      </c>
    </row>
    <row r="7759" spans="1:9" x14ac:dyDescent="0.25">
      <c r="A7759">
        <v>1821</v>
      </c>
      <c r="B7759">
        <f>A7759+1</f>
        <v>1822</v>
      </c>
      <c r="C7759" t="s">
        <v>527</v>
      </c>
      <c r="D7759" t="s">
        <v>26</v>
      </c>
      <c r="E7759" s="208" t="s">
        <v>101</v>
      </c>
      <c r="F7759" t="s">
        <v>3</v>
      </c>
      <c r="G7759" s="18">
        <v>3793515</v>
      </c>
      <c r="H7759" t="s">
        <v>24</v>
      </c>
      <c r="I7759" t="s">
        <v>16</v>
      </c>
    </row>
    <row r="7760" spans="1:9" x14ac:dyDescent="0.25">
      <c r="A7760">
        <v>1821</v>
      </c>
      <c r="B7760">
        <f>A7760+1</f>
        <v>1822</v>
      </c>
      <c r="C7760" t="s">
        <v>527</v>
      </c>
      <c r="D7760" t="s">
        <v>26</v>
      </c>
      <c r="E7760" s="208" t="s">
        <v>75</v>
      </c>
      <c r="F7760" t="s">
        <v>3</v>
      </c>
      <c r="G7760" s="18">
        <v>2874191</v>
      </c>
      <c r="H7760" t="s">
        <v>24</v>
      </c>
      <c r="I7760" t="s">
        <v>16</v>
      </c>
    </row>
    <row r="7761" spans="1:9" x14ac:dyDescent="0.25">
      <c r="A7761">
        <v>1821</v>
      </c>
      <c r="B7761">
        <f>A7761+1</f>
        <v>1822</v>
      </c>
      <c r="C7761" t="s">
        <v>527</v>
      </c>
      <c r="D7761" t="s">
        <v>26</v>
      </c>
      <c r="E7761" s="208" t="s">
        <v>330</v>
      </c>
      <c r="F7761" t="s">
        <v>3</v>
      </c>
      <c r="G7761" s="18">
        <v>88</v>
      </c>
      <c r="H7761" t="s">
        <v>24</v>
      </c>
      <c r="I7761" t="s">
        <v>16</v>
      </c>
    </row>
    <row r="7762" spans="1:9" x14ac:dyDescent="0.25">
      <c r="A7762">
        <v>1821</v>
      </c>
      <c r="B7762">
        <f>A7762+1</f>
        <v>1822</v>
      </c>
      <c r="C7762" t="s">
        <v>527</v>
      </c>
      <c r="D7762" t="s">
        <v>26</v>
      </c>
      <c r="E7762" s="208" t="s">
        <v>331</v>
      </c>
      <c r="F7762" t="s">
        <v>3</v>
      </c>
      <c r="G7762" s="18">
        <v>0</v>
      </c>
      <c r="H7762" t="s">
        <v>24</v>
      </c>
      <c r="I7762" t="s">
        <v>16</v>
      </c>
    </row>
    <row r="7763" spans="1:9" x14ac:dyDescent="0.25">
      <c r="A7763">
        <v>1821</v>
      </c>
      <c r="B7763">
        <f>A7763+1</f>
        <v>1822</v>
      </c>
      <c r="C7763" t="s">
        <v>527</v>
      </c>
      <c r="D7763" t="s">
        <v>26</v>
      </c>
      <c r="E7763" s="208" t="s">
        <v>332</v>
      </c>
      <c r="F7763" t="s">
        <v>3</v>
      </c>
      <c r="G7763" s="18">
        <v>0</v>
      </c>
      <c r="H7763" t="s">
        <v>24</v>
      </c>
      <c r="I7763" t="s">
        <v>16</v>
      </c>
    </row>
    <row r="7764" spans="1:9" x14ac:dyDescent="0.25">
      <c r="A7764">
        <v>1821</v>
      </c>
      <c r="B7764">
        <f>A7764+1</f>
        <v>1822</v>
      </c>
      <c r="C7764" t="s">
        <v>527</v>
      </c>
      <c r="D7764" t="s">
        <v>26</v>
      </c>
      <c r="E7764" s="208" t="s">
        <v>333</v>
      </c>
      <c r="F7764" t="s">
        <v>3</v>
      </c>
      <c r="G7764" s="18">
        <v>0</v>
      </c>
      <c r="H7764" t="s">
        <v>24</v>
      </c>
      <c r="I7764" t="s">
        <v>16</v>
      </c>
    </row>
    <row r="7765" spans="1:9" x14ac:dyDescent="0.25">
      <c r="A7765">
        <v>1821</v>
      </c>
      <c r="B7765">
        <f>A7765+1</f>
        <v>1822</v>
      </c>
      <c r="C7765" t="s">
        <v>527</v>
      </c>
      <c r="D7765" t="s">
        <v>27</v>
      </c>
      <c r="E7765" s="208" t="s">
        <v>155</v>
      </c>
      <c r="F7765" t="s">
        <v>0</v>
      </c>
      <c r="G7765" s="18">
        <v>17540</v>
      </c>
      <c r="H7765" t="s">
        <v>16</v>
      </c>
      <c r="I7765" t="s">
        <v>18</v>
      </c>
    </row>
    <row r="7766" spans="1:9" x14ac:dyDescent="0.25">
      <c r="A7766">
        <v>1821</v>
      </c>
      <c r="B7766">
        <f>A7766+1</f>
        <v>1822</v>
      </c>
      <c r="C7766" t="s">
        <v>527</v>
      </c>
      <c r="D7766" t="s">
        <v>27</v>
      </c>
      <c r="E7766" s="208" t="s">
        <v>156</v>
      </c>
      <c r="F7766" t="s">
        <v>0</v>
      </c>
      <c r="G7766" s="18">
        <v>1231</v>
      </c>
      <c r="H7766" t="s">
        <v>16</v>
      </c>
      <c r="I7766" t="s">
        <v>18</v>
      </c>
    </row>
    <row r="7767" spans="1:9" x14ac:dyDescent="0.25">
      <c r="A7767">
        <v>1821</v>
      </c>
      <c r="B7767">
        <f>A7767+1</f>
        <v>1822</v>
      </c>
      <c r="C7767" t="s">
        <v>527</v>
      </c>
      <c r="D7767" t="s">
        <v>27</v>
      </c>
      <c r="E7767" s="208" t="s">
        <v>154</v>
      </c>
      <c r="F7767" t="s">
        <v>0</v>
      </c>
      <c r="G7767" s="18">
        <v>202</v>
      </c>
      <c r="H7767" t="s">
        <v>16</v>
      </c>
      <c r="I7767" t="s">
        <v>18</v>
      </c>
    </row>
    <row r="7768" spans="1:9" x14ac:dyDescent="0.25">
      <c r="A7768">
        <v>1821</v>
      </c>
      <c r="B7768">
        <f>A7768+1</f>
        <v>1822</v>
      </c>
      <c r="C7768" t="s">
        <v>527</v>
      </c>
      <c r="D7768" t="s">
        <v>27</v>
      </c>
      <c r="E7768" s="208" t="s">
        <v>150</v>
      </c>
      <c r="F7768" t="s">
        <v>0</v>
      </c>
      <c r="G7768" s="18">
        <v>2555</v>
      </c>
      <c r="H7768" t="s">
        <v>16</v>
      </c>
      <c r="I7768" t="s">
        <v>18</v>
      </c>
    </row>
    <row r="7769" spans="1:9" x14ac:dyDescent="0.25">
      <c r="A7769">
        <v>1821</v>
      </c>
      <c r="B7769">
        <f>A7769+1</f>
        <v>1822</v>
      </c>
      <c r="C7769" t="s">
        <v>527</v>
      </c>
      <c r="D7769" t="s">
        <v>27</v>
      </c>
      <c r="E7769" s="208" t="s">
        <v>148</v>
      </c>
      <c r="F7769" t="s">
        <v>0</v>
      </c>
      <c r="G7769" s="18">
        <v>81</v>
      </c>
      <c r="H7769" t="s">
        <v>16</v>
      </c>
      <c r="I7769" t="s">
        <v>18</v>
      </c>
    </row>
    <row r="7770" spans="1:9" x14ac:dyDescent="0.25">
      <c r="A7770">
        <v>1821</v>
      </c>
      <c r="B7770">
        <f>A7770+1</f>
        <v>1822</v>
      </c>
      <c r="C7770" t="s">
        <v>527</v>
      </c>
      <c r="D7770" t="s">
        <v>27</v>
      </c>
      <c r="E7770" s="208" t="s">
        <v>147</v>
      </c>
      <c r="F7770" t="s">
        <v>0</v>
      </c>
      <c r="G7770" s="18">
        <v>0</v>
      </c>
      <c r="H7770" t="s">
        <v>16</v>
      </c>
      <c r="I7770" t="s">
        <v>18</v>
      </c>
    </row>
    <row r="7771" spans="1:9" x14ac:dyDescent="0.25">
      <c r="A7771">
        <v>1821</v>
      </c>
      <c r="B7771">
        <f>A7771+1</f>
        <v>1822</v>
      </c>
      <c r="C7771" t="s">
        <v>527</v>
      </c>
      <c r="D7771" t="s">
        <v>27</v>
      </c>
      <c r="E7771" s="208" t="s">
        <v>314</v>
      </c>
      <c r="F7771" t="s">
        <v>0</v>
      </c>
      <c r="G7771" s="18">
        <v>0</v>
      </c>
      <c r="H7771" t="s">
        <v>16</v>
      </c>
      <c r="I7771" t="s">
        <v>18</v>
      </c>
    </row>
    <row r="7772" spans="1:9" x14ac:dyDescent="0.25">
      <c r="A7772">
        <v>1821</v>
      </c>
      <c r="B7772">
        <f>A7772+1</f>
        <v>1822</v>
      </c>
      <c r="C7772" t="s">
        <v>527</v>
      </c>
      <c r="D7772" t="s">
        <v>27</v>
      </c>
      <c r="E7772" s="208" t="s">
        <v>139</v>
      </c>
      <c r="F7772" t="s">
        <v>0</v>
      </c>
      <c r="G7772" s="18">
        <v>0</v>
      </c>
      <c r="H7772" t="s">
        <v>16</v>
      </c>
      <c r="I7772" t="s">
        <v>18</v>
      </c>
    </row>
    <row r="7773" spans="1:9" x14ac:dyDescent="0.25">
      <c r="A7773">
        <v>1821</v>
      </c>
      <c r="B7773">
        <f>A7773+1</f>
        <v>1822</v>
      </c>
      <c r="C7773" t="s">
        <v>527</v>
      </c>
      <c r="D7773" t="s">
        <v>27</v>
      </c>
      <c r="E7773" s="208" t="s">
        <v>132</v>
      </c>
      <c r="F7773" t="s">
        <v>0</v>
      </c>
      <c r="G7773" s="18">
        <v>76</v>
      </c>
      <c r="H7773" t="s">
        <v>16</v>
      </c>
      <c r="I7773" t="s">
        <v>18</v>
      </c>
    </row>
    <row r="7774" spans="1:9" x14ac:dyDescent="0.25">
      <c r="A7774">
        <v>1821</v>
      </c>
      <c r="B7774">
        <f>A7774+1</f>
        <v>1822</v>
      </c>
      <c r="C7774" t="s">
        <v>527</v>
      </c>
      <c r="D7774" t="s">
        <v>27</v>
      </c>
      <c r="E7774" s="208" t="s">
        <v>130</v>
      </c>
      <c r="F7774" t="s">
        <v>0</v>
      </c>
      <c r="G7774" s="18">
        <v>2</v>
      </c>
      <c r="H7774" t="s">
        <v>16</v>
      </c>
      <c r="I7774" t="s">
        <v>18</v>
      </c>
    </row>
    <row r="7775" spans="1:9" x14ac:dyDescent="0.25">
      <c r="A7775">
        <v>1821</v>
      </c>
      <c r="B7775">
        <f>A7775+1</f>
        <v>1822</v>
      </c>
      <c r="C7775" t="s">
        <v>527</v>
      </c>
      <c r="D7775" t="s">
        <v>27</v>
      </c>
      <c r="E7775" s="208" t="s">
        <v>144</v>
      </c>
      <c r="F7775" t="s">
        <v>0</v>
      </c>
      <c r="G7775" s="18">
        <v>273</v>
      </c>
      <c r="H7775" t="s">
        <v>16</v>
      </c>
      <c r="I7775" t="s">
        <v>18</v>
      </c>
    </row>
    <row r="7776" spans="1:9" x14ac:dyDescent="0.25">
      <c r="A7776">
        <v>1821</v>
      </c>
      <c r="B7776">
        <f>A7776+1</f>
        <v>1822</v>
      </c>
      <c r="C7776" t="s">
        <v>527</v>
      </c>
      <c r="D7776" t="s">
        <v>27</v>
      </c>
      <c r="E7776" s="208" t="s">
        <v>142</v>
      </c>
      <c r="F7776" t="s">
        <v>0</v>
      </c>
      <c r="G7776" s="18">
        <v>674</v>
      </c>
      <c r="H7776" t="s">
        <v>16</v>
      </c>
      <c r="I7776" t="s">
        <v>18</v>
      </c>
    </row>
    <row r="7777" spans="1:9" x14ac:dyDescent="0.25">
      <c r="A7777">
        <v>1821</v>
      </c>
      <c r="B7777">
        <f>A7777+1</f>
        <v>1822</v>
      </c>
      <c r="C7777" t="s">
        <v>527</v>
      </c>
      <c r="D7777" t="s">
        <v>27</v>
      </c>
      <c r="E7777" s="208" t="s">
        <v>124</v>
      </c>
      <c r="F7777" t="s">
        <v>0</v>
      </c>
      <c r="G7777" s="18">
        <v>10888875</v>
      </c>
      <c r="H7777" t="s">
        <v>16</v>
      </c>
      <c r="I7777" t="s">
        <v>18</v>
      </c>
    </row>
    <row r="7778" spans="1:9" x14ac:dyDescent="0.25">
      <c r="A7778">
        <v>1821</v>
      </c>
      <c r="B7778">
        <f>A7778+1</f>
        <v>1822</v>
      </c>
      <c r="C7778" t="s">
        <v>527</v>
      </c>
      <c r="D7778" t="s">
        <v>26</v>
      </c>
      <c r="E7778" s="208" t="s">
        <v>62</v>
      </c>
      <c r="F7778" t="s">
        <v>169</v>
      </c>
      <c r="G7778" s="18">
        <v>34148</v>
      </c>
      <c r="H7778" t="s">
        <v>160</v>
      </c>
      <c r="I7778" t="s">
        <v>16</v>
      </c>
    </row>
    <row r="7779" spans="1:9" x14ac:dyDescent="0.25">
      <c r="A7779">
        <v>1821</v>
      </c>
      <c r="B7779">
        <f>A7779+1</f>
        <v>1822</v>
      </c>
      <c r="C7779" t="s">
        <v>527</v>
      </c>
      <c r="D7779" t="s">
        <v>26</v>
      </c>
      <c r="E7779" s="208" t="s">
        <v>36</v>
      </c>
      <c r="F7779" t="s">
        <v>169</v>
      </c>
      <c r="G7779" s="18">
        <v>121</v>
      </c>
      <c r="H7779" t="s">
        <v>160</v>
      </c>
      <c r="I7779" t="s">
        <v>16</v>
      </c>
    </row>
    <row r="7780" spans="1:9" x14ac:dyDescent="0.25">
      <c r="A7780">
        <v>1821</v>
      </c>
      <c r="B7780">
        <f>A7780+1</f>
        <v>1822</v>
      </c>
      <c r="C7780" t="s">
        <v>527</v>
      </c>
      <c r="D7780" t="s">
        <v>26</v>
      </c>
      <c r="E7780" s="208" t="s">
        <v>35</v>
      </c>
      <c r="F7780" t="s">
        <v>169</v>
      </c>
      <c r="G7780" s="18">
        <v>3746</v>
      </c>
      <c r="H7780" t="s">
        <v>160</v>
      </c>
      <c r="I7780" t="s">
        <v>16</v>
      </c>
    </row>
    <row r="7781" spans="1:9" x14ac:dyDescent="0.25">
      <c r="A7781">
        <v>1821</v>
      </c>
      <c r="B7781">
        <f>A7781+1</f>
        <v>1822</v>
      </c>
      <c r="C7781" t="s">
        <v>527</v>
      </c>
      <c r="D7781" t="s">
        <v>26</v>
      </c>
      <c r="E7781" s="208" t="s">
        <v>39</v>
      </c>
      <c r="F7781" t="s">
        <v>169</v>
      </c>
      <c r="G7781" s="18">
        <v>0</v>
      </c>
      <c r="H7781" t="s">
        <v>160</v>
      </c>
      <c r="I7781" t="s">
        <v>16</v>
      </c>
    </row>
    <row r="7782" spans="1:9" x14ac:dyDescent="0.25">
      <c r="A7782">
        <v>1821</v>
      </c>
      <c r="B7782">
        <f>A7782+1</f>
        <v>1822</v>
      </c>
      <c r="C7782" t="s">
        <v>527</v>
      </c>
      <c r="D7782" t="s">
        <v>26</v>
      </c>
      <c r="E7782" s="208" t="s">
        <v>99</v>
      </c>
      <c r="F7782" t="s">
        <v>169</v>
      </c>
      <c r="G7782" s="18">
        <v>1817</v>
      </c>
      <c r="H7782" t="s">
        <v>160</v>
      </c>
      <c r="I7782" t="s">
        <v>16</v>
      </c>
    </row>
    <row r="7783" spans="1:9" x14ac:dyDescent="0.25">
      <c r="A7783">
        <v>1821</v>
      </c>
      <c r="B7783">
        <f>A7783+1</f>
        <v>1822</v>
      </c>
      <c r="C7783" t="s">
        <v>527</v>
      </c>
      <c r="D7783" t="s">
        <v>26</v>
      </c>
      <c r="E7783" s="208" t="s">
        <v>95</v>
      </c>
      <c r="F7783" t="s">
        <v>169</v>
      </c>
      <c r="G7783" s="18">
        <v>0</v>
      </c>
      <c r="H7783" t="s">
        <v>160</v>
      </c>
      <c r="I7783" t="s">
        <v>16</v>
      </c>
    </row>
    <row r="7784" spans="1:9" x14ac:dyDescent="0.25">
      <c r="A7784">
        <v>1821</v>
      </c>
      <c r="B7784">
        <f>A7784+1</f>
        <v>1822</v>
      </c>
      <c r="C7784" t="s">
        <v>527</v>
      </c>
      <c r="D7784" t="s">
        <v>26</v>
      </c>
      <c r="E7784" s="208" t="s">
        <v>94</v>
      </c>
      <c r="F7784" t="s">
        <v>169</v>
      </c>
      <c r="G7784" s="18">
        <v>5532</v>
      </c>
      <c r="H7784" t="s">
        <v>160</v>
      </c>
      <c r="I7784" t="s">
        <v>16</v>
      </c>
    </row>
    <row r="7785" spans="1:9" x14ac:dyDescent="0.25">
      <c r="A7785">
        <v>1821</v>
      </c>
      <c r="B7785">
        <f>A7785+1</f>
        <v>1822</v>
      </c>
      <c r="C7785" t="s">
        <v>527</v>
      </c>
      <c r="D7785" t="s">
        <v>26</v>
      </c>
      <c r="E7785" s="208" t="s">
        <v>386</v>
      </c>
      <c r="F7785" t="s">
        <v>169</v>
      </c>
      <c r="G7785" s="18">
        <v>0</v>
      </c>
      <c r="H7785" t="s">
        <v>160</v>
      </c>
      <c r="I7785" t="s">
        <v>16</v>
      </c>
    </row>
    <row r="7786" spans="1:9" x14ac:dyDescent="0.25">
      <c r="A7786">
        <v>1821</v>
      </c>
      <c r="B7786">
        <f>A7786+1</f>
        <v>1822</v>
      </c>
      <c r="C7786" t="s">
        <v>527</v>
      </c>
      <c r="D7786" t="s">
        <v>26</v>
      </c>
      <c r="E7786" s="208" t="s">
        <v>387</v>
      </c>
      <c r="F7786" t="s">
        <v>169</v>
      </c>
      <c r="G7786" s="18">
        <v>0</v>
      </c>
      <c r="H7786" t="s">
        <v>160</v>
      </c>
      <c r="I7786" t="s">
        <v>16</v>
      </c>
    </row>
    <row r="7787" spans="1:9" x14ac:dyDescent="0.25">
      <c r="A7787">
        <v>1821</v>
      </c>
      <c r="B7787">
        <f>A7787+1</f>
        <v>1822</v>
      </c>
      <c r="C7787" t="s">
        <v>527</v>
      </c>
      <c r="D7787" t="s">
        <v>26</v>
      </c>
      <c r="E7787" s="208" t="s">
        <v>388</v>
      </c>
      <c r="F7787" t="s">
        <v>169</v>
      </c>
      <c r="G7787" s="18">
        <v>0</v>
      </c>
      <c r="H7787" t="s">
        <v>160</v>
      </c>
      <c r="I7787" t="s">
        <v>16</v>
      </c>
    </row>
    <row r="7788" spans="1:9" x14ac:dyDescent="0.25">
      <c r="A7788">
        <v>1821</v>
      </c>
      <c r="B7788">
        <f>A7788+1</f>
        <v>1822</v>
      </c>
      <c r="C7788" t="s">
        <v>527</v>
      </c>
      <c r="D7788" t="s">
        <v>26</v>
      </c>
      <c r="E7788" s="208" t="s">
        <v>383</v>
      </c>
      <c r="F7788" t="s">
        <v>169</v>
      </c>
      <c r="G7788" s="18">
        <v>0</v>
      </c>
      <c r="H7788" t="s">
        <v>160</v>
      </c>
      <c r="I7788" t="s">
        <v>16</v>
      </c>
    </row>
    <row r="7789" spans="1:9" x14ac:dyDescent="0.25">
      <c r="A7789">
        <v>1821</v>
      </c>
      <c r="B7789">
        <f>A7789+1</f>
        <v>1822</v>
      </c>
      <c r="C7789" t="s">
        <v>527</v>
      </c>
      <c r="D7789" t="s">
        <v>26</v>
      </c>
      <c r="E7789" s="208" t="s">
        <v>384</v>
      </c>
      <c r="F7789" t="s">
        <v>169</v>
      </c>
      <c r="G7789" s="18">
        <v>0</v>
      </c>
      <c r="H7789" t="s">
        <v>160</v>
      </c>
      <c r="I7789" t="s">
        <v>16</v>
      </c>
    </row>
    <row r="7790" spans="1:9" x14ac:dyDescent="0.25">
      <c r="A7790">
        <v>1821</v>
      </c>
      <c r="B7790">
        <f>A7790+1</f>
        <v>1822</v>
      </c>
      <c r="C7790" t="s">
        <v>527</v>
      </c>
      <c r="D7790" t="s">
        <v>26</v>
      </c>
      <c r="E7790" s="208" t="s">
        <v>107</v>
      </c>
      <c r="F7790" t="s">
        <v>169</v>
      </c>
      <c r="G7790" s="18">
        <v>0</v>
      </c>
      <c r="H7790" t="s">
        <v>160</v>
      </c>
      <c r="I7790" t="s">
        <v>16</v>
      </c>
    </row>
    <row r="7791" spans="1:9" x14ac:dyDescent="0.25">
      <c r="A7791">
        <v>1821</v>
      </c>
      <c r="B7791">
        <f>A7791+1</f>
        <v>1822</v>
      </c>
      <c r="C7791" t="s">
        <v>527</v>
      </c>
      <c r="D7791" t="s">
        <v>26</v>
      </c>
      <c r="E7791" s="208" t="s">
        <v>101</v>
      </c>
      <c r="F7791" t="s">
        <v>169</v>
      </c>
      <c r="G7791" s="18">
        <v>0</v>
      </c>
      <c r="H7791" t="s">
        <v>160</v>
      </c>
      <c r="I7791" t="s">
        <v>16</v>
      </c>
    </row>
    <row r="7792" spans="1:9" x14ac:dyDescent="0.25">
      <c r="A7792">
        <v>1821</v>
      </c>
      <c r="B7792">
        <f>A7792+1</f>
        <v>1822</v>
      </c>
      <c r="C7792" t="s">
        <v>527</v>
      </c>
      <c r="D7792" t="s">
        <v>26</v>
      </c>
      <c r="E7792" s="208" t="s">
        <v>75</v>
      </c>
      <c r="F7792" t="s">
        <v>169</v>
      </c>
      <c r="G7792" s="18">
        <v>0</v>
      </c>
      <c r="H7792" t="s">
        <v>160</v>
      </c>
      <c r="I7792" t="s">
        <v>16</v>
      </c>
    </row>
    <row r="7793" spans="1:9" x14ac:dyDescent="0.25">
      <c r="A7793">
        <v>1821</v>
      </c>
      <c r="B7793">
        <f>A7793+1</f>
        <v>1822</v>
      </c>
      <c r="C7793" t="s">
        <v>527</v>
      </c>
      <c r="D7793" t="s">
        <v>26</v>
      </c>
      <c r="E7793" s="208" t="s">
        <v>330</v>
      </c>
      <c r="F7793" t="s">
        <v>169</v>
      </c>
      <c r="G7793" s="18">
        <v>0</v>
      </c>
      <c r="H7793" t="s">
        <v>160</v>
      </c>
      <c r="I7793" t="s">
        <v>16</v>
      </c>
    </row>
    <row r="7794" spans="1:9" x14ac:dyDescent="0.25">
      <c r="A7794">
        <v>1821</v>
      </c>
      <c r="B7794">
        <f>A7794+1</f>
        <v>1822</v>
      </c>
      <c r="C7794" t="s">
        <v>527</v>
      </c>
      <c r="D7794" t="s">
        <v>26</v>
      </c>
      <c r="E7794" s="208" t="s">
        <v>331</v>
      </c>
      <c r="F7794" t="s">
        <v>169</v>
      </c>
      <c r="G7794" s="18">
        <v>0</v>
      </c>
      <c r="H7794" t="s">
        <v>160</v>
      </c>
      <c r="I7794" t="s">
        <v>16</v>
      </c>
    </row>
    <row r="7795" spans="1:9" x14ac:dyDescent="0.25">
      <c r="A7795">
        <v>1821</v>
      </c>
      <c r="B7795">
        <f>A7795+1</f>
        <v>1822</v>
      </c>
      <c r="C7795" t="s">
        <v>527</v>
      </c>
      <c r="D7795" t="s">
        <v>26</v>
      </c>
      <c r="E7795" s="208" t="s">
        <v>332</v>
      </c>
      <c r="F7795" t="s">
        <v>169</v>
      </c>
      <c r="G7795" s="18">
        <v>0</v>
      </c>
      <c r="H7795" t="s">
        <v>160</v>
      </c>
      <c r="I7795" t="s">
        <v>16</v>
      </c>
    </row>
    <row r="7796" spans="1:9" x14ac:dyDescent="0.25">
      <c r="A7796">
        <v>1821</v>
      </c>
      <c r="B7796">
        <f>A7796+1</f>
        <v>1822</v>
      </c>
      <c r="C7796" t="s">
        <v>527</v>
      </c>
      <c r="D7796" t="s">
        <v>26</v>
      </c>
      <c r="E7796" s="208" t="s">
        <v>333</v>
      </c>
      <c r="F7796" t="s">
        <v>169</v>
      </c>
      <c r="G7796" s="18">
        <v>0</v>
      </c>
      <c r="H7796" t="s">
        <v>160</v>
      </c>
      <c r="I7796" t="s">
        <v>16</v>
      </c>
    </row>
    <row r="7797" spans="1:9" x14ac:dyDescent="0.25">
      <c r="A7797">
        <v>1821</v>
      </c>
      <c r="B7797">
        <f>A7797+1</f>
        <v>1822</v>
      </c>
      <c r="C7797" t="s">
        <v>527</v>
      </c>
      <c r="D7797" t="s">
        <v>27</v>
      </c>
      <c r="E7797" s="208" t="s">
        <v>155</v>
      </c>
      <c r="F7797" t="s">
        <v>1</v>
      </c>
      <c r="G7797" s="18">
        <v>457</v>
      </c>
      <c r="H7797" t="s">
        <v>16</v>
      </c>
      <c r="I7797" t="s">
        <v>21</v>
      </c>
    </row>
    <row r="7798" spans="1:9" x14ac:dyDescent="0.25">
      <c r="A7798">
        <v>1821</v>
      </c>
      <c r="B7798">
        <f>A7798+1</f>
        <v>1822</v>
      </c>
      <c r="C7798" t="s">
        <v>527</v>
      </c>
      <c r="D7798" t="s">
        <v>27</v>
      </c>
      <c r="E7798" s="208" t="s">
        <v>156</v>
      </c>
      <c r="F7798" t="s">
        <v>1</v>
      </c>
      <c r="G7798" s="18">
        <v>51</v>
      </c>
      <c r="H7798" t="s">
        <v>16</v>
      </c>
      <c r="I7798" t="s">
        <v>21</v>
      </c>
    </row>
    <row r="7799" spans="1:9" x14ac:dyDescent="0.25">
      <c r="A7799">
        <v>1821</v>
      </c>
      <c r="B7799">
        <f>A7799+1</f>
        <v>1822</v>
      </c>
      <c r="C7799" t="s">
        <v>527</v>
      </c>
      <c r="D7799" t="s">
        <v>27</v>
      </c>
      <c r="E7799" s="208" t="s">
        <v>154</v>
      </c>
      <c r="F7799" t="s">
        <v>1</v>
      </c>
      <c r="G7799" s="18">
        <v>62</v>
      </c>
      <c r="H7799" t="s">
        <v>16</v>
      </c>
      <c r="I7799" t="s">
        <v>21</v>
      </c>
    </row>
    <row r="7800" spans="1:9" x14ac:dyDescent="0.25">
      <c r="A7800">
        <v>1821</v>
      </c>
      <c r="B7800">
        <f>A7800+1</f>
        <v>1822</v>
      </c>
      <c r="C7800" t="s">
        <v>527</v>
      </c>
      <c r="D7800" t="s">
        <v>27</v>
      </c>
      <c r="E7800" s="208" t="s">
        <v>150</v>
      </c>
      <c r="F7800" t="s">
        <v>1</v>
      </c>
      <c r="G7800" s="18">
        <v>3</v>
      </c>
      <c r="H7800" t="s">
        <v>16</v>
      </c>
      <c r="I7800" t="s">
        <v>21</v>
      </c>
    </row>
    <row r="7801" spans="1:9" x14ac:dyDescent="0.25">
      <c r="A7801">
        <v>1821</v>
      </c>
      <c r="B7801">
        <f>A7801+1</f>
        <v>1822</v>
      </c>
      <c r="C7801" t="s">
        <v>527</v>
      </c>
      <c r="D7801" t="s">
        <v>27</v>
      </c>
      <c r="E7801" s="208" t="s">
        <v>148</v>
      </c>
      <c r="F7801" t="s">
        <v>1</v>
      </c>
      <c r="G7801" s="18">
        <v>24</v>
      </c>
      <c r="H7801" t="s">
        <v>16</v>
      </c>
      <c r="I7801" t="s">
        <v>21</v>
      </c>
    </row>
    <row r="7802" spans="1:9" x14ac:dyDescent="0.25">
      <c r="A7802">
        <v>1821</v>
      </c>
      <c r="B7802">
        <f>A7802+1</f>
        <v>1822</v>
      </c>
      <c r="C7802" t="s">
        <v>527</v>
      </c>
      <c r="D7802" t="s">
        <v>27</v>
      </c>
      <c r="E7802" s="208" t="s">
        <v>147</v>
      </c>
      <c r="F7802" t="s">
        <v>1</v>
      </c>
      <c r="G7802" s="18">
        <v>0</v>
      </c>
      <c r="H7802" t="s">
        <v>16</v>
      </c>
      <c r="I7802" t="s">
        <v>21</v>
      </c>
    </row>
    <row r="7803" spans="1:9" x14ac:dyDescent="0.25">
      <c r="A7803">
        <v>1821</v>
      </c>
      <c r="B7803">
        <f>A7803+1</f>
        <v>1822</v>
      </c>
      <c r="C7803" t="s">
        <v>527</v>
      </c>
      <c r="D7803" t="s">
        <v>27</v>
      </c>
      <c r="E7803" s="208" t="s">
        <v>314</v>
      </c>
      <c r="F7803" t="s">
        <v>1</v>
      </c>
      <c r="G7803" s="18">
        <v>0</v>
      </c>
      <c r="H7803" t="s">
        <v>16</v>
      </c>
      <c r="I7803" t="s">
        <v>21</v>
      </c>
    </row>
    <row r="7804" spans="1:9" x14ac:dyDescent="0.25">
      <c r="A7804">
        <v>1821</v>
      </c>
      <c r="B7804">
        <f>A7804+1</f>
        <v>1822</v>
      </c>
      <c r="C7804" t="s">
        <v>527</v>
      </c>
      <c r="D7804" t="s">
        <v>27</v>
      </c>
      <c r="E7804" s="208" t="s">
        <v>139</v>
      </c>
      <c r="F7804" t="s">
        <v>1</v>
      </c>
      <c r="G7804" s="18">
        <v>0</v>
      </c>
      <c r="H7804" t="s">
        <v>16</v>
      </c>
      <c r="I7804" t="s">
        <v>21</v>
      </c>
    </row>
    <row r="7805" spans="1:9" x14ac:dyDescent="0.25">
      <c r="A7805">
        <v>1821</v>
      </c>
      <c r="B7805">
        <f>A7805+1</f>
        <v>1822</v>
      </c>
      <c r="C7805" t="s">
        <v>527</v>
      </c>
      <c r="D7805" t="s">
        <v>27</v>
      </c>
      <c r="E7805" s="208" t="s">
        <v>132</v>
      </c>
      <c r="F7805" t="s">
        <v>1</v>
      </c>
      <c r="G7805" s="18">
        <v>10</v>
      </c>
      <c r="H7805" t="s">
        <v>16</v>
      </c>
      <c r="I7805" t="s">
        <v>21</v>
      </c>
    </row>
    <row r="7806" spans="1:9" x14ac:dyDescent="0.25">
      <c r="A7806">
        <v>1821</v>
      </c>
      <c r="B7806">
        <f>A7806+1</f>
        <v>1822</v>
      </c>
      <c r="C7806" t="s">
        <v>527</v>
      </c>
      <c r="D7806" t="s">
        <v>27</v>
      </c>
      <c r="E7806" s="208" t="s">
        <v>130</v>
      </c>
      <c r="F7806" t="s">
        <v>1</v>
      </c>
      <c r="G7806" s="18">
        <v>0</v>
      </c>
      <c r="H7806" t="s">
        <v>16</v>
      </c>
      <c r="I7806" t="s">
        <v>21</v>
      </c>
    </row>
    <row r="7807" spans="1:9" x14ac:dyDescent="0.25">
      <c r="A7807">
        <v>1821</v>
      </c>
      <c r="B7807">
        <f>A7807+1</f>
        <v>1822</v>
      </c>
      <c r="C7807" t="s">
        <v>527</v>
      </c>
      <c r="D7807" t="s">
        <v>27</v>
      </c>
      <c r="E7807" s="208" t="s">
        <v>144</v>
      </c>
      <c r="F7807" t="s">
        <v>1</v>
      </c>
      <c r="G7807" s="18">
        <v>12</v>
      </c>
      <c r="H7807" t="s">
        <v>16</v>
      </c>
      <c r="I7807" t="s">
        <v>21</v>
      </c>
    </row>
    <row r="7808" spans="1:9" x14ac:dyDescent="0.25">
      <c r="A7808">
        <v>1821</v>
      </c>
      <c r="B7808">
        <f>A7808+1</f>
        <v>1822</v>
      </c>
      <c r="C7808" t="s">
        <v>527</v>
      </c>
      <c r="D7808" t="s">
        <v>27</v>
      </c>
      <c r="E7808" s="208" t="s">
        <v>142</v>
      </c>
      <c r="F7808" t="s">
        <v>1</v>
      </c>
      <c r="G7808" s="18">
        <v>15</v>
      </c>
      <c r="H7808" t="s">
        <v>16</v>
      </c>
      <c r="I7808" t="s">
        <v>21</v>
      </c>
    </row>
    <row r="7809" spans="1:9" x14ac:dyDescent="0.25">
      <c r="A7809">
        <v>1821</v>
      </c>
      <c r="B7809">
        <f>A7809+1</f>
        <v>1822</v>
      </c>
      <c r="C7809" t="s">
        <v>527</v>
      </c>
      <c r="D7809" t="s">
        <v>27</v>
      </c>
      <c r="E7809" s="208" t="s">
        <v>124</v>
      </c>
      <c r="F7809" t="s">
        <v>1</v>
      </c>
      <c r="G7809" s="18">
        <v>97890</v>
      </c>
      <c r="H7809" t="s">
        <v>16</v>
      </c>
      <c r="I7809" t="s">
        <v>21</v>
      </c>
    </row>
    <row r="7810" spans="1:9" x14ac:dyDescent="0.25">
      <c r="A7810">
        <v>1821</v>
      </c>
      <c r="B7810">
        <f>A7810+1</f>
        <v>1822</v>
      </c>
      <c r="C7810" t="s">
        <v>527</v>
      </c>
      <c r="D7810" t="s">
        <v>27</v>
      </c>
      <c r="E7810" s="208" t="s">
        <v>155</v>
      </c>
      <c r="F7810" t="s">
        <v>6</v>
      </c>
      <c r="G7810" s="18">
        <v>0</v>
      </c>
      <c r="H7810" t="s">
        <v>16</v>
      </c>
      <c r="I7810" t="s">
        <v>25</v>
      </c>
    </row>
    <row r="7811" spans="1:9" x14ac:dyDescent="0.25">
      <c r="A7811">
        <v>1821</v>
      </c>
      <c r="B7811">
        <f>A7811+1</f>
        <v>1822</v>
      </c>
      <c r="C7811" t="s">
        <v>527</v>
      </c>
      <c r="D7811" t="s">
        <v>27</v>
      </c>
      <c r="E7811" s="208" t="s">
        <v>156</v>
      </c>
      <c r="F7811" t="s">
        <v>6</v>
      </c>
      <c r="G7811" s="18">
        <v>0</v>
      </c>
      <c r="H7811" t="s">
        <v>16</v>
      </c>
      <c r="I7811" t="s">
        <v>25</v>
      </c>
    </row>
    <row r="7812" spans="1:9" x14ac:dyDescent="0.25">
      <c r="A7812">
        <v>1821</v>
      </c>
      <c r="B7812">
        <f>A7812+1</f>
        <v>1822</v>
      </c>
      <c r="C7812" t="s">
        <v>527</v>
      </c>
      <c r="D7812" t="s">
        <v>27</v>
      </c>
      <c r="E7812" s="208" t="s">
        <v>154</v>
      </c>
      <c r="F7812" t="s">
        <v>6</v>
      </c>
      <c r="G7812" s="18">
        <v>0</v>
      </c>
      <c r="H7812" t="s">
        <v>16</v>
      </c>
      <c r="I7812" t="s">
        <v>25</v>
      </c>
    </row>
    <row r="7813" spans="1:9" x14ac:dyDescent="0.25">
      <c r="A7813">
        <v>1821</v>
      </c>
      <c r="B7813">
        <f>A7813+1</f>
        <v>1822</v>
      </c>
      <c r="C7813" t="s">
        <v>527</v>
      </c>
      <c r="D7813" t="s">
        <v>27</v>
      </c>
      <c r="E7813" s="208" t="s">
        <v>150</v>
      </c>
      <c r="F7813" t="s">
        <v>6</v>
      </c>
      <c r="G7813" s="18">
        <v>1358</v>
      </c>
      <c r="H7813" t="s">
        <v>16</v>
      </c>
      <c r="I7813" t="s">
        <v>25</v>
      </c>
    </row>
    <row r="7814" spans="1:9" x14ac:dyDescent="0.25">
      <c r="A7814">
        <v>1821</v>
      </c>
      <c r="B7814">
        <f>A7814+1</f>
        <v>1822</v>
      </c>
      <c r="C7814" t="s">
        <v>527</v>
      </c>
      <c r="D7814" t="s">
        <v>27</v>
      </c>
      <c r="E7814" s="208" t="s">
        <v>148</v>
      </c>
      <c r="F7814" t="s">
        <v>6</v>
      </c>
      <c r="G7814" s="18">
        <v>77</v>
      </c>
      <c r="H7814" t="s">
        <v>16</v>
      </c>
      <c r="I7814" t="s">
        <v>25</v>
      </c>
    </row>
    <row r="7815" spans="1:9" x14ac:dyDescent="0.25">
      <c r="A7815">
        <v>1821</v>
      </c>
      <c r="B7815">
        <f>A7815+1</f>
        <v>1822</v>
      </c>
      <c r="C7815" t="s">
        <v>527</v>
      </c>
      <c r="D7815" t="s">
        <v>27</v>
      </c>
      <c r="E7815" s="208" t="s">
        <v>147</v>
      </c>
      <c r="F7815" t="s">
        <v>6</v>
      </c>
      <c r="G7815" s="18">
        <v>0</v>
      </c>
      <c r="H7815" t="s">
        <v>16</v>
      </c>
      <c r="I7815" t="s">
        <v>25</v>
      </c>
    </row>
    <row r="7816" spans="1:9" x14ac:dyDescent="0.25">
      <c r="A7816">
        <v>1821</v>
      </c>
      <c r="B7816">
        <f>A7816+1</f>
        <v>1822</v>
      </c>
      <c r="C7816" t="s">
        <v>527</v>
      </c>
      <c r="D7816" t="s">
        <v>27</v>
      </c>
      <c r="E7816" s="208" t="s">
        <v>314</v>
      </c>
      <c r="F7816" t="s">
        <v>6</v>
      </c>
      <c r="G7816" s="18">
        <v>46</v>
      </c>
      <c r="H7816" t="s">
        <v>16</v>
      </c>
      <c r="I7816" t="s">
        <v>25</v>
      </c>
    </row>
    <row r="7817" spans="1:9" x14ac:dyDescent="0.25">
      <c r="A7817">
        <v>1821</v>
      </c>
      <c r="B7817">
        <f>A7817+1</f>
        <v>1822</v>
      </c>
      <c r="C7817" t="s">
        <v>527</v>
      </c>
      <c r="D7817" t="s">
        <v>27</v>
      </c>
      <c r="E7817" s="208" t="s">
        <v>139</v>
      </c>
      <c r="F7817" t="s">
        <v>6</v>
      </c>
      <c r="G7817" s="18">
        <v>0</v>
      </c>
      <c r="H7817" t="s">
        <v>16</v>
      </c>
      <c r="I7817" t="s">
        <v>25</v>
      </c>
    </row>
    <row r="7818" spans="1:9" x14ac:dyDescent="0.25">
      <c r="A7818">
        <v>1821</v>
      </c>
      <c r="B7818">
        <f>A7818+1</f>
        <v>1822</v>
      </c>
      <c r="C7818" t="s">
        <v>527</v>
      </c>
      <c r="D7818" t="s">
        <v>27</v>
      </c>
      <c r="E7818" s="208" t="s">
        <v>132</v>
      </c>
      <c r="F7818" t="s">
        <v>6</v>
      </c>
      <c r="G7818" s="18">
        <v>0</v>
      </c>
      <c r="H7818" t="s">
        <v>16</v>
      </c>
      <c r="I7818" t="s">
        <v>25</v>
      </c>
    </row>
    <row r="7819" spans="1:9" x14ac:dyDescent="0.25">
      <c r="A7819">
        <v>1821</v>
      </c>
      <c r="B7819">
        <f>A7819+1</f>
        <v>1822</v>
      </c>
      <c r="C7819" t="s">
        <v>527</v>
      </c>
      <c r="D7819" t="s">
        <v>27</v>
      </c>
      <c r="E7819" s="208" t="s">
        <v>130</v>
      </c>
      <c r="F7819" t="s">
        <v>6</v>
      </c>
      <c r="G7819" s="18">
        <v>0</v>
      </c>
      <c r="H7819" t="s">
        <v>16</v>
      </c>
      <c r="I7819" t="s">
        <v>25</v>
      </c>
    </row>
    <row r="7820" spans="1:9" x14ac:dyDescent="0.25">
      <c r="A7820">
        <v>1821</v>
      </c>
      <c r="B7820">
        <f>A7820+1</f>
        <v>1822</v>
      </c>
      <c r="C7820" t="s">
        <v>527</v>
      </c>
      <c r="D7820" t="s">
        <v>27</v>
      </c>
      <c r="E7820" s="208" t="s">
        <v>144</v>
      </c>
      <c r="F7820" t="s">
        <v>6</v>
      </c>
      <c r="G7820" s="18">
        <v>0</v>
      </c>
      <c r="H7820" t="s">
        <v>16</v>
      </c>
      <c r="I7820" t="s">
        <v>25</v>
      </c>
    </row>
    <row r="7821" spans="1:9" x14ac:dyDescent="0.25">
      <c r="A7821">
        <v>1821</v>
      </c>
      <c r="B7821">
        <f>A7821+1</f>
        <v>1822</v>
      </c>
      <c r="C7821" t="s">
        <v>527</v>
      </c>
      <c r="D7821" t="s">
        <v>27</v>
      </c>
      <c r="E7821" s="208" t="s">
        <v>142</v>
      </c>
      <c r="F7821" t="s">
        <v>6</v>
      </c>
      <c r="G7821" s="18">
        <v>0</v>
      </c>
      <c r="H7821" t="s">
        <v>16</v>
      </c>
      <c r="I7821" t="s">
        <v>25</v>
      </c>
    </row>
    <row r="7822" spans="1:9" x14ac:dyDescent="0.25">
      <c r="A7822">
        <v>1821</v>
      </c>
      <c r="B7822">
        <f>A7822+1</f>
        <v>1822</v>
      </c>
      <c r="C7822" t="s">
        <v>527</v>
      </c>
      <c r="D7822" t="s">
        <v>27</v>
      </c>
      <c r="E7822" s="208" t="s">
        <v>124</v>
      </c>
      <c r="F7822" t="s">
        <v>6</v>
      </c>
      <c r="G7822" s="18">
        <v>0</v>
      </c>
      <c r="H7822" t="s">
        <v>16</v>
      </c>
      <c r="I7822" t="s">
        <v>25</v>
      </c>
    </row>
    <row r="7823" spans="1:9" x14ac:dyDescent="0.25">
      <c r="A7823">
        <v>1821</v>
      </c>
      <c r="B7823">
        <f>A7823+1</f>
        <v>1822</v>
      </c>
      <c r="C7823" t="s">
        <v>527</v>
      </c>
      <c r="D7823" t="s">
        <v>26</v>
      </c>
      <c r="E7823" s="208" t="s">
        <v>62</v>
      </c>
      <c r="F7823" t="s">
        <v>6</v>
      </c>
      <c r="G7823" s="18">
        <v>17796</v>
      </c>
      <c r="H7823" t="s">
        <v>25</v>
      </c>
      <c r="I7823" t="s">
        <v>16</v>
      </c>
    </row>
    <row r="7824" spans="1:9" x14ac:dyDescent="0.25">
      <c r="A7824">
        <v>1821</v>
      </c>
      <c r="B7824">
        <f>A7824+1</f>
        <v>1822</v>
      </c>
      <c r="C7824" t="s">
        <v>527</v>
      </c>
      <c r="D7824" t="s">
        <v>26</v>
      </c>
      <c r="E7824" s="208" t="s">
        <v>36</v>
      </c>
      <c r="F7824" t="s">
        <v>6</v>
      </c>
      <c r="G7824" s="18">
        <v>0</v>
      </c>
      <c r="H7824" t="s">
        <v>25</v>
      </c>
      <c r="I7824" t="s">
        <v>16</v>
      </c>
    </row>
    <row r="7825" spans="1:9" x14ac:dyDescent="0.25">
      <c r="A7825">
        <v>1821</v>
      </c>
      <c r="B7825">
        <f>A7825+1</f>
        <v>1822</v>
      </c>
      <c r="C7825" t="s">
        <v>527</v>
      </c>
      <c r="D7825" t="s">
        <v>26</v>
      </c>
      <c r="E7825" s="208" t="s">
        <v>35</v>
      </c>
      <c r="F7825" t="s">
        <v>6</v>
      </c>
      <c r="G7825" s="18">
        <v>0</v>
      </c>
      <c r="H7825" t="s">
        <v>25</v>
      </c>
      <c r="I7825" t="s">
        <v>16</v>
      </c>
    </row>
    <row r="7826" spans="1:9" x14ac:dyDescent="0.25">
      <c r="A7826">
        <v>1821</v>
      </c>
      <c r="B7826">
        <f>A7826+1</f>
        <v>1822</v>
      </c>
      <c r="C7826" t="s">
        <v>527</v>
      </c>
      <c r="D7826" t="s">
        <v>26</v>
      </c>
      <c r="E7826" s="208" t="s">
        <v>39</v>
      </c>
      <c r="F7826" t="s">
        <v>6</v>
      </c>
      <c r="G7826" s="18">
        <v>0</v>
      </c>
      <c r="H7826" t="s">
        <v>25</v>
      </c>
      <c r="I7826" t="s">
        <v>16</v>
      </c>
    </row>
    <row r="7827" spans="1:9" x14ac:dyDescent="0.25">
      <c r="A7827">
        <v>1821</v>
      </c>
      <c r="B7827">
        <f>A7827+1</f>
        <v>1822</v>
      </c>
      <c r="C7827" t="s">
        <v>527</v>
      </c>
      <c r="D7827" t="s">
        <v>26</v>
      </c>
      <c r="E7827" s="208" t="s">
        <v>99</v>
      </c>
      <c r="F7827" t="s">
        <v>6</v>
      </c>
      <c r="G7827" s="18">
        <v>447</v>
      </c>
      <c r="H7827" t="s">
        <v>25</v>
      </c>
      <c r="I7827" t="s">
        <v>16</v>
      </c>
    </row>
    <row r="7828" spans="1:9" x14ac:dyDescent="0.25">
      <c r="A7828">
        <v>1821</v>
      </c>
      <c r="B7828">
        <f>A7828+1</f>
        <v>1822</v>
      </c>
      <c r="C7828" t="s">
        <v>527</v>
      </c>
      <c r="D7828" t="s">
        <v>26</v>
      </c>
      <c r="E7828" s="208" t="s">
        <v>95</v>
      </c>
      <c r="F7828" t="s">
        <v>6</v>
      </c>
      <c r="G7828" s="18">
        <v>22</v>
      </c>
      <c r="H7828" t="s">
        <v>25</v>
      </c>
      <c r="I7828" t="s">
        <v>16</v>
      </c>
    </row>
    <row r="7829" spans="1:9" x14ac:dyDescent="0.25">
      <c r="A7829">
        <v>1821</v>
      </c>
      <c r="B7829">
        <f>A7829+1</f>
        <v>1822</v>
      </c>
      <c r="C7829" t="s">
        <v>527</v>
      </c>
      <c r="D7829" t="s">
        <v>26</v>
      </c>
      <c r="E7829" s="208" t="s">
        <v>94</v>
      </c>
      <c r="F7829" t="s">
        <v>6</v>
      </c>
      <c r="G7829" s="18">
        <v>3752</v>
      </c>
      <c r="H7829" t="s">
        <v>25</v>
      </c>
      <c r="I7829" t="s">
        <v>16</v>
      </c>
    </row>
    <row r="7830" spans="1:9" x14ac:dyDescent="0.25">
      <c r="A7830">
        <v>1821</v>
      </c>
      <c r="B7830">
        <f>A7830+1</f>
        <v>1822</v>
      </c>
      <c r="C7830" t="s">
        <v>527</v>
      </c>
      <c r="D7830" t="s">
        <v>26</v>
      </c>
      <c r="E7830" s="208" t="s">
        <v>386</v>
      </c>
      <c r="F7830" t="s">
        <v>6</v>
      </c>
      <c r="G7830" s="18">
        <v>8544</v>
      </c>
      <c r="H7830" t="s">
        <v>25</v>
      </c>
      <c r="I7830" t="s">
        <v>16</v>
      </c>
    </row>
    <row r="7831" spans="1:9" x14ac:dyDescent="0.25">
      <c r="A7831">
        <v>1821</v>
      </c>
      <c r="B7831">
        <f>A7831+1</f>
        <v>1822</v>
      </c>
      <c r="C7831" t="s">
        <v>527</v>
      </c>
      <c r="D7831" t="s">
        <v>26</v>
      </c>
      <c r="E7831" s="208" t="s">
        <v>387</v>
      </c>
      <c r="F7831" t="s">
        <v>6</v>
      </c>
      <c r="G7831" s="18">
        <v>582</v>
      </c>
      <c r="H7831" t="s">
        <v>25</v>
      </c>
      <c r="I7831" t="s">
        <v>16</v>
      </c>
    </row>
    <row r="7832" spans="1:9" x14ac:dyDescent="0.25">
      <c r="A7832">
        <v>1821</v>
      </c>
      <c r="B7832">
        <f>A7832+1</f>
        <v>1822</v>
      </c>
      <c r="C7832" t="s">
        <v>527</v>
      </c>
      <c r="D7832" t="s">
        <v>26</v>
      </c>
      <c r="E7832" s="208" t="s">
        <v>388</v>
      </c>
      <c r="F7832" t="s">
        <v>6</v>
      </c>
      <c r="G7832" s="18">
        <v>4092</v>
      </c>
      <c r="H7832" t="s">
        <v>25</v>
      </c>
      <c r="I7832" t="s">
        <v>16</v>
      </c>
    </row>
    <row r="7833" spans="1:9" x14ac:dyDescent="0.25">
      <c r="A7833">
        <v>1821</v>
      </c>
      <c r="B7833">
        <f>A7833+1</f>
        <v>1822</v>
      </c>
      <c r="C7833" t="s">
        <v>527</v>
      </c>
      <c r="D7833" t="s">
        <v>26</v>
      </c>
      <c r="E7833" s="208" t="s">
        <v>383</v>
      </c>
      <c r="F7833" t="s">
        <v>6</v>
      </c>
      <c r="G7833" s="18">
        <v>207</v>
      </c>
      <c r="H7833" t="s">
        <v>25</v>
      </c>
      <c r="I7833" t="s">
        <v>16</v>
      </c>
    </row>
    <row r="7834" spans="1:9" x14ac:dyDescent="0.25">
      <c r="A7834">
        <v>1821</v>
      </c>
      <c r="B7834">
        <f>A7834+1</f>
        <v>1822</v>
      </c>
      <c r="C7834" t="s">
        <v>527</v>
      </c>
      <c r="D7834" t="s">
        <v>26</v>
      </c>
      <c r="E7834" s="208" t="s">
        <v>384</v>
      </c>
      <c r="F7834" t="s">
        <v>6</v>
      </c>
      <c r="G7834" s="18">
        <v>236</v>
      </c>
      <c r="H7834" t="s">
        <v>25</v>
      </c>
      <c r="I7834" t="s">
        <v>16</v>
      </c>
    </row>
    <row r="7835" spans="1:9" x14ac:dyDescent="0.25">
      <c r="A7835">
        <v>1821</v>
      </c>
      <c r="B7835">
        <f>A7835+1</f>
        <v>1822</v>
      </c>
      <c r="C7835" t="s">
        <v>527</v>
      </c>
      <c r="D7835" t="s">
        <v>26</v>
      </c>
      <c r="E7835" s="208" t="s">
        <v>107</v>
      </c>
      <c r="F7835" t="s">
        <v>6</v>
      </c>
      <c r="G7835" s="18">
        <v>0</v>
      </c>
      <c r="H7835" t="s">
        <v>25</v>
      </c>
      <c r="I7835" t="s">
        <v>16</v>
      </c>
    </row>
    <row r="7836" spans="1:9" x14ac:dyDescent="0.25">
      <c r="A7836">
        <v>1821</v>
      </c>
      <c r="B7836">
        <f>A7836+1</f>
        <v>1822</v>
      </c>
      <c r="C7836" t="s">
        <v>527</v>
      </c>
      <c r="D7836" t="s">
        <v>26</v>
      </c>
      <c r="E7836" s="208" t="s">
        <v>101</v>
      </c>
      <c r="F7836" t="s">
        <v>6</v>
      </c>
      <c r="G7836" s="18">
        <v>0</v>
      </c>
      <c r="H7836" t="s">
        <v>25</v>
      </c>
      <c r="I7836" t="s">
        <v>16</v>
      </c>
    </row>
    <row r="7837" spans="1:9" x14ac:dyDescent="0.25">
      <c r="A7837">
        <v>1821</v>
      </c>
      <c r="B7837">
        <f>A7837+1</f>
        <v>1822</v>
      </c>
      <c r="C7837" t="s">
        <v>527</v>
      </c>
      <c r="D7837" t="s">
        <v>26</v>
      </c>
      <c r="E7837" s="208" t="s">
        <v>75</v>
      </c>
      <c r="F7837" t="s">
        <v>6</v>
      </c>
      <c r="G7837" s="18">
        <v>0</v>
      </c>
      <c r="H7837" t="s">
        <v>25</v>
      </c>
      <c r="I7837" t="s">
        <v>16</v>
      </c>
    </row>
    <row r="7838" spans="1:9" x14ac:dyDescent="0.25">
      <c r="A7838">
        <v>1821</v>
      </c>
      <c r="B7838">
        <f>A7838+1</f>
        <v>1822</v>
      </c>
      <c r="C7838" t="s">
        <v>527</v>
      </c>
      <c r="D7838" t="s">
        <v>26</v>
      </c>
      <c r="E7838" s="208" t="s">
        <v>330</v>
      </c>
      <c r="F7838" t="s">
        <v>6</v>
      </c>
      <c r="G7838" s="18">
        <v>849</v>
      </c>
      <c r="H7838" t="s">
        <v>25</v>
      </c>
      <c r="I7838" t="s">
        <v>16</v>
      </c>
    </row>
    <row r="7839" spans="1:9" x14ac:dyDescent="0.25">
      <c r="A7839">
        <v>1821</v>
      </c>
      <c r="B7839">
        <f>A7839+1</f>
        <v>1822</v>
      </c>
      <c r="C7839" t="s">
        <v>527</v>
      </c>
      <c r="D7839" t="s">
        <v>26</v>
      </c>
      <c r="E7839" s="208" t="s">
        <v>331</v>
      </c>
      <c r="F7839" t="s">
        <v>6</v>
      </c>
      <c r="G7839" s="18">
        <v>606</v>
      </c>
      <c r="H7839" t="s">
        <v>25</v>
      </c>
      <c r="I7839" t="s">
        <v>16</v>
      </c>
    </row>
    <row r="7840" spans="1:9" x14ac:dyDescent="0.25">
      <c r="A7840">
        <v>1821</v>
      </c>
      <c r="B7840">
        <f>A7840+1</f>
        <v>1822</v>
      </c>
      <c r="C7840" t="s">
        <v>527</v>
      </c>
      <c r="D7840" t="s">
        <v>26</v>
      </c>
      <c r="E7840" s="208" t="s">
        <v>332</v>
      </c>
      <c r="F7840" t="s">
        <v>6</v>
      </c>
      <c r="G7840" s="18">
        <v>252</v>
      </c>
      <c r="H7840" t="s">
        <v>25</v>
      </c>
      <c r="I7840" t="s">
        <v>16</v>
      </c>
    </row>
    <row r="7841" spans="1:9" x14ac:dyDescent="0.25">
      <c r="A7841">
        <v>1821</v>
      </c>
      <c r="B7841">
        <f>A7841+1</f>
        <v>1822</v>
      </c>
      <c r="C7841" t="s">
        <v>527</v>
      </c>
      <c r="D7841" t="s">
        <v>26</v>
      </c>
      <c r="E7841" s="208" t="s">
        <v>333</v>
      </c>
      <c r="F7841" t="s">
        <v>6</v>
      </c>
      <c r="G7841" s="18">
        <v>514</v>
      </c>
      <c r="H7841" t="s">
        <v>25</v>
      </c>
      <c r="I7841" t="s">
        <v>16</v>
      </c>
    </row>
    <row r="7842" spans="1:9" x14ac:dyDescent="0.25">
      <c r="A7842">
        <v>1821</v>
      </c>
      <c r="B7842">
        <f>A7842+1</f>
        <v>1822</v>
      </c>
      <c r="C7842" t="s">
        <v>527</v>
      </c>
      <c r="D7842" t="s">
        <v>27</v>
      </c>
      <c r="E7842" s="208" t="s">
        <v>155</v>
      </c>
      <c r="F7842" t="s">
        <v>4</v>
      </c>
      <c r="G7842" s="18">
        <v>12</v>
      </c>
      <c r="H7842" t="s">
        <v>16</v>
      </c>
      <c r="I7842" t="s">
        <v>23</v>
      </c>
    </row>
    <row r="7843" spans="1:9" x14ac:dyDescent="0.25">
      <c r="A7843">
        <v>1821</v>
      </c>
      <c r="B7843">
        <f>A7843+1</f>
        <v>1822</v>
      </c>
      <c r="C7843" t="s">
        <v>527</v>
      </c>
      <c r="D7843" t="s">
        <v>27</v>
      </c>
      <c r="E7843" s="208" t="s">
        <v>156</v>
      </c>
      <c r="F7843" t="s">
        <v>4</v>
      </c>
      <c r="G7843" s="18">
        <v>0</v>
      </c>
      <c r="H7843" t="s">
        <v>16</v>
      </c>
      <c r="I7843" t="s">
        <v>23</v>
      </c>
    </row>
    <row r="7844" spans="1:9" x14ac:dyDescent="0.25">
      <c r="A7844">
        <v>1821</v>
      </c>
      <c r="B7844">
        <f>A7844+1</f>
        <v>1822</v>
      </c>
      <c r="C7844" t="s">
        <v>527</v>
      </c>
      <c r="D7844" t="s">
        <v>27</v>
      </c>
      <c r="E7844" s="208" t="s">
        <v>154</v>
      </c>
      <c r="F7844" t="s">
        <v>4</v>
      </c>
      <c r="G7844" s="18">
        <v>5</v>
      </c>
      <c r="H7844" t="s">
        <v>16</v>
      </c>
      <c r="I7844" t="s">
        <v>23</v>
      </c>
    </row>
    <row r="7845" spans="1:9" x14ac:dyDescent="0.25">
      <c r="A7845">
        <v>1821</v>
      </c>
      <c r="B7845">
        <f>A7845+1</f>
        <v>1822</v>
      </c>
      <c r="C7845" t="s">
        <v>527</v>
      </c>
      <c r="D7845" t="s">
        <v>27</v>
      </c>
      <c r="E7845" s="208" t="s">
        <v>150</v>
      </c>
      <c r="F7845" t="s">
        <v>4</v>
      </c>
      <c r="G7845" s="18">
        <v>7</v>
      </c>
      <c r="H7845" t="s">
        <v>16</v>
      </c>
      <c r="I7845" t="s">
        <v>23</v>
      </c>
    </row>
    <row r="7846" spans="1:9" x14ac:dyDescent="0.25">
      <c r="A7846">
        <v>1821</v>
      </c>
      <c r="B7846">
        <f>A7846+1</f>
        <v>1822</v>
      </c>
      <c r="C7846" t="s">
        <v>527</v>
      </c>
      <c r="D7846" t="s">
        <v>27</v>
      </c>
      <c r="E7846" s="208" t="s">
        <v>148</v>
      </c>
      <c r="F7846" t="s">
        <v>4</v>
      </c>
      <c r="G7846" s="18">
        <v>0</v>
      </c>
      <c r="H7846" t="s">
        <v>16</v>
      </c>
      <c r="I7846" t="s">
        <v>23</v>
      </c>
    </row>
    <row r="7847" spans="1:9" x14ac:dyDescent="0.25">
      <c r="A7847">
        <v>1821</v>
      </c>
      <c r="B7847">
        <f>A7847+1</f>
        <v>1822</v>
      </c>
      <c r="C7847" t="s">
        <v>527</v>
      </c>
      <c r="D7847" t="s">
        <v>27</v>
      </c>
      <c r="E7847" s="208" t="s">
        <v>147</v>
      </c>
      <c r="F7847" t="s">
        <v>4</v>
      </c>
      <c r="G7847" s="18">
        <v>6</v>
      </c>
      <c r="H7847" t="s">
        <v>16</v>
      </c>
      <c r="I7847" t="s">
        <v>23</v>
      </c>
    </row>
    <row r="7848" spans="1:9" x14ac:dyDescent="0.25">
      <c r="A7848">
        <v>1821</v>
      </c>
      <c r="B7848">
        <f>A7848+1</f>
        <v>1822</v>
      </c>
      <c r="C7848" t="s">
        <v>527</v>
      </c>
      <c r="D7848" t="s">
        <v>27</v>
      </c>
      <c r="E7848" s="208" t="s">
        <v>314</v>
      </c>
      <c r="F7848" t="s">
        <v>4</v>
      </c>
      <c r="G7848" s="18">
        <v>0</v>
      </c>
      <c r="H7848" t="s">
        <v>16</v>
      </c>
      <c r="I7848" t="s">
        <v>23</v>
      </c>
    </row>
    <row r="7849" spans="1:9" x14ac:dyDescent="0.25">
      <c r="A7849">
        <v>1821</v>
      </c>
      <c r="B7849">
        <f>A7849+1</f>
        <v>1822</v>
      </c>
      <c r="C7849" t="s">
        <v>527</v>
      </c>
      <c r="D7849" t="s">
        <v>27</v>
      </c>
      <c r="E7849" s="208" t="s">
        <v>139</v>
      </c>
      <c r="F7849" t="s">
        <v>4</v>
      </c>
      <c r="G7849" s="18">
        <v>0</v>
      </c>
      <c r="H7849" t="s">
        <v>16</v>
      </c>
      <c r="I7849" t="s">
        <v>23</v>
      </c>
    </row>
    <row r="7850" spans="1:9" x14ac:dyDescent="0.25">
      <c r="A7850">
        <v>1821</v>
      </c>
      <c r="B7850">
        <f>A7850+1</f>
        <v>1822</v>
      </c>
      <c r="C7850" t="s">
        <v>527</v>
      </c>
      <c r="D7850" t="s">
        <v>27</v>
      </c>
      <c r="E7850" s="208" t="s">
        <v>132</v>
      </c>
      <c r="F7850" t="s">
        <v>4</v>
      </c>
      <c r="G7850" s="18">
        <v>0</v>
      </c>
      <c r="H7850" t="s">
        <v>16</v>
      </c>
      <c r="I7850" t="s">
        <v>23</v>
      </c>
    </row>
    <row r="7851" spans="1:9" x14ac:dyDescent="0.25">
      <c r="A7851">
        <v>1821</v>
      </c>
      <c r="B7851">
        <f>A7851+1</f>
        <v>1822</v>
      </c>
      <c r="C7851" t="s">
        <v>527</v>
      </c>
      <c r="D7851" t="s">
        <v>27</v>
      </c>
      <c r="E7851" s="208" t="s">
        <v>130</v>
      </c>
      <c r="F7851" t="s">
        <v>4</v>
      </c>
      <c r="G7851" s="18">
        <v>0</v>
      </c>
      <c r="H7851" t="s">
        <v>16</v>
      </c>
      <c r="I7851" t="s">
        <v>23</v>
      </c>
    </row>
    <row r="7852" spans="1:9" x14ac:dyDescent="0.25">
      <c r="A7852">
        <v>1821</v>
      </c>
      <c r="B7852">
        <f>A7852+1</f>
        <v>1822</v>
      </c>
      <c r="C7852" t="s">
        <v>527</v>
      </c>
      <c r="D7852" t="s">
        <v>27</v>
      </c>
      <c r="E7852" s="208" t="s">
        <v>144</v>
      </c>
      <c r="F7852" t="s">
        <v>4</v>
      </c>
      <c r="G7852" s="18">
        <v>0</v>
      </c>
      <c r="H7852" t="s">
        <v>16</v>
      </c>
      <c r="I7852" t="s">
        <v>23</v>
      </c>
    </row>
    <row r="7853" spans="1:9" x14ac:dyDescent="0.25">
      <c r="A7853">
        <v>1821</v>
      </c>
      <c r="B7853">
        <f>A7853+1</f>
        <v>1822</v>
      </c>
      <c r="C7853" t="s">
        <v>527</v>
      </c>
      <c r="D7853" t="s">
        <v>27</v>
      </c>
      <c r="E7853" s="208" t="s">
        <v>142</v>
      </c>
      <c r="F7853" t="s">
        <v>4</v>
      </c>
      <c r="G7853" s="18">
        <v>2</v>
      </c>
      <c r="H7853" t="s">
        <v>16</v>
      </c>
      <c r="I7853" t="s">
        <v>23</v>
      </c>
    </row>
    <row r="7854" spans="1:9" x14ac:dyDescent="0.25">
      <c r="A7854">
        <v>1821</v>
      </c>
      <c r="B7854">
        <f>A7854+1</f>
        <v>1822</v>
      </c>
      <c r="C7854" t="s">
        <v>527</v>
      </c>
      <c r="D7854" t="s">
        <v>27</v>
      </c>
      <c r="E7854" s="208" t="s">
        <v>124</v>
      </c>
      <c r="F7854" t="s">
        <v>4</v>
      </c>
      <c r="G7854" s="18">
        <v>14185</v>
      </c>
      <c r="H7854" t="s">
        <v>16</v>
      </c>
      <c r="I7854" t="s">
        <v>23</v>
      </c>
    </row>
    <row r="7855" spans="1:9" x14ac:dyDescent="0.25">
      <c r="A7855">
        <v>1821</v>
      </c>
      <c r="B7855">
        <f>A7855+1</f>
        <v>1822</v>
      </c>
      <c r="C7855" t="s">
        <v>527</v>
      </c>
      <c r="D7855" t="s">
        <v>26</v>
      </c>
      <c r="E7855" s="208" t="s">
        <v>62</v>
      </c>
      <c r="F7855" t="s">
        <v>4</v>
      </c>
      <c r="G7855" s="18">
        <v>2603</v>
      </c>
      <c r="H7855" t="s">
        <v>23</v>
      </c>
      <c r="I7855" t="s">
        <v>16</v>
      </c>
    </row>
    <row r="7856" spans="1:9" x14ac:dyDescent="0.25">
      <c r="A7856">
        <v>1821</v>
      </c>
      <c r="B7856">
        <f>A7856+1</f>
        <v>1822</v>
      </c>
      <c r="C7856" t="s">
        <v>527</v>
      </c>
      <c r="D7856" t="s">
        <v>26</v>
      </c>
      <c r="E7856" s="208" t="s">
        <v>36</v>
      </c>
      <c r="F7856" t="s">
        <v>4</v>
      </c>
      <c r="G7856" s="18">
        <v>95</v>
      </c>
      <c r="H7856" t="s">
        <v>23</v>
      </c>
      <c r="I7856" t="s">
        <v>16</v>
      </c>
    </row>
    <row r="7857" spans="1:9" x14ac:dyDescent="0.25">
      <c r="A7857">
        <v>1821</v>
      </c>
      <c r="B7857">
        <f>A7857+1</f>
        <v>1822</v>
      </c>
      <c r="C7857" t="s">
        <v>527</v>
      </c>
      <c r="D7857" t="s">
        <v>26</v>
      </c>
      <c r="E7857" s="208" t="s">
        <v>35</v>
      </c>
      <c r="F7857" t="s">
        <v>4</v>
      </c>
      <c r="G7857" s="18">
        <v>0</v>
      </c>
      <c r="H7857" t="s">
        <v>23</v>
      </c>
      <c r="I7857" t="s">
        <v>16</v>
      </c>
    </row>
    <row r="7858" spans="1:9" x14ac:dyDescent="0.25">
      <c r="A7858">
        <v>1821</v>
      </c>
      <c r="B7858">
        <f>A7858+1</f>
        <v>1822</v>
      </c>
      <c r="C7858" t="s">
        <v>527</v>
      </c>
      <c r="D7858" t="s">
        <v>26</v>
      </c>
      <c r="E7858" s="208" t="s">
        <v>39</v>
      </c>
      <c r="F7858" t="s">
        <v>4</v>
      </c>
      <c r="G7858" s="18">
        <v>98</v>
      </c>
      <c r="H7858" t="s">
        <v>23</v>
      </c>
      <c r="I7858" t="s">
        <v>16</v>
      </c>
    </row>
    <row r="7859" spans="1:9" x14ac:dyDescent="0.25">
      <c r="A7859">
        <v>1821</v>
      </c>
      <c r="B7859">
        <f>A7859+1</f>
        <v>1822</v>
      </c>
      <c r="C7859" t="s">
        <v>527</v>
      </c>
      <c r="D7859" t="s">
        <v>26</v>
      </c>
      <c r="E7859" s="208" t="s">
        <v>99</v>
      </c>
      <c r="F7859" t="s">
        <v>4</v>
      </c>
      <c r="G7859" s="18">
        <v>0</v>
      </c>
      <c r="H7859" t="s">
        <v>23</v>
      </c>
      <c r="I7859" t="s">
        <v>16</v>
      </c>
    </row>
    <row r="7860" spans="1:9" x14ac:dyDescent="0.25">
      <c r="A7860">
        <v>1821</v>
      </c>
      <c r="B7860">
        <f>A7860+1</f>
        <v>1822</v>
      </c>
      <c r="C7860" t="s">
        <v>527</v>
      </c>
      <c r="D7860" t="s">
        <v>26</v>
      </c>
      <c r="E7860" s="208" t="s">
        <v>95</v>
      </c>
      <c r="F7860" t="s">
        <v>4</v>
      </c>
      <c r="G7860" s="18">
        <v>0</v>
      </c>
      <c r="H7860" t="s">
        <v>23</v>
      </c>
      <c r="I7860" t="s">
        <v>16</v>
      </c>
    </row>
    <row r="7861" spans="1:9" x14ac:dyDescent="0.25">
      <c r="A7861">
        <v>1821</v>
      </c>
      <c r="B7861">
        <f>A7861+1</f>
        <v>1822</v>
      </c>
      <c r="C7861" t="s">
        <v>527</v>
      </c>
      <c r="D7861" t="s">
        <v>26</v>
      </c>
      <c r="E7861" s="208" t="s">
        <v>94</v>
      </c>
      <c r="F7861" t="s">
        <v>4</v>
      </c>
      <c r="G7861" s="18">
        <v>0</v>
      </c>
      <c r="H7861" t="s">
        <v>23</v>
      </c>
      <c r="I7861" t="s">
        <v>16</v>
      </c>
    </row>
    <row r="7862" spans="1:9" x14ac:dyDescent="0.25">
      <c r="A7862">
        <v>1821</v>
      </c>
      <c r="B7862">
        <f>A7862+1</f>
        <v>1822</v>
      </c>
      <c r="C7862" t="s">
        <v>527</v>
      </c>
      <c r="D7862" t="s">
        <v>26</v>
      </c>
      <c r="E7862" s="208" t="s">
        <v>386</v>
      </c>
      <c r="F7862" t="s">
        <v>4</v>
      </c>
      <c r="G7862" s="18">
        <v>2346</v>
      </c>
      <c r="H7862" t="s">
        <v>23</v>
      </c>
      <c r="I7862" t="s">
        <v>16</v>
      </c>
    </row>
    <row r="7863" spans="1:9" x14ac:dyDescent="0.25">
      <c r="A7863">
        <v>1821</v>
      </c>
      <c r="B7863">
        <f>A7863+1</f>
        <v>1822</v>
      </c>
      <c r="C7863" t="s">
        <v>527</v>
      </c>
      <c r="D7863" t="s">
        <v>26</v>
      </c>
      <c r="E7863" s="208" t="s">
        <v>387</v>
      </c>
      <c r="F7863" t="s">
        <v>4</v>
      </c>
      <c r="G7863" s="18">
        <v>0</v>
      </c>
      <c r="H7863" t="s">
        <v>23</v>
      </c>
      <c r="I7863" t="s">
        <v>16</v>
      </c>
    </row>
    <row r="7864" spans="1:9" x14ac:dyDescent="0.25">
      <c r="A7864">
        <v>1821</v>
      </c>
      <c r="B7864">
        <f>A7864+1</f>
        <v>1822</v>
      </c>
      <c r="C7864" t="s">
        <v>527</v>
      </c>
      <c r="D7864" t="s">
        <v>26</v>
      </c>
      <c r="E7864" s="208" t="s">
        <v>388</v>
      </c>
      <c r="F7864" t="s">
        <v>4</v>
      </c>
      <c r="G7864" s="18">
        <v>1412</v>
      </c>
      <c r="H7864" t="s">
        <v>23</v>
      </c>
      <c r="I7864" t="s">
        <v>16</v>
      </c>
    </row>
    <row r="7865" spans="1:9" x14ac:dyDescent="0.25">
      <c r="A7865">
        <v>1821</v>
      </c>
      <c r="B7865">
        <f>A7865+1</f>
        <v>1822</v>
      </c>
      <c r="C7865" t="s">
        <v>527</v>
      </c>
      <c r="D7865" t="s">
        <v>26</v>
      </c>
      <c r="E7865" s="208" t="s">
        <v>383</v>
      </c>
      <c r="F7865" t="s">
        <v>4</v>
      </c>
      <c r="G7865" s="18">
        <v>0</v>
      </c>
      <c r="H7865" t="s">
        <v>23</v>
      </c>
      <c r="I7865" t="s">
        <v>16</v>
      </c>
    </row>
    <row r="7866" spans="1:9" x14ac:dyDescent="0.25">
      <c r="A7866">
        <v>1821</v>
      </c>
      <c r="B7866">
        <f>A7866+1</f>
        <v>1822</v>
      </c>
      <c r="C7866" t="s">
        <v>527</v>
      </c>
      <c r="D7866" t="s">
        <v>26</v>
      </c>
      <c r="E7866" s="208" t="s">
        <v>384</v>
      </c>
      <c r="F7866" t="s">
        <v>4</v>
      </c>
      <c r="G7866" s="18">
        <v>0</v>
      </c>
      <c r="H7866" t="s">
        <v>23</v>
      </c>
      <c r="I7866" t="s">
        <v>16</v>
      </c>
    </row>
    <row r="7867" spans="1:9" x14ac:dyDescent="0.25">
      <c r="A7867">
        <v>1821</v>
      </c>
      <c r="B7867">
        <f>A7867+1</f>
        <v>1822</v>
      </c>
      <c r="C7867" t="s">
        <v>527</v>
      </c>
      <c r="D7867" t="s">
        <v>26</v>
      </c>
      <c r="E7867" s="208" t="s">
        <v>107</v>
      </c>
      <c r="F7867" t="s">
        <v>4</v>
      </c>
      <c r="G7867" s="18">
        <v>0</v>
      </c>
      <c r="H7867" t="s">
        <v>23</v>
      </c>
      <c r="I7867" t="s">
        <v>16</v>
      </c>
    </row>
    <row r="7868" spans="1:9" x14ac:dyDescent="0.25">
      <c r="A7868">
        <v>1821</v>
      </c>
      <c r="B7868">
        <f>A7868+1</f>
        <v>1822</v>
      </c>
      <c r="C7868" t="s">
        <v>527</v>
      </c>
      <c r="D7868" t="s">
        <v>26</v>
      </c>
      <c r="E7868" s="208" t="s">
        <v>101</v>
      </c>
      <c r="F7868" t="s">
        <v>4</v>
      </c>
      <c r="G7868" s="18">
        <v>408000</v>
      </c>
      <c r="H7868" t="s">
        <v>23</v>
      </c>
      <c r="I7868" t="s">
        <v>16</v>
      </c>
    </row>
    <row r="7869" spans="1:9" x14ac:dyDescent="0.25">
      <c r="A7869">
        <v>1821</v>
      </c>
      <c r="B7869">
        <f>A7869+1</f>
        <v>1822</v>
      </c>
      <c r="C7869" t="s">
        <v>527</v>
      </c>
      <c r="D7869" t="s">
        <v>26</v>
      </c>
      <c r="E7869" s="208" t="s">
        <v>75</v>
      </c>
      <c r="F7869" t="s">
        <v>4</v>
      </c>
      <c r="G7869" s="18">
        <v>27000</v>
      </c>
      <c r="H7869" t="s">
        <v>23</v>
      </c>
      <c r="I7869" t="s">
        <v>16</v>
      </c>
    </row>
    <row r="7870" spans="1:9" x14ac:dyDescent="0.25">
      <c r="A7870">
        <v>1821</v>
      </c>
      <c r="B7870">
        <f>A7870+1</f>
        <v>1822</v>
      </c>
      <c r="C7870" t="s">
        <v>527</v>
      </c>
      <c r="D7870" t="s">
        <v>26</v>
      </c>
      <c r="E7870" s="208" t="s">
        <v>330</v>
      </c>
      <c r="F7870" t="s">
        <v>4</v>
      </c>
      <c r="G7870" s="18">
        <v>0</v>
      </c>
      <c r="H7870" t="s">
        <v>23</v>
      </c>
      <c r="I7870" t="s">
        <v>16</v>
      </c>
    </row>
    <row r="7871" spans="1:9" x14ac:dyDescent="0.25">
      <c r="A7871">
        <v>1821</v>
      </c>
      <c r="B7871">
        <f>A7871+1</f>
        <v>1822</v>
      </c>
      <c r="C7871" t="s">
        <v>527</v>
      </c>
      <c r="D7871" t="s">
        <v>26</v>
      </c>
      <c r="E7871" s="208" t="s">
        <v>331</v>
      </c>
      <c r="F7871" t="s">
        <v>4</v>
      </c>
      <c r="G7871" s="18">
        <v>0</v>
      </c>
      <c r="H7871" t="s">
        <v>23</v>
      </c>
      <c r="I7871" t="s">
        <v>16</v>
      </c>
    </row>
    <row r="7872" spans="1:9" x14ac:dyDescent="0.25">
      <c r="A7872">
        <v>1821</v>
      </c>
      <c r="B7872">
        <f>A7872+1</f>
        <v>1822</v>
      </c>
      <c r="C7872" t="s">
        <v>527</v>
      </c>
      <c r="D7872" t="s">
        <v>26</v>
      </c>
      <c r="E7872" s="208" t="s">
        <v>332</v>
      </c>
      <c r="F7872" t="s">
        <v>4</v>
      </c>
      <c r="G7872" s="18">
        <v>0</v>
      </c>
      <c r="H7872" t="s">
        <v>23</v>
      </c>
      <c r="I7872" t="s">
        <v>16</v>
      </c>
    </row>
    <row r="7873" spans="1:9" x14ac:dyDescent="0.25">
      <c r="A7873">
        <v>1821</v>
      </c>
      <c r="B7873">
        <f>A7873+1</f>
        <v>1822</v>
      </c>
      <c r="C7873" t="s">
        <v>527</v>
      </c>
      <c r="D7873" t="s">
        <v>26</v>
      </c>
      <c r="E7873" s="208" t="s">
        <v>333</v>
      </c>
      <c r="F7873" t="s">
        <v>4</v>
      </c>
      <c r="G7873" s="18">
        <v>0</v>
      </c>
      <c r="H7873" t="s">
        <v>23</v>
      </c>
      <c r="I7873" t="s">
        <v>16</v>
      </c>
    </row>
    <row r="7874" spans="1:9" x14ac:dyDescent="0.25">
      <c r="A7874">
        <v>1821</v>
      </c>
      <c r="B7874">
        <f>A7874+1</f>
        <v>1822</v>
      </c>
      <c r="C7874" t="s">
        <v>527</v>
      </c>
      <c r="D7874" t="s">
        <v>27</v>
      </c>
      <c r="E7874" s="208" t="s">
        <v>155</v>
      </c>
      <c r="F7874" t="s">
        <v>7</v>
      </c>
      <c r="G7874" s="18">
        <v>18189</v>
      </c>
      <c r="H7874" t="s">
        <v>16</v>
      </c>
      <c r="I7874" s="151" t="s">
        <v>562</v>
      </c>
    </row>
    <row r="7875" spans="1:9" x14ac:dyDescent="0.25">
      <c r="A7875">
        <v>1821</v>
      </c>
      <c r="B7875">
        <f>A7875+1</f>
        <v>1822</v>
      </c>
      <c r="C7875" t="s">
        <v>527</v>
      </c>
      <c r="D7875" t="s">
        <v>27</v>
      </c>
      <c r="E7875" s="208" t="s">
        <v>156</v>
      </c>
      <c r="F7875" t="s">
        <v>7</v>
      </c>
      <c r="G7875" s="18">
        <v>1340</v>
      </c>
      <c r="H7875" t="s">
        <v>16</v>
      </c>
      <c r="I7875" s="151" t="s">
        <v>562</v>
      </c>
    </row>
    <row r="7876" spans="1:9" x14ac:dyDescent="0.25">
      <c r="A7876">
        <v>1821</v>
      </c>
      <c r="B7876">
        <f>A7876+1</f>
        <v>1822</v>
      </c>
      <c r="C7876" t="s">
        <v>527</v>
      </c>
      <c r="D7876" t="s">
        <v>27</v>
      </c>
      <c r="E7876" s="208" t="s">
        <v>154</v>
      </c>
      <c r="F7876" t="s">
        <v>7</v>
      </c>
      <c r="G7876" s="18">
        <v>533</v>
      </c>
      <c r="H7876" t="s">
        <v>16</v>
      </c>
      <c r="I7876" s="151" t="s">
        <v>562</v>
      </c>
    </row>
    <row r="7877" spans="1:9" x14ac:dyDescent="0.25">
      <c r="A7877">
        <v>1821</v>
      </c>
      <c r="B7877">
        <f>A7877+1</f>
        <v>1822</v>
      </c>
      <c r="C7877" t="s">
        <v>527</v>
      </c>
      <c r="D7877" t="s">
        <v>27</v>
      </c>
      <c r="E7877" s="208" t="s">
        <v>150</v>
      </c>
      <c r="F7877" t="s">
        <v>7</v>
      </c>
      <c r="G7877" s="18">
        <v>4977</v>
      </c>
      <c r="H7877" t="s">
        <v>16</v>
      </c>
      <c r="I7877" s="151" t="s">
        <v>562</v>
      </c>
    </row>
    <row r="7878" spans="1:9" x14ac:dyDescent="0.25">
      <c r="A7878">
        <v>1821</v>
      </c>
      <c r="B7878">
        <f>A7878+1</f>
        <v>1822</v>
      </c>
      <c r="C7878" t="s">
        <v>527</v>
      </c>
      <c r="D7878" t="s">
        <v>27</v>
      </c>
      <c r="E7878" s="208" t="s">
        <v>148</v>
      </c>
      <c r="F7878" t="s">
        <v>7</v>
      </c>
      <c r="G7878" s="18">
        <v>253</v>
      </c>
      <c r="H7878" t="s">
        <v>16</v>
      </c>
      <c r="I7878" s="151" t="s">
        <v>562</v>
      </c>
    </row>
    <row r="7879" spans="1:9" x14ac:dyDescent="0.25">
      <c r="A7879">
        <v>1821</v>
      </c>
      <c r="B7879">
        <f>A7879+1</f>
        <v>1822</v>
      </c>
      <c r="C7879" t="s">
        <v>527</v>
      </c>
      <c r="D7879" t="s">
        <v>27</v>
      </c>
      <c r="E7879" s="208" t="s">
        <v>147</v>
      </c>
      <c r="F7879" t="s">
        <v>7</v>
      </c>
      <c r="G7879" s="18">
        <v>8</v>
      </c>
      <c r="H7879" t="s">
        <v>16</v>
      </c>
      <c r="I7879" s="151" t="s">
        <v>562</v>
      </c>
    </row>
    <row r="7880" spans="1:9" x14ac:dyDescent="0.25">
      <c r="A7880">
        <v>1821</v>
      </c>
      <c r="B7880">
        <f>A7880+1</f>
        <v>1822</v>
      </c>
      <c r="C7880" t="s">
        <v>527</v>
      </c>
      <c r="D7880" t="s">
        <v>27</v>
      </c>
      <c r="E7880" s="208" t="s">
        <v>314</v>
      </c>
      <c r="F7880" t="s">
        <v>7</v>
      </c>
      <c r="G7880" s="18">
        <v>46</v>
      </c>
      <c r="H7880" t="s">
        <v>16</v>
      </c>
      <c r="I7880" s="151" t="s">
        <v>562</v>
      </c>
    </row>
    <row r="7881" spans="1:9" x14ac:dyDescent="0.25">
      <c r="A7881">
        <v>1821</v>
      </c>
      <c r="B7881">
        <f>A7881+1</f>
        <v>1822</v>
      </c>
      <c r="C7881" t="s">
        <v>527</v>
      </c>
      <c r="D7881" t="s">
        <v>27</v>
      </c>
      <c r="E7881" s="208" t="s">
        <v>139</v>
      </c>
      <c r="F7881" t="s">
        <v>7</v>
      </c>
      <c r="G7881" s="18">
        <v>8</v>
      </c>
      <c r="H7881" t="s">
        <v>16</v>
      </c>
      <c r="I7881" s="151" t="s">
        <v>562</v>
      </c>
    </row>
    <row r="7882" spans="1:9" x14ac:dyDescent="0.25">
      <c r="A7882">
        <v>1821</v>
      </c>
      <c r="B7882">
        <f>A7882+1</f>
        <v>1822</v>
      </c>
      <c r="C7882" t="s">
        <v>527</v>
      </c>
      <c r="D7882" t="s">
        <v>27</v>
      </c>
      <c r="E7882" s="208" t="s">
        <v>132</v>
      </c>
      <c r="F7882" t="s">
        <v>7</v>
      </c>
      <c r="G7882" s="18">
        <v>86</v>
      </c>
      <c r="H7882" t="s">
        <v>16</v>
      </c>
      <c r="I7882" s="151" t="s">
        <v>562</v>
      </c>
    </row>
    <row r="7883" spans="1:9" x14ac:dyDescent="0.25">
      <c r="A7883">
        <v>1821</v>
      </c>
      <c r="B7883">
        <f>A7883+1</f>
        <v>1822</v>
      </c>
      <c r="C7883" t="s">
        <v>527</v>
      </c>
      <c r="D7883" t="s">
        <v>27</v>
      </c>
      <c r="E7883" s="208" t="s">
        <v>130</v>
      </c>
      <c r="F7883" t="s">
        <v>7</v>
      </c>
      <c r="G7883" s="18">
        <v>2</v>
      </c>
      <c r="H7883" t="s">
        <v>16</v>
      </c>
      <c r="I7883" s="151" t="s">
        <v>562</v>
      </c>
    </row>
    <row r="7884" spans="1:9" x14ac:dyDescent="0.25">
      <c r="A7884">
        <v>1821</v>
      </c>
      <c r="B7884">
        <f>A7884+1</f>
        <v>1822</v>
      </c>
      <c r="C7884" t="s">
        <v>527</v>
      </c>
      <c r="D7884" t="s">
        <v>27</v>
      </c>
      <c r="E7884" s="208" t="s">
        <v>144</v>
      </c>
      <c r="F7884" t="s">
        <v>7</v>
      </c>
      <c r="G7884" s="18">
        <v>296</v>
      </c>
      <c r="H7884" t="s">
        <v>16</v>
      </c>
      <c r="I7884" s="151" t="s">
        <v>562</v>
      </c>
    </row>
    <row r="7885" spans="1:9" x14ac:dyDescent="0.25">
      <c r="A7885">
        <v>1821</v>
      </c>
      <c r="B7885">
        <f>A7885+1</f>
        <v>1822</v>
      </c>
      <c r="C7885" t="s">
        <v>527</v>
      </c>
      <c r="D7885" t="s">
        <v>27</v>
      </c>
      <c r="E7885" s="208" t="s">
        <v>142</v>
      </c>
      <c r="F7885" t="s">
        <v>7</v>
      </c>
      <c r="G7885" s="18">
        <v>2102</v>
      </c>
      <c r="H7885" t="s">
        <v>16</v>
      </c>
      <c r="I7885" s="151" t="s">
        <v>562</v>
      </c>
    </row>
    <row r="7886" spans="1:9" x14ac:dyDescent="0.25">
      <c r="A7886">
        <v>1821</v>
      </c>
      <c r="B7886">
        <f>A7886+1</f>
        <v>1822</v>
      </c>
      <c r="C7886" t="s">
        <v>527</v>
      </c>
      <c r="D7886" t="s">
        <v>27</v>
      </c>
      <c r="E7886" s="208" t="s">
        <v>124</v>
      </c>
      <c r="F7886" t="s">
        <v>7</v>
      </c>
      <c r="G7886" s="18">
        <v>11112901</v>
      </c>
      <c r="H7886" t="s">
        <v>16</v>
      </c>
      <c r="I7886" s="151" t="s">
        <v>562</v>
      </c>
    </row>
    <row r="7887" spans="1:9" x14ac:dyDescent="0.25">
      <c r="A7887">
        <v>1821</v>
      </c>
      <c r="B7887">
        <f>A7887+1</f>
        <v>1822</v>
      </c>
      <c r="C7887" t="s">
        <v>527</v>
      </c>
      <c r="D7887" t="s">
        <v>26</v>
      </c>
      <c r="E7887" s="208" t="s">
        <v>62</v>
      </c>
      <c r="F7887" t="s">
        <v>7</v>
      </c>
      <c r="G7887" s="18">
        <v>64492</v>
      </c>
      <c r="H7887" s="151" t="s">
        <v>563</v>
      </c>
      <c r="I7887" t="s">
        <v>16</v>
      </c>
    </row>
    <row r="7888" spans="1:9" x14ac:dyDescent="0.25">
      <c r="A7888">
        <v>1821</v>
      </c>
      <c r="B7888">
        <f>A7888+1</f>
        <v>1822</v>
      </c>
      <c r="C7888" t="s">
        <v>527</v>
      </c>
      <c r="D7888" t="s">
        <v>26</v>
      </c>
      <c r="E7888" s="208" t="s">
        <v>36</v>
      </c>
      <c r="F7888" t="s">
        <v>7</v>
      </c>
      <c r="G7888" s="18">
        <v>4021</v>
      </c>
      <c r="H7888" s="151" t="s">
        <v>563</v>
      </c>
      <c r="I7888" t="s">
        <v>16</v>
      </c>
    </row>
    <row r="7889" spans="1:9" x14ac:dyDescent="0.25">
      <c r="A7889">
        <v>1821</v>
      </c>
      <c r="B7889">
        <f>A7889+1</f>
        <v>1822</v>
      </c>
      <c r="C7889" t="s">
        <v>527</v>
      </c>
      <c r="D7889" t="s">
        <v>26</v>
      </c>
      <c r="E7889" s="208" t="s">
        <v>35</v>
      </c>
      <c r="F7889" t="s">
        <v>7</v>
      </c>
      <c r="G7889" s="18">
        <v>3746</v>
      </c>
      <c r="H7889" s="151" t="s">
        <v>563</v>
      </c>
      <c r="I7889" t="s">
        <v>16</v>
      </c>
    </row>
    <row r="7890" spans="1:9" x14ac:dyDescent="0.25">
      <c r="A7890">
        <v>1821</v>
      </c>
      <c r="B7890">
        <f>A7890+1</f>
        <v>1822</v>
      </c>
      <c r="C7890" t="s">
        <v>527</v>
      </c>
      <c r="D7890" t="s">
        <v>26</v>
      </c>
      <c r="E7890" s="208" t="s">
        <v>39</v>
      </c>
      <c r="F7890" t="s">
        <v>7</v>
      </c>
      <c r="G7890" s="18">
        <v>1952</v>
      </c>
      <c r="H7890" s="151" t="s">
        <v>563</v>
      </c>
      <c r="I7890" t="s">
        <v>16</v>
      </c>
    </row>
    <row r="7891" spans="1:9" x14ac:dyDescent="0.25">
      <c r="A7891">
        <v>1821</v>
      </c>
      <c r="B7891">
        <f>A7891+1</f>
        <v>1822</v>
      </c>
      <c r="C7891" t="s">
        <v>527</v>
      </c>
      <c r="D7891" t="s">
        <v>26</v>
      </c>
      <c r="E7891" s="208" t="s">
        <v>99</v>
      </c>
      <c r="F7891" t="s">
        <v>7</v>
      </c>
      <c r="G7891" s="18">
        <v>2741</v>
      </c>
      <c r="H7891" s="151" t="s">
        <v>563</v>
      </c>
      <c r="I7891" t="s">
        <v>16</v>
      </c>
    </row>
    <row r="7892" spans="1:9" x14ac:dyDescent="0.25">
      <c r="A7892">
        <v>1821</v>
      </c>
      <c r="B7892">
        <f>A7892+1</f>
        <v>1822</v>
      </c>
      <c r="C7892" t="s">
        <v>527</v>
      </c>
      <c r="D7892" t="s">
        <v>26</v>
      </c>
      <c r="E7892" s="208" t="s">
        <v>95</v>
      </c>
      <c r="F7892" t="s">
        <v>7</v>
      </c>
      <c r="G7892" s="18">
        <v>24</v>
      </c>
      <c r="H7892" s="151" t="s">
        <v>563</v>
      </c>
      <c r="I7892" t="s">
        <v>16</v>
      </c>
    </row>
    <row r="7893" spans="1:9" x14ac:dyDescent="0.25">
      <c r="A7893">
        <v>1821</v>
      </c>
      <c r="B7893">
        <f>A7893+1</f>
        <v>1822</v>
      </c>
      <c r="C7893" t="s">
        <v>527</v>
      </c>
      <c r="D7893" t="s">
        <v>26</v>
      </c>
      <c r="E7893" s="208" t="s">
        <v>94</v>
      </c>
      <c r="F7893" t="s">
        <v>7</v>
      </c>
      <c r="G7893" s="18">
        <v>9284</v>
      </c>
      <c r="H7893" s="151" t="s">
        <v>563</v>
      </c>
      <c r="I7893" t="s">
        <v>16</v>
      </c>
    </row>
    <row r="7894" spans="1:9" x14ac:dyDescent="0.25">
      <c r="A7894">
        <v>1821</v>
      </c>
      <c r="B7894">
        <f>A7894+1</f>
        <v>1822</v>
      </c>
      <c r="C7894" t="s">
        <v>527</v>
      </c>
      <c r="D7894" t="s">
        <v>26</v>
      </c>
      <c r="E7894" s="208" t="s">
        <v>386</v>
      </c>
      <c r="F7894" t="s">
        <v>7</v>
      </c>
      <c r="G7894" s="18">
        <v>19817</v>
      </c>
      <c r="H7894" s="151" t="s">
        <v>563</v>
      </c>
      <c r="I7894" t="s">
        <v>16</v>
      </c>
    </row>
    <row r="7895" spans="1:9" x14ac:dyDescent="0.25">
      <c r="A7895">
        <v>1821</v>
      </c>
      <c r="B7895">
        <f>A7895+1</f>
        <v>1822</v>
      </c>
      <c r="C7895" t="s">
        <v>527</v>
      </c>
      <c r="D7895" t="s">
        <v>26</v>
      </c>
      <c r="E7895" s="208" t="s">
        <v>387</v>
      </c>
      <c r="F7895" t="s">
        <v>7</v>
      </c>
      <c r="G7895" s="18">
        <v>1036</v>
      </c>
      <c r="H7895" s="151" t="s">
        <v>563</v>
      </c>
      <c r="I7895" t="s">
        <v>16</v>
      </c>
    </row>
    <row r="7896" spans="1:9" x14ac:dyDescent="0.25">
      <c r="A7896">
        <v>1821</v>
      </c>
      <c r="B7896">
        <f>A7896+1</f>
        <v>1822</v>
      </c>
      <c r="C7896" t="s">
        <v>527</v>
      </c>
      <c r="D7896" t="s">
        <v>26</v>
      </c>
      <c r="E7896" s="208" t="s">
        <v>388</v>
      </c>
      <c r="F7896" t="s">
        <v>7</v>
      </c>
      <c r="G7896" s="18">
        <v>12229</v>
      </c>
      <c r="H7896" s="151" t="s">
        <v>563</v>
      </c>
      <c r="I7896" t="s">
        <v>16</v>
      </c>
    </row>
    <row r="7897" spans="1:9" x14ac:dyDescent="0.25">
      <c r="A7897">
        <v>1821</v>
      </c>
      <c r="B7897">
        <f>A7897+1</f>
        <v>1822</v>
      </c>
      <c r="C7897" t="s">
        <v>527</v>
      </c>
      <c r="D7897" t="s">
        <v>26</v>
      </c>
      <c r="E7897" s="208" t="s">
        <v>383</v>
      </c>
      <c r="F7897" t="s">
        <v>7</v>
      </c>
      <c r="G7897" s="18">
        <v>576</v>
      </c>
      <c r="H7897" s="151" t="s">
        <v>563</v>
      </c>
      <c r="I7897" t="s">
        <v>16</v>
      </c>
    </row>
    <row r="7898" spans="1:9" x14ac:dyDescent="0.25">
      <c r="A7898">
        <v>1821</v>
      </c>
      <c r="B7898">
        <f>A7898+1</f>
        <v>1822</v>
      </c>
      <c r="C7898" t="s">
        <v>527</v>
      </c>
      <c r="D7898" t="s">
        <v>26</v>
      </c>
      <c r="E7898" s="208" t="s">
        <v>384</v>
      </c>
      <c r="F7898" t="s">
        <v>7</v>
      </c>
      <c r="G7898" s="18">
        <v>260</v>
      </c>
      <c r="H7898" s="151" t="s">
        <v>563</v>
      </c>
      <c r="I7898" t="s">
        <v>16</v>
      </c>
    </row>
    <row r="7899" spans="1:9" x14ac:dyDescent="0.25">
      <c r="A7899">
        <v>1821</v>
      </c>
      <c r="B7899">
        <f>A7899+1</f>
        <v>1822</v>
      </c>
      <c r="C7899" t="s">
        <v>527</v>
      </c>
      <c r="D7899" t="s">
        <v>26</v>
      </c>
      <c r="E7899" s="208" t="s">
        <v>107</v>
      </c>
      <c r="F7899" t="s">
        <v>7</v>
      </c>
      <c r="G7899" s="18">
        <v>931918</v>
      </c>
      <c r="H7899" s="151" t="s">
        <v>563</v>
      </c>
      <c r="I7899" t="s">
        <v>16</v>
      </c>
    </row>
    <row r="7900" spans="1:9" x14ac:dyDescent="0.25">
      <c r="A7900">
        <v>1821</v>
      </c>
      <c r="B7900">
        <f>A7900+1</f>
        <v>1822</v>
      </c>
      <c r="C7900" t="s">
        <v>527</v>
      </c>
      <c r="D7900" t="s">
        <v>26</v>
      </c>
      <c r="E7900" s="208" t="s">
        <v>101</v>
      </c>
      <c r="F7900" t="s">
        <v>7</v>
      </c>
      <c r="G7900" s="18">
        <v>4201515</v>
      </c>
      <c r="H7900" s="151" t="s">
        <v>563</v>
      </c>
      <c r="I7900" t="s">
        <v>16</v>
      </c>
    </row>
    <row r="7901" spans="1:9" x14ac:dyDescent="0.25">
      <c r="A7901">
        <v>1821</v>
      </c>
      <c r="B7901">
        <f>A7901+1</f>
        <v>1822</v>
      </c>
      <c r="C7901" t="s">
        <v>527</v>
      </c>
      <c r="D7901" t="s">
        <v>26</v>
      </c>
      <c r="E7901" s="208" t="s">
        <v>75</v>
      </c>
      <c r="F7901" t="s">
        <v>7</v>
      </c>
      <c r="G7901" s="18">
        <v>2901191</v>
      </c>
      <c r="H7901" s="151" t="s">
        <v>563</v>
      </c>
      <c r="I7901" t="s">
        <v>16</v>
      </c>
    </row>
    <row r="7902" spans="1:9" x14ac:dyDescent="0.25">
      <c r="A7902">
        <v>1821</v>
      </c>
      <c r="B7902">
        <f>A7902+1</f>
        <v>1822</v>
      </c>
      <c r="C7902" t="s">
        <v>527</v>
      </c>
      <c r="D7902" t="s">
        <v>26</v>
      </c>
      <c r="E7902" s="208" t="s">
        <v>330</v>
      </c>
      <c r="F7902" t="s">
        <v>7</v>
      </c>
      <c r="G7902" s="18">
        <v>937</v>
      </c>
      <c r="H7902" s="151" t="s">
        <v>563</v>
      </c>
      <c r="I7902" t="s">
        <v>16</v>
      </c>
    </row>
    <row r="7903" spans="1:9" x14ac:dyDescent="0.25">
      <c r="A7903">
        <v>1821</v>
      </c>
      <c r="B7903">
        <f>A7903+1</f>
        <v>1822</v>
      </c>
      <c r="C7903" t="s">
        <v>527</v>
      </c>
      <c r="D7903" t="s">
        <v>26</v>
      </c>
      <c r="E7903" s="208" t="s">
        <v>331</v>
      </c>
      <c r="F7903" t="s">
        <v>7</v>
      </c>
      <c r="G7903" s="18">
        <v>606</v>
      </c>
      <c r="H7903" s="151" t="s">
        <v>563</v>
      </c>
      <c r="I7903" t="s">
        <v>16</v>
      </c>
    </row>
    <row r="7904" spans="1:9" x14ac:dyDescent="0.25">
      <c r="A7904">
        <v>1821</v>
      </c>
      <c r="B7904">
        <f>A7904+1</f>
        <v>1822</v>
      </c>
      <c r="C7904" t="s">
        <v>527</v>
      </c>
      <c r="D7904" t="s">
        <v>26</v>
      </c>
      <c r="E7904" s="208" t="s">
        <v>332</v>
      </c>
      <c r="F7904" t="s">
        <v>7</v>
      </c>
      <c r="G7904" s="18">
        <v>252</v>
      </c>
      <c r="H7904" s="151" t="s">
        <v>563</v>
      </c>
      <c r="I7904" t="s">
        <v>16</v>
      </c>
    </row>
    <row r="7905" spans="1:9" x14ac:dyDescent="0.25">
      <c r="A7905">
        <v>1821</v>
      </c>
      <c r="B7905">
        <f>A7905+1</f>
        <v>1822</v>
      </c>
      <c r="C7905" t="s">
        <v>527</v>
      </c>
      <c r="D7905" t="s">
        <v>26</v>
      </c>
      <c r="E7905" s="208" t="s">
        <v>333</v>
      </c>
      <c r="F7905" t="s">
        <v>7</v>
      </c>
      <c r="G7905" s="18">
        <v>514</v>
      </c>
      <c r="H7905" s="151" t="s">
        <v>563</v>
      </c>
      <c r="I7905" t="s">
        <v>16</v>
      </c>
    </row>
    <row r="7906" spans="1:9" x14ac:dyDescent="0.25">
      <c r="A7906">
        <v>1821</v>
      </c>
      <c r="B7906">
        <f>A7906+1</f>
        <v>1822</v>
      </c>
      <c r="C7906" t="s">
        <v>527</v>
      </c>
      <c r="D7906" t="s">
        <v>27</v>
      </c>
      <c r="E7906" s="208" t="s">
        <v>155</v>
      </c>
      <c r="F7906" t="s">
        <v>10</v>
      </c>
      <c r="G7906" s="18">
        <v>93</v>
      </c>
      <c r="H7906" t="s">
        <v>17</v>
      </c>
      <c r="I7906" t="s">
        <v>24</v>
      </c>
    </row>
    <row r="7907" spans="1:9" x14ac:dyDescent="0.25">
      <c r="A7907">
        <v>1821</v>
      </c>
      <c r="B7907">
        <f>A7907+1</f>
        <v>1822</v>
      </c>
      <c r="C7907" t="s">
        <v>527</v>
      </c>
      <c r="D7907" t="s">
        <v>27</v>
      </c>
      <c r="E7907" s="208" t="s">
        <v>156</v>
      </c>
      <c r="F7907" t="s">
        <v>10</v>
      </c>
      <c r="G7907" s="18">
        <v>74</v>
      </c>
      <c r="H7907" t="s">
        <v>17</v>
      </c>
      <c r="I7907" t="s">
        <v>24</v>
      </c>
    </row>
    <row r="7908" spans="1:9" x14ac:dyDescent="0.25">
      <c r="A7908">
        <v>1821</v>
      </c>
      <c r="B7908">
        <f>A7908+1</f>
        <v>1822</v>
      </c>
      <c r="C7908" t="s">
        <v>527</v>
      </c>
      <c r="D7908" t="s">
        <v>27</v>
      </c>
      <c r="E7908" s="208" t="s">
        <v>154</v>
      </c>
      <c r="F7908" t="s">
        <v>10</v>
      </c>
      <c r="G7908" s="18">
        <v>168</v>
      </c>
      <c r="H7908" t="s">
        <v>17</v>
      </c>
      <c r="I7908" t="s">
        <v>24</v>
      </c>
    </row>
    <row r="7909" spans="1:9" x14ac:dyDescent="0.25">
      <c r="A7909">
        <v>1821</v>
      </c>
      <c r="B7909">
        <f>A7909+1</f>
        <v>1822</v>
      </c>
      <c r="C7909" t="s">
        <v>527</v>
      </c>
      <c r="D7909" t="s">
        <v>27</v>
      </c>
      <c r="E7909" s="208" t="s">
        <v>150</v>
      </c>
      <c r="F7909" t="s">
        <v>10</v>
      </c>
      <c r="G7909" s="18">
        <v>4272</v>
      </c>
      <c r="H7909" t="s">
        <v>17</v>
      </c>
      <c r="I7909" t="s">
        <v>24</v>
      </c>
    </row>
    <row r="7910" spans="1:9" x14ac:dyDescent="0.25">
      <c r="A7910">
        <v>1821</v>
      </c>
      <c r="B7910">
        <f>A7910+1</f>
        <v>1822</v>
      </c>
      <c r="C7910" t="s">
        <v>527</v>
      </c>
      <c r="D7910" t="s">
        <v>27</v>
      </c>
      <c r="E7910" s="208" t="s">
        <v>148</v>
      </c>
      <c r="F7910" t="s">
        <v>10</v>
      </c>
      <c r="G7910" s="18">
        <v>65</v>
      </c>
      <c r="H7910" t="s">
        <v>17</v>
      </c>
      <c r="I7910" t="s">
        <v>24</v>
      </c>
    </row>
    <row r="7911" spans="1:9" x14ac:dyDescent="0.25">
      <c r="A7911">
        <v>1821</v>
      </c>
      <c r="B7911">
        <f>A7911+1</f>
        <v>1822</v>
      </c>
      <c r="C7911" t="s">
        <v>527</v>
      </c>
      <c r="D7911" t="s">
        <v>27</v>
      </c>
      <c r="E7911" s="208" t="s">
        <v>147</v>
      </c>
      <c r="F7911" t="s">
        <v>10</v>
      </c>
      <c r="G7911" s="18">
        <v>1</v>
      </c>
      <c r="H7911" t="s">
        <v>17</v>
      </c>
      <c r="I7911" t="s">
        <v>24</v>
      </c>
    </row>
    <row r="7912" spans="1:9" x14ac:dyDescent="0.25">
      <c r="A7912">
        <v>1821</v>
      </c>
      <c r="B7912">
        <f>A7912+1</f>
        <v>1822</v>
      </c>
      <c r="C7912" t="s">
        <v>527</v>
      </c>
      <c r="D7912" t="s">
        <v>27</v>
      </c>
      <c r="E7912" s="208" t="s">
        <v>314</v>
      </c>
      <c r="F7912" t="s">
        <v>10</v>
      </c>
      <c r="G7912" s="18">
        <v>0</v>
      </c>
      <c r="H7912" t="s">
        <v>17</v>
      </c>
      <c r="I7912" t="s">
        <v>24</v>
      </c>
    </row>
    <row r="7913" spans="1:9" x14ac:dyDescent="0.25">
      <c r="A7913">
        <v>1821</v>
      </c>
      <c r="B7913">
        <f>A7913+1</f>
        <v>1822</v>
      </c>
      <c r="C7913" t="s">
        <v>527</v>
      </c>
      <c r="D7913" t="s">
        <v>27</v>
      </c>
      <c r="E7913" s="208" t="s">
        <v>139</v>
      </c>
      <c r="F7913" t="s">
        <v>10</v>
      </c>
      <c r="G7913" s="18">
        <v>71</v>
      </c>
      <c r="H7913" t="s">
        <v>17</v>
      </c>
      <c r="I7913" t="s">
        <v>24</v>
      </c>
    </row>
    <row r="7914" spans="1:9" x14ac:dyDescent="0.25">
      <c r="A7914">
        <v>1821</v>
      </c>
      <c r="B7914">
        <f>A7914+1</f>
        <v>1822</v>
      </c>
      <c r="C7914" t="s">
        <v>527</v>
      </c>
      <c r="D7914" t="s">
        <v>27</v>
      </c>
      <c r="E7914" s="208" t="s">
        <v>132</v>
      </c>
      <c r="F7914" t="s">
        <v>10</v>
      </c>
      <c r="G7914" s="18">
        <v>0</v>
      </c>
      <c r="H7914" t="s">
        <v>17</v>
      </c>
      <c r="I7914" t="s">
        <v>24</v>
      </c>
    </row>
    <row r="7915" spans="1:9" x14ac:dyDescent="0.25">
      <c r="A7915">
        <v>1821</v>
      </c>
      <c r="B7915">
        <f>A7915+1</f>
        <v>1822</v>
      </c>
      <c r="C7915" t="s">
        <v>527</v>
      </c>
      <c r="D7915" t="s">
        <v>27</v>
      </c>
      <c r="E7915" s="208" t="s">
        <v>130</v>
      </c>
      <c r="F7915" t="s">
        <v>10</v>
      </c>
      <c r="G7915" s="18">
        <v>0</v>
      </c>
      <c r="H7915" t="s">
        <v>17</v>
      </c>
      <c r="I7915" t="s">
        <v>24</v>
      </c>
    </row>
    <row r="7916" spans="1:9" x14ac:dyDescent="0.25">
      <c r="A7916">
        <v>1821</v>
      </c>
      <c r="B7916">
        <f>A7916+1</f>
        <v>1822</v>
      </c>
      <c r="C7916" t="s">
        <v>527</v>
      </c>
      <c r="D7916" t="s">
        <v>27</v>
      </c>
      <c r="E7916" s="208" t="s">
        <v>144</v>
      </c>
      <c r="F7916" t="s">
        <v>10</v>
      </c>
      <c r="G7916" s="18">
        <v>59</v>
      </c>
      <c r="H7916" t="s">
        <v>17</v>
      </c>
      <c r="I7916" t="s">
        <v>24</v>
      </c>
    </row>
    <row r="7917" spans="1:9" x14ac:dyDescent="0.25">
      <c r="A7917">
        <v>1821</v>
      </c>
      <c r="B7917">
        <f>A7917+1</f>
        <v>1822</v>
      </c>
      <c r="C7917" t="s">
        <v>527</v>
      </c>
      <c r="D7917" t="s">
        <v>27</v>
      </c>
      <c r="E7917" s="208" t="s">
        <v>142</v>
      </c>
      <c r="F7917" t="s">
        <v>10</v>
      </c>
      <c r="G7917" s="18">
        <v>925</v>
      </c>
      <c r="H7917" t="s">
        <v>17</v>
      </c>
      <c r="I7917" t="s">
        <v>24</v>
      </c>
    </row>
    <row r="7918" spans="1:9" x14ac:dyDescent="0.25">
      <c r="A7918">
        <v>1821</v>
      </c>
      <c r="B7918">
        <f>A7918+1</f>
        <v>1822</v>
      </c>
      <c r="C7918" t="s">
        <v>527</v>
      </c>
      <c r="D7918" t="s">
        <v>27</v>
      </c>
      <c r="E7918" s="208" t="s">
        <v>124</v>
      </c>
      <c r="F7918" t="s">
        <v>10</v>
      </c>
      <c r="G7918" s="18">
        <v>17376</v>
      </c>
      <c r="H7918" t="s">
        <v>17</v>
      </c>
      <c r="I7918" t="s">
        <v>24</v>
      </c>
    </row>
    <row r="7919" spans="1:9" x14ac:dyDescent="0.25">
      <c r="A7919">
        <v>1821</v>
      </c>
      <c r="B7919">
        <f>A7919+1</f>
        <v>1822</v>
      </c>
      <c r="C7919" t="s">
        <v>527</v>
      </c>
      <c r="D7919" t="s">
        <v>26</v>
      </c>
      <c r="E7919" s="208" t="s">
        <v>62</v>
      </c>
      <c r="F7919" t="s">
        <v>10</v>
      </c>
      <c r="G7919" s="18">
        <v>3012</v>
      </c>
      <c r="H7919" t="s">
        <v>24</v>
      </c>
      <c r="I7919" t="s">
        <v>17</v>
      </c>
    </row>
    <row r="7920" spans="1:9" x14ac:dyDescent="0.25">
      <c r="A7920">
        <v>1821</v>
      </c>
      <c r="B7920">
        <f>A7920+1</f>
        <v>1822</v>
      </c>
      <c r="C7920" t="s">
        <v>527</v>
      </c>
      <c r="D7920" t="s">
        <v>26</v>
      </c>
      <c r="E7920" s="208" t="s">
        <v>36</v>
      </c>
      <c r="F7920" t="s">
        <v>10</v>
      </c>
      <c r="G7920" s="18">
        <v>438</v>
      </c>
      <c r="H7920" t="s">
        <v>24</v>
      </c>
      <c r="I7920" t="s">
        <v>17</v>
      </c>
    </row>
    <row r="7921" spans="1:9" x14ac:dyDescent="0.25">
      <c r="A7921">
        <v>1821</v>
      </c>
      <c r="B7921">
        <f>A7921+1</f>
        <v>1822</v>
      </c>
      <c r="C7921" t="s">
        <v>527</v>
      </c>
      <c r="D7921" t="s">
        <v>26</v>
      </c>
      <c r="E7921" s="208" t="s">
        <v>35</v>
      </c>
      <c r="F7921" t="s">
        <v>10</v>
      </c>
      <c r="G7921" s="18">
        <v>10</v>
      </c>
      <c r="H7921" t="s">
        <v>24</v>
      </c>
      <c r="I7921" t="s">
        <v>17</v>
      </c>
    </row>
    <row r="7922" spans="1:9" x14ac:dyDescent="0.25">
      <c r="A7922">
        <v>1821</v>
      </c>
      <c r="B7922">
        <f>A7922+1</f>
        <v>1822</v>
      </c>
      <c r="C7922" t="s">
        <v>527</v>
      </c>
      <c r="D7922" t="s">
        <v>26</v>
      </c>
      <c r="E7922" s="208" t="s">
        <v>39</v>
      </c>
      <c r="F7922" t="s">
        <v>10</v>
      </c>
      <c r="G7922" s="18">
        <v>427</v>
      </c>
      <c r="H7922" t="s">
        <v>24</v>
      </c>
      <c r="I7922" t="s">
        <v>17</v>
      </c>
    </row>
    <row r="7923" spans="1:9" x14ac:dyDescent="0.25">
      <c r="A7923">
        <v>1821</v>
      </c>
      <c r="B7923">
        <f>A7923+1</f>
        <v>1822</v>
      </c>
      <c r="C7923" t="s">
        <v>527</v>
      </c>
      <c r="D7923" t="s">
        <v>26</v>
      </c>
      <c r="E7923" s="208" t="s">
        <v>99</v>
      </c>
      <c r="F7923" t="s">
        <v>10</v>
      </c>
      <c r="G7923" s="18">
        <v>104</v>
      </c>
      <c r="H7923" t="s">
        <v>24</v>
      </c>
      <c r="I7923" t="s">
        <v>17</v>
      </c>
    </row>
    <row r="7924" spans="1:9" x14ac:dyDescent="0.25">
      <c r="A7924">
        <v>1821</v>
      </c>
      <c r="B7924">
        <f>A7924+1</f>
        <v>1822</v>
      </c>
      <c r="C7924" t="s">
        <v>527</v>
      </c>
      <c r="D7924" t="s">
        <v>26</v>
      </c>
      <c r="E7924" s="208" t="s">
        <v>95</v>
      </c>
      <c r="F7924" t="s">
        <v>10</v>
      </c>
      <c r="G7924" s="18">
        <v>0</v>
      </c>
      <c r="H7924" t="s">
        <v>24</v>
      </c>
      <c r="I7924" t="s">
        <v>17</v>
      </c>
    </row>
    <row r="7925" spans="1:9" x14ac:dyDescent="0.25">
      <c r="A7925">
        <v>1821</v>
      </c>
      <c r="B7925">
        <f>A7925+1</f>
        <v>1822</v>
      </c>
      <c r="C7925" t="s">
        <v>527</v>
      </c>
      <c r="D7925" t="s">
        <v>26</v>
      </c>
      <c r="E7925" s="208" t="s">
        <v>94</v>
      </c>
      <c r="F7925" t="s">
        <v>10</v>
      </c>
      <c r="G7925" s="18">
        <v>0</v>
      </c>
      <c r="H7925" t="s">
        <v>24</v>
      </c>
      <c r="I7925" t="s">
        <v>17</v>
      </c>
    </row>
    <row r="7926" spans="1:9" x14ac:dyDescent="0.25">
      <c r="A7926">
        <v>1821</v>
      </c>
      <c r="B7926">
        <f>A7926+1</f>
        <v>1822</v>
      </c>
      <c r="C7926" t="s">
        <v>527</v>
      </c>
      <c r="D7926" t="s">
        <v>26</v>
      </c>
      <c r="E7926" s="208" t="s">
        <v>386</v>
      </c>
      <c r="F7926" t="s">
        <v>10</v>
      </c>
      <c r="G7926" s="18">
        <v>3402</v>
      </c>
      <c r="H7926" t="s">
        <v>24</v>
      </c>
      <c r="I7926" t="s">
        <v>17</v>
      </c>
    </row>
    <row r="7927" spans="1:9" x14ac:dyDescent="0.25">
      <c r="A7927">
        <v>1821</v>
      </c>
      <c r="B7927">
        <f>A7927+1</f>
        <v>1822</v>
      </c>
      <c r="C7927" t="s">
        <v>527</v>
      </c>
      <c r="D7927" t="s">
        <v>26</v>
      </c>
      <c r="E7927" s="208" t="s">
        <v>387</v>
      </c>
      <c r="F7927" t="s">
        <v>10</v>
      </c>
      <c r="G7927" s="18">
        <v>0</v>
      </c>
      <c r="H7927" t="s">
        <v>24</v>
      </c>
      <c r="I7927" t="s">
        <v>17</v>
      </c>
    </row>
    <row r="7928" spans="1:9" x14ac:dyDescent="0.25">
      <c r="A7928">
        <v>1821</v>
      </c>
      <c r="B7928">
        <f>A7928+1</f>
        <v>1822</v>
      </c>
      <c r="C7928" t="s">
        <v>527</v>
      </c>
      <c r="D7928" t="s">
        <v>26</v>
      </c>
      <c r="E7928" s="208" t="s">
        <v>388</v>
      </c>
      <c r="F7928" t="s">
        <v>10</v>
      </c>
      <c r="G7928" s="18">
        <v>1253</v>
      </c>
      <c r="H7928" t="s">
        <v>24</v>
      </c>
      <c r="I7928" t="s">
        <v>17</v>
      </c>
    </row>
    <row r="7929" spans="1:9" x14ac:dyDescent="0.25">
      <c r="A7929">
        <v>1821</v>
      </c>
      <c r="B7929">
        <f>A7929+1</f>
        <v>1822</v>
      </c>
      <c r="C7929" t="s">
        <v>527</v>
      </c>
      <c r="D7929" t="s">
        <v>26</v>
      </c>
      <c r="E7929" s="208" t="s">
        <v>383</v>
      </c>
      <c r="F7929" t="s">
        <v>10</v>
      </c>
      <c r="G7929" s="18">
        <v>0</v>
      </c>
      <c r="H7929" t="s">
        <v>24</v>
      </c>
      <c r="I7929" t="s">
        <v>17</v>
      </c>
    </row>
    <row r="7930" spans="1:9" x14ac:dyDescent="0.25">
      <c r="A7930">
        <v>1821</v>
      </c>
      <c r="B7930">
        <f>A7930+1</f>
        <v>1822</v>
      </c>
      <c r="C7930" t="s">
        <v>527</v>
      </c>
      <c r="D7930" t="s">
        <v>26</v>
      </c>
      <c r="E7930" s="208" t="s">
        <v>384</v>
      </c>
      <c r="F7930" t="s">
        <v>10</v>
      </c>
      <c r="G7930" s="18">
        <v>25</v>
      </c>
      <c r="H7930" t="s">
        <v>24</v>
      </c>
      <c r="I7930" t="s">
        <v>17</v>
      </c>
    </row>
    <row r="7931" spans="1:9" x14ac:dyDescent="0.25">
      <c r="A7931">
        <v>1821</v>
      </c>
      <c r="B7931">
        <f>A7931+1</f>
        <v>1822</v>
      </c>
      <c r="C7931" t="s">
        <v>527</v>
      </c>
      <c r="D7931" t="s">
        <v>26</v>
      </c>
      <c r="E7931" s="208" t="s">
        <v>107</v>
      </c>
      <c r="F7931" t="s">
        <v>10</v>
      </c>
      <c r="G7931" s="18">
        <v>2460280</v>
      </c>
      <c r="H7931" t="s">
        <v>24</v>
      </c>
      <c r="I7931" t="s">
        <v>17</v>
      </c>
    </row>
    <row r="7932" spans="1:9" x14ac:dyDescent="0.25">
      <c r="A7932">
        <v>1821</v>
      </c>
      <c r="B7932">
        <f>A7932+1</f>
        <v>1822</v>
      </c>
      <c r="C7932" t="s">
        <v>527</v>
      </c>
      <c r="D7932" t="s">
        <v>26</v>
      </c>
      <c r="E7932" s="208" t="s">
        <v>101</v>
      </c>
      <c r="F7932" t="s">
        <v>10</v>
      </c>
      <c r="G7932" s="18">
        <v>3417800</v>
      </c>
      <c r="H7932" t="s">
        <v>24</v>
      </c>
      <c r="I7932" t="s">
        <v>17</v>
      </c>
    </row>
    <row r="7933" spans="1:9" x14ac:dyDescent="0.25">
      <c r="A7933">
        <v>1821</v>
      </c>
      <c r="B7933">
        <f>A7933+1</f>
        <v>1822</v>
      </c>
      <c r="C7933" t="s">
        <v>527</v>
      </c>
      <c r="D7933" t="s">
        <v>26</v>
      </c>
      <c r="E7933" s="208" t="s">
        <v>75</v>
      </c>
      <c r="F7933" t="s">
        <v>10</v>
      </c>
      <c r="G7933" s="18">
        <v>3655547</v>
      </c>
      <c r="H7933" t="s">
        <v>24</v>
      </c>
      <c r="I7933" t="s">
        <v>17</v>
      </c>
    </row>
    <row r="7934" spans="1:9" x14ac:dyDescent="0.25">
      <c r="A7934">
        <v>1821</v>
      </c>
      <c r="B7934">
        <f>A7934+1</f>
        <v>1822</v>
      </c>
      <c r="C7934" t="s">
        <v>527</v>
      </c>
      <c r="D7934" t="s">
        <v>26</v>
      </c>
      <c r="E7934" s="208" t="s">
        <v>330</v>
      </c>
      <c r="F7934" t="s">
        <v>10</v>
      </c>
      <c r="G7934" s="18">
        <v>30</v>
      </c>
      <c r="H7934" t="s">
        <v>24</v>
      </c>
      <c r="I7934" t="s">
        <v>17</v>
      </c>
    </row>
    <row r="7935" spans="1:9" x14ac:dyDescent="0.25">
      <c r="A7935">
        <v>1821</v>
      </c>
      <c r="B7935">
        <f>A7935+1</f>
        <v>1822</v>
      </c>
      <c r="C7935" t="s">
        <v>527</v>
      </c>
      <c r="D7935" t="s">
        <v>26</v>
      </c>
      <c r="E7935" s="208" t="s">
        <v>331</v>
      </c>
      <c r="F7935" t="s">
        <v>10</v>
      </c>
      <c r="G7935" s="18">
        <v>0</v>
      </c>
      <c r="H7935" t="s">
        <v>24</v>
      </c>
      <c r="I7935" t="s">
        <v>17</v>
      </c>
    </row>
    <row r="7936" spans="1:9" x14ac:dyDescent="0.25">
      <c r="A7936">
        <v>1821</v>
      </c>
      <c r="B7936">
        <f>A7936+1</f>
        <v>1822</v>
      </c>
      <c r="C7936" t="s">
        <v>527</v>
      </c>
      <c r="D7936" t="s">
        <v>26</v>
      </c>
      <c r="E7936" s="208" t="s">
        <v>332</v>
      </c>
      <c r="F7936" t="s">
        <v>10</v>
      </c>
      <c r="G7936" s="18">
        <v>0</v>
      </c>
      <c r="H7936" t="s">
        <v>24</v>
      </c>
      <c r="I7936" t="s">
        <v>17</v>
      </c>
    </row>
    <row r="7937" spans="1:9" x14ac:dyDescent="0.25">
      <c r="A7937">
        <v>1821</v>
      </c>
      <c r="B7937">
        <f>A7937+1</f>
        <v>1822</v>
      </c>
      <c r="C7937" t="s">
        <v>527</v>
      </c>
      <c r="D7937" t="s">
        <v>26</v>
      </c>
      <c r="E7937" s="208" t="s">
        <v>333</v>
      </c>
      <c r="F7937" t="s">
        <v>10</v>
      </c>
      <c r="G7937" s="18">
        <v>0</v>
      </c>
      <c r="H7937" t="s">
        <v>24</v>
      </c>
      <c r="I7937" t="s">
        <v>17</v>
      </c>
    </row>
    <row r="7938" spans="1:9" x14ac:dyDescent="0.25">
      <c r="A7938">
        <v>1821</v>
      </c>
      <c r="B7938">
        <f>A7938+1</f>
        <v>1822</v>
      </c>
      <c r="C7938" t="s">
        <v>527</v>
      </c>
      <c r="D7938" t="s">
        <v>27</v>
      </c>
      <c r="E7938" s="208" t="s">
        <v>155</v>
      </c>
      <c r="F7938" t="s">
        <v>8</v>
      </c>
      <c r="G7938" s="18">
        <v>69851</v>
      </c>
      <c r="H7938" t="s">
        <v>17</v>
      </c>
      <c r="I7938" t="s">
        <v>18</v>
      </c>
    </row>
    <row r="7939" spans="1:9" x14ac:dyDescent="0.25">
      <c r="A7939">
        <v>1821</v>
      </c>
      <c r="B7939">
        <f>A7939+1</f>
        <v>1822</v>
      </c>
      <c r="C7939" t="s">
        <v>527</v>
      </c>
      <c r="D7939" t="s">
        <v>27</v>
      </c>
      <c r="E7939" s="208" t="s">
        <v>156</v>
      </c>
      <c r="F7939" t="s">
        <v>8</v>
      </c>
      <c r="G7939" s="18">
        <v>7198</v>
      </c>
      <c r="H7939" t="s">
        <v>17</v>
      </c>
      <c r="I7939" t="s">
        <v>18</v>
      </c>
    </row>
    <row r="7940" spans="1:9" x14ac:dyDescent="0.25">
      <c r="A7940">
        <v>1821</v>
      </c>
      <c r="B7940">
        <f>A7940+1</f>
        <v>1822</v>
      </c>
      <c r="C7940" t="s">
        <v>527</v>
      </c>
      <c r="D7940" t="s">
        <v>27</v>
      </c>
      <c r="E7940" s="208" t="s">
        <v>154</v>
      </c>
      <c r="F7940" t="s">
        <v>8</v>
      </c>
      <c r="G7940" s="18">
        <v>591</v>
      </c>
      <c r="H7940" t="s">
        <v>17</v>
      </c>
      <c r="I7940" t="s">
        <v>18</v>
      </c>
    </row>
    <row r="7941" spans="1:9" x14ac:dyDescent="0.25">
      <c r="A7941">
        <v>1821</v>
      </c>
      <c r="B7941">
        <f>A7941+1</f>
        <v>1822</v>
      </c>
      <c r="C7941" t="s">
        <v>527</v>
      </c>
      <c r="D7941" t="s">
        <v>27</v>
      </c>
      <c r="E7941" s="208" t="s">
        <v>150</v>
      </c>
      <c r="F7941" t="s">
        <v>8</v>
      </c>
      <c r="G7941" s="18">
        <v>17240</v>
      </c>
      <c r="H7941" t="s">
        <v>17</v>
      </c>
      <c r="I7941" t="s">
        <v>18</v>
      </c>
    </row>
    <row r="7942" spans="1:9" x14ac:dyDescent="0.25">
      <c r="A7942">
        <v>1821</v>
      </c>
      <c r="B7942">
        <f>A7942+1</f>
        <v>1822</v>
      </c>
      <c r="C7942" t="s">
        <v>527</v>
      </c>
      <c r="D7942" t="s">
        <v>27</v>
      </c>
      <c r="E7942" s="208" t="s">
        <v>148</v>
      </c>
      <c r="F7942" t="s">
        <v>8</v>
      </c>
      <c r="G7942" s="18">
        <v>754</v>
      </c>
      <c r="H7942" t="s">
        <v>17</v>
      </c>
      <c r="I7942" t="s">
        <v>18</v>
      </c>
    </row>
    <row r="7943" spans="1:9" x14ac:dyDescent="0.25">
      <c r="A7943">
        <v>1821</v>
      </c>
      <c r="B7943">
        <f>A7943+1</f>
        <v>1822</v>
      </c>
      <c r="C7943" t="s">
        <v>527</v>
      </c>
      <c r="D7943" t="s">
        <v>27</v>
      </c>
      <c r="E7943" s="208" t="s">
        <v>147</v>
      </c>
      <c r="F7943" t="s">
        <v>8</v>
      </c>
      <c r="G7943" s="18">
        <v>0</v>
      </c>
      <c r="H7943" t="s">
        <v>17</v>
      </c>
      <c r="I7943" t="s">
        <v>18</v>
      </c>
    </row>
    <row r="7944" spans="1:9" x14ac:dyDescent="0.25">
      <c r="A7944">
        <v>1821</v>
      </c>
      <c r="B7944">
        <f>A7944+1</f>
        <v>1822</v>
      </c>
      <c r="C7944" t="s">
        <v>527</v>
      </c>
      <c r="D7944" t="s">
        <v>27</v>
      </c>
      <c r="E7944" s="208" t="s">
        <v>314</v>
      </c>
      <c r="F7944" t="s">
        <v>8</v>
      </c>
      <c r="G7944" s="18">
        <v>0</v>
      </c>
      <c r="H7944" t="s">
        <v>17</v>
      </c>
      <c r="I7944" t="s">
        <v>18</v>
      </c>
    </row>
    <row r="7945" spans="1:9" x14ac:dyDescent="0.25">
      <c r="A7945">
        <v>1821</v>
      </c>
      <c r="B7945">
        <f>A7945+1</f>
        <v>1822</v>
      </c>
      <c r="C7945" t="s">
        <v>527</v>
      </c>
      <c r="D7945" t="s">
        <v>27</v>
      </c>
      <c r="E7945" s="208" t="s">
        <v>139</v>
      </c>
      <c r="F7945" t="s">
        <v>8</v>
      </c>
      <c r="G7945" s="18">
        <v>65</v>
      </c>
      <c r="H7945" t="s">
        <v>17</v>
      </c>
      <c r="I7945" t="s">
        <v>18</v>
      </c>
    </row>
    <row r="7946" spans="1:9" x14ac:dyDescent="0.25">
      <c r="A7946">
        <v>1821</v>
      </c>
      <c r="B7946">
        <f>A7946+1</f>
        <v>1822</v>
      </c>
      <c r="C7946" t="s">
        <v>527</v>
      </c>
      <c r="D7946" t="s">
        <v>27</v>
      </c>
      <c r="E7946" s="208" t="s">
        <v>132</v>
      </c>
      <c r="F7946" t="s">
        <v>8</v>
      </c>
      <c r="G7946" s="18">
        <v>805</v>
      </c>
      <c r="H7946" t="s">
        <v>17</v>
      </c>
      <c r="I7946" t="s">
        <v>18</v>
      </c>
    </row>
    <row r="7947" spans="1:9" x14ac:dyDescent="0.25">
      <c r="A7947">
        <v>1821</v>
      </c>
      <c r="B7947">
        <f>A7947+1</f>
        <v>1822</v>
      </c>
      <c r="C7947" t="s">
        <v>527</v>
      </c>
      <c r="D7947" t="s">
        <v>27</v>
      </c>
      <c r="E7947" s="208" t="s">
        <v>130</v>
      </c>
      <c r="F7947" t="s">
        <v>8</v>
      </c>
      <c r="G7947" s="18">
        <v>70</v>
      </c>
      <c r="H7947" t="s">
        <v>17</v>
      </c>
      <c r="I7947" t="s">
        <v>18</v>
      </c>
    </row>
    <row r="7948" spans="1:9" x14ac:dyDescent="0.25">
      <c r="A7948">
        <v>1821</v>
      </c>
      <c r="B7948">
        <f>A7948+1</f>
        <v>1822</v>
      </c>
      <c r="C7948" t="s">
        <v>527</v>
      </c>
      <c r="D7948" t="s">
        <v>27</v>
      </c>
      <c r="E7948" s="208" t="s">
        <v>144</v>
      </c>
      <c r="F7948" t="s">
        <v>8</v>
      </c>
      <c r="G7948" s="18">
        <v>344</v>
      </c>
      <c r="H7948" t="s">
        <v>17</v>
      </c>
      <c r="I7948" t="s">
        <v>18</v>
      </c>
    </row>
    <row r="7949" spans="1:9" x14ac:dyDescent="0.25">
      <c r="A7949">
        <v>1821</v>
      </c>
      <c r="B7949">
        <f>A7949+1</f>
        <v>1822</v>
      </c>
      <c r="C7949" t="s">
        <v>527</v>
      </c>
      <c r="D7949" t="s">
        <v>27</v>
      </c>
      <c r="E7949" s="208" t="s">
        <v>142</v>
      </c>
      <c r="F7949" t="s">
        <v>8</v>
      </c>
      <c r="G7949" s="18">
        <v>15635</v>
      </c>
      <c r="H7949" t="s">
        <v>17</v>
      </c>
      <c r="I7949" t="s">
        <v>18</v>
      </c>
    </row>
    <row r="7950" spans="1:9" x14ac:dyDescent="0.25">
      <c r="A7950">
        <v>1821</v>
      </c>
      <c r="B7950">
        <f>A7950+1</f>
        <v>1822</v>
      </c>
      <c r="C7950" t="s">
        <v>527</v>
      </c>
      <c r="D7950" t="s">
        <v>27</v>
      </c>
      <c r="E7950" s="208" t="s">
        <v>124</v>
      </c>
      <c r="F7950" t="s">
        <v>8</v>
      </c>
      <c r="G7950" s="18">
        <v>8612513</v>
      </c>
      <c r="H7950" t="s">
        <v>17</v>
      </c>
      <c r="I7950" t="s">
        <v>18</v>
      </c>
    </row>
    <row r="7951" spans="1:9" x14ac:dyDescent="0.25">
      <c r="A7951">
        <v>1821</v>
      </c>
      <c r="B7951">
        <f>A7951+1</f>
        <v>1822</v>
      </c>
      <c r="C7951" t="s">
        <v>527</v>
      </c>
      <c r="D7951" t="s">
        <v>26</v>
      </c>
      <c r="E7951" s="208" t="s">
        <v>62</v>
      </c>
      <c r="F7951" t="s">
        <v>164</v>
      </c>
      <c r="G7951" s="18">
        <v>1219</v>
      </c>
      <c r="H7951" t="s">
        <v>160</v>
      </c>
      <c r="I7951" t="s">
        <v>17</v>
      </c>
    </row>
    <row r="7952" spans="1:9" x14ac:dyDescent="0.25">
      <c r="A7952">
        <v>1821</v>
      </c>
      <c r="B7952">
        <f>A7952+1</f>
        <v>1822</v>
      </c>
      <c r="C7952" t="s">
        <v>527</v>
      </c>
      <c r="D7952" t="s">
        <v>26</v>
      </c>
      <c r="E7952" s="208" t="s">
        <v>36</v>
      </c>
      <c r="F7952" t="s">
        <v>164</v>
      </c>
      <c r="G7952" s="18">
        <v>300</v>
      </c>
      <c r="H7952" t="s">
        <v>160</v>
      </c>
      <c r="I7952" t="s">
        <v>17</v>
      </c>
    </row>
    <row r="7953" spans="1:9" x14ac:dyDescent="0.25">
      <c r="A7953">
        <v>1821</v>
      </c>
      <c r="B7953">
        <f>A7953+1</f>
        <v>1822</v>
      </c>
      <c r="C7953" t="s">
        <v>527</v>
      </c>
      <c r="D7953" t="s">
        <v>26</v>
      </c>
      <c r="E7953" s="208" t="s">
        <v>35</v>
      </c>
      <c r="F7953" t="s">
        <v>164</v>
      </c>
      <c r="G7953" s="18">
        <v>0</v>
      </c>
      <c r="H7953" t="s">
        <v>160</v>
      </c>
      <c r="I7953" t="s">
        <v>17</v>
      </c>
    </row>
    <row r="7954" spans="1:9" x14ac:dyDescent="0.25">
      <c r="A7954">
        <v>1821</v>
      </c>
      <c r="B7954">
        <f>A7954+1</f>
        <v>1822</v>
      </c>
      <c r="C7954" t="s">
        <v>527</v>
      </c>
      <c r="D7954" t="s">
        <v>26</v>
      </c>
      <c r="E7954" s="208" t="s">
        <v>39</v>
      </c>
      <c r="F7954" t="s">
        <v>164</v>
      </c>
      <c r="G7954" s="18">
        <v>0</v>
      </c>
      <c r="H7954" t="s">
        <v>160</v>
      </c>
      <c r="I7954" t="s">
        <v>17</v>
      </c>
    </row>
    <row r="7955" spans="1:9" x14ac:dyDescent="0.25">
      <c r="A7955">
        <v>1821</v>
      </c>
      <c r="B7955">
        <f>A7955+1</f>
        <v>1822</v>
      </c>
      <c r="C7955" t="s">
        <v>527</v>
      </c>
      <c r="D7955" t="s">
        <v>26</v>
      </c>
      <c r="E7955" s="208" t="s">
        <v>99</v>
      </c>
      <c r="F7955" t="s">
        <v>164</v>
      </c>
      <c r="G7955" s="18">
        <v>246</v>
      </c>
      <c r="H7955" t="s">
        <v>160</v>
      </c>
      <c r="I7955" t="s">
        <v>17</v>
      </c>
    </row>
    <row r="7956" spans="1:9" x14ac:dyDescent="0.25">
      <c r="A7956">
        <v>1821</v>
      </c>
      <c r="B7956">
        <f>A7956+1</f>
        <v>1822</v>
      </c>
      <c r="C7956" t="s">
        <v>527</v>
      </c>
      <c r="D7956" t="s">
        <v>26</v>
      </c>
      <c r="E7956" s="208" t="s">
        <v>95</v>
      </c>
      <c r="F7956" t="s">
        <v>164</v>
      </c>
      <c r="G7956" s="18">
        <v>0</v>
      </c>
      <c r="H7956" t="s">
        <v>160</v>
      </c>
      <c r="I7956" t="s">
        <v>17</v>
      </c>
    </row>
    <row r="7957" spans="1:9" x14ac:dyDescent="0.25">
      <c r="A7957">
        <v>1821</v>
      </c>
      <c r="B7957">
        <f>A7957+1</f>
        <v>1822</v>
      </c>
      <c r="C7957" t="s">
        <v>527</v>
      </c>
      <c r="D7957" t="s">
        <v>26</v>
      </c>
      <c r="E7957" s="208" t="s">
        <v>94</v>
      </c>
      <c r="F7957" t="s">
        <v>164</v>
      </c>
      <c r="G7957" s="18">
        <v>1718</v>
      </c>
      <c r="H7957" t="s">
        <v>160</v>
      </c>
      <c r="I7957" t="s">
        <v>17</v>
      </c>
    </row>
    <row r="7958" spans="1:9" x14ac:dyDescent="0.25">
      <c r="A7958">
        <v>1821</v>
      </c>
      <c r="B7958">
        <f>A7958+1</f>
        <v>1822</v>
      </c>
      <c r="C7958" t="s">
        <v>527</v>
      </c>
      <c r="D7958" t="s">
        <v>26</v>
      </c>
      <c r="E7958" s="208" t="s">
        <v>386</v>
      </c>
      <c r="F7958" t="s">
        <v>164</v>
      </c>
      <c r="G7958" s="18">
        <v>0</v>
      </c>
      <c r="H7958" t="s">
        <v>160</v>
      </c>
      <c r="I7958" t="s">
        <v>17</v>
      </c>
    </row>
    <row r="7959" spans="1:9" x14ac:dyDescent="0.25">
      <c r="A7959">
        <v>1821</v>
      </c>
      <c r="B7959">
        <f>A7959+1</f>
        <v>1822</v>
      </c>
      <c r="C7959" t="s">
        <v>527</v>
      </c>
      <c r="D7959" t="s">
        <v>26</v>
      </c>
      <c r="E7959" s="208" t="s">
        <v>387</v>
      </c>
      <c r="F7959" t="s">
        <v>164</v>
      </c>
      <c r="G7959" s="18">
        <v>0</v>
      </c>
      <c r="H7959" t="s">
        <v>160</v>
      </c>
      <c r="I7959" t="s">
        <v>17</v>
      </c>
    </row>
    <row r="7960" spans="1:9" x14ac:dyDescent="0.25">
      <c r="A7960">
        <v>1821</v>
      </c>
      <c r="B7960">
        <f>A7960+1</f>
        <v>1822</v>
      </c>
      <c r="C7960" t="s">
        <v>527</v>
      </c>
      <c r="D7960" t="s">
        <v>26</v>
      </c>
      <c r="E7960" s="208" t="s">
        <v>388</v>
      </c>
      <c r="F7960" t="s">
        <v>164</v>
      </c>
      <c r="G7960" s="18">
        <v>0</v>
      </c>
      <c r="H7960" t="s">
        <v>160</v>
      </c>
      <c r="I7960" t="s">
        <v>17</v>
      </c>
    </row>
    <row r="7961" spans="1:9" x14ac:dyDescent="0.25">
      <c r="A7961">
        <v>1821</v>
      </c>
      <c r="B7961">
        <f>A7961+1</f>
        <v>1822</v>
      </c>
      <c r="C7961" t="s">
        <v>527</v>
      </c>
      <c r="D7961" t="s">
        <v>26</v>
      </c>
      <c r="E7961" s="208" t="s">
        <v>383</v>
      </c>
      <c r="F7961" t="s">
        <v>164</v>
      </c>
      <c r="G7961" s="18">
        <v>0</v>
      </c>
      <c r="H7961" t="s">
        <v>160</v>
      </c>
      <c r="I7961" t="s">
        <v>17</v>
      </c>
    </row>
    <row r="7962" spans="1:9" x14ac:dyDescent="0.25">
      <c r="A7962">
        <v>1821</v>
      </c>
      <c r="B7962">
        <f>A7962+1</f>
        <v>1822</v>
      </c>
      <c r="C7962" t="s">
        <v>527</v>
      </c>
      <c r="D7962" t="s">
        <v>26</v>
      </c>
      <c r="E7962" s="208" t="s">
        <v>384</v>
      </c>
      <c r="F7962" t="s">
        <v>164</v>
      </c>
      <c r="G7962" s="18">
        <v>0</v>
      </c>
      <c r="H7962" t="s">
        <v>160</v>
      </c>
      <c r="I7962" t="s">
        <v>17</v>
      </c>
    </row>
    <row r="7963" spans="1:9" x14ac:dyDescent="0.25">
      <c r="A7963">
        <v>1821</v>
      </c>
      <c r="B7963">
        <f>A7963+1</f>
        <v>1822</v>
      </c>
      <c r="C7963" t="s">
        <v>527</v>
      </c>
      <c r="D7963" t="s">
        <v>26</v>
      </c>
      <c r="E7963" s="208" t="s">
        <v>107</v>
      </c>
      <c r="F7963" t="s">
        <v>164</v>
      </c>
      <c r="G7963" s="18">
        <v>0</v>
      </c>
      <c r="H7963" t="s">
        <v>160</v>
      </c>
      <c r="I7963" t="s">
        <v>17</v>
      </c>
    </row>
    <row r="7964" spans="1:9" x14ac:dyDescent="0.25">
      <c r="A7964">
        <v>1821</v>
      </c>
      <c r="B7964">
        <f>A7964+1</f>
        <v>1822</v>
      </c>
      <c r="C7964" t="s">
        <v>527</v>
      </c>
      <c r="D7964" t="s">
        <v>26</v>
      </c>
      <c r="E7964" s="208" t="s">
        <v>101</v>
      </c>
      <c r="F7964" t="s">
        <v>164</v>
      </c>
      <c r="G7964" s="18">
        <v>0</v>
      </c>
      <c r="H7964" t="s">
        <v>160</v>
      </c>
      <c r="I7964" t="s">
        <v>17</v>
      </c>
    </row>
    <row r="7965" spans="1:9" x14ac:dyDescent="0.25">
      <c r="A7965">
        <v>1821</v>
      </c>
      <c r="B7965">
        <f>A7965+1</f>
        <v>1822</v>
      </c>
      <c r="C7965" t="s">
        <v>527</v>
      </c>
      <c r="D7965" t="s">
        <v>26</v>
      </c>
      <c r="E7965" s="208" t="s">
        <v>75</v>
      </c>
      <c r="F7965" t="s">
        <v>164</v>
      </c>
      <c r="G7965" s="18">
        <v>0</v>
      </c>
      <c r="H7965" t="s">
        <v>160</v>
      </c>
      <c r="I7965" t="s">
        <v>17</v>
      </c>
    </row>
    <row r="7966" spans="1:9" x14ac:dyDescent="0.25">
      <c r="A7966">
        <v>1821</v>
      </c>
      <c r="B7966">
        <f>A7966+1</f>
        <v>1822</v>
      </c>
      <c r="C7966" t="s">
        <v>527</v>
      </c>
      <c r="D7966" t="s">
        <v>26</v>
      </c>
      <c r="E7966" s="208" t="s">
        <v>331</v>
      </c>
      <c r="F7966" t="s">
        <v>164</v>
      </c>
      <c r="G7966" s="18">
        <v>0</v>
      </c>
      <c r="H7966" t="s">
        <v>160</v>
      </c>
      <c r="I7966" t="s">
        <v>17</v>
      </c>
    </row>
    <row r="7967" spans="1:9" x14ac:dyDescent="0.25">
      <c r="A7967">
        <v>1821</v>
      </c>
      <c r="B7967">
        <f>A7967+1</f>
        <v>1822</v>
      </c>
      <c r="C7967" t="s">
        <v>527</v>
      </c>
      <c r="D7967" t="s">
        <v>26</v>
      </c>
      <c r="E7967" s="208" t="s">
        <v>332</v>
      </c>
      <c r="F7967" t="s">
        <v>164</v>
      </c>
      <c r="G7967" s="18">
        <v>0</v>
      </c>
      <c r="H7967" t="s">
        <v>160</v>
      </c>
      <c r="I7967" t="s">
        <v>17</v>
      </c>
    </row>
    <row r="7968" spans="1:9" x14ac:dyDescent="0.25">
      <c r="A7968">
        <v>1821</v>
      </c>
      <c r="B7968">
        <f>A7968+1</f>
        <v>1822</v>
      </c>
      <c r="C7968" t="s">
        <v>527</v>
      </c>
      <c r="D7968" t="s">
        <v>26</v>
      </c>
      <c r="E7968" s="208" t="s">
        <v>333</v>
      </c>
      <c r="F7968" t="s">
        <v>164</v>
      </c>
      <c r="G7968" s="18">
        <v>0</v>
      </c>
      <c r="H7968" t="s">
        <v>160</v>
      </c>
      <c r="I7968" t="s">
        <v>17</v>
      </c>
    </row>
    <row r="7969" spans="1:9" x14ac:dyDescent="0.25">
      <c r="A7969">
        <v>1821</v>
      </c>
      <c r="B7969">
        <f>A7969+1</f>
        <v>1822</v>
      </c>
      <c r="C7969" t="s">
        <v>527</v>
      </c>
      <c r="D7969" t="s">
        <v>27</v>
      </c>
      <c r="E7969" s="208" t="s">
        <v>155</v>
      </c>
      <c r="F7969" t="s">
        <v>9</v>
      </c>
      <c r="G7969" s="18">
        <v>418</v>
      </c>
      <c r="H7969" t="s">
        <v>17</v>
      </c>
      <c r="I7969" t="s">
        <v>21</v>
      </c>
    </row>
    <row r="7970" spans="1:9" x14ac:dyDescent="0.25">
      <c r="A7970">
        <v>1821</v>
      </c>
      <c r="B7970">
        <f>A7970+1</f>
        <v>1822</v>
      </c>
      <c r="C7970" t="s">
        <v>527</v>
      </c>
      <c r="D7970" t="s">
        <v>27</v>
      </c>
      <c r="E7970" s="208" t="s">
        <v>156</v>
      </c>
      <c r="F7970" t="s">
        <v>9</v>
      </c>
      <c r="G7970" s="18">
        <v>93</v>
      </c>
      <c r="H7970" t="s">
        <v>17</v>
      </c>
      <c r="I7970" t="s">
        <v>21</v>
      </c>
    </row>
    <row r="7971" spans="1:9" x14ac:dyDescent="0.25">
      <c r="A7971">
        <v>1821</v>
      </c>
      <c r="B7971">
        <f>A7971+1</f>
        <v>1822</v>
      </c>
      <c r="C7971" t="s">
        <v>527</v>
      </c>
      <c r="D7971" t="s">
        <v>27</v>
      </c>
      <c r="E7971" s="208" t="s">
        <v>154</v>
      </c>
      <c r="F7971" t="s">
        <v>9</v>
      </c>
      <c r="G7971" s="18">
        <v>0</v>
      </c>
      <c r="H7971" t="s">
        <v>17</v>
      </c>
      <c r="I7971" t="s">
        <v>21</v>
      </c>
    </row>
    <row r="7972" spans="1:9" x14ac:dyDescent="0.25">
      <c r="A7972">
        <v>1821</v>
      </c>
      <c r="B7972">
        <f>A7972+1</f>
        <v>1822</v>
      </c>
      <c r="C7972" t="s">
        <v>527</v>
      </c>
      <c r="D7972" t="s">
        <v>27</v>
      </c>
      <c r="E7972" s="208" t="s">
        <v>150</v>
      </c>
      <c r="F7972" t="s">
        <v>9</v>
      </c>
      <c r="G7972" s="18">
        <v>0</v>
      </c>
      <c r="H7972" t="s">
        <v>17</v>
      </c>
      <c r="I7972" t="s">
        <v>21</v>
      </c>
    </row>
    <row r="7973" spans="1:9" x14ac:dyDescent="0.25">
      <c r="A7973">
        <v>1821</v>
      </c>
      <c r="B7973">
        <f>A7973+1</f>
        <v>1822</v>
      </c>
      <c r="C7973" t="s">
        <v>527</v>
      </c>
      <c r="D7973" t="s">
        <v>27</v>
      </c>
      <c r="E7973" s="208" t="s">
        <v>148</v>
      </c>
      <c r="F7973" t="s">
        <v>9</v>
      </c>
      <c r="G7973" s="18">
        <v>41</v>
      </c>
      <c r="H7973" t="s">
        <v>17</v>
      </c>
      <c r="I7973" t="s">
        <v>21</v>
      </c>
    </row>
    <row r="7974" spans="1:9" x14ac:dyDescent="0.25">
      <c r="A7974">
        <v>1821</v>
      </c>
      <c r="B7974">
        <f>A7974+1</f>
        <v>1822</v>
      </c>
      <c r="C7974" t="s">
        <v>527</v>
      </c>
      <c r="D7974" t="s">
        <v>27</v>
      </c>
      <c r="E7974" s="208" t="s">
        <v>147</v>
      </c>
      <c r="F7974" t="s">
        <v>9</v>
      </c>
      <c r="G7974" s="18">
        <v>0</v>
      </c>
      <c r="H7974" t="s">
        <v>17</v>
      </c>
      <c r="I7974" t="s">
        <v>21</v>
      </c>
    </row>
    <row r="7975" spans="1:9" x14ac:dyDescent="0.25">
      <c r="A7975">
        <v>1821</v>
      </c>
      <c r="B7975">
        <f>A7975+1</f>
        <v>1822</v>
      </c>
      <c r="C7975" t="s">
        <v>527</v>
      </c>
      <c r="D7975" t="s">
        <v>27</v>
      </c>
      <c r="E7975" s="208" t="s">
        <v>314</v>
      </c>
      <c r="F7975" t="s">
        <v>9</v>
      </c>
      <c r="G7975" s="18">
        <v>0</v>
      </c>
      <c r="H7975" t="s">
        <v>17</v>
      </c>
      <c r="I7975" t="s">
        <v>21</v>
      </c>
    </row>
    <row r="7976" spans="1:9" x14ac:dyDescent="0.25">
      <c r="A7976">
        <v>1821</v>
      </c>
      <c r="B7976">
        <f>A7976+1</f>
        <v>1822</v>
      </c>
      <c r="C7976" t="s">
        <v>527</v>
      </c>
      <c r="D7976" t="s">
        <v>27</v>
      </c>
      <c r="E7976" s="208" t="s">
        <v>139</v>
      </c>
      <c r="F7976" t="s">
        <v>9</v>
      </c>
      <c r="G7976" s="18">
        <v>0</v>
      </c>
      <c r="H7976" t="s">
        <v>17</v>
      </c>
      <c r="I7976" t="s">
        <v>21</v>
      </c>
    </row>
    <row r="7977" spans="1:9" x14ac:dyDescent="0.25">
      <c r="A7977">
        <v>1821</v>
      </c>
      <c r="B7977">
        <f>A7977+1</f>
        <v>1822</v>
      </c>
      <c r="C7977" t="s">
        <v>527</v>
      </c>
      <c r="D7977" t="s">
        <v>27</v>
      </c>
      <c r="E7977" s="208" t="s">
        <v>132</v>
      </c>
      <c r="F7977" t="s">
        <v>9</v>
      </c>
      <c r="G7977" s="18">
        <v>0</v>
      </c>
      <c r="H7977" t="s">
        <v>17</v>
      </c>
      <c r="I7977" t="s">
        <v>21</v>
      </c>
    </row>
    <row r="7978" spans="1:9" x14ac:dyDescent="0.25">
      <c r="A7978">
        <v>1821</v>
      </c>
      <c r="B7978">
        <f>A7978+1</f>
        <v>1822</v>
      </c>
      <c r="C7978" t="s">
        <v>527</v>
      </c>
      <c r="D7978" t="s">
        <v>27</v>
      </c>
      <c r="E7978" s="208" t="s">
        <v>130</v>
      </c>
      <c r="F7978" t="s">
        <v>9</v>
      </c>
      <c r="G7978" s="18">
        <v>0</v>
      </c>
      <c r="H7978" t="s">
        <v>17</v>
      </c>
      <c r="I7978" t="s">
        <v>21</v>
      </c>
    </row>
    <row r="7979" spans="1:9" x14ac:dyDescent="0.25">
      <c r="A7979">
        <v>1821</v>
      </c>
      <c r="B7979">
        <f>A7979+1</f>
        <v>1822</v>
      </c>
      <c r="C7979" t="s">
        <v>527</v>
      </c>
      <c r="D7979" t="s">
        <v>27</v>
      </c>
      <c r="E7979" s="208" t="s">
        <v>144</v>
      </c>
      <c r="F7979" t="s">
        <v>9</v>
      </c>
      <c r="G7979" s="18">
        <v>0</v>
      </c>
      <c r="H7979" t="s">
        <v>17</v>
      </c>
      <c r="I7979" t="s">
        <v>21</v>
      </c>
    </row>
    <row r="7980" spans="1:9" x14ac:dyDescent="0.25">
      <c r="A7980">
        <v>1821</v>
      </c>
      <c r="B7980">
        <f>A7980+1</f>
        <v>1822</v>
      </c>
      <c r="C7980" t="s">
        <v>527</v>
      </c>
      <c r="D7980" t="s">
        <v>27</v>
      </c>
      <c r="E7980" s="208" t="s">
        <v>142</v>
      </c>
      <c r="F7980" t="s">
        <v>9</v>
      </c>
      <c r="G7980" s="18">
        <v>10</v>
      </c>
      <c r="H7980" t="s">
        <v>17</v>
      </c>
      <c r="I7980" t="s">
        <v>21</v>
      </c>
    </row>
    <row r="7981" spans="1:9" x14ac:dyDescent="0.25">
      <c r="A7981">
        <v>1821</v>
      </c>
      <c r="B7981">
        <f>A7981+1</f>
        <v>1822</v>
      </c>
      <c r="C7981" t="s">
        <v>527</v>
      </c>
      <c r="D7981" t="s">
        <v>27</v>
      </c>
      <c r="E7981" s="208" t="s">
        <v>124</v>
      </c>
      <c r="F7981" t="s">
        <v>9</v>
      </c>
      <c r="G7981" s="18">
        <v>29977</v>
      </c>
      <c r="H7981" t="s">
        <v>17</v>
      </c>
      <c r="I7981" t="s">
        <v>21</v>
      </c>
    </row>
    <row r="7982" spans="1:9" x14ac:dyDescent="0.25">
      <c r="A7982">
        <v>1821</v>
      </c>
      <c r="B7982">
        <f>A7982+1</f>
        <v>1822</v>
      </c>
      <c r="C7982" t="s">
        <v>527</v>
      </c>
      <c r="D7982" t="s">
        <v>27</v>
      </c>
      <c r="E7982" s="208" t="s">
        <v>155</v>
      </c>
      <c r="F7982" t="s">
        <v>13</v>
      </c>
      <c r="G7982" s="18">
        <v>0</v>
      </c>
      <c r="H7982" t="s">
        <v>17</v>
      </c>
      <c r="I7982" t="s">
        <v>25</v>
      </c>
    </row>
    <row r="7983" spans="1:9" x14ac:dyDescent="0.25">
      <c r="A7983">
        <v>1821</v>
      </c>
      <c r="B7983">
        <f>A7983+1</f>
        <v>1822</v>
      </c>
      <c r="C7983" t="s">
        <v>527</v>
      </c>
      <c r="D7983" t="s">
        <v>27</v>
      </c>
      <c r="E7983" s="208" t="s">
        <v>156</v>
      </c>
      <c r="F7983" t="s">
        <v>13</v>
      </c>
      <c r="G7983" s="18">
        <v>0</v>
      </c>
      <c r="H7983" t="s">
        <v>17</v>
      </c>
      <c r="I7983" t="s">
        <v>25</v>
      </c>
    </row>
    <row r="7984" spans="1:9" x14ac:dyDescent="0.25">
      <c r="A7984">
        <v>1821</v>
      </c>
      <c r="B7984">
        <f>A7984+1</f>
        <v>1822</v>
      </c>
      <c r="C7984" t="s">
        <v>527</v>
      </c>
      <c r="D7984" t="s">
        <v>27</v>
      </c>
      <c r="E7984" s="208" t="s">
        <v>154</v>
      </c>
      <c r="F7984" t="s">
        <v>13</v>
      </c>
      <c r="G7984" s="18">
        <v>0</v>
      </c>
      <c r="H7984" t="s">
        <v>17</v>
      </c>
      <c r="I7984" t="s">
        <v>25</v>
      </c>
    </row>
    <row r="7985" spans="1:9" x14ac:dyDescent="0.25">
      <c r="A7985">
        <v>1821</v>
      </c>
      <c r="B7985">
        <f>A7985+1</f>
        <v>1822</v>
      </c>
      <c r="C7985" t="s">
        <v>527</v>
      </c>
      <c r="D7985" t="s">
        <v>27</v>
      </c>
      <c r="E7985" s="208" t="s">
        <v>150</v>
      </c>
      <c r="F7985" t="s">
        <v>13</v>
      </c>
      <c r="G7985" s="18">
        <v>2208</v>
      </c>
      <c r="H7985" t="s">
        <v>17</v>
      </c>
      <c r="I7985" t="s">
        <v>25</v>
      </c>
    </row>
    <row r="7986" spans="1:9" x14ac:dyDescent="0.25">
      <c r="A7986">
        <v>1821</v>
      </c>
      <c r="B7986">
        <f>A7986+1</f>
        <v>1822</v>
      </c>
      <c r="C7986" t="s">
        <v>527</v>
      </c>
      <c r="D7986" t="s">
        <v>27</v>
      </c>
      <c r="E7986" s="208" t="s">
        <v>148</v>
      </c>
      <c r="F7986" t="s">
        <v>13</v>
      </c>
      <c r="G7986" s="18">
        <v>11</v>
      </c>
      <c r="H7986" t="s">
        <v>17</v>
      </c>
      <c r="I7986" t="s">
        <v>25</v>
      </c>
    </row>
    <row r="7987" spans="1:9" x14ac:dyDescent="0.25">
      <c r="A7987">
        <v>1821</v>
      </c>
      <c r="B7987">
        <f>A7987+1</f>
        <v>1822</v>
      </c>
      <c r="C7987" t="s">
        <v>527</v>
      </c>
      <c r="D7987" t="s">
        <v>27</v>
      </c>
      <c r="E7987" s="208" t="s">
        <v>147</v>
      </c>
      <c r="F7987" t="s">
        <v>13</v>
      </c>
      <c r="G7987" s="18">
        <v>0</v>
      </c>
      <c r="H7987" t="s">
        <v>17</v>
      </c>
      <c r="I7987" t="s">
        <v>25</v>
      </c>
    </row>
    <row r="7988" spans="1:9" x14ac:dyDescent="0.25">
      <c r="A7988">
        <v>1821</v>
      </c>
      <c r="B7988">
        <f>A7988+1</f>
        <v>1822</v>
      </c>
      <c r="C7988" t="s">
        <v>527</v>
      </c>
      <c r="D7988" t="s">
        <v>27</v>
      </c>
      <c r="E7988" s="208" t="s">
        <v>314</v>
      </c>
      <c r="F7988" t="s">
        <v>13</v>
      </c>
      <c r="G7988" s="18">
        <v>396</v>
      </c>
      <c r="H7988" t="s">
        <v>17</v>
      </c>
      <c r="I7988" t="s">
        <v>25</v>
      </c>
    </row>
    <row r="7989" spans="1:9" x14ac:dyDescent="0.25">
      <c r="A7989">
        <v>1821</v>
      </c>
      <c r="B7989">
        <f>A7989+1</f>
        <v>1822</v>
      </c>
      <c r="C7989" t="s">
        <v>527</v>
      </c>
      <c r="D7989" t="s">
        <v>27</v>
      </c>
      <c r="E7989" s="208" t="s">
        <v>139</v>
      </c>
      <c r="F7989" t="s">
        <v>13</v>
      </c>
      <c r="G7989" s="18">
        <v>0</v>
      </c>
      <c r="H7989" t="s">
        <v>17</v>
      </c>
      <c r="I7989" t="s">
        <v>25</v>
      </c>
    </row>
    <row r="7990" spans="1:9" x14ac:dyDescent="0.25">
      <c r="A7990">
        <v>1821</v>
      </c>
      <c r="B7990">
        <f>A7990+1</f>
        <v>1822</v>
      </c>
      <c r="C7990" t="s">
        <v>527</v>
      </c>
      <c r="D7990" t="s">
        <v>27</v>
      </c>
      <c r="E7990" s="208" t="s">
        <v>132</v>
      </c>
      <c r="F7990" t="s">
        <v>13</v>
      </c>
      <c r="G7990" s="18">
        <v>0</v>
      </c>
      <c r="H7990" t="s">
        <v>17</v>
      </c>
      <c r="I7990" t="s">
        <v>25</v>
      </c>
    </row>
    <row r="7991" spans="1:9" x14ac:dyDescent="0.25">
      <c r="A7991">
        <v>1821</v>
      </c>
      <c r="B7991">
        <f>A7991+1</f>
        <v>1822</v>
      </c>
      <c r="C7991" t="s">
        <v>527</v>
      </c>
      <c r="D7991" t="s">
        <v>27</v>
      </c>
      <c r="E7991" s="208" t="s">
        <v>130</v>
      </c>
      <c r="F7991" t="s">
        <v>13</v>
      </c>
      <c r="G7991" s="18">
        <v>0</v>
      </c>
      <c r="H7991" t="s">
        <v>17</v>
      </c>
      <c r="I7991" t="s">
        <v>25</v>
      </c>
    </row>
    <row r="7992" spans="1:9" x14ac:dyDescent="0.25">
      <c r="A7992">
        <v>1821</v>
      </c>
      <c r="B7992">
        <f>A7992+1</f>
        <v>1822</v>
      </c>
      <c r="C7992" t="s">
        <v>527</v>
      </c>
      <c r="D7992" t="s">
        <v>27</v>
      </c>
      <c r="E7992" s="208" t="s">
        <v>144</v>
      </c>
      <c r="F7992" t="s">
        <v>13</v>
      </c>
      <c r="G7992" s="18">
        <v>0</v>
      </c>
      <c r="H7992" t="s">
        <v>17</v>
      </c>
      <c r="I7992" t="s">
        <v>25</v>
      </c>
    </row>
    <row r="7993" spans="1:9" x14ac:dyDescent="0.25">
      <c r="A7993">
        <v>1821</v>
      </c>
      <c r="B7993">
        <f>A7993+1</f>
        <v>1822</v>
      </c>
      <c r="C7993" t="s">
        <v>527</v>
      </c>
      <c r="D7993" t="s">
        <v>27</v>
      </c>
      <c r="E7993" s="208" t="s">
        <v>142</v>
      </c>
      <c r="F7993" t="s">
        <v>13</v>
      </c>
      <c r="G7993" s="18">
        <v>0</v>
      </c>
      <c r="H7993" t="s">
        <v>17</v>
      </c>
      <c r="I7993" t="s">
        <v>25</v>
      </c>
    </row>
    <row r="7994" spans="1:9" x14ac:dyDescent="0.25">
      <c r="A7994">
        <v>1821</v>
      </c>
      <c r="B7994">
        <f>A7994+1</f>
        <v>1822</v>
      </c>
      <c r="C7994" t="s">
        <v>527</v>
      </c>
      <c r="D7994" t="s">
        <v>27</v>
      </c>
      <c r="E7994" s="208" t="s">
        <v>124</v>
      </c>
      <c r="F7994" t="s">
        <v>13</v>
      </c>
      <c r="G7994" s="18">
        <v>0</v>
      </c>
      <c r="H7994" t="s">
        <v>17</v>
      </c>
      <c r="I7994" t="s">
        <v>25</v>
      </c>
    </row>
    <row r="7995" spans="1:9" x14ac:dyDescent="0.25">
      <c r="A7995">
        <v>1821</v>
      </c>
      <c r="B7995">
        <f>A7995+1</f>
        <v>1822</v>
      </c>
      <c r="C7995" t="s">
        <v>527</v>
      </c>
      <c r="D7995" t="s">
        <v>26</v>
      </c>
      <c r="E7995" s="208" t="s">
        <v>62</v>
      </c>
      <c r="F7995" t="s">
        <v>13</v>
      </c>
      <c r="G7995" s="18">
        <v>1187</v>
      </c>
      <c r="H7995" t="s">
        <v>25</v>
      </c>
      <c r="I7995" t="s">
        <v>17</v>
      </c>
    </row>
    <row r="7996" spans="1:9" x14ac:dyDescent="0.25">
      <c r="A7996">
        <v>1821</v>
      </c>
      <c r="B7996">
        <f>A7996+1</f>
        <v>1822</v>
      </c>
      <c r="C7996" t="s">
        <v>527</v>
      </c>
      <c r="D7996" t="s">
        <v>26</v>
      </c>
      <c r="E7996" s="208" t="s">
        <v>36</v>
      </c>
      <c r="F7996" t="s">
        <v>13</v>
      </c>
      <c r="G7996" s="18">
        <v>0</v>
      </c>
      <c r="H7996" t="s">
        <v>25</v>
      </c>
      <c r="I7996" t="s">
        <v>17</v>
      </c>
    </row>
    <row r="7997" spans="1:9" x14ac:dyDescent="0.25">
      <c r="A7997">
        <v>1821</v>
      </c>
      <c r="B7997">
        <f>A7997+1</f>
        <v>1822</v>
      </c>
      <c r="C7997" t="s">
        <v>527</v>
      </c>
      <c r="D7997" t="s">
        <v>26</v>
      </c>
      <c r="E7997" s="208" t="s">
        <v>35</v>
      </c>
      <c r="F7997" t="s">
        <v>13</v>
      </c>
      <c r="G7997" s="18">
        <v>0</v>
      </c>
      <c r="H7997" t="s">
        <v>25</v>
      </c>
      <c r="I7997" t="s">
        <v>17</v>
      </c>
    </row>
    <row r="7998" spans="1:9" x14ac:dyDescent="0.25">
      <c r="A7998">
        <v>1821</v>
      </c>
      <c r="B7998">
        <f>A7998+1</f>
        <v>1822</v>
      </c>
      <c r="C7998" t="s">
        <v>527</v>
      </c>
      <c r="D7998" t="s">
        <v>26</v>
      </c>
      <c r="E7998" s="208" t="s">
        <v>39</v>
      </c>
      <c r="F7998" t="s">
        <v>13</v>
      </c>
      <c r="G7998" s="18">
        <v>0</v>
      </c>
      <c r="H7998" t="s">
        <v>25</v>
      </c>
      <c r="I7998" t="s">
        <v>17</v>
      </c>
    </row>
    <row r="7999" spans="1:9" x14ac:dyDescent="0.25">
      <c r="A7999">
        <v>1821</v>
      </c>
      <c r="B7999">
        <f>A7999+1</f>
        <v>1822</v>
      </c>
      <c r="C7999" t="s">
        <v>527</v>
      </c>
      <c r="D7999" t="s">
        <v>26</v>
      </c>
      <c r="E7999" s="208" t="s">
        <v>99</v>
      </c>
      <c r="F7999" t="s">
        <v>13</v>
      </c>
      <c r="G7999" s="18">
        <v>69</v>
      </c>
      <c r="H7999" t="s">
        <v>25</v>
      </c>
      <c r="I7999" t="s">
        <v>17</v>
      </c>
    </row>
    <row r="8000" spans="1:9" x14ac:dyDescent="0.25">
      <c r="A8000">
        <v>1821</v>
      </c>
      <c r="B8000">
        <f>A8000+1</f>
        <v>1822</v>
      </c>
      <c r="C8000" t="s">
        <v>527</v>
      </c>
      <c r="D8000" t="s">
        <v>26</v>
      </c>
      <c r="E8000" s="208" t="s">
        <v>95</v>
      </c>
      <c r="F8000" t="s">
        <v>13</v>
      </c>
      <c r="G8000" s="18">
        <v>7</v>
      </c>
      <c r="H8000" t="s">
        <v>25</v>
      </c>
      <c r="I8000" t="s">
        <v>17</v>
      </c>
    </row>
    <row r="8001" spans="1:9" x14ac:dyDescent="0.25">
      <c r="A8001">
        <v>1821</v>
      </c>
      <c r="B8001">
        <f>A8001+1</f>
        <v>1822</v>
      </c>
      <c r="C8001" t="s">
        <v>527</v>
      </c>
      <c r="D8001" t="s">
        <v>26</v>
      </c>
      <c r="E8001" s="208" t="s">
        <v>94</v>
      </c>
      <c r="F8001" t="s">
        <v>13</v>
      </c>
      <c r="G8001" s="18">
        <v>273</v>
      </c>
      <c r="H8001" t="s">
        <v>25</v>
      </c>
      <c r="I8001" t="s">
        <v>17</v>
      </c>
    </row>
    <row r="8002" spans="1:9" x14ac:dyDescent="0.25">
      <c r="A8002">
        <v>1821</v>
      </c>
      <c r="B8002">
        <f>A8002+1</f>
        <v>1822</v>
      </c>
      <c r="C8002" t="s">
        <v>527</v>
      </c>
      <c r="D8002" t="s">
        <v>26</v>
      </c>
      <c r="E8002" s="208" t="s">
        <v>386</v>
      </c>
      <c r="F8002" t="s">
        <v>13</v>
      </c>
      <c r="G8002" s="18">
        <v>2164</v>
      </c>
      <c r="H8002" t="s">
        <v>25</v>
      </c>
      <c r="I8002" t="s">
        <v>17</v>
      </c>
    </row>
    <row r="8003" spans="1:9" x14ac:dyDescent="0.25">
      <c r="A8003">
        <v>1821</v>
      </c>
      <c r="B8003">
        <f>A8003+1</f>
        <v>1822</v>
      </c>
      <c r="C8003" t="s">
        <v>527</v>
      </c>
      <c r="D8003" t="s">
        <v>26</v>
      </c>
      <c r="E8003" s="208" t="s">
        <v>387</v>
      </c>
      <c r="F8003" t="s">
        <v>13</v>
      </c>
      <c r="G8003" s="18">
        <v>0</v>
      </c>
      <c r="H8003" t="s">
        <v>25</v>
      </c>
      <c r="I8003" t="s">
        <v>17</v>
      </c>
    </row>
    <row r="8004" spans="1:9" x14ac:dyDescent="0.25">
      <c r="A8004">
        <v>1821</v>
      </c>
      <c r="B8004">
        <f>A8004+1</f>
        <v>1822</v>
      </c>
      <c r="C8004" t="s">
        <v>527</v>
      </c>
      <c r="D8004" t="s">
        <v>26</v>
      </c>
      <c r="E8004" s="208" t="s">
        <v>388</v>
      </c>
      <c r="F8004" t="s">
        <v>13</v>
      </c>
      <c r="G8004" s="18">
        <v>581</v>
      </c>
      <c r="H8004" t="s">
        <v>25</v>
      </c>
      <c r="I8004" t="s">
        <v>17</v>
      </c>
    </row>
    <row r="8005" spans="1:9" x14ac:dyDescent="0.25">
      <c r="A8005">
        <v>1821</v>
      </c>
      <c r="B8005">
        <f>A8005+1</f>
        <v>1822</v>
      </c>
      <c r="C8005" t="s">
        <v>527</v>
      </c>
      <c r="D8005" t="s">
        <v>26</v>
      </c>
      <c r="E8005" s="208" t="s">
        <v>383</v>
      </c>
      <c r="F8005" t="s">
        <v>13</v>
      </c>
      <c r="G8005" s="18">
        <v>75</v>
      </c>
      <c r="H8005" t="s">
        <v>25</v>
      </c>
      <c r="I8005" t="s">
        <v>17</v>
      </c>
    </row>
    <row r="8006" spans="1:9" x14ac:dyDescent="0.25">
      <c r="A8006">
        <v>1821</v>
      </c>
      <c r="B8006">
        <f>A8006+1</f>
        <v>1822</v>
      </c>
      <c r="C8006" t="s">
        <v>527</v>
      </c>
      <c r="D8006" t="s">
        <v>26</v>
      </c>
      <c r="E8006" s="208" t="s">
        <v>384</v>
      </c>
      <c r="F8006" t="s">
        <v>13</v>
      </c>
      <c r="G8006" s="18">
        <v>9</v>
      </c>
      <c r="H8006" t="s">
        <v>25</v>
      </c>
      <c r="I8006" t="s">
        <v>17</v>
      </c>
    </row>
    <row r="8007" spans="1:9" x14ac:dyDescent="0.25">
      <c r="A8007">
        <v>1821</v>
      </c>
      <c r="B8007">
        <f>A8007+1</f>
        <v>1822</v>
      </c>
      <c r="C8007" t="s">
        <v>527</v>
      </c>
      <c r="D8007" t="s">
        <v>26</v>
      </c>
      <c r="E8007" s="208" t="s">
        <v>107</v>
      </c>
      <c r="F8007" t="s">
        <v>13</v>
      </c>
      <c r="G8007" s="18">
        <v>0</v>
      </c>
      <c r="H8007" t="s">
        <v>25</v>
      </c>
      <c r="I8007" t="s">
        <v>17</v>
      </c>
    </row>
    <row r="8008" spans="1:9" x14ac:dyDescent="0.25">
      <c r="A8008">
        <v>1821</v>
      </c>
      <c r="B8008">
        <f>A8008+1</f>
        <v>1822</v>
      </c>
      <c r="C8008" t="s">
        <v>527</v>
      </c>
      <c r="D8008" t="s">
        <v>26</v>
      </c>
      <c r="E8008" s="208" t="s">
        <v>101</v>
      </c>
      <c r="F8008" t="s">
        <v>13</v>
      </c>
      <c r="G8008" s="18">
        <v>0</v>
      </c>
      <c r="H8008" t="s">
        <v>25</v>
      </c>
      <c r="I8008" t="s">
        <v>17</v>
      </c>
    </row>
    <row r="8009" spans="1:9" x14ac:dyDescent="0.25">
      <c r="A8009">
        <v>1821</v>
      </c>
      <c r="B8009">
        <f>A8009+1</f>
        <v>1822</v>
      </c>
      <c r="C8009" t="s">
        <v>527</v>
      </c>
      <c r="D8009" t="s">
        <v>26</v>
      </c>
      <c r="E8009" s="208" t="s">
        <v>75</v>
      </c>
      <c r="F8009" t="s">
        <v>13</v>
      </c>
      <c r="G8009" s="18">
        <v>0</v>
      </c>
      <c r="H8009" t="s">
        <v>25</v>
      </c>
      <c r="I8009" t="s">
        <v>17</v>
      </c>
    </row>
    <row r="8010" spans="1:9" x14ac:dyDescent="0.25">
      <c r="A8010">
        <v>1821</v>
      </c>
      <c r="B8010">
        <f>A8010+1</f>
        <v>1822</v>
      </c>
      <c r="C8010" t="s">
        <v>527</v>
      </c>
      <c r="D8010" t="s">
        <v>26</v>
      </c>
      <c r="E8010" s="208" t="s">
        <v>330</v>
      </c>
      <c r="F8010" t="s">
        <v>13</v>
      </c>
      <c r="G8010" s="18">
        <v>712</v>
      </c>
      <c r="H8010" t="s">
        <v>25</v>
      </c>
      <c r="I8010" t="s">
        <v>17</v>
      </c>
    </row>
    <row r="8011" spans="1:9" x14ac:dyDescent="0.25">
      <c r="A8011">
        <v>1821</v>
      </c>
      <c r="B8011">
        <f>A8011+1</f>
        <v>1822</v>
      </c>
      <c r="C8011" t="s">
        <v>527</v>
      </c>
      <c r="D8011" t="s">
        <v>26</v>
      </c>
      <c r="E8011" s="208" t="s">
        <v>331</v>
      </c>
      <c r="F8011" t="s">
        <v>13</v>
      </c>
      <c r="G8011" s="18">
        <v>130</v>
      </c>
      <c r="H8011" t="s">
        <v>25</v>
      </c>
      <c r="I8011" t="s">
        <v>17</v>
      </c>
    </row>
    <row r="8012" spans="1:9" x14ac:dyDescent="0.25">
      <c r="A8012">
        <v>1821</v>
      </c>
      <c r="B8012">
        <f>A8012+1</f>
        <v>1822</v>
      </c>
      <c r="C8012" t="s">
        <v>527</v>
      </c>
      <c r="D8012" t="s">
        <v>26</v>
      </c>
      <c r="E8012" s="208" t="s">
        <v>332</v>
      </c>
      <c r="F8012" t="s">
        <v>13</v>
      </c>
      <c r="G8012" s="18">
        <v>24</v>
      </c>
      <c r="H8012" t="s">
        <v>25</v>
      </c>
      <c r="I8012" t="s">
        <v>17</v>
      </c>
    </row>
    <row r="8013" spans="1:9" x14ac:dyDescent="0.25">
      <c r="A8013">
        <v>1821</v>
      </c>
      <c r="B8013">
        <f>A8013+1</f>
        <v>1822</v>
      </c>
      <c r="C8013" t="s">
        <v>527</v>
      </c>
      <c r="D8013" t="s">
        <v>26</v>
      </c>
      <c r="E8013" s="208" t="s">
        <v>333</v>
      </c>
      <c r="F8013" t="s">
        <v>13</v>
      </c>
      <c r="G8013" s="18">
        <v>377</v>
      </c>
      <c r="H8013" t="s">
        <v>25</v>
      </c>
      <c r="I8013" t="s">
        <v>17</v>
      </c>
    </row>
    <row r="8014" spans="1:9" x14ac:dyDescent="0.25">
      <c r="A8014">
        <v>1821</v>
      </c>
      <c r="B8014">
        <f>A8014+1</f>
        <v>1822</v>
      </c>
      <c r="C8014" t="s">
        <v>527</v>
      </c>
      <c r="D8014" t="s">
        <v>27</v>
      </c>
      <c r="E8014" s="208" t="s">
        <v>155</v>
      </c>
      <c r="F8014" t="s">
        <v>11</v>
      </c>
      <c r="G8014" s="18">
        <v>0</v>
      </c>
      <c r="H8014" t="s">
        <v>17</v>
      </c>
      <c r="I8014" t="s">
        <v>23</v>
      </c>
    </row>
    <row r="8015" spans="1:9" x14ac:dyDescent="0.25">
      <c r="A8015">
        <v>1821</v>
      </c>
      <c r="B8015">
        <f>A8015+1</f>
        <v>1822</v>
      </c>
      <c r="C8015" t="s">
        <v>527</v>
      </c>
      <c r="D8015" t="s">
        <v>27</v>
      </c>
      <c r="E8015" s="208" t="s">
        <v>156</v>
      </c>
      <c r="F8015" t="s">
        <v>11</v>
      </c>
      <c r="G8015" s="18">
        <v>0</v>
      </c>
      <c r="H8015" t="s">
        <v>17</v>
      </c>
      <c r="I8015" t="s">
        <v>23</v>
      </c>
    </row>
    <row r="8016" spans="1:9" x14ac:dyDescent="0.25">
      <c r="A8016">
        <v>1821</v>
      </c>
      <c r="B8016">
        <f>A8016+1</f>
        <v>1822</v>
      </c>
      <c r="C8016" t="s">
        <v>527</v>
      </c>
      <c r="D8016" t="s">
        <v>27</v>
      </c>
      <c r="E8016" s="208" t="s">
        <v>154</v>
      </c>
      <c r="F8016" t="s">
        <v>11</v>
      </c>
      <c r="G8016" s="18">
        <v>0</v>
      </c>
      <c r="H8016" t="s">
        <v>17</v>
      </c>
      <c r="I8016" t="s">
        <v>23</v>
      </c>
    </row>
    <row r="8017" spans="1:9" x14ac:dyDescent="0.25">
      <c r="A8017">
        <v>1821</v>
      </c>
      <c r="B8017">
        <f>A8017+1</f>
        <v>1822</v>
      </c>
      <c r="C8017" t="s">
        <v>527</v>
      </c>
      <c r="D8017" t="s">
        <v>27</v>
      </c>
      <c r="E8017" s="208" t="s">
        <v>150</v>
      </c>
      <c r="F8017" t="s">
        <v>11</v>
      </c>
      <c r="G8017" s="18">
        <v>31</v>
      </c>
      <c r="H8017" t="s">
        <v>17</v>
      </c>
      <c r="I8017" t="s">
        <v>23</v>
      </c>
    </row>
    <row r="8018" spans="1:9" x14ac:dyDescent="0.25">
      <c r="A8018">
        <v>1821</v>
      </c>
      <c r="B8018">
        <f>A8018+1</f>
        <v>1822</v>
      </c>
      <c r="C8018" t="s">
        <v>527</v>
      </c>
      <c r="D8018" t="s">
        <v>27</v>
      </c>
      <c r="E8018" s="208" t="s">
        <v>148</v>
      </c>
      <c r="F8018" t="s">
        <v>11</v>
      </c>
      <c r="G8018" s="18">
        <v>0</v>
      </c>
      <c r="H8018" t="s">
        <v>17</v>
      </c>
      <c r="I8018" t="s">
        <v>23</v>
      </c>
    </row>
    <row r="8019" spans="1:9" x14ac:dyDescent="0.25">
      <c r="A8019">
        <v>1821</v>
      </c>
      <c r="B8019">
        <f>A8019+1</f>
        <v>1822</v>
      </c>
      <c r="C8019" t="s">
        <v>527</v>
      </c>
      <c r="D8019" t="s">
        <v>27</v>
      </c>
      <c r="E8019" s="208" t="s">
        <v>147</v>
      </c>
      <c r="F8019" t="s">
        <v>11</v>
      </c>
      <c r="G8019" s="18">
        <v>0</v>
      </c>
      <c r="H8019" t="s">
        <v>17</v>
      </c>
      <c r="I8019" t="s">
        <v>23</v>
      </c>
    </row>
    <row r="8020" spans="1:9" x14ac:dyDescent="0.25">
      <c r="A8020">
        <v>1821</v>
      </c>
      <c r="B8020">
        <f>A8020+1</f>
        <v>1822</v>
      </c>
      <c r="C8020" t="s">
        <v>527</v>
      </c>
      <c r="D8020" t="s">
        <v>27</v>
      </c>
      <c r="E8020" s="208" t="s">
        <v>314</v>
      </c>
      <c r="F8020" t="s">
        <v>11</v>
      </c>
      <c r="G8020" s="18">
        <v>0</v>
      </c>
      <c r="H8020" t="s">
        <v>17</v>
      </c>
      <c r="I8020" t="s">
        <v>23</v>
      </c>
    </row>
    <row r="8021" spans="1:9" x14ac:dyDescent="0.25">
      <c r="A8021">
        <v>1821</v>
      </c>
      <c r="B8021">
        <f>A8021+1</f>
        <v>1822</v>
      </c>
      <c r="C8021" t="s">
        <v>527</v>
      </c>
      <c r="D8021" t="s">
        <v>27</v>
      </c>
      <c r="E8021" s="208" t="s">
        <v>139</v>
      </c>
      <c r="F8021" t="s">
        <v>11</v>
      </c>
      <c r="G8021" s="18">
        <v>0</v>
      </c>
      <c r="H8021" t="s">
        <v>17</v>
      </c>
      <c r="I8021" t="s">
        <v>23</v>
      </c>
    </row>
    <row r="8022" spans="1:9" x14ac:dyDescent="0.25">
      <c r="A8022">
        <v>1821</v>
      </c>
      <c r="B8022">
        <f>A8022+1</f>
        <v>1822</v>
      </c>
      <c r="C8022" t="s">
        <v>527</v>
      </c>
      <c r="D8022" t="s">
        <v>27</v>
      </c>
      <c r="E8022" s="208" t="s">
        <v>132</v>
      </c>
      <c r="F8022" t="s">
        <v>11</v>
      </c>
      <c r="G8022" s="18">
        <v>0</v>
      </c>
      <c r="H8022" t="s">
        <v>17</v>
      </c>
      <c r="I8022" t="s">
        <v>23</v>
      </c>
    </row>
    <row r="8023" spans="1:9" x14ac:dyDescent="0.25">
      <c r="A8023">
        <v>1821</v>
      </c>
      <c r="B8023">
        <f>A8023+1</f>
        <v>1822</v>
      </c>
      <c r="C8023" t="s">
        <v>527</v>
      </c>
      <c r="D8023" t="s">
        <v>27</v>
      </c>
      <c r="E8023" s="208" t="s">
        <v>130</v>
      </c>
      <c r="F8023" t="s">
        <v>11</v>
      </c>
      <c r="G8023" s="18">
        <v>0</v>
      </c>
      <c r="H8023" t="s">
        <v>17</v>
      </c>
      <c r="I8023" t="s">
        <v>23</v>
      </c>
    </row>
    <row r="8024" spans="1:9" x14ac:dyDescent="0.25">
      <c r="A8024">
        <v>1821</v>
      </c>
      <c r="B8024">
        <f>A8024+1</f>
        <v>1822</v>
      </c>
      <c r="C8024" t="s">
        <v>527</v>
      </c>
      <c r="D8024" t="s">
        <v>27</v>
      </c>
      <c r="E8024" s="208" t="s">
        <v>144</v>
      </c>
      <c r="F8024" t="s">
        <v>11</v>
      </c>
      <c r="G8024" s="18">
        <v>0</v>
      </c>
      <c r="H8024" t="s">
        <v>17</v>
      </c>
      <c r="I8024" t="s">
        <v>23</v>
      </c>
    </row>
    <row r="8025" spans="1:9" x14ac:dyDescent="0.25">
      <c r="A8025">
        <v>1821</v>
      </c>
      <c r="B8025">
        <f>A8025+1</f>
        <v>1822</v>
      </c>
      <c r="C8025" t="s">
        <v>527</v>
      </c>
      <c r="D8025" t="s">
        <v>27</v>
      </c>
      <c r="E8025" s="208" t="s">
        <v>142</v>
      </c>
      <c r="F8025" t="s">
        <v>11</v>
      </c>
      <c r="G8025" s="18">
        <v>0</v>
      </c>
      <c r="H8025" t="s">
        <v>17</v>
      </c>
      <c r="I8025" t="s">
        <v>23</v>
      </c>
    </row>
    <row r="8026" spans="1:9" x14ac:dyDescent="0.25">
      <c r="A8026">
        <v>1821</v>
      </c>
      <c r="B8026">
        <f>A8026+1</f>
        <v>1822</v>
      </c>
      <c r="C8026" t="s">
        <v>527</v>
      </c>
      <c r="D8026" t="s">
        <v>27</v>
      </c>
      <c r="E8026" s="208" t="s">
        <v>124</v>
      </c>
      <c r="F8026" t="s">
        <v>11</v>
      </c>
      <c r="G8026" s="18">
        <v>1143</v>
      </c>
      <c r="H8026" t="s">
        <v>17</v>
      </c>
      <c r="I8026" t="s">
        <v>23</v>
      </c>
    </row>
    <row r="8027" spans="1:9" x14ac:dyDescent="0.25">
      <c r="A8027">
        <v>1821</v>
      </c>
      <c r="B8027">
        <f>A8027+1</f>
        <v>1822</v>
      </c>
      <c r="C8027" t="s">
        <v>527</v>
      </c>
      <c r="D8027" t="s">
        <v>26</v>
      </c>
      <c r="E8027" s="208" t="s">
        <v>62</v>
      </c>
      <c r="F8027" t="s">
        <v>11</v>
      </c>
      <c r="G8027" s="18">
        <v>125</v>
      </c>
      <c r="H8027" t="s">
        <v>23</v>
      </c>
      <c r="I8027" t="s">
        <v>17</v>
      </c>
    </row>
    <row r="8028" spans="1:9" x14ac:dyDescent="0.25">
      <c r="A8028">
        <v>1821</v>
      </c>
      <c r="B8028">
        <f>A8028+1</f>
        <v>1822</v>
      </c>
      <c r="C8028" t="s">
        <v>527</v>
      </c>
      <c r="D8028" t="s">
        <v>26</v>
      </c>
      <c r="E8028" s="208" t="s">
        <v>36</v>
      </c>
      <c r="F8028" t="s">
        <v>11</v>
      </c>
      <c r="G8028" s="18">
        <v>40</v>
      </c>
      <c r="H8028" t="s">
        <v>23</v>
      </c>
      <c r="I8028" t="s">
        <v>17</v>
      </c>
    </row>
    <row r="8029" spans="1:9" x14ac:dyDescent="0.25">
      <c r="A8029">
        <v>1821</v>
      </c>
      <c r="B8029">
        <f>A8029+1</f>
        <v>1822</v>
      </c>
      <c r="C8029" t="s">
        <v>527</v>
      </c>
      <c r="D8029" t="s">
        <v>26</v>
      </c>
      <c r="E8029" s="208" t="s">
        <v>35</v>
      </c>
      <c r="F8029" t="s">
        <v>11</v>
      </c>
      <c r="G8029" s="18">
        <v>0</v>
      </c>
      <c r="H8029" t="s">
        <v>23</v>
      </c>
      <c r="I8029" t="s">
        <v>17</v>
      </c>
    </row>
    <row r="8030" spans="1:9" x14ac:dyDescent="0.25">
      <c r="A8030">
        <v>1821</v>
      </c>
      <c r="B8030">
        <f>A8030+1</f>
        <v>1822</v>
      </c>
      <c r="C8030" t="s">
        <v>527</v>
      </c>
      <c r="D8030" t="s">
        <v>26</v>
      </c>
      <c r="E8030" s="208" t="s">
        <v>39</v>
      </c>
      <c r="F8030" t="s">
        <v>11</v>
      </c>
      <c r="G8030" s="18">
        <v>108</v>
      </c>
      <c r="H8030" t="s">
        <v>23</v>
      </c>
      <c r="I8030" t="s">
        <v>17</v>
      </c>
    </row>
    <row r="8031" spans="1:9" x14ac:dyDescent="0.25">
      <c r="A8031">
        <v>1821</v>
      </c>
      <c r="B8031">
        <f>A8031+1</f>
        <v>1822</v>
      </c>
      <c r="C8031" t="s">
        <v>527</v>
      </c>
      <c r="D8031" t="s">
        <v>26</v>
      </c>
      <c r="E8031" s="208" t="s">
        <v>99</v>
      </c>
      <c r="F8031" t="s">
        <v>11</v>
      </c>
      <c r="G8031" s="18">
        <v>0</v>
      </c>
      <c r="H8031" t="s">
        <v>23</v>
      </c>
      <c r="I8031" t="s">
        <v>17</v>
      </c>
    </row>
    <row r="8032" spans="1:9" x14ac:dyDescent="0.25">
      <c r="A8032">
        <v>1821</v>
      </c>
      <c r="B8032">
        <f>A8032+1</f>
        <v>1822</v>
      </c>
      <c r="C8032" t="s">
        <v>527</v>
      </c>
      <c r="D8032" t="s">
        <v>26</v>
      </c>
      <c r="E8032" s="208" t="s">
        <v>95</v>
      </c>
      <c r="F8032" t="s">
        <v>11</v>
      </c>
      <c r="G8032" s="18">
        <v>20</v>
      </c>
      <c r="H8032" t="s">
        <v>23</v>
      </c>
      <c r="I8032" t="s">
        <v>17</v>
      </c>
    </row>
    <row r="8033" spans="1:9" x14ac:dyDescent="0.25">
      <c r="A8033">
        <v>1821</v>
      </c>
      <c r="B8033">
        <f>A8033+1</f>
        <v>1822</v>
      </c>
      <c r="C8033" t="s">
        <v>527</v>
      </c>
      <c r="D8033" t="s">
        <v>26</v>
      </c>
      <c r="E8033" s="208" t="s">
        <v>94</v>
      </c>
      <c r="F8033" t="s">
        <v>11</v>
      </c>
      <c r="G8033" s="18">
        <v>0</v>
      </c>
      <c r="H8033" t="s">
        <v>23</v>
      </c>
      <c r="I8033" t="s">
        <v>17</v>
      </c>
    </row>
    <row r="8034" spans="1:9" x14ac:dyDescent="0.25">
      <c r="A8034">
        <v>1821</v>
      </c>
      <c r="B8034">
        <f>A8034+1</f>
        <v>1822</v>
      </c>
      <c r="C8034" t="s">
        <v>527</v>
      </c>
      <c r="D8034" t="s">
        <v>26</v>
      </c>
      <c r="E8034" s="208" t="s">
        <v>386</v>
      </c>
      <c r="F8034" t="s">
        <v>11</v>
      </c>
      <c r="G8034" s="18">
        <v>200</v>
      </c>
      <c r="H8034" t="s">
        <v>23</v>
      </c>
      <c r="I8034" t="s">
        <v>17</v>
      </c>
    </row>
    <row r="8035" spans="1:9" x14ac:dyDescent="0.25">
      <c r="A8035">
        <v>1821</v>
      </c>
      <c r="B8035">
        <f>A8035+1</f>
        <v>1822</v>
      </c>
      <c r="C8035" t="s">
        <v>527</v>
      </c>
      <c r="D8035" t="s">
        <v>26</v>
      </c>
      <c r="E8035" s="208" t="s">
        <v>387</v>
      </c>
      <c r="F8035" t="s">
        <v>11</v>
      </c>
      <c r="G8035" s="18">
        <v>0</v>
      </c>
      <c r="H8035" t="s">
        <v>23</v>
      </c>
      <c r="I8035" t="s">
        <v>17</v>
      </c>
    </row>
    <row r="8036" spans="1:9" x14ac:dyDescent="0.25">
      <c r="A8036">
        <v>1821</v>
      </c>
      <c r="B8036">
        <f>A8036+1</f>
        <v>1822</v>
      </c>
      <c r="C8036" t="s">
        <v>527</v>
      </c>
      <c r="D8036" t="s">
        <v>26</v>
      </c>
      <c r="E8036" s="208" t="s">
        <v>388</v>
      </c>
      <c r="F8036" t="s">
        <v>11</v>
      </c>
      <c r="G8036" s="18">
        <v>0</v>
      </c>
      <c r="H8036" t="s">
        <v>23</v>
      </c>
      <c r="I8036" t="s">
        <v>17</v>
      </c>
    </row>
    <row r="8037" spans="1:9" x14ac:dyDescent="0.25">
      <c r="A8037">
        <v>1821</v>
      </c>
      <c r="B8037">
        <f>A8037+1</f>
        <v>1822</v>
      </c>
      <c r="C8037" t="s">
        <v>527</v>
      </c>
      <c r="D8037" t="s">
        <v>26</v>
      </c>
      <c r="E8037" s="208" t="s">
        <v>383</v>
      </c>
      <c r="F8037" t="s">
        <v>11</v>
      </c>
      <c r="G8037" s="18">
        <v>0</v>
      </c>
      <c r="H8037" t="s">
        <v>23</v>
      </c>
      <c r="I8037" t="s">
        <v>17</v>
      </c>
    </row>
    <row r="8038" spans="1:9" x14ac:dyDescent="0.25">
      <c r="A8038">
        <v>1821</v>
      </c>
      <c r="B8038">
        <f>A8038+1</f>
        <v>1822</v>
      </c>
      <c r="C8038" t="s">
        <v>527</v>
      </c>
      <c r="D8038" t="s">
        <v>26</v>
      </c>
      <c r="E8038" s="208" t="s">
        <v>384</v>
      </c>
      <c r="F8038" t="s">
        <v>11</v>
      </c>
      <c r="G8038" s="18">
        <v>0</v>
      </c>
      <c r="H8038" t="s">
        <v>23</v>
      </c>
      <c r="I8038" t="s">
        <v>17</v>
      </c>
    </row>
    <row r="8039" spans="1:9" x14ac:dyDescent="0.25">
      <c r="A8039">
        <v>1821</v>
      </c>
      <c r="B8039">
        <f>A8039+1</f>
        <v>1822</v>
      </c>
      <c r="C8039" t="s">
        <v>527</v>
      </c>
      <c r="D8039" t="s">
        <v>26</v>
      </c>
      <c r="E8039" s="208" t="s">
        <v>107</v>
      </c>
      <c r="F8039" t="s">
        <v>11</v>
      </c>
      <c r="G8039" s="18">
        <v>40000</v>
      </c>
      <c r="H8039" t="s">
        <v>23</v>
      </c>
      <c r="I8039" t="s">
        <v>17</v>
      </c>
    </row>
    <row r="8040" spans="1:9" x14ac:dyDescent="0.25">
      <c r="A8040">
        <v>1821</v>
      </c>
      <c r="B8040">
        <f>A8040+1</f>
        <v>1822</v>
      </c>
      <c r="C8040" t="s">
        <v>527</v>
      </c>
      <c r="D8040" t="s">
        <v>26</v>
      </c>
      <c r="E8040" s="208" t="s">
        <v>101</v>
      </c>
      <c r="F8040" t="s">
        <v>11</v>
      </c>
      <c r="G8040" s="18">
        <v>52000</v>
      </c>
      <c r="H8040" t="s">
        <v>23</v>
      </c>
      <c r="I8040" t="s">
        <v>17</v>
      </c>
    </row>
    <row r="8041" spans="1:9" x14ac:dyDescent="0.25">
      <c r="A8041">
        <v>1821</v>
      </c>
      <c r="B8041">
        <f>A8041+1</f>
        <v>1822</v>
      </c>
      <c r="C8041" t="s">
        <v>527</v>
      </c>
      <c r="D8041" t="s">
        <v>26</v>
      </c>
      <c r="E8041" s="208" t="s">
        <v>75</v>
      </c>
      <c r="F8041" t="s">
        <v>11</v>
      </c>
      <c r="G8041" s="18">
        <v>8400</v>
      </c>
      <c r="H8041" t="s">
        <v>23</v>
      </c>
      <c r="I8041" t="s">
        <v>17</v>
      </c>
    </row>
    <row r="8042" spans="1:9" x14ac:dyDescent="0.25">
      <c r="A8042">
        <v>1821</v>
      </c>
      <c r="B8042">
        <f>A8042+1</f>
        <v>1822</v>
      </c>
      <c r="C8042" t="s">
        <v>527</v>
      </c>
      <c r="D8042" t="s">
        <v>26</v>
      </c>
      <c r="E8042" s="208" t="s">
        <v>330</v>
      </c>
      <c r="F8042" t="s">
        <v>11</v>
      </c>
      <c r="G8042" s="18">
        <v>0</v>
      </c>
      <c r="H8042" t="s">
        <v>23</v>
      </c>
      <c r="I8042" t="s">
        <v>17</v>
      </c>
    </row>
    <row r="8043" spans="1:9" x14ac:dyDescent="0.25">
      <c r="A8043">
        <v>1821</v>
      </c>
      <c r="B8043">
        <f>A8043+1</f>
        <v>1822</v>
      </c>
      <c r="C8043" t="s">
        <v>527</v>
      </c>
      <c r="D8043" t="s">
        <v>26</v>
      </c>
      <c r="E8043" s="208" t="s">
        <v>331</v>
      </c>
      <c r="F8043" t="s">
        <v>11</v>
      </c>
      <c r="G8043" s="18">
        <v>0</v>
      </c>
      <c r="H8043" t="s">
        <v>23</v>
      </c>
      <c r="I8043" t="s">
        <v>17</v>
      </c>
    </row>
    <row r="8044" spans="1:9" x14ac:dyDescent="0.25">
      <c r="A8044">
        <v>1821</v>
      </c>
      <c r="B8044">
        <f>A8044+1</f>
        <v>1822</v>
      </c>
      <c r="C8044" t="s">
        <v>527</v>
      </c>
      <c r="D8044" t="s">
        <v>26</v>
      </c>
      <c r="E8044" s="208" t="s">
        <v>332</v>
      </c>
      <c r="F8044" t="s">
        <v>11</v>
      </c>
      <c r="G8044" s="18">
        <v>0</v>
      </c>
      <c r="H8044" t="s">
        <v>23</v>
      </c>
      <c r="I8044" t="s">
        <v>17</v>
      </c>
    </row>
    <row r="8045" spans="1:9" x14ac:dyDescent="0.25">
      <c r="A8045">
        <v>1821</v>
      </c>
      <c r="B8045">
        <f>A8045+1</f>
        <v>1822</v>
      </c>
      <c r="C8045" t="s">
        <v>527</v>
      </c>
      <c r="D8045" t="s">
        <v>26</v>
      </c>
      <c r="E8045" s="208" t="s">
        <v>333</v>
      </c>
      <c r="F8045" t="s">
        <v>11</v>
      </c>
      <c r="G8045" s="18">
        <v>0</v>
      </c>
      <c r="H8045" t="s">
        <v>23</v>
      </c>
      <c r="I8045" t="s">
        <v>17</v>
      </c>
    </row>
    <row r="8046" spans="1:9" x14ac:dyDescent="0.25">
      <c r="A8046">
        <v>1821</v>
      </c>
      <c r="B8046">
        <f>A8046+1</f>
        <v>1822</v>
      </c>
      <c r="C8046" t="s">
        <v>527</v>
      </c>
      <c r="D8046" t="s">
        <v>27</v>
      </c>
      <c r="E8046" s="208" t="s">
        <v>155</v>
      </c>
      <c r="F8046" t="s">
        <v>14</v>
      </c>
      <c r="G8046" s="18">
        <v>70362</v>
      </c>
      <c r="H8046" t="s">
        <v>17</v>
      </c>
      <c r="I8046" s="151" t="s">
        <v>562</v>
      </c>
    </row>
    <row r="8047" spans="1:9" x14ac:dyDescent="0.25">
      <c r="A8047">
        <v>1821</v>
      </c>
      <c r="B8047">
        <f>A8047+1</f>
        <v>1822</v>
      </c>
      <c r="C8047" t="s">
        <v>527</v>
      </c>
      <c r="D8047" t="s">
        <v>27</v>
      </c>
      <c r="E8047" s="208" t="s">
        <v>156</v>
      </c>
      <c r="F8047" t="s">
        <v>14</v>
      </c>
      <c r="G8047" s="18">
        <v>7365</v>
      </c>
      <c r="H8047" t="s">
        <v>17</v>
      </c>
      <c r="I8047" s="151" t="s">
        <v>562</v>
      </c>
    </row>
    <row r="8048" spans="1:9" x14ac:dyDescent="0.25">
      <c r="A8048">
        <v>1821</v>
      </c>
      <c r="B8048">
        <f>A8048+1</f>
        <v>1822</v>
      </c>
      <c r="C8048" t="s">
        <v>527</v>
      </c>
      <c r="D8048" t="s">
        <v>27</v>
      </c>
      <c r="E8048" s="208" t="s">
        <v>154</v>
      </c>
      <c r="F8048" t="s">
        <v>14</v>
      </c>
      <c r="G8048" s="18">
        <v>759</v>
      </c>
      <c r="H8048" t="s">
        <v>17</v>
      </c>
      <c r="I8048" s="151" t="s">
        <v>562</v>
      </c>
    </row>
    <row r="8049" spans="1:9" x14ac:dyDescent="0.25">
      <c r="A8049">
        <v>1821</v>
      </c>
      <c r="B8049">
        <f>A8049+1</f>
        <v>1822</v>
      </c>
      <c r="C8049" t="s">
        <v>527</v>
      </c>
      <c r="D8049" t="s">
        <v>27</v>
      </c>
      <c r="E8049" s="208" t="s">
        <v>150</v>
      </c>
      <c r="F8049" t="s">
        <v>14</v>
      </c>
      <c r="G8049" s="18">
        <v>23751</v>
      </c>
      <c r="H8049" t="s">
        <v>17</v>
      </c>
      <c r="I8049" s="151" t="s">
        <v>562</v>
      </c>
    </row>
    <row r="8050" spans="1:9" x14ac:dyDescent="0.25">
      <c r="A8050">
        <v>1821</v>
      </c>
      <c r="B8050">
        <f>A8050+1</f>
        <v>1822</v>
      </c>
      <c r="C8050" t="s">
        <v>527</v>
      </c>
      <c r="D8050" t="s">
        <v>27</v>
      </c>
      <c r="E8050" s="208" t="s">
        <v>148</v>
      </c>
      <c r="F8050" t="s">
        <v>14</v>
      </c>
      <c r="G8050" s="18">
        <v>871</v>
      </c>
      <c r="H8050" t="s">
        <v>17</v>
      </c>
      <c r="I8050" s="151" t="s">
        <v>562</v>
      </c>
    </row>
    <row r="8051" spans="1:9" x14ac:dyDescent="0.25">
      <c r="A8051">
        <v>1821</v>
      </c>
      <c r="B8051">
        <f>A8051+1</f>
        <v>1822</v>
      </c>
      <c r="C8051" t="s">
        <v>527</v>
      </c>
      <c r="D8051" t="s">
        <v>27</v>
      </c>
      <c r="E8051" s="208" t="s">
        <v>147</v>
      </c>
      <c r="F8051" t="s">
        <v>14</v>
      </c>
      <c r="G8051" s="18">
        <v>1</v>
      </c>
      <c r="H8051" t="s">
        <v>17</v>
      </c>
      <c r="I8051" s="151" t="s">
        <v>562</v>
      </c>
    </row>
    <row r="8052" spans="1:9" x14ac:dyDescent="0.25">
      <c r="A8052">
        <v>1821</v>
      </c>
      <c r="B8052">
        <f>A8052+1</f>
        <v>1822</v>
      </c>
      <c r="C8052" t="s">
        <v>527</v>
      </c>
      <c r="D8052" t="s">
        <v>27</v>
      </c>
      <c r="E8052" s="208" t="s">
        <v>314</v>
      </c>
      <c r="F8052" t="s">
        <v>14</v>
      </c>
      <c r="G8052" s="18">
        <v>396</v>
      </c>
      <c r="H8052" t="s">
        <v>17</v>
      </c>
      <c r="I8052" s="151" t="s">
        <v>562</v>
      </c>
    </row>
    <row r="8053" spans="1:9" x14ac:dyDescent="0.25">
      <c r="A8053">
        <v>1821</v>
      </c>
      <c r="B8053">
        <f>A8053+1</f>
        <v>1822</v>
      </c>
      <c r="C8053" t="s">
        <v>527</v>
      </c>
      <c r="D8053" t="s">
        <v>27</v>
      </c>
      <c r="E8053" s="208" t="s">
        <v>139</v>
      </c>
      <c r="F8053" t="s">
        <v>14</v>
      </c>
      <c r="G8053" s="18">
        <v>136</v>
      </c>
      <c r="H8053" t="s">
        <v>17</v>
      </c>
      <c r="I8053" s="151" t="s">
        <v>562</v>
      </c>
    </row>
    <row r="8054" spans="1:9" x14ac:dyDescent="0.25">
      <c r="A8054">
        <v>1821</v>
      </c>
      <c r="B8054">
        <f>A8054+1</f>
        <v>1822</v>
      </c>
      <c r="C8054" t="s">
        <v>527</v>
      </c>
      <c r="D8054" t="s">
        <v>27</v>
      </c>
      <c r="E8054" s="208" t="s">
        <v>132</v>
      </c>
      <c r="F8054" t="s">
        <v>14</v>
      </c>
      <c r="G8054" s="18">
        <v>805</v>
      </c>
      <c r="H8054" t="s">
        <v>17</v>
      </c>
      <c r="I8054" s="151" t="s">
        <v>562</v>
      </c>
    </row>
    <row r="8055" spans="1:9" x14ac:dyDescent="0.25">
      <c r="A8055">
        <v>1821</v>
      </c>
      <c r="B8055">
        <f>A8055+1</f>
        <v>1822</v>
      </c>
      <c r="C8055" t="s">
        <v>527</v>
      </c>
      <c r="D8055" t="s">
        <v>27</v>
      </c>
      <c r="E8055" s="208" t="s">
        <v>130</v>
      </c>
      <c r="F8055" t="s">
        <v>14</v>
      </c>
      <c r="G8055" s="18">
        <v>70</v>
      </c>
      <c r="H8055" t="s">
        <v>17</v>
      </c>
      <c r="I8055" s="151" t="s">
        <v>562</v>
      </c>
    </row>
    <row r="8056" spans="1:9" x14ac:dyDescent="0.25">
      <c r="A8056">
        <v>1821</v>
      </c>
      <c r="B8056">
        <f>A8056+1</f>
        <v>1822</v>
      </c>
      <c r="C8056" t="s">
        <v>527</v>
      </c>
      <c r="D8056" t="s">
        <v>27</v>
      </c>
      <c r="E8056" s="208" t="s">
        <v>144</v>
      </c>
      <c r="F8056" t="s">
        <v>14</v>
      </c>
      <c r="G8056" s="18">
        <v>403</v>
      </c>
      <c r="H8056" t="s">
        <v>17</v>
      </c>
      <c r="I8056" s="151" t="s">
        <v>562</v>
      </c>
    </row>
    <row r="8057" spans="1:9" x14ac:dyDescent="0.25">
      <c r="A8057">
        <v>1821</v>
      </c>
      <c r="B8057">
        <f>A8057+1</f>
        <v>1822</v>
      </c>
      <c r="C8057" t="s">
        <v>527</v>
      </c>
      <c r="D8057" t="s">
        <v>27</v>
      </c>
      <c r="E8057" s="208" t="s">
        <v>142</v>
      </c>
      <c r="F8057" t="s">
        <v>14</v>
      </c>
      <c r="G8057" s="18">
        <v>16570</v>
      </c>
      <c r="H8057" t="s">
        <v>17</v>
      </c>
      <c r="I8057" s="151" t="s">
        <v>562</v>
      </c>
    </row>
    <row r="8058" spans="1:9" x14ac:dyDescent="0.25">
      <c r="A8058">
        <v>1821</v>
      </c>
      <c r="B8058">
        <f>A8058+1</f>
        <v>1822</v>
      </c>
      <c r="C8058" t="s">
        <v>527</v>
      </c>
      <c r="D8058" t="s">
        <v>27</v>
      </c>
      <c r="E8058" s="208" t="s">
        <v>124</v>
      </c>
      <c r="F8058" t="s">
        <v>14</v>
      </c>
      <c r="G8058" s="18">
        <v>8661009</v>
      </c>
      <c r="H8058" t="s">
        <v>17</v>
      </c>
      <c r="I8058" s="151" t="s">
        <v>562</v>
      </c>
    </row>
    <row r="8059" spans="1:9" x14ac:dyDescent="0.25">
      <c r="A8059">
        <v>1821</v>
      </c>
      <c r="B8059">
        <f>A8059+1</f>
        <v>1822</v>
      </c>
      <c r="C8059" t="s">
        <v>527</v>
      </c>
      <c r="D8059" t="s">
        <v>26</v>
      </c>
      <c r="E8059" s="208" t="s">
        <v>62</v>
      </c>
      <c r="F8059" t="s">
        <v>14</v>
      </c>
      <c r="G8059" s="18">
        <v>5543</v>
      </c>
      <c r="H8059" s="151" t="s">
        <v>563</v>
      </c>
      <c r="I8059" t="s">
        <v>17</v>
      </c>
    </row>
    <row r="8060" spans="1:9" x14ac:dyDescent="0.25">
      <c r="A8060">
        <v>1821</v>
      </c>
      <c r="B8060">
        <f>A8060+1</f>
        <v>1822</v>
      </c>
      <c r="C8060" t="s">
        <v>527</v>
      </c>
      <c r="D8060" t="s">
        <v>26</v>
      </c>
      <c r="E8060" s="208" t="s">
        <v>36</v>
      </c>
      <c r="F8060" t="s">
        <v>14</v>
      </c>
      <c r="G8060" s="18">
        <v>778</v>
      </c>
      <c r="H8060" s="151" t="s">
        <v>563</v>
      </c>
      <c r="I8060" t="s">
        <v>17</v>
      </c>
    </row>
    <row r="8061" spans="1:9" x14ac:dyDescent="0.25">
      <c r="A8061">
        <v>1821</v>
      </c>
      <c r="B8061">
        <f>A8061+1</f>
        <v>1822</v>
      </c>
      <c r="C8061" t="s">
        <v>527</v>
      </c>
      <c r="D8061" t="s">
        <v>26</v>
      </c>
      <c r="E8061" s="208" t="s">
        <v>35</v>
      </c>
      <c r="F8061" t="s">
        <v>14</v>
      </c>
      <c r="G8061" s="18">
        <v>10</v>
      </c>
      <c r="H8061" s="151" t="s">
        <v>563</v>
      </c>
      <c r="I8061" t="s">
        <v>17</v>
      </c>
    </row>
    <row r="8062" spans="1:9" x14ac:dyDescent="0.25">
      <c r="A8062">
        <v>1821</v>
      </c>
      <c r="B8062">
        <f>A8062+1</f>
        <v>1822</v>
      </c>
      <c r="C8062" t="s">
        <v>527</v>
      </c>
      <c r="D8062" t="s">
        <v>26</v>
      </c>
      <c r="E8062" s="208" t="s">
        <v>39</v>
      </c>
      <c r="F8062" t="s">
        <v>14</v>
      </c>
      <c r="G8062" s="18">
        <v>535</v>
      </c>
      <c r="H8062" s="151" t="s">
        <v>563</v>
      </c>
      <c r="I8062" t="s">
        <v>17</v>
      </c>
    </row>
    <row r="8063" spans="1:9" x14ac:dyDescent="0.25">
      <c r="A8063">
        <v>1821</v>
      </c>
      <c r="B8063">
        <f>A8063+1</f>
        <v>1822</v>
      </c>
      <c r="C8063" t="s">
        <v>527</v>
      </c>
      <c r="D8063" t="s">
        <v>26</v>
      </c>
      <c r="E8063" s="208" t="s">
        <v>99</v>
      </c>
      <c r="F8063" t="s">
        <v>14</v>
      </c>
      <c r="G8063" s="18">
        <v>419</v>
      </c>
      <c r="H8063" s="151" t="s">
        <v>563</v>
      </c>
      <c r="I8063" t="s">
        <v>17</v>
      </c>
    </row>
    <row r="8064" spans="1:9" x14ac:dyDescent="0.25">
      <c r="A8064">
        <v>1821</v>
      </c>
      <c r="B8064">
        <f>A8064+1</f>
        <v>1822</v>
      </c>
      <c r="C8064" t="s">
        <v>527</v>
      </c>
      <c r="D8064" t="s">
        <v>26</v>
      </c>
      <c r="E8064" s="208" t="s">
        <v>95</v>
      </c>
      <c r="F8064" t="s">
        <v>14</v>
      </c>
      <c r="G8064" s="18">
        <v>27</v>
      </c>
      <c r="H8064" s="151" t="s">
        <v>563</v>
      </c>
      <c r="I8064" t="s">
        <v>17</v>
      </c>
    </row>
    <row r="8065" spans="1:9" x14ac:dyDescent="0.25">
      <c r="A8065">
        <v>1821</v>
      </c>
      <c r="B8065">
        <f>A8065+1</f>
        <v>1822</v>
      </c>
      <c r="C8065" t="s">
        <v>527</v>
      </c>
      <c r="D8065" t="s">
        <v>26</v>
      </c>
      <c r="E8065" s="208" t="s">
        <v>94</v>
      </c>
      <c r="F8065" t="s">
        <v>14</v>
      </c>
      <c r="G8065" s="18">
        <v>1991</v>
      </c>
      <c r="H8065" s="151" t="s">
        <v>563</v>
      </c>
      <c r="I8065" t="s">
        <v>17</v>
      </c>
    </row>
    <row r="8066" spans="1:9" x14ac:dyDescent="0.25">
      <c r="A8066">
        <v>1821</v>
      </c>
      <c r="B8066">
        <f>A8066+1</f>
        <v>1822</v>
      </c>
      <c r="C8066" t="s">
        <v>527</v>
      </c>
      <c r="D8066" t="s">
        <v>26</v>
      </c>
      <c r="E8066" s="208" t="s">
        <v>386</v>
      </c>
      <c r="F8066" t="s">
        <v>14</v>
      </c>
      <c r="G8066" s="18">
        <v>5766</v>
      </c>
      <c r="H8066" s="151" t="s">
        <v>563</v>
      </c>
      <c r="I8066" t="s">
        <v>17</v>
      </c>
    </row>
    <row r="8067" spans="1:9" x14ac:dyDescent="0.25">
      <c r="A8067">
        <v>1821</v>
      </c>
      <c r="B8067">
        <f>A8067+1</f>
        <v>1822</v>
      </c>
      <c r="C8067" t="s">
        <v>527</v>
      </c>
      <c r="D8067" t="s">
        <v>26</v>
      </c>
      <c r="E8067" s="208" t="s">
        <v>387</v>
      </c>
      <c r="F8067" t="s">
        <v>14</v>
      </c>
      <c r="G8067" s="18">
        <v>0</v>
      </c>
      <c r="H8067" s="151" t="s">
        <v>563</v>
      </c>
      <c r="I8067" t="s">
        <v>17</v>
      </c>
    </row>
    <row r="8068" spans="1:9" x14ac:dyDescent="0.25">
      <c r="A8068">
        <v>1821</v>
      </c>
      <c r="B8068">
        <f>A8068+1</f>
        <v>1822</v>
      </c>
      <c r="C8068" t="s">
        <v>527</v>
      </c>
      <c r="D8068" t="s">
        <v>26</v>
      </c>
      <c r="E8068" s="208" t="s">
        <v>388</v>
      </c>
      <c r="F8068" t="s">
        <v>14</v>
      </c>
      <c r="G8068" s="18">
        <v>1834</v>
      </c>
      <c r="H8068" s="151" t="s">
        <v>563</v>
      </c>
      <c r="I8068" t="s">
        <v>17</v>
      </c>
    </row>
    <row r="8069" spans="1:9" x14ac:dyDescent="0.25">
      <c r="A8069">
        <v>1821</v>
      </c>
      <c r="B8069">
        <f>A8069+1</f>
        <v>1822</v>
      </c>
      <c r="C8069" t="s">
        <v>527</v>
      </c>
      <c r="D8069" t="s">
        <v>26</v>
      </c>
      <c r="E8069" s="208" t="s">
        <v>383</v>
      </c>
      <c r="F8069" t="s">
        <v>14</v>
      </c>
      <c r="G8069" s="18">
        <v>75</v>
      </c>
      <c r="H8069" s="151" t="s">
        <v>563</v>
      </c>
      <c r="I8069" t="s">
        <v>17</v>
      </c>
    </row>
    <row r="8070" spans="1:9" x14ac:dyDescent="0.25">
      <c r="A8070">
        <v>1821</v>
      </c>
      <c r="B8070">
        <f>A8070+1</f>
        <v>1822</v>
      </c>
      <c r="C8070" t="s">
        <v>527</v>
      </c>
      <c r="D8070" t="s">
        <v>26</v>
      </c>
      <c r="E8070" s="208" t="s">
        <v>384</v>
      </c>
      <c r="F8070" t="s">
        <v>14</v>
      </c>
      <c r="G8070" s="18">
        <v>34</v>
      </c>
      <c r="H8070" s="151" t="s">
        <v>563</v>
      </c>
      <c r="I8070" t="s">
        <v>17</v>
      </c>
    </row>
    <row r="8071" spans="1:9" x14ac:dyDescent="0.25">
      <c r="A8071">
        <v>1821</v>
      </c>
      <c r="B8071">
        <f>A8071+1</f>
        <v>1822</v>
      </c>
      <c r="C8071" t="s">
        <v>527</v>
      </c>
      <c r="D8071" t="s">
        <v>26</v>
      </c>
      <c r="E8071" s="208" t="s">
        <v>107</v>
      </c>
      <c r="F8071" t="s">
        <v>14</v>
      </c>
      <c r="G8071" s="18">
        <v>2500280</v>
      </c>
      <c r="H8071" s="151" t="s">
        <v>563</v>
      </c>
      <c r="I8071" t="s">
        <v>17</v>
      </c>
    </row>
    <row r="8072" spans="1:9" x14ac:dyDescent="0.25">
      <c r="A8072">
        <v>1821</v>
      </c>
      <c r="B8072">
        <f>A8072+1</f>
        <v>1822</v>
      </c>
      <c r="C8072" t="s">
        <v>527</v>
      </c>
      <c r="D8072" t="s">
        <v>26</v>
      </c>
      <c r="E8072" s="208" t="s">
        <v>101</v>
      </c>
      <c r="F8072" t="s">
        <v>14</v>
      </c>
      <c r="G8072" s="18">
        <v>3469800</v>
      </c>
      <c r="H8072" s="151" t="s">
        <v>563</v>
      </c>
      <c r="I8072" t="s">
        <v>17</v>
      </c>
    </row>
    <row r="8073" spans="1:9" x14ac:dyDescent="0.25">
      <c r="A8073">
        <v>1821</v>
      </c>
      <c r="B8073">
        <f>A8073+1</f>
        <v>1822</v>
      </c>
      <c r="C8073" t="s">
        <v>527</v>
      </c>
      <c r="D8073" t="s">
        <v>26</v>
      </c>
      <c r="E8073" s="208" t="s">
        <v>75</v>
      </c>
      <c r="F8073" t="s">
        <v>14</v>
      </c>
      <c r="G8073" s="18">
        <v>3663947</v>
      </c>
      <c r="H8073" s="151" t="s">
        <v>563</v>
      </c>
      <c r="I8073" t="s">
        <v>17</v>
      </c>
    </row>
    <row r="8074" spans="1:9" x14ac:dyDescent="0.25">
      <c r="A8074">
        <v>1821</v>
      </c>
      <c r="B8074">
        <f>A8074+1</f>
        <v>1822</v>
      </c>
      <c r="C8074" t="s">
        <v>527</v>
      </c>
      <c r="D8074" t="s">
        <v>26</v>
      </c>
      <c r="E8074" s="208" t="s">
        <v>330</v>
      </c>
      <c r="F8074" t="s">
        <v>14</v>
      </c>
      <c r="G8074" s="18">
        <v>742</v>
      </c>
      <c r="H8074" s="151" t="s">
        <v>563</v>
      </c>
      <c r="I8074" t="s">
        <v>17</v>
      </c>
    </row>
    <row r="8075" spans="1:9" x14ac:dyDescent="0.25">
      <c r="A8075">
        <v>1821</v>
      </c>
      <c r="B8075">
        <f>A8075+1</f>
        <v>1822</v>
      </c>
      <c r="C8075" t="s">
        <v>527</v>
      </c>
      <c r="D8075" t="s">
        <v>26</v>
      </c>
      <c r="E8075" s="208" t="s">
        <v>331</v>
      </c>
      <c r="F8075" t="s">
        <v>14</v>
      </c>
      <c r="G8075" s="18">
        <v>130</v>
      </c>
      <c r="H8075" s="151" t="s">
        <v>563</v>
      </c>
      <c r="I8075" t="s">
        <v>17</v>
      </c>
    </row>
    <row r="8076" spans="1:9" x14ac:dyDescent="0.25">
      <c r="A8076">
        <v>1821</v>
      </c>
      <c r="B8076">
        <f>A8076+1</f>
        <v>1822</v>
      </c>
      <c r="C8076" t="s">
        <v>527</v>
      </c>
      <c r="D8076" t="s">
        <v>26</v>
      </c>
      <c r="E8076" s="208" t="s">
        <v>332</v>
      </c>
      <c r="F8076" t="s">
        <v>14</v>
      </c>
      <c r="G8076" s="18">
        <v>24</v>
      </c>
      <c r="H8076" s="151" t="s">
        <v>563</v>
      </c>
      <c r="I8076" t="s">
        <v>17</v>
      </c>
    </row>
    <row r="8077" spans="1:9" x14ac:dyDescent="0.25">
      <c r="A8077">
        <v>1821</v>
      </c>
      <c r="B8077">
        <f>A8077+1</f>
        <v>1822</v>
      </c>
      <c r="C8077" t="s">
        <v>527</v>
      </c>
      <c r="D8077" t="s">
        <v>26</v>
      </c>
      <c r="E8077" s="208" t="s">
        <v>333</v>
      </c>
      <c r="F8077" t="s">
        <v>14</v>
      </c>
      <c r="G8077" s="18">
        <v>377</v>
      </c>
      <c r="H8077" s="151" t="s">
        <v>563</v>
      </c>
      <c r="I8077" t="s">
        <v>17</v>
      </c>
    </row>
    <row r="8078" spans="1:9" x14ac:dyDescent="0.25">
      <c r="A8078">
        <v>1821</v>
      </c>
      <c r="B8078">
        <f>A8078+1</f>
        <v>1822</v>
      </c>
      <c r="C8078" t="s">
        <v>527</v>
      </c>
      <c r="D8078" t="s">
        <v>27</v>
      </c>
      <c r="E8078" s="208" t="s">
        <v>155</v>
      </c>
      <c r="F8078" t="s">
        <v>15</v>
      </c>
      <c r="G8078" s="18">
        <v>88551</v>
      </c>
      <c r="H8078" t="s">
        <v>561</v>
      </c>
      <c r="I8078" s="151" t="s">
        <v>562</v>
      </c>
    </row>
    <row r="8079" spans="1:9" x14ac:dyDescent="0.25">
      <c r="A8079">
        <v>1821</v>
      </c>
      <c r="B8079">
        <f>A8079+1</f>
        <v>1822</v>
      </c>
      <c r="C8079" t="s">
        <v>527</v>
      </c>
      <c r="D8079" t="s">
        <v>27</v>
      </c>
      <c r="E8079" s="208" t="s">
        <v>156</v>
      </c>
      <c r="F8079" t="s">
        <v>15</v>
      </c>
      <c r="G8079" s="18">
        <v>8705</v>
      </c>
      <c r="H8079" t="s">
        <v>561</v>
      </c>
      <c r="I8079" s="151" t="s">
        <v>562</v>
      </c>
    </row>
    <row r="8080" spans="1:9" x14ac:dyDescent="0.25">
      <c r="A8080">
        <v>1821</v>
      </c>
      <c r="B8080">
        <f>A8080+1</f>
        <v>1822</v>
      </c>
      <c r="C8080" t="s">
        <v>527</v>
      </c>
      <c r="D8080" t="s">
        <v>27</v>
      </c>
      <c r="E8080" s="208" t="s">
        <v>154</v>
      </c>
      <c r="F8080" t="s">
        <v>15</v>
      </c>
      <c r="G8080" s="18">
        <v>1292</v>
      </c>
      <c r="H8080" t="s">
        <v>561</v>
      </c>
      <c r="I8080" s="151" t="s">
        <v>562</v>
      </c>
    </row>
    <row r="8081" spans="1:9" x14ac:dyDescent="0.25">
      <c r="A8081">
        <v>1821</v>
      </c>
      <c r="B8081">
        <f>A8081+1</f>
        <v>1822</v>
      </c>
      <c r="C8081" t="s">
        <v>527</v>
      </c>
      <c r="D8081" t="s">
        <v>27</v>
      </c>
      <c r="E8081" s="208" t="s">
        <v>150</v>
      </c>
      <c r="F8081" t="s">
        <v>15</v>
      </c>
      <c r="G8081" s="18">
        <v>28728</v>
      </c>
      <c r="H8081" t="s">
        <v>561</v>
      </c>
      <c r="I8081" s="151" t="s">
        <v>562</v>
      </c>
    </row>
    <row r="8082" spans="1:9" x14ac:dyDescent="0.25">
      <c r="A8082">
        <v>1821</v>
      </c>
      <c r="B8082">
        <f>A8082+1</f>
        <v>1822</v>
      </c>
      <c r="C8082" t="s">
        <v>527</v>
      </c>
      <c r="D8082" t="s">
        <v>27</v>
      </c>
      <c r="E8082" s="208" t="s">
        <v>148</v>
      </c>
      <c r="F8082" t="s">
        <v>15</v>
      </c>
      <c r="G8082" s="18">
        <v>1124</v>
      </c>
      <c r="H8082" t="s">
        <v>561</v>
      </c>
      <c r="I8082" s="151" t="s">
        <v>562</v>
      </c>
    </row>
    <row r="8083" spans="1:9" x14ac:dyDescent="0.25">
      <c r="A8083">
        <v>1821</v>
      </c>
      <c r="B8083">
        <f>A8083+1</f>
        <v>1822</v>
      </c>
      <c r="C8083" t="s">
        <v>527</v>
      </c>
      <c r="D8083" t="s">
        <v>27</v>
      </c>
      <c r="E8083" s="208" t="s">
        <v>147</v>
      </c>
      <c r="F8083" t="s">
        <v>15</v>
      </c>
      <c r="G8083" s="18">
        <v>9</v>
      </c>
      <c r="H8083" t="s">
        <v>561</v>
      </c>
      <c r="I8083" s="151" t="s">
        <v>562</v>
      </c>
    </row>
    <row r="8084" spans="1:9" x14ac:dyDescent="0.25">
      <c r="A8084">
        <v>1821</v>
      </c>
      <c r="B8084">
        <f>A8084+1</f>
        <v>1822</v>
      </c>
      <c r="C8084" t="s">
        <v>527</v>
      </c>
      <c r="D8084" t="s">
        <v>27</v>
      </c>
      <c r="E8084" s="208" t="s">
        <v>314</v>
      </c>
      <c r="F8084" t="s">
        <v>15</v>
      </c>
      <c r="G8084" s="18">
        <v>442</v>
      </c>
      <c r="H8084" t="s">
        <v>561</v>
      </c>
      <c r="I8084" s="151" t="s">
        <v>562</v>
      </c>
    </row>
    <row r="8085" spans="1:9" x14ac:dyDescent="0.25">
      <c r="A8085">
        <v>1821</v>
      </c>
      <c r="B8085">
        <f>A8085+1</f>
        <v>1822</v>
      </c>
      <c r="C8085" t="s">
        <v>527</v>
      </c>
      <c r="D8085" t="s">
        <v>27</v>
      </c>
      <c r="E8085" s="208" t="s">
        <v>139</v>
      </c>
      <c r="F8085" t="s">
        <v>15</v>
      </c>
      <c r="G8085" s="18">
        <v>144</v>
      </c>
      <c r="H8085" t="s">
        <v>561</v>
      </c>
      <c r="I8085" s="151" t="s">
        <v>562</v>
      </c>
    </row>
    <row r="8086" spans="1:9" x14ac:dyDescent="0.25">
      <c r="A8086">
        <v>1821</v>
      </c>
      <c r="B8086">
        <f>A8086+1</f>
        <v>1822</v>
      </c>
      <c r="C8086" t="s">
        <v>527</v>
      </c>
      <c r="D8086" t="s">
        <v>27</v>
      </c>
      <c r="E8086" s="208" t="s">
        <v>132</v>
      </c>
      <c r="F8086" t="s">
        <v>15</v>
      </c>
      <c r="G8086" s="18">
        <v>891</v>
      </c>
      <c r="H8086" t="s">
        <v>561</v>
      </c>
      <c r="I8086" s="151" t="s">
        <v>562</v>
      </c>
    </row>
    <row r="8087" spans="1:9" x14ac:dyDescent="0.25">
      <c r="A8087">
        <v>1821</v>
      </c>
      <c r="B8087">
        <f>A8087+1</f>
        <v>1822</v>
      </c>
      <c r="C8087" t="s">
        <v>527</v>
      </c>
      <c r="D8087" t="s">
        <v>27</v>
      </c>
      <c r="E8087" s="208" t="s">
        <v>130</v>
      </c>
      <c r="F8087" t="s">
        <v>15</v>
      </c>
      <c r="G8087" s="18">
        <v>72</v>
      </c>
      <c r="H8087" t="s">
        <v>561</v>
      </c>
      <c r="I8087" s="151" t="s">
        <v>562</v>
      </c>
    </row>
    <row r="8088" spans="1:9" x14ac:dyDescent="0.25">
      <c r="A8088">
        <v>1821</v>
      </c>
      <c r="B8088">
        <f>A8088+1</f>
        <v>1822</v>
      </c>
      <c r="C8088" t="s">
        <v>527</v>
      </c>
      <c r="D8088" t="s">
        <v>27</v>
      </c>
      <c r="E8088" s="208" t="s">
        <v>144</v>
      </c>
      <c r="F8088" t="s">
        <v>15</v>
      </c>
      <c r="G8088" s="18">
        <v>699</v>
      </c>
      <c r="H8088" t="s">
        <v>561</v>
      </c>
      <c r="I8088" s="151" t="s">
        <v>562</v>
      </c>
    </row>
    <row r="8089" spans="1:9" x14ac:dyDescent="0.25">
      <c r="A8089">
        <v>1821</v>
      </c>
      <c r="B8089">
        <f>A8089+1</f>
        <v>1822</v>
      </c>
      <c r="C8089" t="s">
        <v>527</v>
      </c>
      <c r="D8089" t="s">
        <v>27</v>
      </c>
      <c r="E8089" s="208" t="s">
        <v>142</v>
      </c>
      <c r="F8089" t="s">
        <v>15</v>
      </c>
      <c r="G8089" s="18">
        <v>18672</v>
      </c>
      <c r="H8089" t="s">
        <v>561</v>
      </c>
      <c r="I8089" s="151" t="s">
        <v>562</v>
      </c>
    </row>
    <row r="8090" spans="1:9" x14ac:dyDescent="0.25">
      <c r="A8090">
        <v>1821</v>
      </c>
      <c r="B8090">
        <f>A8090+1</f>
        <v>1822</v>
      </c>
      <c r="C8090" t="s">
        <v>527</v>
      </c>
      <c r="D8090" t="s">
        <v>27</v>
      </c>
      <c r="E8090" s="208" t="s">
        <v>124</v>
      </c>
      <c r="F8090" t="s">
        <v>15</v>
      </c>
      <c r="G8090" s="18">
        <v>19773910</v>
      </c>
      <c r="H8090" t="s">
        <v>561</v>
      </c>
      <c r="I8090" s="151" t="s">
        <v>562</v>
      </c>
    </row>
    <row r="8091" spans="1:9" x14ac:dyDescent="0.25">
      <c r="A8091">
        <v>1821</v>
      </c>
      <c r="B8091">
        <f>A8091+1</f>
        <v>1822</v>
      </c>
      <c r="C8091" t="s">
        <v>527</v>
      </c>
      <c r="D8091" t="s">
        <v>26</v>
      </c>
      <c r="E8091" s="208" t="s">
        <v>62</v>
      </c>
      <c r="F8091" t="s">
        <v>15</v>
      </c>
      <c r="G8091" s="18">
        <v>70035</v>
      </c>
      <c r="H8091" s="151" t="s">
        <v>563</v>
      </c>
      <c r="I8091" t="s">
        <v>561</v>
      </c>
    </row>
    <row r="8092" spans="1:9" x14ac:dyDescent="0.25">
      <c r="A8092">
        <v>1821</v>
      </c>
      <c r="B8092">
        <f>A8092+1</f>
        <v>1822</v>
      </c>
      <c r="C8092" t="s">
        <v>527</v>
      </c>
      <c r="D8092" t="s">
        <v>26</v>
      </c>
      <c r="E8092" s="208" t="s">
        <v>36</v>
      </c>
      <c r="F8092" t="s">
        <v>15</v>
      </c>
      <c r="G8092" s="18">
        <v>4799</v>
      </c>
      <c r="H8092" s="151" t="s">
        <v>563</v>
      </c>
      <c r="I8092" t="s">
        <v>561</v>
      </c>
    </row>
    <row r="8093" spans="1:9" x14ac:dyDescent="0.25">
      <c r="A8093">
        <v>1821</v>
      </c>
      <c r="B8093">
        <f>A8093+1</f>
        <v>1822</v>
      </c>
      <c r="C8093" t="s">
        <v>527</v>
      </c>
      <c r="D8093" t="s">
        <v>26</v>
      </c>
      <c r="E8093" s="208" t="s">
        <v>35</v>
      </c>
      <c r="F8093" t="s">
        <v>15</v>
      </c>
      <c r="G8093" s="18">
        <v>3756</v>
      </c>
      <c r="H8093" s="151" t="s">
        <v>563</v>
      </c>
      <c r="I8093" t="s">
        <v>561</v>
      </c>
    </row>
    <row r="8094" spans="1:9" x14ac:dyDescent="0.25">
      <c r="A8094">
        <v>1821</v>
      </c>
      <c r="B8094">
        <f>A8094+1</f>
        <v>1822</v>
      </c>
      <c r="C8094" t="s">
        <v>527</v>
      </c>
      <c r="D8094" t="s">
        <v>26</v>
      </c>
      <c r="E8094" s="208" t="s">
        <v>39</v>
      </c>
      <c r="F8094" t="s">
        <v>15</v>
      </c>
      <c r="G8094" s="18">
        <v>2487</v>
      </c>
      <c r="H8094" s="151" t="s">
        <v>563</v>
      </c>
      <c r="I8094" t="s">
        <v>561</v>
      </c>
    </row>
    <row r="8095" spans="1:9" x14ac:dyDescent="0.25">
      <c r="A8095">
        <v>1821</v>
      </c>
      <c r="B8095">
        <f>A8095+1</f>
        <v>1822</v>
      </c>
      <c r="C8095" t="s">
        <v>527</v>
      </c>
      <c r="D8095" t="s">
        <v>26</v>
      </c>
      <c r="E8095" s="208" t="s">
        <v>99</v>
      </c>
      <c r="F8095" t="s">
        <v>15</v>
      </c>
      <c r="G8095" s="18">
        <v>3160</v>
      </c>
      <c r="H8095" s="151" t="s">
        <v>563</v>
      </c>
      <c r="I8095" t="s">
        <v>561</v>
      </c>
    </row>
    <row r="8096" spans="1:9" x14ac:dyDescent="0.25">
      <c r="A8096">
        <v>1821</v>
      </c>
      <c r="B8096">
        <f>A8096+1</f>
        <v>1822</v>
      </c>
      <c r="C8096" t="s">
        <v>527</v>
      </c>
      <c r="D8096" t="s">
        <v>26</v>
      </c>
      <c r="E8096" s="208" t="s">
        <v>95</v>
      </c>
      <c r="F8096" t="s">
        <v>15</v>
      </c>
      <c r="G8096" s="18">
        <v>51</v>
      </c>
      <c r="H8096" s="151" t="s">
        <v>563</v>
      </c>
      <c r="I8096" t="s">
        <v>561</v>
      </c>
    </row>
    <row r="8097" spans="1:9" x14ac:dyDescent="0.25">
      <c r="A8097">
        <v>1821</v>
      </c>
      <c r="B8097">
        <f>A8097+1</f>
        <v>1822</v>
      </c>
      <c r="C8097" t="s">
        <v>527</v>
      </c>
      <c r="D8097" t="s">
        <v>26</v>
      </c>
      <c r="E8097" s="208" t="s">
        <v>94</v>
      </c>
      <c r="F8097" t="s">
        <v>15</v>
      </c>
      <c r="G8097" s="18">
        <v>11275</v>
      </c>
      <c r="H8097" s="151" t="s">
        <v>563</v>
      </c>
      <c r="I8097" t="s">
        <v>561</v>
      </c>
    </row>
    <row r="8098" spans="1:9" x14ac:dyDescent="0.25">
      <c r="A8098">
        <v>1821</v>
      </c>
      <c r="B8098">
        <f>A8098+1</f>
        <v>1822</v>
      </c>
      <c r="C8098" t="s">
        <v>527</v>
      </c>
      <c r="D8098" t="s">
        <v>26</v>
      </c>
      <c r="E8098" s="208" t="s">
        <v>386</v>
      </c>
      <c r="F8098" t="s">
        <v>15</v>
      </c>
      <c r="G8098" s="18">
        <v>25583</v>
      </c>
      <c r="H8098" s="151" t="s">
        <v>563</v>
      </c>
      <c r="I8098" t="s">
        <v>561</v>
      </c>
    </row>
    <row r="8099" spans="1:9" x14ac:dyDescent="0.25">
      <c r="A8099">
        <v>1821</v>
      </c>
      <c r="B8099">
        <f>A8099+1</f>
        <v>1822</v>
      </c>
      <c r="C8099" t="s">
        <v>527</v>
      </c>
      <c r="D8099" t="s">
        <v>26</v>
      </c>
      <c r="E8099" s="208" t="s">
        <v>387</v>
      </c>
      <c r="F8099" t="s">
        <v>15</v>
      </c>
      <c r="G8099" s="18">
        <v>1036</v>
      </c>
      <c r="H8099" s="151" t="s">
        <v>563</v>
      </c>
      <c r="I8099" t="s">
        <v>561</v>
      </c>
    </row>
    <row r="8100" spans="1:9" x14ac:dyDescent="0.25">
      <c r="A8100">
        <v>1821</v>
      </c>
      <c r="B8100">
        <f>A8100+1</f>
        <v>1822</v>
      </c>
      <c r="C8100" t="s">
        <v>527</v>
      </c>
      <c r="D8100" t="s">
        <v>26</v>
      </c>
      <c r="E8100" s="208" t="s">
        <v>388</v>
      </c>
      <c r="F8100" t="s">
        <v>15</v>
      </c>
      <c r="G8100" s="18">
        <v>14063</v>
      </c>
      <c r="H8100" s="151" t="s">
        <v>563</v>
      </c>
      <c r="I8100" t="s">
        <v>561</v>
      </c>
    </row>
    <row r="8101" spans="1:9" x14ac:dyDescent="0.25">
      <c r="A8101">
        <v>1821</v>
      </c>
      <c r="B8101">
        <f>A8101+1</f>
        <v>1822</v>
      </c>
      <c r="C8101" t="s">
        <v>527</v>
      </c>
      <c r="D8101" t="s">
        <v>26</v>
      </c>
      <c r="E8101" s="208" t="s">
        <v>383</v>
      </c>
      <c r="F8101" t="s">
        <v>15</v>
      </c>
      <c r="G8101" s="18">
        <v>651</v>
      </c>
      <c r="H8101" s="151" t="s">
        <v>563</v>
      </c>
      <c r="I8101" t="s">
        <v>561</v>
      </c>
    </row>
    <row r="8102" spans="1:9" x14ac:dyDescent="0.25">
      <c r="A8102">
        <v>1821</v>
      </c>
      <c r="B8102">
        <f>A8102+1</f>
        <v>1822</v>
      </c>
      <c r="C8102" t="s">
        <v>527</v>
      </c>
      <c r="D8102" t="s">
        <v>26</v>
      </c>
      <c r="E8102" s="208" t="s">
        <v>384</v>
      </c>
      <c r="F8102" t="s">
        <v>15</v>
      </c>
      <c r="G8102" s="18">
        <v>294</v>
      </c>
      <c r="H8102" s="151" t="s">
        <v>563</v>
      </c>
      <c r="I8102" t="s">
        <v>561</v>
      </c>
    </row>
    <row r="8103" spans="1:9" x14ac:dyDescent="0.25">
      <c r="A8103">
        <v>1821</v>
      </c>
      <c r="B8103">
        <f>A8103+1</f>
        <v>1822</v>
      </c>
      <c r="C8103" t="s">
        <v>527</v>
      </c>
      <c r="D8103" t="s">
        <v>26</v>
      </c>
      <c r="E8103" s="208" t="s">
        <v>107</v>
      </c>
      <c r="F8103" t="s">
        <v>15</v>
      </c>
      <c r="G8103" s="18">
        <v>3432198</v>
      </c>
      <c r="H8103" s="151" t="s">
        <v>563</v>
      </c>
      <c r="I8103" t="s">
        <v>561</v>
      </c>
    </row>
    <row r="8104" spans="1:9" x14ac:dyDescent="0.25">
      <c r="A8104">
        <v>1821</v>
      </c>
      <c r="B8104">
        <f>A8104+1</f>
        <v>1822</v>
      </c>
      <c r="C8104" t="s">
        <v>527</v>
      </c>
      <c r="D8104" t="s">
        <v>26</v>
      </c>
      <c r="E8104" s="208" t="s">
        <v>101</v>
      </c>
      <c r="F8104" t="s">
        <v>15</v>
      </c>
      <c r="G8104" s="18">
        <v>7671315</v>
      </c>
      <c r="H8104" s="151" t="s">
        <v>563</v>
      </c>
      <c r="I8104" t="s">
        <v>561</v>
      </c>
    </row>
    <row r="8105" spans="1:9" x14ac:dyDescent="0.25">
      <c r="A8105">
        <v>1821</v>
      </c>
      <c r="B8105">
        <f>A8105+1</f>
        <v>1822</v>
      </c>
      <c r="C8105" t="s">
        <v>527</v>
      </c>
      <c r="D8105" t="s">
        <v>26</v>
      </c>
      <c r="E8105" s="208" t="s">
        <v>75</v>
      </c>
      <c r="F8105" t="s">
        <v>15</v>
      </c>
      <c r="G8105" s="18">
        <v>6565138</v>
      </c>
      <c r="H8105" s="151" t="s">
        <v>563</v>
      </c>
      <c r="I8105" t="s">
        <v>561</v>
      </c>
    </row>
    <row r="8106" spans="1:9" x14ac:dyDescent="0.25">
      <c r="A8106">
        <v>1821</v>
      </c>
      <c r="B8106">
        <f>A8106+1</f>
        <v>1822</v>
      </c>
      <c r="C8106" t="s">
        <v>527</v>
      </c>
      <c r="D8106" t="s">
        <v>26</v>
      </c>
      <c r="E8106" s="208" t="s">
        <v>330</v>
      </c>
      <c r="F8106" t="s">
        <v>15</v>
      </c>
      <c r="G8106" s="18">
        <v>1679</v>
      </c>
      <c r="H8106" s="151" t="s">
        <v>563</v>
      </c>
      <c r="I8106" t="s">
        <v>561</v>
      </c>
    </row>
    <row r="8107" spans="1:9" x14ac:dyDescent="0.25">
      <c r="A8107">
        <v>1821</v>
      </c>
      <c r="B8107">
        <f>A8107+1</f>
        <v>1822</v>
      </c>
      <c r="C8107" t="s">
        <v>527</v>
      </c>
      <c r="D8107" t="s">
        <v>26</v>
      </c>
      <c r="E8107" s="208" t="s">
        <v>331</v>
      </c>
      <c r="F8107" t="s">
        <v>15</v>
      </c>
      <c r="G8107" s="18">
        <v>736</v>
      </c>
      <c r="H8107" s="151" t="s">
        <v>563</v>
      </c>
      <c r="I8107" t="s">
        <v>561</v>
      </c>
    </row>
    <row r="8108" spans="1:9" x14ac:dyDescent="0.25">
      <c r="A8108">
        <v>1821</v>
      </c>
      <c r="B8108">
        <f>A8108+1</f>
        <v>1822</v>
      </c>
      <c r="C8108" t="s">
        <v>527</v>
      </c>
      <c r="D8108" t="s">
        <v>26</v>
      </c>
      <c r="E8108" s="208" t="s">
        <v>332</v>
      </c>
      <c r="F8108" t="s">
        <v>15</v>
      </c>
      <c r="G8108" s="18">
        <v>276</v>
      </c>
      <c r="H8108" s="151" t="s">
        <v>563</v>
      </c>
      <c r="I8108" t="s">
        <v>561</v>
      </c>
    </row>
    <row r="8109" spans="1:9" x14ac:dyDescent="0.25">
      <c r="A8109">
        <v>1821</v>
      </c>
      <c r="B8109">
        <f>A8109+1</f>
        <v>1822</v>
      </c>
      <c r="C8109" t="s">
        <v>527</v>
      </c>
      <c r="D8109" t="s">
        <v>26</v>
      </c>
      <c r="E8109" s="208" t="s">
        <v>333</v>
      </c>
      <c r="F8109" t="s">
        <v>15</v>
      </c>
      <c r="G8109" s="18">
        <v>891</v>
      </c>
      <c r="H8109" s="151" t="s">
        <v>563</v>
      </c>
      <c r="I8109" t="s">
        <v>561</v>
      </c>
    </row>
    <row r="8110" spans="1:9" x14ac:dyDescent="0.25">
      <c r="A8110">
        <v>1821</v>
      </c>
      <c r="B8110">
        <f>A8110+1</f>
        <v>1822</v>
      </c>
      <c r="C8110" t="s">
        <v>527</v>
      </c>
      <c r="D8110" t="s">
        <v>26</v>
      </c>
      <c r="E8110" s="208" t="s">
        <v>567</v>
      </c>
      <c r="F8110" t="s">
        <v>3</v>
      </c>
      <c r="G8110" s="18">
        <v>22316</v>
      </c>
      <c r="H8110" t="s">
        <v>24</v>
      </c>
      <c r="I8110" t="s">
        <v>16</v>
      </c>
    </row>
    <row r="8111" spans="1:9" x14ac:dyDescent="0.25">
      <c r="A8111">
        <v>1821</v>
      </c>
      <c r="B8111">
        <f>A8111+1</f>
        <v>1822</v>
      </c>
      <c r="C8111" t="s">
        <v>527</v>
      </c>
      <c r="D8111" t="s">
        <v>26</v>
      </c>
      <c r="E8111" s="208" t="s">
        <v>567</v>
      </c>
      <c r="F8111" t="s">
        <v>169</v>
      </c>
      <c r="G8111" s="18">
        <v>15970</v>
      </c>
      <c r="H8111" t="s">
        <v>160</v>
      </c>
      <c r="I8111" t="s">
        <v>16</v>
      </c>
    </row>
    <row r="8112" spans="1:9" x14ac:dyDescent="0.25">
      <c r="A8112">
        <v>1821</v>
      </c>
      <c r="B8112">
        <f>A8112+1</f>
        <v>1822</v>
      </c>
      <c r="C8112" t="s">
        <v>527</v>
      </c>
      <c r="D8112" t="s">
        <v>26</v>
      </c>
      <c r="E8112" s="208" t="s">
        <v>567</v>
      </c>
      <c r="F8112" t="s">
        <v>6</v>
      </c>
      <c r="G8112" s="18">
        <v>0</v>
      </c>
      <c r="H8112" t="s">
        <v>25</v>
      </c>
      <c r="I8112" t="s">
        <v>16</v>
      </c>
    </row>
    <row r="8113" spans="1:9" x14ac:dyDescent="0.25">
      <c r="A8113">
        <v>1821</v>
      </c>
      <c r="B8113">
        <f>A8113+1</f>
        <v>1822</v>
      </c>
      <c r="C8113" t="s">
        <v>527</v>
      </c>
      <c r="D8113" t="s">
        <v>26</v>
      </c>
      <c r="E8113" s="208" t="s">
        <v>567</v>
      </c>
      <c r="F8113" t="s">
        <v>4</v>
      </c>
      <c r="G8113" s="18">
        <v>0</v>
      </c>
      <c r="H8113" t="s">
        <v>23</v>
      </c>
      <c r="I8113" t="s">
        <v>16</v>
      </c>
    </row>
    <row r="8114" spans="1:9" x14ac:dyDescent="0.25">
      <c r="A8114">
        <v>1821</v>
      </c>
      <c r="B8114">
        <f>A8114+1</f>
        <v>1822</v>
      </c>
      <c r="C8114" t="s">
        <v>527</v>
      </c>
      <c r="D8114" t="s">
        <v>26</v>
      </c>
      <c r="E8114" s="208" t="s">
        <v>567</v>
      </c>
      <c r="F8114" t="s">
        <v>7</v>
      </c>
      <c r="G8114" s="18">
        <v>38286</v>
      </c>
      <c r="H8114" s="151" t="s">
        <v>563</v>
      </c>
      <c r="I8114" t="s">
        <v>16</v>
      </c>
    </row>
    <row r="8115" spans="1:9" x14ac:dyDescent="0.25">
      <c r="A8115">
        <v>1821</v>
      </c>
      <c r="B8115">
        <f>A8115+1</f>
        <v>1822</v>
      </c>
      <c r="C8115" t="s">
        <v>527</v>
      </c>
      <c r="D8115" t="s">
        <v>26</v>
      </c>
      <c r="E8115" s="208" t="s">
        <v>567</v>
      </c>
      <c r="F8115" t="s">
        <v>10</v>
      </c>
      <c r="G8115" s="18">
        <v>3316</v>
      </c>
      <c r="H8115" t="s">
        <v>24</v>
      </c>
      <c r="I8115" t="s">
        <v>17</v>
      </c>
    </row>
    <row r="8116" spans="1:9" x14ac:dyDescent="0.25">
      <c r="A8116">
        <v>1821</v>
      </c>
      <c r="B8116">
        <f>A8116+1</f>
        <v>1822</v>
      </c>
      <c r="C8116" t="s">
        <v>527</v>
      </c>
      <c r="D8116" t="s">
        <v>26</v>
      </c>
      <c r="E8116" s="208" t="s">
        <v>567</v>
      </c>
      <c r="F8116" t="s">
        <v>164</v>
      </c>
      <c r="G8116" s="18">
        <v>47513</v>
      </c>
      <c r="H8116" t="s">
        <v>160</v>
      </c>
      <c r="I8116" t="s">
        <v>17</v>
      </c>
    </row>
    <row r="8117" spans="1:9" x14ac:dyDescent="0.25">
      <c r="A8117">
        <v>1821</v>
      </c>
      <c r="B8117">
        <f>A8117+1</f>
        <v>1822</v>
      </c>
      <c r="C8117" t="s">
        <v>527</v>
      </c>
      <c r="D8117" t="s">
        <v>26</v>
      </c>
      <c r="E8117" s="208" t="s">
        <v>567</v>
      </c>
      <c r="F8117" t="s">
        <v>13</v>
      </c>
      <c r="G8117" s="18">
        <v>0</v>
      </c>
      <c r="H8117" t="s">
        <v>25</v>
      </c>
      <c r="I8117" t="s">
        <v>17</v>
      </c>
    </row>
    <row r="8118" spans="1:9" x14ac:dyDescent="0.25">
      <c r="A8118">
        <v>1821</v>
      </c>
      <c r="B8118">
        <f>A8118+1</f>
        <v>1822</v>
      </c>
      <c r="C8118" t="s">
        <v>527</v>
      </c>
      <c r="D8118" t="s">
        <v>26</v>
      </c>
      <c r="E8118" s="208" t="s">
        <v>567</v>
      </c>
      <c r="F8118" t="s">
        <v>11</v>
      </c>
      <c r="G8118" s="18">
        <v>0</v>
      </c>
      <c r="H8118" t="s">
        <v>23</v>
      </c>
      <c r="I8118" t="s">
        <v>17</v>
      </c>
    </row>
    <row r="8119" spans="1:9" x14ac:dyDescent="0.25">
      <c r="A8119">
        <v>1821</v>
      </c>
      <c r="B8119">
        <f>A8119+1</f>
        <v>1822</v>
      </c>
      <c r="C8119" t="s">
        <v>527</v>
      </c>
      <c r="D8119" t="s">
        <v>26</v>
      </c>
      <c r="E8119" s="208" t="s">
        <v>567</v>
      </c>
      <c r="F8119" t="s">
        <v>14</v>
      </c>
      <c r="G8119" s="18">
        <v>50829</v>
      </c>
      <c r="H8119" s="151" t="s">
        <v>563</v>
      </c>
      <c r="I8119" t="s">
        <v>17</v>
      </c>
    </row>
    <row r="8120" spans="1:9" x14ac:dyDescent="0.25">
      <c r="A8120">
        <v>1821</v>
      </c>
      <c r="B8120">
        <f>A8120+1</f>
        <v>1822</v>
      </c>
      <c r="C8120" t="s">
        <v>527</v>
      </c>
      <c r="D8120" t="s">
        <v>26</v>
      </c>
      <c r="E8120" s="208" t="s">
        <v>567</v>
      </c>
      <c r="F8120" t="s">
        <v>15</v>
      </c>
      <c r="G8120" s="18">
        <v>89115</v>
      </c>
      <c r="H8120" s="151" t="s">
        <v>563</v>
      </c>
      <c r="I8120" t="s">
        <v>561</v>
      </c>
    </row>
    <row r="8121" spans="1:9" x14ac:dyDescent="0.25">
      <c r="A8121">
        <v>1821</v>
      </c>
      <c r="B8121">
        <f>A8121+1</f>
        <v>1822</v>
      </c>
      <c r="C8121" t="s">
        <v>527</v>
      </c>
      <c r="D8121" t="s">
        <v>26</v>
      </c>
      <c r="E8121" s="208" t="s">
        <v>568</v>
      </c>
      <c r="F8121" t="s">
        <v>3</v>
      </c>
      <c r="G8121" s="18">
        <v>292</v>
      </c>
      <c r="H8121" t="s">
        <v>24</v>
      </c>
      <c r="I8121" t="s">
        <v>16</v>
      </c>
    </row>
    <row r="8122" spans="1:9" x14ac:dyDescent="0.25">
      <c r="A8122">
        <v>1821</v>
      </c>
      <c r="B8122">
        <f>A8122+1</f>
        <v>1822</v>
      </c>
      <c r="C8122" t="s">
        <v>527</v>
      </c>
      <c r="D8122" t="s">
        <v>26</v>
      </c>
      <c r="E8122" s="208" t="s">
        <v>568</v>
      </c>
      <c r="F8122" t="s">
        <v>169</v>
      </c>
      <c r="G8122" s="18">
        <v>0</v>
      </c>
      <c r="H8122" t="s">
        <v>160</v>
      </c>
      <c r="I8122" t="s">
        <v>16</v>
      </c>
    </row>
    <row r="8123" spans="1:9" x14ac:dyDescent="0.25">
      <c r="A8123">
        <v>1821</v>
      </c>
      <c r="B8123">
        <f>A8123+1</f>
        <v>1822</v>
      </c>
      <c r="C8123" t="s">
        <v>527</v>
      </c>
      <c r="D8123" t="s">
        <v>26</v>
      </c>
      <c r="E8123" s="208" t="s">
        <v>568</v>
      </c>
      <c r="F8123" t="s">
        <v>6</v>
      </c>
      <c r="G8123" s="18">
        <v>0</v>
      </c>
      <c r="H8123" t="s">
        <v>25</v>
      </c>
      <c r="I8123" t="s">
        <v>16</v>
      </c>
    </row>
    <row r="8124" spans="1:9" x14ac:dyDescent="0.25">
      <c r="A8124">
        <v>1821</v>
      </c>
      <c r="B8124">
        <f>A8124+1</f>
        <v>1822</v>
      </c>
      <c r="C8124" t="s">
        <v>527</v>
      </c>
      <c r="D8124" t="s">
        <v>26</v>
      </c>
      <c r="E8124" s="208" t="s">
        <v>568</v>
      </c>
      <c r="F8124" t="s">
        <v>4</v>
      </c>
      <c r="G8124" s="18">
        <v>0</v>
      </c>
      <c r="H8124" t="s">
        <v>23</v>
      </c>
      <c r="I8124" t="s">
        <v>16</v>
      </c>
    </row>
    <row r="8125" spans="1:9" x14ac:dyDescent="0.25">
      <c r="A8125">
        <v>1821</v>
      </c>
      <c r="B8125">
        <f>A8125+1</f>
        <v>1822</v>
      </c>
      <c r="C8125" t="s">
        <v>527</v>
      </c>
      <c r="D8125" t="s">
        <v>26</v>
      </c>
      <c r="E8125" s="208" t="s">
        <v>568</v>
      </c>
      <c r="F8125" t="s">
        <v>7</v>
      </c>
      <c r="G8125" s="18">
        <v>292</v>
      </c>
      <c r="H8125" s="151" t="s">
        <v>563</v>
      </c>
      <c r="I8125" t="s">
        <v>16</v>
      </c>
    </row>
    <row r="8126" spans="1:9" x14ac:dyDescent="0.25">
      <c r="A8126">
        <v>1821</v>
      </c>
      <c r="B8126">
        <f>A8126+1</f>
        <v>1822</v>
      </c>
      <c r="C8126" t="s">
        <v>527</v>
      </c>
      <c r="D8126" t="s">
        <v>26</v>
      </c>
      <c r="E8126" s="208" t="s">
        <v>568</v>
      </c>
      <c r="F8126" t="s">
        <v>10</v>
      </c>
      <c r="G8126" s="18">
        <v>71</v>
      </c>
      <c r="H8126" t="s">
        <v>24</v>
      </c>
      <c r="I8126" t="s">
        <v>17</v>
      </c>
    </row>
    <row r="8127" spans="1:9" x14ac:dyDescent="0.25">
      <c r="A8127">
        <v>1821</v>
      </c>
      <c r="B8127">
        <f>A8127+1</f>
        <v>1822</v>
      </c>
      <c r="C8127" t="s">
        <v>527</v>
      </c>
      <c r="D8127" t="s">
        <v>26</v>
      </c>
      <c r="E8127" s="208" t="s">
        <v>568</v>
      </c>
      <c r="F8127" t="s">
        <v>164</v>
      </c>
      <c r="G8127" s="18">
        <v>0</v>
      </c>
      <c r="H8127" t="s">
        <v>160</v>
      </c>
      <c r="I8127" t="s">
        <v>17</v>
      </c>
    </row>
    <row r="8128" spans="1:9" x14ac:dyDescent="0.25">
      <c r="A8128">
        <v>1821</v>
      </c>
      <c r="B8128">
        <f>A8128+1</f>
        <v>1822</v>
      </c>
      <c r="C8128" t="s">
        <v>527</v>
      </c>
      <c r="D8128" t="s">
        <v>26</v>
      </c>
      <c r="E8128" s="208" t="s">
        <v>568</v>
      </c>
      <c r="F8128" t="s">
        <v>13</v>
      </c>
      <c r="G8128" s="18">
        <v>0</v>
      </c>
      <c r="H8128" t="s">
        <v>25</v>
      </c>
      <c r="I8128" t="s">
        <v>17</v>
      </c>
    </row>
    <row r="8129" spans="1:9" x14ac:dyDescent="0.25">
      <c r="A8129">
        <v>1821</v>
      </c>
      <c r="B8129">
        <f>A8129+1</f>
        <v>1822</v>
      </c>
      <c r="C8129" t="s">
        <v>527</v>
      </c>
      <c r="D8129" t="s">
        <v>26</v>
      </c>
      <c r="E8129" s="208" t="s">
        <v>568</v>
      </c>
      <c r="F8129" t="s">
        <v>11</v>
      </c>
      <c r="G8129" s="18">
        <v>0</v>
      </c>
      <c r="H8129" t="s">
        <v>23</v>
      </c>
      <c r="I8129" t="s">
        <v>17</v>
      </c>
    </row>
    <row r="8130" spans="1:9" x14ac:dyDescent="0.25">
      <c r="A8130">
        <v>1821</v>
      </c>
      <c r="B8130">
        <f>A8130+1</f>
        <v>1822</v>
      </c>
      <c r="C8130" t="s">
        <v>527</v>
      </c>
      <c r="D8130" t="s">
        <v>26</v>
      </c>
      <c r="E8130" s="208" t="s">
        <v>568</v>
      </c>
      <c r="F8130" t="s">
        <v>14</v>
      </c>
      <c r="G8130" s="18">
        <v>71</v>
      </c>
      <c r="H8130" s="151" t="s">
        <v>563</v>
      </c>
      <c r="I8130" t="s">
        <v>17</v>
      </c>
    </row>
    <row r="8131" spans="1:9" x14ac:dyDescent="0.25">
      <c r="A8131">
        <v>1821</v>
      </c>
      <c r="B8131">
        <f>A8131+1</f>
        <v>1822</v>
      </c>
      <c r="C8131" t="s">
        <v>527</v>
      </c>
      <c r="D8131" t="s">
        <v>26</v>
      </c>
      <c r="E8131" s="208" t="s">
        <v>568</v>
      </c>
      <c r="F8131" t="s">
        <v>15</v>
      </c>
      <c r="G8131" s="18">
        <v>363</v>
      </c>
      <c r="H8131" s="151" t="s">
        <v>563</v>
      </c>
      <c r="I8131" t="s">
        <v>561</v>
      </c>
    </row>
    <row r="8132" spans="1:9" x14ac:dyDescent="0.25">
      <c r="A8132">
        <v>1821</v>
      </c>
      <c r="B8132">
        <f>A8132+1</f>
        <v>1822</v>
      </c>
      <c r="C8132" t="s">
        <v>527</v>
      </c>
      <c r="D8132" t="s">
        <v>26</v>
      </c>
      <c r="E8132" s="208" t="s">
        <v>566</v>
      </c>
      <c r="F8132" t="s">
        <v>3</v>
      </c>
      <c r="G8132" s="18">
        <v>252</v>
      </c>
      <c r="H8132" t="s">
        <v>24</v>
      </c>
      <c r="I8132" t="s">
        <v>16</v>
      </c>
    </row>
    <row r="8133" spans="1:9" x14ac:dyDescent="0.25">
      <c r="A8133">
        <v>1821</v>
      </c>
      <c r="B8133">
        <f>A8133+1</f>
        <v>1822</v>
      </c>
      <c r="C8133" t="s">
        <v>527</v>
      </c>
      <c r="D8133" t="s">
        <v>26</v>
      </c>
      <c r="E8133" s="208" t="s">
        <v>566</v>
      </c>
      <c r="F8133" t="s">
        <v>169</v>
      </c>
      <c r="G8133" s="18">
        <v>0</v>
      </c>
      <c r="H8133" t="s">
        <v>160</v>
      </c>
      <c r="I8133" t="s">
        <v>16</v>
      </c>
    </row>
    <row r="8134" spans="1:9" x14ac:dyDescent="0.25">
      <c r="A8134">
        <v>1821</v>
      </c>
      <c r="B8134">
        <f>A8134+1</f>
        <v>1822</v>
      </c>
      <c r="C8134" t="s">
        <v>527</v>
      </c>
      <c r="D8134" t="s">
        <v>26</v>
      </c>
      <c r="E8134" s="208" t="s">
        <v>566</v>
      </c>
      <c r="F8134" t="s">
        <v>6</v>
      </c>
      <c r="G8134" s="18">
        <v>0</v>
      </c>
      <c r="H8134" t="s">
        <v>25</v>
      </c>
      <c r="I8134" t="s">
        <v>16</v>
      </c>
    </row>
    <row r="8135" spans="1:9" x14ac:dyDescent="0.25">
      <c r="A8135">
        <v>1821</v>
      </c>
      <c r="B8135">
        <f>A8135+1</f>
        <v>1822</v>
      </c>
      <c r="C8135" t="s">
        <v>527</v>
      </c>
      <c r="D8135" t="s">
        <v>26</v>
      </c>
      <c r="E8135" s="208" t="s">
        <v>566</v>
      </c>
      <c r="F8135" t="s">
        <v>4</v>
      </c>
      <c r="G8135" s="18">
        <v>0</v>
      </c>
      <c r="H8135" t="s">
        <v>23</v>
      </c>
      <c r="I8135" t="s">
        <v>16</v>
      </c>
    </row>
    <row r="8136" spans="1:9" x14ac:dyDescent="0.25">
      <c r="A8136">
        <v>1821</v>
      </c>
      <c r="B8136">
        <f>A8136+1</f>
        <v>1822</v>
      </c>
      <c r="C8136" t="s">
        <v>527</v>
      </c>
      <c r="D8136" t="s">
        <v>26</v>
      </c>
      <c r="E8136" s="208" t="s">
        <v>566</v>
      </c>
      <c r="F8136" t="s">
        <v>7</v>
      </c>
      <c r="G8136" s="18">
        <v>252</v>
      </c>
      <c r="H8136" s="151" t="s">
        <v>563</v>
      </c>
      <c r="I8136" t="s">
        <v>16</v>
      </c>
    </row>
    <row r="8137" spans="1:9" x14ac:dyDescent="0.25">
      <c r="A8137">
        <v>1821</v>
      </c>
      <c r="B8137">
        <f>A8137+1</f>
        <v>1822</v>
      </c>
      <c r="C8137" t="s">
        <v>527</v>
      </c>
      <c r="D8137" t="s">
        <v>26</v>
      </c>
      <c r="E8137" s="208" t="s">
        <v>566</v>
      </c>
      <c r="F8137" t="s">
        <v>10</v>
      </c>
      <c r="G8137" s="18">
        <v>479</v>
      </c>
      <c r="H8137" t="s">
        <v>24</v>
      </c>
      <c r="I8137" t="s">
        <v>17</v>
      </c>
    </row>
    <row r="8138" spans="1:9" x14ac:dyDescent="0.25">
      <c r="A8138">
        <v>1821</v>
      </c>
      <c r="B8138">
        <f>A8138+1</f>
        <v>1822</v>
      </c>
      <c r="C8138" t="s">
        <v>527</v>
      </c>
      <c r="D8138" t="s">
        <v>26</v>
      </c>
      <c r="E8138" s="208" t="s">
        <v>566</v>
      </c>
      <c r="F8138" t="s">
        <v>164</v>
      </c>
      <c r="G8138" s="18">
        <v>0</v>
      </c>
      <c r="H8138" t="s">
        <v>160</v>
      </c>
      <c r="I8138" t="s">
        <v>17</v>
      </c>
    </row>
    <row r="8139" spans="1:9" x14ac:dyDescent="0.25">
      <c r="A8139">
        <v>1821</v>
      </c>
      <c r="B8139">
        <f>A8139+1</f>
        <v>1822</v>
      </c>
      <c r="C8139" t="s">
        <v>527</v>
      </c>
      <c r="D8139" t="s">
        <v>26</v>
      </c>
      <c r="E8139" s="208" t="s">
        <v>566</v>
      </c>
      <c r="F8139" t="s">
        <v>13</v>
      </c>
      <c r="G8139" s="18">
        <v>0</v>
      </c>
      <c r="H8139" t="s">
        <v>25</v>
      </c>
      <c r="I8139" t="s">
        <v>17</v>
      </c>
    </row>
    <row r="8140" spans="1:9" x14ac:dyDescent="0.25">
      <c r="A8140">
        <v>1821</v>
      </c>
      <c r="B8140">
        <f>A8140+1</f>
        <v>1822</v>
      </c>
      <c r="C8140" t="s">
        <v>527</v>
      </c>
      <c r="D8140" t="s">
        <v>26</v>
      </c>
      <c r="E8140" s="208" t="s">
        <v>566</v>
      </c>
      <c r="F8140" t="s">
        <v>11</v>
      </c>
      <c r="G8140" s="18">
        <v>0</v>
      </c>
      <c r="H8140" t="s">
        <v>23</v>
      </c>
      <c r="I8140" t="s">
        <v>17</v>
      </c>
    </row>
    <row r="8141" spans="1:9" x14ac:dyDescent="0.25">
      <c r="A8141">
        <v>1821</v>
      </c>
      <c r="B8141">
        <f>A8141+1</f>
        <v>1822</v>
      </c>
      <c r="C8141" t="s">
        <v>527</v>
      </c>
      <c r="D8141" t="s">
        <v>26</v>
      </c>
      <c r="E8141" s="208" t="s">
        <v>566</v>
      </c>
      <c r="F8141" t="s">
        <v>14</v>
      </c>
      <c r="G8141" s="18">
        <v>479</v>
      </c>
      <c r="H8141" s="151" t="s">
        <v>563</v>
      </c>
      <c r="I8141" t="s">
        <v>17</v>
      </c>
    </row>
    <row r="8142" spans="1:9" x14ac:dyDescent="0.25">
      <c r="A8142">
        <v>1821</v>
      </c>
      <c r="B8142">
        <f>A8142+1</f>
        <v>1822</v>
      </c>
      <c r="C8142" t="s">
        <v>527</v>
      </c>
      <c r="D8142" t="s">
        <v>26</v>
      </c>
      <c r="E8142" s="208" t="s">
        <v>566</v>
      </c>
      <c r="F8142" t="s">
        <v>15</v>
      </c>
      <c r="G8142" s="18">
        <v>731</v>
      </c>
      <c r="H8142" s="151" t="s">
        <v>563</v>
      </c>
      <c r="I8142" t="s">
        <v>561</v>
      </c>
    </row>
    <row r="8143" spans="1:9" x14ac:dyDescent="0.25">
      <c r="A8143">
        <v>1822</v>
      </c>
      <c r="B8143">
        <f>A8143+1</f>
        <v>1823</v>
      </c>
      <c r="C8143" t="s">
        <v>528</v>
      </c>
      <c r="D8143" t="s">
        <v>26</v>
      </c>
      <c r="E8143" s="208" t="s">
        <v>572</v>
      </c>
      <c r="F8143" t="s">
        <v>3</v>
      </c>
      <c r="G8143" s="18">
        <v>3574</v>
      </c>
      <c r="H8143" t="s">
        <v>24</v>
      </c>
      <c r="I8143" t="s">
        <v>16</v>
      </c>
    </row>
    <row r="8144" spans="1:9" x14ac:dyDescent="0.25">
      <c r="A8144">
        <v>1822</v>
      </c>
      <c r="B8144">
        <f>A8144+1</f>
        <v>1823</v>
      </c>
      <c r="C8144" t="s">
        <v>528</v>
      </c>
      <c r="D8144" t="s">
        <v>26</v>
      </c>
      <c r="E8144" s="208" t="s">
        <v>572</v>
      </c>
      <c r="F8144" t="s">
        <v>169</v>
      </c>
      <c r="G8144" s="18">
        <v>0</v>
      </c>
      <c r="H8144" t="s">
        <v>160</v>
      </c>
      <c r="I8144" t="s">
        <v>16</v>
      </c>
    </row>
    <row r="8145" spans="1:9" x14ac:dyDescent="0.25">
      <c r="A8145">
        <v>1822</v>
      </c>
      <c r="B8145">
        <f>A8145+1</f>
        <v>1823</v>
      </c>
      <c r="C8145" t="s">
        <v>528</v>
      </c>
      <c r="D8145" t="s">
        <v>26</v>
      </c>
      <c r="E8145" s="208" t="s">
        <v>572</v>
      </c>
      <c r="F8145" t="s">
        <v>6</v>
      </c>
      <c r="G8145" s="18">
        <v>0</v>
      </c>
      <c r="H8145" t="s">
        <v>25</v>
      </c>
      <c r="I8145" t="s">
        <v>16</v>
      </c>
    </row>
    <row r="8146" spans="1:9" x14ac:dyDescent="0.25">
      <c r="A8146">
        <v>1822</v>
      </c>
      <c r="B8146">
        <f>A8146+1</f>
        <v>1823</v>
      </c>
      <c r="C8146" t="s">
        <v>528</v>
      </c>
      <c r="D8146" t="s">
        <v>26</v>
      </c>
      <c r="E8146" s="208" t="s">
        <v>572</v>
      </c>
      <c r="F8146" t="s">
        <v>4</v>
      </c>
      <c r="G8146" s="18">
        <v>0</v>
      </c>
      <c r="H8146" t="s">
        <v>23</v>
      </c>
      <c r="I8146" t="s">
        <v>16</v>
      </c>
    </row>
    <row r="8147" spans="1:9" x14ac:dyDescent="0.25">
      <c r="A8147">
        <v>1822</v>
      </c>
      <c r="B8147">
        <f>A8147+1</f>
        <v>1823</v>
      </c>
      <c r="C8147" t="s">
        <v>528</v>
      </c>
      <c r="D8147" t="s">
        <v>26</v>
      </c>
      <c r="E8147" s="208" t="s">
        <v>572</v>
      </c>
      <c r="F8147" t="s">
        <v>7</v>
      </c>
      <c r="G8147" s="18">
        <v>3574</v>
      </c>
      <c r="H8147" s="151" t="s">
        <v>563</v>
      </c>
      <c r="I8147" t="s">
        <v>16</v>
      </c>
    </row>
    <row r="8148" spans="1:9" x14ac:dyDescent="0.25">
      <c r="A8148">
        <v>1822</v>
      </c>
      <c r="B8148">
        <f>A8148+1</f>
        <v>1823</v>
      </c>
      <c r="C8148" t="s">
        <v>528</v>
      </c>
      <c r="D8148" t="s">
        <v>26</v>
      </c>
      <c r="E8148" s="208" t="s">
        <v>572</v>
      </c>
      <c r="F8148" t="s">
        <v>10</v>
      </c>
      <c r="G8148" s="18">
        <v>1173</v>
      </c>
      <c r="H8148" t="s">
        <v>24</v>
      </c>
      <c r="I8148" t="s">
        <v>17</v>
      </c>
    </row>
    <row r="8149" spans="1:9" x14ac:dyDescent="0.25">
      <c r="A8149">
        <v>1822</v>
      </c>
      <c r="B8149">
        <f>A8149+1</f>
        <v>1823</v>
      </c>
      <c r="C8149" t="s">
        <v>528</v>
      </c>
      <c r="D8149" t="s">
        <v>26</v>
      </c>
      <c r="E8149" s="208" t="s">
        <v>572</v>
      </c>
      <c r="F8149" t="s">
        <v>164</v>
      </c>
      <c r="G8149" s="18">
        <v>0</v>
      </c>
      <c r="H8149" t="s">
        <v>160</v>
      </c>
      <c r="I8149" t="s">
        <v>17</v>
      </c>
    </row>
    <row r="8150" spans="1:9" x14ac:dyDescent="0.25">
      <c r="A8150">
        <v>1822</v>
      </c>
      <c r="B8150">
        <f>A8150+1</f>
        <v>1823</v>
      </c>
      <c r="C8150" t="s">
        <v>528</v>
      </c>
      <c r="D8150" t="s">
        <v>26</v>
      </c>
      <c r="E8150" s="208" t="s">
        <v>572</v>
      </c>
      <c r="F8150" t="s">
        <v>13</v>
      </c>
      <c r="G8150" s="18">
        <v>0</v>
      </c>
      <c r="H8150" t="s">
        <v>25</v>
      </c>
      <c r="I8150" t="s">
        <v>17</v>
      </c>
    </row>
    <row r="8151" spans="1:9" x14ac:dyDescent="0.25">
      <c r="A8151">
        <v>1822</v>
      </c>
      <c r="B8151">
        <f>A8151+1</f>
        <v>1823</v>
      </c>
      <c r="C8151" t="s">
        <v>528</v>
      </c>
      <c r="D8151" t="s">
        <v>26</v>
      </c>
      <c r="E8151" s="208" t="s">
        <v>572</v>
      </c>
      <c r="F8151" t="s">
        <v>11</v>
      </c>
      <c r="G8151" s="18">
        <v>0</v>
      </c>
      <c r="H8151" t="s">
        <v>23</v>
      </c>
      <c r="I8151" t="s">
        <v>17</v>
      </c>
    </row>
    <row r="8152" spans="1:9" x14ac:dyDescent="0.25">
      <c r="A8152">
        <v>1822</v>
      </c>
      <c r="B8152">
        <f>A8152+1</f>
        <v>1823</v>
      </c>
      <c r="C8152" t="s">
        <v>528</v>
      </c>
      <c r="D8152" t="s">
        <v>26</v>
      </c>
      <c r="E8152" s="208" t="s">
        <v>572</v>
      </c>
      <c r="F8152" t="s">
        <v>14</v>
      </c>
      <c r="G8152" s="18">
        <v>1173</v>
      </c>
      <c r="H8152" s="151" t="s">
        <v>563</v>
      </c>
      <c r="I8152" t="s">
        <v>17</v>
      </c>
    </row>
    <row r="8153" spans="1:9" x14ac:dyDescent="0.25">
      <c r="A8153">
        <v>1822</v>
      </c>
      <c r="B8153">
        <f>A8153+1</f>
        <v>1823</v>
      </c>
      <c r="C8153" t="s">
        <v>528</v>
      </c>
      <c r="D8153" t="s">
        <v>26</v>
      </c>
      <c r="E8153" s="208" t="s">
        <v>572</v>
      </c>
      <c r="F8153" t="s">
        <v>15</v>
      </c>
      <c r="G8153" s="18">
        <v>4747</v>
      </c>
      <c r="H8153" s="151" t="s">
        <v>563</v>
      </c>
      <c r="I8153" t="s">
        <v>561</v>
      </c>
    </row>
    <row r="8154" spans="1:9" x14ac:dyDescent="0.25">
      <c r="A8154">
        <v>1822</v>
      </c>
      <c r="B8154">
        <f>A8154+1</f>
        <v>1823</v>
      </c>
      <c r="C8154" t="s">
        <v>528</v>
      </c>
      <c r="D8154" t="s">
        <v>26</v>
      </c>
      <c r="E8154" s="208" t="s">
        <v>571</v>
      </c>
      <c r="F8154" t="s">
        <v>3</v>
      </c>
      <c r="G8154" s="18">
        <v>3000</v>
      </c>
      <c r="H8154" t="s">
        <v>24</v>
      </c>
      <c r="I8154" t="s">
        <v>16</v>
      </c>
    </row>
    <row r="8155" spans="1:9" x14ac:dyDescent="0.25">
      <c r="A8155">
        <v>1822</v>
      </c>
      <c r="B8155">
        <f>A8155+1</f>
        <v>1823</v>
      </c>
      <c r="C8155" t="s">
        <v>528</v>
      </c>
      <c r="D8155" t="s">
        <v>26</v>
      </c>
      <c r="E8155" s="208" t="s">
        <v>571</v>
      </c>
      <c r="F8155" t="s">
        <v>169</v>
      </c>
      <c r="G8155" s="18">
        <v>0</v>
      </c>
      <c r="H8155" t="s">
        <v>160</v>
      </c>
      <c r="I8155" t="s">
        <v>16</v>
      </c>
    </row>
    <row r="8156" spans="1:9" x14ac:dyDescent="0.25">
      <c r="A8156">
        <v>1822</v>
      </c>
      <c r="B8156">
        <f>A8156+1</f>
        <v>1823</v>
      </c>
      <c r="C8156" t="s">
        <v>528</v>
      </c>
      <c r="D8156" t="s">
        <v>26</v>
      </c>
      <c r="E8156" s="208" t="s">
        <v>571</v>
      </c>
      <c r="F8156" t="s">
        <v>6</v>
      </c>
      <c r="G8156" s="18">
        <v>0</v>
      </c>
      <c r="H8156" t="s">
        <v>25</v>
      </c>
      <c r="I8156" t="s">
        <v>16</v>
      </c>
    </row>
    <row r="8157" spans="1:9" x14ac:dyDescent="0.25">
      <c r="A8157">
        <v>1822</v>
      </c>
      <c r="B8157">
        <f>A8157+1</f>
        <v>1823</v>
      </c>
      <c r="C8157" t="s">
        <v>528</v>
      </c>
      <c r="D8157" t="s">
        <v>26</v>
      </c>
      <c r="E8157" s="208" t="s">
        <v>571</v>
      </c>
      <c r="F8157" t="s">
        <v>4</v>
      </c>
      <c r="G8157" s="18">
        <v>0</v>
      </c>
      <c r="H8157" t="s">
        <v>23</v>
      </c>
      <c r="I8157" t="s">
        <v>16</v>
      </c>
    </row>
    <row r="8158" spans="1:9" x14ac:dyDescent="0.25">
      <c r="A8158">
        <v>1822</v>
      </c>
      <c r="B8158">
        <f>A8158+1</f>
        <v>1823</v>
      </c>
      <c r="C8158" t="s">
        <v>528</v>
      </c>
      <c r="D8158" t="s">
        <v>26</v>
      </c>
      <c r="E8158" s="208" t="s">
        <v>571</v>
      </c>
      <c r="F8158" t="s">
        <v>7</v>
      </c>
      <c r="G8158" s="18">
        <v>3000</v>
      </c>
      <c r="H8158" s="151" t="s">
        <v>563</v>
      </c>
      <c r="I8158" t="s">
        <v>16</v>
      </c>
    </row>
    <row r="8159" spans="1:9" x14ac:dyDescent="0.25">
      <c r="A8159">
        <v>1822</v>
      </c>
      <c r="B8159">
        <f>A8159+1</f>
        <v>1823</v>
      </c>
      <c r="C8159" t="s">
        <v>528</v>
      </c>
      <c r="D8159" t="s">
        <v>26</v>
      </c>
      <c r="E8159" s="208" t="s">
        <v>571</v>
      </c>
      <c r="F8159" t="s">
        <v>10</v>
      </c>
      <c r="G8159" s="18">
        <v>535</v>
      </c>
      <c r="H8159" t="s">
        <v>24</v>
      </c>
      <c r="I8159" t="s">
        <v>17</v>
      </c>
    </row>
    <row r="8160" spans="1:9" x14ac:dyDescent="0.25">
      <c r="A8160">
        <v>1822</v>
      </c>
      <c r="B8160">
        <f>A8160+1</f>
        <v>1823</v>
      </c>
      <c r="C8160" t="s">
        <v>528</v>
      </c>
      <c r="D8160" t="s">
        <v>26</v>
      </c>
      <c r="E8160" s="208" t="s">
        <v>571</v>
      </c>
      <c r="F8160" t="s">
        <v>164</v>
      </c>
      <c r="G8160" s="18">
        <v>0</v>
      </c>
      <c r="H8160" t="s">
        <v>160</v>
      </c>
      <c r="I8160" t="s">
        <v>17</v>
      </c>
    </row>
    <row r="8161" spans="1:9" x14ac:dyDescent="0.25">
      <c r="A8161">
        <v>1822</v>
      </c>
      <c r="B8161">
        <f>A8161+1</f>
        <v>1823</v>
      </c>
      <c r="C8161" t="s">
        <v>528</v>
      </c>
      <c r="D8161" t="s">
        <v>26</v>
      </c>
      <c r="E8161" s="208" t="s">
        <v>571</v>
      </c>
      <c r="F8161" t="s">
        <v>13</v>
      </c>
      <c r="G8161" s="18">
        <v>0</v>
      </c>
      <c r="H8161" t="s">
        <v>25</v>
      </c>
      <c r="I8161" t="s">
        <v>17</v>
      </c>
    </row>
    <row r="8162" spans="1:9" x14ac:dyDescent="0.25">
      <c r="A8162">
        <v>1822</v>
      </c>
      <c r="B8162">
        <f>A8162+1</f>
        <v>1823</v>
      </c>
      <c r="C8162" t="s">
        <v>528</v>
      </c>
      <c r="D8162" t="s">
        <v>26</v>
      </c>
      <c r="E8162" s="208" t="s">
        <v>571</v>
      </c>
      <c r="F8162" t="s">
        <v>11</v>
      </c>
      <c r="G8162" s="18">
        <v>0</v>
      </c>
      <c r="H8162" t="s">
        <v>23</v>
      </c>
      <c r="I8162" t="s">
        <v>17</v>
      </c>
    </row>
    <row r="8163" spans="1:9" x14ac:dyDescent="0.25">
      <c r="A8163">
        <v>1822</v>
      </c>
      <c r="B8163">
        <f>A8163+1</f>
        <v>1823</v>
      </c>
      <c r="C8163" t="s">
        <v>528</v>
      </c>
      <c r="D8163" t="s">
        <v>26</v>
      </c>
      <c r="E8163" s="208" t="s">
        <v>571</v>
      </c>
      <c r="F8163" t="s">
        <v>14</v>
      </c>
      <c r="G8163" s="18">
        <v>535</v>
      </c>
      <c r="H8163" s="151" t="s">
        <v>563</v>
      </c>
      <c r="I8163" t="s">
        <v>17</v>
      </c>
    </row>
    <row r="8164" spans="1:9" x14ac:dyDescent="0.25">
      <c r="A8164">
        <v>1822</v>
      </c>
      <c r="B8164">
        <f>A8164+1</f>
        <v>1823</v>
      </c>
      <c r="C8164" t="s">
        <v>528</v>
      </c>
      <c r="D8164" t="s">
        <v>26</v>
      </c>
      <c r="E8164" s="208" t="s">
        <v>571</v>
      </c>
      <c r="F8164" t="s">
        <v>15</v>
      </c>
      <c r="G8164" s="18">
        <v>3535</v>
      </c>
      <c r="H8164" s="151" t="s">
        <v>563</v>
      </c>
      <c r="I8164" t="s">
        <v>561</v>
      </c>
    </row>
    <row r="8165" spans="1:9" x14ac:dyDescent="0.25">
      <c r="A8165">
        <v>1822</v>
      </c>
      <c r="B8165">
        <f>A8165+1</f>
        <v>1823</v>
      </c>
      <c r="C8165" t="s">
        <v>528</v>
      </c>
      <c r="D8165" t="s">
        <v>26</v>
      </c>
      <c r="E8165" s="208" t="s">
        <v>570</v>
      </c>
      <c r="F8165" t="s">
        <v>3</v>
      </c>
      <c r="G8165" s="18">
        <v>3176</v>
      </c>
      <c r="H8165" t="s">
        <v>24</v>
      </c>
      <c r="I8165" t="s">
        <v>16</v>
      </c>
    </row>
    <row r="8166" spans="1:9" x14ac:dyDescent="0.25">
      <c r="A8166">
        <v>1822</v>
      </c>
      <c r="B8166">
        <f>A8166+1</f>
        <v>1823</v>
      </c>
      <c r="C8166" t="s">
        <v>528</v>
      </c>
      <c r="D8166" t="s">
        <v>26</v>
      </c>
      <c r="E8166" s="208" t="s">
        <v>570</v>
      </c>
      <c r="F8166" t="s">
        <v>169</v>
      </c>
      <c r="G8166" s="18">
        <v>0</v>
      </c>
      <c r="H8166" t="s">
        <v>160</v>
      </c>
      <c r="I8166" t="s">
        <v>16</v>
      </c>
    </row>
    <row r="8167" spans="1:9" x14ac:dyDescent="0.25">
      <c r="A8167">
        <v>1822</v>
      </c>
      <c r="B8167">
        <f>A8167+1</f>
        <v>1823</v>
      </c>
      <c r="C8167" t="s">
        <v>528</v>
      </c>
      <c r="D8167" t="s">
        <v>26</v>
      </c>
      <c r="E8167" s="208" t="s">
        <v>570</v>
      </c>
      <c r="F8167" t="s">
        <v>6</v>
      </c>
      <c r="G8167" s="18">
        <v>0</v>
      </c>
      <c r="H8167" t="s">
        <v>25</v>
      </c>
      <c r="I8167" t="s">
        <v>16</v>
      </c>
    </row>
    <row r="8168" spans="1:9" x14ac:dyDescent="0.25">
      <c r="A8168">
        <v>1822</v>
      </c>
      <c r="B8168">
        <f>A8168+1</f>
        <v>1823</v>
      </c>
      <c r="C8168" t="s">
        <v>528</v>
      </c>
      <c r="D8168" t="s">
        <v>26</v>
      </c>
      <c r="E8168" s="208" t="s">
        <v>570</v>
      </c>
      <c r="F8168" t="s">
        <v>4</v>
      </c>
      <c r="G8168" s="18">
        <v>0</v>
      </c>
      <c r="H8168" t="s">
        <v>23</v>
      </c>
      <c r="I8168" t="s">
        <v>16</v>
      </c>
    </row>
    <row r="8169" spans="1:9" x14ac:dyDescent="0.25">
      <c r="A8169">
        <v>1822</v>
      </c>
      <c r="B8169">
        <f>A8169+1</f>
        <v>1823</v>
      </c>
      <c r="C8169" t="s">
        <v>528</v>
      </c>
      <c r="D8169" t="s">
        <v>26</v>
      </c>
      <c r="E8169" s="208" t="s">
        <v>570</v>
      </c>
      <c r="F8169" t="s">
        <v>7</v>
      </c>
      <c r="G8169" s="18">
        <v>3176</v>
      </c>
      <c r="H8169" s="151" t="s">
        <v>563</v>
      </c>
      <c r="I8169" t="s">
        <v>16</v>
      </c>
    </row>
    <row r="8170" spans="1:9" x14ac:dyDescent="0.25">
      <c r="A8170">
        <v>1822</v>
      </c>
      <c r="B8170">
        <f>A8170+1</f>
        <v>1823</v>
      </c>
      <c r="C8170" t="s">
        <v>528</v>
      </c>
      <c r="D8170" t="s">
        <v>26</v>
      </c>
      <c r="E8170" s="208" t="s">
        <v>570</v>
      </c>
      <c r="F8170" t="s">
        <v>10</v>
      </c>
      <c r="G8170" s="18">
        <v>1448</v>
      </c>
      <c r="H8170" t="s">
        <v>24</v>
      </c>
      <c r="I8170" t="s">
        <v>17</v>
      </c>
    </row>
    <row r="8171" spans="1:9" x14ac:dyDescent="0.25">
      <c r="A8171">
        <v>1822</v>
      </c>
      <c r="B8171">
        <f>A8171+1</f>
        <v>1823</v>
      </c>
      <c r="C8171" t="s">
        <v>528</v>
      </c>
      <c r="D8171" t="s">
        <v>26</v>
      </c>
      <c r="E8171" s="208" t="s">
        <v>570</v>
      </c>
      <c r="F8171" t="s">
        <v>164</v>
      </c>
      <c r="G8171" s="18">
        <v>0</v>
      </c>
      <c r="H8171" t="s">
        <v>160</v>
      </c>
      <c r="I8171" t="s">
        <v>17</v>
      </c>
    </row>
    <row r="8172" spans="1:9" x14ac:dyDescent="0.25">
      <c r="A8172">
        <v>1822</v>
      </c>
      <c r="B8172">
        <f>A8172+1</f>
        <v>1823</v>
      </c>
      <c r="C8172" t="s">
        <v>528</v>
      </c>
      <c r="D8172" t="s">
        <v>26</v>
      </c>
      <c r="E8172" s="208" t="s">
        <v>570</v>
      </c>
      <c r="F8172" t="s">
        <v>13</v>
      </c>
      <c r="G8172" s="18">
        <v>0</v>
      </c>
      <c r="H8172" t="s">
        <v>25</v>
      </c>
      <c r="I8172" t="s">
        <v>17</v>
      </c>
    </row>
    <row r="8173" spans="1:9" x14ac:dyDescent="0.25">
      <c r="A8173">
        <v>1822</v>
      </c>
      <c r="B8173">
        <f>A8173+1</f>
        <v>1823</v>
      </c>
      <c r="C8173" t="s">
        <v>528</v>
      </c>
      <c r="D8173" t="s">
        <v>26</v>
      </c>
      <c r="E8173" s="208" t="s">
        <v>570</v>
      </c>
      <c r="F8173" t="s">
        <v>11</v>
      </c>
      <c r="G8173" s="18">
        <v>0</v>
      </c>
      <c r="H8173" t="s">
        <v>23</v>
      </c>
      <c r="I8173" t="s">
        <v>17</v>
      </c>
    </row>
    <row r="8174" spans="1:9" x14ac:dyDescent="0.25">
      <c r="A8174">
        <v>1822</v>
      </c>
      <c r="B8174">
        <f>A8174+1</f>
        <v>1823</v>
      </c>
      <c r="C8174" t="s">
        <v>528</v>
      </c>
      <c r="D8174" t="s">
        <v>26</v>
      </c>
      <c r="E8174" s="208" t="s">
        <v>570</v>
      </c>
      <c r="F8174" t="s">
        <v>14</v>
      </c>
      <c r="G8174" s="18">
        <v>1448</v>
      </c>
      <c r="H8174" s="151" t="s">
        <v>563</v>
      </c>
      <c r="I8174" t="s">
        <v>17</v>
      </c>
    </row>
    <row r="8175" spans="1:9" x14ac:dyDescent="0.25">
      <c r="A8175">
        <v>1822</v>
      </c>
      <c r="B8175">
        <f>A8175+1</f>
        <v>1823</v>
      </c>
      <c r="C8175" t="s">
        <v>528</v>
      </c>
      <c r="D8175" t="s">
        <v>26</v>
      </c>
      <c r="E8175" s="208" t="s">
        <v>570</v>
      </c>
      <c r="F8175" t="s">
        <v>15</v>
      </c>
      <c r="G8175" s="18">
        <v>4624</v>
      </c>
      <c r="H8175" s="151" t="s">
        <v>563</v>
      </c>
      <c r="I8175" t="s">
        <v>561</v>
      </c>
    </row>
    <row r="8176" spans="1:9" x14ac:dyDescent="0.25">
      <c r="A8176">
        <v>1822</v>
      </c>
      <c r="B8176">
        <f>A8176+1</f>
        <v>1823</v>
      </c>
      <c r="C8176" t="s">
        <v>528</v>
      </c>
      <c r="D8176" t="s">
        <v>27</v>
      </c>
      <c r="E8176" s="208" t="s">
        <v>155</v>
      </c>
      <c r="F8176" t="s">
        <v>3</v>
      </c>
      <c r="G8176" s="18">
        <v>155</v>
      </c>
      <c r="H8176" t="s">
        <v>16</v>
      </c>
      <c r="I8176" t="s">
        <v>24</v>
      </c>
    </row>
    <row r="8177" spans="1:9" x14ac:dyDescent="0.25">
      <c r="A8177">
        <v>1822</v>
      </c>
      <c r="B8177">
        <f>A8177+1</f>
        <v>1823</v>
      </c>
      <c r="C8177" t="s">
        <v>528</v>
      </c>
      <c r="D8177" t="s">
        <v>27</v>
      </c>
      <c r="E8177" s="208" t="s">
        <v>156</v>
      </c>
      <c r="F8177" t="s">
        <v>3</v>
      </c>
      <c r="G8177" s="18">
        <v>150</v>
      </c>
      <c r="H8177" t="s">
        <v>16</v>
      </c>
      <c r="I8177" t="s">
        <v>24</v>
      </c>
    </row>
    <row r="8178" spans="1:9" x14ac:dyDescent="0.25">
      <c r="A8178">
        <v>1822</v>
      </c>
      <c r="B8178">
        <f>A8178+1</f>
        <v>1823</v>
      </c>
      <c r="C8178" t="s">
        <v>528</v>
      </c>
      <c r="D8178" t="s">
        <v>27</v>
      </c>
      <c r="E8178" s="208" t="s">
        <v>154</v>
      </c>
      <c r="F8178" t="s">
        <v>3</v>
      </c>
      <c r="G8178" s="18">
        <v>385</v>
      </c>
      <c r="H8178" t="s">
        <v>16</v>
      </c>
      <c r="I8178" t="s">
        <v>24</v>
      </c>
    </row>
    <row r="8179" spans="1:9" x14ac:dyDescent="0.25">
      <c r="A8179">
        <v>1822</v>
      </c>
      <c r="B8179">
        <f>A8179+1</f>
        <v>1823</v>
      </c>
      <c r="C8179" t="s">
        <v>528</v>
      </c>
      <c r="D8179" t="s">
        <v>27</v>
      </c>
      <c r="E8179" s="208" t="s">
        <v>150</v>
      </c>
      <c r="F8179" t="s">
        <v>3</v>
      </c>
      <c r="G8179" s="18">
        <v>1176</v>
      </c>
      <c r="H8179" t="s">
        <v>16</v>
      </c>
      <c r="I8179" t="s">
        <v>24</v>
      </c>
    </row>
    <row r="8180" spans="1:9" x14ac:dyDescent="0.25">
      <c r="A8180">
        <v>1822</v>
      </c>
      <c r="B8180">
        <f>A8180+1</f>
        <v>1823</v>
      </c>
      <c r="C8180" t="s">
        <v>528</v>
      </c>
      <c r="D8180" t="s">
        <v>27</v>
      </c>
      <c r="E8180" s="208" t="s">
        <v>148</v>
      </c>
      <c r="F8180" t="s">
        <v>3</v>
      </c>
      <c r="G8180" s="18">
        <v>18</v>
      </c>
      <c r="H8180" t="s">
        <v>16</v>
      </c>
      <c r="I8180" t="s">
        <v>24</v>
      </c>
    </row>
    <row r="8181" spans="1:9" x14ac:dyDescent="0.25">
      <c r="A8181">
        <v>1822</v>
      </c>
      <c r="B8181">
        <f>A8181+1</f>
        <v>1823</v>
      </c>
      <c r="C8181" t="s">
        <v>528</v>
      </c>
      <c r="D8181" t="s">
        <v>27</v>
      </c>
      <c r="E8181" s="208" t="s">
        <v>147</v>
      </c>
      <c r="F8181" t="s">
        <v>3</v>
      </c>
      <c r="G8181" s="18">
        <v>1</v>
      </c>
      <c r="H8181" t="s">
        <v>16</v>
      </c>
      <c r="I8181" t="s">
        <v>24</v>
      </c>
    </row>
    <row r="8182" spans="1:9" x14ac:dyDescent="0.25">
      <c r="A8182">
        <v>1822</v>
      </c>
      <c r="B8182">
        <f>A8182+1</f>
        <v>1823</v>
      </c>
      <c r="C8182" t="s">
        <v>528</v>
      </c>
      <c r="D8182" t="s">
        <v>27</v>
      </c>
      <c r="E8182" s="208" t="s">
        <v>314</v>
      </c>
      <c r="F8182" t="s">
        <v>3</v>
      </c>
      <c r="G8182" s="18">
        <v>0</v>
      </c>
      <c r="H8182" t="s">
        <v>16</v>
      </c>
      <c r="I8182" t="s">
        <v>24</v>
      </c>
    </row>
    <row r="8183" spans="1:9" x14ac:dyDescent="0.25">
      <c r="A8183">
        <v>1822</v>
      </c>
      <c r="B8183">
        <f>A8183+1</f>
        <v>1823</v>
      </c>
      <c r="C8183" t="s">
        <v>528</v>
      </c>
      <c r="D8183" t="s">
        <v>27</v>
      </c>
      <c r="E8183" s="208" t="s">
        <v>139</v>
      </c>
      <c r="F8183" t="s">
        <v>3</v>
      </c>
      <c r="G8183" s="18">
        <v>0</v>
      </c>
      <c r="H8183" t="s">
        <v>16</v>
      </c>
      <c r="I8183" t="s">
        <v>24</v>
      </c>
    </row>
    <row r="8184" spans="1:9" x14ac:dyDescent="0.25">
      <c r="A8184">
        <v>1822</v>
      </c>
      <c r="B8184">
        <f>A8184+1</f>
        <v>1823</v>
      </c>
      <c r="C8184" t="s">
        <v>528</v>
      </c>
      <c r="D8184" t="s">
        <v>27</v>
      </c>
      <c r="E8184" s="208" t="s">
        <v>132</v>
      </c>
      <c r="F8184" t="s">
        <v>3</v>
      </c>
      <c r="G8184" s="18">
        <v>14</v>
      </c>
      <c r="H8184" t="s">
        <v>16</v>
      </c>
      <c r="I8184" t="s">
        <v>24</v>
      </c>
    </row>
    <row r="8185" spans="1:9" x14ac:dyDescent="0.25">
      <c r="A8185">
        <v>1822</v>
      </c>
      <c r="B8185">
        <f>A8185+1</f>
        <v>1823</v>
      </c>
      <c r="C8185" t="s">
        <v>528</v>
      </c>
      <c r="D8185" t="s">
        <v>27</v>
      </c>
      <c r="E8185" s="208" t="s">
        <v>130</v>
      </c>
      <c r="F8185" t="s">
        <v>3</v>
      </c>
      <c r="G8185" s="18">
        <v>4</v>
      </c>
      <c r="H8185" t="s">
        <v>16</v>
      </c>
      <c r="I8185" t="s">
        <v>24</v>
      </c>
    </row>
    <row r="8186" spans="1:9" x14ac:dyDescent="0.25">
      <c r="A8186">
        <v>1822</v>
      </c>
      <c r="B8186">
        <f>A8186+1</f>
        <v>1823</v>
      </c>
      <c r="C8186" t="s">
        <v>528</v>
      </c>
      <c r="D8186" t="s">
        <v>27</v>
      </c>
      <c r="E8186" s="208" t="s">
        <v>144</v>
      </c>
      <c r="F8186" t="s">
        <v>3</v>
      </c>
      <c r="G8186" s="18">
        <v>12</v>
      </c>
      <c r="H8186" t="s">
        <v>16</v>
      </c>
      <c r="I8186" t="s">
        <v>24</v>
      </c>
    </row>
    <row r="8187" spans="1:9" x14ac:dyDescent="0.25">
      <c r="A8187">
        <v>1822</v>
      </c>
      <c r="B8187">
        <f>A8187+1</f>
        <v>1823</v>
      </c>
      <c r="C8187" t="s">
        <v>528</v>
      </c>
      <c r="D8187" t="s">
        <v>27</v>
      </c>
      <c r="E8187" s="208" t="s">
        <v>142</v>
      </c>
      <c r="F8187" t="s">
        <v>3</v>
      </c>
      <c r="G8187" s="18">
        <v>30</v>
      </c>
      <c r="H8187" t="s">
        <v>16</v>
      </c>
      <c r="I8187" t="s">
        <v>24</v>
      </c>
    </row>
    <row r="8188" spans="1:9" x14ac:dyDescent="0.25">
      <c r="A8188">
        <v>1822</v>
      </c>
      <c r="B8188">
        <f>A8188+1</f>
        <v>1823</v>
      </c>
      <c r="C8188" t="s">
        <v>528</v>
      </c>
      <c r="D8188" t="s">
        <v>27</v>
      </c>
      <c r="E8188" s="208" t="s">
        <v>124</v>
      </c>
      <c r="F8188" t="s">
        <v>3</v>
      </c>
      <c r="G8188" s="18">
        <v>90664</v>
      </c>
      <c r="H8188" t="s">
        <v>16</v>
      </c>
      <c r="I8188" t="s">
        <v>24</v>
      </c>
    </row>
    <row r="8189" spans="1:9" x14ac:dyDescent="0.25">
      <c r="A8189">
        <v>1822</v>
      </c>
      <c r="B8189">
        <f>A8189+1</f>
        <v>1823</v>
      </c>
      <c r="C8189" t="s">
        <v>528</v>
      </c>
      <c r="D8189" t="s">
        <v>26</v>
      </c>
      <c r="E8189" s="208" t="s">
        <v>62</v>
      </c>
      <c r="F8189" t="s">
        <v>3</v>
      </c>
      <c r="G8189" s="18">
        <v>944</v>
      </c>
      <c r="H8189" t="s">
        <v>24</v>
      </c>
      <c r="I8189" t="s">
        <v>16</v>
      </c>
    </row>
    <row r="8190" spans="1:9" x14ac:dyDescent="0.25">
      <c r="A8190">
        <v>1822</v>
      </c>
      <c r="B8190">
        <f>A8190+1</f>
        <v>1823</v>
      </c>
      <c r="C8190" t="s">
        <v>528</v>
      </c>
      <c r="D8190" t="s">
        <v>26</v>
      </c>
      <c r="E8190" s="208" t="s">
        <v>36</v>
      </c>
      <c r="F8190" t="s">
        <v>3</v>
      </c>
      <c r="G8190" s="18">
        <v>0</v>
      </c>
      <c r="H8190" t="s">
        <v>24</v>
      </c>
      <c r="I8190" t="s">
        <v>16</v>
      </c>
    </row>
    <row r="8191" spans="1:9" x14ac:dyDescent="0.25">
      <c r="A8191">
        <v>1822</v>
      </c>
      <c r="B8191">
        <f>A8191+1</f>
        <v>1823</v>
      </c>
      <c r="C8191" t="s">
        <v>528</v>
      </c>
      <c r="D8191" t="s">
        <v>26</v>
      </c>
      <c r="E8191" s="208" t="s">
        <v>35</v>
      </c>
      <c r="F8191" t="s">
        <v>3</v>
      </c>
      <c r="G8191" s="18">
        <v>30</v>
      </c>
      <c r="H8191" t="s">
        <v>24</v>
      </c>
      <c r="I8191" t="s">
        <v>16</v>
      </c>
    </row>
    <row r="8192" spans="1:9" x14ac:dyDescent="0.25">
      <c r="A8192">
        <v>1822</v>
      </c>
      <c r="B8192">
        <f>A8192+1</f>
        <v>1823</v>
      </c>
      <c r="C8192" t="s">
        <v>528</v>
      </c>
      <c r="D8192" t="s">
        <v>26</v>
      </c>
      <c r="E8192" s="208" t="s">
        <v>39</v>
      </c>
      <c r="F8192" t="s">
        <v>3</v>
      </c>
      <c r="G8192" s="18">
        <v>0</v>
      </c>
      <c r="H8192" t="s">
        <v>24</v>
      </c>
      <c r="I8192" t="s">
        <v>16</v>
      </c>
    </row>
    <row r="8193" spans="1:9" x14ac:dyDescent="0.25">
      <c r="A8193">
        <v>1822</v>
      </c>
      <c r="B8193">
        <f>A8193+1</f>
        <v>1823</v>
      </c>
      <c r="C8193" t="s">
        <v>528</v>
      </c>
      <c r="D8193" t="s">
        <v>26</v>
      </c>
      <c r="E8193" s="208" t="s">
        <v>99</v>
      </c>
      <c r="F8193" t="s">
        <v>3</v>
      </c>
      <c r="G8193" s="18">
        <v>0</v>
      </c>
      <c r="H8193" t="s">
        <v>24</v>
      </c>
      <c r="I8193" t="s">
        <v>16</v>
      </c>
    </row>
    <row r="8194" spans="1:9" x14ac:dyDescent="0.25">
      <c r="A8194">
        <v>1822</v>
      </c>
      <c r="B8194">
        <f>A8194+1</f>
        <v>1823</v>
      </c>
      <c r="C8194" t="s">
        <v>528</v>
      </c>
      <c r="D8194" t="s">
        <v>26</v>
      </c>
      <c r="E8194" s="208" t="s">
        <v>95</v>
      </c>
      <c r="F8194" t="s">
        <v>3</v>
      </c>
      <c r="G8194" s="18">
        <v>0</v>
      </c>
      <c r="H8194" t="s">
        <v>24</v>
      </c>
      <c r="I8194" t="s">
        <v>16</v>
      </c>
    </row>
    <row r="8195" spans="1:9" x14ac:dyDescent="0.25">
      <c r="A8195">
        <v>1822</v>
      </c>
      <c r="B8195">
        <f>A8195+1</f>
        <v>1823</v>
      </c>
      <c r="C8195" t="s">
        <v>528</v>
      </c>
      <c r="D8195" t="s">
        <v>26</v>
      </c>
      <c r="E8195" s="208" t="s">
        <v>94</v>
      </c>
      <c r="F8195" t="s">
        <v>3</v>
      </c>
      <c r="G8195" s="18">
        <v>0</v>
      </c>
      <c r="H8195" t="s">
        <v>24</v>
      </c>
      <c r="I8195" t="s">
        <v>16</v>
      </c>
    </row>
    <row r="8196" spans="1:9" x14ac:dyDescent="0.25">
      <c r="A8196">
        <v>1822</v>
      </c>
      <c r="B8196">
        <f>A8196+1</f>
        <v>1823</v>
      </c>
      <c r="C8196" t="s">
        <v>528</v>
      </c>
      <c r="D8196" t="s">
        <v>26</v>
      </c>
      <c r="E8196" s="208" t="s">
        <v>386</v>
      </c>
      <c r="F8196" t="s">
        <v>3</v>
      </c>
      <c r="G8196" s="18">
        <v>540</v>
      </c>
      <c r="H8196" t="s">
        <v>24</v>
      </c>
      <c r="I8196" t="s">
        <v>16</v>
      </c>
    </row>
    <row r="8197" spans="1:9" x14ac:dyDescent="0.25">
      <c r="A8197">
        <v>1822</v>
      </c>
      <c r="B8197">
        <f>A8197+1</f>
        <v>1823</v>
      </c>
      <c r="C8197" t="s">
        <v>528</v>
      </c>
      <c r="D8197" t="s">
        <v>26</v>
      </c>
      <c r="E8197" s="208" t="s">
        <v>387</v>
      </c>
      <c r="F8197" t="s">
        <v>3</v>
      </c>
      <c r="G8197" s="18">
        <v>0</v>
      </c>
      <c r="H8197" t="s">
        <v>24</v>
      </c>
      <c r="I8197" t="s">
        <v>16</v>
      </c>
    </row>
    <row r="8198" spans="1:9" x14ac:dyDescent="0.25">
      <c r="A8198">
        <v>1822</v>
      </c>
      <c r="B8198">
        <f>A8198+1</f>
        <v>1823</v>
      </c>
      <c r="C8198" t="s">
        <v>528</v>
      </c>
      <c r="D8198" t="s">
        <v>26</v>
      </c>
      <c r="E8198" s="208" t="s">
        <v>388</v>
      </c>
      <c r="F8198" t="s">
        <v>3</v>
      </c>
      <c r="G8198" s="18">
        <v>90</v>
      </c>
      <c r="H8198" t="s">
        <v>24</v>
      </c>
      <c r="I8198" t="s">
        <v>16</v>
      </c>
    </row>
    <row r="8199" spans="1:9" x14ac:dyDescent="0.25">
      <c r="A8199">
        <v>1822</v>
      </c>
      <c r="B8199">
        <f>A8199+1</f>
        <v>1823</v>
      </c>
      <c r="C8199" t="s">
        <v>528</v>
      </c>
      <c r="D8199" t="s">
        <v>26</v>
      </c>
      <c r="E8199" s="208" t="s">
        <v>383</v>
      </c>
      <c r="F8199" t="s">
        <v>3</v>
      </c>
      <c r="G8199" s="18">
        <v>179</v>
      </c>
      <c r="H8199" t="s">
        <v>24</v>
      </c>
      <c r="I8199" t="s">
        <v>16</v>
      </c>
    </row>
    <row r="8200" spans="1:9" x14ac:dyDescent="0.25">
      <c r="A8200">
        <v>1822</v>
      </c>
      <c r="B8200">
        <f>A8200+1</f>
        <v>1823</v>
      </c>
      <c r="C8200" t="s">
        <v>528</v>
      </c>
      <c r="D8200" t="s">
        <v>26</v>
      </c>
      <c r="E8200" s="208" t="s">
        <v>384</v>
      </c>
      <c r="F8200" t="s">
        <v>3</v>
      </c>
      <c r="G8200" s="18">
        <v>0</v>
      </c>
      <c r="H8200" t="s">
        <v>24</v>
      </c>
      <c r="I8200" t="s">
        <v>16</v>
      </c>
    </row>
    <row r="8201" spans="1:9" x14ac:dyDescent="0.25">
      <c r="A8201">
        <v>1822</v>
      </c>
      <c r="B8201">
        <f>A8201+1</f>
        <v>1823</v>
      </c>
      <c r="C8201" t="s">
        <v>528</v>
      </c>
      <c r="D8201" t="s">
        <v>26</v>
      </c>
      <c r="E8201" s="208" t="s">
        <v>107</v>
      </c>
      <c r="F8201" t="s">
        <v>3</v>
      </c>
      <c r="G8201" s="18">
        <v>213726</v>
      </c>
      <c r="H8201" t="s">
        <v>24</v>
      </c>
      <c r="I8201" t="s">
        <v>16</v>
      </c>
    </row>
    <row r="8202" spans="1:9" x14ac:dyDescent="0.25">
      <c r="A8202">
        <v>1822</v>
      </c>
      <c r="B8202">
        <f>A8202+1</f>
        <v>1823</v>
      </c>
      <c r="C8202" t="s">
        <v>528</v>
      </c>
      <c r="D8202" t="s">
        <v>26</v>
      </c>
      <c r="E8202" s="208" t="s">
        <v>101</v>
      </c>
      <c r="F8202" t="s">
        <v>3</v>
      </c>
      <c r="G8202" s="18">
        <v>1485800</v>
      </c>
      <c r="H8202" t="s">
        <v>24</v>
      </c>
      <c r="I8202" t="s">
        <v>16</v>
      </c>
    </row>
    <row r="8203" spans="1:9" x14ac:dyDescent="0.25">
      <c r="A8203">
        <v>1822</v>
      </c>
      <c r="B8203">
        <f>A8203+1</f>
        <v>1823</v>
      </c>
      <c r="C8203" t="s">
        <v>528</v>
      </c>
      <c r="D8203" t="s">
        <v>26</v>
      </c>
      <c r="E8203" s="208" t="s">
        <v>75</v>
      </c>
      <c r="F8203" t="s">
        <v>3</v>
      </c>
      <c r="G8203" s="18">
        <v>1251750</v>
      </c>
      <c r="H8203" t="s">
        <v>24</v>
      </c>
      <c r="I8203" t="s">
        <v>16</v>
      </c>
    </row>
    <row r="8204" spans="1:9" x14ac:dyDescent="0.25">
      <c r="A8204">
        <v>1822</v>
      </c>
      <c r="B8204">
        <f>A8204+1</f>
        <v>1823</v>
      </c>
      <c r="C8204" t="s">
        <v>528</v>
      </c>
      <c r="D8204" t="s">
        <v>26</v>
      </c>
      <c r="E8204" s="208" t="s">
        <v>330</v>
      </c>
      <c r="F8204" t="s">
        <v>3</v>
      </c>
      <c r="G8204" s="18">
        <v>15</v>
      </c>
      <c r="H8204" t="s">
        <v>24</v>
      </c>
      <c r="I8204" t="s">
        <v>16</v>
      </c>
    </row>
    <row r="8205" spans="1:9" x14ac:dyDescent="0.25">
      <c r="A8205">
        <v>1822</v>
      </c>
      <c r="B8205">
        <f>A8205+1</f>
        <v>1823</v>
      </c>
      <c r="C8205" t="s">
        <v>528</v>
      </c>
      <c r="D8205" t="s">
        <v>26</v>
      </c>
      <c r="E8205" s="208" t="s">
        <v>331</v>
      </c>
      <c r="F8205" t="s">
        <v>3</v>
      </c>
      <c r="G8205" s="18">
        <v>0</v>
      </c>
      <c r="H8205" t="s">
        <v>24</v>
      </c>
      <c r="I8205" t="s">
        <v>16</v>
      </c>
    </row>
    <row r="8206" spans="1:9" x14ac:dyDescent="0.25">
      <c r="A8206">
        <v>1822</v>
      </c>
      <c r="B8206">
        <f>A8206+1</f>
        <v>1823</v>
      </c>
      <c r="C8206" t="s">
        <v>528</v>
      </c>
      <c r="D8206" t="s">
        <v>26</v>
      </c>
      <c r="E8206" s="208" t="s">
        <v>332</v>
      </c>
      <c r="F8206" t="s">
        <v>3</v>
      </c>
      <c r="G8206" s="18">
        <v>0</v>
      </c>
      <c r="H8206" t="s">
        <v>24</v>
      </c>
      <c r="I8206" t="s">
        <v>16</v>
      </c>
    </row>
    <row r="8207" spans="1:9" x14ac:dyDescent="0.25">
      <c r="A8207">
        <v>1822</v>
      </c>
      <c r="B8207">
        <f>A8207+1</f>
        <v>1823</v>
      </c>
      <c r="C8207" t="s">
        <v>528</v>
      </c>
      <c r="D8207" t="s">
        <v>26</v>
      </c>
      <c r="E8207" s="208" t="s">
        <v>333</v>
      </c>
      <c r="F8207" t="s">
        <v>3</v>
      </c>
      <c r="G8207" s="18">
        <v>0</v>
      </c>
      <c r="H8207" t="s">
        <v>24</v>
      </c>
      <c r="I8207" t="s">
        <v>16</v>
      </c>
    </row>
    <row r="8208" spans="1:9" x14ac:dyDescent="0.25">
      <c r="A8208">
        <v>1822</v>
      </c>
      <c r="B8208">
        <f>A8208+1</f>
        <v>1823</v>
      </c>
      <c r="C8208" t="s">
        <v>528</v>
      </c>
      <c r="D8208" t="s">
        <v>27</v>
      </c>
      <c r="E8208" s="208" t="s">
        <v>155</v>
      </c>
      <c r="F8208" t="s">
        <v>0</v>
      </c>
      <c r="G8208" s="18">
        <v>22525</v>
      </c>
      <c r="H8208" t="s">
        <v>16</v>
      </c>
      <c r="I8208" t="s">
        <v>18</v>
      </c>
    </row>
    <row r="8209" spans="1:9" x14ac:dyDescent="0.25">
      <c r="A8209">
        <v>1822</v>
      </c>
      <c r="B8209">
        <f>A8209+1</f>
        <v>1823</v>
      </c>
      <c r="C8209" t="s">
        <v>528</v>
      </c>
      <c r="D8209" t="s">
        <v>27</v>
      </c>
      <c r="E8209" s="208" t="s">
        <v>156</v>
      </c>
      <c r="F8209" t="s">
        <v>0</v>
      </c>
      <c r="G8209" s="18">
        <v>1374</v>
      </c>
      <c r="H8209" t="s">
        <v>16</v>
      </c>
      <c r="I8209" t="s">
        <v>18</v>
      </c>
    </row>
    <row r="8210" spans="1:9" x14ac:dyDescent="0.25">
      <c r="A8210">
        <v>1822</v>
      </c>
      <c r="B8210">
        <f>A8210+1</f>
        <v>1823</v>
      </c>
      <c r="C8210" t="s">
        <v>528</v>
      </c>
      <c r="D8210" t="s">
        <v>27</v>
      </c>
      <c r="E8210" s="208" t="s">
        <v>154</v>
      </c>
      <c r="F8210" t="s">
        <v>0</v>
      </c>
      <c r="G8210" s="18">
        <v>327</v>
      </c>
      <c r="H8210" t="s">
        <v>16</v>
      </c>
      <c r="I8210" t="s">
        <v>18</v>
      </c>
    </row>
    <row r="8211" spans="1:9" x14ac:dyDescent="0.25">
      <c r="A8211">
        <v>1822</v>
      </c>
      <c r="B8211">
        <f>A8211+1</f>
        <v>1823</v>
      </c>
      <c r="C8211" t="s">
        <v>528</v>
      </c>
      <c r="D8211" t="s">
        <v>27</v>
      </c>
      <c r="E8211" s="208" t="s">
        <v>150</v>
      </c>
      <c r="F8211" t="s">
        <v>0</v>
      </c>
      <c r="G8211" s="18">
        <v>5106</v>
      </c>
      <c r="H8211" t="s">
        <v>16</v>
      </c>
      <c r="I8211" t="s">
        <v>18</v>
      </c>
    </row>
    <row r="8212" spans="1:9" x14ac:dyDescent="0.25">
      <c r="A8212">
        <v>1822</v>
      </c>
      <c r="B8212">
        <f>A8212+1</f>
        <v>1823</v>
      </c>
      <c r="C8212" t="s">
        <v>528</v>
      </c>
      <c r="D8212" t="s">
        <v>27</v>
      </c>
      <c r="E8212" s="208" t="s">
        <v>148</v>
      </c>
      <c r="F8212" t="s">
        <v>0</v>
      </c>
      <c r="G8212" s="18">
        <v>180</v>
      </c>
      <c r="H8212" t="s">
        <v>16</v>
      </c>
      <c r="I8212" t="s">
        <v>18</v>
      </c>
    </row>
    <row r="8213" spans="1:9" x14ac:dyDescent="0.25">
      <c r="A8213">
        <v>1822</v>
      </c>
      <c r="B8213">
        <f>A8213+1</f>
        <v>1823</v>
      </c>
      <c r="C8213" t="s">
        <v>528</v>
      </c>
      <c r="D8213" t="s">
        <v>27</v>
      </c>
      <c r="E8213" s="208" t="s">
        <v>147</v>
      </c>
      <c r="F8213" t="s">
        <v>0</v>
      </c>
      <c r="G8213" s="18">
        <v>0</v>
      </c>
      <c r="H8213" t="s">
        <v>16</v>
      </c>
      <c r="I8213" t="s">
        <v>18</v>
      </c>
    </row>
    <row r="8214" spans="1:9" x14ac:dyDescent="0.25">
      <c r="A8214">
        <v>1822</v>
      </c>
      <c r="B8214">
        <f>A8214+1</f>
        <v>1823</v>
      </c>
      <c r="C8214" t="s">
        <v>528</v>
      </c>
      <c r="D8214" t="s">
        <v>27</v>
      </c>
      <c r="E8214" s="208" t="s">
        <v>314</v>
      </c>
      <c r="F8214" t="s">
        <v>0</v>
      </c>
      <c r="G8214" s="18">
        <v>0</v>
      </c>
      <c r="H8214" t="s">
        <v>16</v>
      </c>
      <c r="I8214" t="s">
        <v>18</v>
      </c>
    </row>
    <row r="8215" spans="1:9" x14ac:dyDescent="0.25">
      <c r="A8215">
        <v>1822</v>
      </c>
      <c r="B8215">
        <f>A8215+1</f>
        <v>1823</v>
      </c>
      <c r="C8215" t="s">
        <v>528</v>
      </c>
      <c r="D8215" t="s">
        <v>27</v>
      </c>
      <c r="E8215" s="208" t="s">
        <v>139</v>
      </c>
      <c r="F8215" t="s">
        <v>0</v>
      </c>
      <c r="G8215" s="18">
        <v>12</v>
      </c>
      <c r="H8215" t="s">
        <v>16</v>
      </c>
      <c r="I8215" t="s">
        <v>18</v>
      </c>
    </row>
    <row r="8216" spans="1:9" x14ac:dyDescent="0.25">
      <c r="A8216">
        <v>1822</v>
      </c>
      <c r="B8216">
        <f>A8216+1</f>
        <v>1823</v>
      </c>
      <c r="C8216" t="s">
        <v>528</v>
      </c>
      <c r="D8216" t="s">
        <v>27</v>
      </c>
      <c r="E8216" s="208" t="s">
        <v>132</v>
      </c>
      <c r="F8216" t="s">
        <v>0</v>
      </c>
      <c r="G8216" s="18">
        <v>120</v>
      </c>
      <c r="H8216" t="s">
        <v>16</v>
      </c>
      <c r="I8216" t="s">
        <v>18</v>
      </c>
    </row>
    <row r="8217" spans="1:9" x14ac:dyDescent="0.25">
      <c r="A8217">
        <v>1822</v>
      </c>
      <c r="B8217">
        <f>A8217+1</f>
        <v>1823</v>
      </c>
      <c r="C8217" t="s">
        <v>528</v>
      </c>
      <c r="D8217" t="s">
        <v>27</v>
      </c>
      <c r="E8217" s="208" t="s">
        <v>130</v>
      </c>
      <c r="F8217" t="s">
        <v>0</v>
      </c>
      <c r="G8217" s="18">
        <v>32</v>
      </c>
      <c r="H8217" t="s">
        <v>16</v>
      </c>
      <c r="I8217" t="s">
        <v>18</v>
      </c>
    </row>
    <row r="8218" spans="1:9" x14ac:dyDescent="0.25">
      <c r="A8218">
        <v>1822</v>
      </c>
      <c r="B8218">
        <f>A8218+1</f>
        <v>1823</v>
      </c>
      <c r="C8218" t="s">
        <v>528</v>
      </c>
      <c r="D8218" t="s">
        <v>27</v>
      </c>
      <c r="E8218" s="208" t="s">
        <v>144</v>
      </c>
      <c r="F8218" t="s">
        <v>0</v>
      </c>
      <c r="G8218" s="18">
        <v>1258</v>
      </c>
      <c r="H8218" t="s">
        <v>16</v>
      </c>
      <c r="I8218" t="s">
        <v>18</v>
      </c>
    </row>
    <row r="8219" spans="1:9" x14ac:dyDescent="0.25">
      <c r="A8219">
        <v>1822</v>
      </c>
      <c r="B8219">
        <f>A8219+1</f>
        <v>1823</v>
      </c>
      <c r="C8219" t="s">
        <v>528</v>
      </c>
      <c r="D8219" t="s">
        <v>27</v>
      </c>
      <c r="E8219" s="208" t="s">
        <v>142</v>
      </c>
      <c r="F8219" t="s">
        <v>0</v>
      </c>
      <c r="G8219" s="18">
        <v>1787</v>
      </c>
      <c r="H8219" t="s">
        <v>16</v>
      </c>
      <c r="I8219" t="s">
        <v>18</v>
      </c>
    </row>
    <row r="8220" spans="1:9" x14ac:dyDescent="0.25">
      <c r="A8220">
        <v>1822</v>
      </c>
      <c r="B8220">
        <f>A8220+1</f>
        <v>1823</v>
      </c>
      <c r="C8220" t="s">
        <v>528</v>
      </c>
      <c r="D8220" t="s">
        <v>27</v>
      </c>
      <c r="E8220" s="208" t="s">
        <v>124</v>
      </c>
      <c r="F8220" t="s">
        <v>0</v>
      </c>
      <c r="G8220" s="18">
        <v>9620165</v>
      </c>
      <c r="H8220" t="s">
        <v>16</v>
      </c>
      <c r="I8220" t="s">
        <v>18</v>
      </c>
    </row>
    <row r="8221" spans="1:9" x14ac:dyDescent="0.25">
      <c r="A8221">
        <v>1822</v>
      </c>
      <c r="B8221">
        <f>A8221+1</f>
        <v>1823</v>
      </c>
      <c r="C8221" t="s">
        <v>528</v>
      </c>
      <c r="D8221" t="s">
        <v>26</v>
      </c>
      <c r="E8221" s="208" t="s">
        <v>62</v>
      </c>
      <c r="F8221" t="s">
        <v>169</v>
      </c>
      <c r="G8221" s="18">
        <v>5110</v>
      </c>
      <c r="H8221" t="s">
        <v>160</v>
      </c>
      <c r="I8221" t="s">
        <v>16</v>
      </c>
    </row>
    <row r="8222" spans="1:9" x14ac:dyDescent="0.25">
      <c r="A8222">
        <v>1822</v>
      </c>
      <c r="B8222">
        <f>A8222+1</f>
        <v>1823</v>
      </c>
      <c r="C8222" t="s">
        <v>528</v>
      </c>
      <c r="D8222" t="s">
        <v>26</v>
      </c>
      <c r="E8222" s="208" t="s">
        <v>36</v>
      </c>
      <c r="F8222" t="s">
        <v>169</v>
      </c>
      <c r="G8222" s="18">
        <v>392</v>
      </c>
      <c r="H8222" t="s">
        <v>160</v>
      </c>
      <c r="I8222" t="s">
        <v>16</v>
      </c>
    </row>
    <row r="8223" spans="1:9" x14ac:dyDescent="0.25">
      <c r="A8223">
        <v>1822</v>
      </c>
      <c r="B8223">
        <f>A8223+1</f>
        <v>1823</v>
      </c>
      <c r="C8223" t="s">
        <v>528</v>
      </c>
      <c r="D8223" t="s">
        <v>26</v>
      </c>
      <c r="E8223" s="208" t="s">
        <v>35</v>
      </c>
      <c r="F8223" t="s">
        <v>169</v>
      </c>
      <c r="G8223" s="18">
        <v>5273</v>
      </c>
      <c r="H8223" t="s">
        <v>160</v>
      </c>
      <c r="I8223" t="s">
        <v>16</v>
      </c>
    </row>
    <row r="8224" spans="1:9" x14ac:dyDescent="0.25">
      <c r="A8224">
        <v>1822</v>
      </c>
      <c r="B8224">
        <f>A8224+1</f>
        <v>1823</v>
      </c>
      <c r="C8224" t="s">
        <v>528</v>
      </c>
      <c r="D8224" t="s">
        <v>26</v>
      </c>
      <c r="E8224" s="208" t="s">
        <v>39</v>
      </c>
      <c r="F8224" t="s">
        <v>169</v>
      </c>
      <c r="G8224" s="18">
        <v>0</v>
      </c>
      <c r="H8224" t="s">
        <v>160</v>
      </c>
      <c r="I8224" t="s">
        <v>16</v>
      </c>
    </row>
    <row r="8225" spans="1:9" x14ac:dyDescent="0.25">
      <c r="A8225">
        <v>1822</v>
      </c>
      <c r="B8225">
        <f>A8225+1</f>
        <v>1823</v>
      </c>
      <c r="C8225" t="s">
        <v>528</v>
      </c>
      <c r="D8225" t="s">
        <v>26</v>
      </c>
      <c r="E8225" s="208" t="s">
        <v>99</v>
      </c>
      <c r="F8225" t="s">
        <v>169</v>
      </c>
      <c r="G8225" s="18">
        <v>43</v>
      </c>
      <c r="H8225" t="s">
        <v>160</v>
      </c>
      <c r="I8225" t="s">
        <v>16</v>
      </c>
    </row>
    <row r="8226" spans="1:9" x14ac:dyDescent="0.25">
      <c r="A8226">
        <v>1822</v>
      </c>
      <c r="B8226">
        <f>A8226+1</f>
        <v>1823</v>
      </c>
      <c r="C8226" t="s">
        <v>528</v>
      </c>
      <c r="D8226" t="s">
        <v>26</v>
      </c>
      <c r="E8226" s="208" t="s">
        <v>95</v>
      </c>
      <c r="F8226" t="s">
        <v>169</v>
      </c>
      <c r="G8226" s="18">
        <v>0</v>
      </c>
      <c r="H8226" t="s">
        <v>160</v>
      </c>
      <c r="I8226" t="s">
        <v>16</v>
      </c>
    </row>
    <row r="8227" spans="1:9" x14ac:dyDescent="0.25">
      <c r="A8227">
        <v>1822</v>
      </c>
      <c r="B8227">
        <f>A8227+1</f>
        <v>1823</v>
      </c>
      <c r="C8227" t="s">
        <v>528</v>
      </c>
      <c r="D8227" t="s">
        <v>26</v>
      </c>
      <c r="E8227" s="208" t="s">
        <v>94</v>
      </c>
      <c r="F8227" t="s">
        <v>169</v>
      </c>
      <c r="G8227" s="18">
        <v>0</v>
      </c>
      <c r="H8227" t="s">
        <v>160</v>
      </c>
      <c r="I8227" t="s">
        <v>16</v>
      </c>
    </row>
    <row r="8228" spans="1:9" x14ac:dyDescent="0.25">
      <c r="A8228">
        <v>1822</v>
      </c>
      <c r="B8228">
        <f>A8228+1</f>
        <v>1823</v>
      </c>
      <c r="C8228" t="s">
        <v>528</v>
      </c>
      <c r="D8228" t="s">
        <v>26</v>
      </c>
      <c r="E8228" s="208" t="s">
        <v>386</v>
      </c>
      <c r="F8228" t="s">
        <v>169</v>
      </c>
      <c r="G8228" s="18">
        <v>0</v>
      </c>
      <c r="H8228" t="s">
        <v>160</v>
      </c>
      <c r="I8228" t="s">
        <v>16</v>
      </c>
    </row>
    <row r="8229" spans="1:9" x14ac:dyDescent="0.25">
      <c r="A8229">
        <v>1822</v>
      </c>
      <c r="B8229">
        <f>A8229+1</f>
        <v>1823</v>
      </c>
      <c r="C8229" t="s">
        <v>528</v>
      </c>
      <c r="D8229" t="s">
        <v>26</v>
      </c>
      <c r="E8229" s="208" t="s">
        <v>387</v>
      </c>
      <c r="F8229" t="s">
        <v>169</v>
      </c>
      <c r="G8229" s="18">
        <v>0</v>
      </c>
      <c r="H8229" t="s">
        <v>160</v>
      </c>
      <c r="I8229" t="s">
        <v>16</v>
      </c>
    </row>
    <row r="8230" spans="1:9" x14ac:dyDescent="0.25">
      <c r="A8230">
        <v>1822</v>
      </c>
      <c r="B8230">
        <f>A8230+1</f>
        <v>1823</v>
      </c>
      <c r="C8230" t="s">
        <v>528</v>
      </c>
      <c r="D8230" t="s">
        <v>26</v>
      </c>
      <c r="E8230" s="208" t="s">
        <v>388</v>
      </c>
      <c r="F8230" t="s">
        <v>169</v>
      </c>
      <c r="G8230" s="18">
        <v>0</v>
      </c>
      <c r="H8230" t="s">
        <v>160</v>
      </c>
      <c r="I8230" t="s">
        <v>16</v>
      </c>
    </row>
    <row r="8231" spans="1:9" x14ac:dyDescent="0.25">
      <c r="A8231">
        <v>1822</v>
      </c>
      <c r="B8231">
        <f>A8231+1</f>
        <v>1823</v>
      </c>
      <c r="C8231" t="s">
        <v>528</v>
      </c>
      <c r="D8231" t="s">
        <v>26</v>
      </c>
      <c r="E8231" s="208" t="s">
        <v>383</v>
      </c>
      <c r="F8231" t="s">
        <v>169</v>
      </c>
      <c r="G8231" s="18">
        <v>386</v>
      </c>
      <c r="H8231" t="s">
        <v>160</v>
      </c>
      <c r="I8231" t="s">
        <v>16</v>
      </c>
    </row>
    <row r="8232" spans="1:9" x14ac:dyDescent="0.25">
      <c r="A8232">
        <v>1822</v>
      </c>
      <c r="B8232">
        <f>A8232+1</f>
        <v>1823</v>
      </c>
      <c r="C8232" t="s">
        <v>528</v>
      </c>
      <c r="D8232" t="s">
        <v>26</v>
      </c>
      <c r="E8232" s="208" t="s">
        <v>384</v>
      </c>
      <c r="F8232" t="s">
        <v>169</v>
      </c>
      <c r="G8232" s="18">
        <v>0</v>
      </c>
      <c r="H8232" t="s">
        <v>160</v>
      </c>
      <c r="I8232" t="s">
        <v>16</v>
      </c>
    </row>
    <row r="8233" spans="1:9" x14ac:dyDescent="0.25">
      <c r="A8233">
        <v>1822</v>
      </c>
      <c r="B8233">
        <f>A8233+1</f>
        <v>1823</v>
      </c>
      <c r="C8233" t="s">
        <v>528</v>
      </c>
      <c r="D8233" t="s">
        <v>26</v>
      </c>
      <c r="E8233" s="208" t="s">
        <v>107</v>
      </c>
      <c r="F8233" t="s">
        <v>169</v>
      </c>
      <c r="G8233" s="18">
        <v>0</v>
      </c>
      <c r="H8233" t="s">
        <v>160</v>
      </c>
      <c r="I8233" t="s">
        <v>16</v>
      </c>
    </row>
    <row r="8234" spans="1:9" x14ac:dyDescent="0.25">
      <c r="A8234">
        <v>1822</v>
      </c>
      <c r="B8234">
        <f>A8234+1</f>
        <v>1823</v>
      </c>
      <c r="C8234" t="s">
        <v>528</v>
      </c>
      <c r="D8234" t="s">
        <v>26</v>
      </c>
      <c r="E8234" s="208" t="s">
        <v>101</v>
      </c>
      <c r="F8234" t="s">
        <v>169</v>
      </c>
      <c r="G8234" s="18">
        <v>0</v>
      </c>
      <c r="H8234" t="s">
        <v>160</v>
      </c>
      <c r="I8234" t="s">
        <v>16</v>
      </c>
    </row>
    <row r="8235" spans="1:9" x14ac:dyDescent="0.25">
      <c r="A8235">
        <v>1822</v>
      </c>
      <c r="B8235">
        <f>A8235+1</f>
        <v>1823</v>
      </c>
      <c r="C8235" t="s">
        <v>528</v>
      </c>
      <c r="D8235" t="s">
        <v>26</v>
      </c>
      <c r="E8235" s="208" t="s">
        <v>75</v>
      </c>
      <c r="F8235" t="s">
        <v>169</v>
      </c>
      <c r="G8235" s="18">
        <v>0</v>
      </c>
      <c r="H8235" t="s">
        <v>160</v>
      </c>
      <c r="I8235" t="s">
        <v>16</v>
      </c>
    </row>
    <row r="8236" spans="1:9" x14ac:dyDescent="0.25">
      <c r="A8236">
        <v>1822</v>
      </c>
      <c r="B8236">
        <f>A8236+1</f>
        <v>1823</v>
      </c>
      <c r="C8236" t="s">
        <v>528</v>
      </c>
      <c r="D8236" t="s">
        <v>26</v>
      </c>
      <c r="E8236" s="208" t="s">
        <v>330</v>
      </c>
      <c r="F8236" t="s">
        <v>169</v>
      </c>
      <c r="G8236" s="18">
        <v>0</v>
      </c>
      <c r="H8236" t="s">
        <v>160</v>
      </c>
      <c r="I8236" t="s">
        <v>16</v>
      </c>
    </row>
    <row r="8237" spans="1:9" x14ac:dyDescent="0.25">
      <c r="A8237">
        <v>1822</v>
      </c>
      <c r="B8237">
        <f>A8237+1</f>
        <v>1823</v>
      </c>
      <c r="C8237" t="s">
        <v>528</v>
      </c>
      <c r="D8237" t="s">
        <v>26</v>
      </c>
      <c r="E8237" s="208" t="s">
        <v>331</v>
      </c>
      <c r="F8237" t="s">
        <v>169</v>
      </c>
      <c r="G8237" s="18">
        <v>0</v>
      </c>
      <c r="H8237" t="s">
        <v>160</v>
      </c>
      <c r="I8237" t="s">
        <v>16</v>
      </c>
    </row>
    <row r="8238" spans="1:9" x14ac:dyDescent="0.25">
      <c r="A8238">
        <v>1822</v>
      </c>
      <c r="B8238">
        <f>A8238+1</f>
        <v>1823</v>
      </c>
      <c r="C8238" t="s">
        <v>528</v>
      </c>
      <c r="D8238" t="s">
        <v>26</v>
      </c>
      <c r="E8238" s="208" t="s">
        <v>332</v>
      </c>
      <c r="F8238" t="s">
        <v>169</v>
      </c>
      <c r="G8238" s="18">
        <v>0</v>
      </c>
      <c r="H8238" t="s">
        <v>160</v>
      </c>
      <c r="I8238" t="s">
        <v>16</v>
      </c>
    </row>
    <row r="8239" spans="1:9" x14ac:dyDescent="0.25">
      <c r="A8239">
        <v>1822</v>
      </c>
      <c r="B8239">
        <f>A8239+1</f>
        <v>1823</v>
      </c>
      <c r="C8239" t="s">
        <v>528</v>
      </c>
      <c r="D8239" t="s">
        <v>26</v>
      </c>
      <c r="E8239" s="208" t="s">
        <v>333</v>
      </c>
      <c r="F8239" t="s">
        <v>169</v>
      </c>
      <c r="G8239" s="18">
        <v>0</v>
      </c>
      <c r="H8239" t="s">
        <v>160</v>
      </c>
      <c r="I8239" t="s">
        <v>16</v>
      </c>
    </row>
    <row r="8240" spans="1:9" x14ac:dyDescent="0.25">
      <c r="A8240">
        <v>1822</v>
      </c>
      <c r="B8240">
        <f>A8240+1</f>
        <v>1823</v>
      </c>
      <c r="C8240" t="s">
        <v>528</v>
      </c>
      <c r="D8240" t="s">
        <v>27</v>
      </c>
      <c r="E8240" s="208" t="s">
        <v>155</v>
      </c>
      <c r="F8240" t="s">
        <v>1</v>
      </c>
      <c r="G8240" s="18">
        <v>826</v>
      </c>
      <c r="H8240" t="s">
        <v>16</v>
      </c>
      <c r="I8240" t="s">
        <v>21</v>
      </c>
    </row>
    <row r="8241" spans="1:9" x14ac:dyDescent="0.25">
      <c r="A8241">
        <v>1822</v>
      </c>
      <c r="B8241">
        <f>A8241+1</f>
        <v>1823</v>
      </c>
      <c r="C8241" t="s">
        <v>528</v>
      </c>
      <c r="D8241" t="s">
        <v>27</v>
      </c>
      <c r="E8241" s="208" t="s">
        <v>156</v>
      </c>
      <c r="F8241" t="s">
        <v>1</v>
      </c>
      <c r="G8241" s="18">
        <v>142</v>
      </c>
      <c r="H8241" t="s">
        <v>16</v>
      </c>
      <c r="I8241" t="s">
        <v>21</v>
      </c>
    </row>
    <row r="8242" spans="1:9" x14ac:dyDescent="0.25">
      <c r="A8242">
        <v>1822</v>
      </c>
      <c r="B8242">
        <f>A8242+1</f>
        <v>1823</v>
      </c>
      <c r="C8242" t="s">
        <v>528</v>
      </c>
      <c r="D8242" t="s">
        <v>27</v>
      </c>
      <c r="E8242" s="208" t="s">
        <v>154</v>
      </c>
      <c r="F8242" t="s">
        <v>1</v>
      </c>
      <c r="G8242" s="18">
        <v>129</v>
      </c>
      <c r="H8242" t="s">
        <v>16</v>
      </c>
      <c r="I8242" t="s">
        <v>21</v>
      </c>
    </row>
    <row r="8243" spans="1:9" x14ac:dyDescent="0.25">
      <c r="A8243">
        <v>1822</v>
      </c>
      <c r="B8243">
        <f>A8243+1</f>
        <v>1823</v>
      </c>
      <c r="C8243" t="s">
        <v>528</v>
      </c>
      <c r="D8243" t="s">
        <v>27</v>
      </c>
      <c r="E8243" s="208" t="s">
        <v>150</v>
      </c>
      <c r="F8243" t="s">
        <v>1</v>
      </c>
      <c r="G8243" s="18">
        <v>15</v>
      </c>
      <c r="H8243" t="s">
        <v>16</v>
      </c>
      <c r="I8243" t="s">
        <v>21</v>
      </c>
    </row>
    <row r="8244" spans="1:9" x14ac:dyDescent="0.25">
      <c r="A8244">
        <v>1822</v>
      </c>
      <c r="B8244">
        <f>A8244+1</f>
        <v>1823</v>
      </c>
      <c r="C8244" t="s">
        <v>528</v>
      </c>
      <c r="D8244" t="s">
        <v>27</v>
      </c>
      <c r="E8244" s="208" t="s">
        <v>148</v>
      </c>
      <c r="F8244" t="s">
        <v>1</v>
      </c>
      <c r="G8244" s="18">
        <v>12</v>
      </c>
      <c r="H8244" t="s">
        <v>16</v>
      </c>
      <c r="I8244" t="s">
        <v>21</v>
      </c>
    </row>
    <row r="8245" spans="1:9" x14ac:dyDescent="0.25">
      <c r="A8245">
        <v>1822</v>
      </c>
      <c r="B8245">
        <f>A8245+1</f>
        <v>1823</v>
      </c>
      <c r="C8245" t="s">
        <v>528</v>
      </c>
      <c r="D8245" t="s">
        <v>27</v>
      </c>
      <c r="E8245" s="208" t="s">
        <v>147</v>
      </c>
      <c r="F8245" t="s">
        <v>1</v>
      </c>
      <c r="G8245" s="18">
        <v>0</v>
      </c>
      <c r="H8245" t="s">
        <v>16</v>
      </c>
      <c r="I8245" t="s">
        <v>21</v>
      </c>
    </row>
    <row r="8246" spans="1:9" x14ac:dyDescent="0.25">
      <c r="A8246">
        <v>1822</v>
      </c>
      <c r="B8246">
        <f>A8246+1</f>
        <v>1823</v>
      </c>
      <c r="C8246" t="s">
        <v>528</v>
      </c>
      <c r="D8246" t="s">
        <v>27</v>
      </c>
      <c r="E8246" s="208" t="s">
        <v>314</v>
      </c>
      <c r="F8246" t="s">
        <v>1</v>
      </c>
      <c r="G8246" s="18">
        <v>0</v>
      </c>
      <c r="H8246" t="s">
        <v>16</v>
      </c>
      <c r="I8246" t="s">
        <v>21</v>
      </c>
    </row>
    <row r="8247" spans="1:9" x14ac:dyDescent="0.25">
      <c r="A8247">
        <v>1822</v>
      </c>
      <c r="B8247">
        <f>A8247+1</f>
        <v>1823</v>
      </c>
      <c r="C8247" t="s">
        <v>528</v>
      </c>
      <c r="D8247" t="s">
        <v>27</v>
      </c>
      <c r="E8247" s="208" t="s">
        <v>139</v>
      </c>
      <c r="F8247" t="s">
        <v>1</v>
      </c>
      <c r="G8247" s="18">
        <v>0</v>
      </c>
      <c r="H8247" t="s">
        <v>16</v>
      </c>
      <c r="I8247" t="s">
        <v>21</v>
      </c>
    </row>
    <row r="8248" spans="1:9" x14ac:dyDescent="0.25">
      <c r="A8248">
        <v>1822</v>
      </c>
      <c r="B8248">
        <f>A8248+1</f>
        <v>1823</v>
      </c>
      <c r="C8248" t="s">
        <v>528</v>
      </c>
      <c r="D8248" t="s">
        <v>27</v>
      </c>
      <c r="E8248" s="208" t="s">
        <v>132</v>
      </c>
      <c r="F8248" t="s">
        <v>1</v>
      </c>
      <c r="G8248" s="18">
        <v>0</v>
      </c>
      <c r="H8248" t="s">
        <v>16</v>
      </c>
      <c r="I8248" t="s">
        <v>21</v>
      </c>
    </row>
    <row r="8249" spans="1:9" x14ac:dyDescent="0.25">
      <c r="A8249">
        <v>1822</v>
      </c>
      <c r="B8249">
        <f>A8249+1</f>
        <v>1823</v>
      </c>
      <c r="C8249" t="s">
        <v>528</v>
      </c>
      <c r="D8249" t="s">
        <v>27</v>
      </c>
      <c r="E8249" s="208" t="s">
        <v>130</v>
      </c>
      <c r="F8249" t="s">
        <v>1</v>
      </c>
      <c r="G8249" s="18">
        <v>0</v>
      </c>
      <c r="H8249" t="s">
        <v>16</v>
      </c>
      <c r="I8249" t="s">
        <v>21</v>
      </c>
    </row>
    <row r="8250" spans="1:9" x14ac:dyDescent="0.25">
      <c r="A8250">
        <v>1822</v>
      </c>
      <c r="B8250">
        <f>A8250+1</f>
        <v>1823</v>
      </c>
      <c r="C8250" t="s">
        <v>528</v>
      </c>
      <c r="D8250" t="s">
        <v>27</v>
      </c>
      <c r="E8250" s="208" t="s">
        <v>144</v>
      </c>
      <c r="F8250" t="s">
        <v>1</v>
      </c>
      <c r="G8250" s="18">
        <v>26</v>
      </c>
      <c r="H8250" t="s">
        <v>16</v>
      </c>
      <c r="I8250" t="s">
        <v>21</v>
      </c>
    </row>
    <row r="8251" spans="1:9" x14ac:dyDescent="0.25">
      <c r="A8251">
        <v>1822</v>
      </c>
      <c r="B8251">
        <f>A8251+1</f>
        <v>1823</v>
      </c>
      <c r="C8251" t="s">
        <v>528</v>
      </c>
      <c r="D8251" t="s">
        <v>27</v>
      </c>
      <c r="E8251" s="208" t="s">
        <v>142</v>
      </c>
      <c r="F8251" t="s">
        <v>1</v>
      </c>
      <c r="G8251" s="18">
        <v>15</v>
      </c>
      <c r="H8251" t="s">
        <v>16</v>
      </c>
      <c r="I8251" t="s">
        <v>21</v>
      </c>
    </row>
    <row r="8252" spans="1:9" x14ac:dyDescent="0.25">
      <c r="A8252">
        <v>1822</v>
      </c>
      <c r="B8252">
        <f>A8252+1</f>
        <v>1823</v>
      </c>
      <c r="C8252" t="s">
        <v>528</v>
      </c>
      <c r="D8252" t="s">
        <v>27</v>
      </c>
      <c r="E8252" s="208" t="s">
        <v>124</v>
      </c>
      <c r="F8252" t="s">
        <v>1</v>
      </c>
      <c r="G8252" s="18">
        <v>350072</v>
      </c>
      <c r="H8252" t="s">
        <v>16</v>
      </c>
      <c r="I8252" t="s">
        <v>21</v>
      </c>
    </row>
    <row r="8253" spans="1:9" x14ac:dyDescent="0.25">
      <c r="A8253">
        <v>1822</v>
      </c>
      <c r="B8253">
        <f>A8253+1</f>
        <v>1823</v>
      </c>
      <c r="C8253" t="s">
        <v>528</v>
      </c>
      <c r="D8253" t="s">
        <v>27</v>
      </c>
      <c r="E8253" s="208" t="s">
        <v>155</v>
      </c>
      <c r="F8253" t="s">
        <v>6</v>
      </c>
      <c r="G8253" s="18">
        <v>0</v>
      </c>
      <c r="H8253" t="s">
        <v>16</v>
      </c>
      <c r="I8253" t="s">
        <v>25</v>
      </c>
    </row>
    <row r="8254" spans="1:9" x14ac:dyDescent="0.25">
      <c r="A8254">
        <v>1822</v>
      </c>
      <c r="B8254">
        <f>A8254+1</f>
        <v>1823</v>
      </c>
      <c r="C8254" t="s">
        <v>528</v>
      </c>
      <c r="D8254" t="s">
        <v>27</v>
      </c>
      <c r="E8254" s="208" t="s">
        <v>156</v>
      </c>
      <c r="F8254" t="s">
        <v>6</v>
      </c>
      <c r="G8254" s="18">
        <v>0</v>
      </c>
      <c r="H8254" t="s">
        <v>16</v>
      </c>
      <c r="I8254" t="s">
        <v>25</v>
      </c>
    </row>
    <row r="8255" spans="1:9" x14ac:dyDescent="0.25">
      <c r="A8255">
        <v>1822</v>
      </c>
      <c r="B8255">
        <f>A8255+1</f>
        <v>1823</v>
      </c>
      <c r="C8255" t="s">
        <v>528</v>
      </c>
      <c r="D8255" t="s">
        <v>27</v>
      </c>
      <c r="E8255" s="208" t="s">
        <v>154</v>
      </c>
      <c r="F8255" t="s">
        <v>6</v>
      </c>
      <c r="G8255" s="18">
        <v>0</v>
      </c>
      <c r="H8255" t="s">
        <v>16</v>
      </c>
      <c r="I8255" t="s">
        <v>25</v>
      </c>
    </row>
    <row r="8256" spans="1:9" x14ac:dyDescent="0.25">
      <c r="A8256">
        <v>1822</v>
      </c>
      <c r="B8256">
        <f>A8256+1</f>
        <v>1823</v>
      </c>
      <c r="C8256" t="s">
        <v>528</v>
      </c>
      <c r="D8256" t="s">
        <v>27</v>
      </c>
      <c r="E8256" s="208" t="s">
        <v>150</v>
      </c>
      <c r="F8256" t="s">
        <v>6</v>
      </c>
      <c r="G8256" s="18">
        <v>1436</v>
      </c>
      <c r="H8256" t="s">
        <v>16</v>
      </c>
      <c r="I8256" t="s">
        <v>25</v>
      </c>
    </row>
    <row r="8257" spans="1:9" x14ac:dyDescent="0.25">
      <c r="A8257">
        <v>1822</v>
      </c>
      <c r="B8257">
        <f>A8257+1</f>
        <v>1823</v>
      </c>
      <c r="C8257" t="s">
        <v>528</v>
      </c>
      <c r="D8257" t="s">
        <v>27</v>
      </c>
      <c r="E8257" s="208" t="s">
        <v>148</v>
      </c>
      <c r="F8257" t="s">
        <v>6</v>
      </c>
      <c r="G8257" s="18">
        <v>173</v>
      </c>
      <c r="H8257" t="s">
        <v>16</v>
      </c>
      <c r="I8257" t="s">
        <v>25</v>
      </c>
    </row>
    <row r="8258" spans="1:9" x14ac:dyDescent="0.25">
      <c r="A8258">
        <v>1822</v>
      </c>
      <c r="B8258">
        <f>A8258+1</f>
        <v>1823</v>
      </c>
      <c r="C8258" t="s">
        <v>528</v>
      </c>
      <c r="D8258" t="s">
        <v>27</v>
      </c>
      <c r="E8258" s="208" t="s">
        <v>147</v>
      </c>
      <c r="F8258" t="s">
        <v>6</v>
      </c>
      <c r="G8258" s="18">
        <v>19</v>
      </c>
      <c r="H8258" t="s">
        <v>16</v>
      </c>
      <c r="I8258" t="s">
        <v>25</v>
      </c>
    </row>
    <row r="8259" spans="1:9" x14ac:dyDescent="0.25">
      <c r="A8259">
        <v>1822</v>
      </c>
      <c r="B8259">
        <f>A8259+1</f>
        <v>1823</v>
      </c>
      <c r="C8259" t="s">
        <v>528</v>
      </c>
      <c r="D8259" t="s">
        <v>27</v>
      </c>
      <c r="E8259" s="208" t="s">
        <v>314</v>
      </c>
      <c r="F8259" t="s">
        <v>6</v>
      </c>
      <c r="G8259" s="18">
        <v>108</v>
      </c>
      <c r="H8259" t="s">
        <v>16</v>
      </c>
      <c r="I8259" t="s">
        <v>25</v>
      </c>
    </row>
    <row r="8260" spans="1:9" x14ac:dyDescent="0.25">
      <c r="A8260">
        <v>1822</v>
      </c>
      <c r="B8260">
        <f>A8260+1</f>
        <v>1823</v>
      </c>
      <c r="C8260" t="s">
        <v>528</v>
      </c>
      <c r="D8260" t="s">
        <v>27</v>
      </c>
      <c r="E8260" s="208" t="s">
        <v>139</v>
      </c>
      <c r="F8260" t="s">
        <v>6</v>
      </c>
      <c r="G8260" s="18">
        <v>0</v>
      </c>
      <c r="H8260" t="s">
        <v>16</v>
      </c>
      <c r="I8260" t="s">
        <v>25</v>
      </c>
    </row>
    <row r="8261" spans="1:9" x14ac:dyDescent="0.25">
      <c r="A8261">
        <v>1822</v>
      </c>
      <c r="B8261">
        <f>A8261+1</f>
        <v>1823</v>
      </c>
      <c r="C8261" t="s">
        <v>528</v>
      </c>
      <c r="D8261" t="s">
        <v>27</v>
      </c>
      <c r="E8261" s="208" t="s">
        <v>132</v>
      </c>
      <c r="F8261" t="s">
        <v>6</v>
      </c>
      <c r="G8261" s="18">
        <v>0</v>
      </c>
      <c r="H8261" t="s">
        <v>16</v>
      </c>
      <c r="I8261" t="s">
        <v>25</v>
      </c>
    </row>
    <row r="8262" spans="1:9" x14ac:dyDescent="0.25">
      <c r="A8262">
        <v>1822</v>
      </c>
      <c r="B8262">
        <f>A8262+1</f>
        <v>1823</v>
      </c>
      <c r="C8262" t="s">
        <v>528</v>
      </c>
      <c r="D8262" t="s">
        <v>27</v>
      </c>
      <c r="E8262" s="208" t="s">
        <v>130</v>
      </c>
      <c r="F8262" t="s">
        <v>6</v>
      </c>
      <c r="G8262" s="18">
        <v>0</v>
      </c>
      <c r="H8262" t="s">
        <v>16</v>
      </c>
      <c r="I8262" t="s">
        <v>25</v>
      </c>
    </row>
    <row r="8263" spans="1:9" x14ac:dyDescent="0.25">
      <c r="A8263">
        <v>1822</v>
      </c>
      <c r="B8263">
        <f>A8263+1</f>
        <v>1823</v>
      </c>
      <c r="C8263" t="s">
        <v>528</v>
      </c>
      <c r="D8263" t="s">
        <v>27</v>
      </c>
      <c r="E8263" s="208" t="s">
        <v>144</v>
      </c>
      <c r="F8263" t="s">
        <v>6</v>
      </c>
      <c r="G8263" s="18">
        <v>0</v>
      </c>
      <c r="H8263" t="s">
        <v>16</v>
      </c>
      <c r="I8263" t="s">
        <v>25</v>
      </c>
    </row>
    <row r="8264" spans="1:9" x14ac:dyDescent="0.25">
      <c r="A8264">
        <v>1822</v>
      </c>
      <c r="B8264">
        <f>A8264+1</f>
        <v>1823</v>
      </c>
      <c r="C8264" t="s">
        <v>528</v>
      </c>
      <c r="D8264" t="s">
        <v>27</v>
      </c>
      <c r="E8264" s="208" t="s">
        <v>142</v>
      </c>
      <c r="F8264" t="s">
        <v>6</v>
      </c>
      <c r="G8264" s="18">
        <v>0</v>
      </c>
      <c r="H8264" t="s">
        <v>16</v>
      </c>
      <c r="I8264" t="s">
        <v>25</v>
      </c>
    </row>
    <row r="8265" spans="1:9" x14ac:dyDescent="0.25">
      <c r="A8265">
        <v>1822</v>
      </c>
      <c r="B8265">
        <f>A8265+1</f>
        <v>1823</v>
      </c>
      <c r="C8265" t="s">
        <v>528</v>
      </c>
      <c r="D8265" t="s">
        <v>27</v>
      </c>
      <c r="E8265" s="208" t="s">
        <v>124</v>
      </c>
      <c r="F8265" t="s">
        <v>6</v>
      </c>
      <c r="G8265" s="18">
        <v>0</v>
      </c>
      <c r="H8265" t="s">
        <v>16</v>
      </c>
      <c r="I8265" t="s">
        <v>25</v>
      </c>
    </row>
    <row r="8266" spans="1:9" x14ac:dyDescent="0.25">
      <c r="A8266">
        <v>1822</v>
      </c>
      <c r="B8266">
        <f>A8266+1</f>
        <v>1823</v>
      </c>
      <c r="C8266" t="s">
        <v>528</v>
      </c>
      <c r="D8266" t="s">
        <v>26</v>
      </c>
      <c r="E8266" s="208" t="s">
        <v>62</v>
      </c>
      <c r="F8266" t="s">
        <v>6</v>
      </c>
      <c r="G8266" s="18">
        <v>1624</v>
      </c>
      <c r="H8266" t="s">
        <v>25</v>
      </c>
      <c r="I8266" t="s">
        <v>16</v>
      </c>
    </row>
    <row r="8267" spans="1:9" x14ac:dyDescent="0.25">
      <c r="A8267">
        <v>1822</v>
      </c>
      <c r="B8267">
        <f>A8267+1</f>
        <v>1823</v>
      </c>
      <c r="C8267" t="s">
        <v>528</v>
      </c>
      <c r="D8267" t="s">
        <v>26</v>
      </c>
      <c r="E8267" s="208" t="s">
        <v>36</v>
      </c>
      <c r="F8267" t="s">
        <v>6</v>
      </c>
      <c r="G8267" s="18">
        <v>0</v>
      </c>
      <c r="H8267" t="s">
        <v>25</v>
      </c>
      <c r="I8267" t="s">
        <v>16</v>
      </c>
    </row>
    <row r="8268" spans="1:9" x14ac:dyDescent="0.25">
      <c r="A8268">
        <v>1822</v>
      </c>
      <c r="B8268">
        <f>A8268+1</f>
        <v>1823</v>
      </c>
      <c r="C8268" t="s">
        <v>528</v>
      </c>
      <c r="D8268" t="s">
        <v>26</v>
      </c>
      <c r="E8268" s="208" t="s">
        <v>35</v>
      </c>
      <c r="F8268" t="s">
        <v>6</v>
      </c>
      <c r="G8268" s="18">
        <v>0</v>
      </c>
      <c r="H8268" t="s">
        <v>25</v>
      </c>
      <c r="I8268" t="s">
        <v>16</v>
      </c>
    </row>
    <row r="8269" spans="1:9" x14ac:dyDescent="0.25">
      <c r="A8269">
        <v>1822</v>
      </c>
      <c r="B8269">
        <f>A8269+1</f>
        <v>1823</v>
      </c>
      <c r="C8269" t="s">
        <v>528</v>
      </c>
      <c r="D8269" t="s">
        <v>26</v>
      </c>
      <c r="E8269" s="208" t="s">
        <v>39</v>
      </c>
      <c r="F8269" t="s">
        <v>6</v>
      </c>
      <c r="G8269" s="18">
        <v>0</v>
      </c>
      <c r="H8269" t="s">
        <v>25</v>
      </c>
      <c r="I8269" t="s">
        <v>16</v>
      </c>
    </row>
    <row r="8270" spans="1:9" x14ac:dyDescent="0.25">
      <c r="A8270">
        <v>1822</v>
      </c>
      <c r="B8270">
        <f>A8270+1</f>
        <v>1823</v>
      </c>
      <c r="C8270" t="s">
        <v>528</v>
      </c>
      <c r="D8270" t="s">
        <v>26</v>
      </c>
      <c r="E8270" s="208" t="s">
        <v>99</v>
      </c>
      <c r="F8270" t="s">
        <v>6</v>
      </c>
      <c r="G8270" s="18">
        <v>0</v>
      </c>
      <c r="H8270" t="s">
        <v>25</v>
      </c>
      <c r="I8270" t="s">
        <v>16</v>
      </c>
    </row>
    <row r="8271" spans="1:9" x14ac:dyDescent="0.25">
      <c r="A8271">
        <v>1822</v>
      </c>
      <c r="B8271">
        <f>A8271+1</f>
        <v>1823</v>
      </c>
      <c r="C8271" t="s">
        <v>528</v>
      </c>
      <c r="D8271" t="s">
        <v>26</v>
      </c>
      <c r="E8271" s="208" t="s">
        <v>95</v>
      </c>
      <c r="F8271" t="s">
        <v>6</v>
      </c>
      <c r="G8271" s="18">
        <v>0</v>
      </c>
      <c r="H8271" t="s">
        <v>25</v>
      </c>
      <c r="I8271" t="s">
        <v>16</v>
      </c>
    </row>
    <row r="8272" spans="1:9" x14ac:dyDescent="0.25">
      <c r="A8272">
        <v>1822</v>
      </c>
      <c r="B8272">
        <f>A8272+1</f>
        <v>1823</v>
      </c>
      <c r="C8272" t="s">
        <v>528</v>
      </c>
      <c r="D8272" t="s">
        <v>26</v>
      </c>
      <c r="E8272" s="208" t="s">
        <v>94</v>
      </c>
      <c r="F8272" t="s">
        <v>6</v>
      </c>
      <c r="G8272" s="18">
        <v>19</v>
      </c>
      <c r="H8272" t="s">
        <v>25</v>
      </c>
      <c r="I8272" t="s">
        <v>16</v>
      </c>
    </row>
    <row r="8273" spans="1:9" x14ac:dyDescent="0.25">
      <c r="A8273">
        <v>1822</v>
      </c>
      <c r="B8273">
        <f>A8273+1</f>
        <v>1823</v>
      </c>
      <c r="C8273" t="s">
        <v>528</v>
      </c>
      <c r="D8273" t="s">
        <v>26</v>
      </c>
      <c r="E8273" s="208" t="s">
        <v>386</v>
      </c>
      <c r="F8273" t="s">
        <v>6</v>
      </c>
      <c r="G8273" s="18">
        <v>3615</v>
      </c>
      <c r="H8273" t="s">
        <v>25</v>
      </c>
      <c r="I8273" t="s">
        <v>16</v>
      </c>
    </row>
    <row r="8274" spans="1:9" x14ac:dyDescent="0.25">
      <c r="A8274">
        <v>1822</v>
      </c>
      <c r="B8274">
        <f>A8274+1</f>
        <v>1823</v>
      </c>
      <c r="C8274" t="s">
        <v>528</v>
      </c>
      <c r="D8274" t="s">
        <v>26</v>
      </c>
      <c r="E8274" s="208" t="s">
        <v>387</v>
      </c>
      <c r="F8274" t="s">
        <v>6</v>
      </c>
      <c r="G8274" s="18">
        <v>461</v>
      </c>
      <c r="H8274" t="s">
        <v>25</v>
      </c>
      <c r="I8274" t="s">
        <v>16</v>
      </c>
    </row>
    <row r="8275" spans="1:9" x14ac:dyDescent="0.25">
      <c r="A8275">
        <v>1822</v>
      </c>
      <c r="B8275">
        <f>A8275+1</f>
        <v>1823</v>
      </c>
      <c r="C8275" t="s">
        <v>528</v>
      </c>
      <c r="D8275" t="s">
        <v>26</v>
      </c>
      <c r="E8275" s="208" t="s">
        <v>388</v>
      </c>
      <c r="F8275" t="s">
        <v>6</v>
      </c>
      <c r="G8275" s="18">
        <v>310</v>
      </c>
      <c r="H8275" t="s">
        <v>25</v>
      </c>
      <c r="I8275" t="s">
        <v>16</v>
      </c>
    </row>
    <row r="8276" spans="1:9" x14ac:dyDescent="0.25">
      <c r="A8276">
        <v>1822</v>
      </c>
      <c r="B8276">
        <f>A8276+1</f>
        <v>1823</v>
      </c>
      <c r="C8276" t="s">
        <v>528</v>
      </c>
      <c r="D8276" t="s">
        <v>26</v>
      </c>
      <c r="E8276" s="208" t="s">
        <v>383</v>
      </c>
      <c r="F8276" t="s">
        <v>6</v>
      </c>
      <c r="G8276" s="18">
        <v>51</v>
      </c>
      <c r="H8276" t="s">
        <v>25</v>
      </c>
      <c r="I8276" t="s">
        <v>16</v>
      </c>
    </row>
    <row r="8277" spans="1:9" x14ac:dyDescent="0.25">
      <c r="A8277">
        <v>1822</v>
      </c>
      <c r="B8277">
        <f>A8277+1</f>
        <v>1823</v>
      </c>
      <c r="C8277" t="s">
        <v>528</v>
      </c>
      <c r="D8277" t="s">
        <v>26</v>
      </c>
      <c r="E8277" s="208" t="s">
        <v>384</v>
      </c>
      <c r="F8277" t="s">
        <v>6</v>
      </c>
      <c r="G8277" s="18">
        <v>39</v>
      </c>
      <c r="H8277" t="s">
        <v>25</v>
      </c>
      <c r="I8277" t="s">
        <v>16</v>
      </c>
    </row>
    <row r="8278" spans="1:9" x14ac:dyDescent="0.25">
      <c r="A8278">
        <v>1822</v>
      </c>
      <c r="B8278">
        <f>A8278+1</f>
        <v>1823</v>
      </c>
      <c r="C8278" t="s">
        <v>528</v>
      </c>
      <c r="D8278" t="s">
        <v>26</v>
      </c>
      <c r="E8278" s="208" t="s">
        <v>107</v>
      </c>
      <c r="F8278" t="s">
        <v>6</v>
      </c>
      <c r="G8278" s="18">
        <v>0</v>
      </c>
      <c r="H8278" t="s">
        <v>25</v>
      </c>
      <c r="I8278" t="s">
        <v>16</v>
      </c>
    </row>
    <row r="8279" spans="1:9" x14ac:dyDescent="0.25">
      <c r="A8279">
        <v>1822</v>
      </c>
      <c r="B8279">
        <f>A8279+1</f>
        <v>1823</v>
      </c>
      <c r="C8279" t="s">
        <v>528</v>
      </c>
      <c r="D8279" t="s">
        <v>26</v>
      </c>
      <c r="E8279" s="208" t="s">
        <v>101</v>
      </c>
      <c r="F8279" t="s">
        <v>6</v>
      </c>
      <c r="G8279" s="18">
        <v>0</v>
      </c>
      <c r="H8279" t="s">
        <v>25</v>
      </c>
      <c r="I8279" t="s">
        <v>16</v>
      </c>
    </row>
    <row r="8280" spans="1:9" x14ac:dyDescent="0.25">
      <c r="A8280">
        <v>1822</v>
      </c>
      <c r="B8280">
        <f>A8280+1</f>
        <v>1823</v>
      </c>
      <c r="C8280" t="s">
        <v>528</v>
      </c>
      <c r="D8280" t="s">
        <v>26</v>
      </c>
      <c r="E8280" s="208" t="s">
        <v>75</v>
      </c>
      <c r="F8280" t="s">
        <v>6</v>
      </c>
      <c r="G8280" s="18">
        <v>0</v>
      </c>
      <c r="H8280" t="s">
        <v>25</v>
      </c>
      <c r="I8280" t="s">
        <v>16</v>
      </c>
    </row>
    <row r="8281" spans="1:9" x14ac:dyDescent="0.25">
      <c r="A8281">
        <v>1822</v>
      </c>
      <c r="B8281">
        <f>A8281+1</f>
        <v>1823</v>
      </c>
      <c r="C8281" t="s">
        <v>528</v>
      </c>
      <c r="D8281" t="s">
        <v>26</v>
      </c>
      <c r="E8281" s="208" t="s">
        <v>330</v>
      </c>
      <c r="F8281" t="s">
        <v>6</v>
      </c>
      <c r="G8281" s="18">
        <v>248</v>
      </c>
      <c r="H8281" t="s">
        <v>25</v>
      </c>
      <c r="I8281" t="s">
        <v>16</v>
      </c>
    </row>
    <row r="8282" spans="1:9" x14ac:dyDescent="0.25">
      <c r="A8282">
        <v>1822</v>
      </c>
      <c r="B8282">
        <f>A8282+1</f>
        <v>1823</v>
      </c>
      <c r="C8282" t="s">
        <v>528</v>
      </c>
      <c r="D8282" t="s">
        <v>26</v>
      </c>
      <c r="E8282" s="208" t="s">
        <v>331</v>
      </c>
      <c r="F8282" t="s">
        <v>6</v>
      </c>
      <c r="G8282" s="18">
        <v>174</v>
      </c>
      <c r="H8282" t="s">
        <v>25</v>
      </c>
      <c r="I8282" t="s">
        <v>16</v>
      </c>
    </row>
    <row r="8283" spans="1:9" x14ac:dyDescent="0.25">
      <c r="A8283">
        <v>1822</v>
      </c>
      <c r="B8283">
        <f>A8283+1</f>
        <v>1823</v>
      </c>
      <c r="C8283" t="s">
        <v>528</v>
      </c>
      <c r="D8283" t="s">
        <v>26</v>
      </c>
      <c r="E8283" s="208" t="s">
        <v>332</v>
      </c>
      <c r="F8283" t="s">
        <v>6</v>
      </c>
      <c r="G8283" s="18">
        <v>177</v>
      </c>
      <c r="H8283" t="s">
        <v>25</v>
      </c>
      <c r="I8283" t="s">
        <v>16</v>
      </c>
    </row>
    <row r="8284" spans="1:9" x14ac:dyDescent="0.25">
      <c r="A8284">
        <v>1822</v>
      </c>
      <c r="B8284">
        <f>A8284+1</f>
        <v>1823</v>
      </c>
      <c r="C8284" t="s">
        <v>528</v>
      </c>
      <c r="D8284" t="s">
        <v>26</v>
      </c>
      <c r="E8284" s="208" t="s">
        <v>333</v>
      </c>
      <c r="F8284" t="s">
        <v>6</v>
      </c>
      <c r="G8284" s="18">
        <v>19</v>
      </c>
      <c r="H8284" t="s">
        <v>25</v>
      </c>
      <c r="I8284" t="s">
        <v>16</v>
      </c>
    </row>
    <row r="8285" spans="1:9" x14ac:dyDescent="0.25">
      <c r="A8285">
        <v>1822</v>
      </c>
      <c r="B8285">
        <f>A8285+1</f>
        <v>1823</v>
      </c>
      <c r="C8285" t="s">
        <v>528</v>
      </c>
      <c r="D8285" t="s">
        <v>27</v>
      </c>
      <c r="E8285" s="208" t="s">
        <v>155</v>
      </c>
      <c r="F8285" t="s">
        <v>4</v>
      </c>
      <c r="G8285" s="18">
        <v>469</v>
      </c>
      <c r="H8285" t="s">
        <v>16</v>
      </c>
      <c r="I8285" t="s">
        <v>23</v>
      </c>
    </row>
    <row r="8286" spans="1:9" x14ac:dyDescent="0.25">
      <c r="A8286">
        <v>1822</v>
      </c>
      <c r="B8286">
        <f>A8286+1</f>
        <v>1823</v>
      </c>
      <c r="C8286" t="s">
        <v>528</v>
      </c>
      <c r="D8286" t="s">
        <v>27</v>
      </c>
      <c r="E8286" s="208" t="s">
        <v>156</v>
      </c>
      <c r="F8286" t="s">
        <v>4</v>
      </c>
      <c r="G8286" s="18">
        <v>85</v>
      </c>
      <c r="H8286" t="s">
        <v>16</v>
      </c>
      <c r="I8286" t="s">
        <v>23</v>
      </c>
    </row>
    <row r="8287" spans="1:9" x14ac:dyDescent="0.25">
      <c r="A8287">
        <v>1822</v>
      </c>
      <c r="B8287">
        <f>A8287+1</f>
        <v>1823</v>
      </c>
      <c r="C8287" t="s">
        <v>528</v>
      </c>
      <c r="D8287" t="s">
        <v>27</v>
      </c>
      <c r="E8287" s="208" t="s">
        <v>154</v>
      </c>
      <c r="F8287" t="s">
        <v>4</v>
      </c>
      <c r="G8287" s="18">
        <v>180</v>
      </c>
      <c r="H8287" t="s">
        <v>16</v>
      </c>
      <c r="I8287" t="s">
        <v>23</v>
      </c>
    </row>
    <row r="8288" spans="1:9" x14ac:dyDescent="0.25">
      <c r="A8288">
        <v>1822</v>
      </c>
      <c r="B8288">
        <f>A8288+1</f>
        <v>1823</v>
      </c>
      <c r="C8288" t="s">
        <v>528</v>
      </c>
      <c r="D8288" t="s">
        <v>27</v>
      </c>
      <c r="E8288" s="208" t="s">
        <v>150</v>
      </c>
      <c r="F8288" t="s">
        <v>4</v>
      </c>
      <c r="G8288" s="18">
        <v>404</v>
      </c>
      <c r="H8288" t="s">
        <v>16</v>
      </c>
      <c r="I8288" t="s">
        <v>23</v>
      </c>
    </row>
    <row r="8289" spans="1:9" x14ac:dyDescent="0.25">
      <c r="A8289">
        <v>1822</v>
      </c>
      <c r="B8289">
        <f>A8289+1</f>
        <v>1823</v>
      </c>
      <c r="C8289" t="s">
        <v>528</v>
      </c>
      <c r="D8289" t="s">
        <v>27</v>
      </c>
      <c r="E8289" s="208" t="s">
        <v>148</v>
      </c>
      <c r="F8289" t="s">
        <v>4</v>
      </c>
      <c r="G8289" s="18">
        <v>2</v>
      </c>
      <c r="H8289" t="s">
        <v>16</v>
      </c>
      <c r="I8289" t="s">
        <v>23</v>
      </c>
    </row>
    <row r="8290" spans="1:9" x14ac:dyDescent="0.25">
      <c r="A8290">
        <v>1822</v>
      </c>
      <c r="B8290">
        <f>A8290+1</f>
        <v>1823</v>
      </c>
      <c r="C8290" t="s">
        <v>528</v>
      </c>
      <c r="D8290" t="s">
        <v>27</v>
      </c>
      <c r="E8290" s="208" t="s">
        <v>147</v>
      </c>
      <c r="F8290" t="s">
        <v>4</v>
      </c>
      <c r="G8290" s="18">
        <v>0</v>
      </c>
      <c r="H8290" t="s">
        <v>16</v>
      </c>
      <c r="I8290" t="s">
        <v>23</v>
      </c>
    </row>
    <row r="8291" spans="1:9" x14ac:dyDescent="0.25">
      <c r="A8291">
        <v>1822</v>
      </c>
      <c r="B8291">
        <f>A8291+1</f>
        <v>1823</v>
      </c>
      <c r="C8291" t="s">
        <v>528</v>
      </c>
      <c r="D8291" t="s">
        <v>27</v>
      </c>
      <c r="E8291" s="208" t="s">
        <v>314</v>
      </c>
      <c r="F8291" t="s">
        <v>4</v>
      </c>
      <c r="G8291" s="18">
        <v>0</v>
      </c>
      <c r="H8291" t="s">
        <v>16</v>
      </c>
      <c r="I8291" t="s">
        <v>23</v>
      </c>
    </row>
    <row r="8292" spans="1:9" x14ac:dyDescent="0.25">
      <c r="A8292">
        <v>1822</v>
      </c>
      <c r="B8292">
        <f>A8292+1</f>
        <v>1823</v>
      </c>
      <c r="C8292" t="s">
        <v>528</v>
      </c>
      <c r="D8292" t="s">
        <v>27</v>
      </c>
      <c r="E8292" s="208" t="s">
        <v>139</v>
      </c>
      <c r="F8292" t="s">
        <v>4</v>
      </c>
      <c r="G8292" s="18">
        <v>60</v>
      </c>
      <c r="H8292" t="s">
        <v>16</v>
      </c>
      <c r="I8292" t="s">
        <v>23</v>
      </c>
    </row>
    <row r="8293" spans="1:9" x14ac:dyDescent="0.25">
      <c r="A8293">
        <v>1822</v>
      </c>
      <c r="B8293">
        <f>A8293+1</f>
        <v>1823</v>
      </c>
      <c r="C8293" t="s">
        <v>528</v>
      </c>
      <c r="D8293" t="s">
        <v>27</v>
      </c>
      <c r="E8293" s="208" t="s">
        <v>132</v>
      </c>
      <c r="F8293" t="s">
        <v>4</v>
      </c>
      <c r="G8293" s="18">
        <v>0</v>
      </c>
      <c r="H8293" t="s">
        <v>16</v>
      </c>
      <c r="I8293" t="s">
        <v>23</v>
      </c>
    </row>
    <row r="8294" spans="1:9" x14ac:dyDescent="0.25">
      <c r="A8294">
        <v>1822</v>
      </c>
      <c r="B8294">
        <f>A8294+1</f>
        <v>1823</v>
      </c>
      <c r="C8294" t="s">
        <v>528</v>
      </c>
      <c r="D8294" t="s">
        <v>27</v>
      </c>
      <c r="E8294" s="208" t="s">
        <v>130</v>
      </c>
      <c r="F8294" t="s">
        <v>4</v>
      </c>
      <c r="G8294" s="18">
        <v>2</v>
      </c>
      <c r="H8294" t="s">
        <v>16</v>
      </c>
      <c r="I8294" t="s">
        <v>23</v>
      </c>
    </row>
    <row r="8295" spans="1:9" x14ac:dyDescent="0.25">
      <c r="A8295">
        <v>1822</v>
      </c>
      <c r="B8295">
        <f>A8295+1</f>
        <v>1823</v>
      </c>
      <c r="C8295" t="s">
        <v>528</v>
      </c>
      <c r="D8295" t="s">
        <v>27</v>
      </c>
      <c r="E8295" s="208" t="s">
        <v>144</v>
      </c>
      <c r="F8295" t="s">
        <v>4</v>
      </c>
      <c r="G8295" s="18">
        <v>96</v>
      </c>
      <c r="H8295" t="s">
        <v>16</v>
      </c>
      <c r="I8295" t="s">
        <v>23</v>
      </c>
    </row>
    <row r="8296" spans="1:9" x14ac:dyDescent="0.25">
      <c r="A8296">
        <v>1822</v>
      </c>
      <c r="B8296">
        <f>A8296+1</f>
        <v>1823</v>
      </c>
      <c r="C8296" t="s">
        <v>528</v>
      </c>
      <c r="D8296" t="s">
        <v>27</v>
      </c>
      <c r="E8296" s="208" t="s">
        <v>142</v>
      </c>
      <c r="F8296" t="s">
        <v>4</v>
      </c>
      <c r="G8296" s="18">
        <v>610</v>
      </c>
      <c r="H8296" t="s">
        <v>16</v>
      </c>
      <c r="I8296" t="s">
        <v>23</v>
      </c>
    </row>
    <row r="8297" spans="1:9" x14ac:dyDescent="0.25">
      <c r="A8297">
        <v>1822</v>
      </c>
      <c r="B8297">
        <f>A8297+1</f>
        <v>1823</v>
      </c>
      <c r="C8297" t="s">
        <v>528</v>
      </c>
      <c r="D8297" t="s">
        <v>27</v>
      </c>
      <c r="E8297" s="208" t="s">
        <v>124</v>
      </c>
      <c r="F8297" t="s">
        <v>4</v>
      </c>
      <c r="G8297" s="18">
        <v>478925</v>
      </c>
      <c r="H8297" t="s">
        <v>16</v>
      </c>
      <c r="I8297" t="s">
        <v>23</v>
      </c>
    </row>
    <row r="8298" spans="1:9" x14ac:dyDescent="0.25">
      <c r="A8298">
        <v>1822</v>
      </c>
      <c r="B8298">
        <f>A8298+1</f>
        <v>1823</v>
      </c>
      <c r="C8298" t="s">
        <v>528</v>
      </c>
      <c r="D8298" t="s">
        <v>26</v>
      </c>
      <c r="E8298" s="208" t="s">
        <v>62</v>
      </c>
      <c r="F8298" t="s">
        <v>4</v>
      </c>
      <c r="G8298" s="18">
        <v>43428</v>
      </c>
      <c r="H8298" t="s">
        <v>23</v>
      </c>
      <c r="I8298" t="s">
        <v>16</v>
      </c>
    </row>
    <row r="8299" spans="1:9" x14ac:dyDescent="0.25">
      <c r="A8299">
        <v>1822</v>
      </c>
      <c r="B8299">
        <f>A8299+1</f>
        <v>1823</v>
      </c>
      <c r="C8299" t="s">
        <v>528</v>
      </c>
      <c r="D8299" t="s">
        <v>26</v>
      </c>
      <c r="E8299" s="208" t="s">
        <v>36</v>
      </c>
      <c r="F8299" t="s">
        <v>4</v>
      </c>
      <c r="G8299" s="18">
        <v>2931</v>
      </c>
      <c r="H8299" t="s">
        <v>23</v>
      </c>
      <c r="I8299" t="s">
        <v>16</v>
      </c>
    </row>
    <row r="8300" spans="1:9" x14ac:dyDescent="0.25">
      <c r="A8300">
        <v>1822</v>
      </c>
      <c r="B8300">
        <f>A8300+1</f>
        <v>1823</v>
      </c>
      <c r="C8300" t="s">
        <v>528</v>
      </c>
      <c r="D8300" t="s">
        <v>26</v>
      </c>
      <c r="E8300" s="208" t="s">
        <v>35</v>
      </c>
      <c r="F8300" t="s">
        <v>4</v>
      </c>
      <c r="G8300" s="18">
        <v>0</v>
      </c>
      <c r="H8300" t="s">
        <v>23</v>
      </c>
      <c r="I8300" t="s">
        <v>16</v>
      </c>
    </row>
    <row r="8301" spans="1:9" x14ac:dyDescent="0.25">
      <c r="A8301">
        <v>1822</v>
      </c>
      <c r="B8301">
        <f>A8301+1</f>
        <v>1823</v>
      </c>
      <c r="C8301" t="s">
        <v>528</v>
      </c>
      <c r="D8301" t="s">
        <v>26</v>
      </c>
      <c r="E8301" s="208" t="s">
        <v>39</v>
      </c>
      <c r="F8301" t="s">
        <v>4</v>
      </c>
      <c r="G8301" s="18">
        <v>2861</v>
      </c>
      <c r="H8301" t="s">
        <v>23</v>
      </c>
      <c r="I8301" t="s">
        <v>16</v>
      </c>
    </row>
    <row r="8302" spans="1:9" x14ac:dyDescent="0.25">
      <c r="A8302">
        <v>1822</v>
      </c>
      <c r="B8302">
        <f>A8302+1</f>
        <v>1823</v>
      </c>
      <c r="C8302" t="s">
        <v>528</v>
      </c>
      <c r="D8302" t="s">
        <v>26</v>
      </c>
      <c r="E8302" s="208" t="s">
        <v>99</v>
      </c>
      <c r="F8302" t="s">
        <v>4</v>
      </c>
      <c r="G8302" s="18">
        <v>1122</v>
      </c>
      <c r="H8302" t="s">
        <v>23</v>
      </c>
      <c r="I8302" t="s">
        <v>16</v>
      </c>
    </row>
    <row r="8303" spans="1:9" x14ac:dyDescent="0.25">
      <c r="A8303">
        <v>1822</v>
      </c>
      <c r="B8303">
        <f>A8303+1</f>
        <v>1823</v>
      </c>
      <c r="C8303" t="s">
        <v>528</v>
      </c>
      <c r="D8303" t="s">
        <v>26</v>
      </c>
      <c r="E8303" s="208" t="s">
        <v>95</v>
      </c>
      <c r="F8303" t="s">
        <v>4</v>
      </c>
      <c r="G8303" s="18">
        <v>20</v>
      </c>
      <c r="H8303" t="s">
        <v>23</v>
      </c>
      <c r="I8303" t="s">
        <v>16</v>
      </c>
    </row>
    <row r="8304" spans="1:9" x14ac:dyDescent="0.25">
      <c r="A8304">
        <v>1822</v>
      </c>
      <c r="B8304">
        <f>A8304+1</f>
        <v>1823</v>
      </c>
      <c r="C8304" t="s">
        <v>528</v>
      </c>
      <c r="D8304" t="s">
        <v>26</v>
      </c>
      <c r="E8304" s="208" t="s">
        <v>94</v>
      </c>
      <c r="F8304" t="s">
        <v>4</v>
      </c>
      <c r="G8304" s="18">
        <v>450</v>
      </c>
      <c r="H8304" t="s">
        <v>23</v>
      </c>
      <c r="I8304" t="s">
        <v>16</v>
      </c>
    </row>
    <row r="8305" spans="1:9" x14ac:dyDescent="0.25">
      <c r="A8305">
        <v>1822</v>
      </c>
      <c r="B8305">
        <f>A8305+1</f>
        <v>1823</v>
      </c>
      <c r="C8305" t="s">
        <v>528</v>
      </c>
      <c r="D8305" t="s">
        <v>26</v>
      </c>
      <c r="E8305" s="208" t="s">
        <v>386</v>
      </c>
      <c r="F8305" t="s">
        <v>4</v>
      </c>
      <c r="G8305" s="18">
        <v>25191</v>
      </c>
      <c r="H8305" t="s">
        <v>23</v>
      </c>
      <c r="I8305" t="s">
        <v>16</v>
      </c>
    </row>
    <row r="8306" spans="1:9" x14ac:dyDescent="0.25">
      <c r="A8306">
        <v>1822</v>
      </c>
      <c r="B8306">
        <f>A8306+1</f>
        <v>1823</v>
      </c>
      <c r="C8306" t="s">
        <v>528</v>
      </c>
      <c r="D8306" t="s">
        <v>26</v>
      </c>
      <c r="E8306" s="208" t="s">
        <v>387</v>
      </c>
      <c r="F8306" t="s">
        <v>4</v>
      </c>
      <c r="G8306" s="18">
        <v>3931</v>
      </c>
      <c r="H8306" t="s">
        <v>23</v>
      </c>
      <c r="I8306" t="s">
        <v>16</v>
      </c>
    </row>
    <row r="8307" spans="1:9" x14ac:dyDescent="0.25">
      <c r="A8307">
        <v>1822</v>
      </c>
      <c r="B8307">
        <f>A8307+1</f>
        <v>1823</v>
      </c>
      <c r="C8307" t="s">
        <v>528</v>
      </c>
      <c r="D8307" t="s">
        <v>26</v>
      </c>
      <c r="E8307" s="208" t="s">
        <v>388</v>
      </c>
      <c r="F8307" t="s">
        <v>4</v>
      </c>
      <c r="G8307" s="18">
        <v>7186</v>
      </c>
      <c r="H8307" t="s">
        <v>23</v>
      </c>
      <c r="I8307" t="s">
        <v>16</v>
      </c>
    </row>
    <row r="8308" spans="1:9" x14ac:dyDescent="0.25">
      <c r="A8308">
        <v>1822</v>
      </c>
      <c r="B8308">
        <f>A8308+1</f>
        <v>1823</v>
      </c>
      <c r="C8308" t="s">
        <v>528</v>
      </c>
      <c r="D8308" t="s">
        <v>26</v>
      </c>
      <c r="E8308" s="208" t="s">
        <v>383</v>
      </c>
      <c r="F8308" t="s">
        <v>4</v>
      </c>
      <c r="G8308" s="18">
        <v>438</v>
      </c>
      <c r="H8308" t="s">
        <v>23</v>
      </c>
      <c r="I8308" t="s">
        <v>16</v>
      </c>
    </row>
    <row r="8309" spans="1:9" x14ac:dyDescent="0.25">
      <c r="A8309">
        <v>1822</v>
      </c>
      <c r="B8309">
        <f>A8309+1</f>
        <v>1823</v>
      </c>
      <c r="C8309" t="s">
        <v>528</v>
      </c>
      <c r="D8309" t="s">
        <v>26</v>
      </c>
      <c r="E8309" s="208" t="s">
        <v>384</v>
      </c>
      <c r="F8309" t="s">
        <v>4</v>
      </c>
      <c r="G8309" s="18">
        <v>1309</v>
      </c>
      <c r="H8309" t="s">
        <v>23</v>
      </c>
      <c r="I8309" t="s">
        <v>16</v>
      </c>
    </row>
    <row r="8310" spans="1:9" x14ac:dyDescent="0.25">
      <c r="A8310">
        <v>1822</v>
      </c>
      <c r="B8310">
        <f>A8310+1</f>
        <v>1823</v>
      </c>
      <c r="C8310" t="s">
        <v>528</v>
      </c>
      <c r="D8310" t="s">
        <v>26</v>
      </c>
      <c r="E8310" s="208" t="s">
        <v>567</v>
      </c>
      <c r="F8310" t="s">
        <v>3</v>
      </c>
      <c r="G8310" s="18">
        <v>21724</v>
      </c>
      <c r="H8310" t="s">
        <v>24</v>
      </c>
      <c r="I8310" t="s">
        <v>16</v>
      </c>
    </row>
    <row r="8311" spans="1:9" x14ac:dyDescent="0.25">
      <c r="A8311">
        <v>1822</v>
      </c>
      <c r="B8311">
        <f>A8311+1</f>
        <v>1823</v>
      </c>
      <c r="C8311" t="s">
        <v>528</v>
      </c>
      <c r="D8311" t="s">
        <v>26</v>
      </c>
      <c r="E8311" s="208" t="s">
        <v>107</v>
      </c>
      <c r="F8311" t="s">
        <v>4</v>
      </c>
      <c r="G8311" s="18">
        <v>1141092</v>
      </c>
      <c r="H8311" t="s">
        <v>23</v>
      </c>
      <c r="I8311" t="s">
        <v>16</v>
      </c>
    </row>
    <row r="8312" spans="1:9" x14ac:dyDescent="0.25">
      <c r="A8312">
        <v>1822</v>
      </c>
      <c r="B8312">
        <f>A8312+1</f>
        <v>1823</v>
      </c>
      <c r="C8312" t="s">
        <v>528</v>
      </c>
      <c r="D8312" t="s">
        <v>26</v>
      </c>
      <c r="E8312" s="208" t="s">
        <v>101</v>
      </c>
      <c r="F8312" t="s">
        <v>4</v>
      </c>
      <c r="G8312" s="18">
        <v>3028435</v>
      </c>
      <c r="H8312" t="s">
        <v>23</v>
      </c>
      <c r="I8312" t="s">
        <v>16</v>
      </c>
    </row>
    <row r="8313" spans="1:9" x14ac:dyDescent="0.25">
      <c r="A8313">
        <v>1822</v>
      </c>
      <c r="B8313">
        <f>A8313+1</f>
        <v>1823</v>
      </c>
      <c r="C8313" t="s">
        <v>528</v>
      </c>
      <c r="D8313" t="s">
        <v>26</v>
      </c>
      <c r="E8313" s="208" t="s">
        <v>75</v>
      </c>
      <c r="F8313" t="s">
        <v>4</v>
      </c>
      <c r="G8313" s="18">
        <v>2248889</v>
      </c>
      <c r="H8313" t="s">
        <v>23</v>
      </c>
      <c r="I8313" t="s">
        <v>16</v>
      </c>
    </row>
    <row r="8314" spans="1:9" x14ac:dyDescent="0.25">
      <c r="A8314">
        <v>1822</v>
      </c>
      <c r="B8314">
        <f>A8314+1</f>
        <v>1823</v>
      </c>
      <c r="C8314" t="s">
        <v>528</v>
      </c>
      <c r="D8314" t="s">
        <v>26</v>
      </c>
      <c r="E8314" s="208" t="s">
        <v>330</v>
      </c>
      <c r="F8314" t="s">
        <v>4</v>
      </c>
      <c r="G8314" s="18">
        <v>22</v>
      </c>
      <c r="H8314" t="s">
        <v>23</v>
      </c>
      <c r="I8314" t="s">
        <v>16</v>
      </c>
    </row>
    <row r="8315" spans="1:9" x14ac:dyDescent="0.25">
      <c r="A8315">
        <v>1822</v>
      </c>
      <c r="B8315">
        <f>A8315+1</f>
        <v>1823</v>
      </c>
      <c r="C8315" t="s">
        <v>528</v>
      </c>
      <c r="D8315" t="s">
        <v>26</v>
      </c>
      <c r="E8315" s="208" t="s">
        <v>331</v>
      </c>
      <c r="F8315" t="s">
        <v>4</v>
      </c>
      <c r="G8315" s="18">
        <v>0</v>
      </c>
      <c r="H8315" t="s">
        <v>23</v>
      </c>
      <c r="I8315" t="s">
        <v>16</v>
      </c>
    </row>
    <row r="8316" spans="1:9" x14ac:dyDescent="0.25">
      <c r="A8316">
        <v>1822</v>
      </c>
      <c r="B8316">
        <f>A8316+1</f>
        <v>1823</v>
      </c>
      <c r="C8316" t="s">
        <v>528</v>
      </c>
      <c r="D8316" t="s">
        <v>26</v>
      </c>
      <c r="E8316" s="208" t="s">
        <v>332</v>
      </c>
      <c r="F8316" t="s">
        <v>4</v>
      </c>
      <c r="G8316" s="18">
        <v>0</v>
      </c>
      <c r="H8316" t="s">
        <v>23</v>
      </c>
      <c r="I8316" t="s">
        <v>16</v>
      </c>
    </row>
    <row r="8317" spans="1:9" x14ac:dyDescent="0.25">
      <c r="A8317">
        <v>1822</v>
      </c>
      <c r="B8317">
        <f>A8317+1</f>
        <v>1823</v>
      </c>
      <c r="C8317" t="s">
        <v>528</v>
      </c>
      <c r="D8317" t="s">
        <v>26</v>
      </c>
      <c r="E8317" s="208" t="s">
        <v>333</v>
      </c>
      <c r="F8317" t="s">
        <v>4</v>
      </c>
      <c r="G8317" s="18">
        <v>27</v>
      </c>
      <c r="H8317" t="s">
        <v>23</v>
      </c>
      <c r="I8317" t="s">
        <v>16</v>
      </c>
    </row>
    <row r="8318" spans="1:9" x14ac:dyDescent="0.25">
      <c r="A8318">
        <v>1822</v>
      </c>
      <c r="B8318">
        <f>A8318+1</f>
        <v>1823</v>
      </c>
      <c r="C8318" t="s">
        <v>528</v>
      </c>
      <c r="D8318" t="s">
        <v>27</v>
      </c>
      <c r="E8318" s="208" t="s">
        <v>155</v>
      </c>
      <c r="F8318" t="s">
        <v>7</v>
      </c>
      <c r="G8318" s="18">
        <v>23975</v>
      </c>
      <c r="H8318" t="s">
        <v>16</v>
      </c>
      <c r="I8318" s="151" t="s">
        <v>562</v>
      </c>
    </row>
    <row r="8319" spans="1:9" x14ac:dyDescent="0.25">
      <c r="A8319">
        <v>1822</v>
      </c>
      <c r="B8319">
        <f>A8319+1</f>
        <v>1823</v>
      </c>
      <c r="C8319" t="s">
        <v>528</v>
      </c>
      <c r="D8319" t="s">
        <v>27</v>
      </c>
      <c r="E8319" s="208" t="s">
        <v>156</v>
      </c>
      <c r="F8319" t="s">
        <v>7</v>
      </c>
      <c r="G8319" s="18">
        <v>1751</v>
      </c>
      <c r="H8319" t="s">
        <v>16</v>
      </c>
      <c r="I8319" s="151" t="s">
        <v>562</v>
      </c>
    </row>
    <row r="8320" spans="1:9" x14ac:dyDescent="0.25">
      <c r="A8320">
        <v>1822</v>
      </c>
      <c r="B8320">
        <f>A8320+1</f>
        <v>1823</v>
      </c>
      <c r="C8320" t="s">
        <v>528</v>
      </c>
      <c r="D8320" t="s">
        <v>27</v>
      </c>
      <c r="E8320" s="208" t="s">
        <v>154</v>
      </c>
      <c r="F8320" t="s">
        <v>7</v>
      </c>
      <c r="G8320" s="18">
        <v>1021</v>
      </c>
      <c r="H8320" t="s">
        <v>16</v>
      </c>
      <c r="I8320" s="151" t="s">
        <v>562</v>
      </c>
    </row>
    <row r="8321" spans="1:9" x14ac:dyDescent="0.25">
      <c r="A8321">
        <v>1822</v>
      </c>
      <c r="B8321">
        <f>A8321+1</f>
        <v>1823</v>
      </c>
      <c r="C8321" t="s">
        <v>528</v>
      </c>
      <c r="D8321" t="s">
        <v>27</v>
      </c>
      <c r="E8321" s="208" t="s">
        <v>150</v>
      </c>
      <c r="F8321" t="s">
        <v>7</v>
      </c>
      <c r="G8321" s="18">
        <v>8137</v>
      </c>
      <c r="H8321" t="s">
        <v>16</v>
      </c>
      <c r="I8321" s="151" t="s">
        <v>562</v>
      </c>
    </row>
    <row r="8322" spans="1:9" x14ac:dyDescent="0.25">
      <c r="A8322">
        <v>1822</v>
      </c>
      <c r="B8322">
        <f>A8322+1</f>
        <v>1823</v>
      </c>
      <c r="C8322" t="s">
        <v>528</v>
      </c>
      <c r="D8322" t="s">
        <v>27</v>
      </c>
      <c r="E8322" s="208" t="s">
        <v>148</v>
      </c>
      <c r="F8322" t="s">
        <v>7</v>
      </c>
      <c r="G8322" s="18">
        <v>385</v>
      </c>
      <c r="H8322" t="s">
        <v>16</v>
      </c>
      <c r="I8322" s="151" t="s">
        <v>562</v>
      </c>
    </row>
    <row r="8323" spans="1:9" x14ac:dyDescent="0.25">
      <c r="A8323">
        <v>1822</v>
      </c>
      <c r="B8323">
        <f>A8323+1</f>
        <v>1823</v>
      </c>
      <c r="C8323" t="s">
        <v>528</v>
      </c>
      <c r="D8323" t="s">
        <v>27</v>
      </c>
      <c r="E8323" s="208" t="s">
        <v>147</v>
      </c>
      <c r="F8323" t="s">
        <v>7</v>
      </c>
      <c r="G8323" s="18">
        <v>20</v>
      </c>
      <c r="H8323" t="s">
        <v>16</v>
      </c>
      <c r="I8323" s="151" t="s">
        <v>562</v>
      </c>
    </row>
    <row r="8324" spans="1:9" x14ac:dyDescent="0.25">
      <c r="A8324">
        <v>1822</v>
      </c>
      <c r="B8324">
        <f>A8324+1</f>
        <v>1823</v>
      </c>
      <c r="C8324" t="s">
        <v>528</v>
      </c>
      <c r="D8324" t="s">
        <v>27</v>
      </c>
      <c r="E8324" s="208" t="s">
        <v>314</v>
      </c>
      <c r="F8324" t="s">
        <v>7</v>
      </c>
      <c r="G8324" s="18">
        <v>108</v>
      </c>
      <c r="H8324" t="s">
        <v>16</v>
      </c>
      <c r="I8324" s="151" t="s">
        <v>562</v>
      </c>
    </row>
    <row r="8325" spans="1:9" x14ac:dyDescent="0.25">
      <c r="A8325">
        <v>1822</v>
      </c>
      <c r="B8325">
        <f>A8325+1</f>
        <v>1823</v>
      </c>
      <c r="C8325" t="s">
        <v>528</v>
      </c>
      <c r="D8325" t="s">
        <v>27</v>
      </c>
      <c r="E8325" s="208" t="s">
        <v>139</v>
      </c>
      <c r="F8325" t="s">
        <v>7</v>
      </c>
      <c r="G8325" s="18">
        <v>72</v>
      </c>
      <c r="H8325" t="s">
        <v>16</v>
      </c>
      <c r="I8325" s="151" t="s">
        <v>562</v>
      </c>
    </row>
    <row r="8326" spans="1:9" x14ac:dyDescent="0.25">
      <c r="A8326">
        <v>1822</v>
      </c>
      <c r="B8326">
        <f>A8326+1</f>
        <v>1823</v>
      </c>
      <c r="C8326" t="s">
        <v>528</v>
      </c>
      <c r="D8326" t="s">
        <v>27</v>
      </c>
      <c r="E8326" s="208" t="s">
        <v>132</v>
      </c>
      <c r="F8326" t="s">
        <v>7</v>
      </c>
      <c r="G8326" s="18">
        <v>134</v>
      </c>
      <c r="H8326" t="s">
        <v>16</v>
      </c>
      <c r="I8326" s="151" t="s">
        <v>562</v>
      </c>
    </row>
    <row r="8327" spans="1:9" x14ac:dyDescent="0.25">
      <c r="A8327">
        <v>1822</v>
      </c>
      <c r="B8327">
        <f>A8327+1</f>
        <v>1823</v>
      </c>
      <c r="C8327" t="s">
        <v>528</v>
      </c>
      <c r="D8327" t="s">
        <v>27</v>
      </c>
      <c r="E8327" s="208" t="s">
        <v>130</v>
      </c>
      <c r="F8327" t="s">
        <v>7</v>
      </c>
      <c r="G8327" s="18">
        <v>38</v>
      </c>
      <c r="H8327" t="s">
        <v>16</v>
      </c>
      <c r="I8327" s="151" t="s">
        <v>562</v>
      </c>
    </row>
    <row r="8328" spans="1:9" x14ac:dyDescent="0.25">
      <c r="A8328">
        <v>1822</v>
      </c>
      <c r="B8328">
        <f>A8328+1</f>
        <v>1823</v>
      </c>
      <c r="C8328" t="s">
        <v>528</v>
      </c>
      <c r="D8328" t="s">
        <v>27</v>
      </c>
      <c r="E8328" s="208" t="s">
        <v>144</v>
      </c>
      <c r="F8328" t="s">
        <v>7</v>
      </c>
      <c r="G8328" s="18">
        <v>1392</v>
      </c>
      <c r="H8328" t="s">
        <v>16</v>
      </c>
      <c r="I8328" s="151" t="s">
        <v>562</v>
      </c>
    </row>
    <row r="8329" spans="1:9" x14ac:dyDescent="0.25">
      <c r="A8329">
        <v>1822</v>
      </c>
      <c r="B8329">
        <f>A8329+1</f>
        <v>1823</v>
      </c>
      <c r="C8329" t="s">
        <v>528</v>
      </c>
      <c r="D8329" t="s">
        <v>27</v>
      </c>
      <c r="E8329" s="208" t="s">
        <v>142</v>
      </c>
      <c r="F8329" t="s">
        <v>7</v>
      </c>
      <c r="G8329" s="18">
        <v>2442</v>
      </c>
      <c r="H8329" t="s">
        <v>16</v>
      </c>
      <c r="I8329" s="151" t="s">
        <v>562</v>
      </c>
    </row>
    <row r="8330" spans="1:9" x14ac:dyDescent="0.25">
      <c r="A8330">
        <v>1822</v>
      </c>
      <c r="B8330">
        <f>A8330+1</f>
        <v>1823</v>
      </c>
      <c r="C8330" t="s">
        <v>528</v>
      </c>
      <c r="D8330" t="s">
        <v>27</v>
      </c>
      <c r="E8330" s="208" t="s">
        <v>124</v>
      </c>
      <c r="F8330" t="s">
        <v>7</v>
      </c>
      <c r="G8330" s="18">
        <v>10539826</v>
      </c>
      <c r="H8330" t="s">
        <v>16</v>
      </c>
      <c r="I8330" s="151" t="s">
        <v>562</v>
      </c>
    </row>
    <row r="8331" spans="1:9" x14ac:dyDescent="0.25">
      <c r="A8331">
        <v>1822</v>
      </c>
      <c r="B8331">
        <f>A8331+1</f>
        <v>1823</v>
      </c>
      <c r="C8331" t="s">
        <v>528</v>
      </c>
      <c r="D8331" t="s">
        <v>26</v>
      </c>
      <c r="E8331" s="208" t="s">
        <v>62</v>
      </c>
      <c r="F8331" t="s">
        <v>7</v>
      </c>
      <c r="G8331" s="18">
        <v>51106</v>
      </c>
      <c r="H8331" s="151" t="s">
        <v>563</v>
      </c>
      <c r="I8331" t="s">
        <v>16</v>
      </c>
    </row>
    <row r="8332" spans="1:9" x14ac:dyDescent="0.25">
      <c r="A8332">
        <v>1822</v>
      </c>
      <c r="B8332">
        <f>A8332+1</f>
        <v>1823</v>
      </c>
      <c r="C8332" t="s">
        <v>528</v>
      </c>
      <c r="D8332" t="s">
        <v>26</v>
      </c>
      <c r="E8332" s="208" t="s">
        <v>36</v>
      </c>
      <c r="F8332" t="s">
        <v>7</v>
      </c>
      <c r="G8332" s="18">
        <v>3323</v>
      </c>
      <c r="H8332" s="151" t="s">
        <v>563</v>
      </c>
      <c r="I8332" t="s">
        <v>16</v>
      </c>
    </row>
    <row r="8333" spans="1:9" x14ac:dyDescent="0.25">
      <c r="A8333">
        <v>1822</v>
      </c>
      <c r="B8333">
        <f>A8333+1</f>
        <v>1823</v>
      </c>
      <c r="C8333" t="s">
        <v>528</v>
      </c>
      <c r="D8333" t="s">
        <v>26</v>
      </c>
      <c r="E8333" s="208" t="s">
        <v>35</v>
      </c>
      <c r="F8333" t="s">
        <v>7</v>
      </c>
      <c r="G8333" s="18">
        <v>5303</v>
      </c>
      <c r="H8333" s="151" t="s">
        <v>563</v>
      </c>
      <c r="I8333" t="s">
        <v>16</v>
      </c>
    </row>
    <row r="8334" spans="1:9" x14ac:dyDescent="0.25">
      <c r="A8334">
        <v>1822</v>
      </c>
      <c r="B8334">
        <f>A8334+1</f>
        <v>1823</v>
      </c>
      <c r="C8334" t="s">
        <v>528</v>
      </c>
      <c r="D8334" t="s">
        <v>26</v>
      </c>
      <c r="E8334" s="208" t="s">
        <v>39</v>
      </c>
      <c r="F8334" t="s">
        <v>7</v>
      </c>
      <c r="G8334" s="18">
        <v>2861</v>
      </c>
      <c r="H8334" s="151" t="s">
        <v>563</v>
      </c>
      <c r="I8334" t="s">
        <v>16</v>
      </c>
    </row>
    <row r="8335" spans="1:9" x14ac:dyDescent="0.25">
      <c r="A8335">
        <v>1822</v>
      </c>
      <c r="B8335">
        <f>A8335+1</f>
        <v>1823</v>
      </c>
      <c r="C8335" t="s">
        <v>528</v>
      </c>
      <c r="D8335" t="s">
        <v>26</v>
      </c>
      <c r="E8335" s="208" t="s">
        <v>99</v>
      </c>
      <c r="F8335" t="s">
        <v>7</v>
      </c>
      <c r="G8335" s="18">
        <v>1165</v>
      </c>
      <c r="H8335" s="151" t="s">
        <v>563</v>
      </c>
      <c r="I8335" t="s">
        <v>16</v>
      </c>
    </row>
    <row r="8336" spans="1:9" x14ac:dyDescent="0.25">
      <c r="A8336">
        <v>1822</v>
      </c>
      <c r="B8336">
        <f>A8336+1</f>
        <v>1823</v>
      </c>
      <c r="C8336" t="s">
        <v>528</v>
      </c>
      <c r="D8336" t="s">
        <v>26</v>
      </c>
      <c r="E8336" s="208" t="s">
        <v>95</v>
      </c>
      <c r="F8336" t="s">
        <v>7</v>
      </c>
      <c r="G8336" s="18">
        <v>20</v>
      </c>
      <c r="H8336" s="151" t="s">
        <v>563</v>
      </c>
      <c r="I8336" t="s">
        <v>16</v>
      </c>
    </row>
    <row r="8337" spans="1:9" x14ac:dyDescent="0.25">
      <c r="A8337">
        <v>1822</v>
      </c>
      <c r="B8337">
        <f>A8337+1</f>
        <v>1823</v>
      </c>
      <c r="C8337" t="s">
        <v>528</v>
      </c>
      <c r="D8337" t="s">
        <v>26</v>
      </c>
      <c r="E8337" s="208" t="s">
        <v>94</v>
      </c>
      <c r="F8337" t="s">
        <v>7</v>
      </c>
      <c r="G8337" s="18">
        <v>469</v>
      </c>
      <c r="H8337" s="151" t="s">
        <v>563</v>
      </c>
      <c r="I8337" t="s">
        <v>16</v>
      </c>
    </row>
    <row r="8338" spans="1:9" x14ac:dyDescent="0.25">
      <c r="A8338">
        <v>1822</v>
      </c>
      <c r="B8338">
        <f>A8338+1</f>
        <v>1823</v>
      </c>
      <c r="C8338" t="s">
        <v>528</v>
      </c>
      <c r="D8338" t="s">
        <v>26</v>
      </c>
      <c r="E8338" s="208" t="s">
        <v>386</v>
      </c>
      <c r="F8338" t="s">
        <v>7</v>
      </c>
      <c r="G8338" s="18">
        <v>29346</v>
      </c>
      <c r="H8338" s="151" t="s">
        <v>563</v>
      </c>
      <c r="I8338" t="s">
        <v>16</v>
      </c>
    </row>
    <row r="8339" spans="1:9" x14ac:dyDescent="0.25">
      <c r="A8339">
        <v>1822</v>
      </c>
      <c r="B8339">
        <f>A8339+1</f>
        <v>1823</v>
      </c>
      <c r="C8339" t="s">
        <v>528</v>
      </c>
      <c r="D8339" t="s">
        <v>26</v>
      </c>
      <c r="E8339" s="208" t="s">
        <v>387</v>
      </c>
      <c r="F8339" t="s">
        <v>7</v>
      </c>
      <c r="G8339" s="18">
        <v>4392</v>
      </c>
      <c r="H8339" s="151" t="s">
        <v>563</v>
      </c>
      <c r="I8339" t="s">
        <v>16</v>
      </c>
    </row>
    <row r="8340" spans="1:9" x14ac:dyDescent="0.25">
      <c r="A8340">
        <v>1822</v>
      </c>
      <c r="B8340">
        <f>A8340+1</f>
        <v>1823</v>
      </c>
      <c r="C8340" t="s">
        <v>528</v>
      </c>
      <c r="D8340" t="s">
        <v>26</v>
      </c>
      <c r="E8340" s="208" t="s">
        <v>388</v>
      </c>
      <c r="F8340" t="s">
        <v>7</v>
      </c>
      <c r="G8340" s="18">
        <v>7586</v>
      </c>
      <c r="H8340" s="151" t="s">
        <v>563</v>
      </c>
      <c r="I8340" t="s">
        <v>16</v>
      </c>
    </row>
    <row r="8341" spans="1:9" x14ac:dyDescent="0.25">
      <c r="A8341">
        <v>1822</v>
      </c>
      <c r="B8341">
        <f>A8341+1</f>
        <v>1823</v>
      </c>
      <c r="C8341" t="s">
        <v>528</v>
      </c>
      <c r="D8341" t="s">
        <v>26</v>
      </c>
      <c r="E8341" s="208" t="s">
        <v>383</v>
      </c>
      <c r="F8341" t="s">
        <v>7</v>
      </c>
      <c r="G8341" s="18">
        <v>1054</v>
      </c>
      <c r="H8341" s="151" t="s">
        <v>563</v>
      </c>
      <c r="I8341" t="s">
        <v>16</v>
      </c>
    </row>
    <row r="8342" spans="1:9" x14ac:dyDescent="0.25">
      <c r="A8342">
        <v>1822</v>
      </c>
      <c r="B8342">
        <f>A8342+1</f>
        <v>1823</v>
      </c>
      <c r="C8342" t="s">
        <v>528</v>
      </c>
      <c r="D8342" t="s">
        <v>26</v>
      </c>
      <c r="E8342" s="208" t="s">
        <v>384</v>
      </c>
      <c r="F8342" t="s">
        <v>7</v>
      </c>
      <c r="G8342" s="18">
        <v>1348</v>
      </c>
      <c r="H8342" s="151" t="s">
        <v>563</v>
      </c>
      <c r="I8342" t="s">
        <v>16</v>
      </c>
    </row>
    <row r="8343" spans="1:9" x14ac:dyDescent="0.25">
      <c r="A8343">
        <v>1822</v>
      </c>
      <c r="B8343">
        <f>A8343+1</f>
        <v>1823</v>
      </c>
      <c r="C8343" t="s">
        <v>528</v>
      </c>
      <c r="D8343" t="s">
        <v>26</v>
      </c>
      <c r="E8343" s="208" t="s">
        <v>567</v>
      </c>
      <c r="F8343" t="s">
        <v>169</v>
      </c>
      <c r="G8343" s="18">
        <v>15686</v>
      </c>
      <c r="H8343" t="s">
        <v>160</v>
      </c>
      <c r="I8343" t="s">
        <v>16</v>
      </c>
    </row>
    <row r="8344" spans="1:9" x14ac:dyDescent="0.25">
      <c r="A8344">
        <v>1822</v>
      </c>
      <c r="B8344">
        <f>A8344+1</f>
        <v>1823</v>
      </c>
      <c r="C8344" t="s">
        <v>528</v>
      </c>
      <c r="D8344" t="s">
        <v>26</v>
      </c>
      <c r="E8344" s="208" t="s">
        <v>567</v>
      </c>
      <c r="F8344" t="s">
        <v>6</v>
      </c>
      <c r="G8344" s="18">
        <v>0</v>
      </c>
      <c r="H8344" t="s">
        <v>25</v>
      </c>
      <c r="I8344" t="s">
        <v>16</v>
      </c>
    </row>
    <row r="8345" spans="1:9" x14ac:dyDescent="0.25">
      <c r="A8345">
        <v>1822</v>
      </c>
      <c r="B8345">
        <f>A8345+1</f>
        <v>1823</v>
      </c>
      <c r="C8345" t="s">
        <v>528</v>
      </c>
      <c r="D8345" t="s">
        <v>26</v>
      </c>
      <c r="E8345" s="208" t="s">
        <v>567</v>
      </c>
      <c r="F8345" t="s">
        <v>4</v>
      </c>
      <c r="G8345" s="18">
        <v>0</v>
      </c>
      <c r="H8345" t="s">
        <v>23</v>
      </c>
      <c r="I8345" t="s">
        <v>16</v>
      </c>
    </row>
    <row r="8346" spans="1:9" x14ac:dyDescent="0.25">
      <c r="A8346">
        <v>1822</v>
      </c>
      <c r="B8346">
        <f>A8346+1</f>
        <v>1823</v>
      </c>
      <c r="C8346" t="s">
        <v>528</v>
      </c>
      <c r="D8346" t="s">
        <v>26</v>
      </c>
      <c r="E8346" s="208" t="s">
        <v>567</v>
      </c>
      <c r="F8346" t="s">
        <v>7</v>
      </c>
      <c r="G8346" s="18">
        <v>37410</v>
      </c>
      <c r="H8346" s="151" t="s">
        <v>563</v>
      </c>
      <c r="I8346" t="s">
        <v>16</v>
      </c>
    </row>
    <row r="8347" spans="1:9" x14ac:dyDescent="0.25">
      <c r="A8347">
        <v>1822</v>
      </c>
      <c r="B8347">
        <f>A8347+1</f>
        <v>1823</v>
      </c>
      <c r="C8347" t="s">
        <v>528</v>
      </c>
      <c r="D8347" t="s">
        <v>26</v>
      </c>
      <c r="E8347" s="208" t="s">
        <v>567</v>
      </c>
      <c r="F8347" t="s">
        <v>10</v>
      </c>
      <c r="G8347" s="18">
        <v>3054</v>
      </c>
      <c r="H8347" t="s">
        <v>24</v>
      </c>
      <c r="I8347" t="s">
        <v>17</v>
      </c>
    </row>
    <row r="8348" spans="1:9" x14ac:dyDescent="0.25">
      <c r="A8348">
        <v>1822</v>
      </c>
      <c r="B8348">
        <f>A8348+1</f>
        <v>1823</v>
      </c>
      <c r="C8348" t="s">
        <v>528</v>
      </c>
      <c r="D8348" t="s">
        <v>26</v>
      </c>
      <c r="E8348" s="208" t="s">
        <v>567</v>
      </c>
      <c r="F8348" t="s">
        <v>164</v>
      </c>
      <c r="G8348" s="18">
        <v>38211</v>
      </c>
      <c r="H8348" t="s">
        <v>160</v>
      </c>
      <c r="I8348" t="s">
        <v>17</v>
      </c>
    </row>
    <row r="8349" spans="1:9" x14ac:dyDescent="0.25">
      <c r="A8349">
        <v>1822</v>
      </c>
      <c r="B8349">
        <f>A8349+1</f>
        <v>1823</v>
      </c>
      <c r="C8349" t="s">
        <v>528</v>
      </c>
      <c r="D8349" t="s">
        <v>26</v>
      </c>
      <c r="E8349" s="208" t="s">
        <v>107</v>
      </c>
      <c r="F8349" t="s">
        <v>7</v>
      </c>
      <c r="G8349" s="18">
        <v>1354818</v>
      </c>
      <c r="H8349" s="151" t="s">
        <v>563</v>
      </c>
      <c r="I8349" t="s">
        <v>16</v>
      </c>
    </row>
    <row r="8350" spans="1:9" x14ac:dyDescent="0.25">
      <c r="A8350">
        <v>1822</v>
      </c>
      <c r="B8350">
        <f>A8350+1</f>
        <v>1823</v>
      </c>
      <c r="C8350" t="s">
        <v>528</v>
      </c>
      <c r="D8350" t="s">
        <v>26</v>
      </c>
      <c r="E8350" s="208" t="s">
        <v>101</v>
      </c>
      <c r="F8350" t="s">
        <v>7</v>
      </c>
      <c r="G8350" s="18">
        <v>4514235</v>
      </c>
      <c r="H8350" s="151" t="s">
        <v>563</v>
      </c>
      <c r="I8350" t="s">
        <v>16</v>
      </c>
    </row>
    <row r="8351" spans="1:9" x14ac:dyDescent="0.25">
      <c r="A8351">
        <v>1822</v>
      </c>
      <c r="B8351">
        <f>A8351+1</f>
        <v>1823</v>
      </c>
      <c r="C8351" t="s">
        <v>528</v>
      </c>
      <c r="D8351" t="s">
        <v>26</v>
      </c>
      <c r="E8351" s="208" t="s">
        <v>75</v>
      </c>
      <c r="F8351" t="s">
        <v>7</v>
      </c>
      <c r="G8351" s="18">
        <v>3500639</v>
      </c>
      <c r="H8351" s="151" t="s">
        <v>563</v>
      </c>
      <c r="I8351" t="s">
        <v>16</v>
      </c>
    </row>
    <row r="8352" spans="1:9" x14ac:dyDescent="0.25">
      <c r="A8352">
        <v>1822</v>
      </c>
      <c r="B8352">
        <f>A8352+1</f>
        <v>1823</v>
      </c>
      <c r="C8352" t="s">
        <v>528</v>
      </c>
      <c r="D8352" t="s">
        <v>26</v>
      </c>
      <c r="E8352" s="208" t="s">
        <v>330</v>
      </c>
      <c r="F8352" t="s">
        <v>7</v>
      </c>
      <c r="G8352" s="18">
        <v>285</v>
      </c>
      <c r="H8352" s="151" t="s">
        <v>563</v>
      </c>
      <c r="I8352" t="s">
        <v>16</v>
      </c>
    </row>
    <row r="8353" spans="1:9" x14ac:dyDescent="0.25">
      <c r="A8353">
        <v>1822</v>
      </c>
      <c r="B8353">
        <f>A8353+1</f>
        <v>1823</v>
      </c>
      <c r="C8353" t="s">
        <v>528</v>
      </c>
      <c r="D8353" t="s">
        <v>26</v>
      </c>
      <c r="E8353" s="208" t="s">
        <v>331</v>
      </c>
      <c r="F8353" t="s">
        <v>7</v>
      </c>
      <c r="G8353" s="18">
        <v>174</v>
      </c>
      <c r="H8353" s="151" t="s">
        <v>563</v>
      </c>
      <c r="I8353" t="s">
        <v>16</v>
      </c>
    </row>
    <row r="8354" spans="1:9" x14ac:dyDescent="0.25">
      <c r="A8354">
        <v>1822</v>
      </c>
      <c r="B8354">
        <f>A8354+1</f>
        <v>1823</v>
      </c>
      <c r="C8354" t="s">
        <v>528</v>
      </c>
      <c r="D8354" t="s">
        <v>26</v>
      </c>
      <c r="E8354" s="208" t="s">
        <v>332</v>
      </c>
      <c r="F8354" t="s">
        <v>7</v>
      </c>
      <c r="G8354" s="18">
        <v>177</v>
      </c>
      <c r="H8354" s="151" t="s">
        <v>563</v>
      </c>
      <c r="I8354" t="s">
        <v>16</v>
      </c>
    </row>
    <row r="8355" spans="1:9" x14ac:dyDescent="0.25">
      <c r="A8355">
        <v>1822</v>
      </c>
      <c r="B8355">
        <f>A8355+1</f>
        <v>1823</v>
      </c>
      <c r="C8355" t="s">
        <v>528</v>
      </c>
      <c r="D8355" t="s">
        <v>26</v>
      </c>
      <c r="E8355" s="208" t="s">
        <v>333</v>
      </c>
      <c r="F8355" t="s">
        <v>7</v>
      </c>
      <c r="G8355" s="18">
        <v>46</v>
      </c>
      <c r="H8355" s="151" t="s">
        <v>563</v>
      </c>
      <c r="I8355" t="s">
        <v>16</v>
      </c>
    </row>
    <row r="8356" spans="1:9" x14ac:dyDescent="0.25">
      <c r="A8356">
        <v>1822</v>
      </c>
      <c r="B8356">
        <f>A8356+1</f>
        <v>1823</v>
      </c>
      <c r="C8356" t="s">
        <v>528</v>
      </c>
      <c r="D8356" t="s">
        <v>27</v>
      </c>
      <c r="E8356" s="208" t="s">
        <v>155</v>
      </c>
      <c r="F8356" t="s">
        <v>10</v>
      </c>
      <c r="G8356" s="18">
        <v>325</v>
      </c>
      <c r="H8356" t="s">
        <v>17</v>
      </c>
      <c r="I8356" t="s">
        <v>24</v>
      </c>
    </row>
    <row r="8357" spans="1:9" x14ac:dyDescent="0.25">
      <c r="A8357">
        <v>1822</v>
      </c>
      <c r="B8357">
        <f>A8357+1</f>
        <v>1823</v>
      </c>
      <c r="C8357" t="s">
        <v>528</v>
      </c>
      <c r="D8357" t="s">
        <v>27</v>
      </c>
      <c r="E8357" s="208" t="s">
        <v>156</v>
      </c>
      <c r="F8357" t="s">
        <v>10</v>
      </c>
      <c r="G8357" s="18">
        <v>147</v>
      </c>
      <c r="H8357" t="s">
        <v>17</v>
      </c>
      <c r="I8357" t="s">
        <v>24</v>
      </c>
    </row>
    <row r="8358" spans="1:9" x14ac:dyDescent="0.25">
      <c r="A8358">
        <v>1822</v>
      </c>
      <c r="B8358">
        <f>A8358+1</f>
        <v>1823</v>
      </c>
      <c r="C8358" t="s">
        <v>528</v>
      </c>
      <c r="D8358" t="s">
        <v>27</v>
      </c>
      <c r="E8358" s="208" t="s">
        <v>154</v>
      </c>
      <c r="F8358" t="s">
        <v>10</v>
      </c>
      <c r="G8358" s="18">
        <v>69</v>
      </c>
      <c r="H8358" t="s">
        <v>17</v>
      </c>
      <c r="I8358" t="s">
        <v>24</v>
      </c>
    </row>
    <row r="8359" spans="1:9" x14ac:dyDescent="0.25">
      <c r="A8359">
        <v>1822</v>
      </c>
      <c r="B8359">
        <f>A8359+1</f>
        <v>1823</v>
      </c>
      <c r="C8359" t="s">
        <v>528</v>
      </c>
      <c r="D8359" t="s">
        <v>27</v>
      </c>
      <c r="E8359" s="208" t="s">
        <v>150</v>
      </c>
      <c r="F8359" t="s">
        <v>10</v>
      </c>
      <c r="G8359" s="18">
        <v>3233</v>
      </c>
      <c r="H8359" t="s">
        <v>17</v>
      </c>
      <c r="I8359" t="s">
        <v>24</v>
      </c>
    </row>
    <row r="8360" spans="1:9" x14ac:dyDescent="0.25">
      <c r="A8360">
        <v>1822</v>
      </c>
      <c r="B8360">
        <f>A8360+1</f>
        <v>1823</v>
      </c>
      <c r="C8360" t="s">
        <v>528</v>
      </c>
      <c r="D8360" t="s">
        <v>27</v>
      </c>
      <c r="E8360" s="208" t="s">
        <v>148</v>
      </c>
      <c r="F8360" t="s">
        <v>10</v>
      </c>
      <c r="G8360" s="18">
        <v>70</v>
      </c>
      <c r="H8360" t="s">
        <v>17</v>
      </c>
      <c r="I8360" t="s">
        <v>24</v>
      </c>
    </row>
    <row r="8361" spans="1:9" x14ac:dyDescent="0.25">
      <c r="A8361">
        <v>1822</v>
      </c>
      <c r="B8361">
        <f>A8361+1</f>
        <v>1823</v>
      </c>
      <c r="C8361" t="s">
        <v>528</v>
      </c>
      <c r="D8361" t="s">
        <v>27</v>
      </c>
      <c r="E8361" s="208" t="s">
        <v>147</v>
      </c>
      <c r="F8361" t="s">
        <v>10</v>
      </c>
      <c r="G8361" s="18">
        <v>0</v>
      </c>
      <c r="H8361" t="s">
        <v>17</v>
      </c>
      <c r="I8361" t="s">
        <v>24</v>
      </c>
    </row>
    <row r="8362" spans="1:9" x14ac:dyDescent="0.25">
      <c r="A8362">
        <v>1822</v>
      </c>
      <c r="B8362">
        <f>A8362+1</f>
        <v>1823</v>
      </c>
      <c r="C8362" t="s">
        <v>528</v>
      </c>
      <c r="D8362" t="s">
        <v>27</v>
      </c>
      <c r="E8362" s="208" t="s">
        <v>314</v>
      </c>
      <c r="F8362" t="s">
        <v>10</v>
      </c>
      <c r="G8362" s="18">
        <v>0</v>
      </c>
      <c r="H8362" t="s">
        <v>17</v>
      </c>
      <c r="I8362" t="s">
        <v>24</v>
      </c>
    </row>
    <row r="8363" spans="1:9" x14ac:dyDescent="0.25">
      <c r="A8363">
        <v>1822</v>
      </c>
      <c r="B8363">
        <f>A8363+1</f>
        <v>1823</v>
      </c>
      <c r="C8363" t="s">
        <v>528</v>
      </c>
      <c r="D8363" t="s">
        <v>27</v>
      </c>
      <c r="E8363" s="208" t="s">
        <v>139</v>
      </c>
      <c r="F8363" t="s">
        <v>10</v>
      </c>
      <c r="G8363" s="18">
        <v>63</v>
      </c>
      <c r="H8363" t="s">
        <v>17</v>
      </c>
      <c r="I8363" t="s">
        <v>24</v>
      </c>
    </row>
    <row r="8364" spans="1:9" x14ac:dyDescent="0.25">
      <c r="A8364">
        <v>1822</v>
      </c>
      <c r="B8364">
        <f>A8364+1</f>
        <v>1823</v>
      </c>
      <c r="C8364" t="s">
        <v>528</v>
      </c>
      <c r="D8364" t="s">
        <v>27</v>
      </c>
      <c r="E8364" s="208" t="s">
        <v>132</v>
      </c>
      <c r="F8364" t="s">
        <v>10</v>
      </c>
      <c r="G8364" s="18">
        <v>0</v>
      </c>
      <c r="H8364" t="s">
        <v>17</v>
      </c>
      <c r="I8364" t="s">
        <v>24</v>
      </c>
    </row>
    <row r="8365" spans="1:9" x14ac:dyDescent="0.25">
      <c r="A8365">
        <v>1822</v>
      </c>
      <c r="B8365">
        <f>A8365+1</f>
        <v>1823</v>
      </c>
      <c r="C8365" t="s">
        <v>528</v>
      </c>
      <c r="D8365" t="s">
        <v>27</v>
      </c>
      <c r="E8365" s="208" t="s">
        <v>130</v>
      </c>
      <c r="F8365" t="s">
        <v>10</v>
      </c>
      <c r="G8365" s="18">
        <v>0</v>
      </c>
      <c r="H8365" t="s">
        <v>17</v>
      </c>
      <c r="I8365" t="s">
        <v>24</v>
      </c>
    </row>
    <row r="8366" spans="1:9" x14ac:dyDescent="0.25">
      <c r="A8366">
        <v>1822</v>
      </c>
      <c r="B8366">
        <f>A8366+1</f>
        <v>1823</v>
      </c>
      <c r="C8366" t="s">
        <v>528</v>
      </c>
      <c r="D8366" t="s">
        <v>27</v>
      </c>
      <c r="E8366" s="208" t="s">
        <v>144</v>
      </c>
      <c r="F8366" t="s">
        <v>10</v>
      </c>
      <c r="G8366" s="18">
        <v>332</v>
      </c>
      <c r="H8366" t="s">
        <v>17</v>
      </c>
      <c r="I8366" t="s">
        <v>24</v>
      </c>
    </row>
    <row r="8367" spans="1:9" x14ac:dyDescent="0.25">
      <c r="A8367">
        <v>1822</v>
      </c>
      <c r="B8367">
        <f>A8367+1</f>
        <v>1823</v>
      </c>
      <c r="C8367" t="s">
        <v>528</v>
      </c>
      <c r="D8367" t="s">
        <v>27</v>
      </c>
      <c r="E8367" s="208" t="s">
        <v>142</v>
      </c>
      <c r="F8367" t="s">
        <v>10</v>
      </c>
      <c r="G8367" s="18">
        <v>68</v>
      </c>
      <c r="H8367" t="s">
        <v>17</v>
      </c>
      <c r="I8367" t="s">
        <v>24</v>
      </c>
    </row>
    <row r="8368" spans="1:9" x14ac:dyDescent="0.25">
      <c r="A8368">
        <v>1822</v>
      </c>
      <c r="B8368">
        <f>A8368+1</f>
        <v>1823</v>
      </c>
      <c r="C8368" t="s">
        <v>528</v>
      </c>
      <c r="D8368" t="s">
        <v>27</v>
      </c>
      <c r="E8368" s="208" t="s">
        <v>124</v>
      </c>
      <c r="F8368" t="s">
        <v>10</v>
      </c>
      <c r="G8368" s="18">
        <v>42159</v>
      </c>
      <c r="H8368" t="s">
        <v>17</v>
      </c>
      <c r="I8368" t="s">
        <v>24</v>
      </c>
    </row>
    <row r="8369" spans="1:9" x14ac:dyDescent="0.25">
      <c r="A8369">
        <v>1822</v>
      </c>
      <c r="B8369">
        <f>A8369+1</f>
        <v>1823</v>
      </c>
      <c r="C8369" t="s">
        <v>528</v>
      </c>
      <c r="D8369" t="s">
        <v>26</v>
      </c>
      <c r="E8369" s="208" t="s">
        <v>62</v>
      </c>
      <c r="F8369" t="s">
        <v>10</v>
      </c>
      <c r="G8369" s="18">
        <v>963</v>
      </c>
      <c r="H8369" t="s">
        <v>24</v>
      </c>
      <c r="I8369" t="s">
        <v>17</v>
      </c>
    </row>
    <row r="8370" spans="1:9" x14ac:dyDescent="0.25">
      <c r="A8370">
        <v>1822</v>
      </c>
      <c r="B8370">
        <f>A8370+1</f>
        <v>1823</v>
      </c>
      <c r="C8370" t="s">
        <v>528</v>
      </c>
      <c r="D8370" t="s">
        <v>26</v>
      </c>
      <c r="E8370" s="208" t="s">
        <v>36</v>
      </c>
      <c r="F8370" t="s">
        <v>10</v>
      </c>
      <c r="G8370" s="18">
        <v>84</v>
      </c>
      <c r="H8370" t="s">
        <v>24</v>
      </c>
      <c r="I8370" t="s">
        <v>17</v>
      </c>
    </row>
    <row r="8371" spans="1:9" x14ac:dyDescent="0.25">
      <c r="A8371">
        <v>1822</v>
      </c>
      <c r="B8371">
        <f>A8371+1</f>
        <v>1823</v>
      </c>
      <c r="C8371" t="s">
        <v>528</v>
      </c>
      <c r="D8371" t="s">
        <v>26</v>
      </c>
      <c r="E8371" s="208" t="s">
        <v>35</v>
      </c>
      <c r="F8371" t="s">
        <v>10</v>
      </c>
      <c r="G8371" s="18">
        <v>0</v>
      </c>
      <c r="H8371" t="s">
        <v>24</v>
      </c>
      <c r="I8371" t="s">
        <v>17</v>
      </c>
    </row>
    <row r="8372" spans="1:9" x14ac:dyDescent="0.25">
      <c r="A8372">
        <v>1822</v>
      </c>
      <c r="B8372">
        <f>A8372+1</f>
        <v>1823</v>
      </c>
      <c r="C8372" t="s">
        <v>528</v>
      </c>
      <c r="D8372" t="s">
        <v>26</v>
      </c>
      <c r="E8372" s="208" t="s">
        <v>39</v>
      </c>
      <c r="F8372" t="s">
        <v>10</v>
      </c>
      <c r="G8372" s="18">
        <v>102</v>
      </c>
      <c r="H8372" t="s">
        <v>24</v>
      </c>
      <c r="I8372" t="s">
        <v>17</v>
      </c>
    </row>
    <row r="8373" spans="1:9" x14ac:dyDescent="0.25">
      <c r="A8373">
        <v>1822</v>
      </c>
      <c r="B8373">
        <f>A8373+1</f>
        <v>1823</v>
      </c>
      <c r="C8373" t="s">
        <v>528</v>
      </c>
      <c r="D8373" t="s">
        <v>26</v>
      </c>
      <c r="E8373" s="208" t="s">
        <v>99</v>
      </c>
      <c r="F8373" t="s">
        <v>10</v>
      </c>
      <c r="G8373" s="18">
        <v>22</v>
      </c>
      <c r="H8373" t="s">
        <v>24</v>
      </c>
      <c r="I8373" t="s">
        <v>17</v>
      </c>
    </row>
    <row r="8374" spans="1:9" x14ac:dyDescent="0.25">
      <c r="A8374">
        <v>1822</v>
      </c>
      <c r="B8374">
        <f>A8374+1</f>
        <v>1823</v>
      </c>
      <c r="C8374" t="s">
        <v>528</v>
      </c>
      <c r="D8374" t="s">
        <v>26</v>
      </c>
      <c r="E8374" s="208" t="s">
        <v>95</v>
      </c>
      <c r="F8374" t="s">
        <v>10</v>
      </c>
      <c r="G8374" s="18">
        <v>0</v>
      </c>
      <c r="H8374" t="s">
        <v>24</v>
      </c>
      <c r="I8374" t="s">
        <v>17</v>
      </c>
    </row>
    <row r="8375" spans="1:9" x14ac:dyDescent="0.25">
      <c r="A8375">
        <v>1822</v>
      </c>
      <c r="B8375">
        <f>A8375+1</f>
        <v>1823</v>
      </c>
      <c r="C8375" t="s">
        <v>528</v>
      </c>
      <c r="D8375" t="s">
        <v>26</v>
      </c>
      <c r="E8375" s="208" t="s">
        <v>94</v>
      </c>
      <c r="F8375" t="s">
        <v>10</v>
      </c>
      <c r="G8375" s="18">
        <v>80</v>
      </c>
      <c r="H8375" t="s">
        <v>24</v>
      </c>
      <c r="I8375" t="s">
        <v>17</v>
      </c>
    </row>
    <row r="8376" spans="1:9" x14ac:dyDescent="0.25">
      <c r="A8376">
        <v>1822</v>
      </c>
      <c r="B8376">
        <f>A8376+1</f>
        <v>1823</v>
      </c>
      <c r="C8376" t="s">
        <v>528</v>
      </c>
      <c r="D8376" t="s">
        <v>26</v>
      </c>
      <c r="E8376" s="208" t="s">
        <v>386</v>
      </c>
      <c r="F8376" t="s">
        <v>10</v>
      </c>
      <c r="G8376" s="18">
        <v>1300</v>
      </c>
      <c r="H8376" t="s">
        <v>24</v>
      </c>
      <c r="I8376" t="s">
        <v>17</v>
      </c>
    </row>
    <row r="8377" spans="1:9" x14ac:dyDescent="0.25">
      <c r="A8377">
        <v>1822</v>
      </c>
      <c r="B8377">
        <f>A8377+1</f>
        <v>1823</v>
      </c>
      <c r="C8377" t="s">
        <v>528</v>
      </c>
      <c r="D8377" t="s">
        <v>26</v>
      </c>
      <c r="E8377" s="208" t="s">
        <v>387</v>
      </c>
      <c r="F8377" t="s">
        <v>10</v>
      </c>
      <c r="G8377" s="18">
        <v>0</v>
      </c>
      <c r="H8377" t="s">
        <v>24</v>
      </c>
      <c r="I8377" t="s">
        <v>17</v>
      </c>
    </row>
    <row r="8378" spans="1:9" x14ac:dyDescent="0.25">
      <c r="A8378">
        <v>1822</v>
      </c>
      <c r="B8378">
        <f>A8378+1</f>
        <v>1823</v>
      </c>
      <c r="C8378" t="s">
        <v>528</v>
      </c>
      <c r="D8378" t="s">
        <v>26</v>
      </c>
      <c r="E8378" s="208" t="s">
        <v>388</v>
      </c>
      <c r="F8378" t="s">
        <v>10</v>
      </c>
      <c r="G8378" s="18">
        <v>295</v>
      </c>
      <c r="H8378" t="s">
        <v>24</v>
      </c>
      <c r="I8378" t="s">
        <v>17</v>
      </c>
    </row>
    <row r="8379" spans="1:9" x14ac:dyDescent="0.25">
      <c r="A8379">
        <v>1822</v>
      </c>
      <c r="B8379">
        <f>A8379+1</f>
        <v>1823</v>
      </c>
      <c r="C8379" t="s">
        <v>528</v>
      </c>
      <c r="D8379" t="s">
        <v>26</v>
      </c>
      <c r="E8379" s="208" t="s">
        <v>383</v>
      </c>
      <c r="F8379" t="s">
        <v>10</v>
      </c>
      <c r="G8379" s="18">
        <v>37</v>
      </c>
      <c r="H8379" t="s">
        <v>24</v>
      </c>
      <c r="I8379" t="s">
        <v>17</v>
      </c>
    </row>
    <row r="8380" spans="1:9" x14ac:dyDescent="0.25">
      <c r="A8380">
        <v>1822</v>
      </c>
      <c r="B8380">
        <f>A8380+1</f>
        <v>1823</v>
      </c>
      <c r="C8380" t="s">
        <v>528</v>
      </c>
      <c r="D8380" t="s">
        <v>26</v>
      </c>
      <c r="E8380" s="208" t="s">
        <v>384</v>
      </c>
      <c r="F8380" t="s">
        <v>10</v>
      </c>
      <c r="G8380" s="18">
        <v>50</v>
      </c>
      <c r="H8380" t="s">
        <v>24</v>
      </c>
      <c r="I8380" t="s">
        <v>17</v>
      </c>
    </row>
    <row r="8381" spans="1:9" x14ac:dyDescent="0.25">
      <c r="A8381">
        <v>1822</v>
      </c>
      <c r="B8381">
        <f>A8381+1</f>
        <v>1823</v>
      </c>
      <c r="C8381" t="s">
        <v>528</v>
      </c>
      <c r="D8381" t="s">
        <v>26</v>
      </c>
      <c r="E8381" s="208" t="s">
        <v>567</v>
      </c>
      <c r="F8381" t="s">
        <v>13</v>
      </c>
      <c r="G8381" s="18">
        <v>0</v>
      </c>
      <c r="H8381" t="s">
        <v>25</v>
      </c>
      <c r="I8381" t="s">
        <v>17</v>
      </c>
    </row>
    <row r="8382" spans="1:9" x14ac:dyDescent="0.25">
      <c r="A8382">
        <v>1822</v>
      </c>
      <c r="B8382">
        <f>A8382+1</f>
        <v>1823</v>
      </c>
      <c r="C8382" t="s">
        <v>528</v>
      </c>
      <c r="D8382" t="s">
        <v>26</v>
      </c>
      <c r="E8382" s="208" t="s">
        <v>567</v>
      </c>
      <c r="F8382" t="s">
        <v>11</v>
      </c>
      <c r="G8382" s="18">
        <v>0</v>
      </c>
      <c r="H8382" t="s">
        <v>23</v>
      </c>
      <c r="I8382" t="s">
        <v>17</v>
      </c>
    </row>
    <row r="8383" spans="1:9" x14ac:dyDescent="0.25">
      <c r="A8383">
        <v>1822</v>
      </c>
      <c r="B8383">
        <f>A8383+1</f>
        <v>1823</v>
      </c>
      <c r="C8383" t="s">
        <v>528</v>
      </c>
      <c r="D8383" t="s">
        <v>26</v>
      </c>
      <c r="E8383" s="208" t="s">
        <v>567</v>
      </c>
      <c r="F8383" t="s">
        <v>14</v>
      </c>
      <c r="G8383" s="18">
        <v>41265</v>
      </c>
      <c r="H8383" s="151" t="s">
        <v>563</v>
      </c>
      <c r="I8383" t="s">
        <v>17</v>
      </c>
    </row>
    <row r="8384" spans="1:9" x14ac:dyDescent="0.25">
      <c r="A8384">
        <v>1822</v>
      </c>
      <c r="B8384">
        <f>A8384+1</f>
        <v>1823</v>
      </c>
      <c r="C8384" t="s">
        <v>528</v>
      </c>
      <c r="D8384" t="s">
        <v>26</v>
      </c>
      <c r="E8384" s="208" t="s">
        <v>567</v>
      </c>
      <c r="F8384" t="s">
        <v>15</v>
      </c>
      <c r="G8384" s="18">
        <v>78675</v>
      </c>
      <c r="H8384" s="151" t="s">
        <v>563</v>
      </c>
      <c r="I8384" t="s">
        <v>561</v>
      </c>
    </row>
    <row r="8385" spans="1:9" x14ac:dyDescent="0.25">
      <c r="A8385">
        <v>1822</v>
      </c>
      <c r="B8385">
        <f>A8385+1</f>
        <v>1823</v>
      </c>
      <c r="C8385" t="s">
        <v>528</v>
      </c>
      <c r="D8385" t="s">
        <v>26</v>
      </c>
      <c r="E8385" s="208" t="s">
        <v>107</v>
      </c>
      <c r="F8385" t="s">
        <v>10</v>
      </c>
      <c r="G8385" s="18">
        <v>441204</v>
      </c>
      <c r="H8385" t="s">
        <v>24</v>
      </c>
      <c r="I8385" t="s">
        <v>17</v>
      </c>
    </row>
    <row r="8386" spans="1:9" x14ac:dyDescent="0.25">
      <c r="A8386">
        <v>1822</v>
      </c>
      <c r="B8386">
        <f>A8386+1</f>
        <v>1823</v>
      </c>
      <c r="C8386" t="s">
        <v>528</v>
      </c>
      <c r="D8386" t="s">
        <v>26</v>
      </c>
      <c r="E8386" s="208" t="s">
        <v>101</v>
      </c>
      <c r="F8386" t="s">
        <v>10</v>
      </c>
      <c r="G8386" s="18">
        <v>1066850</v>
      </c>
      <c r="H8386" t="s">
        <v>24</v>
      </c>
      <c r="I8386" t="s">
        <v>17</v>
      </c>
    </row>
    <row r="8387" spans="1:9" x14ac:dyDescent="0.25">
      <c r="A8387">
        <v>1822</v>
      </c>
      <c r="B8387">
        <f>A8387+1</f>
        <v>1823</v>
      </c>
      <c r="C8387" t="s">
        <v>528</v>
      </c>
      <c r="D8387" t="s">
        <v>26</v>
      </c>
      <c r="E8387" s="208" t="s">
        <v>75</v>
      </c>
      <c r="F8387" t="s">
        <v>10</v>
      </c>
      <c r="G8387" s="18">
        <v>2032530</v>
      </c>
      <c r="H8387" t="s">
        <v>24</v>
      </c>
      <c r="I8387" t="s">
        <v>17</v>
      </c>
    </row>
    <row r="8388" spans="1:9" x14ac:dyDescent="0.25">
      <c r="A8388">
        <v>1822</v>
      </c>
      <c r="B8388">
        <f>A8388+1</f>
        <v>1823</v>
      </c>
      <c r="C8388" t="s">
        <v>528</v>
      </c>
      <c r="D8388" t="s">
        <v>26</v>
      </c>
      <c r="E8388" s="208" t="s">
        <v>330</v>
      </c>
      <c r="F8388" t="s">
        <v>10</v>
      </c>
      <c r="G8388" s="18">
        <v>11</v>
      </c>
      <c r="H8388" t="s">
        <v>24</v>
      </c>
      <c r="I8388" t="s">
        <v>17</v>
      </c>
    </row>
    <row r="8389" spans="1:9" x14ac:dyDescent="0.25">
      <c r="A8389">
        <v>1822</v>
      </c>
      <c r="B8389">
        <f>A8389+1</f>
        <v>1823</v>
      </c>
      <c r="C8389" t="s">
        <v>528</v>
      </c>
      <c r="D8389" t="s">
        <v>26</v>
      </c>
      <c r="E8389" s="208" t="s">
        <v>331</v>
      </c>
      <c r="F8389" t="s">
        <v>10</v>
      </c>
      <c r="G8389" s="18">
        <v>0</v>
      </c>
      <c r="H8389" t="s">
        <v>24</v>
      </c>
      <c r="I8389" t="s">
        <v>17</v>
      </c>
    </row>
    <row r="8390" spans="1:9" x14ac:dyDescent="0.25">
      <c r="A8390">
        <v>1822</v>
      </c>
      <c r="B8390">
        <f>A8390+1</f>
        <v>1823</v>
      </c>
      <c r="C8390" t="s">
        <v>528</v>
      </c>
      <c r="D8390" t="s">
        <v>26</v>
      </c>
      <c r="E8390" s="208" t="s">
        <v>332</v>
      </c>
      <c r="F8390" t="s">
        <v>10</v>
      </c>
      <c r="G8390" s="18">
        <v>0</v>
      </c>
      <c r="H8390" t="s">
        <v>24</v>
      </c>
      <c r="I8390" t="s">
        <v>17</v>
      </c>
    </row>
    <row r="8391" spans="1:9" x14ac:dyDescent="0.25">
      <c r="A8391">
        <v>1822</v>
      </c>
      <c r="B8391">
        <f>A8391+1</f>
        <v>1823</v>
      </c>
      <c r="C8391" t="s">
        <v>528</v>
      </c>
      <c r="D8391" t="s">
        <v>26</v>
      </c>
      <c r="E8391" s="208" t="s">
        <v>333</v>
      </c>
      <c r="F8391" t="s">
        <v>10</v>
      </c>
      <c r="G8391" s="18">
        <v>37</v>
      </c>
      <c r="H8391" t="s">
        <v>24</v>
      </c>
      <c r="I8391" t="s">
        <v>17</v>
      </c>
    </row>
    <row r="8392" spans="1:9" x14ac:dyDescent="0.25">
      <c r="A8392">
        <v>1822</v>
      </c>
      <c r="B8392">
        <f>A8392+1</f>
        <v>1823</v>
      </c>
      <c r="C8392" t="s">
        <v>528</v>
      </c>
      <c r="D8392" t="s">
        <v>27</v>
      </c>
      <c r="E8392" s="208" t="s">
        <v>155</v>
      </c>
      <c r="F8392" t="s">
        <v>8</v>
      </c>
      <c r="G8392" s="18">
        <v>69784</v>
      </c>
      <c r="H8392" t="s">
        <v>17</v>
      </c>
      <c r="I8392" t="s">
        <v>18</v>
      </c>
    </row>
    <row r="8393" spans="1:9" x14ac:dyDescent="0.25">
      <c r="A8393">
        <v>1822</v>
      </c>
      <c r="B8393">
        <f>A8393+1</f>
        <v>1823</v>
      </c>
      <c r="C8393" t="s">
        <v>528</v>
      </c>
      <c r="D8393" t="s">
        <v>27</v>
      </c>
      <c r="E8393" s="208" t="s">
        <v>156</v>
      </c>
      <c r="F8393" t="s">
        <v>8</v>
      </c>
      <c r="G8393" s="18">
        <v>7039</v>
      </c>
      <c r="H8393" t="s">
        <v>17</v>
      </c>
      <c r="I8393" t="s">
        <v>18</v>
      </c>
    </row>
    <row r="8394" spans="1:9" x14ac:dyDescent="0.25">
      <c r="A8394">
        <v>1822</v>
      </c>
      <c r="B8394">
        <f>A8394+1</f>
        <v>1823</v>
      </c>
      <c r="C8394" t="s">
        <v>528</v>
      </c>
      <c r="D8394" t="s">
        <v>27</v>
      </c>
      <c r="E8394" s="208" t="s">
        <v>154</v>
      </c>
      <c r="F8394" t="s">
        <v>8</v>
      </c>
      <c r="G8394" s="18">
        <v>691</v>
      </c>
      <c r="H8394" t="s">
        <v>17</v>
      </c>
      <c r="I8394" t="s">
        <v>18</v>
      </c>
    </row>
    <row r="8395" spans="1:9" x14ac:dyDescent="0.25">
      <c r="A8395">
        <v>1822</v>
      </c>
      <c r="B8395">
        <f>A8395+1</f>
        <v>1823</v>
      </c>
      <c r="C8395" t="s">
        <v>528</v>
      </c>
      <c r="D8395" t="s">
        <v>27</v>
      </c>
      <c r="E8395" s="208" t="s">
        <v>150</v>
      </c>
      <c r="F8395" t="s">
        <v>8</v>
      </c>
      <c r="G8395" s="18">
        <v>21233</v>
      </c>
      <c r="H8395" t="s">
        <v>17</v>
      </c>
      <c r="I8395" t="s">
        <v>18</v>
      </c>
    </row>
    <row r="8396" spans="1:9" x14ac:dyDescent="0.25">
      <c r="A8396">
        <v>1822</v>
      </c>
      <c r="B8396">
        <f>A8396+1</f>
        <v>1823</v>
      </c>
      <c r="C8396" t="s">
        <v>528</v>
      </c>
      <c r="D8396" t="s">
        <v>27</v>
      </c>
      <c r="E8396" s="208" t="s">
        <v>148</v>
      </c>
      <c r="F8396" t="s">
        <v>8</v>
      </c>
      <c r="G8396" s="18">
        <v>1366</v>
      </c>
      <c r="H8396" t="s">
        <v>17</v>
      </c>
      <c r="I8396" t="s">
        <v>18</v>
      </c>
    </row>
    <row r="8397" spans="1:9" x14ac:dyDescent="0.25">
      <c r="A8397">
        <v>1822</v>
      </c>
      <c r="B8397">
        <f>A8397+1</f>
        <v>1823</v>
      </c>
      <c r="C8397" t="s">
        <v>528</v>
      </c>
      <c r="D8397" t="s">
        <v>27</v>
      </c>
      <c r="E8397" s="208" t="s">
        <v>147</v>
      </c>
      <c r="F8397" t="s">
        <v>8</v>
      </c>
      <c r="G8397" s="18">
        <v>0</v>
      </c>
      <c r="H8397" t="s">
        <v>17</v>
      </c>
      <c r="I8397" t="s">
        <v>18</v>
      </c>
    </row>
    <row r="8398" spans="1:9" x14ac:dyDescent="0.25">
      <c r="A8398">
        <v>1822</v>
      </c>
      <c r="B8398">
        <f>A8398+1</f>
        <v>1823</v>
      </c>
      <c r="C8398" t="s">
        <v>528</v>
      </c>
      <c r="D8398" t="s">
        <v>27</v>
      </c>
      <c r="E8398" s="208" t="s">
        <v>314</v>
      </c>
      <c r="F8398" t="s">
        <v>8</v>
      </c>
      <c r="G8398" s="18">
        <v>0</v>
      </c>
      <c r="H8398" t="s">
        <v>17</v>
      </c>
      <c r="I8398" t="s">
        <v>18</v>
      </c>
    </row>
    <row r="8399" spans="1:9" x14ac:dyDescent="0.25">
      <c r="A8399">
        <v>1822</v>
      </c>
      <c r="B8399">
        <f>A8399+1</f>
        <v>1823</v>
      </c>
      <c r="C8399" t="s">
        <v>528</v>
      </c>
      <c r="D8399" t="s">
        <v>27</v>
      </c>
      <c r="E8399" s="208" t="s">
        <v>139</v>
      </c>
      <c r="F8399" t="s">
        <v>8</v>
      </c>
      <c r="G8399" s="18">
        <v>208</v>
      </c>
      <c r="H8399" t="s">
        <v>17</v>
      </c>
      <c r="I8399" t="s">
        <v>18</v>
      </c>
    </row>
    <row r="8400" spans="1:9" x14ac:dyDescent="0.25">
      <c r="A8400">
        <v>1822</v>
      </c>
      <c r="B8400">
        <f>A8400+1</f>
        <v>1823</v>
      </c>
      <c r="C8400" t="s">
        <v>528</v>
      </c>
      <c r="D8400" t="s">
        <v>27</v>
      </c>
      <c r="E8400" s="208" t="s">
        <v>132</v>
      </c>
      <c r="F8400" t="s">
        <v>8</v>
      </c>
      <c r="G8400" s="18">
        <v>907</v>
      </c>
      <c r="H8400" t="s">
        <v>17</v>
      </c>
      <c r="I8400" t="s">
        <v>18</v>
      </c>
    </row>
    <row r="8401" spans="1:9" x14ac:dyDescent="0.25">
      <c r="A8401">
        <v>1822</v>
      </c>
      <c r="B8401">
        <f>A8401+1</f>
        <v>1823</v>
      </c>
      <c r="C8401" t="s">
        <v>528</v>
      </c>
      <c r="D8401" t="s">
        <v>27</v>
      </c>
      <c r="E8401" s="208" t="s">
        <v>130</v>
      </c>
      <c r="F8401" t="s">
        <v>8</v>
      </c>
      <c r="G8401" s="18">
        <v>22</v>
      </c>
      <c r="H8401" t="s">
        <v>17</v>
      </c>
      <c r="I8401" t="s">
        <v>18</v>
      </c>
    </row>
    <row r="8402" spans="1:9" x14ac:dyDescent="0.25">
      <c r="A8402">
        <v>1822</v>
      </c>
      <c r="B8402">
        <f>A8402+1</f>
        <v>1823</v>
      </c>
      <c r="C8402" t="s">
        <v>528</v>
      </c>
      <c r="D8402" t="s">
        <v>27</v>
      </c>
      <c r="E8402" s="208" t="s">
        <v>144</v>
      </c>
      <c r="F8402" t="s">
        <v>8</v>
      </c>
      <c r="G8402" s="18">
        <v>124</v>
      </c>
      <c r="H8402" t="s">
        <v>17</v>
      </c>
      <c r="I8402" t="s">
        <v>18</v>
      </c>
    </row>
    <row r="8403" spans="1:9" x14ac:dyDescent="0.25">
      <c r="A8403">
        <v>1822</v>
      </c>
      <c r="B8403">
        <f>A8403+1</f>
        <v>1823</v>
      </c>
      <c r="C8403" t="s">
        <v>528</v>
      </c>
      <c r="D8403" t="s">
        <v>27</v>
      </c>
      <c r="E8403" s="208" t="s">
        <v>142</v>
      </c>
      <c r="F8403" t="s">
        <v>8</v>
      </c>
      <c r="G8403" s="18">
        <v>16427</v>
      </c>
      <c r="H8403" t="s">
        <v>17</v>
      </c>
      <c r="I8403" t="s">
        <v>18</v>
      </c>
    </row>
    <row r="8404" spans="1:9" x14ac:dyDescent="0.25">
      <c r="A8404">
        <v>1822</v>
      </c>
      <c r="B8404">
        <f>A8404+1</f>
        <v>1823</v>
      </c>
      <c r="C8404" t="s">
        <v>528</v>
      </c>
      <c r="D8404" t="s">
        <v>27</v>
      </c>
      <c r="E8404" s="208" t="s">
        <v>124</v>
      </c>
      <c r="F8404" t="s">
        <v>8</v>
      </c>
      <c r="G8404" s="18">
        <v>9585798</v>
      </c>
      <c r="H8404" t="s">
        <v>17</v>
      </c>
      <c r="I8404" t="s">
        <v>18</v>
      </c>
    </row>
    <row r="8405" spans="1:9" x14ac:dyDescent="0.25">
      <c r="A8405">
        <v>1822</v>
      </c>
      <c r="B8405">
        <f>A8405+1</f>
        <v>1823</v>
      </c>
      <c r="C8405" t="s">
        <v>528</v>
      </c>
      <c r="D8405" t="s">
        <v>26</v>
      </c>
      <c r="E8405" s="208" t="s">
        <v>62</v>
      </c>
      <c r="F8405" t="s">
        <v>164</v>
      </c>
      <c r="G8405" s="18">
        <v>286</v>
      </c>
      <c r="H8405" t="s">
        <v>160</v>
      </c>
      <c r="I8405" t="s">
        <v>17</v>
      </c>
    </row>
    <row r="8406" spans="1:9" x14ac:dyDescent="0.25">
      <c r="A8406">
        <v>1822</v>
      </c>
      <c r="B8406">
        <f>A8406+1</f>
        <v>1823</v>
      </c>
      <c r="C8406" t="s">
        <v>528</v>
      </c>
      <c r="D8406" t="s">
        <v>26</v>
      </c>
      <c r="E8406" s="208" t="s">
        <v>36</v>
      </c>
      <c r="F8406" t="s">
        <v>164</v>
      </c>
      <c r="G8406" s="18">
        <v>40</v>
      </c>
      <c r="H8406" t="s">
        <v>160</v>
      </c>
      <c r="I8406" t="s">
        <v>17</v>
      </c>
    </row>
    <row r="8407" spans="1:9" x14ac:dyDescent="0.25">
      <c r="A8407">
        <v>1822</v>
      </c>
      <c r="B8407">
        <f>A8407+1</f>
        <v>1823</v>
      </c>
      <c r="C8407" t="s">
        <v>528</v>
      </c>
      <c r="D8407" t="s">
        <v>26</v>
      </c>
      <c r="E8407" s="208" t="s">
        <v>35</v>
      </c>
      <c r="F8407" t="s">
        <v>164</v>
      </c>
      <c r="G8407" s="18">
        <v>0</v>
      </c>
      <c r="H8407" t="s">
        <v>160</v>
      </c>
      <c r="I8407" t="s">
        <v>17</v>
      </c>
    </row>
    <row r="8408" spans="1:9" x14ac:dyDescent="0.25">
      <c r="A8408">
        <v>1822</v>
      </c>
      <c r="B8408">
        <f>A8408+1</f>
        <v>1823</v>
      </c>
      <c r="C8408" t="s">
        <v>528</v>
      </c>
      <c r="D8408" t="s">
        <v>26</v>
      </c>
      <c r="E8408" s="208" t="s">
        <v>39</v>
      </c>
      <c r="F8408" t="s">
        <v>164</v>
      </c>
      <c r="G8408" s="18">
        <v>0</v>
      </c>
      <c r="H8408" t="s">
        <v>160</v>
      </c>
      <c r="I8408" t="s">
        <v>17</v>
      </c>
    </row>
    <row r="8409" spans="1:9" x14ac:dyDescent="0.25">
      <c r="A8409">
        <v>1822</v>
      </c>
      <c r="B8409">
        <f>A8409+1</f>
        <v>1823</v>
      </c>
      <c r="C8409" t="s">
        <v>528</v>
      </c>
      <c r="D8409" t="s">
        <v>26</v>
      </c>
      <c r="E8409" s="208" t="s">
        <v>99</v>
      </c>
      <c r="F8409" t="s">
        <v>164</v>
      </c>
      <c r="G8409" s="18">
        <v>232</v>
      </c>
      <c r="H8409" t="s">
        <v>160</v>
      </c>
      <c r="I8409" t="s">
        <v>17</v>
      </c>
    </row>
    <row r="8410" spans="1:9" x14ac:dyDescent="0.25">
      <c r="A8410">
        <v>1822</v>
      </c>
      <c r="B8410">
        <f>A8410+1</f>
        <v>1823</v>
      </c>
      <c r="C8410" t="s">
        <v>528</v>
      </c>
      <c r="D8410" t="s">
        <v>26</v>
      </c>
      <c r="E8410" s="208" t="s">
        <v>95</v>
      </c>
      <c r="F8410" t="s">
        <v>164</v>
      </c>
      <c r="G8410" s="18">
        <v>0</v>
      </c>
      <c r="H8410" t="s">
        <v>160</v>
      </c>
      <c r="I8410" t="s">
        <v>17</v>
      </c>
    </row>
    <row r="8411" spans="1:9" x14ac:dyDescent="0.25">
      <c r="A8411">
        <v>1822</v>
      </c>
      <c r="B8411">
        <f>A8411+1</f>
        <v>1823</v>
      </c>
      <c r="C8411" t="s">
        <v>528</v>
      </c>
      <c r="D8411" t="s">
        <v>26</v>
      </c>
      <c r="E8411" s="208" t="s">
        <v>94</v>
      </c>
      <c r="F8411" t="s">
        <v>164</v>
      </c>
      <c r="G8411" s="18">
        <v>30</v>
      </c>
      <c r="H8411" t="s">
        <v>160</v>
      </c>
      <c r="I8411" t="s">
        <v>17</v>
      </c>
    </row>
    <row r="8412" spans="1:9" x14ac:dyDescent="0.25">
      <c r="A8412">
        <v>1822</v>
      </c>
      <c r="B8412">
        <f>A8412+1</f>
        <v>1823</v>
      </c>
      <c r="C8412" t="s">
        <v>528</v>
      </c>
      <c r="D8412" t="s">
        <v>26</v>
      </c>
      <c r="E8412" s="208" t="s">
        <v>386</v>
      </c>
      <c r="F8412" t="s">
        <v>164</v>
      </c>
      <c r="G8412" s="18">
        <v>0</v>
      </c>
      <c r="H8412" t="s">
        <v>160</v>
      </c>
      <c r="I8412" t="s">
        <v>17</v>
      </c>
    </row>
    <row r="8413" spans="1:9" x14ac:dyDescent="0.25">
      <c r="A8413">
        <v>1822</v>
      </c>
      <c r="B8413">
        <f>A8413+1</f>
        <v>1823</v>
      </c>
      <c r="C8413" t="s">
        <v>528</v>
      </c>
      <c r="D8413" t="s">
        <v>26</v>
      </c>
      <c r="E8413" s="208" t="s">
        <v>387</v>
      </c>
      <c r="F8413" t="s">
        <v>164</v>
      </c>
      <c r="G8413" s="18">
        <v>0</v>
      </c>
      <c r="H8413" t="s">
        <v>160</v>
      </c>
      <c r="I8413" t="s">
        <v>17</v>
      </c>
    </row>
    <row r="8414" spans="1:9" x14ac:dyDescent="0.25">
      <c r="A8414">
        <v>1822</v>
      </c>
      <c r="B8414">
        <f>A8414+1</f>
        <v>1823</v>
      </c>
      <c r="C8414" t="s">
        <v>528</v>
      </c>
      <c r="D8414" t="s">
        <v>26</v>
      </c>
      <c r="E8414" s="208" t="s">
        <v>388</v>
      </c>
      <c r="F8414" t="s">
        <v>164</v>
      </c>
      <c r="G8414" s="18">
        <v>0</v>
      </c>
      <c r="H8414" t="s">
        <v>160</v>
      </c>
      <c r="I8414" t="s">
        <v>17</v>
      </c>
    </row>
    <row r="8415" spans="1:9" x14ac:dyDescent="0.25">
      <c r="A8415">
        <v>1822</v>
      </c>
      <c r="B8415">
        <f>A8415+1</f>
        <v>1823</v>
      </c>
      <c r="C8415" t="s">
        <v>528</v>
      </c>
      <c r="D8415" t="s">
        <v>26</v>
      </c>
      <c r="E8415" s="208" t="s">
        <v>383</v>
      </c>
      <c r="F8415" t="s">
        <v>164</v>
      </c>
      <c r="G8415" s="18">
        <v>0</v>
      </c>
      <c r="H8415" t="s">
        <v>160</v>
      </c>
      <c r="I8415" t="s">
        <v>17</v>
      </c>
    </row>
    <row r="8416" spans="1:9" x14ac:dyDescent="0.25">
      <c r="A8416">
        <v>1822</v>
      </c>
      <c r="B8416">
        <f>A8416+1</f>
        <v>1823</v>
      </c>
      <c r="C8416" t="s">
        <v>528</v>
      </c>
      <c r="D8416" t="s">
        <v>26</v>
      </c>
      <c r="E8416" s="208" t="s">
        <v>384</v>
      </c>
      <c r="F8416" t="s">
        <v>164</v>
      </c>
      <c r="G8416" s="18">
        <v>0</v>
      </c>
      <c r="H8416" t="s">
        <v>160</v>
      </c>
      <c r="I8416" t="s">
        <v>17</v>
      </c>
    </row>
    <row r="8417" spans="1:9" x14ac:dyDescent="0.25">
      <c r="A8417">
        <v>1822</v>
      </c>
      <c r="B8417">
        <f>A8417+1</f>
        <v>1823</v>
      </c>
      <c r="C8417" t="s">
        <v>528</v>
      </c>
      <c r="D8417" t="s">
        <v>26</v>
      </c>
      <c r="E8417" s="208" t="s">
        <v>107</v>
      </c>
      <c r="F8417" t="s">
        <v>164</v>
      </c>
      <c r="G8417" s="18">
        <v>0</v>
      </c>
      <c r="H8417" t="s">
        <v>160</v>
      </c>
      <c r="I8417" t="s">
        <v>17</v>
      </c>
    </row>
    <row r="8418" spans="1:9" x14ac:dyDescent="0.25">
      <c r="A8418">
        <v>1822</v>
      </c>
      <c r="B8418">
        <f>A8418+1</f>
        <v>1823</v>
      </c>
      <c r="C8418" t="s">
        <v>528</v>
      </c>
      <c r="D8418" t="s">
        <v>26</v>
      </c>
      <c r="E8418" s="208" t="s">
        <v>101</v>
      </c>
      <c r="F8418" t="s">
        <v>164</v>
      </c>
      <c r="G8418" s="18">
        <v>0</v>
      </c>
      <c r="H8418" t="s">
        <v>160</v>
      </c>
      <c r="I8418" t="s">
        <v>17</v>
      </c>
    </row>
    <row r="8419" spans="1:9" x14ac:dyDescent="0.25">
      <c r="A8419">
        <v>1822</v>
      </c>
      <c r="B8419">
        <f>A8419+1</f>
        <v>1823</v>
      </c>
      <c r="C8419" t="s">
        <v>528</v>
      </c>
      <c r="D8419" t="s">
        <v>26</v>
      </c>
      <c r="E8419" s="208" t="s">
        <v>75</v>
      </c>
      <c r="F8419" t="s">
        <v>164</v>
      </c>
      <c r="G8419" s="18">
        <v>0</v>
      </c>
      <c r="H8419" t="s">
        <v>160</v>
      </c>
      <c r="I8419" t="s">
        <v>17</v>
      </c>
    </row>
    <row r="8420" spans="1:9" x14ac:dyDescent="0.25">
      <c r="A8420">
        <v>1822</v>
      </c>
      <c r="B8420">
        <f>A8420+1</f>
        <v>1823</v>
      </c>
      <c r="C8420" t="s">
        <v>528</v>
      </c>
      <c r="D8420" t="s">
        <v>26</v>
      </c>
      <c r="E8420" s="208" t="s">
        <v>330</v>
      </c>
      <c r="F8420" t="s">
        <v>164</v>
      </c>
      <c r="G8420" s="18">
        <v>0</v>
      </c>
      <c r="H8420" t="s">
        <v>160</v>
      </c>
      <c r="I8420" t="s">
        <v>17</v>
      </c>
    </row>
    <row r="8421" spans="1:9" x14ac:dyDescent="0.25">
      <c r="A8421">
        <v>1822</v>
      </c>
      <c r="B8421">
        <f>A8421+1</f>
        <v>1823</v>
      </c>
      <c r="C8421" t="s">
        <v>528</v>
      </c>
      <c r="D8421" t="s">
        <v>26</v>
      </c>
      <c r="E8421" s="208" t="s">
        <v>331</v>
      </c>
      <c r="F8421" t="s">
        <v>164</v>
      </c>
      <c r="G8421" s="18">
        <v>0</v>
      </c>
      <c r="H8421" t="s">
        <v>160</v>
      </c>
      <c r="I8421" t="s">
        <v>17</v>
      </c>
    </row>
    <row r="8422" spans="1:9" x14ac:dyDescent="0.25">
      <c r="A8422">
        <v>1822</v>
      </c>
      <c r="B8422">
        <f>A8422+1</f>
        <v>1823</v>
      </c>
      <c r="C8422" t="s">
        <v>528</v>
      </c>
      <c r="D8422" t="s">
        <v>26</v>
      </c>
      <c r="E8422" s="208" t="s">
        <v>332</v>
      </c>
      <c r="F8422" t="s">
        <v>164</v>
      </c>
      <c r="G8422" s="18">
        <v>0</v>
      </c>
      <c r="H8422" t="s">
        <v>160</v>
      </c>
      <c r="I8422" t="s">
        <v>17</v>
      </c>
    </row>
    <row r="8423" spans="1:9" x14ac:dyDescent="0.25">
      <c r="A8423">
        <v>1822</v>
      </c>
      <c r="B8423">
        <f>A8423+1</f>
        <v>1823</v>
      </c>
      <c r="C8423" t="s">
        <v>528</v>
      </c>
      <c r="D8423" t="s">
        <v>26</v>
      </c>
      <c r="E8423" s="208" t="s">
        <v>333</v>
      </c>
      <c r="F8423" t="s">
        <v>164</v>
      </c>
      <c r="G8423" s="18">
        <v>0</v>
      </c>
      <c r="H8423" t="s">
        <v>160</v>
      </c>
      <c r="I8423" t="s">
        <v>17</v>
      </c>
    </row>
    <row r="8424" spans="1:9" x14ac:dyDescent="0.25">
      <c r="A8424">
        <v>1822</v>
      </c>
      <c r="B8424">
        <f>A8424+1</f>
        <v>1823</v>
      </c>
      <c r="C8424" t="s">
        <v>528</v>
      </c>
      <c r="D8424" t="s">
        <v>27</v>
      </c>
      <c r="E8424" s="208" t="s">
        <v>155</v>
      </c>
      <c r="F8424" t="s">
        <v>9</v>
      </c>
      <c r="G8424" s="18">
        <v>653</v>
      </c>
      <c r="H8424" t="s">
        <v>17</v>
      </c>
      <c r="I8424" t="s">
        <v>21</v>
      </c>
    </row>
    <row r="8425" spans="1:9" x14ac:dyDescent="0.25">
      <c r="A8425">
        <v>1822</v>
      </c>
      <c r="B8425">
        <f>A8425+1</f>
        <v>1823</v>
      </c>
      <c r="C8425" t="s">
        <v>528</v>
      </c>
      <c r="D8425" t="s">
        <v>27</v>
      </c>
      <c r="E8425" s="208" t="s">
        <v>156</v>
      </c>
      <c r="F8425" t="s">
        <v>9</v>
      </c>
      <c r="G8425" s="18">
        <v>80</v>
      </c>
      <c r="H8425" t="s">
        <v>17</v>
      </c>
      <c r="I8425" t="s">
        <v>21</v>
      </c>
    </row>
    <row r="8426" spans="1:9" x14ac:dyDescent="0.25">
      <c r="A8426">
        <v>1822</v>
      </c>
      <c r="B8426">
        <f>A8426+1</f>
        <v>1823</v>
      </c>
      <c r="C8426" t="s">
        <v>528</v>
      </c>
      <c r="D8426" t="s">
        <v>27</v>
      </c>
      <c r="E8426" s="208" t="s">
        <v>154</v>
      </c>
      <c r="F8426" t="s">
        <v>9</v>
      </c>
      <c r="G8426" s="18">
        <v>51</v>
      </c>
      <c r="H8426" t="s">
        <v>17</v>
      </c>
      <c r="I8426" t="s">
        <v>21</v>
      </c>
    </row>
    <row r="8427" spans="1:9" x14ac:dyDescent="0.25">
      <c r="A8427">
        <v>1822</v>
      </c>
      <c r="B8427">
        <f>A8427+1</f>
        <v>1823</v>
      </c>
      <c r="C8427" t="s">
        <v>528</v>
      </c>
      <c r="D8427" t="s">
        <v>27</v>
      </c>
      <c r="E8427" s="208" t="s">
        <v>150</v>
      </c>
      <c r="F8427" t="s">
        <v>9</v>
      </c>
      <c r="G8427" s="18">
        <v>308</v>
      </c>
      <c r="H8427" t="s">
        <v>17</v>
      </c>
      <c r="I8427" t="s">
        <v>21</v>
      </c>
    </row>
    <row r="8428" spans="1:9" x14ac:dyDescent="0.25">
      <c r="A8428">
        <v>1822</v>
      </c>
      <c r="B8428">
        <f>A8428+1</f>
        <v>1823</v>
      </c>
      <c r="C8428" t="s">
        <v>528</v>
      </c>
      <c r="D8428" t="s">
        <v>27</v>
      </c>
      <c r="E8428" s="208" t="s">
        <v>148</v>
      </c>
      <c r="F8428" t="s">
        <v>9</v>
      </c>
      <c r="G8428" s="18">
        <v>88</v>
      </c>
      <c r="H8428" t="s">
        <v>17</v>
      </c>
      <c r="I8428" t="s">
        <v>21</v>
      </c>
    </row>
    <row r="8429" spans="1:9" x14ac:dyDescent="0.25">
      <c r="A8429">
        <v>1822</v>
      </c>
      <c r="B8429">
        <f>A8429+1</f>
        <v>1823</v>
      </c>
      <c r="C8429" t="s">
        <v>528</v>
      </c>
      <c r="D8429" t="s">
        <v>27</v>
      </c>
      <c r="E8429" s="208" t="s">
        <v>147</v>
      </c>
      <c r="F8429" t="s">
        <v>9</v>
      </c>
      <c r="G8429" s="18">
        <v>0</v>
      </c>
      <c r="H8429" t="s">
        <v>17</v>
      </c>
      <c r="I8429" t="s">
        <v>21</v>
      </c>
    </row>
    <row r="8430" spans="1:9" x14ac:dyDescent="0.25">
      <c r="A8430">
        <v>1822</v>
      </c>
      <c r="B8430">
        <f>A8430+1</f>
        <v>1823</v>
      </c>
      <c r="C8430" t="s">
        <v>528</v>
      </c>
      <c r="D8430" t="s">
        <v>27</v>
      </c>
      <c r="E8430" s="208" t="s">
        <v>314</v>
      </c>
      <c r="F8430" t="s">
        <v>9</v>
      </c>
      <c r="G8430" s="18">
        <v>0</v>
      </c>
      <c r="H8430" t="s">
        <v>17</v>
      </c>
      <c r="I8430" t="s">
        <v>21</v>
      </c>
    </row>
    <row r="8431" spans="1:9" x14ac:dyDescent="0.25">
      <c r="A8431">
        <v>1822</v>
      </c>
      <c r="B8431">
        <f>A8431+1</f>
        <v>1823</v>
      </c>
      <c r="C8431" t="s">
        <v>528</v>
      </c>
      <c r="D8431" t="s">
        <v>27</v>
      </c>
      <c r="E8431" s="208" t="s">
        <v>139</v>
      </c>
      <c r="F8431" t="s">
        <v>9</v>
      </c>
      <c r="G8431" s="18">
        <v>0</v>
      </c>
      <c r="H8431" t="s">
        <v>17</v>
      </c>
      <c r="I8431" t="s">
        <v>21</v>
      </c>
    </row>
    <row r="8432" spans="1:9" x14ac:dyDescent="0.25">
      <c r="A8432">
        <v>1822</v>
      </c>
      <c r="B8432">
        <f>A8432+1</f>
        <v>1823</v>
      </c>
      <c r="C8432" t="s">
        <v>528</v>
      </c>
      <c r="D8432" t="s">
        <v>27</v>
      </c>
      <c r="E8432" s="208" t="s">
        <v>132</v>
      </c>
      <c r="F8432" t="s">
        <v>9</v>
      </c>
      <c r="G8432" s="18">
        <v>0</v>
      </c>
      <c r="H8432" t="s">
        <v>17</v>
      </c>
      <c r="I8432" t="s">
        <v>21</v>
      </c>
    </row>
    <row r="8433" spans="1:9" x14ac:dyDescent="0.25">
      <c r="A8433">
        <v>1822</v>
      </c>
      <c r="B8433">
        <f>A8433+1</f>
        <v>1823</v>
      </c>
      <c r="C8433" t="s">
        <v>528</v>
      </c>
      <c r="D8433" t="s">
        <v>27</v>
      </c>
      <c r="E8433" s="208" t="s">
        <v>130</v>
      </c>
      <c r="F8433" t="s">
        <v>9</v>
      </c>
      <c r="G8433" s="18">
        <v>0</v>
      </c>
      <c r="H8433" t="s">
        <v>17</v>
      </c>
      <c r="I8433" t="s">
        <v>21</v>
      </c>
    </row>
    <row r="8434" spans="1:9" x14ac:dyDescent="0.25">
      <c r="A8434">
        <v>1822</v>
      </c>
      <c r="B8434">
        <f>A8434+1</f>
        <v>1823</v>
      </c>
      <c r="C8434" t="s">
        <v>528</v>
      </c>
      <c r="D8434" t="s">
        <v>27</v>
      </c>
      <c r="E8434" s="208" t="s">
        <v>144</v>
      </c>
      <c r="F8434" t="s">
        <v>9</v>
      </c>
      <c r="G8434" s="18">
        <v>0</v>
      </c>
      <c r="H8434" t="s">
        <v>17</v>
      </c>
      <c r="I8434" t="s">
        <v>21</v>
      </c>
    </row>
    <row r="8435" spans="1:9" x14ac:dyDescent="0.25">
      <c r="A8435">
        <v>1822</v>
      </c>
      <c r="B8435">
        <f>A8435+1</f>
        <v>1823</v>
      </c>
      <c r="C8435" t="s">
        <v>528</v>
      </c>
      <c r="D8435" t="s">
        <v>27</v>
      </c>
      <c r="E8435" s="208" t="s">
        <v>142</v>
      </c>
      <c r="F8435" t="s">
        <v>9</v>
      </c>
      <c r="G8435" s="18">
        <v>55</v>
      </c>
      <c r="H8435" t="s">
        <v>17</v>
      </c>
      <c r="I8435" t="s">
        <v>21</v>
      </c>
    </row>
    <row r="8436" spans="1:9" x14ac:dyDescent="0.25">
      <c r="A8436">
        <v>1822</v>
      </c>
      <c r="B8436">
        <f>A8436+1</f>
        <v>1823</v>
      </c>
      <c r="C8436" t="s">
        <v>528</v>
      </c>
      <c r="D8436" t="s">
        <v>27</v>
      </c>
      <c r="E8436" s="208" t="s">
        <v>124</v>
      </c>
      <c r="F8436" t="s">
        <v>9</v>
      </c>
      <c r="G8436" s="18">
        <v>23829</v>
      </c>
      <c r="H8436" t="s">
        <v>17</v>
      </c>
      <c r="I8436" t="s">
        <v>21</v>
      </c>
    </row>
    <row r="8437" spans="1:9" x14ac:dyDescent="0.25">
      <c r="A8437">
        <v>1822</v>
      </c>
      <c r="B8437">
        <f>A8437+1</f>
        <v>1823</v>
      </c>
      <c r="C8437" t="s">
        <v>528</v>
      </c>
      <c r="D8437" t="s">
        <v>27</v>
      </c>
      <c r="E8437" s="208" t="s">
        <v>155</v>
      </c>
      <c r="F8437" t="s">
        <v>13</v>
      </c>
      <c r="G8437" s="18">
        <v>0</v>
      </c>
      <c r="H8437" t="s">
        <v>17</v>
      </c>
      <c r="I8437" t="s">
        <v>25</v>
      </c>
    </row>
    <row r="8438" spans="1:9" x14ac:dyDescent="0.25">
      <c r="A8438">
        <v>1822</v>
      </c>
      <c r="B8438">
        <f>A8438+1</f>
        <v>1823</v>
      </c>
      <c r="C8438" t="s">
        <v>528</v>
      </c>
      <c r="D8438" t="s">
        <v>27</v>
      </c>
      <c r="E8438" s="208" t="s">
        <v>156</v>
      </c>
      <c r="F8438" t="s">
        <v>13</v>
      </c>
      <c r="G8438" s="18">
        <v>0</v>
      </c>
      <c r="H8438" t="s">
        <v>17</v>
      </c>
      <c r="I8438" t="s">
        <v>25</v>
      </c>
    </row>
    <row r="8439" spans="1:9" x14ac:dyDescent="0.25">
      <c r="A8439">
        <v>1822</v>
      </c>
      <c r="B8439">
        <f>A8439+1</f>
        <v>1823</v>
      </c>
      <c r="C8439" t="s">
        <v>528</v>
      </c>
      <c r="D8439" t="s">
        <v>27</v>
      </c>
      <c r="E8439" s="208" t="s">
        <v>154</v>
      </c>
      <c r="F8439" t="s">
        <v>13</v>
      </c>
      <c r="G8439" s="18">
        <v>0</v>
      </c>
      <c r="H8439" t="s">
        <v>17</v>
      </c>
      <c r="I8439" t="s">
        <v>25</v>
      </c>
    </row>
    <row r="8440" spans="1:9" x14ac:dyDescent="0.25">
      <c r="A8440">
        <v>1822</v>
      </c>
      <c r="B8440">
        <f>A8440+1</f>
        <v>1823</v>
      </c>
      <c r="C8440" t="s">
        <v>528</v>
      </c>
      <c r="D8440" t="s">
        <v>27</v>
      </c>
      <c r="E8440" s="208" t="s">
        <v>150</v>
      </c>
      <c r="F8440" t="s">
        <v>13</v>
      </c>
      <c r="G8440" s="18">
        <v>97</v>
      </c>
      <c r="H8440" t="s">
        <v>17</v>
      </c>
      <c r="I8440" t="s">
        <v>25</v>
      </c>
    </row>
    <row r="8441" spans="1:9" x14ac:dyDescent="0.25">
      <c r="A8441">
        <v>1822</v>
      </c>
      <c r="B8441">
        <f>A8441+1</f>
        <v>1823</v>
      </c>
      <c r="C8441" t="s">
        <v>528</v>
      </c>
      <c r="D8441" t="s">
        <v>27</v>
      </c>
      <c r="E8441" s="208" t="s">
        <v>148</v>
      </c>
      <c r="F8441" t="s">
        <v>13</v>
      </c>
      <c r="G8441" s="18">
        <v>0</v>
      </c>
      <c r="H8441" t="s">
        <v>17</v>
      </c>
      <c r="I8441" t="s">
        <v>25</v>
      </c>
    </row>
    <row r="8442" spans="1:9" x14ac:dyDescent="0.25">
      <c r="A8442">
        <v>1822</v>
      </c>
      <c r="B8442">
        <f>A8442+1</f>
        <v>1823</v>
      </c>
      <c r="C8442" t="s">
        <v>528</v>
      </c>
      <c r="D8442" t="s">
        <v>27</v>
      </c>
      <c r="E8442" s="208" t="s">
        <v>147</v>
      </c>
      <c r="F8442" t="s">
        <v>13</v>
      </c>
      <c r="G8442" s="18">
        <v>0</v>
      </c>
      <c r="H8442" t="s">
        <v>17</v>
      </c>
      <c r="I8442" t="s">
        <v>25</v>
      </c>
    </row>
    <row r="8443" spans="1:9" x14ac:dyDescent="0.25">
      <c r="A8443">
        <v>1822</v>
      </c>
      <c r="B8443">
        <f>A8443+1</f>
        <v>1823</v>
      </c>
      <c r="C8443" t="s">
        <v>528</v>
      </c>
      <c r="D8443" t="s">
        <v>27</v>
      </c>
      <c r="E8443" s="208" t="s">
        <v>314</v>
      </c>
      <c r="F8443" t="s">
        <v>13</v>
      </c>
      <c r="G8443" s="18">
        <v>10</v>
      </c>
      <c r="H8443" t="s">
        <v>17</v>
      </c>
      <c r="I8443" t="s">
        <v>25</v>
      </c>
    </row>
    <row r="8444" spans="1:9" x14ac:dyDescent="0.25">
      <c r="A8444">
        <v>1822</v>
      </c>
      <c r="B8444">
        <f>A8444+1</f>
        <v>1823</v>
      </c>
      <c r="C8444" t="s">
        <v>528</v>
      </c>
      <c r="D8444" t="s">
        <v>27</v>
      </c>
      <c r="E8444" s="208" t="s">
        <v>139</v>
      </c>
      <c r="F8444" t="s">
        <v>13</v>
      </c>
      <c r="G8444" s="18">
        <v>0</v>
      </c>
      <c r="H8444" t="s">
        <v>17</v>
      </c>
      <c r="I8444" t="s">
        <v>25</v>
      </c>
    </row>
    <row r="8445" spans="1:9" x14ac:dyDescent="0.25">
      <c r="A8445">
        <v>1822</v>
      </c>
      <c r="B8445">
        <f>A8445+1</f>
        <v>1823</v>
      </c>
      <c r="C8445" t="s">
        <v>528</v>
      </c>
      <c r="D8445" t="s">
        <v>27</v>
      </c>
      <c r="E8445" s="208" t="s">
        <v>132</v>
      </c>
      <c r="F8445" t="s">
        <v>13</v>
      </c>
      <c r="G8445" s="18">
        <v>0</v>
      </c>
      <c r="H8445" t="s">
        <v>17</v>
      </c>
      <c r="I8445" t="s">
        <v>25</v>
      </c>
    </row>
    <row r="8446" spans="1:9" x14ac:dyDescent="0.25">
      <c r="A8446">
        <v>1822</v>
      </c>
      <c r="B8446">
        <f>A8446+1</f>
        <v>1823</v>
      </c>
      <c r="C8446" t="s">
        <v>528</v>
      </c>
      <c r="D8446" t="s">
        <v>27</v>
      </c>
      <c r="E8446" s="208" t="s">
        <v>130</v>
      </c>
      <c r="F8446" t="s">
        <v>13</v>
      </c>
      <c r="G8446" s="18">
        <v>0</v>
      </c>
      <c r="H8446" t="s">
        <v>17</v>
      </c>
      <c r="I8446" t="s">
        <v>25</v>
      </c>
    </row>
    <row r="8447" spans="1:9" x14ac:dyDescent="0.25">
      <c r="A8447">
        <v>1822</v>
      </c>
      <c r="B8447">
        <f>A8447+1</f>
        <v>1823</v>
      </c>
      <c r="C8447" t="s">
        <v>528</v>
      </c>
      <c r="D8447" t="s">
        <v>27</v>
      </c>
      <c r="E8447" s="208" t="s">
        <v>144</v>
      </c>
      <c r="F8447" t="s">
        <v>13</v>
      </c>
      <c r="G8447" s="18">
        <v>0</v>
      </c>
      <c r="H8447" t="s">
        <v>17</v>
      </c>
      <c r="I8447" t="s">
        <v>25</v>
      </c>
    </row>
    <row r="8448" spans="1:9" x14ac:dyDescent="0.25">
      <c r="A8448">
        <v>1822</v>
      </c>
      <c r="B8448">
        <f>A8448+1</f>
        <v>1823</v>
      </c>
      <c r="C8448" t="s">
        <v>528</v>
      </c>
      <c r="D8448" t="s">
        <v>27</v>
      </c>
      <c r="E8448" s="208" t="s">
        <v>142</v>
      </c>
      <c r="F8448" t="s">
        <v>13</v>
      </c>
      <c r="G8448" s="18">
        <v>0</v>
      </c>
      <c r="H8448" t="s">
        <v>17</v>
      </c>
      <c r="I8448" t="s">
        <v>25</v>
      </c>
    </row>
    <row r="8449" spans="1:9" x14ac:dyDescent="0.25">
      <c r="A8449">
        <v>1822</v>
      </c>
      <c r="B8449">
        <f>A8449+1</f>
        <v>1823</v>
      </c>
      <c r="C8449" t="s">
        <v>528</v>
      </c>
      <c r="D8449" t="s">
        <v>27</v>
      </c>
      <c r="E8449" s="208" t="s">
        <v>124</v>
      </c>
      <c r="F8449" t="s">
        <v>13</v>
      </c>
      <c r="G8449" s="18">
        <v>0</v>
      </c>
      <c r="H8449" t="s">
        <v>17</v>
      </c>
      <c r="I8449" t="s">
        <v>25</v>
      </c>
    </row>
    <row r="8450" spans="1:9" x14ac:dyDescent="0.25">
      <c r="A8450">
        <v>1822</v>
      </c>
      <c r="B8450">
        <f>A8450+1</f>
        <v>1823</v>
      </c>
      <c r="C8450" t="s">
        <v>528</v>
      </c>
      <c r="D8450" t="s">
        <v>26</v>
      </c>
      <c r="E8450" s="208" t="s">
        <v>62</v>
      </c>
      <c r="F8450" t="s">
        <v>13</v>
      </c>
      <c r="G8450" s="18">
        <v>0</v>
      </c>
      <c r="H8450" t="s">
        <v>25</v>
      </c>
      <c r="I8450" t="s">
        <v>17</v>
      </c>
    </row>
    <row r="8451" spans="1:9" x14ac:dyDescent="0.25">
      <c r="A8451">
        <v>1822</v>
      </c>
      <c r="B8451">
        <f>A8451+1</f>
        <v>1823</v>
      </c>
      <c r="C8451" t="s">
        <v>528</v>
      </c>
      <c r="D8451" t="s">
        <v>26</v>
      </c>
      <c r="E8451" s="208" t="s">
        <v>36</v>
      </c>
      <c r="F8451" t="s">
        <v>13</v>
      </c>
      <c r="G8451" s="18">
        <v>0</v>
      </c>
      <c r="H8451" t="s">
        <v>25</v>
      </c>
      <c r="I8451" t="s">
        <v>17</v>
      </c>
    </row>
    <row r="8452" spans="1:9" x14ac:dyDescent="0.25">
      <c r="A8452">
        <v>1822</v>
      </c>
      <c r="B8452">
        <f>A8452+1</f>
        <v>1823</v>
      </c>
      <c r="C8452" t="s">
        <v>528</v>
      </c>
      <c r="D8452" t="s">
        <v>26</v>
      </c>
      <c r="E8452" s="208" t="s">
        <v>35</v>
      </c>
      <c r="F8452" t="s">
        <v>13</v>
      </c>
      <c r="G8452" s="18">
        <v>0</v>
      </c>
      <c r="H8452" t="s">
        <v>25</v>
      </c>
      <c r="I8452" t="s">
        <v>17</v>
      </c>
    </row>
    <row r="8453" spans="1:9" x14ac:dyDescent="0.25">
      <c r="A8453">
        <v>1822</v>
      </c>
      <c r="B8453">
        <f>A8453+1</f>
        <v>1823</v>
      </c>
      <c r="C8453" t="s">
        <v>528</v>
      </c>
      <c r="D8453" t="s">
        <v>26</v>
      </c>
      <c r="E8453" s="208" t="s">
        <v>39</v>
      </c>
      <c r="F8453" t="s">
        <v>13</v>
      </c>
      <c r="G8453" s="18">
        <v>0</v>
      </c>
      <c r="H8453" t="s">
        <v>25</v>
      </c>
      <c r="I8453" t="s">
        <v>17</v>
      </c>
    </row>
    <row r="8454" spans="1:9" x14ac:dyDescent="0.25">
      <c r="A8454">
        <v>1822</v>
      </c>
      <c r="B8454">
        <f>A8454+1</f>
        <v>1823</v>
      </c>
      <c r="C8454" t="s">
        <v>528</v>
      </c>
      <c r="D8454" t="s">
        <v>26</v>
      </c>
      <c r="E8454" s="208" t="s">
        <v>99</v>
      </c>
      <c r="F8454" t="s">
        <v>13</v>
      </c>
      <c r="G8454" s="18">
        <v>0</v>
      </c>
      <c r="H8454" t="s">
        <v>25</v>
      </c>
      <c r="I8454" t="s">
        <v>17</v>
      </c>
    </row>
    <row r="8455" spans="1:9" x14ac:dyDescent="0.25">
      <c r="A8455">
        <v>1822</v>
      </c>
      <c r="B8455">
        <f>A8455+1</f>
        <v>1823</v>
      </c>
      <c r="C8455" t="s">
        <v>528</v>
      </c>
      <c r="D8455" t="s">
        <v>26</v>
      </c>
      <c r="E8455" s="208" t="s">
        <v>95</v>
      </c>
      <c r="F8455" t="s">
        <v>13</v>
      </c>
      <c r="G8455" s="18">
        <v>0</v>
      </c>
      <c r="H8455" t="s">
        <v>25</v>
      </c>
      <c r="I8455" t="s">
        <v>17</v>
      </c>
    </row>
    <row r="8456" spans="1:9" x14ac:dyDescent="0.25">
      <c r="A8456">
        <v>1822</v>
      </c>
      <c r="B8456">
        <f>A8456+1</f>
        <v>1823</v>
      </c>
      <c r="C8456" t="s">
        <v>528</v>
      </c>
      <c r="D8456" t="s">
        <v>26</v>
      </c>
      <c r="E8456" s="208" t="s">
        <v>94</v>
      </c>
      <c r="F8456" t="s">
        <v>13</v>
      </c>
      <c r="G8456" s="18">
        <v>0</v>
      </c>
      <c r="H8456" t="s">
        <v>25</v>
      </c>
      <c r="I8456" t="s">
        <v>17</v>
      </c>
    </row>
    <row r="8457" spans="1:9" x14ac:dyDescent="0.25">
      <c r="A8457">
        <v>1822</v>
      </c>
      <c r="B8457">
        <f>A8457+1</f>
        <v>1823</v>
      </c>
      <c r="C8457" t="s">
        <v>528</v>
      </c>
      <c r="D8457" t="s">
        <v>26</v>
      </c>
      <c r="E8457" s="208" t="s">
        <v>386</v>
      </c>
      <c r="F8457" t="s">
        <v>13</v>
      </c>
      <c r="G8457" s="18">
        <v>180</v>
      </c>
      <c r="H8457" t="s">
        <v>25</v>
      </c>
      <c r="I8457" t="s">
        <v>17</v>
      </c>
    </row>
    <row r="8458" spans="1:9" x14ac:dyDescent="0.25">
      <c r="A8458">
        <v>1822</v>
      </c>
      <c r="B8458">
        <f>A8458+1</f>
        <v>1823</v>
      </c>
      <c r="C8458" t="s">
        <v>528</v>
      </c>
      <c r="D8458" t="s">
        <v>26</v>
      </c>
      <c r="E8458" s="208" t="s">
        <v>387</v>
      </c>
      <c r="F8458" t="s">
        <v>13</v>
      </c>
      <c r="G8458" s="18">
        <v>0</v>
      </c>
      <c r="H8458" t="s">
        <v>25</v>
      </c>
      <c r="I8458" t="s">
        <v>17</v>
      </c>
    </row>
    <row r="8459" spans="1:9" x14ac:dyDescent="0.25">
      <c r="A8459">
        <v>1822</v>
      </c>
      <c r="B8459">
        <f>A8459+1</f>
        <v>1823</v>
      </c>
      <c r="C8459" t="s">
        <v>528</v>
      </c>
      <c r="D8459" t="s">
        <v>26</v>
      </c>
      <c r="E8459" s="208" t="s">
        <v>388</v>
      </c>
      <c r="F8459" t="s">
        <v>13</v>
      </c>
      <c r="G8459" s="18">
        <v>0</v>
      </c>
      <c r="H8459" t="s">
        <v>25</v>
      </c>
      <c r="I8459" t="s">
        <v>17</v>
      </c>
    </row>
    <row r="8460" spans="1:9" x14ac:dyDescent="0.25">
      <c r="A8460">
        <v>1822</v>
      </c>
      <c r="B8460">
        <f>A8460+1</f>
        <v>1823</v>
      </c>
      <c r="C8460" t="s">
        <v>528</v>
      </c>
      <c r="D8460" t="s">
        <v>26</v>
      </c>
      <c r="E8460" s="208" t="s">
        <v>383</v>
      </c>
      <c r="F8460" t="s">
        <v>13</v>
      </c>
      <c r="G8460" s="18">
        <v>0</v>
      </c>
      <c r="H8460" t="s">
        <v>25</v>
      </c>
      <c r="I8460" t="s">
        <v>17</v>
      </c>
    </row>
    <row r="8461" spans="1:9" x14ac:dyDescent="0.25">
      <c r="A8461">
        <v>1822</v>
      </c>
      <c r="B8461">
        <f>A8461+1</f>
        <v>1823</v>
      </c>
      <c r="C8461" t="s">
        <v>528</v>
      </c>
      <c r="D8461" t="s">
        <v>26</v>
      </c>
      <c r="E8461" s="208" t="s">
        <v>384</v>
      </c>
      <c r="F8461" t="s">
        <v>13</v>
      </c>
      <c r="G8461" s="18">
        <v>0</v>
      </c>
      <c r="H8461" t="s">
        <v>25</v>
      </c>
      <c r="I8461" t="s">
        <v>17</v>
      </c>
    </row>
    <row r="8462" spans="1:9" x14ac:dyDescent="0.25">
      <c r="A8462">
        <v>1822</v>
      </c>
      <c r="B8462">
        <f>A8462+1</f>
        <v>1823</v>
      </c>
      <c r="C8462" t="s">
        <v>528</v>
      </c>
      <c r="D8462" t="s">
        <v>26</v>
      </c>
      <c r="E8462" s="208" t="s">
        <v>107</v>
      </c>
      <c r="F8462" t="s">
        <v>13</v>
      </c>
      <c r="G8462" s="18">
        <v>0</v>
      </c>
      <c r="H8462" t="s">
        <v>25</v>
      </c>
      <c r="I8462" t="s">
        <v>17</v>
      </c>
    </row>
    <row r="8463" spans="1:9" x14ac:dyDescent="0.25">
      <c r="A8463">
        <v>1822</v>
      </c>
      <c r="B8463">
        <f>A8463+1</f>
        <v>1823</v>
      </c>
      <c r="C8463" t="s">
        <v>528</v>
      </c>
      <c r="D8463" t="s">
        <v>26</v>
      </c>
      <c r="E8463" s="208" t="s">
        <v>101</v>
      </c>
      <c r="F8463" t="s">
        <v>13</v>
      </c>
      <c r="G8463" s="18">
        <v>0</v>
      </c>
      <c r="H8463" t="s">
        <v>25</v>
      </c>
      <c r="I8463" t="s">
        <v>17</v>
      </c>
    </row>
    <row r="8464" spans="1:9" x14ac:dyDescent="0.25">
      <c r="A8464">
        <v>1822</v>
      </c>
      <c r="B8464">
        <f>A8464+1</f>
        <v>1823</v>
      </c>
      <c r="C8464" t="s">
        <v>528</v>
      </c>
      <c r="D8464" t="s">
        <v>26</v>
      </c>
      <c r="E8464" s="208" t="s">
        <v>75</v>
      </c>
      <c r="F8464" t="s">
        <v>13</v>
      </c>
      <c r="G8464" s="18">
        <v>0</v>
      </c>
      <c r="H8464" t="s">
        <v>25</v>
      </c>
      <c r="I8464" t="s">
        <v>17</v>
      </c>
    </row>
    <row r="8465" spans="1:9" x14ac:dyDescent="0.25">
      <c r="A8465">
        <v>1822</v>
      </c>
      <c r="B8465">
        <f>A8465+1</f>
        <v>1823</v>
      </c>
      <c r="C8465" t="s">
        <v>528</v>
      </c>
      <c r="D8465" t="s">
        <v>26</v>
      </c>
      <c r="E8465" s="208" t="s">
        <v>330</v>
      </c>
      <c r="F8465" t="s">
        <v>13</v>
      </c>
      <c r="G8465" s="18">
        <v>145</v>
      </c>
      <c r="H8465" t="s">
        <v>25</v>
      </c>
      <c r="I8465" t="s">
        <v>17</v>
      </c>
    </row>
    <row r="8466" spans="1:9" x14ac:dyDescent="0.25">
      <c r="A8466">
        <v>1822</v>
      </c>
      <c r="B8466">
        <f>A8466+1</f>
        <v>1823</v>
      </c>
      <c r="C8466" t="s">
        <v>528</v>
      </c>
      <c r="D8466" t="s">
        <v>26</v>
      </c>
      <c r="E8466" s="208" t="s">
        <v>331</v>
      </c>
      <c r="F8466" t="s">
        <v>13</v>
      </c>
      <c r="G8466" s="18">
        <v>5</v>
      </c>
      <c r="H8466" t="s">
        <v>25</v>
      </c>
      <c r="I8466" t="s">
        <v>17</v>
      </c>
    </row>
    <row r="8467" spans="1:9" x14ac:dyDescent="0.25">
      <c r="A8467">
        <v>1822</v>
      </c>
      <c r="B8467">
        <f>A8467+1</f>
        <v>1823</v>
      </c>
      <c r="C8467" t="s">
        <v>528</v>
      </c>
      <c r="D8467" t="s">
        <v>26</v>
      </c>
      <c r="E8467" s="208" t="s">
        <v>332</v>
      </c>
      <c r="F8467" t="s">
        <v>13</v>
      </c>
      <c r="G8467" s="18">
        <v>0</v>
      </c>
      <c r="H8467" t="s">
        <v>25</v>
      </c>
      <c r="I8467" t="s">
        <v>17</v>
      </c>
    </row>
    <row r="8468" spans="1:9" x14ac:dyDescent="0.25">
      <c r="A8468">
        <v>1822</v>
      </c>
      <c r="B8468">
        <f>A8468+1</f>
        <v>1823</v>
      </c>
      <c r="C8468" t="s">
        <v>528</v>
      </c>
      <c r="D8468" t="s">
        <v>26</v>
      </c>
      <c r="E8468" s="208" t="s">
        <v>333</v>
      </c>
      <c r="F8468" t="s">
        <v>13</v>
      </c>
      <c r="G8468" s="18">
        <v>89</v>
      </c>
      <c r="H8468" t="s">
        <v>25</v>
      </c>
      <c r="I8468" t="s">
        <v>17</v>
      </c>
    </row>
    <row r="8469" spans="1:9" x14ac:dyDescent="0.25">
      <c r="A8469">
        <v>1822</v>
      </c>
      <c r="B8469">
        <f>A8469+1</f>
        <v>1823</v>
      </c>
      <c r="C8469" t="s">
        <v>528</v>
      </c>
      <c r="D8469" t="s">
        <v>27</v>
      </c>
      <c r="E8469" s="208" t="s">
        <v>155</v>
      </c>
      <c r="F8469" t="s">
        <v>11</v>
      </c>
      <c r="G8469" s="18">
        <v>168</v>
      </c>
      <c r="H8469" t="s">
        <v>17</v>
      </c>
      <c r="I8469" t="s">
        <v>23</v>
      </c>
    </row>
    <row r="8470" spans="1:9" x14ac:dyDescent="0.25">
      <c r="A8470">
        <v>1822</v>
      </c>
      <c r="B8470">
        <f>A8470+1</f>
        <v>1823</v>
      </c>
      <c r="C8470" t="s">
        <v>528</v>
      </c>
      <c r="D8470" t="s">
        <v>27</v>
      </c>
      <c r="E8470" s="208" t="s">
        <v>156</v>
      </c>
      <c r="F8470" t="s">
        <v>11</v>
      </c>
      <c r="G8470" s="18">
        <v>162</v>
      </c>
      <c r="H8470" t="s">
        <v>17</v>
      </c>
      <c r="I8470" t="s">
        <v>23</v>
      </c>
    </row>
    <row r="8471" spans="1:9" x14ac:dyDescent="0.25">
      <c r="A8471">
        <v>1822</v>
      </c>
      <c r="B8471">
        <f>A8471+1</f>
        <v>1823</v>
      </c>
      <c r="C8471" t="s">
        <v>528</v>
      </c>
      <c r="D8471" t="s">
        <v>27</v>
      </c>
      <c r="E8471" s="208" t="s">
        <v>154</v>
      </c>
      <c r="F8471" t="s">
        <v>11</v>
      </c>
      <c r="G8471" s="18">
        <v>115</v>
      </c>
      <c r="H8471" t="s">
        <v>17</v>
      </c>
      <c r="I8471" t="s">
        <v>23</v>
      </c>
    </row>
    <row r="8472" spans="1:9" x14ac:dyDescent="0.25">
      <c r="A8472">
        <v>1822</v>
      </c>
      <c r="B8472">
        <f>A8472+1</f>
        <v>1823</v>
      </c>
      <c r="C8472" t="s">
        <v>528</v>
      </c>
      <c r="D8472" t="s">
        <v>27</v>
      </c>
      <c r="E8472" s="208" t="s">
        <v>150</v>
      </c>
      <c r="F8472" t="s">
        <v>11</v>
      </c>
      <c r="G8472" s="18">
        <v>2234</v>
      </c>
      <c r="H8472" t="s">
        <v>17</v>
      </c>
      <c r="I8472" t="s">
        <v>23</v>
      </c>
    </row>
    <row r="8473" spans="1:9" x14ac:dyDescent="0.25">
      <c r="A8473">
        <v>1822</v>
      </c>
      <c r="B8473">
        <f>A8473+1</f>
        <v>1823</v>
      </c>
      <c r="C8473" t="s">
        <v>528</v>
      </c>
      <c r="D8473" t="s">
        <v>27</v>
      </c>
      <c r="E8473" s="208" t="s">
        <v>148</v>
      </c>
      <c r="F8473" t="s">
        <v>11</v>
      </c>
      <c r="G8473" s="18">
        <v>26</v>
      </c>
      <c r="H8473" t="s">
        <v>17</v>
      </c>
      <c r="I8473" t="s">
        <v>23</v>
      </c>
    </row>
    <row r="8474" spans="1:9" x14ac:dyDescent="0.25">
      <c r="A8474">
        <v>1822</v>
      </c>
      <c r="B8474">
        <f>A8474+1</f>
        <v>1823</v>
      </c>
      <c r="C8474" t="s">
        <v>528</v>
      </c>
      <c r="D8474" t="s">
        <v>27</v>
      </c>
      <c r="E8474" s="208" t="s">
        <v>147</v>
      </c>
      <c r="F8474" t="s">
        <v>11</v>
      </c>
      <c r="G8474" s="18">
        <v>0</v>
      </c>
      <c r="H8474" t="s">
        <v>17</v>
      </c>
      <c r="I8474" t="s">
        <v>23</v>
      </c>
    </row>
    <row r="8475" spans="1:9" x14ac:dyDescent="0.25">
      <c r="A8475">
        <v>1822</v>
      </c>
      <c r="B8475">
        <f>A8475+1</f>
        <v>1823</v>
      </c>
      <c r="C8475" t="s">
        <v>528</v>
      </c>
      <c r="D8475" t="s">
        <v>27</v>
      </c>
      <c r="E8475" s="208" t="s">
        <v>314</v>
      </c>
      <c r="F8475" t="s">
        <v>11</v>
      </c>
      <c r="G8475" s="18">
        <v>0</v>
      </c>
      <c r="H8475" t="s">
        <v>17</v>
      </c>
      <c r="I8475" t="s">
        <v>23</v>
      </c>
    </row>
    <row r="8476" spans="1:9" x14ac:dyDescent="0.25">
      <c r="A8476">
        <v>1822</v>
      </c>
      <c r="B8476">
        <f>A8476+1</f>
        <v>1823</v>
      </c>
      <c r="C8476" t="s">
        <v>528</v>
      </c>
      <c r="D8476" t="s">
        <v>27</v>
      </c>
      <c r="E8476" s="208" t="s">
        <v>139</v>
      </c>
      <c r="F8476" t="s">
        <v>11</v>
      </c>
      <c r="G8476" s="18">
        <v>271</v>
      </c>
      <c r="H8476" t="s">
        <v>17</v>
      </c>
      <c r="I8476" t="s">
        <v>23</v>
      </c>
    </row>
    <row r="8477" spans="1:9" x14ac:dyDescent="0.25">
      <c r="A8477">
        <v>1822</v>
      </c>
      <c r="B8477">
        <f>A8477+1</f>
        <v>1823</v>
      </c>
      <c r="C8477" t="s">
        <v>528</v>
      </c>
      <c r="D8477" t="s">
        <v>27</v>
      </c>
      <c r="E8477" s="208" t="s">
        <v>132</v>
      </c>
      <c r="F8477" t="s">
        <v>11</v>
      </c>
      <c r="G8477" s="18">
        <v>0</v>
      </c>
      <c r="H8477" t="s">
        <v>17</v>
      </c>
      <c r="I8477" t="s">
        <v>23</v>
      </c>
    </row>
    <row r="8478" spans="1:9" x14ac:dyDescent="0.25">
      <c r="A8478">
        <v>1822</v>
      </c>
      <c r="B8478">
        <f>A8478+1</f>
        <v>1823</v>
      </c>
      <c r="C8478" t="s">
        <v>528</v>
      </c>
      <c r="D8478" t="s">
        <v>27</v>
      </c>
      <c r="E8478" s="208" t="s">
        <v>130</v>
      </c>
      <c r="F8478" t="s">
        <v>11</v>
      </c>
      <c r="G8478" s="18">
        <v>0</v>
      </c>
      <c r="H8478" t="s">
        <v>17</v>
      </c>
      <c r="I8478" t="s">
        <v>23</v>
      </c>
    </row>
    <row r="8479" spans="1:9" x14ac:dyDescent="0.25">
      <c r="A8479">
        <v>1822</v>
      </c>
      <c r="B8479">
        <f>A8479+1</f>
        <v>1823</v>
      </c>
      <c r="C8479" t="s">
        <v>528</v>
      </c>
      <c r="D8479" t="s">
        <v>27</v>
      </c>
      <c r="E8479" s="208" t="s">
        <v>144</v>
      </c>
      <c r="F8479" t="s">
        <v>11</v>
      </c>
      <c r="G8479" s="18">
        <v>46</v>
      </c>
      <c r="H8479" t="s">
        <v>17</v>
      </c>
      <c r="I8479" t="s">
        <v>23</v>
      </c>
    </row>
    <row r="8480" spans="1:9" x14ac:dyDescent="0.25">
      <c r="A8480">
        <v>1822</v>
      </c>
      <c r="B8480">
        <f>A8480+1</f>
        <v>1823</v>
      </c>
      <c r="C8480" t="s">
        <v>528</v>
      </c>
      <c r="D8480" t="s">
        <v>27</v>
      </c>
      <c r="E8480" s="208" t="s">
        <v>142</v>
      </c>
      <c r="F8480" t="s">
        <v>11</v>
      </c>
      <c r="G8480" s="18">
        <v>2489</v>
      </c>
      <c r="H8480" t="s">
        <v>17</v>
      </c>
      <c r="I8480" t="s">
        <v>23</v>
      </c>
    </row>
    <row r="8481" spans="1:9" x14ac:dyDescent="0.25">
      <c r="A8481">
        <v>1822</v>
      </c>
      <c r="B8481">
        <f>A8481+1</f>
        <v>1823</v>
      </c>
      <c r="C8481" t="s">
        <v>528</v>
      </c>
      <c r="D8481" t="s">
        <v>27</v>
      </c>
      <c r="E8481" s="208" t="s">
        <v>124</v>
      </c>
      <c r="F8481" t="s">
        <v>11</v>
      </c>
      <c r="G8481" s="18">
        <v>34833</v>
      </c>
      <c r="H8481" t="s">
        <v>17</v>
      </c>
      <c r="I8481" t="s">
        <v>23</v>
      </c>
    </row>
    <row r="8482" spans="1:9" x14ac:dyDescent="0.25">
      <c r="A8482">
        <v>1822</v>
      </c>
      <c r="B8482">
        <f>A8482+1</f>
        <v>1823</v>
      </c>
      <c r="C8482" t="s">
        <v>528</v>
      </c>
      <c r="D8482" t="s">
        <v>26</v>
      </c>
      <c r="E8482" s="208" t="s">
        <v>62</v>
      </c>
      <c r="F8482" t="s">
        <v>11</v>
      </c>
      <c r="G8482" s="18">
        <v>2827</v>
      </c>
      <c r="H8482" t="s">
        <v>23</v>
      </c>
      <c r="I8482" t="s">
        <v>17</v>
      </c>
    </row>
    <row r="8483" spans="1:9" x14ac:dyDescent="0.25">
      <c r="A8483">
        <v>1822</v>
      </c>
      <c r="B8483">
        <f>A8483+1</f>
        <v>1823</v>
      </c>
      <c r="C8483" t="s">
        <v>528</v>
      </c>
      <c r="D8483" t="s">
        <v>26</v>
      </c>
      <c r="E8483" s="208" t="s">
        <v>36</v>
      </c>
      <c r="F8483" t="s">
        <v>11</v>
      </c>
      <c r="G8483" s="18">
        <v>485</v>
      </c>
      <c r="H8483" t="s">
        <v>23</v>
      </c>
      <c r="I8483" t="s">
        <v>17</v>
      </c>
    </row>
    <row r="8484" spans="1:9" x14ac:dyDescent="0.25">
      <c r="A8484">
        <v>1822</v>
      </c>
      <c r="B8484">
        <f>A8484+1</f>
        <v>1823</v>
      </c>
      <c r="C8484" t="s">
        <v>528</v>
      </c>
      <c r="D8484" t="s">
        <v>26</v>
      </c>
      <c r="E8484" s="208" t="s">
        <v>35</v>
      </c>
      <c r="F8484" t="s">
        <v>11</v>
      </c>
      <c r="G8484" s="18">
        <v>0</v>
      </c>
      <c r="H8484" t="s">
        <v>23</v>
      </c>
      <c r="I8484" t="s">
        <v>17</v>
      </c>
    </row>
    <row r="8485" spans="1:9" x14ac:dyDescent="0.25">
      <c r="A8485">
        <v>1822</v>
      </c>
      <c r="B8485">
        <f>A8485+1</f>
        <v>1823</v>
      </c>
      <c r="C8485" t="s">
        <v>528</v>
      </c>
      <c r="D8485" t="s">
        <v>26</v>
      </c>
      <c r="E8485" s="208" t="s">
        <v>39</v>
      </c>
      <c r="F8485" t="s">
        <v>11</v>
      </c>
      <c r="G8485" s="18">
        <v>232</v>
      </c>
      <c r="H8485" t="s">
        <v>23</v>
      </c>
      <c r="I8485" t="s">
        <v>17</v>
      </c>
    </row>
    <row r="8486" spans="1:9" x14ac:dyDescent="0.25">
      <c r="A8486">
        <v>1822</v>
      </c>
      <c r="B8486">
        <f>A8486+1</f>
        <v>1823</v>
      </c>
      <c r="C8486" t="s">
        <v>528</v>
      </c>
      <c r="D8486" t="s">
        <v>26</v>
      </c>
      <c r="E8486" s="208" t="s">
        <v>99</v>
      </c>
      <c r="F8486" t="s">
        <v>11</v>
      </c>
      <c r="G8486" s="18">
        <v>338</v>
      </c>
      <c r="H8486" t="s">
        <v>23</v>
      </c>
      <c r="I8486" t="s">
        <v>17</v>
      </c>
    </row>
    <row r="8487" spans="1:9" x14ac:dyDescent="0.25">
      <c r="A8487">
        <v>1822</v>
      </c>
      <c r="B8487">
        <f>A8487+1</f>
        <v>1823</v>
      </c>
      <c r="C8487" t="s">
        <v>528</v>
      </c>
      <c r="D8487" t="s">
        <v>26</v>
      </c>
      <c r="E8487" s="208" t="s">
        <v>95</v>
      </c>
      <c r="F8487" t="s">
        <v>11</v>
      </c>
      <c r="G8487" s="18">
        <v>175</v>
      </c>
      <c r="H8487" t="s">
        <v>23</v>
      </c>
      <c r="I8487" t="s">
        <v>17</v>
      </c>
    </row>
    <row r="8488" spans="1:9" x14ac:dyDescent="0.25">
      <c r="A8488">
        <v>1822</v>
      </c>
      <c r="B8488">
        <f>A8488+1</f>
        <v>1823</v>
      </c>
      <c r="C8488" t="s">
        <v>528</v>
      </c>
      <c r="D8488" t="s">
        <v>26</v>
      </c>
      <c r="E8488" s="208" t="s">
        <v>94</v>
      </c>
      <c r="F8488" t="s">
        <v>11</v>
      </c>
      <c r="G8488" s="18">
        <v>0</v>
      </c>
      <c r="H8488" t="s">
        <v>23</v>
      </c>
      <c r="I8488" t="s">
        <v>17</v>
      </c>
    </row>
    <row r="8489" spans="1:9" x14ac:dyDescent="0.25">
      <c r="A8489">
        <v>1822</v>
      </c>
      <c r="B8489">
        <f>A8489+1</f>
        <v>1823</v>
      </c>
      <c r="C8489" t="s">
        <v>528</v>
      </c>
      <c r="D8489" t="s">
        <v>26</v>
      </c>
      <c r="E8489" s="208" t="s">
        <v>386</v>
      </c>
      <c r="F8489" t="s">
        <v>11</v>
      </c>
      <c r="G8489" s="18">
        <v>7401</v>
      </c>
      <c r="H8489" t="s">
        <v>23</v>
      </c>
      <c r="I8489" t="s">
        <v>17</v>
      </c>
    </row>
    <row r="8490" spans="1:9" x14ac:dyDescent="0.25">
      <c r="A8490">
        <v>1822</v>
      </c>
      <c r="B8490">
        <f>A8490+1</f>
        <v>1823</v>
      </c>
      <c r="C8490" t="s">
        <v>528</v>
      </c>
      <c r="D8490" t="s">
        <v>26</v>
      </c>
      <c r="E8490" s="208" t="s">
        <v>387</v>
      </c>
      <c r="F8490" t="s">
        <v>11</v>
      </c>
      <c r="G8490" s="18">
        <v>950</v>
      </c>
      <c r="H8490" t="s">
        <v>23</v>
      </c>
      <c r="I8490" t="s">
        <v>17</v>
      </c>
    </row>
    <row r="8491" spans="1:9" x14ac:dyDescent="0.25">
      <c r="A8491">
        <v>1822</v>
      </c>
      <c r="B8491">
        <f>A8491+1</f>
        <v>1823</v>
      </c>
      <c r="C8491" t="s">
        <v>528</v>
      </c>
      <c r="D8491" t="s">
        <v>26</v>
      </c>
      <c r="E8491" s="208" t="s">
        <v>388</v>
      </c>
      <c r="F8491" t="s">
        <v>11</v>
      </c>
      <c r="G8491" s="18">
        <v>829</v>
      </c>
      <c r="H8491" t="s">
        <v>23</v>
      </c>
      <c r="I8491" t="s">
        <v>17</v>
      </c>
    </row>
    <row r="8492" spans="1:9" x14ac:dyDescent="0.25">
      <c r="A8492">
        <v>1822</v>
      </c>
      <c r="B8492">
        <f>A8492+1</f>
        <v>1823</v>
      </c>
      <c r="C8492" t="s">
        <v>528</v>
      </c>
      <c r="D8492" t="s">
        <v>26</v>
      </c>
      <c r="E8492" s="208" t="s">
        <v>383</v>
      </c>
      <c r="F8492" t="s">
        <v>11</v>
      </c>
      <c r="G8492" s="18">
        <v>82</v>
      </c>
      <c r="H8492" t="s">
        <v>23</v>
      </c>
      <c r="I8492" t="s">
        <v>17</v>
      </c>
    </row>
    <row r="8493" spans="1:9" x14ac:dyDescent="0.25">
      <c r="A8493">
        <v>1822</v>
      </c>
      <c r="B8493">
        <f>A8493+1</f>
        <v>1823</v>
      </c>
      <c r="C8493" t="s">
        <v>528</v>
      </c>
      <c r="D8493" t="s">
        <v>26</v>
      </c>
      <c r="E8493" s="208" t="s">
        <v>384</v>
      </c>
      <c r="F8493" t="s">
        <v>11</v>
      </c>
      <c r="G8493" s="18">
        <v>382</v>
      </c>
      <c r="H8493" t="s">
        <v>23</v>
      </c>
      <c r="I8493" t="s">
        <v>17</v>
      </c>
    </row>
    <row r="8494" spans="1:9" x14ac:dyDescent="0.25">
      <c r="A8494">
        <v>1822</v>
      </c>
      <c r="B8494">
        <f>A8494+1</f>
        <v>1823</v>
      </c>
      <c r="C8494" t="s">
        <v>528</v>
      </c>
      <c r="D8494" t="s">
        <v>26</v>
      </c>
      <c r="E8494" s="208" t="s">
        <v>107</v>
      </c>
      <c r="F8494" t="s">
        <v>11</v>
      </c>
      <c r="G8494" s="18">
        <v>1422455</v>
      </c>
      <c r="H8494" t="s">
        <v>23</v>
      </c>
      <c r="I8494" t="s">
        <v>17</v>
      </c>
    </row>
    <row r="8495" spans="1:9" x14ac:dyDescent="0.25">
      <c r="A8495">
        <v>1822</v>
      </c>
      <c r="B8495">
        <f>A8495+1</f>
        <v>1823</v>
      </c>
      <c r="C8495" t="s">
        <v>528</v>
      </c>
      <c r="D8495" t="s">
        <v>26</v>
      </c>
      <c r="E8495" s="208" t="s">
        <v>101</v>
      </c>
      <c r="F8495" t="s">
        <v>11</v>
      </c>
      <c r="G8495" s="18">
        <v>2782030</v>
      </c>
      <c r="H8495" t="s">
        <v>23</v>
      </c>
      <c r="I8495" t="s">
        <v>17</v>
      </c>
    </row>
    <row r="8496" spans="1:9" x14ac:dyDescent="0.25">
      <c r="A8496">
        <v>1822</v>
      </c>
      <c r="B8496">
        <f>A8496+1</f>
        <v>1823</v>
      </c>
      <c r="C8496" t="s">
        <v>528</v>
      </c>
      <c r="D8496" t="s">
        <v>26</v>
      </c>
      <c r="E8496" s="208" t="s">
        <v>75</v>
      </c>
      <c r="F8496" t="s">
        <v>11</v>
      </c>
      <c r="G8496" s="18">
        <v>1478080</v>
      </c>
      <c r="H8496" t="s">
        <v>23</v>
      </c>
      <c r="I8496" t="s">
        <v>17</v>
      </c>
    </row>
    <row r="8497" spans="1:9" x14ac:dyDescent="0.25">
      <c r="A8497">
        <v>1822</v>
      </c>
      <c r="B8497">
        <f>A8497+1</f>
        <v>1823</v>
      </c>
      <c r="C8497" t="s">
        <v>528</v>
      </c>
      <c r="D8497" t="s">
        <v>26</v>
      </c>
      <c r="E8497" s="208" t="s">
        <v>330</v>
      </c>
      <c r="F8497" t="s">
        <v>11</v>
      </c>
      <c r="G8497" s="18">
        <v>2</v>
      </c>
      <c r="H8497" t="s">
        <v>23</v>
      </c>
      <c r="I8497" t="s">
        <v>17</v>
      </c>
    </row>
    <row r="8498" spans="1:9" x14ac:dyDescent="0.25">
      <c r="A8498">
        <v>1822</v>
      </c>
      <c r="B8498">
        <f>A8498+1</f>
        <v>1823</v>
      </c>
      <c r="C8498" t="s">
        <v>528</v>
      </c>
      <c r="D8498" t="s">
        <v>26</v>
      </c>
      <c r="E8498" s="208" t="s">
        <v>331</v>
      </c>
      <c r="F8498" t="s">
        <v>11</v>
      </c>
      <c r="G8498" s="18">
        <v>0</v>
      </c>
      <c r="H8498" t="s">
        <v>23</v>
      </c>
      <c r="I8498" t="s">
        <v>17</v>
      </c>
    </row>
    <row r="8499" spans="1:9" x14ac:dyDescent="0.25">
      <c r="A8499">
        <v>1822</v>
      </c>
      <c r="B8499">
        <f>A8499+1</f>
        <v>1823</v>
      </c>
      <c r="C8499" t="s">
        <v>528</v>
      </c>
      <c r="D8499" t="s">
        <v>26</v>
      </c>
      <c r="E8499" s="208" t="s">
        <v>332</v>
      </c>
      <c r="F8499" t="s">
        <v>11</v>
      </c>
      <c r="G8499" s="18">
        <v>0</v>
      </c>
      <c r="H8499" t="s">
        <v>23</v>
      </c>
      <c r="I8499" t="s">
        <v>17</v>
      </c>
    </row>
    <row r="8500" spans="1:9" x14ac:dyDescent="0.25">
      <c r="A8500">
        <v>1822</v>
      </c>
      <c r="B8500">
        <f>A8500+1</f>
        <v>1823</v>
      </c>
      <c r="C8500" t="s">
        <v>528</v>
      </c>
      <c r="D8500" t="s">
        <v>26</v>
      </c>
      <c r="E8500" s="208" t="s">
        <v>333</v>
      </c>
      <c r="F8500" t="s">
        <v>11</v>
      </c>
      <c r="G8500" s="18">
        <v>0</v>
      </c>
      <c r="H8500" t="s">
        <v>23</v>
      </c>
      <c r="I8500" t="s">
        <v>17</v>
      </c>
    </row>
    <row r="8501" spans="1:9" x14ac:dyDescent="0.25">
      <c r="A8501">
        <v>1822</v>
      </c>
      <c r="B8501">
        <f>A8501+1</f>
        <v>1823</v>
      </c>
      <c r="C8501" t="s">
        <v>528</v>
      </c>
      <c r="D8501" t="s">
        <v>27</v>
      </c>
      <c r="E8501" s="208" t="s">
        <v>155</v>
      </c>
      <c r="F8501" t="s">
        <v>14</v>
      </c>
      <c r="G8501" s="18">
        <v>70930</v>
      </c>
      <c r="H8501" t="s">
        <v>17</v>
      </c>
      <c r="I8501" s="151" t="s">
        <v>562</v>
      </c>
    </row>
    <row r="8502" spans="1:9" x14ac:dyDescent="0.25">
      <c r="A8502">
        <v>1822</v>
      </c>
      <c r="B8502">
        <f>A8502+1</f>
        <v>1823</v>
      </c>
      <c r="C8502" t="s">
        <v>528</v>
      </c>
      <c r="D8502" t="s">
        <v>27</v>
      </c>
      <c r="E8502" s="208" t="s">
        <v>156</v>
      </c>
      <c r="F8502" t="s">
        <v>14</v>
      </c>
      <c r="G8502" s="18">
        <v>7428</v>
      </c>
      <c r="H8502" t="s">
        <v>17</v>
      </c>
      <c r="I8502" s="151" t="s">
        <v>562</v>
      </c>
    </row>
    <row r="8503" spans="1:9" x14ac:dyDescent="0.25">
      <c r="A8503">
        <v>1822</v>
      </c>
      <c r="B8503">
        <f>A8503+1</f>
        <v>1823</v>
      </c>
      <c r="C8503" t="s">
        <v>528</v>
      </c>
      <c r="D8503" t="s">
        <v>27</v>
      </c>
      <c r="E8503" s="208" t="s">
        <v>154</v>
      </c>
      <c r="F8503" t="s">
        <v>14</v>
      </c>
      <c r="G8503" s="18">
        <v>926</v>
      </c>
      <c r="H8503" t="s">
        <v>17</v>
      </c>
      <c r="I8503" s="151" t="s">
        <v>562</v>
      </c>
    </row>
    <row r="8504" spans="1:9" x14ac:dyDescent="0.25">
      <c r="A8504">
        <v>1822</v>
      </c>
      <c r="B8504">
        <f>A8504+1</f>
        <v>1823</v>
      </c>
      <c r="C8504" t="s">
        <v>528</v>
      </c>
      <c r="D8504" t="s">
        <v>27</v>
      </c>
      <c r="E8504" s="208" t="s">
        <v>150</v>
      </c>
      <c r="F8504" t="s">
        <v>14</v>
      </c>
      <c r="G8504" s="18">
        <v>27105</v>
      </c>
      <c r="H8504" t="s">
        <v>17</v>
      </c>
      <c r="I8504" s="151" t="s">
        <v>562</v>
      </c>
    </row>
    <row r="8505" spans="1:9" x14ac:dyDescent="0.25">
      <c r="A8505">
        <v>1822</v>
      </c>
      <c r="B8505">
        <f>A8505+1</f>
        <v>1823</v>
      </c>
      <c r="C8505" t="s">
        <v>528</v>
      </c>
      <c r="D8505" t="s">
        <v>27</v>
      </c>
      <c r="E8505" s="208" t="s">
        <v>148</v>
      </c>
      <c r="F8505" t="s">
        <v>14</v>
      </c>
      <c r="G8505" s="18">
        <v>1550</v>
      </c>
      <c r="H8505" t="s">
        <v>17</v>
      </c>
      <c r="I8505" s="151" t="s">
        <v>562</v>
      </c>
    </row>
    <row r="8506" spans="1:9" x14ac:dyDescent="0.25">
      <c r="A8506">
        <v>1822</v>
      </c>
      <c r="B8506">
        <f>A8506+1</f>
        <v>1823</v>
      </c>
      <c r="C8506" t="s">
        <v>528</v>
      </c>
      <c r="D8506" t="s">
        <v>27</v>
      </c>
      <c r="E8506" s="208" t="s">
        <v>147</v>
      </c>
      <c r="F8506" t="s">
        <v>14</v>
      </c>
      <c r="G8506" s="18">
        <v>0</v>
      </c>
      <c r="H8506" t="s">
        <v>17</v>
      </c>
      <c r="I8506" s="151" t="s">
        <v>562</v>
      </c>
    </row>
    <row r="8507" spans="1:9" x14ac:dyDescent="0.25">
      <c r="A8507">
        <v>1822</v>
      </c>
      <c r="B8507">
        <f>A8507+1</f>
        <v>1823</v>
      </c>
      <c r="C8507" t="s">
        <v>528</v>
      </c>
      <c r="D8507" t="s">
        <v>27</v>
      </c>
      <c r="E8507" s="208" t="s">
        <v>314</v>
      </c>
      <c r="F8507" t="s">
        <v>14</v>
      </c>
      <c r="G8507" s="18">
        <v>10</v>
      </c>
      <c r="H8507" t="s">
        <v>17</v>
      </c>
      <c r="I8507" s="151" t="s">
        <v>562</v>
      </c>
    </row>
    <row r="8508" spans="1:9" x14ac:dyDescent="0.25">
      <c r="A8508">
        <v>1822</v>
      </c>
      <c r="B8508">
        <f>A8508+1</f>
        <v>1823</v>
      </c>
      <c r="C8508" t="s">
        <v>528</v>
      </c>
      <c r="D8508" t="s">
        <v>27</v>
      </c>
      <c r="E8508" s="208" t="s">
        <v>139</v>
      </c>
      <c r="F8508" t="s">
        <v>14</v>
      </c>
      <c r="G8508" s="18">
        <v>542</v>
      </c>
      <c r="H8508" t="s">
        <v>17</v>
      </c>
      <c r="I8508" s="151" t="s">
        <v>562</v>
      </c>
    </row>
    <row r="8509" spans="1:9" x14ac:dyDescent="0.25">
      <c r="A8509">
        <v>1822</v>
      </c>
      <c r="B8509">
        <f>A8509+1</f>
        <v>1823</v>
      </c>
      <c r="C8509" t="s">
        <v>528</v>
      </c>
      <c r="D8509" t="s">
        <v>27</v>
      </c>
      <c r="E8509" s="208" t="s">
        <v>132</v>
      </c>
      <c r="F8509" t="s">
        <v>14</v>
      </c>
      <c r="G8509" s="18">
        <v>907</v>
      </c>
      <c r="H8509" t="s">
        <v>17</v>
      </c>
      <c r="I8509" s="151" t="s">
        <v>562</v>
      </c>
    </row>
    <row r="8510" spans="1:9" x14ac:dyDescent="0.25">
      <c r="A8510">
        <v>1822</v>
      </c>
      <c r="B8510">
        <f>A8510+1</f>
        <v>1823</v>
      </c>
      <c r="C8510" t="s">
        <v>528</v>
      </c>
      <c r="D8510" t="s">
        <v>27</v>
      </c>
      <c r="E8510" s="208" t="s">
        <v>130</v>
      </c>
      <c r="F8510" t="s">
        <v>14</v>
      </c>
      <c r="G8510" s="18">
        <v>22</v>
      </c>
      <c r="H8510" t="s">
        <v>17</v>
      </c>
      <c r="I8510" s="151" t="s">
        <v>562</v>
      </c>
    </row>
    <row r="8511" spans="1:9" x14ac:dyDescent="0.25">
      <c r="A8511">
        <v>1822</v>
      </c>
      <c r="B8511">
        <f>A8511+1</f>
        <v>1823</v>
      </c>
      <c r="C8511" t="s">
        <v>528</v>
      </c>
      <c r="D8511" t="s">
        <v>27</v>
      </c>
      <c r="E8511" s="208" t="s">
        <v>144</v>
      </c>
      <c r="F8511" t="s">
        <v>14</v>
      </c>
      <c r="G8511" s="18">
        <v>502</v>
      </c>
      <c r="H8511" t="s">
        <v>17</v>
      </c>
      <c r="I8511" s="151" t="s">
        <v>562</v>
      </c>
    </row>
    <row r="8512" spans="1:9" x14ac:dyDescent="0.25">
      <c r="A8512">
        <v>1822</v>
      </c>
      <c r="B8512">
        <f>A8512+1</f>
        <v>1823</v>
      </c>
      <c r="C8512" t="s">
        <v>528</v>
      </c>
      <c r="D8512" t="s">
        <v>27</v>
      </c>
      <c r="E8512" s="208" t="s">
        <v>142</v>
      </c>
      <c r="F8512" t="s">
        <v>14</v>
      </c>
      <c r="G8512" s="18">
        <v>19039</v>
      </c>
      <c r="H8512" t="s">
        <v>17</v>
      </c>
      <c r="I8512" s="151" t="s">
        <v>562</v>
      </c>
    </row>
    <row r="8513" spans="1:9" x14ac:dyDescent="0.25">
      <c r="A8513">
        <v>1822</v>
      </c>
      <c r="B8513">
        <f>A8513+1</f>
        <v>1823</v>
      </c>
      <c r="C8513" t="s">
        <v>528</v>
      </c>
      <c r="D8513" t="s">
        <v>27</v>
      </c>
      <c r="E8513" s="208" t="s">
        <v>124</v>
      </c>
      <c r="F8513" t="s">
        <v>14</v>
      </c>
      <c r="G8513" s="18">
        <v>9686619</v>
      </c>
      <c r="H8513" t="s">
        <v>17</v>
      </c>
      <c r="I8513" s="151" t="s">
        <v>562</v>
      </c>
    </row>
    <row r="8514" spans="1:9" x14ac:dyDescent="0.25">
      <c r="A8514">
        <v>1822</v>
      </c>
      <c r="B8514">
        <f>A8514+1</f>
        <v>1823</v>
      </c>
      <c r="C8514" t="s">
        <v>528</v>
      </c>
      <c r="D8514" t="s">
        <v>26</v>
      </c>
      <c r="E8514" s="208" t="s">
        <v>62</v>
      </c>
      <c r="F8514" t="s">
        <v>14</v>
      </c>
      <c r="G8514" s="18">
        <v>4076</v>
      </c>
      <c r="H8514" s="151" t="s">
        <v>563</v>
      </c>
      <c r="I8514" t="s">
        <v>17</v>
      </c>
    </row>
    <row r="8515" spans="1:9" x14ac:dyDescent="0.25">
      <c r="A8515">
        <v>1822</v>
      </c>
      <c r="B8515">
        <f>A8515+1</f>
        <v>1823</v>
      </c>
      <c r="C8515" t="s">
        <v>528</v>
      </c>
      <c r="D8515" t="s">
        <v>26</v>
      </c>
      <c r="E8515" s="208" t="s">
        <v>36</v>
      </c>
      <c r="F8515" t="s">
        <v>14</v>
      </c>
      <c r="G8515" s="18">
        <v>609</v>
      </c>
      <c r="H8515" s="151" t="s">
        <v>563</v>
      </c>
      <c r="I8515" t="s">
        <v>17</v>
      </c>
    </row>
    <row r="8516" spans="1:9" x14ac:dyDescent="0.25">
      <c r="A8516">
        <v>1822</v>
      </c>
      <c r="B8516">
        <f>A8516+1</f>
        <v>1823</v>
      </c>
      <c r="C8516" t="s">
        <v>528</v>
      </c>
      <c r="D8516" t="s">
        <v>26</v>
      </c>
      <c r="E8516" s="208" t="s">
        <v>35</v>
      </c>
      <c r="F8516" t="s">
        <v>14</v>
      </c>
      <c r="G8516" s="18">
        <v>0</v>
      </c>
      <c r="H8516" s="151" t="s">
        <v>563</v>
      </c>
      <c r="I8516" t="s">
        <v>17</v>
      </c>
    </row>
    <row r="8517" spans="1:9" x14ac:dyDescent="0.25">
      <c r="A8517">
        <v>1822</v>
      </c>
      <c r="B8517">
        <f>A8517+1</f>
        <v>1823</v>
      </c>
      <c r="C8517" t="s">
        <v>528</v>
      </c>
      <c r="D8517" t="s">
        <v>26</v>
      </c>
      <c r="E8517" s="208" t="s">
        <v>39</v>
      </c>
      <c r="F8517" t="s">
        <v>14</v>
      </c>
      <c r="G8517" s="18">
        <v>334</v>
      </c>
      <c r="H8517" s="151" t="s">
        <v>563</v>
      </c>
      <c r="I8517" t="s">
        <v>17</v>
      </c>
    </row>
    <row r="8518" spans="1:9" x14ac:dyDescent="0.25">
      <c r="A8518">
        <v>1822</v>
      </c>
      <c r="B8518">
        <f>A8518+1</f>
        <v>1823</v>
      </c>
      <c r="C8518" t="s">
        <v>528</v>
      </c>
      <c r="D8518" t="s">
        <v>26</v>
      </c>
      <c r="E8518" s="208" t="s">
        <v>99</v>
      </c>
      <c r="F8518" t="s">
        <v>14</v>
      </c>
      <c r="G8518" s="18">
        <v>592</v>
      </c>
      <c r="H8518" s="151" t="s">
        <v>563</v>
      </c>
      <c r="I8518" t="s">
        <v>17</v>
      </c>
    </row>
    <row r="8519" spans="1:9" x14ac:dyDescent="0.25">
      <c r="A8519">
        <v>1822</v>
      </c>
      <c r="B8519">
        <f>A8519+1</f>
        <v>1823</v>
      </c>
      <c r="C8519" t="s">
        <v>528</v>
      </c>
      <c r="D8519" t="s">
        <v>26</v>
      </c>
      <c r="E8519" s="208" t="s">
        <v>95</v>
      </c>
      <c r="F8519" t="s">
        <v>14</v>
      </c>
      <c r="G8519" s="18">
        <v>175</v>
      </c>
      <c r="H8519" s="151" t="s">
        <v>563</v>
      </c>
      <c r="I8519" t="s">
        <v>17</v>
      </c>
    </row>
    <row r="8520" spans="1:9" x14ac:dyDescent="0.25">
      <c r="A8520">
        <v>1822</v>
      </c>
      <c r="B8520">
        <f>A8520+1</f>
        <v>1823</v>
      </c>
      <c r="C8520" t="s">
        <v>528</v>
      </c>
      <c r="D8520" t="s">
        <v>26</v>
      </c>
      <c r="E8520" s="208" t="s">
        <v>94</v>
      </c>
      <c r="F8520" t="s">
        <v>14</v>
      </c>
      <c r="G8520" s="18">
        <v>110</v>
      </c>
      <c r="H8520" s="151" t="s">
        <v>563</v>
      </c>
      <c r="I8520" t="s">
        <v>17</v>
      </c>
    </row>
    <row r="8521" spans="1:9" x14ac:dyDescent="0.25">
      <c r="A8521">
        <v>1822</v>
      </c>
      <c r="B8521">
        <f>A8521+1</f>
        <v>1823</v>
      </c>
      <c r="C8521" t="s">
        <v>528</v>
      </c>
      <c r="D8521" t="s">
        <v>26</v>
      </c>
      <c r="E8521" s="208" t="s">
        <v>386</v>
      </c>
      <c r="F8521" t="s">
        <v>14</v>
      </c>
      <c r="G8521" s="18">
        <v>8881</v>
      </c>
      <c r="H8521" s="151" t="s">
        <v>563</v>
      </c>
      <c r="I8521" t="s">
        <v>17</v>
      </c>
    </row>
    <row r="8522" spans="1:9" x14ac:dyDescent="0.25">
      <c r="A8522">
        <v>1822</v>
      </c>
      <c r="B8522">
        <f>A8522+1</f>
        <v>1823</v>
      </c>
      <c r="C8522" t="s">
        <v>528</v>
      </c>
      <c r="D8522" t="s">
        <v>26</v>
      </c>
      <c r="E8522" s="208" t="s">
        <v>387</v>
      </c>
      <c r="F8522" t="s">
        <v>14</v>
      </c>
      <c r="G8522" s="18">
        <v>950</v>
      </c>
      <c r="H8522" s="151" t="s">
        <v>563</v>
      </c>
      <c r="I8522" t="s">
        <v>17</v>
      </c>
    </row>
    <row r="8523" spans="1:9" x14ac:dyDescent="0.25">
      <c r="A8523">
        <v>1822</v>
      </c>
      <c r="B8523">
        <f>A8523+1</f>
        <v>1823</v>
      </c>
      <c r="C8523" t="s">
        <v>528</v>
      </c>
      <c r="D8523" t="s">
        <v>26</v>
      </c>
      <c r="E8523" s="208" t="s">
        <v>388</v>
      </c>
      <c r="F8523" t="s">
        <v>14</v>
      </c>
      <c r="G8523" s="18">
        <v>1124</v>
      </c>
      <c r="H8523" s="151" t="s">
        <v>563</v>
      </c>
      <c r="I8523" t="s">
        <v>17</v>
      </c>
    </row>
    <row r="8524" spans="1:9" x14ac:dyDescent="0.25">
      <c r="A8524">
        <v>1822</v>
      </c>
      <c r="B8524">
        <f>A8524+1</f>
        <v>1823</v>
      </c>
      <c r="C8524" t="s">
        <v>528</v>
      </c>
      <c r="D8524" t="s">
        <v>26</v>
      </c>
      <c r="E8524" s="208" t="s">
        <v>383</v>
      </c>
      <c r="F8524" t="s">
        <v>14</v>
      </c>
      <c r="G8524" s="18">
        <v>119</v>
      </c>
      <c r="H8524" s="151" t="s">
        <v>563</v>
      </c>
      <c r="I8524" t="s">
        <v>17</v>
      </c>
    </row>
    <row r="8525" spans="1:9" x14ac:dyDescent="0.25">
      <c r="A8525">
        <v>1822</v>
      </c>
      <c r="B8525">
        <f>A8525+1</f>
        <v>1823</v>
      </c>
      <c r="C8525" t="s">
        <v>528</v>
      </c>
      <c r="D8525" t="s">
        <v>26</v>
      </c>
      <c r="E8525" s="208" t="s">
        <v>384</v>
      </c>
      <c r="F8525" t="s">
        <v>14</v>
      </c>
      <c r="G8525" s="18">
        <v>432</v>
      </c>
      <c r="H8525" s="151" t="s">
        <v>563</v>
      </c>
      <c r="I8525" t="s">
        <v>17</v>
      </c>
    </row>
    <row r="8526" spans="1:9" x14ac:dyDescent="0.25">
      <c r="A8526">
        <v>1822</v>
      </c>
      <c r="B8526">
        <f>A8526+1</f>
        <v>1823</v>
      </c>
      <c r="C8526" t="s">
        <v>528</v>
      </c>
      <c r="D8526" t="s">
        <v>26</v>
      </c>
      <c r="E8526" s="208" t="s">
        <v>107</v>
      </c>
      <c r="F8526" t="s">
        <v>14</v>
      </c>
      <c r="G8526" s="18">
        <v>1863659</v>
      </c>
      <c r="H8526" s="151" t="s">
        <v>563</v>
      </c>
      <c r="I8526" t="s">
        <v>17</v>
      </c>
    </row>
    <row r="8527" spans="1:9" x14ac:dyDescent="0.25">
      <c r="A8527">
        <v>1822</v>
      </c>
      <c r="B8527">
        <f>A8527+1</f>
        <v>1823</v>
      </c>
      <c r="C8527" t="s">
        <v>528</v>
      </c>
      <c r="D8527" t="s">
        <v>26</v>
      </c>
      <c r="E8527" s="208" t="s">
        <v>101</v>
      </c>
      <c r="F8527" t="s">
        <v>14</v>
      </c>
      <c r="G8527" s="18">
        <v>3848880</v>
      </c>
      <c r="H8527" s="151" t="s">
        <v>563</v>
      </c>
      <c r="I8527" t="s">
        <v>17</v>
      </c>
    </row>
    <row r="8528" spans="1:9" x14ac:dyDescent="0.25">
      <c r="A8528">
        <v>1822</v>
      </c>
      <c r="B8528">
        <f>A8528+1</f>
        <v>1823</v>
      </c>
      <c r="C8528" t="s">
        <v>528</v>
      </c>
      <c r="D8528" t="s">
        <v>26</v>
      </c>
      <c r="E8528" s="208" t="s">
        <v>75</v>
      </c>
      <c r="F8528" t="s">
        <v>14</v>
      </c>
      <c r="G8528" s="18">
        <v>3510610</v>
      </c>
      <c r="H8528" s="151" t="s">
        <v>563</v>
      </c>
      <c r="I8528" t="s">
        <v>17</v>
      </c>
    </row>
    <row r="8529" spans="1:9" x14ac:dyDescent="0.25">
      <c r="A8529">
        <v>1822</v>
      </c>
      <c r="B8529">
        <f>A8529+1</f>
        <v>1823</v>
      </c>
      <c r="C8529" t="s">
        <v>528</v>
      </c>
      <c r="D8529" t="s">
        <v>26</v>
      </c>
      <c r="E8529" s="208" t="s">
        <v>330</v>
      </c>
      <c r="F8529" t="s">
        <v>14</v>
      </c>
      <c r="G8529" s="18">
        <v>158</v>
      </c>
      <c r="H8529" s="151" t="s">
        <v>563</v>
      </c>
      <c r="I8529" t="s">
        <v>17</v>
      </c>
    </row>
    <row r="8530" spans="1:9" x14ac:dyDescent="0.25">
      <c r="A8530">
        <v>1822</v>
      </c>
      <c r="B8530">
        <f>A8530+1</f>
        <v>1823</v>
      </c>
      <c r="C8530" t="s">
        <v>528</v>
      </c>
      <c r="D8530" t="s">
        <v>26</v>
      </c>
      <c r="E8530" s="208" t="s">
        <v>331</v>
      </c>
      <c r="F8530" t="s">
        <v>14</v>
      </c>
      <c r="G8530" s="18">
        <v>5</v>
      </c>
      <c r="H8530" s="151" t="s">
        <v>563</v>
      </c>
      <c r="I8530" t="s">
        <v>17</v>
      </c>
    </row>
    <row r="8531" spans="1:9" x14ac:dyDescent="0.25">
      <c r="A8531">
        <v>1822</v>
      </c>
      <c r="B8531">
        <f>A8531+1</f>
        <v>1823</v>
      </c>
      <c r="C8531" t="s">
        <v>528</v>
      </c>
      <c r="D8531" t="s">
        <v>26</v>
      </c>
      <c r="E8531" s="208" t="s">
        <v>332</v>
      </c>
      <c r="F8531" t="s">
        <v>14</v>
      </c>
      <c r="G8531" s="18">
        <v>0</v>
      </c>
      <c r="H8531" s="151" t="s">
        <v>563</v>
      </c>
      <c r="I8531" t="s">
        <v>17</v>
      </c>
    </row>
    <row r="8532" spans="1:9" x14ac:dyDescent="0.25">
      <c r="A8532">
        <v>1822</v>
      </c>
      <c r="B8532">
        <f>A8532+1</f>
        <v>1823</v>
      </c>
      <c r="C8532" t="s">
        <v>528</v>
      </c>
      <c r="D8532" t="s">
        <v>26</v>
      </c>
      <c r="E8532" s="208" t="s">
        <v>333</v>
      </c>
      <c r="F8532" t="s">
        <v>14</v>
      </c>
      <c r="G8532" s="18">
        <v>126</v>
      </c>
      <c r="H8532" s="151" t="s">
        <v>563</v>
      </c>
      <c r="I8532" t="s">
        <v>17</v>
      </c>
    </row>
    <row r="8533" spans="1:9" x14ac:dyDescent="0.25">
      <c r="A8533">
        <v>1822</v>
      </c>
      <c r="B8533">
        <f>A8533+1</f>
        <v>1823</v>
      </c>
      <c r="C8533" t="s">
        <v>528</v>
      </c>
      <c r="D8533" t="s">
        <v>27</v>
      </c>
      <c r="E8533" s="208" t="s">
        <v>155</v>
      </c>
      <c r="F8533" t="s">
        <v>15</v>
      </c>
      <c r="G8533" s="18">
        <v>94905</v>
      </c>
      <c r="H8533" t="s">
        <v>561</v>
      </c>
      <c r="I8533" s="151" t="s">
        <v>562</v>
      </c>
    </row>
    <row r="8534" spans="1:9" x14ac:dyDescent="0.25">
      <c r="A8534">
        <v>1822</v>
      </c>
      <c r="B8534">
        <f>A8534+1</f>
        <v>1823</v>
      </c>
      <c r="C8534" t="s">
        <v>528</v>
      </c>
      <c r="D8534" t="s">
        <v>27</v>
      </c>
      <c r="E8534" s="208" t="s">
        <v>156</v>
      </c>
      <c r="F8534" t="s">
        <v>15</v>
      </c>
      <c r="G8534" s="18">
        <v>9179</v>
      </c>
      <c r="H8534" t="s">
        <v>561</v>
      </c>
      <c r="I8534" s="151" t="s">
        <v>562</v>
      </c>
    </row>
    <row r="8535" spans="1:9" x14ac:dyDescent="0.25">
      <c r="A8535">
        <v>1822</v>
      </c>
      <c r="B8535">
        <f>A8535+1</f>
        <v>1823</v>
      </c>
      <c r="C8535" t="s">
        <v>528</v>
      </c>
      <c r="D8535" t="s">
        <v>27</v>
      </c>
      <c r="E8535" s="208" t="s">
        <v>154</v>
      </c>
      <c r="F8535" t="s">
        <v>15</v>
      </c>
      <c r="G8535" s="18">
        <v>1947</v>
      </c>
      <c r="H8535" t="s">
        <v>561</v>
      </c>
      <c r="I8535" s="151" t="s">
        <v>562</v>
      </c>
    </row>
    <row r="8536" spans="1:9" x14ac:dyDescent="0.25">
      <c r="A8536">
        <v>1822</v>
      </c>
      <c r="B8536">
        <f>A8536+1</f>
        <v>1823</v>
      </c>
      <c r="C8536" t="s">
        <v>528</v>
      </c>
      <c r="D8536" t="s">
        <v>27</v>
      </c>
      <c r="E8536" s="208" t="s">
        <v>150</v>
      </c>
      <c r="F8536" t="s">
        <v>15</v>
      </c>
      <c r="G8536" s="18">
        <v>35242</v>
      </c>
      <c r="H8536" t="s">
        <v>561</v>
      </c>
      <c r="I8536" s="151" t="s">
        <v>562</v>
      </c>
    </row>
    <row r="8537" spans="1:9" x14ac:dyDescent="0.25">
      <c r="A8537">
        <v>1822</v>
      </c>
      <c r="B8537">
        <f>A8537+1</f>
        <v>1823</v>
      </c>
      <c r="C8537" t="s">
        <v>528</v>
      </c>
      <c r="D8537" t="s">
        <v>27</v>
      </c>
      <c r="E8537" s="208" t="s">
        <v>148</v>
      </c>
      <c r="F8537" t="s">
        <v>15</v>
      </c>
      <c r="G8537" s="18">
        <v>1935</v>
      </c>
      <c r="H8537" t="s">
        <v>561</v>
      </c>
      <c r="I8537" s="151" t="s">
        <v>562</v>
      </c>
    </row>
    <row r="8538" spans="1:9" x14ac:dyDescent="0.25">
      <c r="A8538">
        <v>1822</v>
      </c>
      <c r="B8538">
        <f>A8538+1</f>
        <v>1823</v>
      </c>
      <c r="C8538" t="s">
        <v>528</v>
      </c>
      <c r="D8538" t="s">
        <v>27</v>
      </c>
      <c r="E8538" s="208" t="s">
        <v>147</v>
      </c>
      <c r="F8538" t="s">
        <v>15</v>
      </c>
      <c r="G8538" s="18">
        <v>20</v>
      </c>
      <c r="H8538" t="s">
        <v>561</v>
      </c>
      <c r="I8538" s="151" t="s">
        <v>562</v>
      </c>
    </row>
    <row r="8539" spans="1:9" x14ac:dyDescent="0.25">
      <c r="A8539">
        <v>1822</v>
      </c>
      <c r="B8539">
        <f>A8539+1</f>
        <v>1823</v>
      </c>
      <c r="C8539" t="s">
        <v>528</v>
      </c>
      <c r="D8539" t="s">
        <v>27</v>
      </c>
      <c r="E8539" s="208" t="s">
        <v>314</v>
      </c>
      <c r="F8539" t="s">
        <v>15</v>
      </c>
      <c r="G8539" s="18">
        <v>118</v>
      </c>
      <c r="H8539" t="s">
        <v>561</v>
      </c>
      <c r="I8539" s="151" t="s">
        <v>562</v>
      </c>
    </row>
    <row r="8540" spans="1:9" x14ac:dyDescent="0.25">
      <c r="A8540">
        <v>1822</v>
      </c>
      <c r="B8540">
        <f>A8540+1</f>
        <v>1823</v>
      </c>
      <c r="C8540" t="s">
        <v>528</v>
      </c>
      <c r="D8540" t="s">
        <v>27</v>
      </c>
      <c r="E8540" s="208" t="s">
        <v>139</v>
      </c>
      <c r="F8540" t="s">
        <v>15</v>
      </c>
      <c r="G8540" s="18">
        <v>614</v>
      </c>
      <c r="H8540" t="s">
        <v>561</v>
      </c>
      <c r="I8540" s="151" t="s">
        <v>562</v>
      </c>
    </row>
    <row r="8541" spans="1:9" x14ac:dyDescent="0.25">
      <c r="A8541">
        <v>1822</v>
      </c>
      <c r="B8541">
        <f>A8541+1</f>
        <v>1823</v>
      </c>
      <c r="C8541" t="s">
        <v>528</v>
      </c>
      <c r="D8541" t="s">
        <v>27</v>
      </c>
      <c r="E8541" s="208" t="s">
        <v>132</v>
      </c>
      <c r="F8541" t="s">
        <v>15</v>
      </c>
      <c r="G8541" s="18">
        <v>1041</v>
      </c>
      <c r="H8541" t="s">
        <v>561</v>
      </c>
      <c r="I8541" s="151" t="s">
        <v>562</v>
      </c>
    </row>
    <row r="8542" spans="1:9" x14ac:dyDescent="0.25">
      <c r="A8542">
        <v>1822</v>
      </c>
      <c r="B8542">
        <f>A8542+1</f>
        <v>1823</v>
      </c>
      <c r="C8542" t="s">
        <v>528</v>
      </c>
      <c r="D8542" t="s">
        <v>27</v>
      </c>
      <c r="E8542" s="208" t="s">
        <v>130</v>
      </c>
      <c r="F8542" t="s">
        <v>15</v>
      </c>
      <c r="G8542" s="18">
        <v>60</v>
      </c>
      <c r="H8542" t="s">
        <v>561</v>
      </c>
      <c r="I8542" s="151" t="s">
        <v>562</v>
      </c>
    </row>
    <row r="8543" spans="1:9" x14ac:dyDescent="0.25">
      <c r="A8543">
        <v>1822</v>
      </c>
      <c r="B8543">
        <f>A8543+1</f>
        <v>1823</v>
      </c>
      <c r="C8543" t="s">
        <v>528</v>
      </c>
      <c r="D8543" t="s">
        <v>27</v>
      </c>
      <c r="E8543" s="208" t="s">
        <v>144</v>
      </c>
      <c r="F8543" t="s">
        <v>15</v>
      </c>
      <c r="G8543" s="18">
        <v>1894</v>
      </c>
      <c r="H8543" t="s">
        <v>561</v>
      </c>
      <c r="I8543" s="151" t="s">
        <v>562</v>
      </c>
    </row>
    <row r="8544" spans="1:9" x14ac:dyDescent="0.25">
      <c r="A8544">
        <v>1822</v>
      </c>
      <c r="B8544">
        <f>A8544+1</f>
        <v>1823</v>
      </c>
      <c r="C8544" t="s">
        <v>528</v>
      </c>
      <c r="D8544" t="s">
        <v>27</v>
      </c>
      <c r="E8544" s="208" t="s">
        <v>142</v>
      </c>
      <c r="F8544" t="s">
        <v>15</v>
      </c>
      <c r="G8544" s="18">
        <v>21481</v>
      </c>
      <c r="H8544" t="s">
        <v>561</v>
      </c>
      <c r="I8544" s="151" t="s">
        <v>562</v>
      </c>
    </row>
    <row r="8545" spans="1:9" x14ac:dyDescent="0.25">
      <c r="A8545">
        <v>1822</v>
      </c>
      <c r="B8545">
        <f>A8545+1</f>
        <v>1823</v>
      </c>
      <c r="C8545" t="s">
        <v>528</v>
      </c>
      <c r="D8545" t="s">
        <v>27</v>
      </c>
      <c r="E8545" s="208" t="s">
        <v>124</v>
      </c>
      <c r="F8545" t="s">
        <v>15</v>
      </c>
      <c r="G8545" s="18">
        <v>20226445</v>
      </c>
      <c r="H8545" t="s">
        <v>561</v>
      </c>
      <c r="I8545" s="151" t="s">
        <v>562</v>
      </c>
    </row>
    <row r="8546" spans="1:9" x14ac:dyDescent="0.25">
      <c r="A8546">
        <v>1822</v>
      </c>
      <c r="B8546">
        <f>A8546+1</f>
        <v>1823</v>
      </c>
      <c r="C8546" t="s">
        <v>528</v>
      </c>
      <c r="D8546" t="s">
        <v>26</v>
      </c>
      <c r="E8546" s="208" t="s">
        <v>62</v>
      </c>
      <c r="F8546" t="s">
        <v>15</v>
      </c>
      <c r="G8546" s="18">
        <v>55182</v>
      </c>
      <c r="H8546" s="151" t="s">
        <v>563</v>
      </c>
      <c r="I8546" t="s">
        <v>561</v>
      </c>
    </row>
    <row r="8547" spans="1:9" x14ac:dyDescent="0.25">
      <c r="A8547">
        <v>1822</v>
      </c>
      <c r="B8547">
        <f>A8547+1</f>
        <v>1823</v>
      </c>
      <c r="C8547" t="s">
        <v>528</v>
      </c>
      <c r="D8547" t="s">
        <v>26</v>
      </c>
      <c r="E8547" s="208" t="s">
        <v>36</v>
      </c>
      <c r="F8547" t="s">
        <v>15</v>
      </c>
      <c r="G8547" s="18">
        <v>3932</v>
      </c>
      <c r="H8547" s="151" t="s">
        <v>563</v>
      </c>
      <c r="I8547" t="s">
        <v>561</v>
      </c>
    </row>
    <row r="8548" spans="1:9" x14ac:dyDescent="0.25">
      <c r="A8548">
        <v>1822</v>
      </c>
      <c r="B8548">
        <f>A8548+1</f>
        <v>1823</v>
      </c>
      <c r="C8548" t="s">
        <v>528</v>
      </c>
      <c r="D8548" t="s">
        <v>26</v>
      </c>
      <c r="E8548" s="208" t="s">
        <v>35</v>
      </c>
      <c r="F8548" t="s">
        <v>15</v>
      </c>
      <c r="G8548" s="18">
        <v>5303</v>
      </c>
      <c r="H8548" s="151" t="s">
        <v>563</v>
      </c>
      <c r="I8548" t="s">
        <v>561</v>
      </c>
    </row>
    <row r="8549" spans="1:9" x14ac:dyDescent="0.25">
      <c r="A8549">
        <v>1822</v>
      </c>
      <c r="B8549">
        <f>A8549+1</f>
        <v>1823</v>
      </c>
      <c r="C8549" t="s">
        <v>528</v>
      </c>
      <c r="D8549" t="s">
        <v>26</v>
      </c>
      <c r="E8549" s="208" t="s">
        <v>39</v>
      </c>
      <c r="F8549" t="s">
        <v>15</v>
      </c>
      <c r="G8549" s="18">
        <v>3195</v>
      </c>
      <c r="H8549" s="151" t="s">
        <v>563</v>
      </c>
      <c r="I8549" t="s">
        <v>561</v>
      </c>
    </row>
    <row r="8550" spans="1:9" x14ac:dyDescent="0.25">
      <c r="A8550">
        <v>1822</v>
      </c>
      <c r="B8550">
        <f>A8550+1</f>
        <v>1823</v>
      </c>
      <c r="C8550" t="s">
        <v>528</v>
      </c>
      <c r="D8550" t="s">
        <v>26</v>
      </c>
      <c r="E8550" s="208" t="s">
        <v>99</v>
      </c>
      <c r="F8550" t="s">
        <v>15</v>
      </c>
      <c r="G8550" s="18">
        <v>1757</v>
      </c>
      <c r="H8550" s="151" t="s">
        <v>563</v>
      </c>
      <c r="I8550" t="s">
        <v>561</v>
      </c>
    </row>
    <row r="8551" spans="1:9" x14ac:dyDescent="0.25">
      <c r="A8551">
        <v>1822</v>
      </c>
      <c r="B8551">
        <f>A8551+1</f>
        <v>1823</v>
      </c>
      <c r="C8551" t="s">
        <v>528</v>
      </c>
      <c r="D8551" t="s">
        <v>26</v>
      </c>
      <c r="E8551" s="208" t="s">
        <v>95</v>
      </c>
      <c r="F8551" t="s">
        <v>15</v>
      </c>
      <c r="G8551" s="18">
        <v>195</v>
      </c>
      <c r="H8551" s="151" t="s">
        <v>563</v>
      </c>
      <c r="I8551" t="s">
        <v>561</v>
      </c>
    </row>
    <row r="8552" spans="1:9" x14ac:dyDescent="0.25">
      <c r="A8552">
        <v>1822</v>
      </c>
      <c r="B8552">
        <f>A8552+1</f>
        <v>1823</v>
      </c>
      <c r="C8552" t="s">
        <v>528</v>
      </c>
      <c r="D8552" t="s">
        <v>26</v>
      </c>
      <c r="E8552" s="208" t="s">
        <v>94</v>
      </c>
      <c r="F8552" t="s">
        <v>15</v>
      </c>
      <c r="G8552" s="18">
        <v>579</v>
      </c>
      <c r="H8552" s="151" t="s">
        <v>563</v>
      </c>
      <c r="I8552" t="s">
        <v>561</v>
      </c>
    </row>
    <row r="8553" spans="1:9" x14ac:dyDescent="0.25">
      <c r="A8553">
        <v>1822</v>
      </c>
      <c r="B8553">
        <f>A8553+1</f>
        <v>1823</v>
      </c>
      <c r="C8553" t="s">
        <v>528</v>
      </c>
      <c r="D8553" t="s">
        <v>26</v>
      </c>
      <c r="E8553" s="208" t="s">
        <v>386</v>
      </c>
      <c r="F8553" t="s">
        <v>15</v>
      </c>
      <c r="G8553" s="18">
        <v>38227</v>
      </c>
      <c r="H8553" s="151" t="s">
        <v>563</v>
      </c>
      <c r="I8553" t="s">
        <v>561</v>
      </c>
    </row>
    <row r="8554" spans="1:9" x14ac:dyDescent="0.25">
      <c r="A8554">
        <v>1822</v>
      </c>
      <c r="B8554">
        <f>A8554+1</f>
        <v>1823</v>
      </c>
      <c r="C8554" t="s">
        <v>528</v>
      </c>
      <c r="D8554" t="s">
        <v>26</v>
      </c>
      <c r="E8554" s="208" t="s">
        <v>387</v>
      </c>
      <c r="F8554" t="s">
        <v>15</v>
      </c>
      <c r="G8554" s="18">
        <v>5342</v>
      </c>
      <c r="H8554" s="151" t="s">
        <v>563</v>
      </c>
      <c r="I8554" t="s">
        <v>561</v>
      </c>
    </row>
    <row r="8555" spans="1:9" x14ac:dyDescent="0.25">
      <c r="A8555">
        <v>1822</v>
      </c>
      <c r="B8555">
        <f>A8555+1</f>
        <v>1823</v>
      </c>
      <c r="C8555" t="s">
        <v>528</v>
      </c>
      <c r="D8555" t="s">
        <v>26</v>
      </c>
      <c r="E8555" s="208" t="s">
        <v>388</v>
      </c>
      <c r="F8555" t="s">
        <v>15</v>
      </c>
      <c r="G8555" s="18">
        <v>8710</v>
      </c>
      <c r="H8555" s="151" t="s">
        <v>563</v>
      </c>
      <c r="I8555" t="s">
        <v>561</v>
      </c>
    </row>
    <row r="8556" spans="1:9" x14ac:dyDescent="0.25">
      <c r="A8556">
        <v>1822</v>
      </c>
      <c r="B8556">
        <f>A8556+1</f>
        <v>1823</v>
      </c>
      <c r="C8556" t="s">
        <v>528</v>
      </c>
      <c r="D8556" t="s">
        <v>26</v>
      </c>
      <c r="E8556" s="208" t="s">
        <v>383</v>
      </c>
      <c r="F8556" t="s">
        <v>15</v>
      </c>
      <c r="G8556" s="18">
        <v>1173</v>
      </c>
      <c r="H8556" s="151" t="s">
        <v>563</v>
      </c>
      <c r="I8556" t="s">
        <v>561</v>
      </c>
    </row>
    <row r="8557" spans="1:9" x14ac:dyDescent="0.25">
      <c r="A8557">
        <v>1822</v>
      </c>
      <c r="B8557">
        <f>A8557+1</f>
        <v>1823</v>
      </c>
      <c r="C8557" t="s">
        <v>528</v>
      </c>
      <c r="D8557" t="s">
        <v>26</v>
      </c>
      <c r="E8557" s="208" t="s">
        <v>384</v>
      </c>
      <c r="F8557" t="s">
        <v>15</v>
      </c>
      <c r="G8557" s="18">
        <v>1780</v>
      </c>
      <c r="H8557" s="151" t="s">
        <v>563</v>
      </c>
      <c r="I8557" t="s">
        <v>561</v>
      </c>
    </row>
    <row r="8558" spans="1:9" x14ac:dyDescent="0.25">
      <c r="A8558">
        <v>1822</v>
      </c>
      <c r="B8558">
        <f>A8558+1</f>
        <v>1823</v>
      </c>
      <c r="C8558" t="s">
        <v>528</v>
      </c>
      <c r="D8558" t="s">
        <v>26</v>
      </c>
      <c r="E8558" s="208" t="s">
        <v>107</v>
      </c>
      <c r="F8558" t="s">
        <v>15</v>
      </c>
      <c r="G8558" s="18">
        <v>3218477</v>
      </c>
      <c r="H8558" s="151" t="s">
        <v>563</v>
      </c>
      <c r="I8558" t="s">
        <v>561</v>
      </c>
    </row>
    <row r="8559" spans="1:9" x14ac:dyDescent="0.25">
      <c r="A8559">
        <v>1822</v>
      </c>
      <c r="B8559">
        <f>A8559+1</f>
        <v>1823</v>
      </c>
      <c r="C8559" t="s">
        <v>528</v>
      </c>
      <c r="D8559" t="s">
        <v>26</v>
      </c>
      <c r="E8559" s="208" t="s">
        <v>101</v>
      </c>
      <c r="F8559" t="s">
        <v>15</v>
      </c>
      <c r="G8559" s="18">
        <v>8363115</v>
      </c>
      <c r="H8559" s="151" t="s">
        <v>563</v>
      </c>
      <c r="I8559" t="s">
        <v>561</v>
      </c>
    </row>
    <row r="8560" spans="1:9" x14ac:dyDescent="0.25">
      <c r="A8560">
        <v>1822</v>
      </c>
      <c r="B8560">
        <f>A8560+1</f>
        <v>1823</v>
      </c>
      <c r="C8560" t="s">
        <v>528</v>
      </c>
      <c r="D8560" t="s">
        <v>26</v>
      </c>
      <c r="E8560" s="208" t="s">
        <v>75</v>
      </c>
      <c r="F8560" t="s">
        <v>15</v>
      </c>
      <c r="G8560" s="18">
        <v>7011249</v>
      </c>
      <c r="H8560" s="151" t="s">
        <v>563</v>
      </c>
      <c r="I8560" t="s">
        <v>561</v>
      </c>
    </row>
    <row r="8561" spans="1:9" x14ac:dyDescent="0.25">
      <c r="A8561">
        <v>1822</v>
      </c>
      <c r="B8561">
        <f>A8561+1</f>
        <v>1823</v>
      </c>
      <c r="C8561" t="s">
        <v>528</v>
      </c>
      <c r="D8561" t="s">
        <v>26</v>
      </c>
      <c r="E8561" s="208" t="s">
        <v>330</v>
      </c>
      <c r="F8561" t="s">
        <v>15</v>
      </c>
      <c r="G8561" s="18">
        <v>443</v>
      </c>
      <c r="H8561" s="151" t="s">
        <v>563</v>
      </c>
      <c r="I8561" t="s">
        <v>561</v>
      </c>
    </row>
    <row r="8562" spans="1:9" x14ac:dyDescent="0.25">
      <c r="A8562">
        <v>1822</v>
      </c>
      <c r="B8562">
        <f>A8562+1</f>
        <v>1823</v>
      </c>
      <c r="C8562" t="s">
        <v>528</v>
      </c>
      <c r="D8562" t="s">
        <v>26</v>
      </c>
      <c r="E8562" s="208" t="s">
        <v>331</v>
      </c>
      <c r="F8562" t="s">
        <v>15</v>
      </c>
      <c r="G8562" s="18">
        <v>179</v>
      </c>
      <c r="H8562" s="151" t="s">
        <v>563</v>
      </c>
      <c r="I8562" t="s">
        <v>561</v>
      </c>
    </row>
    <row r="8563" spans="1:9" x14ac:dyDescent="0.25">
      <c r="A8563">
        <v>1822</v>
      </c>
      <c r="B8563">
        <f>A8563+1</f>
        <v>1823</v>
      </c>
      <c r="C8563" t="s">
        <v>528</v>
      </c>
      <c r="D8563" t="s">
        <v>26</v>
      </c>
      <c r="E8563" s="208" t="s">
        <v>332</v>
      </c>
      <c r="F8563" t="s">
        <v>15</v>
      </c>
      <c r="G8563" s="18">
        <v>177</v>
      </c>
      <c r="H8563" s="151" t="s">
        <v>563</v>
      </c>
      <c r="I8563" t="s">
        <v>561</v>
      </c>
    </row>
    <row r="8564" spans="1:9" x14ac:dyDescent="0.25">
      <c r="A8564">
        <v>1822</v>
      </c>
      <c r="B8564">
        <f>A8564+1</f>
        <v>1823</v>
      </c>
      <c r="C8564" t="s">
        <v>528</v>
      </c>
      <c r="D8564" t="s">
        <v>26</v>
      </c>
      <c r="E8564" s="208" t="s">
        <v>333</v>
      </c>
      <c r="F8564" t="s">
        <v>15</v>
      </c>
      <c r="G8564" s="18">
        <v>172</v>
      </c>
      <c r="H8564" s="151" t="s">
        <v>563</v>
      </c>
      <c r="I8564" t="s">
        <v>561</v>
      </c>
    </row>
    <row r="8565" spans="1:9" x14ac:dyDescent="0.25">
      <c r="A8565">
        <v>1822</v>
      </c>
      <c r="B8565">
        <f>A8565+1</f>
        <v>1823</v>
      </c>
      <c r="C8565" t="s">
        <v>528</v>
      </c>
      <c r="D8565" t="s">
        <v>26</v>
      </c>
      <c r="E8565" s="208" t="s">
        <v>568</v>
      </c>
      <c r="F8565" t="s">
        <v>3</v>
      </c>
      <c r="G8565" s="18">
        <v>279</v>
      </c>
      <c r="H8565" t="s">
        <v>24</v>
      </c>
      <c r="I8565" t="s">
        <v>16</v>
      </c>
    </row>
    <row r="8566" spans="1:9" x14ac:dyDescent="0.25">
      <c r="A8566">
        <v>1822</v>
      </c>
      <c r="B8566">
        <f>A8566+1</f>
        <v>1823</v>
      </c>
      <c r="C8566" t="s">
        <v>528</v>
      </c>
      <c r="D8566" t="s">
        <v>26</v>
      </c>
      <c r="E8566" s="208" t="s">
        <v>568</v>
      </c>
      <c r="F8566" t="s">
        <v>169</v>
      </c>
      <c r="G8566" s="18">
        <v>0</v>
      </c>
      <c r="H8566" t="s">
        <v>160</v>
      </c>
      <c r="I8566" t="s">
        <v>16</v>
      </c>
    </row>
    <row r="8567" spans="1:9" x14ac:dyDescent="0.25">
      <c r="A8567">
        <v>1822</v>
      </c>
      <c r="B8567">
        <f>A8567+1</f>
        <v>1823</v>
      </c>
      <c r="C8567" t="s">
        <v>528</v>
      </c>
      <c r="D8567" t="s">
        <v>26</v>
      </c>
      <c r="E8567" s="208" t="s">
        <v>568</v>
      </c>
      <c r="F8567" t="s">
        <v>6</v>
      </c>
      <c r="G8567" s="18">
        <v>0</v>
      </c>
      <c r="H8567" t="s">
        <v>25</v>
      </c>
      <c r="I8567" t="s">
        <v>16</v>
      </c>
    </row>
    <row r="8568" spans="1:9" x14ac:dyDescent="0.25">
      <c r="A8568">
        <v>1822</v>
      </c>
      <c r="B8568">
        <f>A8568+1</f>
        <v>1823</v>
      </c>
      <c r="C8568" t="s">
        <v>528</v>
      </c>
      <c r="D8568" t="s">
        <v>26</v>
      </c>
      <c r="E8568" s="208" t="s">
        <v>568</v>
      </c>
      <c r="F8568" t="s">
        <v>4</v>
      </c>
      <c r="G8568" s="18">
        <v>0</v>
      </c>
      <c r="H8568" t="s">
        <v>23</v>
      </c>
      <c r="I8568" t="s">
        <v>16</v>
      </c>
    </row>
    <row r="8569" spans="1:9" x14ac:dyDescent="0.25">
      <c r="A8569">
        <v>1822</v>
      </c>
      <c r="B8569">
        <f>A8569+1</f>
        <v>1823</v>
      </c>
      <c r="C8569" t="s">
        <v>528</v>
      </c>
      <c r="D8569" t="s">
        <v>26</v>
      </c>
      <c r="E8569" s="208" t="s">
        <v>568</v>
      </c>
      <c r="F8569" t="s">
        <v>7</v>
      </c>
      <c r="G8569" s="18">
        <v>279</v>
      </c>
      <c r="H8569" s="151" t="s">
        <v>563</v>
      </c>
      <c r="I8569" t="s">
        <v>16</v>
      </c>
    </row>
    <row r="8570" spans="1:9" x14ac:dyDescent="0.25">
      <c r="A8570">
        <v>1822</v>
      </c>
      <c r="B8570">
        <f>A8570+1</f>
        <v>1823</v>
      </c>
      <c r="C8570" t="s">
        <v>528</v>
      </c>
      <c r="D8570" t="s">
        <v>26</v>
      </c>
      <c r="E8570" s="208" t="s">
        <v>568</v>
      </c>
      <c r="F8570" t="s">
        <v>10</v>
      </c>
      <c r="G8570" s="18">
        <v>170</v>
      </c>
      <c r="H8570" t="s">
        <v>24</v>
      </c>
      <c r="I8570" t="s">
        <v>17</v>
      </c>
    </row>
    <row r="8571" spans="1:9" x14ac:dyDescent="0.25">
      <c r="A8571">
        <v>1822</v>
      </c>
      <c r="B8571">
        <f>A8571+1</f>
        <v>1823</v>
      </c>
      <c r="C8571" t="s">
        <v>528</v>
      </c>
      <c r="D8571" t="s">
        <v>26</v>
      </c>
      <c r="E8571" s="208" t="s">
        <v>568</v>
      </c>
      <c r="F8571" t="s">
        <v>164</v>
      </c>
      <c r="G8571" s="18">
        <v>0</v>
      </c>
      <c r="H8571" t="s">
        <v>160</v>
      </c>
      <c r="I8571" t="s">
        <v>17</v>
      </c>
    </row>
    <row r="8572" spans="1:9" x14ac:dyDescent="0.25">
      <c r="A8572">
        <v>1822</v>
      </c>
      <c r="B8572">
        <f>A8572+1</f>
        <v>1823</v>
      </c>
      <c r="C8572" t="s">
        <v>528</v>
      </c>
      <c r="D8572" t="s">
        <v>26</v>
      </c>
      <c r="E8572" s="208" t="s">
        <v>568</v>
      </c>
      <c r="F8572" t="s">
        <v>13</v>
      </c>
      <c r="G8572" s="18">
        <v>0</v>
      </c>
      <c r="H8572" t="s">
        <v>25</v>
      </c>
      <c r="I8572" t="s">
        <v>17</v>
      </c>
    </row>
    <row r="8573" spans="1:9" x14ac:dyDescent="0.25">
      <c r="A8573">
        <v>1822</v>
      </c>
      <c r="B8573">
        <f>A8573+1</f>
        <v>1823</v>
      </c>
      <c r="C8573" t="s">
        <v>528</v>
      </c>
      <c r="D8573" t="s">
        <v>26</v>
      </c>
      <c r="E8573" s="208" t="s">
        <v>568</v>
      </c>
      <c r="F8573" t="s">
        <v>11</v>
      </c>
      <c r="G8573" s="18">
        <v>0</v>
      </c>
      <c r="H8573" t="s">
        <v>23</v>
      </c>
      <c r="I8573" t="s">
        <v>17</v>
      </c>
    </row>
    <row r="8574" spans="1:9" x14ac:dyDescent="0.25">
      <c r="A8574">
        <v>1822</v>
      </c>
      <c r="B8574">
        <f>A8574+1</f>
        <v>1823</v>
      </c>
      <c r="C8574" t="s">
        <v>528</v>
      </c>
      <c r="D8574" t="s">
        <v>26</v>
      </c>
      <c r="E8574" s="208" t="s">
        <v>568</v>
      </c>
      <c r="F8574" t="s">
        <v>14</v>
      </c>
      <c r="G8574" s="18">
        <v>170</v>
      </c>
      <c r="H8574" s="151" t="s">
        <v>563</v>
      </c>
      <c r="I8574" t="s">
        <v>17</v>
      </c>
    </row>
    <row r="8575" spans="1:9" x14ac:dyDescent="0.25">
      <c r="A8575">
        <v>1822</v>
      </c>
      <c r="B8575">
        <f>A8575+1</f>
        <v>1823</v>
      </c>
      <c r="C8575" t="s">
        <v>528</v>
      </c>
      <c r="D8575" t="s">
        <v>26</v>
      </c>
      <c r="E8575" s="208" t="s">
        <v>568</v>
      </c>
      <c r="F8575" t="s">
        <v>15</v>
      </c>
      <c r="G8575" s="18">
        <v>449</v>
      </c>
      <c r="H8575" s="151" t="s">
        <v>563</v>
      </c>
      <c r="I8575" t="s">
        <v>561</v>
      </c>
    </row>
    <row r="8576" spans="1:9" x14ac:dyDescent="0.25">
      <c r="A8576">
        <v>1822</v>
      </c>
      <c r="B8576">
        <f>A8576+1</f>
        <v>1823</v>
      </c>
      <c r="C8576" t="s">
        <v>528</v>
      </c>
      <c r="D8576" t="s">
        <v>26</v>
      </c>
      <c r="E8576" s="208" t="s">
        <v>566</v>
      </c>
      <c r="F8576" t="s">
        <v>3</v>
      </c>
      <c r="G8576" s="18">
        <v>168</v>
      </c>
      <c r="H8576" t="s">
        <v>24</v>
      </c>
      <c r="I8576" t="s">
        <v>16</v>
      </c>
    </row>
    <row r="8577" spans="1:9" x14ac:dyDescent="0.25">
      <c r="A8577">
        <v>1822</v>
      </c>
      <c r="B8577">
        <f>A8577+1</f>
        <v>1823</v>
      </c>
      <c r="C8577" t="s">
        <v>528</v>
      </c>
      <c r="D8577" t="s">
        <v>26</v>
      </c>
      <c r="E8577" s="208" t="s">
        <v>566</v>
      </c>
      <c r="F8577" t="s">
        <v>169</v>
      </c>
      <c r="G8577" s="18">
        <v>0</v>
      </c>
      <c r="H8577" t="s">
        <v>160</v>
      </c>
      <c r="I8577" t="s">
        <v>16</v>
      </c>
    </row>
    <row r="8578" spans="1:9" x14ac:dyDescent="0.25">
      <c r="A8578">
        <v>1822</v>
      </c>
      <c r="B8578">
        <f>A8578+1</f>
        <v>1823</v>
      </c>
      <c r="C8578" t="s">
        <v>528</v>
      </c>
      <c r="D8578" t="s">
        <v>26</v>
      </c>
      <c r="E8578" s="208" t="s">
        <v>566</v>
      </c>
      <c r="F8578" t="s">
        <v>6</v>
      </c>
      <c r="G8578" s="18">
        <v>0</v>
      </c>
      <c r="H8578" t="s">
        <v>25</v>
      </c>
      <c r="I8578" t="s">
        <v>16</v>
      </c>
    </row>
    <row r="8579" spans="1:9" x14ac:dyDescent="0.25">
      <c r="A8579">
        <v>1822</v>
      </c>
      <c r="B8579">
        <f>A8579+1</f>
        <v>1823</v>
      </c>
      <c r="C8579" t="s">
        <v>528</v>
      </c>
      <c r="D8579" t="s">
        <v>26</v>
      </c>
      <c r="E8579" s="208" t="s">
        <v>566</v>
      </c>
      <c r="F8579" t="s">
        <v>4</v>
      </c>
      <c r="G8579" s="18">
        <v>0</v>
      </c>
      <c r="H8579" t="s">
        <v>23</v>
      </c>
      <c r="I8579" t="s">
        <v>16</v>
      </c>
    </row>
    <row r="8580" spans="1:9" x14ac:dyDescent="0.25">
      <c r="A8580">
        <v>1822</v>
      </c>
      <c r="B8580">
        <f>A8580+1</f>
        <v>1823</v>
      </c>
      <c r="C8580" t="s">
        <v>528</v>
      </c>
      <c r="D8580" t="s">
        <v>26</v>
      </c>
      <c r="E8580" s="208" t="s">
        <v>566</v>
      </c>
      <c r="F8580" t="s">
        <v>7</v>
      </c>
      <c r="G8580" s="18">
        <v>168</v>
      </c>
      <c r="H8580" s="151" t="s">
        <v>563</v>
      </c>
      <c r="I8580" t="s">
        <v>16</v>
      </c>
    </row>
    <row r="8581" spans="1:9" x14ac:dyDescent="0.25">
      <c r="A8581">
        <v>1822</v>
      </c>
      <c r="B8581">
        <f>A8581+1</f>
        <v>1823</v>
      </c>
      <c r="C8581" t="s">
        <v>528</v>
      </c>
      <c r="D8581" t="s">
        <v>26</v>
      </c>
      <c r="E8581" s="208" t="s">
        <v>566</v>
      </c>
      <c r="F8581" t="s">
        <v>10</v>
      </c>
      <c r="G8581" s="18">
        <v>82</v>
      </c>
      <c r="H8581" t="s">
        <v>24</v>
      </c>
      <c r="I8581" t="s">
        <v>17</v>
      </c>
    </row>
    <row r="8582" spans="1:9" x14ac:dyDescent="0.25">
      <c r="A8582">
        <v>1822</v>
      </c>
      <c r="B8582">
        <f>A8582+1</f>
        <v>1823</v>
      </c>
      <c r="C8582" t="s">
        <v>528</v>
      </c>
      <c r="D8582" t="s">
        <v>26</v>
      </c>
      <c r="E8582" s="208" t="s">
        <v>566</v>
      </c>
      <c r="F8582" t="s">
        <v>164</v>
      </c>
      <c r="G8582" s="18">
        <v>0</v>
      </c>
      <c r="H8582" t="s">
        <v>160</v>
      </c>
      <c r="I8582" t="s">
        <v>17</v>
      </c>
    </row>
    <row r="8583" spans="1:9" x14ac:dyDescent="0.25">
      <c r="A8583">
        <v>1822</v>
      </c>
      <c r="B8583">
        <f>A8583+1</f>
        <v>1823</v>
      </c>
      <c r="C8583" t="s">
        <v>528</v>
      </c>
      <c r="D8583" t="s">
        <v>26</v>
      </c>
      <c r="E8583" s="208" t="s">
        <v>566</v>
      </c>
      <c r="F8583" t="s">
        <v>13</v>
      </c>
      <c r="G8583" s="18">
        <v>0</v>
      </c>
      <c r="H8583" t="s">
        <v>25</v>
      </c>
      <c r="I8583" t="s">
        <v>17</v>
      </c>
    </row>
    <row r="8584" spans="1:9" x14ac:dyDescent="0.25">
      <c r="A8584">
        <v>1822</v>
      </c>
      <c r="B8584">
        <f>A8584+1</f>
        <v>1823</v>
      </c>
      <c r="C8584" t="s">
        <v>528</v>
      </c>
      <c r="D8584" t="s">
        <v>26</v>
      </c>
      <c r="E8584" s="208" t="s">
        <v>566</v>
      </c>
      <c r="F8584" t="s">
        <v>11</v>
      </c>
      <c r="G8584" s="18">
        <v>0</v>
      </c>
      <c r="H8584" t="s">
        <v>23</v>
      </c>
      <c r="I8584" t="s">
        <v>17</v>
      </c>
    </row>
    <row r="8585" spans="1:9" x14ac:dyDescent="0.25">
      <c r="A8585">
        <v>1822</v>
      </c>
      <c r="B8585">
        <f>A8585+1</f>
        <v>1823</v>
      </c>
      <c r="C8585" t="s">
        <v>528</v>
      </c>
      <c r="D8585" t="s">
        <v>26</v>
      </c>
      <c r="E8585" s="208" t="s">
        <v>566</v>
      </c>
      <c r="F8585" t="s">
        <v>14</v>
      </c>
      <c r="G8585" s="18">
        <v>82</v>
      </c>
      <c r="H8585" s="151" t="s">
        <v>563</v>
      </c>
      <c r="I8585" t="s">
        <v>17</v>
      </c>
    </row>
    <row r="8586" spans="1:9" x14ac:dyDescent="0.25">
      <c r="A8586">
        <v>1822</v>
      </c>
      <c r="B8586">
        <f>A8586+1</f>
        <v>1823</v>
      </c>
      <c r="C8586" t="s">
        <v>528</v>
      </c>
      <c r="D8586" t="s">
        <v>26</v>
      </c>
      <c r="E8586" s="208" t="s">
        <v>566</v>
      </c>
      <c r="F8586" t="s">
        <v>15</v>
      </c>
      <c r="G8586" s="18">
        <v>250</v>
      </c>
      <c r="H8586" s="151" t="s">
        <v>563</v>
      </c>
      <c r="I8586" t="s">
        <v>561</v>
      </c>
    </row>
    <row r="8587" spans="1:9" x14ac:dyDescent="0.25">
      <c r="A8587">
        <v>1823</v>
      </c>
      <c r="B8587">
        <f>A8587+1</f>
        <v>1824</v>
      </c>
      <c r="C8587" t="s">
        <v>529</v>
      </c>
      <c r="D8587" t="s">
        <v>26</v>
      </c>
      <c r="E8587" s="208" t="s">
        <v>572</v>
      </c>
      <c r="F8587" t="s">
        <v>3</v>
      </c>
      <c r="G8587" s="18">
        <v>2953</v>
      </c>
      <c r="H8587" t="s">
        <v>24</v>
      </c>
      <c r="I8587" t="s">
        <v>16</v>
      </c>
    </row>
    <row r="8588" spans="1:9" x14ac:dyDescent="0.25">
      <c r="A8588">
        <v>1823</v>
      </c>
      <c r="B8588">
        <f>A8588+1</f>
        <v>1824</v>
      </c>
      <c r="C8588" t="s">
        <v>529</v>
      </c>
      <c r="D8588" t="s">
        <v>26</v>
      </c>
      <c r="E8588" s="208" t="s">
        <v>572</v>
      </c>
      <c r="F8588" t="s">
        <v>6</v>
      </c>
      <c r="G8588" s="18">
        <v>0</v>
      </c>
      <c r="H8588" t="s">
        <v>25</v>
      </c>
      <c r="I8588" t="s">
        <v>16</v>
      </c>
    </row>
    <row r="8589" spans="1:9" x14ac:dyDescent="0.25">
      <c r="A8589">
        <v>1823</v>
      </c>
      <c r="B8589">
        <f>A8589+1</f>
        <v>1824</v>
      </c>
      <c r="C8589" t="s">
        <v>529</v>
      </c>
      <c r="D8589" t="s">
        <v>26</v>
      </c>
      <c r="E8589" s="208" t="s">
        <v>572</v>
      </c>
      <c r="F8589" t="s">
        <v>169</v>
      </c>
      <c r="G8589" s="18">
        <v>0</v>
      </c>
      <c r="H8589" t="s">
        <v>160</v>
      </c>
      <c r="I8589" t="s">
        <v>16</v>
      </c>
    </row>
    <row r="8590" spans="1:9" x14ac:dyDescent="0.25">
      <c r="A8590">
        <v>1823</v>
      </c>
      <c r="B8590">
        <f>A8590+1</f>
        <v>1824</v>
      </c>
      <c r="C8590" t="s">
        <v>529</v>
      </c>
      <c r="D8590" t="s">
        <v>26</v>
      </c>
      <c r="E8590" s="208" t="s">
        <v>572</v>
      </c>
      <c r="F8590" t="s">
        <v>4</v>
      </c>
      <c r="G8590" s="18">
        <v>0</v>
      </c>
      <c r="H8590" t="s">
        <v>23</v>
      </c>
      <c r="I8590" t="s">
        <v>16</v>
      </c>
    </row>
    <row r="8591" spans="1:9" x14ac:dyDescent="0.25">
      <c r="A8591">
        <v>1823</v>
      </c>
      <c r="B8591">
        <f>A8591+1</f>
        <v>1824</v>
      </c>
      <c r="C8591" t="s">
        <v>529</v>
      </c>
      <c r="D8591" t="s">
        <v>26</v>
      </c>
      <c r="E8591" s="208" t="s">
        <v>572</v>
      </c>
      <c r="F8591" t="s">
        <v>7</v>
      </c>
      <c r="G8591" s="18">
        <v>2953</v>
      </c>
      <c r="H8591" s="151" t="s">
        <v>563</v>
      </c>
      <c r="I8591" t="s">
        <v>16</v>
      </c>
    </row>
    <row r="8592" spans="1:9" x14ac:dyDescent="0.25">
      <c r="A8592">
        <v>1823</v>
      </c>
      <c r="B8592">
        <f>A8592+1</f>
        <v>1824</v>
      </c>
      <c r="C8592" t="s">
        <v>529</v>
      </c>
      <c r="D8592" t="s">
        <v>26</v>
      </c>
      <c r="E8592" s="208" t="s">
        <v>572</v>
      </c>
      <c r="F8592" t="s">
        <v>10</v>
      </c>
      <c r="G8592" s="18">
        <v>1316</v>
      </c>
      <c r="H8592" t="s">
        <v>24</v>
      </c>
      <c r="I8592" t="s">
        <v>17</v>
      </c>
    </row>
    <row r="8593" spans="1:9" x14ac:dyDescent="0.25">
      <c r="A8593">
        <v>1823</v>
      </c>
      <c r="B8593">
        <f>A8593+1</f>
        <v>1824</v>
      </c>
      <c r="C8593" t="s">
        <v>529</v>
      </c>
      <c r="D8593" t="s">
        <v>26</v>
      </c>
      <c r="E8593" s="208" t="s">
        <v>572</v>
      </c>
      <c r="F8593" t="s">
        <v>13</v>
      </c>
      <c r="G8593" s="18">
        <v>0</v>
      </c>
      <c r="H8593" t="s">
        <v>25</v>
      </c>
      <c r="I8593" t="s">
        <v>17</v>
      </c>
    </row>
    <row r="8594" spans="1:9" x14ac:dyDescent="0.25">
      <c r="A8594">
        <v>1823</v>
      </c>
      <c r="B8594">
        <f>A8594+1</f>
        <v>1824</v>
      </c>
      <c r="C8594" t="s">
        <v>529</v>
      </c>
      <c r="D8594" t="s">
        <v>26</v>
      </c>
      <c r="E8594" s="208" t="s">
        <v>572</v>
      </c>
      <c r="F8594" t="s">
        <v>164</v>
      </c>
      <c r="G8594" s="18">
        <v>0</v>
      </c>
      <c r="H8594" t="s">
        <v>160</v>
      </c>
      <c r="I8594" t="s">
        <v>17</v>
      </c>
    </row>
    <row r="8595" spans="1:9" x14ac:dyDescent="0.25">
      <c r="A8595">
        <v>1823</v>
      </c>
      <c r="B8595">
        <f>A8595+1</f>
        <v>1824</v>
      </c>
      <c r="C8595" t="s">
        <v>529</v>
      </c>
      <c r="D8595" t="s">
        <v>26</v>
      </c>
      <c r="E8595" s="208" t="s">
        <v>572</v>
      </c>
      <c r="F8595" t="s">
        <v>11</v>
      </c>
      <c r="G8595" s="18">
        <v>0</v>
      </c>
      <c r="H8595" t="s">
        <v>23</v>
      </c>
      <c r="I8595" t="s">
        <v>17</v>
      </c>
    </row>
    <row r="8596" spans="1:9" x14ac:dyDescent="0.25">
      <c r="A8596">
        <v>1823</v>
      </c>
      <c r="B8596">
        <f>A8596+1</f>
        <v>1824</v>
      </c>
      <c r="C8596" t="s">
        <v>529</v>
      </c>
      <c r="D8596" t="s">
        <v>26</v>
      </c>
      <c r="E8596" s="208" t="s">
        <v>572</v>
      </c>
      <c r="F8596" t="s">
        <v>14</v>
      </c>
      <c r="G8596" s="18">
        <v>1316</v>
      </c>
      <c r="H8596" s="151" t="s">
        <v>563</v>
      </c>
      <c r="I8596" t="s">
        <v>17</v>
      </c>
    </row>
    <row r="8597" spans="1:9" x14ac:dyDescent="0.25">
      <c r="A8597">
        <v>1823</v>
      </c>
      <c r="B8597">
        <f>A8597+1</f>
        <v>1824</v>
      </c>
      <c r="C8597" t="s">
        <v>529</v>
      </c>
      <c r="D8597" t="s">
        <v>26</v>
      </c>
      <c r="E8597" s="208" t="s">
        <v>572</v>
      </c>
      <c r="F8597" t="s">
        <v>15</v>
      </c>
      <c r="G8597" s="18">
        <v>4269</v>
      </c>
      <c r="H8597" s="151" t="s">
        <v>563</v>
      </c>
      <c r="I8597" t="s">
        <v>561</v>
      </c>
    </row>
    <row r="8598" spans="1:9" x14ac:dyDescent="0.25">
      <c r="A8598">
        <v>1823</v>
      </c>
      <c r="B8598">
        <f>A8598+1</f>
        <v>1824</v>
      </c>
      <c r="C8598" t="s">
        <v>529</v>
      </c>
      <c r="D8598" t="s">
        <v>26</v>
      </c>
      <c r="E8598" s="208" t="s">
        <v>571</v>
      </c>
      <c r="F8598" t="s">
        <v>3</v>
      </c>
      <c r="G8598" s="18">
        <v>1165</v>
      </c>
      <c r="H8598" t="s">
        <v>24</v>
      </c>
      <c r="I8598" t="s">
        <v>16</v>
      </c>
    </row>
    <row r="8599" spans="1:9" x14ac:dyDescent="0.25">
      <c r="A8599">
        <v>1823</v>
      </c>
      <c r="B8599">
        <f>A8599+1</f>
        <v>1824</v>
      </c>
      <c r="C8599" t="s">
        <v>529</v>
      </c>
      <c r="D8599" t="s">
        <v>26</v>
      </c>
      <c r="E8599" s="208" t="s">
        <v>571</v>
      </c>
      <c r="F8599" t="s">
        <v>6</v>
      </c>
      <c r="G8599" s="18">
        <v>0</v>
      </c>
      <c r="H8599" t="s">
        <v>25</v>
      </c>
      <c r="I8599" t="s">
        <v>16</v>
      </c>
    </row>
    <row r="8600" spans="1:9" x14ac:dyDescent="0.25">
      <c r="A8600">
        <v>1823</v>
      </c>
      <c r="B8600">
        <f>A8600+1</f>
        <v>1824</v>
      </c>
      <c r="C8600" t="s">
        <v>529</v>
      </c>
      <c r="D8600" t="s">
        <v>26</v>
      </c>
      <c r="E8600" s="208" t="s">
        <v>571</v>
      </c>
      <c r="F8600" t="s">
        <v>169</v>
      </c>
      <c r="G8600" s="18">
        <v>0</v>
      </c>
      <c r="H8600" t="s">
        <v>160</v>
      </c>
      <c r="I8600" t="s">
        <v>16</v>
      </c>
    </row>
    <row r="8601" spans="1:9" x14ac:dyDescent="0.25">
      <c r="A8601">
        <v>1823</v>
      </c>
      <c r="B8601">
        <f>A8601+1</f>
        <v>1824</v>
      </c>
      <c r="C8601" t="s">
        <v>529</v>
      </c>
      <c r="D8601" t="s">
        <v>26</v>
      </c>
      <c r="E8601" s="208" t="s">
        <v>571</v>
      </c>
      <c r="F8601" t="s">
        <v>4</v>
      </c>
      <c r="G8601" s="18">
        <v>0</v>
      </c>
      <c r="H8601" t="s">
        <v>23</v>
      </c>
      <c r="I8601" t="s">
        <v>16</v>
      </c>
    </row>
    <row r="8602" spans="1:9" x14ac:dyDescent="0.25">
      <c r="A8602">
        <v>1823</v>
      </c>
      <c r="B8602">
        <f>A8602+1</f>
        <v>1824</v>
      </c>
      <c r="C8602" t="s">
        <v>529</v>
      </c>
      <c r="D8602" t="s">
        <v>26</v>
      </c>
      <c r="E8602" s="208" t="s">
        <v>571</v>
      </c>
      <c r="F8602" t="s">
        <v>7</v>
      </c>
      <c r="G8602" s="18">
        <v>1165</v>
      </c>
      <c r="H8602" s="151" t="s">
        <v>563</v>
      </c>
      <c r="I8602" t="s">
        <v>16</v>
      </c>
    </row>
    <row r="8603" spans="1:9" x14ac:dyDescent="0.25">
      <c r="A8603">
        <v>1823</v>
      </c>
      <c r="B8603">
        <f>A8603+1</f>
        <v>1824</v>
      </c>
      <c r="C8603" t="s">
        <v>529</v>
      </c>
      <c r="D8603" t="s">
        <v>26</v>
      </c>
      <c r="E8603" s="208" t="s">
        <v>571</v>
      </c>
      <c r="F8603" t="s">
        <v>10</v>
      </c>
      <c r="G8603" s="18">
        <v>1092</v>
      </c>
      <c r="H8603" t="s">
        <v>24</v>
      </c>
      <c r="I8603" t="s">
        <v>17</v>
      </c>
    </row>
    <row r="8604" spans="1:9" x14ac:dyDescent="0.25">
      <c r="A8604">
        <v>1823</v>
      </c>
      <c r="B8604">
        <f>A8604+1</f>
        <v>1824</v>
      </c>
      <c r="C8604" t="s">
        <v>529</v>
      </c>
      <c r="D8604" t="s">
        <v>26</v>
      </c>
      <c r="E8604" s="208" t="s">
        <v>571</v>
      </c>
      <c r="F8604" t="s">
        <v>13</v>
      </c>
      <c r="G8604" s="18">
        <v>0</v>
      </c>
      <c r="H8604" t="s">
        <v>25</v>
      </c>
      <c r="I8604" t="s">
        <v>17</v>
      </c>
    </row>
    <row r="8605" spans="1:9" x14ac:dyDescent="0.25">
      <c r="A8605">
        <v>1823</v>
      </c>
      <c r="B8605">
        <f>A8605+1</f>
        <v>1824</v>
      </c>
      <c r="C8605" t="s">
        <v>529</v>
      </c>
      <c r="D8605" t="s">
        <v>26</v>
      </c>
      <c r="E8605" s="208" t="s">
        <v>571</v>
      </c>
      <c r="F8605" t="s">
        <v>164</v>
      </c>
      <c r="G8605" s="18">
        <v>0</v>
      </c>
      <c r="H8605" t="s">
        <v>160</v>
      </c>
      <c r="I8605" t="s">
        <v>17</v>
      </c>
    </row>
    <row r="8606" spans="1:9" x14ac:dyDescent="0.25">
      <c r="A8606">
        <v>1823</v>
      </c>
      <c r="B8606">
        <f>A8606+1</f>
        <v>1824</v>
      </c>
      <c r="C8606" t="s">
        <v>529</v>
      </c>
      <c r="D8606" t="s">
        <v>26</v>
      </c>
      <c r="E8606" s="208" t="s">
        <v>571</v>
      </c>
      <c r="F8606" t="s">
        <v>11</v>
      </c>
      <c r="G8606" s="18">
        <v>0</v>
      </c>
      <c r="H8606" t="s">
        <v>23</v>
      </c>
      <c r="I8606" t="s">
        <v>17</v>
      </c>
    </row>
    <row r="8607" spans="1:9" x14ac:dyDescent="0.25">
      <c r="A8607">
        <v>1823</v>
      </c>
      <c r="B8607">
        <f>A8607+1</f>
        <v>1824</v>
      </c>
      <c r="C8607" t="s">
        <v>529</v>
      </c>
      <c r="D8607" t="s">
        <v>26</v>
      </c>
      <c r="E8607" s="208" t="s">
        <v>571</v>
      </c>
      <c r="F8607" t="s">
        <v>14</v>
      </c>
      <c r="G8607" s="18">
        <v>1092</v>
      </c>
      <c r="H8607" s="151" t="s">
        <v>563</v>
      </c>
      <c r="I8607" t="s">
        <v>17</v>
      </c>
    </row>
    <row r="8608" spans="1:9" x14ac:dyDescent="0.25">
      <c r="A8608">
        <v>1823</v>
      </c>
      <c r="B8608">
        <f>A8608+1</f>
        <v>1824</v>
      </c>
      <c r="C8608" t="s">
        <v>529</v>
      </c>
      <c r="D8608" t="s">
        <v>26</v>
      </c>
      <c r="E8608" s="208" t="s">
        <v>571</v>
      </c>
      <c r="F8608" t="s">
        <v>15</v>
      </c>
      <c r="G8608" s="18">
        <v>2257</v>
      </c>
      <c r="H8608" s="151" t="s">
        <v>563</v>
      </c>
      <c r="I8608" t="s">
        <v>561</v>
      </c>
    </row>
    <row r="8609" spans="1:9" x14ac:dyDescent="0.25">
      <c r="A8609">
        <v>1823</v>
      </c>
      <c r="B8609">
        <f>A8609+1</f>
        <v>1824</v>
      </c>
      <c r="C8609" t="s">
        <v>529</v>
      </c>
      <c r="D8609" t="s">
        <v>26</v>
      </c>
      <c r="E8609" s="208" t="s">
        <v>570</v>
      </c>
      <c r="F8609" t="s">
        <v>3</v>
      </c>
      <c r="G8609" s="18">
        <v>6560</v>
      </c>
      <c r="H8609" t="s">
        <v>24</v>
      </c>
      <c r="I8609" t="s">
        <v>16</v>
      </c>
    </row>
    <row r="8610" spans="1:9" x14ac:dyDescent="0.25">
      <c r="A8610">
        <v>1823</v>
      </c>
      <c r="B8610">
        <f>A8610+1</f>
        <v>1824</v>
      </c>
      <c r="C8610" t="s">
        <v>529</v>
      </c>
      <c r="D8610" t="s">
        <v>26</v>
      </c>
      <c r="E8610" s="208" t="s">
        <v>570</v>
      </c>
      <c r="F8610" t="s">
        <v>6</v>
      </c>
      <c r="G8610" s="18">
        <v>0</v>
      </c>
      <c r="H8610" t="s">
        <v>25</v>
      </c>
      <c r="I8610" t="s">
        <v>16</v>
      </c>
    </row>
    <row r="8611" spans="1:9" x14ac:dyDescent="0.25">
      <c r="A8611">
        <v>1823</v>
      </c>
      <c r="B8611">
        <f>A8611+1</f>
        <v>1824</v>
      </c>
      <c r="C8611" t="s">
        <v>529</v>
      </c>
      <c r="D8611" t="s">
        <v>26</v>
      </c>
      <c r="E8611" s="208" t="s">
        <v>570</v>
      </c>
      <c r="F8611" t="s">
        <v>169</v>
      </c>
      <c r="G8611" s="18">
        <v>0</v>
      </c>
      <c r="H8611" t="s">
        <v>160</v>
      </c>
      <c r="I8611" t="s">
        <v>16</v>
      </c>
    </row>
    <row r="8612" spans="1:9" x14ac:dyDescent="0.25">
      <c r="A8612">
        <v>1823</v>
      </c>
      <c r="B8612">
        <f>A8612+1</f>
        <v>1824</v>
      </c>
      <c r="C8612" t="s">
        <v>529</v>
      </c>
      <c r="D8612" t="s">
        <v>26</v>
      </c>
      <c r="E8612" s="208" t="s">
        <v>570</v>
      </c>
      <c r="F8612" t="s">
        <v>4</v>
      </c>
      <c r="G8612" s="18">
        <v>0</v>
      </c>
      <c r="H8612" t="s">
        <v>23</v>
      </c>
      <c r="I8612" t="s">
        <v>16</v>
      </c>
    </row>
    <row r="8613" spans="1:9" x14ac:dyDescent="0.25">
      <c r="A8613">
        <v>1823</v>
      </c>
      <c r="B8613">
        <f>A8613+1</f>
        <v>1824</v>
      </c>
      <c r="C8613" t="s">
        <v>529</v>
      </c>
      <c r="D8613" t="s">
        <v>26</v>
      </c>
      <c r="E8613" s="208" t="s">
        <v>570</v>
      </c>
      <c r="F8613" t="s">
        <v>7</v>
      </c>
      <c r="G8613" s="18">
        <v>6560</v>
      </c>
      <c r="H8613" s="151" t="s">
        <v>563</v>
      </c>
      <c r="I8613" t="s">
        <v>16</v>
      </c>
    </row>
    <row r="8614" spans="1:9" x14ac:dyDescent="0.25">
      <c r="A8614">
        <v>1823</v>
      </c>
      <c r="B8614">
        <f>A8614+1</f>
        <v>1824</v>
      </c>
      <c r="C8614" t="s">
        <v>529</v>
      </c>
      <c r="D8614" t="s">
        <v>26</v>
      </c>
      <c r="E8614" s="208" t="s">
        <v>570</v>
      </c>
      <c r="F8614" t="s">
        <v>10</v>
      </c>
      <c r="G8614" s="18">
        <v>1365</v>
      </c>
      <c r="H8614" t="s">
        <v>24</v>
      </c>
      <c r="I8614" t="s">
        <v>17</v>
      </c>
    </row>
    <row r="8615" spans="1:9" x14ac:dyDescent="0.25">
      <c r="A8615">
        <v>1823</v>
      </c>
      <c r="B8615">
        <f>A8615+1</f>
        <v>1824</v>
      </c>
      <c r="C8615" t="s">
        <v>529</v>
      </c>
      <c r="D8615" t="s">
        <v>26</v>
      </c>
      <c r="E8615" s="208" t="s">
        <v>570</v>
      </c>
      <c r="F8615" t="s">
        <v>13</v>
      </c>
      <c r="G8615" s="18">
        <v>0</v>
      </c>
      <c r="H8615" t="s">
        <v>25</v>
      </c>
      <c r="I8615" t="s">
        <v>17</v>
      </c>
    </row>
    <row r="8616" spans="1:9" x14ac:dyDescent="0.25">
      <c r="A8616">
        <v>1823</v>
      </c>
      <c r="B8616">
        <f>A8616+1</f>
        <v>1824</v>
      </c>
      <c r="C8616" t="s">
        <v>529</v>
      </c>
      <c r="D8616" t="s">
        <v>26</v>
      </c>
      <c r="E8616" s="208" t="s">
        <v>570</v>
      </c>
      <c r="F8616" t="s">
        <v>164</v>
      </c>
      <c r="G8616" s="18">
        <v>0</v>
      </c>
      <c r="H8616" t="s">
        <v>160</v>
      </c>
      <c r="I8616" t="s">
        <v>17</v>
      </c>
    </row>
    <row r="8617" spans="1:9" x14ac:dyDescent="0.25">
      <c r="A8617">
        <v>1823</v>
      </c>
      <c r="B8617">
        <f>A8617+1</f>
        <v>1824</v>
      </c>
      <c r="C8617" t="s">
        <v>529</v>
      </c>
      <c r="D8617" t="s">
        <v>26</v>
      </c>
      <c r="E8617" s="208" t="s">
        <v>570</v>
      </c>
      <c r="F8617" t="s">
        <v>11</v>
      </c>
      <c r="G8617" s="18">
        <v>0</v>
      </c>
      <c r="H8617" t="s">
        <v>23</v>
      </c>
      <c r="I8617" t="s">
        <v>17</v>
      </c>
    </row>
    <row r="8618" spans="1:9" x14ac:dyDescent="0.25">
      <c r="A8618">
        <v>1823</v>
      </c>
      <c r="B8618">
        <f>A8618+1</f>
        <v>1824</v>
      </c>
      <c r="C8618" t="s">
        <v>529</v>
      </c>
      <c r="D8618" t="s">
        <v>26</v>
      </c>
      <c r="E8618" s="208" t="s">
        <v>570</v>
      </c>
      <c r="F8618" t="s">
        <v>14</v>
      </c>
      <c r="G8618" s="18">
        <v>1365</v>
      </c>
      <c r="H8618" s="151" t="s">
        <v>563</v>
      </c>
      <c r="I8618" t="s">
        <v>17</v>
      </c>
    </row>
    <row r="8619" spans="1:9" x14ac:dyDescent="0.25">
      <c r="A8619">
        <v>1823</v>
      </c>
      <c r="B8619">
        <f>A8619+1</f>
        <v>1824</v>
      </c>
      <c r="C8619" t="s">
        <v>529</v>
      </c>
      <c r="D8619" t="s">
        <v>26</v>
      </c>
      <c r="E8619" s="208" t="s">
        <v>570</v>
      </c>
      <c r="F8619" t="s">
        <v>15</v>
      </c>
      <c r="G8619" s="18">
        <v>7925</v>
      </c>
      <c r="H8619" s="151" t="s">
        <v>563</v>
      </c>
      <c r="I8619" t="s">
        <v>561</v>
      </c>
    </row>
    <row r="8620" spans="1:9" x14ac:dyDescent="0.25">
      <c r="A8620">
        <v>1823</v>
      </c>
      <c r="B8620">
        <f>A8620+1</f>
        <v>1824</v>
      </c>
      <c r="C8620" t="s">
        <v>529</v>
      </c>
      <c r="D8620" t="s">
        <v>26</v>
      </c>
      <c r="E8620" s="208" t="s">
        <v>567</v>
      </c>
      <c r="F8620" t="s">
        <v>3</v>
      </c>
      <c r="G8620" s="18">
        <v>20650</v>
      </c>
      <c r="H8620" t="s">
        <v>24</v>
      </c>
      <c r="I8620" t="s">
        <v>16</v>
      </c>
    </row>
    <row r="8621" spans="1:9" x14ac:dyDescent="0.25">
      <c r="A8621">
        <v>1823</v>
      </c>
      <c r="B8621">
        <f>A8621+1</f>
        <v>1824</v>
      </c>
      <c r="C8621" t="s">
        <v>529</v>
      </c>
      <c r="D8621" t="s">
        <v>26</v>
      </c>
      <c r="E8621" s="208" t="s">
        <v>567</v>
      </c>
      <c r="F8621" t="s">
        <v>6</v>
      </c>
      <c r="G8621" s="18">
        <v>0</v>
      </c>
      <c r="H8621" t="s">
        <v>25</v>
      </c>
      <c r="I8621" t="s">
        <v>16</v>
      </c>
    </row>
    <row r="8622" spans="1:9" x14ac:dyDescent="0.25">
      <c r="A8622">
        <v>1823</v>
      </c>
      <c r="B8622">
        <f>A8622+1</f>
        <v>1824</v>
      </c>
      <c r="C8622" t="s">
        <v>529</v>
      </c>
      <c r="D8622" t="s">
        <v>26</v>
      </c>
      <c r="E8622" s="208" t="s">
        <v>567</v>
      </c>
      <c r="F8622" t="s">
        <v>169</v>
      </c>
      <c r="G8622" s="18">
        <v>21699</v>
      </c>
      <c r="H8622" t="s">
        <v>160</v>
      </c>
      <c r="I8622" t="s">
        <v>16</v>
      </c>
    </row>
    <row r="8623" spans="1:9" x14ac:dyDescent="0.25">
      <c r="A8623">
        <v>1823</v>
      </c>
      <c r="B8623">
        <f>A8623+1</f>
        <v>1824</v>
      </c>
      <c r="C8623" t="s">
        <v>529</v>
      </c>
      <c r="D8623" t="s">
        <v>26</v>
      </c>
      <c r="E8623" s="208" t="s">
        <v>567</v>
      </c>
      <c r="F8623" t="s">
        <v>4</v>
      </c>
      <c r="G8623" s="18">
        <v>0</v>
      </c>
      <c r="H8623" t="s">
        <v>23</v>
      </c>
      <c r="I8623" t="s">
        <v>16</v>
      </c>
    </row>
    <row r="8624" spans="1:9" x14ac:dyDescent="0.25">
      <c r="A8624">
        <v>1823</v>
      </c>
      <c r="B8624">
        <f>A8624+1</f>
        <v>1824</v>
      </c>
      <c r="C8624" t="s">
        <v>529</v>
      </c>
      <c r="D8624" t="s">
        <v>26</v>
      </c>
      <c r="E8624" s="208" t="s">
        <v>567</v>
      </c>
      <c r="F8624" t="s">
        <v>7</v>
      </c>
      <c r="G8624" s="18">
        <v>42349</v>
      </c>
      <c r="H8624" s="151" t="s">
        <v>563</v>
      </c>
      <c r="I8624" t="s">
        <v>16</v>
      </c>
    </row>
    <row r="8625" spans="1:9" x14ac:dyDescent="0.25">
      <c r="A8625">
        <v>1823</v>
      </c>
      <c r="B8625">
        <f>A8625+1</f>
        <v>1824</v>
      </c>
      <c r="C8625" t="s">
        <v>529</v>
      </c>
      <c r="D8625" t="s">
        <v>26</v>
      </c>
      <c r="E8625" s="208" t="s">
        <v>567</v>
      </c>
      <c r="F8625" t="s">
        <v>10</v>
      </c>
      <c r="G8625" s="18">
        <v>5058</v>
      </c>
      <c r="H8625" t="s">
        <v>24</v>
      </c>
      <c r="I8625" t="s">
        <v>17</v>
      </c>
    </row>
    <row r="8626" spans="1:9" x14ac:dyDescent="0.25">
      <c r="A8626">
        <v>1823</v>
      </c>
      <c r="B8626">
        <f>A8626+1</f>
        <v>1824</v>
      </c>
      <c r="C8626" t="s">
        <v>529</v>
      </c>
      <c r="D8626" t="s">
        <v>26</v>
      </c>
      <c r="E8626" s="208" t="s">
        <v>567</v>
      </c>
      <c r="F8626" t="s">
        <v>13</v>
      </c>
      <c r="G8626" s="18">
        <v>0</v>
      </c>
      <c r="H8626" t="s">
        <v>25</v>
      </c>
      <c r="I8626" t="s">
        <v>17</v>
      </c>
    </row>
    <row r="8627" spans="1:9" x14ac:dyDescent="0.25">
      <c r="A8627">
        <v>1823</v>
      </c>
      <c r="B8627">
        <f>A8627+1</f>
        <v>1824</v>
      </c>
      <c r="C8627" t="s">
        <v>529</v>
      </c>
      <c r="D8627" t="s">
        <v>26</v>
      </c>
      <c r="E8627" s="208" t="s">
        <v>567</v>
      </c>
      <c r="F8627" t="s">
        <v>164</v>
      </c>
      <c r="G8627" s="18">
        <v>33841</v>
      </c>
      <c r="H8627" t="s">
        <v>160</v>
      </c>
      <c r="I8627" t="s">
        <v>17</v>
      </c>
    </row>
    <row r="8628" spans="1:9" x14ac:dyDescent="0.25">
      <c r="A8628">
        <v>1823</v>
      </c>
      <c r="B8628">
        <f>A8628+1</f>
        <v>1824</v>
      </c>
      <c r="C8628" t="s">
        <v>529</v>
      </c>
      <c r="D8628" t="s">
        <v>26</v>
      </c>
      <c r="E8628" s="208" t="s">
        <v>567</v>
      </c>
      <c r="F8628" t="s">
        <v>11</v>
      </c>
      <c r="G8628" s="18">
        <v>0</v>
      </c>
      <c r="H8628" t="s">
        <v>23</v>
      </c>
      <c r="I8628" t="s">
        <v>17</v>
      </c>
    </row>
    <row r="8629" spans="1:9" x14ac:dyDescent="0.25">
      <c r="A8629">
        <v>1823</v>
      </c>
      <c r="B8629">
        <f>A8629+1</f>
        <v>1824</v>
      </c>
      <c r="C8629" t="s">
        <v>529</v>
      </c>
      <c r="D8629" t="s">
        <v>26</v>
      </c>
      <c r="E8629" s="208" t="s">
        <v>567</v>
      </c>
      <c r="F8629" t="s">
        <v>14</v>
      </c>
      <c r="G8629" s="18">
        <v>38899</v>
      </c>
      <c r="H8629" s="151" t="s">
        <v>563</v>
      </c>
      <c r="I8629" t="s">
        <v>17</v>
      </c>
    </row>
    <row r="8630" spans="1:9" x14ac:dyDescent="0.25">
      <c r="A8630">
        <v>1823</v>
      </c>
      <c r="B8630">
        <f>A8630+1</f>
        <v>1824</v>
      </c>
      <c r="C8630" t="s">
        <v>529</v>
      </c>
      <c r="D8630" t="s">
        <v>26</v>
      </c>
      <c r="E8630" s="208" t="s">
        <v>567</v>
      </c>
      <c r="F8630" t="s">
        <v>15</v>
      </c>
      <c r="G8630" s="18">
        <v>81248</v>
      </c>
      <c r="H8630" s="151" t="s">
        <v>563</v>
      </c>
      <c r="I8630" t="s">
        <v>561</v>
      </c>
    </row>
    <row r="8631" spans="1:9" x14ac:dyDescent="0.25">
      <c r="A8631">
        <v>1823</v>
      </c>
      <c r="B8631">
        <f>A8631+1</f>
        <v>1824</v>
      </c>
      <c r="C8631" t="s">
        <v>529</v>
      </c>
      <c r="D8631" t="s">
        <v>27</v>
      </c>
      <c r="E8631" s="208" t="s">
        <v>155</v>
      </c>
      <c r="F8631" t="s">
        <v>3</v>
      </c>
      <c r="G8631" s="18">
        <v>77</v>
      </c>
      <c r="H8631" t="s">
        <v>16</v>
      </c>
      <c r="I8631" t="s">
        <v>24</v>
      </c>
    </row>
    <row r="8632" spans="1:9" x14ac:dyDescent="0.25">
      <c r="A8632">
        <v>1823</v>
      </c>
      <c r="B8632">
        <f>A8632+1</f>
        <v>1824</v>
      </c>
      <c r="C8632" t="s">
        <v>529</v>
      </c>
      <c r="D8632" t="s">
        <v>27</v>
      </c>
      <c r="E8632" s="208" t="s">
        <v>156</v>
      </c>
      <c r="F8632" t="s">
        <v>3</v>
      </c>
      <c r="G8632" s="18">
        <v>50</v>
      </c>
      <c r="H8632" t="s">
        <v>16</v>
      </c>
      <c r="I8632" t="s">
        <v>24</v>
      </c>
    </row>
    <row r="8633" spans="1:9" x14ac:dyDescent="0.25">
      <c r="A8633">
        <v>1823</v>
      </c>
      <c r="B8633">
        <f>A8633+1</f>
        <v>1824</v>
      </c>
      <c r="C8633" t="s">
        <v>529</v>
      </c>
      <c r="D8633" t="s">
        <v>27</v>
      </c>
      <c r="E8633" s="208" t="s">
        <v>154</v>
      </c>
      <c r="F8633" t="s">
        <v>3</v>
      </c>
      <c r="G8633" s="18">
        <v>533</v>
      </c>
      <c r="H8633" t="s">
        <v>16</v>
      </c>
      <c r="I8633" t="s">
        <v>24</v>
      </c>
    </row>
    <row r="8634" spans="1:9" x14ac:dyDescent="0.25">
      <c r="A8634">
        <v>1823</v>
      </c>
      <c r="B8634">
        <f>A8634+1</f>
        <v>1824</v>
      </c>
      <c r="C8634" t="s">
        <v>529</v>
      </c>
      <c r="D8634" t="s">
        <v>27</v>
      </c>
      <c r="E8634" s="208" t="s">
        <v>150</v>
      </c>
      <c r="F8634" t="s">
        <v>3</v>
      </c>
      <c r="G8634" s="18">
        <v>706</v>
      </c>
      <c r="H8634" t="s">
        <v>16</v>
      </c>
      <c r="I8634" t="s">
        <v>24</v>
      </c>
    </row>
    <row r="8635" spans="1:9" x14ac:dyDescent="0.25">
      <c r="A8635">
        <v>1823</v>
      </c>
      <c r="B8635">
        <f>A8635+1</f>
        <v>1824</v>
      </c>
      <c r="C8635" t="s">
        <v>529</v>
      </c>
      <c r="D8635" t="s">
        <v>27</v>
      </c>
      <c r="E8635" s="208" t="s">
        <v>148</v>
      </c>
      <c r="F8635" t="s">
        <v>3</v>
      </c>
      <c r="G8635" s="18">
        <v>7</v>
      </c>
      <c r="H8635" t="s">
        <v>16</v>
      </c>
      <c r="I8635" t="s">
        <v>24</v>
      </c>
    </row>
    <row r="8636" spans="1:9" x14ac:dyDescent="0.25">
      <c r="A8636">
        <v>1823</v>
      </c>
      <c r="B8636">
        <f>A8636+1</f>
        <v>1824</v>
      </c>
      <c r="C8636" t="s">
        <v>529</v>
      </c>
      <c r="D8636" t="s">
        <v>27</v>
      </c>
      <c r="E8636" s="208" t="s">
        <v>147</v>
      </c>
      <c r="F8636" t="s">
        <v>3</v>
      </c>
      <c r="G8636" s="18">
        <v>5</v>
      </c>
      <c r="H8636" t="s">
        <v>16</v>
      </c>
      <c r="I8636" t="s">
        <v>24</v>
      </c>
    </row>
    <row r="8637" spans="1:9" x14ac:dyDescent="0.25">
      <c r="A8637">
        <v>1823</v>
      </c>
      <c r="B8637">
        <f>A8637+1</f>
        <v>1824</v>
      </c>
      <c r="C8637" t="s">
        <v>529</v>
      </c>
      <c r="D8637" t="s">
        <v>27</v>
      </c>
      <c r="E8637" s="208" t="s">
        <v>314</v>
      </c>
      <c r="F8637" t="s">
        <v>3</v>
      </c>
      <c r="G8637" s="18">
        <v>0</v>
      </c>
      <c r="H8637" t="s">
        <v>16</v>
      </c>
      <c r="I8637" t="s">
        <v>24</v>
      </c>
    </row>
    <row r="8638" spans="1:9" x14ac:dyDescent="0.25">
      <c r="A8638">
        <v>1823</v>
      </c>
      <c r="B8638">
        <f>A8638+1</f>
        <v>1824</v>
      </c>
      <c r="C8638" t="s">
        <v>529</v>
      </c>
      <c r="D8638" t="s">
        <v>27</v>
      </c>
      <c r="E8638" s="208" t="s">
        <v>139</v>
      </c>
      <c r="F8638" t="s">
        <v>3</v>
      </c>
      <c r="G8638" s="18">
        <v>0</v>
      </c>
      <c r="H8638" t="s">
        <v>16</v>
      </c>
      <c r="I8638" t="s">
        <v>24</v>
      </c>
    </row>
    <row r="8639" spans="1:9" x14ac:dyDescent="0.25">
      <c r="A8639">
        <v>1823</v>
      </c>
      <c r="B8639">
        <f>A8639+1</f>
        <v>1824</v>
      </c>
      <c r="C8639" t="s">
        <v>529</v>
      </c>
      <c r="D8639" t="s">
        <v>27</v>
      </c>
      <c r="E8639" s="208" t="s">
        <v>132</v>
      </c>
      <c r="F8639" t="s">
        <v>3</v>
      </c>
      <c r="G8639" s="18">
        <v>6</v>
      </c>
      <c r="H8639" t="s">
        <v>16</v>
      </c>
      <c r="I8639" t="s">
        <v>24</v>
      </c>
    </row>
    <row r="8640" spans="1:9" x14ac:dyDescent="0.25">
      <c r="A8640">
        <v>1823</v>
      </c>
      <c r="B8640">
        <f>A8640+1</f>
        <v>1824</v>
      </c>
      <c r="C8640" t="s">
        <v>529</v>
      </c>
      <c r="D8640" t="s">
        <v>27</v>
      </c>
      <c r="E8640" s="208" t="s">
        <v>130</v>
      </c>
      <c r="F8640" t="s">
        <v>3</v>
      </c>
      <c r="G8640" s="18">
        <v>0</v>
      </c>
      <c r="H8640" t="s">
        <v>16</v>
      </c>
      <c r="I8640" t="s">
        <v>24</v>
      </c>
    </row>
    <row r="8641" spans="1:9" x14ac:dyDescent="0.25">
      <c r="A8641">
        <v>1823</v>
      </c>
      <c r="B8641">
        <f>A8641+1</f>
        <v>1824</v>
      </c>
      <c r="C8641" t="s">
        <v>529</v>
      </c>
      <c r="D8641" t="s">
        <v>27</v>
      </c>
      <c r="E8641" s="208" t="s">
        <v>144</v>
      </c>
      <c r="F8641" t="s">
        <v>3</v>
      </c>
      <c r="G8641" s="18">
        <v>0</v>
      </c>
      <c r="H8641" t="s">
        <v>16</v>
      </c>
      <c r="I8641" t="s">
        <v>24</v>
      </c>
    </row>
    <row r="8642" spans="1:9" x14ac:dyDescent="0.25">
      <c r="A8642">
        <v>1823</v>
      </c>
      <c r="B8642">
        <f>A8642+1</f>
        <v>1824</v>
      </c>
      <c r="C8642" t="s">
        <v>529</v>
      </c>
      <c r="D8642" t="s">
        <v>27</v>
      </c>
      <c r="E8642" s="208" t="s">
        <v>142</v>
      </c>
      <c r="F8642" t="s">
        <v>3</v>
      </c>
      <c r="G8642" s="18">
        <v>46</v>
      </c>
      <c r="H8642" t="s">
        <v>16</v>
      </c>
      <c r="I8642" t="s">
        <v>24</v>
      </c>
    </row>
    <row r="8643" spans="1:9" x14ac:dyDescent="0.25">
      <c r="A8643">
        <v>1823</v>
      </c>
      <c r="B8643">
        <f>A8643+1</f>
        <v>1824</v>
      </c>
      <c r="C8643" t="s">
        <v>529</v>
      </c>
      <c r="D8643" t="s">
        <v>27</v>
      </c>
      <c r="E8643" s="208" t="s">
        <v>124</v>
      </c>
      <c r="F8643" t="s">
        <v>3</v>
      </c>
      <c r="G8643" s="18">
        <v>158340</v>
      </c>
      <c r="H8643" t="s">
        <v>16</v>
      </c>
      <c r="I8643" t="s">
        <v>24</v>
      </c>
    </row>
    <row r="8644" spans="1:9" x14ac:dyDescent="0.25">
      <c r="A8644">
        <v>1823</v>
      </c>
      <c r="B8644">
        <f>A8644+1</f>
        <v>1824</v>
      </c>
      <c r="C8644" t="s">
        <v>529</v>
      </c>
      <c r="D8644" t="s">
        <v>26</v>
      </c>
      <c r="E8644" s="208" t="s">
        <v>62</v>
      </c>
      <c r="F8644" t="s">
        <v>3</v>
      </c>
      <c r="G8644" s="18">
        <v>1444</v>
      </c>
      <c r="H8644" t="s">
        <v>24</v>
      </c>
      <c r="I8644" t="s">
        <v>16</v>
      </c>
    </row>
    <row r="8645" spans="1:9" x14ac:dyDescent="0.25">
      <c r="A8645">
        <v>1823</v>
      </c>
      <c r="B8645">
        <f>A8645+1</f>
        <v>1824</v>
      </c>
      <c r="C8645" t="s">
        <v>529</v>
      </c>
      <c r="D8645" t="s">
        <v>26</v>
      </c>
      <c r="E8645" s="208" t="s">
        <v>36</v>
      </c>
      <c r="F8645" t="s">
        <v>3</v>
      </c>
      <c r="G8645" s="18">
        <v>0</v>
      </c>
      <c r="H8645" t="s">
        <v>24</v>
      </c>
      <c r="I8645" t="s">
        <v>16</v>
      </c>
    </row>
    <row r="8646" spans="1:9" x14ac:dyDescent="0.25">
      <c r="A8646">
        <v>1823</v>
      </c>
      <c r="B8646">
        <f>A8646+1</f>
        <v>1824</v>
      </c>
      <c r="C8646" t="s">
        <v>529</v>
      </c>
      <c r="D8646" t="s">
        <v>26</v>
      </c>
      <c r="E8646" s="208" t="s">
        <v>35</v>
      </c>
      <c r="F8646" t="s">
        <v>3</v>
      </c>
      <c r="G8646" s="18">
        <v>0</v>
      </c>
      <c r="H8646" t="s">
        <v>24</v>
      </c>
      <c r="I8646" t="s">
        <v>16</v>
      </c>
    </row>
    <row r="8647" spans="1:9" x14ac:dyDescent="0.25">
      <c r="A8647">
        <v>1823</v>
      </c>
      <c r="B8647">
        <f>A8647+1</f>
        <v>1824</v>
      </c>
      <c r="C8647" t="s">
        <v>529</v>
      </c>
      <c r="D8647" t="s">
        <v>26</v>
      </c>
      <c r="E8647" s="208" t="s">
        <v>39</v>
      </c>
      <c r="F8647" t="s">
        <v>3</v>
      </c>
      <c r="G8647" s="18">
        <v>0</v>
      </c>
      <c r="H8647" t="s">
        <v>24</v>
      </c>
      <c r="I8647" t="s">
        <v>16</v>
      </c>
    </row>
    <row r="8648" spans="1:9" x14ac:dyDescent="0.25">
      <c r="A8648">
        <v>1823</v>
      </c>
      <c r="B8648">
        <f>A8648+1</f>
        <v>1824</v>
      </c>
      <c r="C8648" t="s">
        <v>529</v>
      </c>
      <c r="D8648" t="s">
        <v>26</v>
      </c>
      <c r="E8648" s="208" t="s">
        <v>99</v>
      </c>
      <c r="F8648" t="s">
        <v>3</v>
      </c>
      <c r="G8648" s="18">
        <v>1892</v>
      </c>
      <c r="H8648" t="s">
        <v>24</v>
      </c>
      <c r="I8648" t="s">
        <v>16</v>
      </c>
    </row>
    <row r="8649" spans="1:9" x14ac:dyDescent="0.25">
      <c r="A8649">
        <v>1823</v>
      </c>
      <c r="B8649">
        <f>A8649+1</f>
        <v>1824</v>
      </c>
      <c r="C8649" t="s">
        <v>529</v>
      </c>
      <c r="D8649" t="s">
        <v>26</v>
      </c>
      <c r="E8649" s="208" t="s">
        <v>95</v>
      </c>
      <c r="F8649" t="s">
        <v>3</v>
      </c>
      <c r="G8649" s="18">
        <v>0</v>
      </c>
      <c r="H8649" t="s">
        <v>24</v>
      </c>
      <c r="I8649" t="s">
        <v>16</v>
      </c>
    </row>
    <row r="8650" spans="1:9" x14ac:dyDescent="0.25">
      <c r="A8650">
        <v>1823</v>
      </c>
      <c r="B8650">
        <f>A8650+1</f>
        <v>1824</v>
      </c>
      <c r="C8650" t="s">
        <v>529</v>
      </c>
      <c r="D8650" t="s">
        <v>26</v>
      </c>
      <c r="E8650" s="208" t="s">
        <v>94</v>
      </c>
      <c r="F8650" t="s">
        <v>3</v>
      </c>
      <c r="G8650" s="18">
        <v>295</v>
      </c>
      <c r="H8650" t="s">
        <v>24</v>
      </c>
      <c r="I8650" t="s">
        <v>16</v>
      </c>
    </row>
    <row r="8651" spans="1:9" x14ac:dyDescent="0.25">
      <c r="A8651">
        <v>1823</v>
      </c>
      <c r="B8651">
        <f>A8651+1</f>
        <v>1824</v>
      </c>
      <c r="C8651" t="s">
        <v>529</v>
      </c>
      <c r="D8651" t="s">
        <v>26</v>
      </c>
      <c r="E8651" s="208" t="s">
        <v>386</v>
      </c>
      <c r="F8651" t="s">
        <v>3</v>
      </c>
      <c r="G8651" s="18">
        <v>150</v>
      </c>
      <c r="H8651" t="s">
        <v>24</v>
      </c>
      <c r="I8651" t="s">
        <v>16</v>
      </c>
    </row>
    <row r="8652" spans="1:9" x14ac:dyDescent="0.25">
      <c r="A8652">
        <v>1823</v>
      </c>
      <c r="B8652">
        <f>A8652+1</f>
        <v>1824</v>
      </c>
      <c r="C8652" t="s">
        <v>529</v>
      </c>
      <c r="D8652" t="s">
        <v>26</v>
      </c>
      <c r="E8652" s="208" t="s">
        <v>388</v>
      </c>
      <c r="F8652" t="s">
        <v>3</v>
      </c>
      <c r="G8652" s="18">
        <v>189</v>
      </c>
      <c r="H8652" t="s">
        <v>24</v>
      </c>
      <c r="I8652" t="s">
        <v>16</v>
      </c>
    </row>
    <row r="8653" spans="1:9" x14ac:dyDescent="0.25">
      <c r="A8653">
        <v>1823</v>
      </c>
      <c r="B8653">
        <f>A8653+1</f>
        <v>1824</v>
      </c>
      <c r="C8653" t="s">
        <v>529</v>
      </c>
      <c r="D8653" t="s">
        <v>26</v>
      </c>
      <c r="E8653" s="208" t="s">
        <v>383</v>
      </c>
      <c r="F8653" t="s">
        <v>3</v>
      </c>
      <c r="G8653" s="18">
        <v>0</v>
      </c>
      <c r="H8653" t="s">
        <v>24</v>
      </c>
      <c r="I8653" t="s">
        <v>16</v>
      </c>
    </row>
    <row r="8654" spans="1:9" x14ac:dyDescent="0.25">
      <c r="A8654">
        <v>1823</v>
      </c>
      <c r="B8654">
        <f>A8654+1</f>
        <v>1824</v>
      </c>
      <c r="C8654" t="s">
        <v>529</v>
      </c>
      <c r="D8654" t="s">
        <v>26</v>
      </c>
      <c r="E8654" s="208" t="s">
        <v>384</v>
      </c>
      <c r="F8654" t="s">
        <v>3</v>
      </c>
      <c r="G8654" s="18">
        <v>0</v>
      </c>
      <c r="H8654" t="s">
        <v>24</v>
      </c>
      <c r="I8654" t="s">
        <v>16</v>
      </c>
    </row>
    <row r="8655" spans="1:9" x14ac:dyDescent="0.25">
      <c r="A8655">
        <v>1823</v>
      </c>
      <c r="B8655">
        <f>A8655+1</f>
        <v>1824</v>
      </c>
      <c r="C8655" t="s">
        <v>529</v>
      </c>
      <c r="D8655" t="s">
        <v>26</v>
      </c>
      <c r="E8655" s="208" t="s">
        <v>107</v>
      </c>
      <c r="F8655" t="s">
        <v>3</v>
      </c>
      <c r="G8655" s="18">
        <v>176966</v>
      </c>
      <c r="H8655" t="s">
        <v>24</v>
      </c>
      <c r="I8655" t="s">
        <v>16</v>
      </c>
    </row>
    <row r="8656" spans="1:9" x14ac:dyDescent="0.25">
      <c r="A8656">
        <v>1823</v>
      </c>
      <c r="B8656">
        <f>A8656+1</f>
        <v>1824</v>
      </c>
      <c r="C8656" t="s">
        <v>529</v>
      </c>
      <c r="D8656" t="s">
        <v>26</v>
      </c>
      <c r="E8656" s="208" t="s">
        <v>101</v>
      </c>
      <c r="F8656" t="s">
        <v>3</v>
      </c>
      <c r="G8656" s="18">
        <v>530370</v>
      </c>
      <c r="H8656" t="s">
        <v>24</v>
      </c>
      <c r="I8656" t="s">
        <v>16</v>
      </c>
    </row>
    <row r="8657" spans="1:9" x14ac:dyDescent="0.25">
      <c r="A8657">
        <v>1823</v>
      </c>
      <c r="B8657">
        <f>A8657+1</f>
        <v>1824</v>
      </c>
      <c r="C8657" t="s">
        <v>529</v>
      </c>
      <c r="D8657" t="s">
        <v>26</v>
      </c>
      <c r="E8657" s="208" t="s">
        <v>75</v>
      </c>
      <c r="F8657" t="s">
        <v>3</v>
      </c>
      <c r="G8657" s="18">
        <v>717200</v>
      </c>
      <c r="H8657" t="s">
        <v>24</v>
      </c>
      <c r="I8657" t="s">
        <v>16</v>
      </c>
    </row>
    <row r="8658" spans="1:9" x14ac:dyDescent="0.25">
      <c r="A8658">
        <v>1823</v>
      </c>
      <c r="B8658">
        <f>A8658+1</f>
        <v>1824</v>
      </c>
      <c r="C8658" t="s">
        <v>529</v>
      </c>
      <c r="D8658" t="s">
        <v>26</v>
      </c>
      <c r="E8658" s="208" t="s">
        <v>330</v>
      </c>
      <c r="F8658" t="s">
        <v>3</v>
      </c>
      <c r="G8658" s="18">
        <v>6</v>
      </c>
      <c r="H8658" t="s">
        <v>24</v>
      </c>
      <c r="I8658" t="s">
        <v>16</v>
      </c>
    </row>
    <row r="8659" spans="1:9" x14ac:dyDescent="0.25">
      <c r="A8659">
        <v>1823</v>
      </c>
      <c r="B8659">
        <f>A8659+1</f>
        <v>1824</v>
      </c>
      <c r="C8659" t="s">
        <v>529</v>
      </c>
      <c r="D8659" t="s">
        <v>26</v>
      </c>
      <c r="E8659" s="208" t="s">
        <v>331</v>
      </c>
      <c r="F8659" t="s">
        <v>3</v>
      </c>
      <c r="G8659" s="18">
        <v>0</v>
      </c>
      <c r="H8659" t="s">
        <v>24</v>
      </c>
      <c r="I8659" t="s">
        <v>16</v>
      </c>
    </row>
    <row r="8660" spans="1:9" x14ac:dyDescent="0.25">
      <c r="A8660">
        <v>1823</v>
      </c>
      <c r="B8660">
        <f>A8660+1</f>
        <v>1824</v>
      </c>
      <c r="C8660" t="s">
        <v>529</v>
      </c>
      <c r="D8660" t="s">
        <v>26</v>
      </c>
      <c r="E8660" s="208" t="s">
        <v>332</v>
      </c>
      <c r="F8660" t="s">
        <v>3</v>
      </c>
      <c r="G8660" s="18">
        <v>0</v>
      </c>
      <c r="H8660" t="s">
        <v>24</v>
      </c>
      <c r="I8660" t="s">
        <v>16</v>
      </c>
    </row>
    <row r="8661" spans="1:9" x14ac:dyDescent="0.25">
      <c r="A8661">
        <v>1823</v>
      </c>
      <c r="B8661">
        <f>A8661+1</f>
        <v>1824</v>
      </c>
      <c r="C8661" t="s">
        <v>529</v>
      </c>
      <c r="D8661" t="s">
        <v>26</v>
      </c>
      <c r="E8661" s="208" t="s">
        <v>333</v>
      </c>
      <c r="F8661" t="s">
        <v>3</v>
      </c>
      <c r="G8661" s="18">
        <v>0</v>
      </c>
      <c r="H8661" t="s">
        <v>24</v>
      </c>
      <c r="I8661" t="s">
        <v>16</v>
      </c>
    </row>
    <row r="8662" spans="1:9" x14ac:dyDescent="0.25">
      <c r="A8662">
        <v>1823</v>
      </c>
      <c r="B8662">
        <f>A8662+1</f>
        <v>1824</v>
      </c>
      <c r="C8662" t="s">
        <v>529</v>
      </c>
      <c r="D8662" t="s">
        <v>27</v>
      </c>
      <c r="E8662" s="208" t="s">
        <v>155</v>
      </c>
      <c r="F8662" t="s">
        <v>6</v>
      </c>
      <c r="G8662" s="18">
        <v>0</v>
      </c>
      <c r="H8662" t="s">
        <v>16</v>
      </c>
      <c r="I8662" t="s">
        <v>25</v>
      </c>
    </row>
    <row r="8663" spans="1:9" x14ac:dyDescent="0.25">
      <c r="A8663">
        <v>1823</v>
      </c>
      <c r="B8663">
        <f>A8663+1</f>
        <v>1824</v>
      </c>
      <c r="C8663" t="s">
        <v>529</v>
      </c>
      <c r="D8663" t="s">
        <v>27</v>
      </c>
      <c r="E8663" s="208" t="s">
        <v>156</v>
      </c>
      <c r="F8663" t="s">
        <v>6</v>
      </c>
      <c r="G8663" s="18">
        <v>0</v>
      </c>
      <c r="H8663" t="s">
        <v>16</v>
      </c>
      <c r="I8663" t="s">
        <v>25</v>
      </c>
    </row>
    <row r="8664" spans="1:9" x14ac:dyDescent="0.25">
      <c r="A8664">
        <v>1823</v>
      </c>
      <c r="B8664">
        <f>A8664+1</f>
        <v>1824</v>
      </c>
      <c r="C8664" t="s">
        <v>529</v>
      </c>
      <c r="D8664" t="s">
        <v>27</v>
      </c>
      <c r="E8664" s="208" t="s">
        <v>154</v>
      </c>
      <c r="F8664" t="s">
        <v>6</v>
      </c>
      <c r="G8664" s="18">
        <v>0</v>
      </c>
      <c r="H8664" t="s">
        <v>16</v>
      </c>
      <c r="I8664" t="s">
        <v>25</v>
      </c>
    </row>
    <row r="8665" spans="1:9" x14ac:dyDescent="0.25">
      <c r="A8665">
        <v>1823</v>
      </c>
      <c r="B8665">
        <f>A8665+1</f>
        <v>1824</v>
      </c>
      <c r="C8665" t="s">
        <v>529</v>
      </c>
      <c r="D8665" t="s">
        <v>27</v>
      </c>
      <c r="E8665" s="208" t="s">
        <v>150</v>
      </c>
      <c r="F8665" t="s">
        <v>6</v>
      </c>
      <c r="G8665" s="18">
        <v>1101</v>
      </c>
      <c r="H8665" t="s">
        <v>16</v>
      </c>
      <c r="I8665" t="s">
        <v>25</v>
      </c>
    </row>
    <row r="8666" spans="1:9" x14ac:dyDescent="0.25">
      <c r="A8666">
        <v>1823</v>
      </c>
      <c r="B8666">
        <f>A8666+1</f>
        <v>1824</v>
      </c>
      <c r="C8666" t="s">
        <v>529</v>
      </c>
      <c r="D8666" t="s">
        <v>27</v>
      </c>
      <c r="E8666" s="208" t="s">
        <v>148</v>
      </c>
      <c r="F8666" t="s">
        <v>6</v>
      </c>
      <c r="G8666" s="18">
        <v>288</v>
      </c>
      <c r="H8666" t="s">
        <v>16</v>
      </c>
      <c r="I8666" t="s">
        <v>25</v>
      </c>
    </row>
    <row r="8667" spans="1:9" x14ac:dyDescent="0.25">
      <c r="A8667">
        <v>1823</v>
      </c>
      <c r="B8667">
        <f>A8667+1</f>
        <v>1824</v>
      </c>
      <c r="C8667" t="s">
        <v>529</v>
      </c>
      <c r="D8667" t="s">
        <v>27</v>
      </c>
      <c r="E8667" s="208" t="s">
        <v>147</v>
      </c>
      <c r="F8667" t="s">
        <v>6</v>
      </c>
      <c r="G8667" s="18">
        <v>0</v>
      </c>
      <c r="H8667" t="s">
        <v>16</v>
      </c>
      <c r="I8667" t="s">
        <v>25</v>
      </c>
    </row>
    <row r="8668" spans="1:9" x14ac:dyDescent="0.25">
      <c r="A8668">
        <v>1823</v>
      </c>
      <c r="B8668">
        <f>A8668+1</f>
        <v>1824</v>
      </c>
      <c r="C8668" t="s">
        <v>529</v>
      </c>
      <c r="D8668" t="s">
        <v>27</v>
      </c>
      <c r="E8668" s="208" t="s">
        <v>314</v>
      </c>
      <c r="F8668" t="s">
        <v>6</v>
      </c>
      <c r="G8668" s="18">
        <v>61</v>
      </c>
      <c r="H8668" t="s">
        <v>16</v>
      </c>
      <c r="I8668" t="s">
        <v>25</v>
      </c>
    </row>
    <row r="8669" spans="1:9" x14ac:dyDescent="0.25">
      <c r="A8669">
        <v>1823</v>
      </c>
      <c r="B8669">
        <f>A8669+1</f>
        <v>1824</v>
      </c>
      <c r="C8669" t="s">
        <v>529</v>
      </c>
      <c r="D8669" t="s">
        <v>27</v>
      </c>
      <c r="E8669" s="208" t="s">
        <v>139</v>
      </c>
      <c r="F8669" t="s">
        <v>6</v>
      </c>
      <c r="G8669" s="18">
        <v>0</v>
      </c>
      <c r="H8669" t="s">
        <v>16</v>
      </c>
      <c r="I8669" t="s">
        <v>25</v>
      </c>
    </row>
    <row r="8670" spans="1:9" x14ac:dyDescent="0.25">
      <c r="A8670">
        <v>1823</v>
      </c>
      <c r="B8670">
        <f>A8670+1</f>
        <v>1824</v>
      </c>
      <c r="C8670" t="s">
        <v>529</v>
      </c>
      <c r="D8670" t="s">
        <v>27</v>
      </c>
      <c r="E8670" s="208" t="s">
        <v>132</v>
      </c>
      <c r="F8670" t="s">
        <v>6</v>
      </c>
      <c r="G8670" s="18">
        <v>0</v>
      </c>
      <c r="H8670" t="s">
        <v>16</v>
      </c>
      <c r="I8670" t="s">
        <v>25</v>
      </c>
    </row>
    <row r="8671" spans="1:9" x14ac:dyDescent="0.25">
      <c r="A8671">
        <v>1823</v>
      </c>
      <c r="B8671">
        <f>A8671+1</f>
        <v>1824</v>
      </c>
      <c r="C8671" t="s">
        <v>529</v>
      </c>
      <c r="D8671" t="s">
        <v>27</v>
      </c>
      <c r="E8671" s="208" t="s">
        <v>130</v>
      </c>
      <c r="F8671" t="s">
        <v>6</v>
      </c>
      <c r="G8671" s="18">
        <v>0</v>
      </c>
      <c r="H8671" t="s">
        <v>16</v>
      </c>
      <c r="I8671" t="s">
        <v>25</v>
      </c>
    </row>
    <row r="8672" spans="1:9" x14ac:dyDescent="0.25">
      <c r="A8672">
        <v>1823</v>
      </c>
      <c r="B8672">
        <f>A8672+1</f>
        <v>1824</v>
      </c>
      <c r="C8672" t="s">
        <v>529</v>
      </c>
      <c r="D8672" t="s">
        <v>27</v>
      </c>
      <c r="E8672" s="208" t="s">
        <v>144</v>
      </c>
      <c r="F8672" t="s">
        <v>6</v>
      </c>
      <c r="G8672" s="18">
        <v>0</v>
      </c>
      <c r="H8672" t="s">
        <v>16</v>
      </c>
      <c r="I8672" t="s">
        <v>25</v>
      </c>
    </row>
    <row r="8673" spans="1:9" x14ac:dyDescent="0.25">
      <c r="A8673">
        <v>1823</v>
      </c>
      <c r="B8673">
        <f>A8673+1</f>
        <v>1824</v>
      </c>
      <c r="C8673" t="s">
        <v>529</v>
      </c>
      <c r="D8673" t="s">
        <v>27</v>
      </c>
      <c r="E8673" s="208" t="s">
        <v>142</v>
      </c>
      <c r="F8673" t="s">
        <v>6</v>
      </c>
      <c r="G8673" s="18">
        <v>0</v>
      </c>
      <c r="H8673" t="s">
        <v>16</v>
      </c>
      <c r="I8673" t="s">
        <v>25</v>
      </c>
    </row>
    <row r="8674" spans="1:9" x14ac:dyDescent="0.25">
      <c r="A8674">
        <v>1823</v>
      </c>
      <c r="B8674">
        <f>A8674+1</f>
        <v>1824</v>
      </c>
      <c r="C8674" t="s">
        <v>529</v>
      </c>
      <c r="D8674" t="s">
        <v>27</v>
      </c>
      <c r="E8674" s="208" t="s">
        <v>124</v>
      </c>
      <c r="F8674" t="s">
        <v>6</v>
      </c>
      <c r="G8674" s="18">
        <v>15225</v>
      </c>
      <c r="H8674" t="s">
        <v>16</v>
      </c>
      <c r="I8674" t="s">
        <v>25</v>
      </c>
    </row>
    <row r="8675" spans="1:9" x14ac:dyDescent="0.25">
      <c r="A8675">
        <v>1823</v>
      </c>
      <c r="B8675">
        <f>A8675+1</f>
        <v>1824</v>
      </c>
      <c r="C8675" t="s">
        <v>529</v>
      </c>
      <c r="D8675" t="s">
        <v>26</v>
      </c>
      <c r="E8675" s="208" t="s">
        <v>62</v>
      </c>
      <c r="F8675" t="s">
        <v>6</v>
      </c>
      <c r="G8675" s="18">
        <v>1720</v>
      </c>
      <c r="H8675" t="s">
        <v>25</v>
      </c>
      <c r="I8675" t="s">
        <v>16</v>
      </c>
    </row>
    <row r="8676" spans="1:9" x14ac:dyDescent="0.25">
      <c r="A8676">
        <v>1823</v>
      </c>
      <c r="B8676">
        <f>A8676+1</f>
        <v>1824</v>
      </c>
      <c r="C8676" t="s">
        <v>529</v>
      </c>
      <c r="D8676" t="s">
        <v>26</v>
      </c>
      <c r="E8676" s="208" t="s">
        <v>36</v>
      </c>
      <c r="F8676" t="s">
        <v>6</v>
      </c>
      <c r="G8676" s="18">
        <v>0</v>
      </c>
      <c r="H8676" t="s">
        <v>25</v>
      </c>
      <c r="I8676" t="s">
        <v>16</v>
      </c>
    </row>
    <row r="8677" spans="1:9" x14ac:dyDescent="0.25">
      <c r="A8677">
        <v>1823</v>
      </c>
      <c r="B8677">
        <f>A8677+1</f>
        <v>1824</v>
      </c>
      <c r="C8677" t="s">
        <v>529</v>
      </c>
      <c r="D8677" t="s">
        <v>26</v>
      </c>
      <c r="E8677" s="208" t="s">
        <v>35</v>
      </c>
      <c r="F8677" t="s">
        <v>6</v>
      </c>
      <c r="G8677" s="18">
        <v>0</v>
      </c>
      <c r="H8677" t="s">
        <v>25</v>
      </c>
      <c r="I8677" t="s">
        <v>16</v>
      </c>
    </row>
    <row r="8678" spans="1:9" x14ac:dyDescent="0.25">
      <c r="A8678">
        <v>1823</v>
      </c>
      <c r="B8678">
        <f>A8678+1</f>
        <v>1824</v>
      </c>
      <c r="C8678" t="s">
        <v>529</v>
      </c>
      <c r="D8678" t="s">
        <v>26</v>
      </c>
      <c r="E8678" s="208" t="s">
        <v>39</v>
      </c>
      <c r="F8678" t="s">
        <v>6</v>
      </c>
      <c r="G8678" s="18">
        <v>0</v>
      </c>
      <c r="H8678" t="s">
        <v>25</v>
      </c>
      <c r="I8678" t="s">
        <v>16</v>
      </c>
    </row>
    <row r="8679" spans="1:9" x14ac:dyDescent="0.25">
      <c r="A8679">
        <v>1823</v>
      </c>
      <c r="B8679">
        <f>A8679+1</f>
        <v>1824</v>
      </c>
      <c r="C8679" t="s">
        <v>529</v>
      </c>
      <c r="D8679" t="s">
        <v>26</v>
      </c>
      <c r="E8679" s="208" t="s">
        <v>99</v>
      </c>
      <c r="F8679" t="s">
        <v>6</v>
      </c>
      <c r="G8679" s="18">
        <v>0</v>
      </c>
      <c r="H8679" t="s">
        <v>25</v>
      </c>
      <c r="I8679" t="s">
        <v>16</v>
      </c>
    </row>
    <row r="8680" spans="1:9" x14ac:dyDescent="0.25">
      <c r="A8680">
        <v>1823</v>
      </c>
      <c r="B8680">
        <f>A8680+1</f>
        <v>1824</v>
      </c>
      <c r="C8680" t="s">
        <v>529</v>
      </c>
      <c r="D8680" t="s">
        <v>26</v>
      </c>
      <c r="E8680" s="208" t="s">
        <v>95</v>
      </c>
      <c r="F8680" t="s">
        <v>6</v>
      </c>
      <c r="G8680" s="18">
        <v>0</v>
      </c>
      <c r="H8680" t="s">
        <v>25</v>
      </c>
      <c r="I8680" t="s">
        <v>16</v>
      </c>
    </row>
    <row r="8681" spans="1:9" x14ac:dyDescent="0.25">
      <c r="A8681">
        <v>1823</v>
      </c>
      <c r="B8681">
        <f>A8681+1</f>
        <v>1824</v>
      </c>
      <c r="C8681" t="s">
        <v>529</v>
      </c>
      <c r="D8681" t="s">
        <v>26</v>
      </c>
      <c r="E8681" s="208" t="s">
        <v>94</v>
      </c>
      <c r="F8681" t="s">
        <v>6</v>
      </c>
      <c r="G8681" s="18">
        <v>908</v>
      </c>
      <c r="H8681" t="s">
        <v>25</v>
      </c>
      <c r="I8681" t="s">
        <v>16</v>
      </c>
    </row>
    <row r="8682" spans="1:9" x14ac:dyDescent="0.25">
      <c r="A8682">
        <v>1823</v>
      </c>
      <c r="B8682">
        <f>A8682+1</f>
        <v>1824</v>
      </c>
      <c r="C8682" t="s">
        <v>529</v>
      </c>
      <c r="D8682" t="s">
        <v>26</v>
      </c>
      <c r="E8682" s="208" t="s">
        <v>386</v>
      </c>
      <c r="F8682" t="s">
        <v>6</v>
      </c>
      <c r="G8682" s="18">
        <v>5810</v>
      </c>
      <c r="H8682" t="s">
        <v>25</v>
      </c>
      <c r="I8682" t="s">
        <v>16</v>
      </c>
    </row>
    <row r="8683" spans="1:9" x14ac:dyDescent="0.25">
      <c r="A8683">
        <v>1823</v>
      </c>
      <c r="B8683">
        <f>A8683+1</f>
        <v>1824</v>
      </c>
      <c r="C8683" t="s">
        <v>529</v>
      </c>
      <c r="D8683" t="s">
        <v>26</v>
      </c>
      <c r="E8683" s="208" t="s">
        <v>388</v>
      </c>
      <c r="F8683" t="s">
        <v>6</v>
      </c>
      <c r="G8683" s="18">
        <v>415</v>
      </c>
      <c r="H8683" t="s">
        <v>25</v>
      </c>
      <c r="I8683" t="s">
        <v>16</v>
      </c>
    </row>
    <row r="8684" spans="1:9" x14ac:dyDescent="0.25">
      <c r="A8684">
        <v>1823</v>
      </c>
      <c r="B8684">
        <f>A8684+1</f>
        <v>1824</v>
      </c>
      <c r="C8684" t="s">
        <v>529</v>
      </c>
      <c r="D8684" t="s">
        <v>26</v>
      </c>
      <c r="E8684" s="208" t="s">
        <v>383</v>
      </c>
      <c r="F8684" t="s">
        <v>6</v>
      </c>
      <c r="G8684" s="18">
        <v>213</v>
      </c>
      <c r="H8684" t="s">
        <v>25</v>
      </c>
      <c r="I8684" t="s">
        <v>16</v>
      </c>
    </row>
    <row r="8685" spans="1:9" x14ac:dyDescent="0.25">
      <c r="A8685">
        <v>1823</v>
      </c>
      <c r="B8685">
        <f>A8685+1</f>
        <v>1824</v>
      </c>
      <c r="C8685" t="s">
        <v>529</v>
      </c>
      <c r="D8685" t="s">
        <v>26</v>
      </c>
      <c r="E8685" s="208" t="s">
        <v>384</v>
      </c>
      <c r="F8685" t="s">
        <v>6</v>
      </c>
      <c r="G8685" s="18">
        <v>301</v>
      </c>
      <c r="H8685" t="s">
        <v>25</v>
      </c>
      <c r="I8685" t="s">
        <v>16</v>
      </c>
    </row>
    <row r="8686" spans="1:9" x14ac:dyDescent="0.25">
      <c r="A8686">
        <v>1823</v>
      </c>
      <c r="B8686">
        <f>A8686+1</f>
        <v>1824</v>
      </c>
      <c r="C8686" t="s">
        <v>529</v>
      </c>
      <c r="D8686" t="s">
        <v>26</v>
      </c>
      <c r="E8686" s="208" t="s">
        <v>107</v>
      </c>
      <c r="F8686" t="s">
        <v>6</v>
      </c>
      <c r="G8686" s="18">
        <v>0</v>
      </c>
      <c r="H8686" t="s">
        <v>25</v>
      </c>
      <c r="I8686" t="s">
        <v>16</v>
      </c>
    </row>
    <row r="8687" spans="1:9" x14ac:dyDescent="0.25">
      <c r="A8687">
        <v>1823</v>
      </c>
      <c r="B8687">
        <f>A8687+1</f>
        <v>1824</v>
      </c>
      <c r="C8687" t="s">
        <v>529</v>
      </c>
      <c r="D8687" t="s">
        <v>26</v>
      </c>
      <c r="E8687" s="208" t="s">
        <v>101</v>
      </c>
      <c r="F8687" t="s">
        <v>6</v>
      </c>
      <c r="G8687" s="18">
        <v>20000</v>
      </c>
      <c r="H8687" t="s">
        <v>25</v>
      </c>
      <c r="I8687" t="s">
        <v>16</v>
      </c>
    </row>
    <row r="8688" spans="1:9" x14ac:dyDescent="0.25">
      <c r="A8688">
        <v>1823</v>
      </c>
      <c r="B8688">
        <f>A8688+1</f>
        <v>1824</v>
      </c>
      <c r="C8688" t="s">
        <v>529</v>
      </c>
      <c r="D8688" t="s">
        <v>26</v>
      </c>
      <c r="E8688" s="208" t="s">
        <v>75</v>
      </c>
      <c r="F8688" t="s">
        <v>6</v>
      </c>
      <c r="G8688" s="18">
        <v>50000</v>
      </c>
      <c r="H8688" t="s">
        <v>25</v>
      </c>
      <c r="I8688" t="s">
        <v>16</v>
      </c>
    </row>
    <row r="8689" spans="1:9" x14ac:dyDescent="0.25">
      <c r="A8689">
        <v>1823</v>
      </c>
      <c r="B8689">
        <f>A8689+1</f>
        <v>1824</v>
      </c>
      <c r="C8689" t="s">
        <v>529</v>
      </c>
      <c r="D8689" t="s">
        <v>26</v>
      </c>
      <c r="E8689" s="208" t="s">
        <v>330</v>
      </c>
      <c r="F8689" t="s">
        <v>6</v>
      </c>
      <c r="G8689" s="18">
        <v>124</v>
      </c>
      <c r="H8689" t="s">
        <v>25</v>
      </c>
      <c r="I8689" t="s">
        <v>16</v>
      </c>
    </row>
    <row r="8690" spans="1:9" x14ac:dyDescent="0.25">
      <c r="A8690">
        <v>1823</v>
      </c>
      <c r="B8690">
        <f>A8690+1</f>
        <v>1824</v>
      </c>
      <c r="C8690" t="s">
        <v>529</v>
      </c>
      <c r="D8690" t="s">
        <v>26</v>
      </c>
      <c r="E8690" s="208" t="s">
        <v>331</v>
      </c>
      <c r="F8690" t="s">
        <v>6</v>
      </c>
      <c r="G8690" s="18">
        <v>179</v>
      </c>
      <c r="H8690" t="s">
        <v>25</v>
      </c>
      <c r="I8690" t="s">
        <v>16</v>
      </c>
    </row>
    <row r="8691" spans="1:9" x14ac:dyDescent="0.25">
      <c r="A8691">
        <v>1823</v>
      </c>
      <c r="B8691">
        <f>A8691+1</f>
        <v>1824</v>
      </c>
      <c r="C8691" t="s">
        <v>529</v>
      </c>
      <c r="D8691" t="s">
        <v>26</v>
      </c>
      <c r="E8691" s="208" t="s">
        <v>332</v>
      </c>
      <c r="F8691" t="s">
        <v>6</v>
      </c>
      <c r="G8691" s="18">
        <v>361</v>
      </c>
      <c r="H8691" t="s">
        <v>25</v>
      </c>
      <c r="I8691" t="s">
        <v>16</v>
      </c>
    </row>
    <row r="8692" spans="1:9" x14ac:dyDescent="0.25">
      <c r="A8692">
        <v>1823</v>
      </c>
      <c r="B8692">
        <f>A8692+1</f>
        <v>1824</v>
      </c>
      <c r="C8692" t="s">
        <v>529</v>
      </c>
      <c r="D8692" t="s">
        <v>26</v>
      </c>
      <c r="E8692" s="208" t="s">
        <v>333</v>
      </c>
      <c r="F8692" t="s">
        <v>6</v>
      </c>
      <c r="G8692" s="18">
        <v>0</v>
      </c>
      <c r="H8692" t="s">
        <v>25</v>
      </c>
      <c r="I8692" t="s">
        <v>16</v>
      </c>
    </row>
    <row r="8693" spans="1:9" x14ac:dyDescent="0.25">
      <c r="A8693">
        <v>1823</v>
      </c>
      <c r="B8693">
        <f>A8693+1</f>
        <v>1824</v>
      </c>
      <c r="C8693" t="s">
        <v>529</v>
      </c>
      <c r="D8693" t="s">
        <v>27</v>
      </c>
      <c r="E8693" s="208" t="s">
        <v>155</v>
      </c>
      <c r="F8693" t="s">
        <v>0</v>
      </c>
      <c r="G8693" s="18">
        <v>20579</v>
      </c>
      <c r="H8693" t="s">
        <v>16</v>
      </c>
      <c r="I8693" t="s">
        <v>18</v>
      </c>
    </row>
    <row r="8694" spans="1:9" x14ac:dyDescent="0.25">
      <c r="A8694">
        <v>1823</v>
      </c>
      <c r="B8694">
        <f>A8694+1</f>
        <v>1824</v>
      </c>
      <c r="C8694" t="s">
        <v>529</v>
      </c>
      <c r="D8694" t="s">
        <v>27</v>
      </c>
      <c r="E8694" s="208" t="s">
        <v>156</v>
      </c>
      <c r="F8694" t="s">
        <v>0</v>
      </c>
      <c r="G8694" s="18">
        <v>1125</v>
      </c>
      <c r="H8694" t="s">
        <v>16</v>
      </c>
      <c r="I8694" t="s">
        <v>18</v>
      </c>
    </row>
    <row r="8695" spans="1:9" x14ac:dyDescent="0.25">
      <c r="A8695">
        <v>1823</v>
      </c>
      <c r="B8695">
        <f>A8695+1</f>
        <v>1824</v>
      </c>
      <c r="C8695" t="s">
        <v>529</v>
      </c>
      <c r="D8695" t="s">
        <v>27</v>
      </c>
      <c r="E8695" s="208" t="s">
        <v>154</v>
      </c>
      <c r="F8695" t="s">
        <v>0</v>
      </c>
      <c r="G8695" s="18">
        <v>653</v>
      </c>
      <c r="H8695" t="s">
        <v>16</v>
      </c>
      <c r="I8695" t="s">
        <v>18</v>
      </c>
    </row>
    <row r="8696" spans="1:9" x14ac:dyDescent="0.25">
      <c r="A8696">
        <v>1823</v>
      </c>
      <c r="B8696">
        <f>A8696+1</f>
        <v>1824</v>
      </c>
      <c r="C8696" t="s">
        <v>529</v>
      </c>
      <c r="D8696" t="s">
        <v>27</v>
      </c>
      <c r="E8696" s="208" t="s">
        <v>150</v>
      </c>
      <c r="F8696" t="s">
        <v>0</v>
      </c>
      <c r="G8696" s="18">
        <v>4243</v>
      </c>
      <c r="H8696" t="s">
        <v>16</v>
      </c>
      <c r="I8696" t="s">
        <v>18</v>
      </c>
    </row>
    <row r="8697" spans="1:9" x14ac:dyDescent="0.25">
      <c r="A8697">
        <v>1823</v>
      </c>
      <c r="B8697">
        <f>A8697+1</f>
        <v>1824</v>
      </c>
      <c r="C8697" t="s">
        <v>529</v>
      </c>
      <c r="D8697" t="s">
        <v>27</v>
      </c>
      <c r="E8697" s="208" t="s">
        <v>148</v>
      </c>
      <c r="F8697" t="s">
        <v>0</v>
      </c>
      <c r="G8697" s="18">
        <v>621</v>
      </c>
      <c r="H8697" t="s">
        <v>16</v>
      </c>
      <c r="I8697" t="s">
        <v>18</v>
      </c>
    </row>
    <row r="8698" spans="1:9" x14ac:dyDescent="0.25">
      <c r="A8698">
        <v>1823</v>
      </c>
      <c r="B8698">
        <f>A8698+1</f>
        <v>1824</v>
      </c>
      <c r="C8698" t="s">
        <v>529</v>
      </c>
      <c r="D8698" t="s">
        <v>27</v>
      </c>
      <c r="E8698" s="208" t="s">
        <v>147</v>
      </c>
      <c r="F8698" t="s">
        <v>0</v>
      </c>
      <c r="G8698" s="18">
        <v>0</v>
      </c>
      <c r="H8698" t="s">
        <v>16</v>
      </c>
      <c r="I8698" t="s">
        <v>18</v>
      </c>
    </row>
    <row r="8699" spans="1:9" x14ac:dyDescent="0.25">
      <c r="A8699">
        <v>1823</v>
      </c>
      <c r="B8699">
        <f>A8699+1</f>
        <v>1824</v>
      </c>
      <c r="C8699" t="s">
        <v>529</v>
      </c>
      <c r="D8699" t="s">
        <v>27</v>
      </c>
      <c r="E8699" s="208" t="s">
        <v>314</v>
      </c>
      <c r="F8699" t="s">
        <v>0</v>
      </c>
      <c r="G8699" s="18">
        <v>0</v>
      </c>
      <c r="H8699" t="s">
        <v>16</v>
      </c>
      <c r="I8699" t="s">
        <v>18</v>
      </c>
    </row>
    <row r="8700" spans="1:9" x14ac:dyDescent="0.25">
      <c r="A8700">
        <v>1823</v>
      </c>
      <c r="B8700">
        <f>A8700+1</f>
        <v>1824</v>
      </c>
      <c r="C8700" t="s">
        <v>529</v>
      </c>
      <c r="D8700" t="s">
        <v>27</v>
      </c>
      <c r="E8700" s="208" t="s">
        <v>139</v>
      </c>
      <c r="F8700" t="s">
        <v>0</v>
      </c>
      <c r="G8700" s="18">
        <v>180</v>
      </c>
      <c r="H8700" t="s">
        <v>16</v>
      </c>
      <c r="I8700" t="s">
        <v>18</v>
      </c>
    </row>
    <row r="8701" spans="1:9" x14ac:dyDescent="0.25">
      <c r="A8701">
        <v>1823</v>
      </c>
      <c r="B8701">
        <f>A8701+1</f>
        <v>1824</v>
      </c>
      <c r="C8701" t="s">
        <v>529</v>
      </c>
      <c r="D8701" t="s">
        <v>27</v>
      </c>
      <c r="E8701" s="208" t="s">
        <v>132</v>
      </c>
      <c r="F8701" t="s">
        <v>0</v>
      </c>
      <c r="G8701" s="18">
        <v>229</v>
      </c>
      <c r="H8701" t="s">
        <v>16</v>
      </c>
      <c r="I8701" t="s">
        <v>18</v>
      </c>
    </row>
    <row r="8702" spans="1:9" x14ac:dyDescent="0.25">
      <c r="A8702">
        <v>1823</v>
      </c>
      <c r="B8702">
        <f>A8702+1</f>
        <v>1824</v>
      </c>
      <c r="C8702" t="s">
        <v>529</v>
      </c>
      <c r="D8702" t="s">
        <v>27</v>
      </c>
      <c r="E8702" s="208" t="s">
        <v>130</v>
      </c>
      <c r="F8702" t="s">
        <v>0</v>
      </c>
      <c r="G8702" s="18">
        <v>7</v>
      </c>
      <c r="H8702" t="s">
        <v>16</v>
      </c>
      <c r="I8702" t="s">
        <v>18</v>
      </c>
    </row>
    <row r="8703" spans="1:9" x14ac:dyDescent="0.25">
      <c r="A8703">
        <v>1823</v>
      </c>
      <c r="B8703">
        <f>A8703+1</f>
        <v>1824</v>
      </c>
      <c r="C8703" t="s">
        <v>529</v>
      </c>
      <c r="D8703" t="s">
        <v>27</v>
      </c>
      <c r="E8703" s="208" t="s">
        <v>144</v>
      </c>
      <c r="F8703" t="s">
        <v>0</v>
      </c>
      <c r="G8703" s="18">
        <v>305</v>
      </c>
      <c r="H8703" t="s">
        <v>16</v>
      </c>
      <c r="I8703" t="s">
        <v>18</v>
      </c>
    </row>
    <row r="8704" spans="1:9" x14ac:dyDescent="0.25">
      <c r="A8704">
        <v>1823</v>
      </c>
      <c r="B8704">
        <f>A8704+1</f>
        <v>1824</v>
      </c>
      <c r="C8704" t="s">
        <v>529</v>
      </c>
      <c r="D8704" t="s">
        <v>27</v>
      </c>
      <c r="E8704" s="208" t="s">
        <v>142</v>
      </c>
      <c r="F8704" t="s">
        <v>0</v>
      </c>
      <c r="G8704" s="18">
        <v>1751</v>
      </c>
      <c r="H8704" t="s">
        <v>16</v>
      </c>
      <c r="I8704" t="s">
        <v>18</v>
      </c>
    </row>
    <row r="8705" spans="1:9" x14ac:dyDescent="0.25">
      <c r="A8705">
        <v>1823</v>
      </c>
      <c r="B8705">
        <f>A8705+1</f>
        <v>1824</v>
      </c>
      <c r="C8705" t="s">
        <v>529</v>
      </c>
      <c r="D8705" t="s">
        <v>27</v>
      </c>
      <c r="E8705" s="208" t="s">
        <v>124</v>
      </c>
      <c r="F8705" t="s">
        <v>0</v>
      </c>
      <c r="G8705" s="18">
        <v>11574344</v>
      </c>
      <c r="H8705" t="s">
        <v>16</v>
      </c>
      <c r="I8705" t="s">
        <v>18</v>
      </c>
    </row>
    <row r="8706" spans="1:9" x14ac:dyDescent="0.25">
      <c r="A8706">
        <v>1823</v>
      </c>
      <c r="B8706">
        <f>A8706+1</f>
        <v>1824</v>
      </c>
      <c r="C8706" t="s">
        <v>529</v>
      </c>
      <c r="D8706" t="s">
        <v>26</v>
      </c>
      <c r="E8706" s="208" t="s">
        <v>62</v>
      </c>
      <c r="F8706" t="s">
        <v>169</v>
      </c>
      <c r="G8706" s="18">
        <v>13652</v>
      </c>
      <c r="H8706" t="s">
        <v>160</v>
      </c>
      <c r="I8706" t="s">
        <v>16</v>
      </c>
    </row>
    <row r="8707" spans="1:9" x14ac:dyDescent="0.25">
      <c r="A8707">
        <v>1823</v>
      </c>
      <c r="B8707">
        <f>A8707+1</f>
        <v>1824</v>
      </c>
      <c r="C8707" t="s">
        <v>529</v>
      </c>
      <c r="D8707" t="s">
        <v>26</v>
      </c>
      <c r="E8707" s="208" t="s">
        <v>36</v>
      </c>
      <c r="F8707" t="s">
        <v>169</v>
      </c>
      <c r="G8707" s="18">
        <v>75</v>
      </c>
      <c r="H8707" t="s">
        <v>160</v>
      </c>
      <c r="I8707" t="s">
        <v>16</v>
      </c>
    </row>
    <row r="8708" spans="1:9" x14ac:dyDescent="0.25">
      <c r="A8708">
        <v>1823</v>
      </c>
      <c r="B8708">
        <f>A8708+1</f>
        <v>1824</v>
      </c>
      <c r="C8708" t="s">
        <v>529</v>
      </c>
      <c r="D8708" t="s">
        <v>26</v>
      </c>
      <c r="E8708" s="208" t="s">
        <v>35</v>
      </c>
      <c r="F8708" t="s">
        <v>169</v>
      </c>
      <c r="G8708" s="18">
        <v>4792</v>
      </c>
      <c r="H8708" t="s">
        <v>160</v>
      </c>
      <c r="I8708" t="s">
        <v>16</v>
      </c>
    </row>
    <row r="8709" spans="1:9" x14ac:dyDescent="0.25">
      <c r="A8709">
        <v>1823</v>
      </c>
      <c r="B8709">
        <f>A8709+1</f>
        <v>1824</v>
      </c>
      <c r="C8709" t="s">
        <v>529</v>
      </c>
      <c r="D8709" t="s">
        <v>26</v>
      </c>
      <c r="E8709" s="208" t="s">
        <v>39</v>
      </c>
      <c r="F8709" t="s">
        <v>169</v>
      </c>
      <c r="G8709" s="18">
        <v>0</v>
      </c>
      <c r="H8709" t="s">
        <v>160</v>
      </c>
      <c r="I8709" t="s">
        <v>16</v>
      </c>
    </row>
    <row r="8710" spans="1:9" x14ac:dyDescent="0.25">
      <c r="A8710">
        <v>1823</v>
      </c>
      <c r="B8710">
        <f>A8710+1</f>
        <v>1824</v>
      </c>
      <c r="C8710" t="s">
        <v>529</v>
      </c>
      <c r="D8710" t="s">
        <v>26</v>
      </c>
      <c r="E8710" s="208" t="s">
        <v>99</v>
      </c>
      <c r="F8710" t="s">
        <v>169</v>
      </c>
      <c r="G8710" s="18">
        <v>815</v>
      </c>
      <c r="H8710" t="s">
        <v>160</v>
      </c>
      <c r="I8710" t="s">
        <v>16</v>
      </c>
    </row>
    <row r="8711" spans="1:9" x14ac:dyDescent="0.25">
      <c r="A8711">
        <v>1823</v>
      </c>
      <c r="B8711">
        <f>A8711+1</f>
        <v>1824</v>
      </c>
      <c r="C8711" t="s">
        <v>529</v>
      </c>
      <c r="D8711" t="s">
        <v>26</v>
      </c>
      <c r="E8711" s="208" t="s">
        <v>95</v>
      </c>
      <c r="F8711" t="s">
        <v>169</v>
      </c>
      <c r="G8711" s="18">
        <v>0</v>
      </c>
      <c r="H8711" t="s">
        <v>160</v>
      </c>
      <c r="I8711" t="s">
        <v>16</v>
      </c>
    </row>
    <row r="8712" spans="1:9" x14ac:dyDescent="0.25">
      <c r="A8712">
        <v>1823</v>
      </c>
      <c r="B8712">
        <f>A8712+1</f>
        <v>1824</v>
      </c>
      <c r="C8712" t="s">
        <v>529</v>
      </c>
      <c r="D8712" t="s">
        <v>26</v>
      </c>
      <c r="E8712" s="208" t="s">
        <v>94</v>
      </c>
      <c r="F8712" t="s">
        <v>169</v>
      </c>
      <c r="G8712" s="18">
        <v>2702</v>
      </c>
      <c r="H8712" t="s">
        <v>160</v>
      </c>
      <c r="I8712" t="s">
        <v>16</v>
      </c>
    </row>
    <row r="8713" spans="1:9" x14ac:dyDescent="0.25">
      <c r="A8713">
        <v>1823</v>
      </c>
      <c r="B8713">
        <f>A8713+1</f>
        <v>1824</v>
      </c>
      <c r="C8713" t="s">
        <v>529</v>
      </c>
      <c r="D8713" t="s">
        <v>26</v>
      </c>
      <c r="E8713" s="208" t="s">
        <v>386</v>
      </c>
      <c r="F8713" t="s">
        <v>169</v>
      </c>
      <c r="G8713" s="18">
        <v>0</v>
      </c>
      <c r="H8713" t="s">
        <v>160</v>
      </c>
      <c r="I8713" t="s">
        <v>16</v>
      </c>
    </row>
    <row r="8714" spans="1:9" x14ac:dyDescent="0.25">
      <c r="A8714">
        <v>1823</v>
      </c>
      <c r="B8714">
        <f>A8714+1</f>
        <v>1824</v>
      </c>
      <c r="C8714" t="s">
        <v>529</v>
      </c>
      <c r="D8714" t="s">
        <v>26</v>
      </c>
      <c r="E8714" s="208" t="s">
        <v>388</v>
      </c>
      <c r="F8714" t="s">
        <v>169</v>
      </c>
      <c r="G8714" s="18">
        <v>0</v>
      </c>
      <c r="H8714" t="s">
        <v>160</v>
      </c>
      <c r="I8714" t="s">
        <v>16</v>
      </c>
    </row>
    <row r="8715" spans="1:9" x14ac:dyDescent="0.25">
      <c r="A8715">
        <v>1823</v>
      </c>
      <c r="B8715">
        <f>A8715+1</f>
        <v>1824</v>
      </c>
      <c r="C8715" t="s">
        <v>529</v>
      </c>
      <c r="D8715" t="s">
        <v>26</v>
      </c>
      <c r="E8715" s="208" t="s">
        <v>383</v>
      </c>
      <c r="F8715" t="s">
        <v>169</v>
      </c>
      <c r="G8715" s="18">
        <v>400</v>
      </c>
      <c r="H8715" t="s">
        <v>160</v>
      </c>
      <c r="I8715" t="s">
        <v>16</v>
      </c>
    </row>
    <row r="8716" spans="1:9" x14ac:dyDescent="0.25">
      <c r="A8716">
        <v>1823</v>
      </c>
      <c r="B8716">
        <f>A8716+1</f>
        <v>1824</v>
      </c>
      <c r="C8716" t="s">
        <v>529</v>
      </c>
      <c r="D8716" t="s">
        <v>26</v>
      </c>
      <c r="E8716" s="208" t="s">
        <v>384</v>
      </c>
      <c r="F8716" t="s">
        <v>169</v>
      </c>
      <c r="G8716" s="18">
        <v>0</v>
      </c>
      <c r="H8716" t="s">
        <v>160</v>
      </c>
      <c r="I8716" t="s">
        <v>16</v>
      </c>
    </row>
    <row r="8717" spans="1:9" x14ac:dyDescent="0.25">
      <c r="A8717">
        <v>1823</v>
      </c>
      <c r="B8717">
        <f>A8717+1</f>
        <v>1824</v>
      </c>
      <c r="C8717" t="s">
        <v>529</v>
      </c>
      <c r="D8717" t="s">
        <v>26</v>
      </c>
      <c r="E8717" s="208" t="s">
        <v>107</v>
      </c>
      <c r="F8717" t="s">
        <v>169</v>
      </c>
      <c r="G8717" s="18">
        <v>0</v>
      </c>
      <c r="H8717" t="s">
        <v>160</v>
      </c>
      <c r="I8717" t="s">
        <v>16</v>
      </c>
    </row>
    <row r="8718" spans="1:9" x14ac:dyDescent="0.25">
      <c r="A8718">
        <v>1823</v>
      </c>
      <c r="B8718">
        <f>A8718+1</f>
        <v>1824</v>
      </c>
      <c r="C8718" t="s">
        <v>529</v>
      </c>
      <c r="D8718" t="s">
        <v>26</v>
      </c>
      <c r="E8718" s="208" t="s">
        <v>101</v>
      </c>
      <c r="F8718" t="s">
        <v>169</v>
      </c>
      <c r="G8718" s="18">
        <v>0</v>
      </c>
      <c r="H8718" t="s">
        <v>160</v>
      </c>
      <c r="I8718" t="s">
        <v>16</v>
      </c>
    </row>
    <row r="8719" spans="1:9" x14ac:dyDescent="0.25">
      <c r="A8719">
        <v>1823</v>
      </c>
      <c r="B8719">
        <f>A8719+1</f>
        <v>1824</v>
      </c>
      <c r="C8719" t="s">
        <v>529</v>
      </c>
      <c r="D8719" t="s">
        <v>26</v>
      </c>
      <c r="E8719" s="208" t="s">
        <v>75</v>
      </c>
      <c r="F8719" t="s">
        <v>169</v>
      </c>
      <c r="G8719" s="18">
        <v>0</v>
      </c>
      <c r="H8719" t="s">
        <v>160</v>
      </c>
      <c r="I8719" t="s">
        <v>16</v>
      </c>
    </row>
    <row r="8720" spans="1:9" x14ac:dyDescent="0.25">
      <c r="A8720">
        <v>1823</v>
      </c>
      <c r="B8720">
        <f>A8720+1</f>
        <v>1824</v>
      </c>
      <c r="C8720" t="s">
        <v>529</v>
      </c>
      <c r="D8720" t="s">
        <v>26</v>
      </c>
      <c r="E8720" s="208" t="s">
        <v>330</v>
      </c>
      <c r="F8720" t="s">
        <v>169</v>
      </c>
      <c r="G8720" s="18">
        <v>0</v>
      </c>
      <c r="H8720" t="s">
        <v>160</v>
      </c>
      <c r="I8720" t="s">
        <v>16</v>
      </c>
    </row>
    <row r="8721" spans="1:9" x14ac:dyDescent="0.25">
      <c r="A8721">
        <v>1823</v>
      </c>
      <c r="B8721">
        <f>A8721+1</f>
        <v>1824</v>
      </c>
      <c r="C8721" t="s">
        <v>529</v>
      </c>
      <c r="D8721" t="s">
        <v>26</v>
      </c>
      <c r="E8721" s="208" t="s">
        <v>331</v>
      </c>
      <c r="F8721" t="s">
        <v>169</v>
      </c>
      <c r="G8721" s="18">
        <v>0</v>
      </c>
      <c r="H8721" t="s">
        <v>160</v>
      </c>
      <c r="I8721" t="s">
        <v>16</v>
      </c>
    </row>
    <row r="8722" spans="1:9" x14ac:dyDescent="0.25">
      <c r="A8722">
        <v>1823</v>
      </c>
      <c r="B8722">
        <f>A8722+1</f>
        <v>1824</v>
      </c>
      <c r="C8722" t="s">
        <v>529</v>
      </c>
      <c r="D8722" t="s">
        <v>26</v>
      </c>
      <c r="E8722" s="208" t="s">
        <v>332</v>
      </c>
      <c r="F8722" t="s">
        <v>169</v>
      </c>
      <c r="G8722" s="18">
        <v>0</v>
      </c>
      <c r="H8722" t="s">
        <v>160</v>
      </c>
      <c r="I8722" t="s">
        <v>16</v>
      </c>
    </row>
    <row r="8723" spans="1:9" x14ac:dyDescent="0.25">
      <c r="A8723">
        <v>1823</v>
      </c>
      <c r="B8723">
        <f>A8723+1</f>
        <v>1824</v>
      </c>
      <c r="C8723" t="s">
        <v>529</v>
      </c>
      <c r="D8723" t="s">
        <v>26</v>
      </c>
      <c r="E8723" s="208" t="s">
        <v>333</v>
      </c>
      <c r="F8723" t="s">
        <v>169</v>
      </c>
      <c r="G8723" s="18">
        <v>0</v>
      </c>
      <c r="H8723" t="s">
        <v>160</v>
      </c>
      <c r="I8723" t="s">
        <v>16</v>
      </c>
    </row>
    <row r="8724" spans="1:9" x14ac:dyDescent="0.25">
      <c r="A8724">
        <v>1823</v>
      </c>
      <c r="B8724">
        <f>A8724+1</f>
        <v>1824</v>
      </c>
      <c r="C8724" t="s">
        <v>529</v>
      </c>
      <c r="D8724" t="s">
        <v>27</v>
      </c>
      <c r="E8724" s="208" t="s">
        <v>155</v>
      </c>
      <c r="F8724" t="s">
        <v>1</v>
      </c>
      <c r="G8724" s="18">
        <v>325</v>
      </c>
      <c r="H8724" t="s">
        <v>16</v>
      </c>
      <c r="I8724" t="s">
        <v>21</v>
      </c>
    </row>
    <row r="8725" spans="1:9" x14ac:dyDescent="0.25">
      <c r="A8725">
        <v>1823</v>
      </c>
      <c r="B8725">
        <f>A8725+1</f>
        <v>1824</v>
      </c>
      <c r="C8725" t="s">
        <v>529</v>
      </c>
      <c r="D8725" t="s">
        <v>27</v>
      </c>
      <c r="E8725" s="208" t="s">
        <v>156</v>
      </c>
      <c r="F8725" t="s">
        <v>1</v>
      </c>
      <c r="G8725" s="18">
        <v>110</v>
      </c>
      <c r="H8725" t="s">
        <v>16</v>
      </c>
      <c r="I8725" t="s">
        <v>21</v>
      </c>
    </row>
    <row r="8726" spans="1:9" x14ac:dyDescent="0.25">
      <c r="A8726">
        <v>1823</v>
      </c>
      <c r="B8726">
        <f>A8726+1</f>
        <v>1824</v>
      </c>
      <c r="C8726" t="s">
        <v>529</v>
      </c>
      <c r="D8726" t="s">
        <v>27</v>
      </c>
      <c r="E8726" s="208" t="s">
        <v>154</v>
      </c>
      <c r="F8726" t="s">
        <v>1</v>
      </c>
      <c r="G8726" s="18">
        <v>200</v>
      </c>
      <c r="H8726" t="s">
        <v>16</v>
      </c>
      <c r="I8726" t="s">
        <v>21</v>
      </c>
    </row>
    <row r="8727" spans="1:9" x14ac:dyDescent="0.25">
      <c r="A8727">
        <v>1823</v>
      </c>
      <c r="B8727">
        <f>A8727+1</f>
        <v>1824</v>
      </c>
      <c r="C8727" t="s">
        <v>529</v>
      </c>
      <c r="D8727" t="s">
        <v>27</v>
      </c>
      <c r="E8727" s="208" t="s">
        <v>150</v>
      </c>
      <c r="F8727" t="s">
        <v>1</v>
      </c>
      <c r="G8727" s="18">
        <v>4</v>
      </c>
      <c r="H8727" t="s">
        <v>16</v>
      </c>
      <c r="I8727" t="s">
        <v>21</v>
      </c>
    </row>
    <row r="8728" spans="1:9" x14ac:dyDescent="0.25">
      <c r="A8728">
        <v>1823</v>
      </c>
      <c r="B8728">
        <f>A8728+1</f>
        <v>1824</v>
      </c>
      <c r="C8728" t="s">
        <v>529</v>
      </c>
      <c r="D8728" t="s">
        <v>27</v>
      </c>
      <c r="E8728" s="208" t="s">
        <v>148</v>
      </c>
      <c r="F8728" t="s">
        <v>1</v>
      </c>
      <c r="G8728" s="18">
        <v>0</v>
      </c>
      <c r="H8728" t="s">
        <v>16</v>
      </c>
      <c r="I8728" t="s">
        <v>21</v>
      </c>
    </row>
    <row r="8729" spans="1:9" x14ac:dyDescent="0.25">
      <c r="A8729">
        <v>1823</v>
      </c>
      <c r="B8729">
        <f>A8729+1</f>
        <v>1824</v>
      </c>
      <c r="C8729" t="s">
        <v>529</v>
      </c>
      <c r="D8729" t="s">
        <v>27</v>
      </c>
      <c r="E8729" s="208" t="s">
        <v>147</v>
      </c>
      <c r="F8729" t="s">
        <v>1</v>
      </c>
      <c r="G8729" s="18">
        <v>0</v>
      </c>
      <c r="H8729" t="s">
        <v>16</v>
      </c>
      <c r="I8729" t="s">
        <v>21</v>
      </c>
    </row>
    <row r="8730" spans="1:9" x14ac:dyDescent="0.25">
      <c r="A8730">
        <v>1823</v>
      </c>
      <c r="B8730">
        <f>A8730+1</f>
        <v>1824</v>
      </c>
      <c r="C8730" t="s">
        <v>529</v>
      </c>
      <c r="D8730" t="s">
        <v>27</v>
      </c>
      <c r="E8730" s="208" t="s">
        <v>314</v>
      </c>
      <c r="F8730" t="s">
        <v>1</v>
      </c>
      <c r="G8730" s="18">
        <v>0</v>
      </c>
      <c r="H8730" t="s">
        <v>16</v>
      </c>
      <c r="I8730" t="s">
        <v>21</v>
      </c>
    </row>
    <row r="8731" spans="1:9" x14ac:dyDescent="0.25">
      <c r="A8731">
        <v>1823</v>
      </c>
      <c r="B8731">
        <f>A8731+1</f>
        <v>1824</v>
      </c>
      <c r="C8731" t="s">
        <v>529</v>
      </c>
      <c r="D8731" t="s">
        <v>27</v>
      </c>
      <c r="E8731" s="208" t="s">
        <v>139</v>
      </c>
      <c r="F8731" t="s">
        <v>1</v>
      </c>
      <c r="G8731" s="18">
        <v>0</v>
      </c>
      <c r="H8731" t="s">
        <v>16</v>
      </c>
      <c r="I8731" t="s">
        <v>21</v>
      </c>
    </row>
    <row r="8732" spans="1:9" x14ac:dyDescent="0.25">
      <c r="A8732">
        <v>1823</v>
      </c>
      <c r="B8732">
        <f>A8732+1</f>
        <v>1824</v>
      </c>
      <c r="C8732" t="s">
        <v>529</v>
      </c>
      <c r="D8732" t="s">
        <v>27</v>
      </c>
      <c r="E8732" s="208" t="s">
        <v>132</v>
      </c>
      <c r="F8732" t="s">
        <v>1</v>
      </c>
      <c r="G8732" s="18">
        <v>6</v>
      </c>
      <c r="H8732" t="s">
        <v>16</v>
      </c>
      <c r="I8732" t="s">
        <v>21</v>
      </c>
    </row>
    <row r="8733" spans="1:9" x14ac:dyDescent="0.25">
      <c r="A8733">
        <v>1823</v>
      </c>
      <c r="B8733">
        <f>A8733+1</f>
        <v>1824</v>
      </c>
      <c r="C8733" t="s">
        <v>529</v>
      </c>
      <c r="D8733" t="s">
        <v>27</v>
      </c>
      <c r="E8733" s="208" t="s">
        <v>130</v>
      </c>
      <c r="F8733" t="s">
        <v>1</v>
      </c>
      <c r="G8733" s="18">
        <v>0</v>
      </c>
      <c r="H8733" t="s">
        <v>16</v>
      </c>
      <c r="I8733" t="s">
        <v>21</v>
      </c>
    </row>
    <row r="8734" spans="1:9" x14ac:dyDescent="0.25">
      <c r="A8734">
        <v>1823</v>
      </c>
      <c r="B8734">
        <f>A8734+1</f>
        <v>1824</v>
      </c>
      <c r="C8734" t="s">
        <v>529</v>
      </c>
      <c r="D8734" t="s">
        <v>27</v>
      </c>
      <c r="E8734" s="208" t="s">
        <v>144</v>
      </c>
      <c r="F8734" t="s">
        <v>1</v>
      </c>
      <c r="G8734" s="18">
        <v>29</v>
      </c>
      <c r="H8734" t="s">
        <v>16</v>
      </c>
      <c r="I8734" t="s">
        <v>21</v>
      </c>
    </row>
    <row r="8735" spans="1:9" x14ac:dyDescent="0.25">
      <c r="A8735">
        <v>1823</v>
      </c>
      <c r="B8735">
        <f>A8735+1</f>
        <v>1824</v>
      </c>
      <c r="C8735" t="s">
        <v>529</v>
      </c>
      <c r="D8735" t="s">
        <v>27</v>
      </c>
      <c r="E8735" s="208" t="s">
        <v>142</v>
      </c>
      <c r="F8735" t="s">
        <v>1</v>
      </c>
      <c r="G8735" s="18">
        <v>71</v>
      </c>
      <c r="H8735" t="s">
        <v>16</v>
      </c>
      <c r="I8735" t="s">
        <v>21</v>
      </c>
    </row>
    <row r="8736" spans="1:9" x14ac:dyDescent="0.25">
      <c r="A8736">
        <v>1823</v>
      </c>
      <c r="B8736">
        <f>A8736+1</f>
        <v>1824</v>
      </c>
      <c r="C8736" t="s">
        <v>529</v>
      </c>
      <c r="D8736" t="s">
        <v>27</v>
      </c>
      <c r="E8736" s="208" t="s">
        <v>124</v>
      </c>
      <c r="F8736" t="s">
        <v>1</v>
      </c>
      <c r="G8736" s="18">
        <v>87236</v>
      </c>
      <c r="H8736" t="s">
        <v>16</v>
      </c>
      <c r="I8736" t="s">
        <v>21</v>
      </c>
    </row>
    <row r="8737" spans="1:9" x14ac:dyDescent="0.25">
      <c r="A8737">
        <v>1823</v>
      </c>
      <c r="B8737">
        <f>A8737+1</f>
        <v>1824</v>
      </c>
      <c r="C8737" t="s">
        <v>529</v>
      </c>
      <c r="D8737" t="s">
        <v>27</v>
      </c>
      <c r="E8737" s="208" t="s">
        <v>155</v>
      </c>
      <c r="F8737" t="s">
        <v>4</v>
      </c>
      <c r="G8737" s="18">
        <v>270</v>
      </c>
      <c r="H8737" t="s">
        <v>16</v>
      </c>
      <c r="I8737" t="s">
        <v>23</v>
      </c>
    </row>
    <row r="8738" spans="1:9" x14ac:dyDescent="0.25">
      <c r="A8738">
        <v>1823</v>
      </c>
      <c r="B8738">
        <f>A8738+1</f>
        <v>1824</v>
      </c>
      <c r="C8738" t="s">
        <v>529</v>
      </c>
      <c r="D8738" t="s">
        <v>27</v>
      </c>
      <c r="E8738" s="208" t="s">
        <v>156</v>
      </c>
      <c r="F8738" t="s">
        <v>4</v>
      </c>
      <c r="G8738" s="18">
        <v>41</v>
      </c>
      <c r="H8738" t="s">
        <v>16</v>
      </c>
      <c r="I8738" t="s">
        <v>23</v>
      </c>
    </row>
    <row r="8739" spans="1:9" x14ac:dyDescent="0.25">
      <c r="A8739">
        <v>1823</v>
      </c>
      <c r="B8739">
        <f>A8739+1</f>
        <v>1824</v>
      </c>
      <c r="C8739" t="s">
        <v>529</v>
      </c>
      <c r="D8739" t="s">
        <v>27</v>
      </c>
      <c r="E8739" s="208" t="s">
        <v>154</v>
      </c>
      <c r="F8739" t="s">
        <v>4</v>
      </c>
      <c r="G8739" s="18">
        <v>197</v>
      </c>
      <c r="H8739" t="s">
        <v>16</v>
      </c>
      <c r="I8739" t="s">
        <v>23</v>
      </c>
    </row>
    <row r="8740" spans="1:9" x14ac:dyDescent="0.25">
      <c r="A8740">
        <v>1823</v>
      </c>
      <c r="B8740">
        <f>A8740+1</f>
        <v>1824</v>
      </c>
      <c r="C8740" t="s">
        <v>529</v>
      </c>
      <c r="D8740" t="s">
        <v>27</v>
      </c>
      <c r="E8740" s="208" t="s">
        <v>150</v>
      </c>
      <c r="F8740" t="s">
        <v>4</v>
      </c>
      <c r="G8740" s="18">
        <v>699</v>
      </c>
      <c r="H8740" t="s">
        <v>16</v>
      </c>
      <c r="I8740" t="s">
        <v>23</v>
      </c>
    </row>
    <row r="8741" spans="1:9" x14ac:dyDescent="0.25">
      <c r="A8741">
        <v>1823</v>
      </c>
      <c r="B8741">
        <f>A8741+1</f>
        <v>1824</v>
      </c>
      <c r="C8741" t="s">
        <v>529</v>
      </c>
      <c r="D8741" t="s">
        <v>27</v>
      </c>
      <c r="E8741" s="208" t="s">
        <v>148</v>
      </c>
      <c r="F8741" t="s">
        <v>4</v>
      </c>
      <c r="G8741" s="18">
        <v>0</v>
      </c>
      <c r="H8741" t="s">
        <v>16</v>
      </c>
      <c r="I8741" t="s">
        <v>23</v>
      </c>
    </row>
    <row r="8742" spans="1:9" x14ac:dyDescent="0.25">
      <c r="A8742">
        <v>1823</v>
      </c>
      <c r="B8742">
        <f>A8742+1</f>
        <v>1824</v>
      </c>
      <c r="C8742" t="s">
        <v>529</v>
      </c>
      <c r="D8742" t="s">
        <v>27</v>
      </c>
      <c r="E8742" s="208" t="s">
        <v>147</v>
      </c>
      <c r="F8742" t="s">
        <v>4</v>
      </c>
      <c r="G8742" s="18">
        <v>0</v>
      </c>
      <c r="H8742" t="s">
        <v>16</v>
      </c>
      <c r="I8742" t="s">
        <v>23</v>
      </c>
    </row>
    <row r="8743" spans="1:9" x14ac:dyDescent="0.25">
      <c r="A8743">
        <v>1823</v>
      </c>
      <c r="B8743">
        <f>A8743+1</f>
        <v>1824</v>
      </c>
      <c r="C8743" t="s">
        <v>529</v>
      </c>
      <c r="D8743" t="s">
        <v>27</v>
      </c>
      <c r="E8743" s="208" t="s">
        <v>314</v>
      </c>
      <c r="F8743" t="s">
        <v>4</v>
      </c>
      <c r="G8743" s="18">
        <v>0</v>
      </c>
      <c r="H8743" t="s">
        <v>16</v>
      </c>
      <c r="I8743" t="s">
        <v>23</v>
      </c>
    </row>
    <row r="8744" spans="1:9" x14ac:dyDescent="0.25">
      <c r="A8744">
        <v>1823</v>
      </c>
      <c r="B8744">
        <f>A8744+1</f>
        <v>1824</v>
      </c>
      <c r="C8744" t="s">
        <v>529</v>
      </c>
      <c r="D8744" t="s">
        <v>27</v>
      </c>
      <c r="E8744" s="208" t="s">
        <v>139</v>
      </c>
      <c r="F8744" t="s">
        <v>4</v>
      </c>
      <c r="G8744" s="18">
        <v>19</v>
      </c>
      <c r="H8744" t="s">
        <v>16</v>
      </c>
      <c r="I8744" t="s">
        <v>23</v>
      </c>
    </row>
    <row r="8745" spans="1:9" x14ac:dyDescent="0.25">
      <c r="A8745">
        <v>1823</v>
      </c>
      <c r="B8745">
        <f>A8745+1</f>
        <v>1824</v>
      </c>
      <c r="C8745" t="s">
        <v>529</v>
      </c>
      <c r="D8745" t="s">
        <v>27</v>
      </c>
      <c r="E8745" s="208" t="s">
        <v>132</v>
      </c>
      <c r="F8745" t="s">
        <v>4</v>
      </c>
      <c r="G8745" s="18">
        <v>1</v>
      </c>
      <c r="H8745" t="s">
        <v>16</v>
      </c>
      <c r="I8745" t="s">
        <v>23</v>
      </c>
    </row>
    <row r="8746" spans="1:9" x14ac:dyDescent="0.25">
      <c r="A8746">
        <v>1823</v>
      </c>
      <c r="B8746">
        <f>A8746+1</f>
        <v>1824</v>
      </c>
      <c r="C8746" t="s">
        <v>529</v>
      </c>
      <c r="D8746" t="s">
        <v>27</v>
      </c>
      <c r="E8746" s="208" t="s">
        <v>130</v>
      </c>
      <c r="F8746" t="s">
        <v>4</v>
      </c>
      <c r="G8746" s="18">
        <v>0</v>
      </c>
      <c r="H8746" t="s">
        <v>16</v>
      </c>
      <c r="I8746" t="s">
        <v>23</v>
      </c>
    </row>
    <row r="8747" spans="1:9" x14ac:dyDescent="0.25">
      <c r="A8747">
        <v>1823</v>
      </c>
      <c r="B8747">
        <f>A8747+1</f>
        <v>1824</v>
      </c>
      <c r="C8747" t="s">
        <v>529</v>
      </c>
      <c r="D8747" t="s">
        <v>27</v>
      </c>
      <c r="E8747" s="208" t="s">
        <v>144</v>
      </c>
      <c r="F8747" t="s">
        <v>4</v>
      </c>
      <c r="G8747" s="18">
        <v>64</v>
      </c>
      <c r="H8747" t="s">
        <v>16</v>
      </c>
      <c r="I8747" t="s">
        <v>23</v>
      </c>
    </row>
    <row r="8748" spans="1:9" x14ac:dyDescent="0.25">
      <c r="A8748">
        <v>1823</v>
      </c>
      <c r="B8748">
        <f>A8748+1</f>
        <v>1824</v>
      </c>
      <c r="C8748" t="s">
        <v>529</v>
      </c>
      <c r="D8748" t="s">
        <v>27</v>
      </c>
      <c r="E8748" s="208" t="s">
        <v>142</v>
      </c>
      <c r="F8748" t="s">
        <v>4</v>
      </c>
      <c r="G8748" s="18">
        <v>2867</v>
      </c>
      <c r="H8748" t="s">
        <v>16</v>
      </c>
      <c r="I8748" t="s">
        <v>23</v>
      </c>
    </row>
    <row r="8749" spans="1:9" x14ac:dyDescent="0.25">
      <c r="A8749">
        <v>1823</v>
      </c>
      <c r="B8749">
        <f>A8749+1</f>
        <v>1824</v>
      </c>
      <c r="C8749" t="s">
        <v>529</v>
      </c>
      <c r="D8749" t="s">
        <v>27</v>
      </c>
      <c r="E8749" s="208" t="s">
        <v>124</v>
      </c>
      <c r="F8749" t="s">
        <v>4</v>
      </c>
      <c r="G8749" s="18">
        <v>1743742</v>
      </c>
      <c r="H8749" t="s">
        <v>16</v>
      </c>
      <c r="I8749" t="s">
        <v>23</v>
      </c>
    </row>
    <row r="8750" spans="1:9" x14ac:dyDescent="0.25">
      <c r="A8750">
        <v>1823</v>
      </c>
      <c r="B8750">
        <f>A8750+1</f>
        <v>1824</v>
      </c>
      <c r="C8750" t="s">
        <v>529</v>
      </c>
      <c r="D8750" t="s">
        <v>26</v>
      </c>
      <c r="E8750" s="208" t="s">
        <v>62</v>
      </c>
      <c r="F8750" t="s">
        <v>4</v>
      </c>
      <c r="G8750" s="18">
        <v>44587</v>
      </c>
      <c r="H8750" t="s">
        <v>23</v>
      </c>
      <c r="I8750" t="s">
        <v>16</v>
      </c>
    </row>
    <row r="8751" spans="1:9" x14ac:dyDescent="0.25">
      <c r="A8751">
        <v>1823</v>
      </c>
      <c r="B8751">
        <f>A8751+1</f>
        <v>1824</v>
      </c>
      <c r="C8751" t="s">
        <v>529</v>
      </c>
      <c r="D8751" t="s">
        <v>26</v>
      </c>
      <c r="E8751" s="208" t="s">
        <v>36</v>
      </c>
      <c r="F8751" t="s">
        <v>4</v>
      </c>
      <c r="G8751" s="18">
        <v>3349</v>
      </c>
      <c r="H8751" t="s">
        <v>23</v>
      </c>
      <c r="I8751" t="s">
        <v>16</v>
      </c>
    </row>
    <row r="8752" spans="1:9" x14ac:dyDescent="0.25">
      <c r="A8752">
        <v>1823</v>
      </c>
      <c r="B8752">
        <f>A8752+1</f>
        <v>1824</v>
      </c>
      <c r="C8752" t="s">
        <v>529</v>
      </c>
      <c r="D8752" t="s">
        <v>26</v>
      </c>
      <c r="E8752" s="208" t="s">
        <v>35</v>
      </c>
      <c r="F8752" t="s">
        <v>4</v>
      </c>
      <c r="G8752" s="18">
        <v>0</v>
      </c>
      <c r="H8752" t="s">
        <v>23</v>
      </c>
      <c r="I8752" t="s">
        <v>16</v>
      </c>
    </row>
    <row r="8753" spans="1:9" x14ac:dyDescent="0.25">
      <c r="A8753">
        <v>1823</v>
      </c>
      <c r="B8753">
        <f>A8753+1</f>
        <v>1824</v>
      </c>
      <c r="C8753" t="s">
        <v>529</v>
      </c>
      <c r="D8753" t="s">
        <v>26</v>
      </c>
      <c r="E8753" s="208" t="s">
        <v>39</v>
      </c>
      <c r="F8753" t="s">
        <v>4</v>
      </c>
      <c r="G8753" s="18">
        <v>1351</v>
      </c>
      <c r="H8753" t="s">
        <v>23</v>
      </c>
      <c r="I8753" t="s">
        <v>16</v>
      </c>
    </row>
    <row r="8754" spans="1:9" x14ac:dyDescent="0.25">
      <c r="A8754">
        <v>1823</v>
      </c>
      <c r="B8754">
        <f>A8754+1</f>
        <v>1824</v>
      </c>
      <c r="C8754" t="s">
        <v>529</v>
      </c>
      <c r="D8754" t="s">
        <v>26</v>
      </c>
      <c r="E8754" s="208" t="s">
        <v>99</v>
      </c>
      <c r="F8754" t="s">
        <v>4</v>
      </c>
      <c r="G8754" s="18">
        <v>13</v>
      </c>
      <c r="H8754" t="s">
        <v>23</v>
      </c>
      <c r="I8754" t="s">
        <v>16</v>
      </c>
    </row>
    <row r="8755" spans="1:9" x14ac:dyDescent="0.25">
      <c r="A8755">
        <v>1823</v>
      </c>
      <c r="B8755">
        <f>A8755+1</f>
        <v>1824</v>
      </c>
      <c r="C8755" t="s">
        <v>529</v>
      </c>
      <c r="D8755" t="s">
        <v>26</v>
      </c>
      <c r="E8755" s="208" t="s">
        <v>95</v>
      </c>
      <c r="F8755" t="s">
        <v>4</v>
      </c>
      <c r="G8755" s="18">
        <v>0</v>
      </c>
      <c r="H8755" t="s">
        <v>23</v>
      </c>
      <c r="I8755" t="s">
        <v>16</v>
      </c>
    </row>
    <row r="8756" spans="1:9" x14ac:dyDescent="0.25">
      <c r="A8756">
        <v>1823</v>
      </c>
      <c r="B8756">
        <f>A8756+1</f>
        <v>1824</v>
      </c>
      <c r="C8756" t="s">
        <v>529</v>
      </c>
      <c r="D8756" t="s">
        <v>26</v>
      </c>
      <c r="E8756" s="208" t="s">
        <v>94</v>
      </c>
      <c r="F8756" t="s">
        <v>4</v>
      </c>
      <c r="G8756" s="18">
        <v>581</v>
      </c>
      <c r="H8756" t="s">
        <v>23</v>
      </c>
      <c r="I8756" t="s">
        <v>16</v>
      </c>
    </row>
    <row r="8757" spans="1:9" x14ac:dyDescent="0.25">
      <c r="A8757">
        <v>1823</v>
      </c>
      <c r="B8757">
        <f>A8757+1</f>
        <v>1824</v>
      </c>
      <c r="C8757" t="s">
        <v>529</v>
      </c>
      <c r="D8757" t="s">
        <v>26</v>
      </c>
      <c r="E8757" s="208" t="s">
        <v>386</v>
      </c>
      <c r="F8757" t="s">
        <v>4</v>
      </c>
      <c r="G8757" s="18">
        <v>35380</v>
      </c>
      <c r="H8757" t="s">
        <v>23</v>
      </c>
      <c r="I8757" t="s">
        <v>16</v>
      </c>
    </row>
    <row r="8758" spans="1:9" x14ac:dyDescent="0.25">
      <c r="A8758">
        <v>1823</v>
      </c>
      <c r="B8758">
        <f>A8758+1</f>
        <v>1824</v>
      </c>
      <c r="C8758" t="s">
        <v>529</v>
      </c>
      <c r="D8758" t="s">
        <v>26</v>
      </c>
      <c r="E8758" s="208" t="s">
        <v>388</v>
      </c>
      <c r="F8758" t="s">
        <v>4</v>
      </c>
      <c r="G8758" s="18">
        <v>12581</v>
      </c>
      <c r="H8758" t="s">
        <v>23</v>
      </c>
      <c r="I8758" t="s">
        <v>16</v>
      </c>
    </row>
    <row r="8759" spans="1:9" x14ac:dyDescent="0.25">
      <c r="A8759">
        <v>1823</v>
      </c>
      <c r="B8759">
        <f>A8759+1</f>
        <v>1824</v>
      </c>
      <c r="C8759" t="s">
        <v>529</v>
      </c>
      <c r="D8759" t="s">
        <v>26</v>
      </c>
      <c r="E8759" s="208" t="s">
        <v>383</v>
      </c>
      <c r="F8759" t="s">
        <v>4</v>
      </c>
      <c r="G8759" s="18">
        <v>204</v>
      </c>
      <c r="H8759" t="s">
        <v>23</v>
      </c>
      <c r="I8759" t="s">
        <v>16</v>
      </c>
    </row>
    <row r="8760" spans="1:9" x14ac:dyDescent="0.25">
      <c r="A8760">
        <v>1823</v>
      </c>
      <c r="B8760">
        <f>A8760+1</f>
        <v>1824</v>
      </c>
      <c r="C8760" t="s">
        <v>529</v>
      </c>
      <c r="D8760" t="s">
        <v>26</v>
      </c>
      <c r="E8760" s="208" t="s">
        <v>384</v>
      </c>
      <c r="F8760" t="s">
        <v>4</v>
      </c>
      <c r="G8760" s="18">
        <v>1435</v>
      </c>
      <c r="H8760" t="s">
        <v>23</v>
      </c>
      <c r="I8760" t="s">
        <v>16</v>
      </c>
    </row>
    <row r="8761" spans="1:9" x14ac:dyDescent="0.25">
      <c r="A8761">
        <v>1823</v>
      </c>
      <c r="B8761">
        <f>A8761+1</f>
        <v>1824</v>
      </c>
      <c r="C8761" t="s">
        <v>529</v>
      </c>
      <c r="D8761" t="s">
        <v>26</v>
      </c>
      <c r="E8761" s="208" t="s">
        <v>107</v>
      </c>
      <c r="F8761" t="s">
        <v>4</v>
      </c>
      <c r="G8761" s="18">
        <v>1877926</v>
      </c>
      <c r="H8761" t="s">
        <v>23</v>
      </c>
      <c r="I8761" t="s">
        <v>16</v>
      </c>
    </row>
    <row r="8762" spans="1:9" x14ac:dyDescent="0.25">
      <c r="A8762">
        <v>1823</v>
      </c>
      <c r="B8762">
        <f>A8762+1</f>
        <v>1824</v>
      </c>
      <c r="C8762" t="s">
        <v>529</v>
      </c>
      <c r="D8762" t="s">
        <v>26</v>
      </c>
      <c r="E8762" s="208" t="s">
        <v>101</v>
      </c>
      <c r="F8762" t="s">
        <v>4</v>
      </c>
      <c r="G8762" s="18">
        <v>3222500</v>
      </c>
      <c r="H8762" t="s">
        <v>23</v>
      </c>
      <c r="I8762" t="s">
        <v>16</v>
      </c>
    </row>
    <row r="8763" spans="1:9" x14ac:dyDescent="0.25">
      <c r="A8763">
        <v>1823</v>
      </c>
      <c r="B8763">
        <f>A8763+1</f>
        <v>1824</v>
      </c>
      <c r="C8763" t="s">
        <v>529</v>
      </c>
      <c r="D8763" t="s">
        <v>26</v>
      </c>
      <c r="E8763" s="208" t="s">
        <v>75</v>
      </c>
      <c r="F8763" t="s">
        <v>4</v>
      </c>
      <c r="G8763" s="18">
        <v>2352997</v>
      </c>
      <c r="H8763" t="s">
        <v>23</v>
      </c>
      <c r="I8763" t="s">
        <v>16</v>
      </c>
    </row>
    <row r="8764" spans="1:9" x14ac:dyDescent="0.25">
      <c r="A8764">
        <v>1823</v>
      </c>
      <c r="B8764">
        <f>A8764+1</f>
        <v>1824</v>
      </c>
      <c r="C8764" t="s">
        <v>529</v>
      </c>
      <c r="D8764" t="s">
        <v>26</v>
      </c>
      <c r="E8764" s="208" t="s">
        <v>330</v>
      </c>
      <c r="F8764" t="s">
        <v>4</v>
      </c>
      <c r="G8764" s="18">
        <v>124</v>
      </c>
      <c r="H8764" t="s">
        <v>23</v>
      </c>
      <c r="I8764" t="s">
        <v>16</v>
      </c>
    </row>
    <row r="8765" spans="1:9" x14ac:dyDescent="0.25">
      <c r="A8765">
        <v>1823</v>
      </c>
      <c r="B8765">
        <f>A8765+1</f>
        <v>1824</v>
      </c>
      <c r="C8765" t="s">
        <v>529</v>
      </c>
      <c r="D8765" t="s">
        <v>26</v>
      </c>
      <c r="E8765" s="208" t="s">
        <v>331</v>
      </c>
      <c r="F8765" t="s">
        <v>4</v>
      </c>
      <c r="G8765" s="18">
        <v>18</v>
      </c>
      <c r="H8765" t="s">
        <v>23</v>
      </c>
      <c r="I8765" t="s">
        <v>16</v>
      </c>
    </row>
    <row r="8766" spans="1:9" x14ac:dyDescent="0.25">
      <c r="A8766">
        <v>1823</v>
      </c>
      <c r="B8766">
        <f>A8766+1</f>
        <v>1824</v>
      </c>
      <c r="C8766" t="s">
        <v>529</v>
      </c>
      <c r="D8766" t="s">
        <v>26</v>
      </c>
      <c r="E8766" s="208" t="s">
        <v>332</v>
      </c>
      <c r="F8766" t="s">
        <v>4</v>
      </c>
      <c r="G8766" s="18">
        <v>0</v>
      </c>
      <c r="H8766" t="s">
        <v>23</v>
      </c>
      <c r="I8766" t="s">
        <v>16</v>
      </c>
    </row>
    <row r="8767" spans="1:9" x14ac:dyDescent="0.25">
      <c r="A8767">
        <v>1823</v>
      </c>
      <c r="B8767">
        <f>A8767+1</f>
        <v>1824</v>
      </c>
      <c r="C8767" t="s">
        <v>529</v>
      </c>
      <c r="D8767" t="s">
        <v>26</v>
      </c>
      <c r="E8767" s="208" t="s">
        <v>333</v>
      </c>
      <c r="F8767" t="s">
        <v>4</v>
      </c>
      <c r="G8767" s="18">
        <v>37</v>
      </c>
      <c r="H8767" t="s">
        <v>23</v>
      </c>
      <c r="I8767" t="s">
        <v>16</v>
      </c>
    </row>
    <row r="8768" spans="1:9" x14ac:dyDescent="0.25">
      <c r="A8768">
        <v>1823</v>
      </c>
      <c r="B8768">
        <f>A8768+1</f>
        <v>1824</v>
      </c>
      <c r="C8768" t="s">
        <v>529</v>
      </c>
      <c r="D8768" t="s">
        <v>27</v>
      </c>
      <c r="E8768" s="208" t="s">
        <v>155</v>
      </c>
      <c r="F8768" t="s">
        <v>7</v>
      </c>
      <c r="G8768" s="18">
        <v>21251</v>
      </c>
      <c r="H8768" t="s">
        <v>16</v>
      </c>
      <c r="I8768" s="151" t="s">
        <v>562</v>
      </c>
    </row>
    <row r="8769" spans="1:9" x14ac:dyDescent="0.25">
      <c r="A8769">
        <v>1823</v>
      </c>
      <c r="B8769">
        <f>A8769+1</f>
        <v>1824</v>
      </c>
      <c r="C8769" t="s">
        <v>529</v>
      </c>
      <c r="D8769" t="s">
        <v>27</v>
      </c>
      <c r="E8769" s="208" t="s">
        <v>156</v>
      </c>
      <c r="F8769" t="s">
        <v>7</v>
      </c>
      <c r="G8769" s="18">
        <v>1326</v>
      </c>
      <c r="H8769" t="s">
        <v>16</v>
      </c>
      <c r="I8769" s="151" t="s">
        <v>562</v>
      </c>
    </row>
    <row r="8770" spans="1:9" x14ac:dyDescent="0.25">
      <c r="A8770">
        <v>1823</v>
      </c>
      <c r="B8770">
        <f>A8770+1</f>
        <v>1824</v>
      </c>
      <c r="C8770" t="s">
        <v>529</v>
      </c>
      <c r="D8770" t="s">
        <v>27</v>
      </c>
      <c r="E8770" s="208" t="s">
        <v>154</v>
      </c>
      <c r="F8770" t="s">
        <v>7</v>
      </c>
      <c r="G8770" s="18">
        <v>1583</v>
      </c>
      <c r="H8770" t="s">
        <v>16</v>
      </c>
      <c r="I8770" s="151" t="s">
        <v>562</v>
      </c>
    </row>
    <row r="8771" spans="1:9" x14ac:dyDescent="0.25">
      <c r="A8771">
        <v>1823</v>
      </c>
      <c r="B8771">
        <f>A8771+1</f>
        <v>1824</v>
      </c>
      <c r="C8771" t="s">
        <v>529</v>
      </c>
      <c r="D8771" t="s">
        <v>27</v>
      </c>
      <c r="E8771" s="208" t="s">
        <v>150</v>
      </c>
      <c r="F8771" t="s">
        <v>7</v>
      </c>
      <c r="G8771" s="18">
        <v>6753</v>
      </c>
      <c r="H8771" t="s">
        <v>16</v>
      </c>
      <c r="I8771" s="151" t="s">
        <v>562</v>
      </c>
    </row>
    <row r="8772" spans="1:9" x14ac:dyDescent="0.25">
      <c r="A8772">
        <v>1823</v>
      </c>
      <c r="B8772">
        <f>A8772+1</f>
        <v>1824</v>
      </c>
      <c r="C8772" t="s">
        <v>529</v>
      </c>
      <c r="D8772" t="s">
        <v>27</v>
      </c>
      <c r="E8772" s="208" t="s">
        <v>148</v>
      </c>
      <c r="F8772" t="s">
        <v>7</v>
      </c>
      <c r="G8772" s="18">
        <v>916</v>
      </c>
      <c r="H8772" t="s">
        <v>16</v>
      </c>
      <c r="I8772" s="151" t="s">
        <v>562</v>
      </c>
    </row>
    <row r="8773" spans="1:9" x14ac:dyDescent="0.25">
      <c r="A8773">
        <v>1823</v>
      </c>
      <c r="B8773">
        <f>A8773+1</f>
        <v>1824</v>
      </c>
      <c r="C8773" t="s">
        <v>529</v>
      </c>
      <c r="D8773" t="s">
        <v>27</v>
      </c>
      <c r="E8773" s="208" t="s">
        <v>147</v>
      </c>
      <c r="F8773" t="s">
        <v>7</v>
      </c>
      <c r="G8773" s="18">
        <v>5</v>
      </c>
      <c r="H8773" t="s">
        <v>16</v>
      </c>
      <c r="I8773" s="151" t="s">
        <v>562</v>
      </c>
    </row>
    <row r="8774" spans="1:9" x14ac:dyDescent="0.25">
      <c r="A8774">
        <v>1823</v>
      </c>
      <c r="B8774">
        <f>A8774+1</f>
        <v>1824</v>
      </c>
      <c r="C8774" t="s">
        <v>529</v>
      </c>
      <c r="D8774" t="s">
        <v>27</v>
      </c>
      <c r="E8774" s="208" t="s">
        <v>314</v>
      </c>
      <c r="F8774" t="s">
        <v>7</v>
      </c>
      <c r="G8774" s="18">
        <v>61</v>
      </c>
      <c r="H8774" t="s">
        <v>16</v>
      </c>
      <c r="I8774" s="151" t="s">
        <v>562</v>
      </c>
    </row>
    <row r="8775" spans="1:9" x14ac:dyDescent="0.25">
      <c r="A8775">
        <v>1823</v>
      </c>
      <c r="B8775">
        <f>A8775+1</f>
        <v>1824</v>
      </c>
      <c r="C8775" t="s">
        <v>529</v>
      </c>
      <c r="D8775" t="s">
        <v>27</v>
      </c>
      <c r="E8775" s="208" t="s">
        <v>139</v>
      </c>
      <c r="F8775" t="s">
        <v>7</v>
      </c>
      <c r="G8775" s="18">
        <v>199</v>
      </c>
      <c r="H8775" t="s">
        <v>16</v>
      </c>
      <c r="I8775" s="151" t="s">
        <v>562</v>
      </c>
    </row>
    <row r="8776" spans="1:9" x14ac:dyDescent="0.25">
      <c r="A8776">
        <v>1823</v>
      </c>
      <c r="B8776">
        <f>A8776+1</f>
        <v>1824</v>
      </c>
      <c r="C8776" t="s">
        <v>529</v>
      </c>
      <c r="D8776" t="s">
        <v>27</v>
      </c>
      <c r="E8776" s="208" t="s">
        <v>132</v>
      </c>
      <c r="F8776" t="s">
        <v>7</v>
      </c>
      <c r="G8776" s="18">
        <v>242</v>
      </c>
      <c r="H8776" t="s">
        <v>16</v>
      </c>
      <c r="I8776" s="151" t="s">
        <v>562</v>
      </c>
    </row>
    <row r="8777" spans="1:9" x14ac:dyDescent="0.25">
      <c r="A8777">
        <v>1823</v>
      </c>
      <c r="B8777">
        <f>A8777+1</f>
        <v>1824</v>
      </c>
      <c r="C8777" t="s">
        <v>529</v>
      </c>
      <c r="D8777" t="s">
        <v>27</v>
      </c>
      <c r="E8777" s="208" t="s">
        <v>130</v>
      </c>
      <c r="F8777" t="s">
        <v>7</v>
      </c>
      <c r="G8777" s="18">
        <v>7</v>
      </c>
      <c r="H8777" t="s">
        <v>16</v>
      </c>
      <c r="I8777" s="151" t="s">
        <v>562</v>
      </c>
    </row>
    <row r="8778" spans="1:9" x14ac:dyDescent="0.25">
      <c r="A8778">
        <v>1823</v>
      </c>
      <c r="B8778">
        <f>A8778+1</f>
        <v>1824</v>
      </c>
      <c r="C8778" t="s">
        <v>529</v>
      </c>
      <c r="D8778" t="s">
        <v>27</v>
      </c>
      <c r="E8778" s="208" t="s">
        <v>144</v>
      </c>
      <c r="F8778" t="s">
        <v>7</v>
      </c>
      <c r="G8778" s="18">
        <v>398</v>
      </c>
      <c r="H8778" t="s">
        <v>16</v>
      </c>
      <c r="I8778" s="151" t="s">
        <v>562</v>
      </c>
    </row>
    <row r="8779" spans="1:9" x14ac:dyDescent="0.25">
      <c r="A8779">
        <v>1823</v>
      </c>
      <c r="B8779">
        <f>A8779+1</f>
        <v>1824</v>
      </c>
      <c r="C8779" t="s">
        <v>529</v>
      </c>
      <c r="D8779" t="s">
        <v>27</v>
      </c>
      <c r="E8779" s="208" t="s">
        <v>142</v>
      </c>
      <c r="F8779" t="s">
        <v>7</v>
      </c>
      <c r="G8779" s="18">
        <v>4735</v>
      </c>
      <c r="H8779" t="s">
        <v>16</v>
      </c>
      <c r="I8779" s="151" t="s">
        <v>562</v>
      </c>
    </row>
    <row r="8780" spans="1:9" x14ac:dyDescent="0.25">
      <c r="A8780">
        <v>1823</v>
      </c>
      <c r="B8780">
        <f>A8780+1</f>
        <v>1824</v>
      </c>
      <c r="C8780" t="s">
        <v>529</v>
      </c>
      <c r="D8780" t="s">
        <v>27</v>
      </c>
      <c r="E8780" s="208" t="s">
        <v>124</v>
      </c>
      <c r="F8780" t="s">
        <v>7</v>
      </c>
      <c r="G8780" s="18">
        <v>13578887</v>
      </c>
      <c r="H8780" t="s">
        <v>16</v>
      </c>
      <c r="I8780" s="151" t="s">
        <v>562</v>
      </c>
    </row>
    <row r="8781" spans="1:9" x14ac:dyDescent="0.25">
      <c r="A8781">
        <v>1823</v>
      </c>
      <c r="B8781">
        <f>A8781+1</f>
        <v>1824</v>
      </c>
      <c r="C8781" t="s">
        <v>529</v>
      </c>
      <c r="D8781" t="s">
        <v>26</v>
      </c>
      <c r="E8781" s="208" t="s">
        <v>62</v>
      </c>
      <c r="F8781" t="s">
        <v>7</v>
      </c>
      <c r="G8781" s="18">
        <v>61403</v>
      </c>
      <c r="H8781" s="151" t="s">
        <v>563</v>
      </c>
      <c r="I8781" t="s">
        <v>16</v>
      </c>
    </row>
    <row r="8782" spans="1:9" x14ac:dyDescent="0.25">
      <c r="A8782">
        <v>1823</v>
      </c>
      <c r="B8782">
        <f>A8782+1</f>
        <v>1824</v>
      </c>
      <c r="C8782" t="s">
        <v>529</v>
      </c>
      <c r="D8782" t="s">
        <v>26</v>
      </c>
      <c r="E8782" s="208" t="s">
        <v>36</v>
      </c>
      <c r="F8782" t="s">
        <v>7</v>
      </c>
      <c r="G8782" s="18">
        <v>3424</v>
      </c>
      <c r="H8782" s="151" t="s">
        <v>563</v>
      </c>
      <c r="I8782" t="s">
        <v>16</v>
      </c>
    </row>
    <row r="8783" spans="1:9" x14ac:dyDescent="0.25">
      <c r="A8783">
        <v>1823</v>
      </c>
      <c r="B8783">
        <f>A8783+1</f>
        <v>1824</v>
      </c>
      <c r="C8783" t="s">
        <v>529</v>
      </c>
      <c r="D8783" t="s">
        <v>26</v>
      </c>
      <c r="E8783" s="208" t="s">
        <v>35</v>
      </c>
      <c r="F8783" t="s">
        <v>7</v>
      </c>
      <c r="G8783" s="18">
        <v>4792</v>
      </c>
      <c r="H8783" s="151" t="s">
        <v>563</v>
      </c>
      <c r="I8783" t="s">
        <v>16</v>
      </c>
    </row>
    <row r="8784" spans="1:9" x14ac:dyDescent="0.25">
      <c r="A8784">
        <v>1823</v>
      </c>
      <c r="B8784">
        <f>A8784+1</f>
        <v>1824</v>
      </c>
      <c r="C8784" t="s">
        <v>529</v>
      </c>
      <c r="D8784" t="s">
        <v>26</v>
      </c>
      <c r="E8784" s="208" t="s">
        <v>39</v>
      </c>
      <c r="F8784" t="s">
        <v>7</v>
      </c>
      <c r="G8784" s="18">
        <v>1351</v>
      </c>
      <c r="H8784" s="151" t="s">
        <v>563</v>
      </c>
      <c r="I8784" t="s">
        <v>16</v>
      </c>
    </row>
    <row r="8785" spans="1:9" x14ac:dyDescent="0.25">
      <c r="A8785">
        <v>1823</v>
      </c>
      <c r="B8785">
        <f>A8785+1</f>
        <v>1824</v>
      </c>
      <c r="C8785" t="s">
        <v>529</v>
      </c>
      <c r="D8785" t="s">
        <v>26</v>
      </c>
      <c r="E8785" s="208" t="s">
        <v>99</v>
      </c>
      <c r="F8785" t="s">
        <v>7</v>
      </c>
      <c r="G8785" s="18">
        <v>2720</v>
      </c>
      <c r="H8785" s="151" t="s">
        <v>563</v>
      </c>
      <c r="I8785" t="s">
        <v>16</v>
      </c>
    </row>
    <row r="8786" spans="1:9" x14ac:dyDescent="0.25">
      <c r="A8786">
        <v>1823</v>
      </c>
      <c r="B8786">
        <f>A8786+1</f>
        <v>1824</v>
      </c>
      <c r="C8786" t="s">
        <v>529</v>
      </c>
      <c r="D8786" t="s">
        <v>26</v>
      </c>
      <c r="E8786" s="208" t="s">
        <v>95</v>
      </c>
      <c r="F8786" t="s">
        <v>7</v>
      </c>
      <c r="G8786" s="18">
        <v>0</v>
      </c>
      <c r="H8786" s="151" t="s">
        <v>563</v>
      </c>
      <c r="I8786" t="s">
        <v>16</v>
      </c>
    </row>
    <row r="8787" spans="1:9" x14ac:dyDescent="0.25">
      <c r="A8787">
        <v>1823</v>
      </c>
      <c r="B8787">
        <f>A8787+1</f>
        <v>1824</v>
      </c>
      <c r="C8787" t="s">
        <v>529</v>
      </c>
      <c r="D8787" t="s">
        <v>26</v>
      </c>
      <c r="E8787" s="208" t="s">
        <v>94</v>
      </c>
      <c r="F8787" t="s">
        <v>7</v>
      </c>
      <c r="G8787" s="18">
        <v>4486</v>
      </c>
      <c r="H8787" s="151" t="s">
        <v>563</v>
      </c>
      <c r="I8787" t="s">
        <v>16</v>
      </c>
    </row>
    <row r="8788" spans="1:9" x14ac:dyDescent="0.25">
      <c r="A8788">
        <v>1823</v>
      </c>
      <c r="B8788">
        <f>A8788+1</f>
        <v>1824</v>
      </c>
      <c r="C8788" t="s">
        <v>529</v>
      </c>
      <c r="D8788" t="s">
        <v>26</v>
      </c>
      <c r="E8788" s="208" t="s">
        <v>386</v>
      </c>
      <c r="F8788" t="s">
        <v>7</v>
      </c>
      <c r="G8788" s="18">
        <v>41340</v>
      </c>
      <c r="H8788" s="151" t="s">
        <v>563</v>
      </c>
      <c r="I8788" t="s">
        <v>16</v>
      </c>
    </row>
    <row r="8789" spans="1:9" x14ac:dyDescent="0.25">
      <c r="A8789">
        <v>1823</v>
      </c>
      <c r="B8789">
        <f>A8789+1</f>
        <v>1824</v>
      </c>
      <c r="C8789" t="s">
        <v>529</v>
      </c>
      <c r="D8789" t="s">
        <v>26</v>
      </c>
      <c r="E8789" s="208" t="s">
        <v>388</v>
      </c>
      <c r="F8789" t="s">
        <v>7</v>
      </c>
      <c r="G8789" s="18">
        <v>13185</v>
      </c>
      <c r="H8789" s="151" t="s">
        <v>563</v>
      </c>
      <c r="I8789" t="s">
        <v>16</v>
      </c>
    </row>
    <row r="8790" spans="1:9" x14ac:dyDescent="0.25">
      <c r="A8790">
        <v>1823</v>
      </c>
      <c r="B8790">
        <f>A8790+1</f>
        <v>1824</v>
      </c>
      <c r="C8790" t="s">
        <v>529</v>
      </c>
      <c r="D8790" t="s">
        <v>26</v>
      </c>
      <c r="E8790" s="208" t="s">
        <v>383</v>
      </c>
      <c r="F8790" t="s">
        <v>7</v>
      </c>
      <c r="G8790" s="18">
        <v>817</v>
      </c>
      <c r="H8790" s="151" t="s">
        <v>563</v>
      </c>
      <c r="I8790" t="s">
        <v>16</v>
      </c>
    </row>
    <row r="8791" spans="1:9" x14ac:dyDescent="0.25">
      <c r="A8791">
        <v>1823</v>
      </c>
      <c r="B8791">
        <f>A8791+1</f>
        <v>1824</v>
      </c>
      <c r="C8791" t="s">
        <v>529</v>
      </c>
      <c r="D8791" t="s">
        <v>26</v>
      </c>
      <c r="E8791" s="208" t="s">
        <v>384</v>
      </c>
      <c r="F8791" t="s">
        <v>7</v>
      </c>
      <c r="G8791" s="18">
        <v>1736</v>
      </c>
      <c r="H8791" s="151" t="s">
        <v>563</v>
      </c>
      <c r="I8791" t="s">
        <v>16</v>
      </c>
    </row>
    <row r="8792" spans="1:9" x14ac:dyDescent="0.25">
      <c r="A8792">
        <v>1823</v>
      </c>
      <c r="B8792">
        <f>A8792+1</f>
        <v>1824</v>
      </c>
      <c r="C8792" t="s">
        <v>529</v>
      </c>
      <c r="D8792" t="s">
        <v>26</v>
      </c>
      <c r="E8792" s="208" t="s">
        <v>107</v>
      </c>
      <c r="F8792" t="s">
        <v>7</v>
      </c>
      <c r="G8792" s="18">
        <v>2054892</v>
      </c>
      <c r="H8792" s="151" t="s">
        <v>563</v>
      </c>
      <c r="I8792" t="s">
        <v>16</v>
      </c>
    </row>
    <row r="8793" spans="1:9" x14ac:dyDescent="0.25">
      <c r="A8793">
        <v>1823</v>
      </c>
      <c r="B8793">
        <f>A8793+1</f>
        <v>1824</v>
      </c>
      <c r="C8793" t="s">
        <v>529</v>
      </c>
      <c r="D8793" t="s">
        <v>26</v>
      </c>
      <c r="E8793" s="208" t="s">
        <v>101</v>
      </c>
      <c r="F8793" t="s">
        <v>7</v>
      </c>
      <c r="G8793" s="18">
        <v>3772870</v>
      </c>
      <c r="H8793" s="151" t="s">
        <v>563</v>
      </c>
      <c r="I8793" t="s">
        <v>16</v>
      </c>
    </row>
    <row r="8794" spans="1:9" x14ac:dyDescent="0.25">
      <c r="A8794">
        <v>1823</v>
      </c>
      <c r="B8794">
        <f>A8794+1</f>
        <v>1824</v>
      </c>
      <c r="C8794" t="s">
        <v>529</v>
      </c>
      <c r="D8794" t="s">
        <v>26</v>
      </c>
      <c r="E8794" s="208" t="s">
        <v>75</v>
      </c>
      <c r="F8794" t="s">
        <v>7</v>
      </c>
      <c r="G8794" s="18">
        <v>3120197</v>
      </c>
      <c r="H8794" s="151" t="s">
        <v>563</v>
      </c>
      <c r="I8794" t="s">
        <v>16</v>
      </c>
    </row>
    <row r="8795" spans="1:9" x14ac:dyDescent="0.25">
      <c r="A8795">
        <v>1823</v>
      </c>
      <c r="B8795">
        <f>A8795+1</f>
        <v>1824</v>
      </c>
      <c r="C8795" t="s">
        <v>529</v>
      </c>
      <c r="D8795" t="s">
        <v>26</v>
      </c>
      <c r="E8795" s="208" t="s">
        <v>330</v>
      </c>
      <c r="F8795" t="s">
        <v>7</v>
      </c>
      <c r="G8795" s="18">
        <v>254</v>
      </c>
      <c r="H8795" s="151" t="s">
        <v>563</v>
      </c>
      <c r="I8795" t="s">
        <v>16</v>
      </c>
    </row>
    <row r="8796" spans="1:9" x14ac:dyDescent="0.25">
      <c r="A8796">
        <v>1823</v>
      </c>
      <c r="B8796">
        <f>A8796+1</f>
        <v>1824</v>
      </c>
      <c r="C8796" t="s">
        <v>529</v>
      </c>
      <c r="D8796" t="s">
        <v>26</v>
      </c>
      <c r="E8796" s="208" t="s">
        <v>331</v>
      </c>
      <c r="F8796" t="s">
        <v>7</v>
      </c>
      <c r="G8796" s="18">
        <v>197</v>
      </c>
      <c r="H8796" s="151" t="s">
        <v>563</v>
      </c>
      <c r="I8796" t="s">
        <v>16</v>
      </c>
    </row>
    <row r="8797" spans="1:9" x14ac:dyDescent="0.25">
      <c r="A8797">
        <v>1823</v>
      </c>
      <c r="B8797">
        <f>A8797+1</f>
        <v>1824</v>
      </c>
      <c r="C8797" t="s">
        <v>529</v>
      </c>
      <c r="D8797" t="s">
        <v>26</v>
      </c>
      <c r="E8797" s="208" t="s">
        <v>332</v>
      </c>
      <c r="F8797" t="s">
        <v>7</v>
      </c>
      <c r="G8797" s="18">
        <v>361</v>
      </c>
      <c r="H8797" s="151" t="s">
        <v>563</v>
      </c>
      <c r="I8797" t="s">
        <v>16</v>
      </c>
    </row>
    <row r="8798" spans="1:9" x14ac:dyDescent="0.25">
      <c r="A8798">
        <v>1823</v>
      </c>
      <c r="B8798">
        <f>A8798+1</f>
        <v>1824</v>
      </c>
      <c r="C8798" t="s">
        <v>529</v>
      </c>
      <c r="D8798" t="s">
        <v>26</v>
      </c>
      <c r="E8798" s="208" t="s">
        <v>333</v>
      </c>
      <c r="F8798" t="s">
        <v>7</v>
      </c>
      <c r="G8798" s="18">
        <v>37</v>
      </c>
      <c r="H8798" s="151" t="s">
        <v>563</v>
      </c>
      <c r="I8798" t="s">
        <v>16</v>
      </c>
    </row>
    <row r="8799" spans="1:9" x14ac:dyDescent="0.25">
      <c r="A8799">
        <v>1823</v>
      </c>
      <c r="B8799">
        <f>A8799+1</f>
        <v>1824</v>
      </c>
      <c r="C8799" t="s">
        <v>529</v>
      </c>
      <c r="D8799" t="s">
        <v>27</v>
      </c>
      <c r="E8799" s="208" t="s">
        <v>155</v>
      </c>
      <c r="F8799" t="s">
        <v>10</v>
      </c>
      <c r="G8799" s="18">
        <v>294</v>
      </c>
      <c r="H8799" t="s">
        <v>17</v>
      </c>
      <c r="I8799" t="s">
        <v>24</v>
      </c>
    </row>
    <row r="8800" spans="1:9" x14ac:dyDescent="0.25">
      <c r="A8800">
        <v>1823</v>
      </c>
      <c r="B8800">
        <f>A8800+1</f>
        <v>1824</v>
      </c>
      <c r="C8800" t="s">
        <v>529</v>
      </c>
      <c r="D8800" t="s">
        <v>27</v>
      </c>
      <c r="E8800" s="208" t="s">
        <v>156</v>
      </c>
      <c r="F8800" t="s">
        <v>10</v>
      </c>
      <c r="G8800" s="18">
        <v>108</v>
      </c>
      <c r="H8800" t="s">
        <v>17</v>
      </c>
      <c r="I8800" t="s">
        <v>24</v>
      </c>
    </row>
    <row r="8801" spans="1:9" x14ac:dyDescent="0.25">
      <c r="A8801">
        <v>1823</v>
      </c>
      <c r="B8801">
        <f>A8801+1</f>
        <v>1824</v>
      </c>
      <c r="C8801" t="s">
        <v>529</v>
      </c>
      <c r="D8801" t="s">
        <v>27</v>
      </c>
      <c r="E8801" s="208" t="s">
        <v>154</v>
      </c>
      <c r="F8801" t="s">
        <v>10</v>
      </c>
      <c r="G8801" s="18">
        <v>139</v>
      </c>
      <c r="H8801" t="s">
        <v>17</v>
      </c>
      <c r="I8801" t="s">
        <v>24</v>
      </c>
    </row>
    <row r="8802" spans="1:9" x14ac:dyDescent="0.25">
      <c r="A8802">
        <v>1823</v>
      </c>
      <c r="B8802">
        <f>A8802+1</f>
        <v>1824</v>
      </c>
      <c r="C8802" t="s">
        <v>529</v>
      </c>
      <c r="D8802" t="s">
        <v>27</v>
      </c>
      <c r="E8802" s="208" t="s">
        <v>150</v>
      </c>
      <c r="F8802" t="s">
        <v>10</v>
      </c>
      <c r="G8802" s="18">
        <v>3604</v>
      </c>
      <c r="H8802" t="s">
        <v>17</v>
      </c>
      <c r="I8802" t="s">
        <v>24</v>
      </c>
    </row>
    <row r="8803" spans="1:9" x14ac:dyDescent="0.25">
      <c r="A8803">
        <v>1823</v>
      </c>
      <c r="B8803">
        <f>A8803+1</f>
        <v>1824</v>
      </c>
      <c r="C8803" t="s">
        <v>529</v>
      </c>
      <c r="D8803" t="s">
        <v>27</v>
      </c>
      <c r="E8803" s="208" t="s">
        <v>148</v>
      </c>
      <c r="F8803" t="s">
        <v>10</v>
      </c>
      <c r="G8803" s="18">
        <v>98</v>
      </c>
      <c r="H8803" t="s">
        <v>17</v>
      </c>
      <c r="I8803" t="s">
        <v>24</v>
      </c>
    </row>
    <row r="8804" spans="1:9" x14ac:dyDescent="0.25">
      <c r="A8804">
        <v>1823</v>
      </c>
      <c r="B8804">
        <f>A8804+1</f>
        <v>1824</v>
      </c>
      <c r="C8804" t="s">
        <v>529</v>
      </c>
      <c r="D8804" t="s">
        <v>27</v>
      </c>
      <c r="E8804" s="208" t="s">
        <v>147</v>
      </c>
      <c r="F8804" t="s">
        <v>10</v>
      </c>
      <c r="G8804" s="18">
        <v>0</v>
      </c>
      <c r="H8804" t="s">
        <v>17</v>
      </c>
      <c r="I8804" t="s">
        <v>24</v>
      </c>
    </row>
    <row r="8805" spans="1:9" x14ac:dyDescent="0.25">
      <c r="A8805">
        <v>1823</v>
      </c>
      <c r="B8805">
        <f>A8805+1</f>
        <v>1824</v>
      </c>
      <c r="C8805" t="s">
        <v>529</v>
      </c>
      <c r="D8805" t="s">
        <v>27</v>
      </c>
      <c r="E8805" s="208" t="s">
        <v>314</v>
      </c>
      <c r="F8805" t="s">
        <v>10</v>
      </c>
      <c r="G8805" s="18">
        <v>0</v>
      </c>
      <c r="H8805" t="s">
        <v>17</v>
      </c>
      <c r="I8805" t="s">
        <v>24</v>
      </c>
    </row>
    <row r="8806" spans="1:9" x14ac:dyDescent="0.25">
      <c r="A8806">
        <v>1823</v>
      </c>
      <c r="B8806">
        <f>A8806+1</f>
        <v>1824</v>
      </c>
      <c r="C8806" t="s">
        <v>529</v>
      </c>
      <c r="D8806" t="s">
        <v>27</v>
      </c>
      <c r="E8806" s="208" t="s">
        <v>139</v>
      </c>
      <c r="F8806" t="s">
        <v>10</v>
      </c>
      <c r="G8806" s="18">
        <v>151</v>
      </c>
      <c r="H8806" t="s">
        <v>17</v>
      </c>
      <c r="I8806" t="s">
        <v>24</v>
      </c>
    </row>
    <row r="8807" spans="1:9" x14ac:dyDescent="0.25">
      <c r="A8807">
        <v>1823</v>
      </c>
      <c r="B8807">
        <f>A8807+1</f>
        <v>1824</v>
      </c>
      <c r="C8807" t="s">
        <v>529</v>
      </c>
      <c r="D8807" t="s">
        <v>27</v>
      </c>
      <c r="E8807" s="208" t="s">
        <v>132</v>
      </c>
      <c r="F8807" t="s">
        <v>10</v>
      </c>
      <c r="G8807" s="18">
        <v>0</v>
      </c>
      <c r="H8807" t="s">
        <v>17</v>
      </c>
      <c r="I8807" t="s">
        <v>24</v>
      </c>
    </row>
    <row r="8808" spans="1:9" x14ac:dyDescent="0.25">
      <c r="A8808">
        <v>1823</v>
      </c>
      <c r="B8808">
        <f>A8808+1</f>
        <v>1824</v>
      </c>
      <c r="C8808" t="s">
        <v>529</v>
      </c>
      <c r="D8808" t="s">
        <v>27</v>
      </c>
      <c r="E8808" s="208" t="s">
        <v>130</v>
      </c>
      <c r="F8808" t="s">
        <v>10</v>
      </c>
      <c r="G8808" s="18">
        <v>0</v>
      </c>
      <c r="H8808" t="s">
        <v>17</v>
      </c>
      <c r="I8808" t="s">
        <v>24</v>
      </c>
    </row>
    <row r="8809" spans="1:9" x14ac:dyDescent="0.25">
      <c r="A8809">
        <v>1823</v>
      </c>
      <c r="B8809">
        <f>A8809+1</f>
        <v>1824</v>
      </c>
      <c r="C8809" t="s">
        <v>529</v>
      </c>
      <c r="D8809" t="s">
        <v>27</v>
      </c>
      <c r="E8809" s="208" t="s">
        <v>144</v>
      </c>
      <c r="F8809" t="s">
        <v>10</v>
      </c>
      <c r="G8809" s="18">
        <v>0</v>
      </c>
      <c r="H8809" t="s">
        <v>17</v>
      </c>
      <c r="I8809" t="s">
        <v>24</v>
      </c>
    </row>
    <row r="8810" spans="1:9" x14ac:dyDescent="0.25">
      <c r="A8810">
        <v>1823</v>
      </c>
      <c r="B8810">
        <f>A8810+1</f>
        <v>1824</v>
      </c>
      <c r="C8810" t="s">
        <v>529</v>
      </c>
      <c r="D8810" t="s">
        <v>27</v>
      </c>
      <c r="E8810" s="208" t="s">
        <v>142</v>
      </c>
      <c r="F8810" t="s">
        <v>10</v>
      </c>
      <c r="G8810" s="18">
        <v>216</v>
      </c>
      <c r="H8810" t="s">
        <v>17</v>
      </c>
      <c r="I8810" t="s">
        <v>24</v>
      </c>
    </row>
    <row r="8811" spans="1:9" x14ac:dyDescent="0.25">
      <c r="A8811">
        <v>1823</v>
      </c>
      <c r="B8811">
        <f>A8811+1</f>
        <v>1824</v>
      </c>
      <c r="C8811" t="s">
        <v>529</v>
      </c>
      <c r="D8811" t="s">
        <v>27</v>
      </c>
      <c r="E8811" s="208" t="s">
        <v>124</v>
      </c>
      <c r="F8811" t="s">
        <v>10</v>
      </c>
      <c r="G8811" s="18">
        <v>101008</v>
      </c>
      <c r="H8811" t="s">
        <v>17</v>
      </c>
      <c r="I8811" t="s">
        <v>24</v>
      </c>
    </row>
    <row r="8812" spans="1:9" x14ac:dyDescent="0.25">
      <c r="A8812">
        <v>1823</v>
      </c>
      <c r="B8812">
        <f>A8812+1</f>
        <v>1824</v>
      </c>
      <c r="C8812" t="s">
        <v>529</v>
      </c>
      <c r="D8812" t="s">
        <v>26</v>
      </c>
      <c r="E8812" s="208" t="s">
        <v>62</v>
      </c>
      <c r="F8812" t="s">
        <v>10</v>
      </c>
      <c r="G8812" s="18">
        <v>1260</v>
      </c>
      <c r="H8812" t="s">
        <v>24</v>
      </c>
      <c r="I8812" t="s">
        <v>17</v>
      </c>
    </row>
    <row r="8813" spans="1:9" x14ac:dyDescent="0.25">
      <c r="A8813">
        <v>1823</v>
      </c>
      <c r="B8813">
        <f>A8813+1</f>
        <v>1824</v>
      </c>
      <c r="C8813" t="s">
        <v>529</v>
      </c>
      <c r="D8813" t="s">
        <v>26</v>
      </c>
      <c r="E8813" s="208" t="s">
        <v>36</v>
      </c>
      <c r="F8813" t="s">
        <v>10</v>
      </c>
      <c r="G8813" s="18">
        <v>42</v>
      </c>
      <c r="H8813" t="s">
        <v>24</v>
      </c>
      <c r="I8813" t="s">
        <v>17</v>
      </c>
    </row>
    <row r="8814" spans="1:9" x14ac:dyDescent="0.25">
      <c r="A8814">
        <v>1823</v>
      </c>
      <c r="B8814">
        <f>A8814+1</f>
        <v>1824</v>
      </c>
      <c r="C8814" t="s">
        <v>529</v>
      </c>
      <c r="D8814" t="s">
        <v>26</v>
      </c>
      <c r="E8814" s="208" t="s">
        <v>35</v>
      </c>
      <c r="F8814" t="s">
        <v>10</v>
      </c>
      <c r="G8814" s="18">
        <v>0</v>
      </c>
      <c r="H8814" t="s">
        <v>24</v>
      </c>
      <c r="I8814" t="s">
        <v>17</v>
      </c>
    </row>
    <row r="8815" spans="1:9" x14ac:dyDescent="0.25">
      <c r="A8815">
        <v>1823</v>
      </c>
      <c r="B8815">
        <f>A8815+1</f>
        <v>1824</v>
      </c>
      <c r="C8815" t="s">
        <v>529</v>
      </c>
      <c r="D8815" t="s">
        <v>26</v>
      </c>
      <c r="E8815" s="208" t="s">
        <v>39</v>
      </c>
      <c r="F8815" t="s">
        <v>10</v>
      </c>
      <c r="G8815" s="18">
        <v>30</v>
      </c>
      <c r="H8815" t="s">
        <v>24</v>
      </c>
      <c r="I8815" t="s">
        <v>17</v>
      </c>
    </row>
    <row r="8816" spans="1:9" x14ac:dyDescent="0.25">
      <c r="A8816">
        <v>1823</v>
      </c>
      <c r="B8816">
        <f>A8816+1</f>
        <v>1824</v>
      </c>
      <c r="C8816" t="s">
        <v>529</v>
      </c>
      <c r="D8816" t="s">
        <v>26</v>
      </c>
      <c r="E8816" s="208" t="s">
        <v>99</v>
      </c>
      <c r="F8816" t="s">
        <v>10</v>
      </c>
      <c r="G8816" s="18">
        <v>5</v>
      </c>
      <c r="H8816" t="s">
        <v>24</v>
      </c>
      <c r="I8816" t="s">
        <v>17</v>
      </c>
    </row>
    <row r="8817" spans="1:9" x14ac:dyDescent="0.25">
      <c r="A8817">
        <v>1823</v>
      </c>
      <c r="B8817">
        <f>A8817+1</f>
        <v>1824</v>
      </c>
      <c r="C8817" t="s">
        <v>529</v>
      </c>
      <c r="D8817" t="s">
        <v>26</v>
      </c>
      <c r="E8817" s="208" t="s">
        <v>95</v>
      </c>
      <c r="F8817" t="s">
        <v>10</v>
      </c>
      <c r="G8817" s="18">
        <v>0</v>
      </c>
      <c r="H8817" t="s">
        <v>24</v>
      </c>
      <c r="I8817" t="s">
        <v>17</v>
      </c>
    </row>
    <row r="8818" spans="1:9" x14ac:dyDescent="0.25">
      <c r="A8818">
        <v>1823</v>
      </c>
      <c r="B8818">
        <f>A8818+1</f>
        <v>1824</v>
      </c>
      <c r="C8818" t="s">
        <v>529</v>
      </c>
      <c r="D8818" t="s">
        <v>26</v>
      </c>
      <c r="E8818" s="208" t="s">
        <v>94</v>
      </c>
      <c r="F8818" t="s">
        <v>10</v>
      </c>
      <c r="G8818" s="18">
        <v>112</v>
      </c>
      <c r="H8818" t="s">
        <v>24</v>
      </c>
      <c r="I8818" t="s">
        <v>17</v>
      </c>
    </row>
    <row r="8819" spans="1:9" x14ac:dyDescent="0.25">
      <c r="A8819">
        <v>1823</v>
      </c>
      <c r="B8819">
        <f>A8819+1</f>
        <v>1824</v>
      </c>
      <c r="C8819" t="s">
        <v>529</v>
      </c>
      <c r="D8819" t="s">
        <v>26</v>
      </c>
      <c r="E8819" s="208" t="s">
        <v>386</v>
      </c>
      <c r="F8819" t="s">
        <v>10</v>
      </c>
      <c r="G8819" s="18">
        <v>270</v>
      </c>
      <c r="H8819" t="s">
        <v>24</v>
      </c>
      <c r="I8819" t="s">
        <v>17</v>
      </c>
    </row>
    <row r="8820" spans="1:9" x14ac:dyDescent="0.25">
      <c r="A8820">
        <v>1823</v>
      </c>
      <c r="B8820">
        <f>A8820+1</f>
        <v>1824</v>
      </c>
      <c r="C8820" t="s">
        <v>529</v>
      </c>
      <c r="D8820" t="s">
        <v>26</v>
      </c>
      <c r="E8820" s="208" t="s">
        <v>388</v>
      </c>
      <c r="F8820" t="s">
        <v>10</v>
      </c>
      <c r="G8820" s="18">
        <v>288</v>
      </c>
      <c r="H8820" t="s">
        <v>24</v>
      </c>
      <c r="I8820" t="s">
        <v>17</v>
      </c>
    </row>
    <row r="8821" spans="1:9" x14ac:dyDescent="0.25">
      <c r="A8821">
        <v>1823</v>
      </c>
      <c r="B8821">
        <f>A8821+1</f>
        <v>1824</v>
      </c>
      <c r="C8821" t="s">
        <v>529</v>
      </c>
      <c r="D8821" t="s">
        <v>26</v>
      </c>
      <c r="E8821" s="208" t="s">
        <v>383</v>
      </c>
      <c r="F8821" t="s">
        <v>10</v>
      </c>
      <c r="G8821" s="18">
        <v>1</v>
      </c>
      <c r="H8821" t="s">
        <v>24</v>
      </c>
      <c r="I8821" t="s">
        <v>17</v>
      </c>
    </row>
    <row r="8822" spans="1:9" x14ac:dyDescent="0.25">
      <c r="A8822">
        <v>1823</v>
      </c>
      <c r="B8822">
        <f>A8822+1</f>
        <v>1824</v>
      </c>
      <c r="C8822" t="s">
        <v>529</v>
      </c>
      <c r="D8822" t="s">
        <v>26</v>
      </c>
      <c r="E8822" s="208" t="s">
        <v>384</v>
      </c>
      <c r="F8822" t="s">
        <v>10</v>
      </c>
      <c r="G8822" s="18">
        <v>7</v>
      </c>
      <c r="H8822" t="s">
        <v>24</v>
      </c>
      <c r="I8822" t="s">
        <v>17</v>
      </c>
    </row>
    <row r="8823" spans="1:9" x14ac:dyDescent="0.25">
      <c r="A8823">
        <v>1823</v>
      </c>
      <c r="B8823">
        <f>A8823+1</f>
        <v>1824</v>
      </c>
      <c r="C8823" t="s">
        <v>529</v>
      </c>
      <c r="D8823" t="s">
        <v>26</v>
      </c>
      <c r="E8823" s="208" t="s">
        <v>107</v>
      </c>
      <c r="F8823" t="s">
        <v>10</v>
      </c>
      <c r="G8823" s="18">
        <v>457585</v>
      </c>
      <c r="H8823" t="s">
        <v>24</v>
      </c>
      <c r="I8823" t="s">
        <v>17</v>
      </c>
    </row>
    <row r="8824" spans="1:9" x14ac:dyDescent="0.25">
      <c r="A8824">
        <v>1823</v>
      </c>
      <c r="B8824">
        <f>A8824+1</f>
        <v>1824</v>
      </c>
      <c r="C8824" t="s">
        <v>529</v>
      </c>
      <c r="D8824" t="s">
        <v>26</v>
      </c>
      <c r="E8824" s="208" t="s">
        <v>101</v>
      </c>
      <c r="F8824" t="s">
        <v>10</v>
      </c>
      <c r="G8824" s="18">
        <v>1099850</v>
      </c>
      <c r="H8824" t="s">
        <v>24</v>
      </c>
      <c r="I8824" t="s">
        <v>17</v>
      </c>
    </row>
    <row r="8825" spans="1:9" x14ac:dyDescent="0.25">
      <c r="A8825">
        <v>1823</v>
      </c>
      <c r="B8825">
        <f>A8825+1</f>
        <v>1824</v>
      </c>
      <c r="C8825" t="s">
        <v>529</v>
      </c>
      <c r="D8825" t="s">
        <v>26</v>
      </c>
      <c r="E8825" s="208" t="s">
        <v>75</v>
      </c>
      <c r="F8825" t="s">
        <v>10</v>
      </c>
      <c r="G8825" s="18">
        <v>2252062</v>
      </c>
      <c r="H8825" t="s">
        <v>24</v>
      </c>
      <c r="I8825" t="s">
        <v>17</v>
      </c>
    </row>
    <row r="8826" spans="1:9" x14ac:dyDescent="0.25">
      <c r="A8826">
        <v>1823</v>
      </c>
      <c r="B8826">
        <f>A8826+1</f>
        <v>1824</v>
      </c>
      <c r="C8826" t="s">
        <v>529</v>
      </c>
      <c r="D8826" t="s">
        <v>26</v>
      </c>
      <c r="E8826" s="208" t="s">
        <v>330</v>
      </c>
      <c r="F8826" t="s">
        <v>10</v>
      </c>
      <c r="G8826" s="18">
        <v>14</v>
      </c>
      <c r="H8826" t="s">
        <v>24</v>
      </c>
      <c r="I8826" t="s">
        <v>17</v>
      </c>
    </row>
    <row r="8827" spans="1:9" x14ac:dyDescent="0.25">
      <c r="A8827">
        <v>1823</v>
      </c>
      <c r="B8827">
        <f>A8827+1</f>
        <v>1824</v>
      </c>
      <c r="C8827" t="s">
        <v>529</v>
      </c>
      <c r="D8827" t="s">
        <v>26</v>
      </c>
      <c r="E8827" s="208" t="s">
        <v>331</v>
      </c>
      <c r="F8827" t="s">
        <v>10</v>
      </c>
      <c r="G8827" s="18">
        <v>0</v>
      </c>
      <c r="H8827" t="s">
        <v>24</v>
      </c>
      <c r="I8827" t="s">
        <v>17</v>
      </c>
    </row>
    <row r="8828" spans="1:9" x14ac:dyDescent="0.25">
      <c r="A8828">
        <v>1823</v>
      </c>
      <c r="B8828">
        <f>A8828+1</f>
        <v>1824</v>
      </c>
      <c r="C8828" t="s">
        <v>529</v>
      </c>
      <c r="D8828" t="s">
        <v>26</v>
      </c>
      <c r="E8828" s="208" t="s">
        <v>332</v>
      </c>
      <c r="F8828" t="s">
        <v>10</v>
      </c>
      <c r="G8828" s="18">
        <v>0</v>
      </c>
      <c r="H8828" t="s">
        <v>24</v>
      </c>
      <c r="I8828" t="s">
        <v>17</v>
      </c>
    </row>
    <row r="8829" spans="1:9" x14ac:dyDescent="0.25">
      <c r="A8829">
        <v>1823</v>
      </c>
      <c r="B8829">
        <f>A8829+1</f>
        <v>1824</v>
      </c>
      <c r="C8829" t="s">
        <v>529</v>
      </c>
      <c r="D8829" t="s">
        <v>26</v>
      </c>
      <c r="E8829" s="208" t="s">
        <v>333</v>
      </c>
      <c r="F8829" t="s">
        <v>10</v>
      </c>
      <c r="G8829" s="18">
        <v>0</v>
      </c>
      <c r="H8829" t="s">
        <v>24</v>
      </c>
      <c r="I8829" t="s">
        <v>17</v>
      </c>
    </row>
    <row r="8830" spans="1:9" x14ac:dyDescent="0.25">
      <c r="A8830">
        <v>1823</v>
      </c>
      <c r="B8830">
        <f>A8830+1</f>
        <v>1824</v>
      </c>
      <c r="C8830" t="s">
        <v>529</v>
      </c>
      <c r="D8830" t="s">
        <v>27</v>
      </c>
      <c r="E8830" s="208" t="s">
        <v>155</v>
      </c>
      <c r="F8830" t="s">
        <v>13</v>
      </c>
      <c r="G8830" s="18">
        <v>0</v>
      </c>
      <c r="H8830" t="s">
        <v>17</v>
      </c>
      <c r="I8830" t="s">
        <v>25</v>
      </c>
    </row>
    <row r="8831" spans="1:9" x14ac:dyDescent="0.25">
      <c r="A8831">
        <v>1823</v>
      </c>
      <c r="B8831">
        <f>A8831+1</f>
        <v>1824</v>
      </c>
      <c r="C8831" t="s">
        <v>529</v>
      </c>
      <c r="D8831" t="s">
        <v>27</v>
      </c>
      <c r="E8831" s="208" t="s">
        <v>156</v>
      </c>
      <c r="F8831" t="s">
        <v>13</v>
      </c>
      <c r="G8831" s="18">
        <v>0</v>
      </c>
      <c r="H8831" t="s">
        <v>17</v>
      </c>
      <c r="I8831" t="s">
        <v>25</v>
      </c>
    </row>
    <row r="8832" spans="1:9" x14ac:dyDescent="0.25">
      <c r="A8832">
        <v>1823</v>
      </c>
      <c r="B8832">
        <f>A8832+1</f>
        <v>1824</v>
      </c>
      <c r="C8832" t="s">
        <v>529</v>
      </c>
      <c r="D8832" t="s">
        <v>27</v>
      </c>
      <c r="E8832" s="208" t="s">
        <v>154</v>
      </c>
      <c r="F8832" t="s">
        <v>13</v>
      </c>
      <c r="G8832" s="18">
        <v>0</v>
      </c>
      <c r="H8832" t="s">
        <v>17</v>
      </c>
      <c r="I8832" t="s">
        <v>25</v>
      </c>
    </row>
    <row r="8833" spans="1:9" x14ac:dyDescent="0.25">
      <c r="A8833">
        <v>1823</v>
      </c>
      <c r="B8833">
        <f>A8833+1</f>
        <v>1824</v>
      </c>
      <c r="C8833" t="s">
        <v>529</v>
      </c>
      <c r="D8833" t="s">
        <v>27</v>
      </c>
      <c r="E8833" s="208" t="s">
        <v>150</v>
      </c>
      <c r="F8833" t="s">
        <v>13</v>
      </c>
      <c r="G8833" s="18">
        <v>11</v>
      </c>
      <c r="H8833" t="s">
        <v>17</v>
      </c>
      <c r="I8833" t="s">
        <v>25</v>
      </c>
    </row>
    <row r="8834" spans="1:9" x14ac:dyDescent="0.25">
      <c r="A8834">
        <v>1823</v>
      </c>
      <c r="B8834">
        <f>A8834+1</f>
        <v>1824</v>
      </c>
      <c r="C8834" t="s">
        <v>529</v>
      </c>
      <c r="D8834" t="s">
        <v>27</v>
      </c>
      <c r="E8834" s="208" t="s">
        <v>148</v>
      </c>
      <c r="F8834" t="s">
        <v>13</v>
      </c>
      <c r="G8834" s="18">
        <v>0</v>
      </c>
      <c r="H8834" t="s">
        <v>17</v>
      </c>
      <c r="I8834" t="s">
        <v>25</v>
      </c>
    </row>
    <row r="8835" spans="1:9" x14ac:dyDescent="0.25">
      <c r="A8835">
        <v>1823</v>
      </c>
      <c r="B8835">
        <f>A8835+1</f>
        <v>1824</v>
      </c>
      <c r="C8835" t="s">
        <v>529</v>
      </c>
      <c r="D8835" t="s">
        <v>27</v>
      </c>
      <c r="E8835" s="208" t="s">
        <v>147</v>
      </c>
      <c r="F8835" t="s">
        <v>13</v>
      </c>
      <c r="G8835" s="18">
        <v>0</v>
      </c>
      <c r="H8835" t="s">
        <v>17</v>
      </c>
      <c r="I8835" t="s">
        <v>25</v>
      </c>
    </row>
    <row r="8836" spans="1:9" x14ac:dyDescent="0.25">
      <c r="A8836">
        <v>1823</v>
      </c>
      <c r="B8836">
        <f>A8836+1</f>
        <v>1824</v>
      </c>
      <c r="C8836" t="s">
        <v>529</v>
      </c>
      <c r="D8836" t="s">
        <v>27</v>
      </c>
      <c r="E8836" s="208" t="s">
        <v>314</v>
      </c>
      <c r="F8836" t="s">
        <v>13</v>
      </c>
      <c r="G8836" s="18">
        <v>3</v>
      </c>
      <c r="H8836" t="s">
        <v>17</v>
      </c>
      <c r="I8836" t="s">
        <v>25</v>
      </c>
    </row>
    <row r="8837" spans="1:9" x14ac:dyDescent="0.25">
      <c r="A8837">
        <v>1823</v>
      </c>
      <c r="B8837">
        <f>A8837+1</f>
        <v>1824</v>
      </c>
      <c r="C8837" t="s">
        <v>529</v>
      </c>
      <c r="D8837" t="s">
        <v>27</v>
      </c>
      <c r="E8837" s="208" t="s">
        <v>139</v>
      </c>
      <c r="F8837" t="s">
        <v>13</v>
      </c>
      <c r="G8837" s="18">
        <v>0</v>
      </c>
      <c r="H8837" t="s">
        <v>17</v>
      </c>
      <c r="I8837" t="s">
        <v>25</v>
      </c>
    </row>
    <row r="8838" spans="1:9" x14ac:dyDescent="0.25">
      <c r="A8838">
        <v>1823</v>
      </c>
      <c r="B8838">
        <f>A8838+1</f>
        <v>1824</v>
      </c>
      <c r="C8838" t="s">
        <v>529</v>
      </c>
      <c r="D8838" t="s">
        <v>27</v>
      </c>
      <c r="E8838" s="208" t="s">
        <v>132</v>
      </c>
      <c r="F8838" t="s">
        <v>13</v>
      </c>
      <c r="G8838" s="18">
        <v>0</v>
      </c>
      <c r="H8838" t="s">
        <v>17</v>
      </c>
      <c r="I8838" t="s">
        <v>25</v>
      </c>
    </row>
    <row r="8839" spans="1:9" x14ac:dyDescent="0.25">
      <c r="A8839">
        <v>1823</v>
      </c>
      <c r="B8839">
        <f>A8839+1</f>
        <v>1824</v>
      </c>
      <c r="C8839" t="s">
        <v>529</v>
      </c>
      <c r="D8839" t="s">
        <v>27</v>
      </c>
      <c r="E8839" s="208" t="s">
        <v>130</v>
      </c>
      <c r="F8839" t="s">
        <v>13</v>
      </c>
      <c r="G8839" s="18">
        <v>0</v>
      </c>
      <c r="H8839" t="s">
        <v>17</v>
      </c>
      <c r="I8839" t="s">
        <v>25</v>
      </c>
    </row>
    <row r="8840" spans="1:9" x14ac:dyDescent="0.25">
      <c r="A8840">
        <v>1823</v>
      </c>
      <c r="B8840">
        <f>A8840+1</f>
        <v>1824</v>
      </c>
      <c r="C8840" t="s">
        <v>529</v>
      </c>
      <c r="D8840" t="s">
        <v>27</v>
      </c>
      <c r="E8840" s="208" t="s">
        <v>144</v>
      </c>
      <c r="F8840" t="s">
        <v>13</v>
      </c>
      <c r="G8840" s="18">
        <v>0</v>
      </c>
      <c r="H8840" t="s">
        <v>17</v>
      </c>
      <c r="I8840" t="s">
        <v>25</v>
      </c>
    </row>
    <row r="8841" spans="1:9" x14ac:dyDescent="0.25">
      <c r="A8841">
        <v>1823</v>
      </c>
      <c r="B8841">
        <f>A8841+1</f>
        <v>1824</v>
      </c>
      <c r="C8841" t="s">
        <v>529</v>
      </c>
      <c r="D8841" t="s">
        <v>27</v>
      </c>
      <c r="E8841" s="208" t="s">
        <v>142</v>
      </c>
      <c r="F8841" t="s">
        <v>13</v>
      </c>
      <c r="G8841" s="18">
        <v>0</v>
      </c>
      <c r="H8841" t="s">
        <v>17</v>
      </c>
      <c r="I8841" t="s">
        <v>25</v>
      </c>
    </row>
    <row r="8842" spans="1:9" x14ac:dyDescent="0.25">
      <c r="A8842">
        <v>1823</v>
      </c>
      <c r="B8842">
        <f>A8842+1</f>
        <v>1824</v>
      </c>
      <c r="C8842" t="s">
        <v>529</v>
      </c>
      <c r="D8842" t="s">
        <v>27</v>
      </c>
      <c r="E8842" s="208" t="s">
        <v>124</v>
      </c>
      <c r="F8842" t="s">
        <v>13</v>
      </c>
      <c r="G8842" s="18">
        <v>0</v>
      </c>
      <c r="H8842" t="s">
        <v>17</v>
      </c>
      <c r="I8842" t="s">
        <v>25</v>
      </c>
    </row>
    <row r="8843" spans="1:9" x14ac:dyDescent="0.25">
      <c r="A8843">
        <v>1823</v>
      </c>
      <c r="B8843">
        <f>A8843+1</f>
        <v>1824</v>
      </c>
      <c r="C8843" t="s">
        <v>529</v>
      </c>
      <c r="D8843" t="s">
        <v>26</v>
      </c>
      <c r="E8843" s="208" t="s">
        <v>62</v>
      </c>
      <c r="F8843" t="s">
        <v>13</v>
      </c>
      <c r="G8843" s="18">
        <v>0</v>
      </c>
      <c r="H8843" t="s">
        <v>25</v>
      </c>
      <c r="I8843" t="s">
        <v>17</v>
      </c>
    </row>
    <row r="8844" spans="1:9" x14ac:dyDescent="0.25">
      <c r="A8844">
        <v>1823</v>
      </c>
      <c r="B8844">
        <f>A8844+1</f>
        <v>1824</v>
      </c>
      <c r="C8844" t="s">
        <v>529</v>
      </c>
      <c r="D8844" t="s">
        <v>26</v>
      </c>
      <c r="E8844" s="208" t="s">
        <v>36</v>
      </c>
      <c r="F8844" t="s">
        <v>13</v>
      </c>
      <c r="G8844" s="18">
        <v>0</v>
      </c>
      <c r="H8844" t="s">
        <v>25</v>
      </c>
      <c r="I8844" t="s">
        <v>17</v>
      </c>
    </row>
    <row r="8845" spans="1:9" x14ac:dyDescent="0.25">
      <c r="A8845">
        <v>1823</v>
      </c>
      <c r="B8845">
        <f>A8845+1</f>
        <v>1824</v>
      </c>
      <c r="C8845" t="s">
        <v>529</v>
      </c>
      <c r="D8845" t="s">
        <v>26</v>
      </c>
      <c r="E8845" s="208" t="s">
        <v>35</v>
      </c>
      <c r="F8845" t="s">
        <v>13</v>
      </c>
      <c r="G8845" s="18">
        <v>0</v>
      </c>
      <c r="H8845" t="s">
        <v>25</v>
      </c>
      <c r="I8845" t="s">
        <v>17</v>
      </c>
    </row>
    <row r="8846" spans="1:9" x14ac:dyDescent="0.25">
      <c r="A8846">
        <v>1823</v>
      </c>
      <c r="B8846">
        <f>A8846+1</f>
        <v>1824</v>
      </c>
      <c r="C8846" t="s">
        <v>529</v>
      </c>
      <c r="D8846" t="s">
        <v>26</v>
      </c>
      <c r="E8846" s="208" t="s">
        <v>39</v>
      </c>
      <c r="F8846" t="s">
        <v>13</v>
      </c>
      <c r="G8846" s="18">
        <v>0</v>
      </c>
      <c r="H8846" t="s">
        <v>25</v>
      </c>
      <c r="I8846" t="s">
        <v>17</v>
      </c>
    </row>
    <row r="8847" spans="1:9" x14ac:dyDescent="0.25">
      <c r="A8847">
        <v>1823</v>
      </c>
      <c r="B8847">
        <f>A8847+1</f>
        <v>1824</v>
      </c>
      <c r="C8847" t="s">
        <v>529</v>
      </c>
      <c r="D8847" t="s">
        <v>26</v>
      </c>
      <c r="E8847" s="208" t="s">
        <v>99</v>
      </c>
      <c r="F8847" t="s">
        <v>13</v>
      </c>
      <c r="G8847" s="18">
        <v>0</v>
      </c>
      <c r="H8847" t="s">
        <v>25</v>
      </c>
      <c r="I8847" t="s">
        <v>17</v>
      </c>
    </row>
    <row r="8848" spans="1:9" x14ac:dyDescent="0.25">
      <c r="A8848">
        <v>1823</v>
      </c>
      <c r="B8848">
        <f>A8848+1</f>
        <v>1824</v>
      </c>
      <c r="C8848" t="s">
        <v>529</v>
      </c>
      <c r="D8848" t="s">
        <v>26</v>
      </c>
      <c r="E8848" s="208" t="s">
        <v>95</v>
      </c>
      <c r="F8848" t="s">
        <v>13</v>
      </c>
      <c r="G8848" s="18">
        <v>0</v>
      </c>
      <c r="H8848" t="s">
        <v>25</v>
      </c>
      <c r="I8848" t="s">
        <v>17</v>
      </c>
    </row>
    <row r="8849" spans="1:9" x14ac:dyDescent="0.25">
      <c r="A8849">
        <v>1823</v>
      </c>
      <c r="B8849">
        <f>A8849+1</f>
        <v>1824</v>
      </c>
      <c r="C8849" t="s">
        <v>529</v>
      </c>
      <c r="D8849" t="s">
        <v>26</v>
      </c>
      <c r="E8849" s="208" t="s">
        <v>94</v>
      </c>
      <c r="F8849" t="s">
        <v>13</v>
      </c>
      <c r="G8849" s="18">
        <v>0</v>
      </c>
      <c r="H8849" t="s">
        <v>25</v>
      </c>
      <c r="I8849" t="s">
        <v>17</v>
      </c>
    </row>
    <row r="8850" spans="1:9" x14ac:dyDescent="0.25">
      <c r="A8850">
        <v>1823</v>
      </c>
      <c r="B8850">
        <f>A8850+1</f>
        <v>1824</v>
      </c>
      <c r="C8850" t="s">
        <v>529</v>
      </c>
      <c r="D8850" t="s">
        <v>26</v>
      </c>
      <c r="E8850" s="208" t="s">
        <v>386</v>
      </c>
      <c r="F8850" t="s">
        <v>13</v>
      </c>
      <c r="G8850" s="18">
        <v>0</v>
      </c>
      <c r="H8850" t="s">
        <v>25</v>
      </c>
      <c r="I8850" t="s">
        <v>17</v>
      </c>
    </row>
    <row r="8851" spans="1:9" x14ac:dyDescent="0.25">
      <c r="A8851">
        <v>1823</v>
      </c>
      <c r="B8851">
        <f>A8851+1</f>
        <v>1824</v>
      </c>
      <c r="C8851" t="s">
        <v>529</v>
      </c>
      <c r="D8851" t="s">
        <v>26</v>
      </c>
      <c r="E8851" s="208" t="s">
        <v>388</v>
      </c>
      <c r="F8851" t="s">
        <v>13</v>
      </c>
      <c r="G8851" s="18">
        <v>0</v>
      </c>
      <c r="H8851" t="s">
        <v>25</v>
      </c>
      <c r="I8851" t="s">
        <v>17</v>
      </c>
    </row>
    <row r="8852" spans="1:9" x14ac:dyDescent="0.25">
      <c r="A8852">
        <v>1823</v>
      </c>
      <c r="B8852">
        <f>A8852+1</f>
        <v>1824</v>
      </c>
      <c r="C8852" t="s">
        <v>529</v>
      </c>
      <c r="D8852" t="s">
        <v>26</v>
      </c>
      <c r="E8852" s="208" t="s">
        <v>383</v>
      </c>
      <c r="F8852" t="s">
        <v>13</v>
      </c>
      <c r="G8852" s="18">
        <v>0</v>
      </c>
      <c r="H8852" t="s">
        <v>25</v>
      </c>
      <c r="I8852" t="s">
        <v>17</v>
      </c>
    </row>
    <row r="8853" spans="1:9" x14ac:dyDescent="0.25">
      <c r="A8853">
        <v>1823</v>
      </c>
      <c r="B8853">
        <f>A8853+1</f>
        <v>1824</v>
      </c>
      <c r="C8853" t="s">
        <v>529</v>
      </c>
      <c r="D8853" t="s">
        <v>26</v>
      </c>
      <c r="E8853" s="208" t="s">
        <v>384</v>
      </c>
      <c r="F8853" t="s">
        <v>13</v>
      </c>
      <c r="G8853" s="18">
        <v>0</v>
      </c>
      <c r="H8853" t="s">
        <v>25</v>
      </c>
      <c r="I8853" t="s">
        <v>17</v>
      </c>
    </row>
    <row r="8854" spans="1:9" x14ac:dyDescent="0.25">
      <c r="A8854">
        <v>1823</v>
      </c>
      <c r="B8854">
        <f>A8854+1</f>
        <v>1824</v>
      </c>
      <c r="C8854" t="s">
        <v>529</v>
      </c>
      <c r="D8854" t="s">
        <v>26</v>
      </c>
      <c r="E8854" s="208" t="s">
        <v>107</v>
      </c>
      <c r="F8854" t="s">
        <v>13</v>
      </c>
      <c r="G8854" s="18">
        <v>0</v>
      </c>
      <c r="H8854" t="s">
        <v>25</v>
      </c>
      <c r="I8854" t="s">
        <v>17</v>
      </c>
    </row>
    <row r="8855" spans="1:9" x14ac:dyDescent="0.25">
      <c r="A8855">
        <v>1823</v>
      </c>
      <c r="B8855">
        <f>A8855+1</f>
        <v>1824</v>
      </c>
      <c r="C8855" t="s">
        <v>529</v>
      </c>
      <c r="D8855" t="s">
        <v>26</v>
      </c>
      <c r="E8855" s="208" t="s">
        <v>101</v>
      </c>
      <c r="F8855" t="s">
        <v>13</v>
      </c>
      <c r="G8855" s="18">
        <v>0</v>
      </c>
      <c r="H8855" t="s">
        <v>25</v>
      </c>
      <c r="I8855" t="s">
        <v>17</v>
      </c>
    </row>
    <row r="8856" spans="1:9" x14ac:dyDescent="0.25">
      <c r="A8856">
        <v>1823</v>
      </c>
      <c r="B8856">
        <f>A8856+1</f>
        <v>1824</v>
      </c>
      <c r="C8856" t="s">
        <v>529</v>
      </c>
      <c r="D8856" t="s">
        <v>26</v>
      </c>
      <c r="E8856" s="208" t="s">
        <v>75</v>
      </c>
      <c r="F8856" t="s">
        <v>13</v>
      </c>
      <c r="G8856" s="18">
        <v>0</v>
      </c>
      <c r="H8856" t="s">
        <v>25</v>
      </c>
      <c r="I8856" t="s">
        <v>17</v>
      </c>
    </row>
    <row r="8857" spans="1:9" x14ac:dyDescent="0.25">
      <c r="A8857">
        <v>1823</v>
      </c>
      <c r="B8857">
        <f>A8857+1</f>
        <v>1824</v>
      </c>
      <c r="C8857" t="s">
        <v>529</v>
      </c>
      <c r="D8857" t="s">
        <v>26</v>
      </c>
      <c r="E8857" s="208" t="s">
        <v>330</v>
      </c>
      <c r="F8857" t="s">
        <v>13</v>
      </c>
      <c r="G8857" s="18">
        <v>90</v>
      </c>
      <c r="H8857" t="s">
        <v>25</v>
      </c>
      <c r="I8857" t="s">
        <v>17</v>
      </c>
    </row>
    <row r="8858" spans="1:9" x14ac:dyDescent="0.25">
      <c r="A8858">
        <v>1823</v>
      </c>
      <c r="B8858">
        <f>A8858+1</f>
        <v>1824</v>
      </c>
      <c r="C8858" t="s">
        <v>529</v>
      </c>
      <c r="D8858" t="s">
        <v>26</v>
      </c>
      <c r="E8858" s="208" t="s">
        <v>331</v>
      </c>
      <c r="F8858" t="s">
        <v>13</v>
      </c>
      <c r="G8858" s="18">
        <v>0</v>
      </c>
      <c r="H8858" t="s">
        <v>25</v>
      </c>
      <c r="I8858" t="s">
        <v>17</v>
      </c>
    </row>
    <row r="8859" spans="1:9" x14ac:dyDescent="0.25">
      <c r="A8859">
        <v>1823</v>
      </c>
      <c r="B8859">
        <f>A8859+1</f>
        <v>1824</v>
      </c>
      <c r="C8859" t="s">
        <v>529</v>
      </c>
      <c r="D8859" t="s">
        <v>26</v>
      </c>
      <c r="E8859" s="208" t="s">
        <v>332</v>
      </c>
      <c r="F8859" t="s">
        <v>13</v>
      </c>
      <c r="G8859" s="18">
        <v>0</v>
      </c>
      <c r="H8859" t="s">
        <v>25</v>
      </c>
      <c r="I8859" t="s">
        <v>17</v>
      </c>
    </row>
    <row r="8860" spans="1:9" x14ac:dyDescent="0.25">
      <c r="A8860">
        <v>1823</v>
      </c>
      <c r="B8860">
        <f>A8860+1</f>
        <v>1824</v>
      </c>
      <c r="C8860" t="s">
        <v>529</v>
      </c>
      <c r="D8860" t="s">
        <v>26</v>
      </c>
      <c r="E8860" s="208" t="s">
        <v>333</v>
      </c>
      <c r="F8860" t="s">
        <v>13</v>
      </c>
      <c r="G8860" s="18">
        <v>0</v>
      </c>
      <c r="H8860" t="s">
        <v>25</v>
      </c>
      <c r="I8860" t="s">
        <v>17</v>
      </c>
    </row>
    <row r="8861" spans="1:9" x14ac:dyDescent="0.25">
      <c r="A8861">
        <v>1823</v>
      </c>
      <c r="B8861">
        <f>A8861+1</f>
        <v>1824</v>
      </c>
      <c r="C8861" t="s">
        <v>529</v>
      </c>
      <c r="D8861" t="s">
        <v>27</v>
      </c>
      <c r="E8861" s="208" t="s">
        <v>155</v>
      </c>
      <c r="F8861" t="s">
        <v>8</v>
      </c>
      <c r="G8861" s="18">
        <v>75800</v>
      </c>
      <c r="H8861" t="s">
        <v>17</v>
      </c>
      <c r="I8861" t="s">
        <v>18</v>
      </c>
    </row>
    <row r="8862" spans="1:9" x14ac:dyDescent="0.25">
      <c r="A8862">
        <v>1823</v>
      </c>
      <c r="B8862">
        <f>A8862+1</f>
        <v>1824</v>
      </c>
      <c r="C8862" t="s">
        <v>529</v>
      </c>
      <c r="D8862" t="s">
        <v>27</v>
      </c>
      <c r="E8862" s="208" t="s">
        <v>156</v>
      </c>
      <c r="F8862" t="s">
        <v>8</v>
      </c>
      <c r="G8862" s="18">
        <v>7626</v>
      </c>
      <c r="H8862" t="s">
        <v>17</v>
      </c>
      <c r="I8862" t="s">
        <v>18</v>
      </c>
    </row>
    <row r="8863" spans="1:9" x14ac:dyDescent="0.25">
      <c r="A8863">
        <v>1823</v>
      </c>
      <c r="B8863">
        <f>A8863+1</f>
        <v>1824</v>
      </c>
      <c r="C8863" t="s">
        <v>529</v>
      </c>
      <c r="D8863" t="s">
        <v>27</v>
      </c>
      <c r="E8863" s="208" t="s">
        <v>154</v>
      </c>
      <c r="F8863" t="s">
        <v>8</v>
      </c>
      <c r="G8863" s="18">
        <v>636</v>
      </c>
      <c r="H8863" t="s">
        <v>17</v>
      </c>
      <c r="I8863" t="s">
        <v>18</v>
      </c>
    </row>
    <row r="8864" spans="1:9" x14ac:dyDescent="0.25">
      <c r="A8864">
        <v>1823</v>
      </c>
      <c r="B8864">
        <f>A8864+1</f>
        <v>1824</v>
      </c>
      <c r="C8864" t="s">
        <v>529</v>
      </c>
      <c r="D8864" t="s">
        <v>27</v>
      </c>
      <c r="E8864" s="208" t="s">
        <v>150</v>
      </c>
      <c r="F8864" t="s">
        <v>8</v>
      </c>
      <c r="G8864" s="18">
        <v>21603</v>
      </c>
      <c r="H8864" t="s">
        <v>17</v>
      </c>
      <c r="I8864" t="s">
        <v>18</v>
      </c>
    </row>
    <row r="8865" spans="1:9" x14ac:dyDescent="0.25">
      <c r="A8865">
        <v>1823</v>
      </c>
      <c r="B8865">
        <f>A8865+1</f>
        <v>1824</v>
      </c>
      <c r="C8865" t="s">
        <v>529</v>
      </c>
      <c r="D8865" t="s">
        <v>27</v>
      </c>
      <c r="E8865" s="208" t="s">
        <v>148</v>
      </c>
      <c r="F8865" t="s">
        <v>8</v>
      </c>
      <c r="G8865" s="18">
        <v>2195</v>
      </c>
      <c r="H8865" t="s">
        <v>17</v>
      </c>
      <c r="I8865" t="s">
        <v>18</v>
      </c>
    </row>
    <row r="8866" spans="1:9" x14ac:dyDescent="0.25">
      <c r="A8866">
        <v>1823</v>
      </c>
      <c r="B8866">
        <f>A8866+1</f>
        <v>1824</v>
      </c>
      <c r="C8866" t="s">
        <v>529</v>
      </c>
      <c r="D8866" t="s">
        <v>27</v>
      </c>
      <c r="E8866" s="208" t="s">
        <v>147</v>
      </c>
      <c r="F8866" t="s">
        <v>8</v>
      </c>
      <c r="G8866" s="18">
        <v>0</v>
      </c>
      <c r="H8866" t="s">
        <v>17</v>
      </c>
      <c r="I8866" t="s">
        <v>18</v>
      </c>
    </row>
    <row r="8867" spans="1:9" x14ac:dyDescent="0.25">
      <c r="A8867">
        <v>1823</v>
      </c>
      <c r="B8867">
        <f>A8867+1</f>
        <v>1824</v>
      </c>
      <c r="C8867" t="s">
        <v>529</v>
      </c>
      <c r="D8867" t="s">
        <v>27</v>
      </c>
      <c r="E8867" s="208" t="s">
        <v>314</v>
      </c>
      <c r="F8867" t="s">
        <v>8</v>
      </c>
      <c r="G8867" s="18">
        <v>0</v>
      </c>
      <c r="H8867" t="s">
        <v>17</v>
      </c>
      <c r="I8867" t="s">
        <v>18</v>
      </c>
    </row>
    <row r="8868" spans="1:9" x14ac:dyDescent="0.25">
      <c r="A8868">
        <v>1823</v>
      </c>
      <c r="B8868">
        <f>A8868+1</f>
        <v>1824</v>
      </c>
      <c r="C8868" t="s">
        <v>529</v>
      </c>
      <c r="D8868" t="s">
        <v>27</v>
      </c>
      <c r="E8868" s="208" t="s">
        <v>139</v>
      </c>
      <c r="F8868" t="s">
        <v>8</v>
      </c>
      <c r="G8868" s="18">
        <v>208</v>
      </c>
      <c r="H8868" t="s">
        <v>17</v>
      </c>
      <c r="I8868" t="s">
        <v>18</v>
      </c>
    </row>
    <row r="8869" spans="1:9" x14ac:dyDescent="0.25">
      <c r="A8869">
        <v>1823</v>
      </c>
      <c r="B8869">
        <f>A8869+1</f>
        <v>1824</v>
      </c>
      <c r="C8869" t="s">
        <v>529</v>
      </c>
      <c r="D8869" t="s">
        <v>27</v>
      </c>
      <c r="E8869" s="208" t="s">
        <v>132</v>
      </c>
      <c r="F8869" t="s">
        <v>8</v>
      </c>
      <c r="G8869" s="18">
        <v>1977</v>
      </c>
      <c r="H8869" t="s">
        <v>17</v>
      </c>
      <c r="I8869" t="s">
        <v>18</v>
      </c>
    </row>
    <row r="8870" spans="1:9" x14ac:dyDescent="0.25">
      <c r="A8870">
        <v>1823</v>
      </c>
      <c r="B8870">
        <f>A8870+1</f>
        <v>1824</v>
      </c>
      <c r="C8870" t="s">
        <v>529</v>
      </c>
      <c r="D8870" t="s">
        <v>27</v>
      </c>
      <c r="E8870" s="208" t="s">
        <v>130</v>
      </c>
      <c r="F8870" t="s">
        <v>8</v>
      </c>
      <c r="G8870" s="18">
        <v>45</v>
      </c>
      <c r="H8870" t="s">
        <v>17</v>
      </c>
      <c r="I8870" t="s">
        <v>18</v>
      </c>
    </row>
    <row r="8871" spans="1:9" x14ac:dyDescent="0.25">
      <c r="A8871">
        <v>1823</v>
      </c>
      <c r="B8871">
        <f>A8871+1</f>
        <v>1824</v>
      </c>
      <c r="C8871" t="s">
        <v>529</v>
      </c>
      <c r="D8871" t="s">
        <v>27</v>
      </c>
      <c r="E8871" s="208" t="s">
        <v>144</v>
      </c>
      <c r="F8871" t="s">
        <v>8</v>
      </c>
      <c r="G8871" s="18">
        <v>171</v>
      </c>
      <c r="H8871" t="s">
        <v>17</v>
      </c>
      <c r="I8871" t="s">
        <v>18</v>
      </c>
    </row>
    <row r="8872" spans="1:9" x14ac:dyDescent="0.25">
      <c r="A8872">
        <v>1823</v>
      </c>
      <c r="B8872">
        <f>A8872+1</f>
        <v>1824</v>
      </c>
      <c r="C8872" t="s">
        <v>529</v>
      </c>
      <c r="D8872" t="s">
        <v>27</v>
      </c>
      <c r="E8872" s="208" t="s">
        <v>142</v>
      </c>
      <c r="F8872" t="s">
        <v>8</v>
      </c>
      <c r="G8872" s="18">
        <v>22247</v>
      </c>
      <c r="H8872" t="s">
        <v>17</v>
      </c>
      <c r="I8872" t="s">
        <v>18</v>
      </c>
    </row>
    <row r="8873" spans="1:9" x14ac:dyDescent="0.25">
      <c r="A8873">
        <v>1823</v>
      </c>
      <c r="B8873">
        <f>A8873+1</f>
        <v>1824</v>
      </c>
      <c r="C8873" t="s">
        <v>529</v>
      </c>
      <c r="D8873" t="s">
        <v>27</v>
      </c>
      <c r="E8873" s="208" t="s">
        <v>124</v>
      </c>
      <c r="F8873" t="s">
        <v>8</v>
      </c>
      <c r="G8873" s="18">
        <v>13835844</v>
      </c>
      <c r="H8873" t="s">
        <v>17</v>
      </c>
      <c r="I8873" t="s">
        <v>18</v>
      </c>
    </row>
    <row r="8874" spans="1:9" x14ac:dyDescent="0.25">
      <c r="A8874">
        <v>1823</v>
      </c>
      <c r="B8874">
        <f>A8874+1</f>
        <v>1824</v>
      </c>
      <c r="C8874" t="s">
        <v>529</v>
      </c>
      <c r="D8874" t="s">
        <v>26</v>
      </c>
      <c r="E8874" s="208" t="s">
        <v>62</v>
      </c>
      <c r="F8874" t="s">
        <v>164</v>
      </c>
      <c r="G8874" s="18">
        <v>229</v>
      </c>
      <c r="H8874" t="s">
        <v>160</v>
      </c>
      <c r="I8874" t="s">
        <v>17</v>
      </c>
    </row>
    <row r="8875" spans="1:9" x14ac:dyDescent="0.25">
      <c r="A8875">
        <v>1823</v>
      </c>
      <c r="B8875">
        <f>A8875+1</f>
        <v>1824</v>
      </c>
      <c r="C8875" t="s">
        <v>529</v>
      </c>
      <c r="D8875" t="s">
        <v>26</v>
      </c>
      <c r="E8875" s="208" t="s">
        <v>36</v>
      </c>
      <c r="F8875" t="s">
        <v>164</v>
      </c>
      <c r="G8875" s="18">
        <v>40</v>
      </c>
      <c r="H8875" t="s">
        <v>160</v>
      </c>
      <c r="I8875" t="s">
        <v>17</v>
      </c>
    </row>
    <row r="8876" spans="1:9" x14ac:dyDescent="0.25">
      <c r="A8876">
        <v>1823</v>
      </c>
      <c r="B8876">
        <f>A8876+1</f>
        <v>1824</v>
      </c>
      <c r="C8876" t="s">
        <v>529</v>
      </c>
      <c r="D8876" t="s">
        <v>26</v>
      </c>
      <c r="E8876" s="208" t="s">
        <v>35</v>
      </c>
      <c r="F8876" t="s">
        <v>164</v>
      </c>
      <c r="G8876" s="18">
        <v>500</v>
      </c>
      <c r="H8876" t="s">
        <v>160</v>
      </c>
      <c r="I8876" t="s">
        <v>17</v>
      </c>
    </row>
    <row r="8877" spans="1:9" x14ac:dyDescent="0.25">
      <c r="A8877">
        <v>1823</v>
      </c>
      <c r="B8877">
        <f>A8877+1</f>
        <v>1824</v>
      </c>
      <c r="C8877" t="s">
        <v>529</v>
      </c>
      <c r="D8877" t="s">
        <v>26</v>
      </c>
      <c r="E8877" s="208" t="s">
        <v>39</v>
      </c>
      <c r="F8877" t="s">
        <v>164</v>
      </c>
      <c r="G8877" s="18">
        <v>0</v>
      </c>
      <c r="H8877" t="s">
        <v>160</v>
      </c>
      <c r="I8877" t="s">
        <v>17</v>
      </c>
    </row>
    <row r="8878" spans="1:9" x14ac:dyDescent="0.25">
      <c r="A8878">
        <v>1823</v>
      </c>
      <c r="B8878">
        <f>A8878+1</f>
        <v>1824</v>
      </c>
      <c r="C8878" t="s">
        <v>529</v>
      </c>
      <c r="D8878" t="s">
        <v>26</v>
      </c>
      <c r="E8878" s="208" t="s">
        <v>99</v>
      </c>
      <c r="F8878" t="s">
        <v>164</v>
      </c>
      <c r="G8878" s="18">
        <v>197</v>
      </c>
      <c r="H8878" t="s">
        <v>160</v>
      </c>
      <c r="I8878" t="s">
        <v>17</v>
      </c>
    </row>
    <row r="8879" spans="1:9" x14ac:dyDescent="0.25">
      <c r="A8879">
        <v>1823</v>
      </c>
      <c r="B8879">
        <f>A8879+1</f>
        <v>1824</v>
      </c>
      <c r="C8879" t="s">
        <v>529</v>
      </c>
      <c r="D8879" t="s">
        <v>26</v>
      </c>
      <c r="E8879" s="208" t="s">
        <v>95</v>
      </c>
      <c r="F8879" t="s">
        <v>164</v>
      </c>
      <c r="G8879" s="18">
        <v>0</v>
      </c>
      <c r="H8879" t="s">
        <v>160</v>
      </c>
      <c r="I8879" t="s">
        <v>17</v>
      </c>
    </row>
    <row r="8880" spans="1:9" x14ac:dyDescent="0.25">
      <c r="A8880">
        <v>1823</v>
      </c>
      <c r="B8880">
        <f>A8880+1</f>
        <v>1824</v>
      </c>
      <c r="C8880" t="s">
        <v>529</v>
      </c>
      <c r="D8880" t="s">
        <v>26</v>
      </c>
      <c r="E8880" s="208" t="s">
        <v>94</v>
      </c>
      <c r="F8880" t="s">
        <v>164</v>
      </c>
      <c r="G8880" s="18">
        <v>25</v>
      </c>
      <c r="H8880" t="s">
        <v>160</v>
      </c>
      <c r="I8880" t="s">
        <v>17</v>
      </c>
    </row>
    <row r="8881" spans="1:9" x14ac:dyDescent="0.25">
      <c r="A8881">
        <v>1823</v>
      </c>
      <c r="B8881">
        <f>A8881+1</f>
        <v>1824</v>
      </c>
      <c r="C8881" t="s">
        <v>529</v>
      </c>
      <c r="D8881" t="s">
        <v>26</v>
      </c>
      <c r="E8881" s="208" t="s">
        <v>386</v>
      </c>
      <c r="F8881" t="s">
        <v>164</v>
      </c>
      <c r="G8881" s="18">
        <v>0</v>
      </c>
      <c r="H8881" t="s">
        <v>160</v>
      </c>
      <c r="I8881" t="s">
        <v>17</v>
      </c>
    </row>
    <row r="8882" spans="1:9" x14ac:dyDescent="0.25">
      <c r="A8882">
        <v>1823</v>
      </c>
      <c r="B8882">
        <f>A8882+1</f>
        <v>1824</v>
      </c>
      <c r="C8882" t="s">
        <v>529</v>
      </c>
      <c r="D8882" t="s">
        <v>26</v>
      </c>
      <c r="E8882" s="208" t="s">
        <v>388</v>
      </c>
      <c r="F8882" t="s">
        <v>164</v>
      </c>
      <c r="G8882" s="18">
        <v>0</v>
      </c>
      <c r="H8882" t="s">
        <v>160</v>
      </c>
      <c r="I8882" t="s">
        <v>17</v>
      </c>
    </row>
    <row r="8883" spans="1:9" x14ac:dyDescent="0.25">
      <c r="A8883">
        <v>1823</v>
      </c>
      <c r="B8883">
        <f>A8883+1</f>
        <v>1824</v>
      </c>
      <c r="C8883" t="s">
        <v>529</v>
      </c>
      <c r="D8883" t="s">
        <v>26</v>
      </c>
      <c r="E8883" s="208" t="s">
        <v>383</v>
      </c>
      <c r="F8883" t="s">
        <v>164</v>
      </c>
      <c r="G8883" s="18">
        <v>0</v>
      </c>
      <c r="H8883" t="s">
        <v>160</v>
      </c>
      <c r="I8883" t="s">
        <v>17</v>
      </c>
    </row>
    <row r="8884" spans="1:9" x14ac:dyDescent="0.25">
      <c r="A8884">
        <v>1823</v>
      </c>
      <c r="B8884">
        <f>A8884+1</f>
        <v>1824</v>
      </c>
      <c r="C8884" t="s">
        <v>529</v>
      </c>
      <c r="D8884" t="s">
        <v>26</v>
      </c>
      <c r="E8884" s="208" t="s">
        <v>384</v>
      </c>
      <c r="F8884" t="s">
        <v>164</v>
      </c>
      <c r="G8884" s="18">
        <v>0</v>
      </c>
      <c r="H8884" t="s">
        <v>160</v>
      </c>
      <c r="I8884" t="s">
        <v>17</v>
      </c>
    </row>
    <row r="8885" spans="1:9" x14ac:dyDescent="0.25">
      <c r="A8885">
        <v>1823</v>
      </c>
      <c r="B8885">
        <f>A8885+1</f>
        <v>1824</v>
      </c>
      <c r="C8885" t="s">
        <v>529</v>
      </c>
      <c r="D8885" t="s">
        <v>26</v>
      </c>
      <c r="E8885" s="208" t="s">
        <v>107</v>
      </c>
      <c r="F8885" t="s">
        <v>164</v>
      </c>
      <c r="G8885" s="18">
        <v>0</v>
      </c>
      <c r="H8885" t="s">
        <v>160</v>
      </c>
      <c r="I8885" t="s">
        <v>17</v>
      </c>
    </row>
    <row r="8886" spans="1:9" x14ac:dyDescent="0.25">
      <c r="A8886">
        <v>1823</v>
      </c>
      <c r="B8886">
        <f>A8886+1</f>
        <v>1824</v>
      </c>
      <c r="C8886" t="s">
        <v>529</v>
      </c>
      <c r="D8886" t="s">
        <v>26</v>
      </c>
      <c r="E8886" s="208" t="s">
        <v>101</v>
      </c>
      <c r="F8886" t="s">
        <v>164</v>
      </c>
      <c r="G8886" s="18">
        <v>0</v>
      </c>
      <c r="H8886" t="s">
        <v>160</v>
      </c>
      <c r="I8886" t="s">
        <v>17</v>
      </c>
    </row>
    <row r="8887" spans="1:9" x14ac:dyDescent="0.25">
      <c r="A8887">
        <v>1823</v>
      </c>
      <c r="B8887">
        <f>A8887+1</f>
        <v>1824</v>
      </c>
      <c r="C8887" t="s">
        <v>529</v>
      </c>
      <c r="D8887" t="s">
        <v>26</v>
      </c>
      <c r="E8887" s="208" t="s">
        <v>75</v>
      </c>
      <c r="F8887" t="s">
        <v>164</v>
      </c>
      <c r="G8887" s="18">
        <v>0</v>
      </c>
      <c r="H8887" t="s">
        <v>160</v>
      </c>
      <c r="I8887" t="s">
        <v>17</v>
      </c>
    </row>
    <row r="8888" spans="1:9" x14ac:dyDescent="0.25">
      <c r="A8888">
        <v>1823</v>
      </c>
      <c r="B8888">
        <f>A8888+1</f>
        <v>1824</v>
      </c>
      <c r="C8888" t="s">
        <v>529</v>
      </c>
      <c r="D8888" t="s">
        <v>26</v>
      </c>
      <c r="E8888" s="208" t="s">
        <v>330</v>
      </c>
      <c r="F8888" t="s">
        <v>164</v>
      </c>
      <c r="G8888" s="18">
        <v>0</v>
      </c>
      <c r="H8888" t="s">
        <v>160</v>
      </c>
      <c r="I8888" t="s">
        <v>17</v>
      </c>
    </row>
    <row r="8889" spans="1:9" x14ac:dyDescent="0.25">
      <c r="A8889">
        <v>1823</v>
      </c>
      <c r="B8889">
        <f>A8889+1</f>
        <v>1824</v>
      </c>
      <c r="C8889" t="s">
        <v>529</v>
      </c>
      <c r="D8889" t="s">
        <v>26</v>
      </c>
      <c r="E8889" s="208" t="s">
        <v>331</v>
      </c>
      <c r="F8889" t="s">
        <v>164</v>
      </c>
      <c r="G8889" s="18">
        <v>0</v>
      </c>
      <c r="H8889" t="s">
        <v>160</v>
      </c>
      <c r="I8889" t="s">
        <v>17</v>
      </c>
    </row>
    <row r="8890" spans="1:9" x14ac:dyDescent="0.25">
      <c r="A8890">
        <v>1823</v>
      </c>
      <c r="B8890">
        <f>A8890+1</f>
        <v>1824</v>
      </c>
      <c r="C8890" t="s">
        <v>529</v>
      </c>
      <c r="D8890" t="s">
        <v>26</v>
      </c>
      <c r="E8890" s="208" t="s">
        <v>332</v>
      </c>
      <c r="F8890" t="s">
        <v>164</v>
      </c>
      <c r="G8890" s="18">
        <v>0</v>
      </c>
      <c r="H8890" t="s">
        <v>160</v>
      </c>
      <c r="I8890" t="s">
        <v>17</v>
      </c>
    </row>
    <row r="8891" spans="1:9" x14ac:dyDescent="0.25">
      <c r="A8891">
        <v>1823</v>
      </c>
      <c r="B8891">
        <f>A8891+1</f>
        <v>1824</v>
      </c>
      <c r="C8891" t="s">
        <v>529</v>
      </c>
      <c r="D8891" t="s">
        <v>26</v>
      </c>
      <c r="E8891" s="208" t="s">
        <v>333</v>
      </c>
      <c r="F8891" t="s">
        <v>164</v>
      </c>
      <c r="G8891" s="18">
        <v>0</v>
      </c>
      <c r="H8891" t="s">
        <v>160</v>
      </c>
      <c r="I8891" t="s">
        <v>17</v>
      </c>
    </row>
    <row r="8892" spans="1:9" x14ac:dyDescent="0.25">
      <c r="A8892">
        <v>1823</v>
      </c>
      <c r="B8892">
        <f>A8892+1</f>
        <v>1824</v>
      </c>
      <c r="C8892" t="s">
        <v>529</v>
      </c>
      <c r="D8892" t="s">
        <v>27</v>
      </c>
      <c r="E8892" s="208" t="s">
        <v>155</v>
      </c>
      <c r="F8892" t="s">
        <v>9</v>
      </c>
      <c r="G8892" s="18">
        <v>1268</v>
      </c>
      <c r="H8892" t="s">
        <v>17</v>
      </c>
      <c r="I8892" t="s">
        <v>21</v>
      </c>
    </row>
    <row r="8893" spans="1:9" x14ac:dyDescent="0.25">
      <c r="A8893">
        <v>1823</v>
      </c>
      <c r="B8893">
        <f>A8893+1</f>
        <v>1824</v>
      </c>
      <c r="C8893" t="s">
        <v>529</v>
      </c>
      <c r="D8893" t="s">
        <v>27</v>
      </c>
      <c r="E8893" s="208" t="s">
        <v>156</v>
      </c>
      <c r="F8893" t="s">
        <v>9</v>
      </c>
      <c r="G8893" s="18">
        <v>442</v>
      </c>
      <c r="H8893" t="s">
        <v>17</v>
      </c>
      <c r="I8893" t="s">
        <v>21</v>
      </c>
    </row>
    <row r="8894" spans="1:9" x14ac:dyDescent="0.25">
      <c r="A8894">
        <v>1823</v>
      </c>
      <c r="B8894">
        <f>A8894+1</f>
        <v>1824</v>
      </c>
      <c r="C8894" t="s">
        <v>529</v>
      </c>
      <c r="D8894" t="s">
        <v>27</v>
      </c>
      <c r="E8894" s="208" t="s">
        <v>154</v>
      </c>
      <c r="F8894" t="s">
        <v>9</v>
      </c>
      <c r="G8894" s="18">
        <v>305</v>
      </c>
      <c r="H8894" t="s">
        <v>17</v>
      </c>
      <c r="I8894" t="s">
        <v>21</v>
      </c>
    </row>
    <row r="8895" spans="1:9" x14ac:dyDescent="0.25">
      <c r="A8895">
        <v>1823</v>
      </c>
      <c r="B8895">
        <f>A8895+1</f>
        <v>1824</v>
      </c>
      <c r="C8895" t="s">
        <v>529</v>
      </c>
      <c r="D8895" t="s">
        <v>27</v>
      </c>
      <c r="E8895" s="208" t="s">
        <v>150</v>
      </c>
      <c r="F8895" t="s">
        <v>9</v>
      </c>
      <c r="G8895" s="18">
        <v>61</v>
      </c>
      <c r="H8895" t="s">
        <v>17</v>
      </c>
      <c r="I8895" t="s">
        <v>21</v>
      </c>
    </row>
    <row r="8896" spans="1:9" x14ac:dyDescent="0.25">
      <c r="A8896">
        <v>1823</v>
      </c>
      <c r="B8896">
        <f>A8896+1</f>
        <v>1824</v>
      </c>
      <c r="C8896" t="s">
        <v>529</v>
      </c>
      <c r="D8896" t="s">
        <v>27</v>
      </c>
      <c r="E8896" s="208" t="s">
        <v>148</v>
      </c>
      <c r="F8896" t="s">
        <v>9</v>
      </c>
      <c r="G8896" s="18">
        <v>35</v>
      </c>
      <c r="H8896" t="s">
        <v>17</v>
      </c>
      <c r="I8896" t="s">
        <v>21</v>
      </c>
    </row>
    <row r="8897" spans="1:9" x14ac:dyDescent="0.25">
      <c r="A8897">
        <v>1823</v>
      </c>
      <c r="B8897">
        <f>A8897+1</f>
        <v>1824</v>
      </c>
      <c r="C8897" t="s">
        <v>529</v>
      </c>
      <c r="D8897" t="s">
        <v>27</v>
      </c>
      <c r="E8897" s="208" t="s">
        <v>147</v>
      </c>
      <c r="F8897" t="s">
        <v>9</v>
      </c>
      <c r="G8897" s="18">
        <v>0</v>
      </c>
      <c r="H8897" t="s">
        <v>17</v>
      </c>
      <c r="I8897" t="s">
        <v>21</v>
      </c>
    </row>
    <row r="8898" spans="1:9" x14ac:dyDescent="0.25">
      <c r="A8898">
        <v>1823</v>
      </c>
      <c r="B8898">
        <f>A8898+1</f>
        <v>1824</v>
      </c>
      <c r="C8898" t="s">
        <v>529</v>
      </c>
      <c r="D8898" t="s">
        <v>27</v>
      </c>
      <c r="E8898" s="208" t="s">
        <v>314</v>
      </c>
      <c r="F8898" t="s">
        <v>9</v>
      </c>
      <c r="G8898" s="18">
        <v>0</v>
      </c>
      <c r="H8898" t="s">
        <v>17</v>
      </c>
      <c r="I8898" t="s">
        <v>21</v>
      </c>
    </row>
    <row r="8899" spans="1:9" x14ac:dyDescent="0.25">
      <c r="A8899">
        <v>1823</v>
      </c>
      <c r="B8899">
        <f>A8899+1</f>
        <v>1824</v>
      </c>
      <c r="C8899" t="s">
        <v>529</v>
      </c>
      <c r="D8899" t="s">
        <v>27</v>
      </c>
      <c r="E8899" s="208" t="s">
        <v>139</v>
      </c>
      <c r="F8899" t="s">
        <v>9</v>
      </c>
      <c r="G8899" s="18">
        <v>0</v>
      </c>
      <c r="H8899" t="s">
        <v>17</v>
      </c>
      <c r="I8899" t="s">
        <v>21</v>
      </c>
    </row>
    <row r="8900" spans="1:9" x14ac:dyDescent="0.25">
      <c r="A8900">
        <v>1823</v>
      </c>
      <c r="B8900">
        <f>A8900+1</f>
        <v>1824</v>
      </c>
      <c r="C8900" t="s">
        <v>529</v>
      </c>
      <c r="D8900" t="s">
        <v>27</v>
      </c>
      <c r="E8900" s="208" t="s">
        <v>132</v>
      </c>
      <c r="F8900" t="s">
        <v>9</v>
      </c>
      <c r="G8900" s="18">
        <v>7</v>
      </c>
      <c r="H8900" t="s">
        <v>17</v>
      </c>
      <c r="I8900" t="s">
        <v>21</v>
      </c>
    </row>
    <row r="8901" spans="1:9" x14ac:dyDescent="0.25">
      <c r="A8901">
        <v>1823</v>
      </c>
      <c r="B8901">
        <f>A8901+1</f>
        <v>1824</v>
      </c>
      <c r="C8901" t="s">
        <v>529</v>
      </c>
      <c r="D8901" t="s">
        <v>27</v>
      </c>
      <c r="E8901" s="208" t="s">
        <v>130</v>
      </c>
      <c r="F8901" t="s">
        <v>9</v>
      </c>
      <c r="G8901" s="18">
        <v>0</v>
      </c>
      <c r="H8901" t="s">
        <v>17</v>
      </c>
      <c r="I8901" t="s">
        <v>21</v>
      </c>
    </row>
    <row r="8902" spans="1:9" x14ac:dyDescent="0.25">
      <c r="A8902">
        <v>1823</v>
      </c>
      <c r="B8902">
        <f>A8902+1</f>
        <v>1824</v>
      </c>
      <c r="C8902" t="s">
        <v>529</v>
      </c>
      <c r="D8902" t="s">
        <v>27</v>
      </c>
      <c r="E8902" s="208" t="s">
        <v>144</v>
      </c>
      <c r="F8902" t="s">
        <v>9</v>
      </c>
      <c r="G8902" s="18">
        <v>0</v>
      </c>
      <c r="H8902" t="s">
        <v>17</v>
      </c>
      <c r="I8902" t="s">
        <v>21</v>
      </c>
    </row>
    <row r="8903" spans="1:9" x14ac:dyDescent="0.25">
      <c r="A8903">
        <v>1823</v>
      </c>
      <c r="B8903">
        <f>A8903+1</f>
        <v>1824</v>
      </c>
      <c r="C8903" t="s">
        <v>529</v>
      </c>
      <c r="D8903" t="s">
        <v>27</v>
      </c>
      <c r="E8903" s="208" t="s">
        <v>142</v>
      </c>
      <c r="F8903" t="s">
        <v>9</v>
      </c>
      <c r="G8903" s="18">
        <v>86</v>
      </c>
      <c r="H8903" t="s">
        <v>17</v>
      </c>
      <c r="I8903" t="s">
        <v>21</v>
      </c>
    </row>
    <row r="8904" spans="1:9" x14ac:dyDescent="0.25">
      <c r="A8904">
        <v>1823</v>
      </c>
      <c r="B8904">
        <f>A8904+1</f>
        <v>1824</v>
      </c>
      <c r="C8904" t="s">
        <v>529</v>
      </c>
      <c r="D8904" t="s">
        <v>27</v>
      </c>
      <c r="E8904" s="208" t="s">
        <v>124</v>
      </c>
      <c r="F8904" t="s">
        <v>9</v>
      </c>
      <c r="G8904" s="18">
        <v>15506</v>
      </c>
      <c r="H8904" t="s">
        <v>17</v>
      </c>
      <c r="I8904" t="s">
        <v>21</v>
      </c>
    </row>
    <row r="8905" spans="1:9" x14ac:dyDescent="0.25">
      <c r="A8905">
        <v>1823</v>
      </c>
      <c r="B8905">
        <f>A8905+1</f>
        <v>1824</v>
      </c>
      <c r="C8905" t="s">
        <v>529</v>
      </c>
      <c r="D8905" t="s">
        <v>27</v>
      </c>
      <c r="E8905" s="208" t="s">
        <v>155</v>
      </c>
      <c r="F8905" t="s">
        <v>11</v>
      </c>
      <c r="G8905" s="18">
        <v>612</v>
      </c>
      <c r="H8905" t="s">
        <v>17</v>
      </c>
      <c r="I8905" t="s">
        <v>23</v>
      </c>
    </row>
    <row r="8906" spans="1:9" x14ac:dyDescent="0.25">
      <c r="A8906">
        <v>1823</v>
      </c>
      <c r="B8906">
        <f>A8906+1</f>
        <v>1824</v>
      </c>
      <c r="C8906" t="s">
        <v>529</v>
      </c>
      <c r="D8906" t="s">
        <v>27</v>
      </c>
      <c r="E8906" s="208" t="s">
        <v>156</v>
      </c>
      <c r="F8906" t="s">
        <v>11</v>
      </c>
      <c r="G8906" s="18">
        <v>149</v>
      </c>
      <c r="H8906" t="s">
        <v>17</v>
      </c>
      <c r="I8906" t="s">
        <v>23</v>
      </c>
    </row>
    <row r="8907" spans="1:9" x14ac:dyDescent="0.25">
      <c r="A8907">
        <v>1823</v>
      </c>
      <c r="B8907">
        <f>A8907+1</f>
        <v>1824</v>
      </c>
      <c r="C8907" t="s">
        <v>529</v>
      </c>
      <c r="D8907" t="s">
        <v>27</v>
      </c>
      <c r="E8907" s="208" t="s">
        <v>154</v>
      </c>
      <c r="F8907" t="s">
        <v>11</v>
      </c>
      <c r="G8907" s="18">
        <v>128</v>
      </c>
      <c r="H8907" t="s">
        <v>17</v>
      </c>
      <c r="I8907" t="s">
        <v>23</v>
      </c>
    </row>
    <row r="8908" spans="1:9" x14ac:dyDescent="0.25">
      <c r="A8908">
        <v>1823</v>
      </c>
      <c r="B8908">
        <f>A8908+1</f>
        <v>1824</v>
      </c>
      <c r="C8908" t="s">
        <v>529</v>
      </c>
      <c r="D8908" t="s">
        <v>27</v>
      </c>
      <c r="E8908" s="208" t="s">
        <v>150</v>
      </c>
      <c r="F8908" t="s">
        <v>11</v>
      </c>
      <c r="G8908" s="18">
        <v>5089</v>
      </c>
      <c r="H8908" t="s">
        <v>17</v>
      </c>
      <c r="I8908" t="s">
        <v>23</v>
      </c>
    </row>
    <row r="8909" spans="1:9" x14ac:dyDescent="0.25">
      <c r="A8909">
        <v>1823</v>
      </c>
      <c r="B8909">
        <f>A8909+1</f>
        <v>1824</v>
      </c>
      <c r="C8909" t="s">
        <v>529</v>
      </c>
      <c r="D8909" t="s">
        <v>27</v>
      </c>
      <c r="E8909" s="208" t="s">
        <v>148</v>
      </c>
      <c r="F8909" t="s">
        <v>11</v>
      </c>
      <c r="G8909" s="18">
        <v>17</v>
      </c>
      <c r="H8909" t="s">
        <v>17</v>
      </c>
      <c r="I8909" t="s">
        <v>23</v>
      </c>
    </row>
    <row r="8910" spans="1:9" x14ac:dyDescent="0.25">
      <c r="A8910">
        <v>1823</v>
      </c>
      <c r="B8910">
        <f>A8910+1</f>
        <v>1824</v>
      </c>
      <c r="C8910" t="s">
        <v>529</v>
      </c>
      <c r="D8910" t="s">
        <v>27</v>
      </c>
      <c r="E8910" s="208" t="s">
        <v>147</v>
      </c>
      <c r="F8910" t="s">
        <v>11</v>
      </c>
      <c r="G8910" s="18">
        <v>0</v>
      </c>
      <c r="H8910" t="s">
        <v>17</v>
      </c>
      <c r="I8910" t="s">
        <v>23</v>
      </c>
    </row>
    <row r="8911" spans="1:9" x14ac:dyDescent="0.25">
      <c r="A8911">
        <v>1823</v>
      </c>
      <c r="B8911">
        <f>A8911+1</f>
        <v>1824</v>
      </c>
      <c r="C8911" t="s">
        <v>529</v>
      </c>
      <c r="D8911" t="s">
        <v>27</v>
      </c>
      <c r="E8911" s="208" t="s">
        <v>314</v>
      </c>
      <c r="F8911" t="s">
        <v>11</v>
      </c>
      <c r="G8911" s="18">
        <v>0</v>
      </c>
      <c r="H8911" t="s">
        <v>17</v>
      </c>
      <c r="I8911" t="s">
        <v>23</v>
      </c>
    </row>
    <row r="8912" spans="1:9" x14ac:dyDescent="0.25">
      <c r="A8912">
        <v>1823</v>
      </c>
      <c r="B8912">
        <f>A8912+1</f>
        <v>1824</v>
      </c>
      <c r="C8912" t="s">
        <v>529</v>
      </c>
      <c r="D8912" t="s">
        <v>27</v>
      </c>
      <c r="E8912" s="208" t="s">
        <v>139</v>
      </c>
      <c r="F8912" t="s">
        <v>11</v>
      </c>
      <c r="G8912" s="18">
        <v>352</v>
      </c>
      <c r="H8912" t="s">
        <v>17</v>
      </c>
      <c r="I8912" t="s">
        <v>23</v>
      </c>
    </row>
    <row r="8913" spans="1:9" x14ac:dyDescent="0.25">
      <c r="A8913">
        <v>1823</v>
      </c>
      <c r="B8913">
        <f>A8913+1</f>
        <v>1824</v>
      </c>
      <c r="C8913" t="s">
        <v>529</v>
      </c>
      <c r="D8913" t="s">
        <v>27</v>
      </c>
      <c r="E8913" s="208" t="s">
        <v>132</v>
      </c>
      <c r="F8913" t="s">
        <v>11</v>
      </c>
      <c r="G8913" s="18">
        <v>4</v>
      </c>
      <c r="H8913" t="s">
        <v>17</v>
      </c>
      <c r="I8913" t="s">
        <v>23</v>
      </c>
    </row>
    <row r="8914" spans="1:9" x14ac:dyDescent="0.25">
      <c r="A8914">
        <v>1823</v>
      </c>
      <c r="B8914">
        <f>A8914+1</f>
        <v>1824</v>
      </c>
      <c r="C8914" t="s">
        <v>529</v>
      </c>
      <c r="D8914" t="s">
        <v>27</v>
      </c>
      <c r="E8914" s="208" t="s">
        <v>130</v>
      </c>
      <c r="F8914" t="s">
        <v>11</v>
      </c>
      <c r="G8914" s="18">
        <v>0</v>
      </c>
      <c r="H8914" t="s">
        <v>17</v>
      </c>
      <c r="I8914" t="s">
        <v>23</v>
      </c>
    </row>
    <row r="8915" spans="1:9" x14ac:dyDescent="0.25">
      <c r="A8915">
        <v>1823</v>
      </c>
      <c r="B8915">
        <f>A8915+1</f>
        <v>1824</v>
      </c>
      <c r="C8915" t="s">
        <v>529</v>
      </c>
      <c r="D8915" t="s">
        <v>27</v>
      </c>
      <c r="E8915" s="208" t="s">
        <v>144</v>
      </c>
      <c r="F8915" t="s">
        <v>11</v>
      </c>
      <c r="G8915" s="18">
        <v>30</v>
      </c>
      <c r="H8915" t="s">
        <v>17</v>
      </c>
      <c r="I8915" t="s">
        <v>23</v>
      </c>
    </row>
    <row r="8916" spans="1:9" x14ac:dyDescent="0.25">
      <c r="A8916">
        <v>1823</v>
      </c>
      <c r="B8916">
        <f>A8916+1</f>
        <v>1824</v>
      </c>
      <c r="C8916" t="s">
        <v>529</v>
      </c>
      <c r="D8916" t="s">
        <v>27</v>
      </c>
      <c r="E8916" s="208" t="s">
        <v>142</v>
      </c>
      <c r="F8916" t="s">
        <v>11</v>
      </c>
      <c r="G8916" s="18">
        <v>6022</v>
      </c>
      <c r="H8916" t="s">
        <v>17</v>
      </c>
      <c r="I8916" t="s">
        <v>23</v>
      </c>
    </row>
    <row r="8917" spans="1:9" x14ac:dyDescent="0.25">
      <c r="A8917">
        <v>1823</v>
      </c>
      <c r="B8917">
        <f>A8917+1</f>
        <v>1824</v>
      </c>
      <c r="C8917" t="s">
        <v>529</v>
      </c>
      <c r="D8917" t="s">
        <v>27</v>
      </c>
      <c r="E8917" s="208" t="s">
        <v>124</v>
      </c>
      <c r="F8917" t="s">
        <v>11</v>
      </c>
      <c r="G8917" s="18">
        <v>145994</v>
      </c>
      <c r="H8917" t="s">
        <v>17</v>
      </c>
      <c r="I8917" t="s">
        <v>23</v>
      </c>
    </row>
    <row r="8918" spans="1:9" x14ac:dyDescent="0.25">
      <c r="A8918">
        <v>1823</v>
      </c>
      <c r="B8918">
        <f>A8918+1</f>
        <v>1824</v>
      </c>
      <c r="C8918" t="s">
        <v>529</v>
      </c>
      <c r="D8918" t="s">
        <v>26</v>
      </c>
      <c r="E8918" s="208" t="s">
        <v>62</v>
      </c>
      <c r="F8918" t="s">
        <v>11</v>
      </c>
      <c r="G8918" s="18">
        <v>7171</v>
      </c>
      <c r="H8918" t="s">
        <v>23</v>
      </c>
      <c r="I8918" t="s">
        <v>17</v>
      </c>
    </row>
    <row r="8919" spans="1:9" x14ac:dyDescent="0.25">
      <c r="A8919">
        <v>1823</v>
      </c>
      <c r="B8919">
        <f>A8919+1</f>
        <v>1824</v>
      </c>
      <c r="C8919" t="s">
        <v>529</v>
      </c>
      <c r="D8919" t="s">
        <v>26</v>
      </c>
      <c r="E8919" s="208" t="s">
        <v>36</v>
      </c>
      <c r="F8919" t="s">
        <v>11</v>
      </c>
      <c r="G8919" s="18">
        <v>876</v>
      </c>
      <c r="H8919" t="s">
        <v>23</v>
      </c>
      <c r="I8919" t="s">
        <v>17</v>
      </c>
    </row>
    <row r="8920" spans="1:9" x14ac:dyDescent="0.25">
      <c r="A8920">
        <v>1823</v>
      </c>
      <c r="B8920">
        <f>A8920+1</f>
        <v>1824</v>
      </c>
      <c r="C8920" t="s">
        <v>529</v>
      </c>
      <c r="D8920" t="s">
        <v>26</v>
      </c>
      <c r="E8920" s="208" t="s">
        <v>35</v>
      </c>
      <c r="F8920" t="s">
        <v>11</v>
      </c>
      <c r="G8920" s="18">
        <v>50</v>
      </c>
      <c r="H8920" t="s">
        <v>23</v>
      </c>
      <c r="I8920" t="s">
        <v>17</v>
      </c>
    </row>
    <row r="8921" spans="1:9" x14ac:dyDescent="0.25">
      <c r="A8921">
        <v>1823</v>
      </c>
      <c r="B8921">
        <f>A8921+1</f>
        <v>1824</v>
      </c>
      <c r="C8921" t="s">
        <v>529</v>
      </c>
      <c r="D8921" t="s">
        <v>26</v>
      </c>
      <c r="E8921" s="208" t="s">
        <v>39</v>
      </c>
      <c r="F8921" t="s">
        <v>11</v>
      </c>
      <c r="G8921" s="18">
        <v>590</v>
      </c>
      <c r="H8921" t="s">
        <v>23</v>
      </c>
      <c r="I8921" t="s">
        <v>17</v>
      </c>
    </row>
    <row r="8922" spans="1:9" x14ac:dyDescent="0.25">
      <c r="A8922">
        <v>1823</v>
      </c>
      <c r="B8922">
        <f>A8922+1</f>
        <v>1824</v>
      </c>
      <c r="C8922" t="s">
        <v>529</v>
      </c>
      <c r="D8922" t="s">
        <v>26</v>
      </c>
      <c r="E8922" s="208" t="s">
        <v>99</v>
      </c>
      <c r="F8922" t="s">
        <v>11</v>
      </c>
      <c r="G8922" s="18">
        <v>637</v>
      </c>
      <c r="H8922" t="s">
        <v>23</v>
      </c>
      <c r="I8922" t="s">
        <v>17</v>
      </c>
    </row>
    <row r="8923" spans="1:9" x14ac:dyDescent="0.25">
      <c r="A8923">
        <v>1823</v>
      </c>
      <c r="B8923">
        <f>A8923+1</f>
        <v>1824</v>
      </c>
      <c r="C8923" t="s">
        <v>529</v>
      </c>
      <c r="D8923" t="s">
        <v>26</v>
      </c>
      <c r="E8923" s="208" t="s">
        <v>95</v>
      </c>
      <c r="F8923" t="s">
        <v>11</v>
      </c>
      <c r="G8923" s="18">
        <v>10</v>
      </c>
      <c r="H8923" t="s">
        <v>23</v>
      </c>
      <c r="I8923" t="s">
        <v>17</v>
      </c>
    </row>
    <row r="8924" spans="1:9" x14ac:dyDescent="0.25">
      <c r="A8924">
        <v>1823</v>
      </c>
      <c r="B8924">
        <f>A8924+1</f>
        <v>1824</v>
      </c>
      <c r="C8924" t="s">
        <v>529</v>
      </c>
      <c r="D8924" t="s">
        <v>26</v>
      </c>
      <c r="E8924" s="208" t="s">
        <v>94</v>
      </c>
      <c r="F8924" t="s">
        <v>11</v>
      </c>
      <c r="G8924" s="18">
        <v>5</v>
      </c>
      <c r="H8924" t="s">
        <v>23</v>
      </c>
      <c r="I8924" t="s">
        <v>17</v>
      </c>
    </row>
    <row r="8925" spans="1:9" x14ac:dyDescent="0.25">
      <c r="A8925">
        <v>1823</v>
      </c>
      <c r="B8925">
        <f>A8925+1</f>
        <v>1824</v>
      </c>
      <c r="C8925" t="s">
        <v>529</v>
      </c>
      <c r="D8925" t="s">
        <v>26</v>
      </c>
      <c r="E8925" s="208" t="s">
        <v>386</v>
      </c>
      <c r="F8925" t="s">
        <v>11</v>
      </c>
      <c r="G8925" s="18">
        <v>12638</v>
      </c>
      <c r="H8925" t="s">
        <v>23</v>
      </c>
      <c r="I8925" t="s">
        <v>17</v>
      </c>
    </row>
    <row r="8926" spans="1:9" x14ac:dyDescent="0.25">
      <c r="A8926">
        <v>1823</v>
      </c>
      <c r="B8926">
        <f>A8926+1</f>
        <v>1824</v>
      </c>
      <c r="C8926" t="s">
        <v>529</v>
      </c>
      <c r="D8926" t="s">
        <v>26</v>
      </c>
      <c r="E8926" s="208" t="s">
        <v>388</v>
      </c>
      <c r="F8926" t="s">
        <v>11</v>
      </c>
      <c r="G8926" s="18">
        <v>3521</v>
      </c>
      <c r="H8926" t="s">
        <v>23</v>
      </c>
      <c r="I8926" t="s">
        <v>17</v>
      </c>
    </row>
    <row r="8927" spans="1:9" x14ac:dyDescent="0.25">
      <c r="A8927">
        <v>1823</v>
      </c>
      <c r="B8927">
        <f>A8927+1</f>
        <v>1824</v>
      </c>
      <c r="C8927" t="s">
        <v>529</v>
      </c>
      <c r="D8927" t="s">
        <v>26</v>
      </c>
      <c r="E8927" s="208" t="s">
        <v>383</v>
      </c>
      <c r="F8927" t="s">
        <v>11</v>
      </c>
      <c r="G8927" s="18">
        <v>16</v>
      </c>
      <c r="H8927" t="s">
        <v>23</v>
      </c>
      <c r="I8927" t="s">
        <v>17</v>
      </c>
    </row>
    <row r="8928" spans="1:9" x14ac:dyDescent="0.25">
      <c r="A8928">
        <v>1823</v>
      </c>
      <c r="B8928">
        <f>A8928+1</f>
        <v>1824</v>
      </c>
      <c r="C8928" t="s">
        <v>529</v>
      </c>
      <c r="D8928" t="s">
        <v>26</v>
      </c>
      <c r="E8928" s="208" t="s">
        <v>384</v>
      </c>
      <c r="F8928" t="s">
        <v>11</v>
      </c>
      <c r="G8928" s="18">
        <v>1079</v>
      </c>
      <c r="H8928" t="s">
        <v>23</v>
      </c>
      <c r="I8928" t="s">
        <v>17</v>
      </c>
    </row>
    <row r="8929" spans="1:9" x14ac:dyDescent="0.25">
      <c r="A8929">
        <v>1823</v>
      </c>
      <c r="B8929">
        <f>A8929+1</f>
        <v>1824</v>
      </c>
      <c r="C8929" t="s">
        <v>529</v>
      </c>
      <c r="D8929" t="s">
        <v>26</v>
      </c>
      <c r="E8929" s="208" t="s">
        <v>107</v>
      </c>
      <c r="F8929" t="s">
        <v>11</v>
      </c>
      <c r="G8929" s="18">
        <v>3413953</v>
      </c>
      <c r="H8929" t="s">
        <v>23</v>
      </c>
      <c r="I8929" t="s">
        <v>17</v>
      </c>
    </row>
    <row r="8930" spans="1:9" x14ac:dyDescent="0.25">
      <c r="A8930">
        <v>1823</v>
      </c>
      <c r="B8930">
        <f>A8930+1</f>
        <v>1824</v>
      </c>
      <c r="C8930" t="s">
        <v>529</v>
      </c>
      <c r="D8930" t="s">
        <v>26</v>
      </c>
      <c r="E8930" s="208" t="s">
        <v>101</v>
      </c>
      <c r="F8930" t="s">
        <v>11</v>
      </c>
      <c r="G8930" s="18">
        <v>3104960</v>
      </c>
      <c r="H8930" t="s">
        <v>23</v>
      </c>
      <c r="I8930" t="s">
        <v>17</v>
      </c>
    </row>
    <row r="8931" spans="1:9" x14ac:dyDescent="0.25">
      <c r="A8931">
        <v>1823</v>
      </c>
      <c r="B8931">
        <f>A8931+1</f>
        <v>1824</v>
      </c>
      <c r="C8931" t="s">
        <v>529</v>
      </c>
      <c r="D8931" t="s">
        <v>26</v>
      </c>
      <c r="E8931" s="208" t="s">
        <v>75</v>
      </c>
      <c r="F8931" t="s">
        <v>11</v>
      </c>
      <c r="G8931" s="18">
        <v>1872400</v>
      </c>
      <c r="H8931" t="s">
        <v>23</v>
      </c>
      <c r="I8931" t="s">
        <v>17</v>
      </c>
    </row>
    <row r="8932" spans="1:9" x14ac:dyDescent="0.25">
      <c r="A8932">
        <v>1823</v>
      </c>
      <c r="B8932">
        <f>A8932+1</f>
        <v>1824</v>
      </c>
      <c r="C8932" t="s">
        <v>529</v>
      </c>
      <c r="D8932" t="s">
        <v>26</v>
      </c>
      <c r="E8932" s="208" t="s">
        <v>330</v>
      </c>
      <c r="F8932" t="s">
        <v>11</v>
      </c>
      <c r="G8932" s="18">
        <v>46</v>
      </c>
      <c r="H8932" t="s">
        <v>23</v>
      </c>
      <c r="I8932" t="s">
        <v>17</v>
      </c>
    </row>
    <row r="8933" spans="1:9" x14ac:dyDescent="0.25">
      <c r="A8933">
        <v>1823</v>
      </c>
      <c r="B8933">
        <f>A8933+1</f>
        <v>1824</v>
      </c>
      <c r="C8933" t="s">
        <v>529</v>
      </c>
      <c r="D8933" t="s">
        <v>26</v>
      </c>
      <c r="E8933" s="208" t="s">
        <v>331</v>
      </c>
      <c r="F8933" t="s">
        <v>11</v>
      </c>
      <c r="G8933" s="18">
        <v>0</v>
      </c>
      <c r="H8933" t="s">
        <v>23</v>
      </c>
      <c r="I8933" t="s">
        <v>17</v>
      </c>
    </row>
    <row r="8934" spans="1:9" x14ac:dyDescent="0.25">
      <c r="A8934">
        <v>1823</v>
      </c>
      <c r="B8934">
        <f>A8934+1</f>
        <v>1824</v>
      </c>
      <c r="C8934" t="s">
        <v>529</v>
      </c>
      <c r="D8934" t="s">
        <v>26</v>
      </c>
      <c r="E8934" s="208" t="s">
        <v>332</v>
      </c>
      <c r="F8934" t="s">
        <v>11</v>
      </c>
      <c r="G8934" s="18">
        <v>0</v>
      </c>
      <c r="H8934" t="s">
        <v>23</v>
      </c>
      <c r="I8934" t="s">
        <v>17</v>
      </c>
    </row>
    <row r="8935" spans="1:9" x14ac:dyDescent="0.25">
      <c r="A8935">
        <v>1823</v>
      </c>
      <c r="B8935">
        <f>A8935+1</f>
        <v>1824</v>
      </c>
      <c r="C8935" t="s">
        <v>529</v>
      </c>
      <c r="D8935" t="s">
        <v>26</v>
      </c>
      <c r="E8935" s="208" t="s">
        <v>333</v>
      </c>
      <c r="F8935" t="s">
        <v>11</v>
      </c>
      <c r="G8935" s="18">
        <v>0</v>
      </c>
      <c r="H8935" t="s">
        <v>23</v>
      </c>
      <c r="I8935" t="s">
        <v>17</v>
      </c>
    </row>
    <row r="8936" spans="1:9" x14ac:dyDescent="0.25">
      <c r="A8936">
        <v>1823</v>
      </c>
      <c r="B8936">
        <f>A8936+1</f>
        <v>1824</v>
      </c>
      <c r="C8936" t="s">
        <v>529</v>
      </c>
      <c r="D8936" t="s">
        <v>27</v>
      </c>
      <c r="E8936" s="208" t="s">
        <v>155</v>
      </c>
      <c r="F8936" t="s">
        <v>14</v>
      </c>
      <c r="G8936" s="18">
        <v>77974</v>
      </c>
      <c r="H8936" t="s">
        <v>17</v>
      </c>
      <c r="I8936" s="151" t="s">
        <v>562</v>
      </c>
    </row>
    <row r="8937" spans="1:9" x14ac:dyDescent="0.25">
      <c r="A8937">
        <v>1823</v>
      </c>
      <c r="B8937">
        <f>A8937+1</f>
        <v>1824</v>
      </c>
      <c r="C8937" t="s">
        <v>529</v>
      </c>
      <c r="D8937" t="s">
        <v>27</v>
      </c>
      <c r="E8937" s="208" t="s">
        <v>156</v>
      </c>
      <c r="F8937" t="s">
        <v>14</v>
      </c>
      <c r="G8937" s="18">
        <v>8325</v>
      </c>
      <c r="H8937" t="s">
        <v>17</v>
      </c>
      <c r="I8937" s="151" t="s">
        <v>562</v>
      </c>
    </row>
    <row r="8938" spans="1:9" x14ac:dyDescent="0.25">
      <c r="A8938">
        <v>1823</v>
      </c>
      <c r="B8938">
        <f>A8938+1</f>
        <v>1824</v>
      </c>
      <c r="C8938" t="s">
        <v>529</v>
      </c>
      <c r="D8938" t="s">
        <v>27</v>
      </c>
      <c r="E8938" s="208" t="s">
        <v>154</v>
      </c>
      <c r="F8938" t="s">
        <v>14</v>
      </c>
      <c r="G8938" s="18">
        <v>1208</v>
      </c>
      <c r="H8938" t="s">
        <v>17</v>
      </c>
      <c r="I8938" s="151" t="s">
        <v>562</v>
      </c>
    </row>
    <row r="8939" spans="1:9" x14ac:dyDescent="0.25">
      <c r="A8939">
        <v>1823</v>
      </c>
      <c r="B8939">
        <f>A8939+1</f>
        <v>1824</v>
      </c>
      <c r="C8939" t="s">
        <v>529</v>
      </c>
      <c r="D8939" t="s">
        <v>27</v>
      </c>
      <c r="E8939" s="208" t="s">
        <v>150</v>
      </c>
      <c r="F8939" t="s">
        <v>14</v>
      </c>
      <c r="G8939" s="18">
        <v>30368</v>
      </c>
      <c r="H8939" t="s">
        <v>17</v>
      </c>
      <c r="I8939" s="151" t="s">
        <v>562</v>
      </c>
    </row>
    <row r="8940" spans="1:9" x14ac:dyDescent="0.25">
      <c r="A8940">
        <v>1823</v>
      </c>
      <c r="B8940">
        <f>A8940+1</f>
        <v>1824</v>
      </c>
      <c r="C8940" t="s">
        <v>529</v>
      </c>
      <c r="D8940" t="s">
        <v>27</v>
      </c>
      <c r="E8940" s="208" t="s">
        <v>148</v>
      </c>
      <c r="F8940" t="s">
        <v>14</v>
      </c>
      <c r="G8940" s="18">
        <v>2345</v>
      </c>
      <c r="H8940" t="s">
        <v>17</v>
      </c>
      <c r="I8940" s="151" t="s">
        <v>562</v>
      </c>
    </row>
    <row r="8941" spans="1:9" x14ac:dyDescent="0.25">
      <c r="A8941">
        <v>1823</v>
      </c>
      <c r="B8941">
        <f>A8941+1</f>
        <v>1824</v>
      </c>
      <c r="C8941" t="s">
        <v>529</v>
      </c>
      <c r="D8941" t="s">
        <v>27</v>
      </c>
      <c r="E8941" s="208" t="s">
        <v>147</v>
      </c>
      <c r="F8941" t="s">
        <v>14</v>
      </c>
      <c r="G8941" s="18">
        <v>0</v>
      </c>
      <c r="H8941" t="s">
        <v>17</v>
      </c>
      <c r="I8941" s="151" t="s">
        <v>562</v>
      </c>
    </row>
    <row r="8942" spans="1:9" x14ac:dyDescent="0.25">
      <c r="A8942">
        <v>1823</v>
      </c>
      <c r="B8942">
        <f>A8942+1</f>
        <v>1824</v>
      </c>
      <c r="C8942" t="s">
        <v>529</v>
      </c>
      <c r="D8942" t="s">
        <v>27</v>
      </c>
      <c r="E8942" s="208" t="s">
        <v>314</v>
      </c>
      <c r="F8942" t="s">
        <v>14</v>
      </c>
      <c r="G8942" s="18">
        <v>3</v>
      </c>
      <c r="H8942" t="s">
        <v>17</v>
      </c>
      <c r="I8942" s="151" t="s">
        <v>562</v>
      </c>
    </row>
    <row r="8943" spans="1:9" x14ac:dyDescent="0.25">
      <c r="A8943">
        <v>1823</v>
      </c>
      <c r="B8943">
        <f>A8943+1</f>
        <v>1824</v>
      </c>
      <c r="C8943" t="s">
        <v>529</v>
      </c>
      <c r="D8943" t="s">
        <v>27</v>
      </c>
      <c r="E8943" s="208" t="s">
        <v>139</v>
      </c>
      <c r="F8943" t="s">
        <v>14</v>
      </c>
      <c r="G8943" s="18">
        <v>711</v>
      </c>
      <c r="H8943" t="s">
        <v>17</v>
      </c>
      <c r="I8943" s="151" t="s">
        <v>562</v>
      </c>
    </row>
    <row r="8944" spans="1:9" x14ac:dyDescent="0.25">
      <c r="A8944">
        <v>1823</v>
      </c>
      <c r="B8944">
        <f>A8944+1</f>
        <v>1824</v>
      </c>
      <c r="C8944" t="s">
        <v>529</v>
      </c>
      <c r="D8944" t="s">
        <v>27</v>
      </c>
      <c r="E8944" s="208" t="s">
        <v>132</v>
      </c>
      <c r="F8944" t="s">
        <v>14</v>
      </c>
      <c r="G8944" s="18">
        <v>1988</v>
      </c>
      <c r="H8944" t="s">
        <v>17</v>
      </c>
      <c r="I8944" s="151" t="s">
        <v>562</v>
      </c>
    </row>
    <row r="8945" spans="1:9" x14ac:dyDescent="0.25">
      <c r="A8945">
        <v>1823</v>
      </c>
      <c r="B8945">
        <f>A8945+1</f>
        <v>1824</v>
      </c>
      <c r="C8945" t="s">
        <v>529</v>
      </c>
      <c r="D8945" t="s">
        <v>27</v>
      </c>
      <c r="E8945" s="208" t="s">
        <v>130</v>
      </c>
      <c r="F8945" t="s">
        <v>14</v>
      </c>
      <c r="G8945" s="18">
        <v>45</v>
      </c>
      <c r="H8945" t="s">
        <v>17</v>
      </c>
      <c r="I8945" s="151" t="s">
        <v>562</v>
      </c>
    </row>
    <row r="8946" spans="1:9" x14ac:dyDescent="0.25">
      <c r="A8946">
        <v>1823</v>
      </c>
      <c r="B8946">
        <f>A8946+1</f>
        <v>1824</v>
      </c>
      <c r="C8946" t="s">
        <v>529</v>
      </c>
      <c r="D8946" t="s">
        <v>27</v>
      </c>
      <c r="E8946" s="208" t="s">
        <v>144</v>
      </c>
      <c r="F8946" t="s">
        <v>14</v>
      </c>
      <c r="G8946" s="18">
        <v>201</v>
      </c>
      <c r="H8946" t="s">
        <v>17</v>
      </c>
      <c r="I8946" s="151" t="s">
        <v>562</v>
      </c>
    </row>
    <row r="8947" spans="1:9" x14ac:dyDescent="0.25">
      <c r="A8947">
        <v>1823</v>
      </c>
      <c r="B8947">
        <f>A8947+1</f>
        <v>1824</v>
      </c>
      <c r="C8947" t="s">
        <v>529</v>
      </c>
      <c r="D8947" t="s">
        <v>27</v>
      </c>
      <c r="E8947" s="208" t="s">
        <v>142</v>
      </c>
      <c r="F8947" t="s">
        <v>14</v>
      </c>
      <c r="G8947" s="18">
        <v>28571</v>
      </c>
      <c r="H8947" t="s">
        <v>17</v>
      </c>
      <c r="I8947" s="151" t="s">
        <v>562</v>
      </c>
    </row>
    <row r="8948" spans="1:9" x14ac:dyDescent="0.25">
      <c r="A8948">
        <v>1823</v>
      </c>
      <c r="B8948">
        <f>A8948+1</f>
        <v>1824</v>
      </c>
      <c r="C8948" t="s">
        <v>529</v>
      </c>
      <c r="D8948" t="s">
        <v>27</v>
      </c>
      <c r="E8948" s="208" t="s">
        <v>124</v>
      </c>
      <c r="F8948" t="s">
        <v>14</v>
      </c>
      <c r="G8948" s="18">
        <v>14098352</v>
      </c>
      <c r="H8948" t="s">
        <v>17</v>
      </c>
      <c r="I8948" s="151" t="s">
        <v>562</v>
      </c>
    </row>
    <row r="8949" spans="1:9" x14ac:dyDescent="0.25">
      <c r="A8949">
        <v>1823</v>
      </c>
      <c r="B8949">
        <f>A8949+1</f>
        <v>1824</v>
      </c>
      <c r="C8949" t="s">
        <v>529</v>
      </c>
      <c r="D8949" t="s">
        <v>26</v>
      </c>
      <c r="E8949" s="208" t="s">
        <v>62</v>
      </c>
      <c r="F8949" t="s">
        <v>14</v>
      </c>
      <c r="G8949" s="18">
        <v>8660</v>
      </c>
      <c r="H8949" s="151" t="s">
        <v>563</v>
      </c>
      <c r="I8949" t="s">
        <v>17</v>
      </c>
    </row>
    <row r="8950" spans="1:9" x14ac:dyDescent="0.25">
      <c r="A8950">
        <v>1823</v>
      </c>
      <c r="B8950">
        <f>A8950+1</f>
        <v>1824</v>
      </c>
      <c r="C8950" t="s">
        <v>529</v>
      </c>
      <c r="D8950" t="s">
        <v>26</v>
      </c>
      <c r="E8950" s="208" t="s">
        <v>36</v>
      </c>
      <c r="F8950" t="s">
        <v>14</v>
      </c>
      <c r="G8950" s="18">
        <v>958</v>
      </c>
      <c r="H8950" s="151" t="s">
        <v>563</v>
      </c>
      <c r="I8950" t="s">
        <v>17</v>
      </c>
    </row>
    <row r="8951" spans="1:9" x14ac:dyDescent="0.25">
      <c r="A8951">
        <v>1823</v>
      </c>
      <c r="B8951">
        <f>A8951+1</f>
        <v>1824</v>
      </c>
      <c r="C8951" t="s">
        <v>529</v>
      </c>
      <c r="D8951" t="s">
        <v>26</v>
      </c>
      <c r="E8951" s="208" t="s">
        <v>35</v>
      </c>
      <c r="F8951" t="s">
        <v>14</v>
      </c>
      <c r="G8951" s="18">
        <v>550</v>
      </c>
      <c r="H8951" s="151" t="s">
        <v>563</v>
      </c>
      <c r="I8951" t="s">
        <v>17</v>
      </c>
    </row>
    <row r="8952" spans="1:9" x14ac:dyDescent="0.25">
      <c r="A8952">
        <v>1823</v>
      </c>
      <c r="B8952">
        <f>A8952+1</f>
        <v>1824</v>
      </c>
      <c r="C8952" t="s">
        <v>529</v>
      </c>
      <c r="D8952" t="s">
        <v>26</v>
      </c>
      <c r="E8952" s="208" t="s">
        <v>39</v>
      </c>
      <c r="F8952" t="s">
        <v>14</v>
      </c>
      <c r="G8952" s="18">
        <v>620</v>
      </c>
      <c r="H8952" s="151" t="s">
        <v>563</v>
      </c>
      <c r="I8952" t="s">
        <v>17</v>
      </c>
    </row>
    <row r="8953" spans="1:9" x14ac:dyDescent="0.25">
      <c r="A8953">
        <v>1823</v>
      </c>
      <c r="B8953">
        <f>A8953+1</f>
        <v>1824</v>
      </c>
      <c r="C8953" t="s">
        <v>529</v>
      </c>
      <c r="D8953" t="s">
        <v>26</v>
      </c>
      <c r="E8953" s="208" t="s">
        <v>99</v>
      </c>
      <c r="F8953" t="s">
        <v>14</v>
      </c>
      <c r="G8953" s="18">
        <v>839</v>
      </c>
      <c r="H8953" s="151" t="s">
        <v>563</v>
      </c>
      <c r="I8953" t="s">
        <v>17</v>
      </c>
    </row>
    <row r="8954" spans="1:9" x14ac:dyDescent="0.25">
      <c r="A8954">
        <v>1823</v>
      </c>
      <c r="B8954">
        <f>A8954+1</f>
        <v>1824</v>
      </c>
      <c r="C8954" t="s">
        <v>529</v>
      </c>
      <c r="D8954" t="s">
        <v>26</v>
      </c>
      <c r="E8954" s="208" t="s">
        <v>95</v>
      </c>
      <c r="F8954" t="s">
        <v>14</v>
      </c>
      <c r="G8954" s="18">
        <v>10</v>
      </c>
      <c r="H8954" s="151" t="s">
        <v>563</v>
      </c>
      <c r="I8954" t="s">
        <v>17</v>
      </c>
    </row>
    <row r="8955" spans="1:9" x14ac:dyDescent="0.25">
      <c r="A8955">
        <v>1823</v>
      </c>
      <c r="B8955">
        <f>A8955+1</f>
        <v>1824</v>
      </c>
      <c r="C8955" t="s">
        <v>529</v>
      </c>
      <c r="D8955" t="s">
        <v>26</v>
      </c>
      <c r="E8955" s="208" t="s">
        <v>94</v>
      </c>
      <c r="F8955" t="s">
        <v>14</v>
      </c>
      <c r="G8955" s="18">
        <v>142</v>
      </c>
      <c r="H8955" s="151" t="s">
        <v>563</v>
      </c>
      <c r="I8955" t="s">
        <v>17</v>
      </c>
    </row>
    <row r="8956" spans="1:9" x14ac:dyDescent="0.25">
      <c r="A8956">
        <v>1823</v>
      </c>
      <c r="B8956">
        <f>A8956+1</f>
        <v>1824</v>
      </c>
      <c r="C8956" t="s">
        <v>529</v>
      </c>
      <c r="D8956" t="s">
        <v>26</v>
      </c>
      <c r="E8956" s="208" t="s">
        <v>386</v>
      </c>
      <c r="F8956" t="s">
        <v>14</v>
      </c>
      <c r="G8956" s="18">
        <v>12908</v>
      </c>
      <c r="H8956" s="151" t="s">
        <v>563</v>
      </c>
      <c r="I8956" t="s">
        <v>17</v>
      </c>
    </row>
    <row r="8957" spans="1:9" x14ac:dyDescent="0.25">
      <c r="A8957">
        <v>1823</v>
      </c>
      <c r="B8957">
        <f>A8957+1</f>
        <v>1824</v>
      </c>
      <c r="C8957" t="s">
        <v>529</v>
      </c>
      <c r="D8957" t="s">
        <v>26</v>
      </c>
      <c r="E8957" s="208" t="s">
        <v>388</v>
      </c>
      <c r="F8957" t="s">
        <v>14</v>
      </c>
      <c r="G8957" s="18">
        <v>3809</v>
      </c>
      <c r="H8957" s="151" t="s">
        <v>563</v>
      </c>
      <c r="I8957" t="s">
        <v>17</v>
      </c>
    </row>
    <row r="8958" spans="1:9" x14ac:dyDescent="0.25">
      <c r="A8958">
        <v>1823</v>
      </c>
      <c r="B8958">
        <f>A8958+1</f>
        <v>1824</v>
      </c>
      <c r="C8958" t="s">
        <v>529</v>
      </c>
      <c r="D8958" t="s">
        <v>26</v>
      </c>
      <c r="E8958" s="208" t="s">
        <v>383</v>
      </c>
      <c r="F8958" t="s">
        <v>14</v>
      </c>
      <c r="G8958" s="18">
        <v>17</v>
      </c>
      <c r="H8958" s="151" t="s">
        <v>563</v>
      </c>
      <c r="I8958" t="s">
        <v>17</v>
      </c>
    </row>
    <row r="8959" spans="1:9" x14ac:dyDescent="0.25">
      <c r="A8959">
        <v>1823</v>
      </c>
      <c r="B8959">
        <f>A8959+1</f>
        <v>1824</v>
      </c>
      <c r="C8959" t="s">
        <v>529</v>
      </c>
      <c r="D8959" t="s">
        <v>26</v>
      </c>
      <c r="E8959" s="208" t="s">
        <v>384</v>
      </c>
      <c r="F8959" t="s">
        <v>14</v>
      </c>
      <c r="G8959" s="18">
        <v>1086</v>
      </c>
      <c r="H8959" s="151" t="s">
        <v>563</v>
      </c>
      <c r="I8959" t="s">
        <v>17</v>
      </c>
    </row>
    <row r="8960" spans="1:9" x14ac:dyDescent="0.25">
      <c r="A8960">
        <v>1823</v>
      </c>
      <c r="B8960">
        <f>A8960+1</f>
        <v>1824</v>
      </c>
      <c r="C8960" t="s">
        <v>529</v>
      </c>
      <c r="D8960" t="s">
        <v>26</v>
      </c>
      <c r="E8960" s="208" t="s">
        <v>107</v>
      </c>
      <c r="F8960" t="s">
        <v>14</v>
      </c>
      <c r="G8960" s="18">
        <v>3871538</v>
      </c>
      <c r="H8960" s="151" t="s">
        <v>563</v>
      </c>
      <c r="I8960" t="s">
        <v>17</v>
      </c>
    </row>
    <row r="8961" spans="1:9" x14ac:dyDescent="0.25">
      <c r="A8961">
        <v>1823</v>
      </c>
      <c r="B8961">
        <f>A8961+1</f>
        <v>1824</v>
      </c>
      <c r="C8961" t="s">
        <v>529</v>
      </c>
      <c r="D8961" t="s">
        <v>26</v>
      </c>
      <c r="E8961" s="208" t="s">
        <v>101</v>
      </c>
      <c r="F8961" t="s">
        <v>14</v>
      </c>
      <c r="G8961" s="18">
        <v>4204810</v>
      </c>
      <c r="H8961" s="151" t="s">
        <v>563</v>
      </c>
      <c r="I8961" t="s">
        <v>17</v>
      </c>
    </row>
    <row r="8962" spans="1:9" x14ac:dyDescent="0.25">
      <c r="A8962">
        <v>1823</v>
      </c>
      <c r="B8962">
        <f>A8962+1</f>
        <v>1824</v>
      </c>
      <c r="C8962" t="s">
        <v>529</v>
      </c>
      <c r="D8962" t="s">
        <v>26</v>
      </c>
      <c r="E8962" s="208" t="s">
        <v>75</v>
      </c>
      <c r="F8962" t="s">
        <v>14</v>
      </c>
      <c r="G8962" s="18">
        <v>4124462</v>
      </c>
      <c r="H8962" s="151" t="s">
        <v>563</v>
      </c>
      <c r="I8962" t="s">
        <v>17</v>
      </c>
    </row>
    <row r="8963" spans="1:9" x14ac:dyDescent="0.25">
      <c r="A8963">
        <v>1823</v>
      </c>
      <c r="B8963">
        <f>A8963+1</f>
        <v>1824</v>
      </c>
      <c r="C8963" t="s">
        <v>529</v>
      </c>
      <c r="D8963" t="s">
        <v>26</v>
      </c>
      <c r="E8963" s="208" t="s">
        <v>330</v>
      </c>
      <c r="F8963" t="s">
        <v>14</v>
      </c>
      <c r="G8963" s="18">
        <v>150</v>
      </c>
      <c r="H8963" s="151" t="s">
        <v>563</v>
      </c>
      <c r="I8963" t="s">
        <v>17</v>
      </c>
    </row>
    <row r="8964" spans="1:9" x14ac:dyDescent="0.25">
      <c r="A8964">
        <v>1823</v>
      </c>
      <c r="B8964">
        <f>A8964+1</f>
        <v>1824</v>
      </c>
      <c r="C8964" t="s">
        <v>529</v>
      </c>
      <c r="D8964" t="s">
        <v>26</v>
      </c>
      <c r="E8964" s="208" t="s">
        <v>331</v>
      </c>
      <c r="F8964" t="s">
        <v>14</v>
      </c>
      <c r="G8964" s="18">
        <v>0</v>
      </c>
      <c r="H8964" s="151" t="s">
        <v>563</v>
      </c>
      <c r="I8964" t="s">
        <v>17</v>
      </c>
    </row>
    <row r="8965" spans="1:9" x14ac:dyDescent="0.25">
      <c r="A8965">
        <v>1823</v>
      </c>
      <c r="B8965">
        <f>A8965+1</f>
        <v>1824</v>
      </c>
      <c r="C8965" t="s">
        <v>529</v>
      </c>
      <c r="D8965" t="s">
        <v>26</v>
      </c>
      <c r="E8965" s="208" t="s">
        <v>332</v>
      </c>
      <c r="F8965" t="s">
        <v>14</v>
      </c>
      <c r="G8965" s="18">
        <v>0</v>
      </c>
      <c r="H8965" s="151" t="s">
        <v>563</v>
      </c>
      <c r="I8965" t="s">
        <v>17</v>
      </c>
    </row>
    <row r="8966" spans="1:9" x14ac:dyDescent="0.25">
      <c r="A8966">
        <v>1823</v>
      </c>
      <c r="B8966">
        <f>A8966+1</f>
        <v>1824</v>
      </c>
      <c r="C8966" t="s">
        <v>529</v>
      </c>
      <c r="D8966" t="s">
        <v>26</v>
      </c>
      <c r="E8966" s="208" t="s">
        <v>333</v>
      </c>
      <c r="F8966" t="s">
        <v>14</v>
      </c>
      <c r="G8966" s="18">
        <v>0</v>
      </c>
      <c r="H8966" s="151" t="s">
        <v>563</v>
      </c>
      <c r="I8966" t="s">
        <v>17</v>
      </c>
    </row>
    <row r="8967" spans="1:9" x14ac:dyDescent="0.25">
      <c r="A8967">
        <v>1823</v>
      </c>
      <c r="B8967">
        <f>A8967+1</f>
        <v>1824</v>
      </c>
      <c r="C8967" t="s">
        <v>529</v>
      </c>
      <c r="D8967" t="s">
        <v>27</v>
      </c>
      <c r="E8967" s="208" t="s">
        <v>155</v>
      </c>
      <c r="F8967" t="s">
        <v>15</v>
      </c>
      <c r="G8967" s="18">
        <v>99225</v>
      </c>
      <c r="H8967" t="s">
        <v>561</v>
      </c>
      <c r="I8967" s="151" t="s">
        <v>562</v>
      </c>
    </row>
    <row r="8968" spans="1:9" x14ac:dyDescent="0.25">
      <c r="A8968">
        <v>1823</v>
      </c>
      <c r="B8968">
        <f>A8968+1</f>
        <v>1824</v>
      </c>
      <c r="C8968" t="s">
        <v>529</v>
      </c>
      <c r="D8968" t="s">
        <v>27</v>
      </c>
      <c r="E8968" s="208" t="s">
        <v>156</v>
      </c>
      <c r="F8968" t="s">
        <v>15</v>
      </c>
      <c r="G8968" s="18">
        <v>9651</v>
      </c>
      <c r="H8968" t="s">
        <v>561</v>
      </c>
      <c r="I8968" s="151" t="s">
        <v>562</v>
      </c>
    </row>
    <row r="8969" spans="1:9" x14ac:dyDescent="0.25">
      <c r="A8969">
        <v>1823</v>
      </c>
      <c r="B8969">
        <f>A8969+1</f>
        <v>1824</v>
      </c>
      <c r="C8969" t="s">
        <v>529</v>
      </c>
      <c r="D8969" t="s">
        <v>27</v>
      </c>
      <c r="E8969" s="208" t="s">
        <v>154</v>
      </c>
      <c r="F8969" t="s">
        <v>15</v>
      </c>
      <c r="G8969" s="18">
        <v>2791</v>
      </c>
      <c r="H8969" t="s">
        <v>561</v>
      </c>
      <c r="I8969" s="151" t="s">
        <v>562</v>
      </c>
    </row>
    <row r="8970" spans="1:9" x14ac:dyDescent="0.25">
      <c r="A8970">
        <v>1823</v>
      </c>
      <c r="B8970">
        <f>A8970+1</f>
        <v>1824</v>
      </c>
      <c r="C8970" t="s">
        <v>529</v>
      </c>
      <c r="D8970" t="s">
        <v>27</v>
      </c>
      <c r="E8970" s="208" t="s">
        <v>150</v>
      </c>
      <c r="F8970" t="s">
        <v>15</v>
      </c>
      <c r="G8970" s="18">
        <v>37121</v>
      </c>
      <c r="H8970" t="s">
        <v>561</v>
      </c>
      <c r="I8970" s="151" t="s">
        <v>562</v>
      </c>
    </row>
    <row r="8971" spans="1:9" x14ac:dyDescent="0.25">
      <c r="A8971">
        <v>1823</v>
      </c>
      <c r="B8971">
        <f>A8971+1</f>
        <v>1824</v>
      </c>
      <c r="C8971" t="s">
        <v>529</v>
      </c>
      <c r="D8971" t="s">
        <v>27</v>
      </c>
      <c r="E8971" s="208" t="s">
        <v>148</v>
      </c>
      <c r="F8971" t="s">
        <v>15</v>
      </c>
      <c r="G8971" s="18">
        <v>3261</v>
      </c>
      <c r="H8971" t="s">
        <v>561</v>
      </c>
      <c r="I8971" s="151" t="s">
        <v>562</v>
      </c>
    </row>
    <row r="8972" spans="1:9" x14ac:dyDescent="0.25">
      <c r="A8972">
        <v>1823</v>
      </c>
      <c r="B8972">
        <f>A8972+1</f>
        <v>1824</v>
      </c>
      <c r="C8972" t="s">
        <v>529</v>
      </c>
      <c r="D8972" t="s">
        <v>27</v>
      </c>
      <c r="E8972" s="208" t="s">
        <v>147</v>
      </c>
      <c r="F8972" t="s">
        <v>15</v>
      </c>
      <c r="G8972" s="18">
        <v>5</v>
      </c>
      <c r="H8972" t="s">
        <v>561</v>
      </c>
      <c r="I8972" s="151" t="s">
        <v>562</v>
      </c>
    </row>
    <row r="8973" spans="1:9" x14ac:dyDescent="0.25">
      <c r="A8973">
        <v>1823</v>
      </c>
      <c r="B8973">
        <f>A8973+1</f>
        <v>1824</v>
      </c>
      <c r="C8973" t="s">
        <v>529</v>
      </c>
      <c r="D8973" t="s">
        <v>27</v>
      </c>
      <c r="E8973" s="208" t="s">
        <v>314</v>
      </c>
      <c r="F8973" t="s">
        <v>15</v>
      </c>
      <c r="G8973" s="18">
        <v>64</v>
      </c>
      <c r="H8973" t="s">
        <v>561</v>
      </c>
      <c r="I8973" s="151" t="s">
        <v>562</v>
      </c>
    </row>
    <row r="8974" spans="1:9" x14ac:dyDescent="0.25">
      <c r="A8974">
        <v>1823</v>
      </c>
      <c r="B8974">
        <f>A8974+1</f>
        <v>1824</v>
      </c>
      <c r="C8974" t="s">
        <v>529</v>
      </c>
      <c r="D8974" t="s">
        <v>27</v>
      </c>
      <c r="E8974" s="208" t="s">
        <v>139</v>
      </c>
      <c r="F8974" t="s">
        <v>15</v>
      </c>
      <c r="G8974" s="18">
        <v>910</v>
      </c>
      <c r="H8974" t="s">
        <v>561</v>
      </c>
      <c r="I8974" s="151" t="s">
        <v>562</v>
      </c>
    </row>
    <row r="8975" spans="1:9" x14ac:dyDescent="0.25">
      <c r="A8975">
        <v>1823</v>
      </c>
      <c r="B8975">
        <f>A8975+1</f>
        <v>1824</v>
      </c>
      <c r="C8975" t="s">
        <v>529</v>
      </c>
      <c r="D8975" t="s">
        <v>27</v>
      </c>
      <c r="E8975" s="208" t="s">
        <v>132</v>
      </c>
      <c r="F8975" t="s">
        <v>15</v>
      </c>
      <c r="G8975" s="18">
        <v>2230</v>
      </c>
      <c r="H8975" t="s">
        <v>561</v>
      </c>
      <c r="I8975" s="151" t="s">
        <v>562</v>
      </c>
    </row>
    <row r="8976" spans="1:9" x14ac:dyDescent="0.25">
      <c r="A8976">
        <v>1823</v>
      </c>
      <c r="B8976">
        <f>A8976+1</f>
        <v>1824</v>
      </c>
      <c r="C8976" t="s">
        <v>529</v>
      </c>
      <c r="D8976" t="s">
        <v>27</v>
      </c>
      <c r="E8976" s="208" t="s">
        <v>130</v>
      </c>
      <c r="F8976" t="s">
        <v>15</v>
      </c>
      <c r="G8976" s="18">
        <v>52</v>
      </c>
      <c r="H8976" t="s">
        <v>561</v>
      </c>
      <c r="I8976" s="151" t="s">
        <v>562</v>
      </c>
    </row>
    <row r="8977" spans="1:9" x14ac:dyDescent="0.25">
      <c r="A8977">
        <v>1823</v>
      </c>
      <c r="B8977">
        <f>A8977+1</f>
        <v>1824</v>
      </c>
      <c r="C8977" t="s">
        <v>529</v>
      </c>
      <c r="D8977" t="s">
        <v>27</v>
      </c>
      <c r="E8977" s="208" t="s">
        <v>144</v>
      </c>
      <c r="F8977" t="s">
        <v>15</v>
      </c>
      <c r="G8977" s="18">
        <v>599</v>
      </c>
      <c r="H8977" t="s">
        <v>561</v>
      </c>
      <c r="I8977" s="151" t="s">
        <v>562</v>
      </c>
    </row>
    <row r="8978" spans="1:9" x14ac:dyDescent="0.25">
      <c r="A8978">
        <v>1823</v>
      </c>
      <c r="B8978">
        <f>A8978+1</f>
        <v>1824</v>
      </c>
      <c r="C8978" t="s">
        <v>529</v>
      </c>
      <c r="D8978" t="s">
        <v>27</v>
      </c>
      <c r="E8978" s="208" t="s">
        <v>142</v>
      </c>
      <c r="F8978" t="s">
        <v>15</v>
      </c>
      <c r="G8978" s="18">
        <v>33306</v>
      </c>
      <c r="H8978" t="s">
        <v>561</v>
      </c>
      <c r="I8978" s="151" t="s">
        <v>562</v>
      </c>
    </row>
    <row r="8979" spans="1:9" x14ac:dyDescent="0.25">
      <c r="A8979">
        <v>1823</v>
      </c>
      <c r="B8979">
        <f>A8979+1</f>
        <v>1824</v>
      </c>
      <c r="C8979" t="s">
        <v>529</v>
      </c>
      <c r="D8979" t="s">
        <v>27</v>
      </c>
      <c r="E8979" s="208" t="s">
        <v>124</v>
      </c>
      <c r="F8979" t="s">
        <v>15</v>
      </c>
      <c r="G8979" s="18">
        <v>27677239</v>
      </c>
      <c r="H8979" t="s">
        <v>561</v>
      </c>
      <c r="I8979" s="151" t="s">
        <v>562</v>
      </c>
    </row>
    <row r="8980" spans="1:9" x14ac:dyDescent="0.25">
      <c r="A8980">
        <v>1823</v>
      </c>
      <c r="B8980">
        <f>A8980+1</f>
        <v>1824</v>
      </c>
      <c r="C8980" t="s">
        <v>529</v>
      </c>
      <c r="D8980" t="s">
        <v>26</v>
      </c>
      <c r="E8980" s="208" t="s">
        <v>62</v>
      </c>
      <c r="F8980" t="s">
        <v>15</v>
      </c>
      <c r="G8980" s="18">
        <v>70063</v>
      </c>
      <c r="H8980" s="151" t="s">
        <v>563</v>
      </c>
      <c r="I8980" t="s">
        <v>561</v>
      </c>
    </row>
    <row r="8981" spans="1:9" x14ac:dyDescent="0.25">
      <c r="A8981">
        <v>1823</v>
      </c>
      <c r="B8981">
        <f>A8981+1</f>
        <v>1824</v>
      </c>
      <c r="C8981" t="s">
        <v>529</v>
      </c>
      <c r="D8981" t="s">
        <v>26</v>
      </c>
      <c r="E8981" s="208" t="s">
        <v>36</v>
      </c>
      <c r="F8981" t="s">
        <v>15</v>
      </c>
      <c r="G8981" s="18">
        <v>4382</v>
      </c>
      <c r="H8981" s="151" t="s">
        <v>563</v>
      </c>
      <c r="I8981" t="s">
        <v>561</v>
      </c>
    </row>
    <row r="8982" spans="1:9" x14ac:dyDescent="0.25">
      <c r="A8982">
        <v>1823</v>
      </c>
      <c r="B8982">
        <f>A8982+1</f>
        <v>1824</v>
      </c>
      <c r="C8982" t="s">
        <v>529</v>
      </c>
      <c r="D8982" t="s">
        <v>26</v>
      </c>
      <c r="E8982" s="208" t="s">
        <v>35</v>
      </c>
      <c r="F8982" t="s">
        <v>15</v>
      </c>
      <c r="G8982" s="18">
        <v>5342</v>
      </c>
      <c r="H8982" s="151" t="s">
        <v>563</v>
      </c>
      <c r="I8982" t="s">
        <v>561</v>
      </c>
    </row>
    <row r="8983" spans="1:9" x14ac:dyDescent="0.25">
      <c r="A8983">
        <v>1823</v>
      </c>
      <c r="B8983">
        <f>A8983+1</f>
        <v>1824</v>
      </c>
      <c r="C8983" t="s">
        <v>529</v>
      </c>
      <c r="D8983" t="s">
        <v>26</v>
      </c>
      <c r="E8983" s="208" t="s">
        <v>39</v>
      </c>
      <c r="F8983" t="s">
        <v>15</v>
      </c>
      <c r="G8983" s="18">
        <v>1971</v>
      </c>
      <c r="H8983" s="151" t="s">
        <v>563</v>
      </c>
      <c r="I8983" t="s">
        <v>561</v>
      </c>
    </row>
    <row r="8984" spans="1:9" x14ac:dyDescent="0.25">
      <c r="A8984">
        <v>1823</v>
      </c>
      <c r="B8984">
        <f>A8984+1</f>
        <v>1824</v>
      </c>
      <c r="C8984" t="s">
        <v>529</v>
      </c>
      <c r="D8984" t="s">
        <v>26</v>
      </c>
      <c r="E8984" s="208" t="s">
        <v>99</v>
      </c>
      <c r="F8984" t="s">
        <v>15</v>
      </c>
      <c r="G8984" s="18">
        <v>3559</v>
      </c>
      <c r="H8984" s="151" t="s">
        <v>563</v>
      </c>
      <c r="I8984" t="s">
        <v>561</v>
      </c>
    </row>
    <row r="8985" spans="1:9" x14ac:dyDescent="0.25">
      <c r="A8985">
        <v>1823</v>
      </c>
      <c r="B8985">
        <f>A8985+1</f>
        <v>1824</v>
      </c>
      <c r="C8985" t="s">
        <v>529</v>
      </c>
      <c r="D8985" t="s">
        <v>26</v>
      </c>
      <c r="E8985" s="208" t="s">
        <v>95</v>
      </c>
      <c r="F8985" t="s">
        <v>15</v>
      </c>
      <c r="G8985" s="18">
        <v>10</v>
      </c>
      <c r="H8985" s="151" t="s">
        <v>563</v>
      </c>
      <c r="I8985" t="s">
        <v>561</v>
      </c>
    </row>
    <row r="8986" spans="1:9" x14ac:dyDescent="0.25">
      <c r="A8986">
        <v>1823</v>
      </c>
      <c r="B8986">
        <f>A8986+1</f>
        <v>1824</v>
      </c>
      <c r="C8986" t="s">
        <v>529</v>
      </c>
      <c r="D8986" t="s">
        <v>26</v>
      </c>
      <c r="E8986" s="208" t="s">
        <v>94</v>
      </c>
      <c r="F8986" t="s">
        <v>15</v>
      </c>
      <c r="G8986" s="18">
        <v>4628</v>
      </c>
      <c r="H8986" s="151" t="s">
        <v>563</v>
      </c>
      <c r="I8986" t="s">
        <v>561</v>
      </c>
    </row>
    <row r="8987" spans="1:9" x14ac:dyDescent="0.25">
      <c r="A8987">
        <v>1823</v>
      </c>
      <c r="B8987">
        <f>A8987+1</f>
        <v>1824</v>
      </c>
      <c r="C8987" t="s">
        <v>529</v>
      </c>
      <c r="D8987" t="s">
        <v>26</v>
      </c>
      <c r="E8987" s="208" t="s">
        <v>386</v>
      </c>
      <c r="F8987" t="s">
        <v>15</v>
      </c>
      <c r="G8987" s="18">
        <v>54248</v>
      </c>
      <c r="H8987" s="151" t="s">
        <v>563</v>
      </c>
      <c r="I8987" t="s">
        <v>561</v>
      </c>
    </row>
    <row r="8988" spans="1:9" x14ac:dyDescent="0.25">
      <c r="A8988">
        <v>1823</v>
      </c>
      <c r="B8988">
        <f>A8988+1</f>
        <v>1824</v>
      </c>
      <c r="C8988" t="s">
        <v>529</v>
      </c>
      <c r="D8988" t="s">
        <v>26</v>
      </c>
      <c r="E8988" s="208" t="s">
        <v>388</v>
      </c>
      <c r="F8988" t="s">
        <v>15</v>
      </c>
      <c r="G8988" s="18">
        <v>16994</v>
      </c>
      <c r="H8988" s="151" t="s">
        <v>563</v>
      </c>
      <c r="I8988" t="s">
        <v>561</v>
      </c>
    </row>
    <row r="8989" spans="1:9" x14ac:dyDescent="0.25">
      <c r="A8989">
        <v>1823</v>
      </c>
      <c r="B8989">
        <f>A8989+1</f>
        <v>1824</v>
      </c>
      <c r="C8989" t="s">
        <v>529</v>
      </c>
      <c r="D8989" t="s">
        <v>26</v>
      </c>
      <c r="E8989" s="208" t="s">
        <v>383</v>
      </c>
      <c r="F8989" t="s">
        <v>15</v>
      </c>
      <c r="G8989" s="18">
        <v>834</v>
      </c>
      <c r="H8989" s="151" t="s">
        <v>563</v>
      </c>
      <c r="I8989" t="s">
        <v>561</v>
      </c>
    </row>
    <row r="8990" spans="1:9" x14ac:dyDescent="0.25">
      <c r="A8990">
        <v>1823</v>
      </c>
      <c r="B8990">
        <f>A8990+1</f>
        <v>1824</v>
      </c>
      <c r="C8990" t="s">
        <v>529</v>
      </c>
      <c r="D8990" t="s">
        <v>26</v>
      </c>
      <c r="E8990" s="208" t="s">
        <v>384</v>
      </c>
      <c r="F8990" t="s">
        <v>15</v>
      </c>
      <c r="G8990" s="18">
        <v>2822</v>
      </c>
      <c r="H8990" s="151" t="s">
        <v>563</v>
      </c>
      <c r="I8990" t="s">
        <v>561</v>
      </c>
    </row>
    <row r="8991" spans="1:9" x14ac:dyDescent="0.25">
      <c r="A8991">
        <v>1823</v>
      </c>
      <c r="B8991">
        <f>A8991+1</f>
        <v>1824</v>
      </c>
      <c r="C8991" t="s">
        <v>529</v>
      </c>
      <c r="D8991" t="s">
        <v>26</v>
      </c>
      <c r="E8991" s="208" t="s">
        <v>107</v>
      </c>
      <c r="F8991" t="s">
        <v>15</v>
      </c>
      <c r="G8991" s="18">
        <v>5926430</v>
      </c>
      <c r="H8991" s="151" t="s">
        <v>563</v>
      </c>
      <c r="I8991" t="s">
        <v>561</v>
      </c>
    </row>
    <row r="8992" spans="1:9" x14ac:dyDescent="0.25">
      <c r="A8992">
        <v>1823</v>
      </c>
      <c r="B8992">
        <f>A8992+1</f>
        <v>1824</v>
      </c>
      <c r="C8992" t="s">
        <v>529</v>
      </c>
      <c r="D8992" t="s">
        <v>26</v>
      </c>
      <c r="E8992" s="208" t="s">
        <v>101</v>
      </c>
      <c r="F8992" t="s">
        <v>15</v>
      </c>
      <c r="G8992" s="18">
        <v>7977680</v>
      </c>
      <c r="H8992" s="151" t="s">
        <v>563</v>
      </c>
      <c r="I8992" t="s">
        <v>561</v>
      </c>
    </row>
    <row r="8993" spans="1:9" x14ac:dyDescent="0.25">
      <c r="A8993">
        <v>1823</v>
      </c>
      <c r="B8993">
        <f>A8993+1</f>
        <v>1824</v>
      </c>
      <c r="C8993" t="s">
        <v>529</v>
      </c>
      <c r="D8993" t="s">
        <v>26</v>
      </c>
      <c r="E8993" s="208" t="s">
        <v>75</v>
      </c>
      <c r="F8993" t="s">
        <v>15</v>
      </c>
      <c r="G8993" s="18">
        <v>7244659</v>
      </c>
      <c r="H8993" s="151" t="s">
        <v>563</v>
      </c>
      <c r="I8993" t="s">
        <v>561</v>
      </c>
    </row>
    <row r="8994" spans="1:9" x14ac:dyDescent="0.25">
      <c r="A8994">
        <v>1823</v>
      </c>
      <c r="B8994">
        <f>A8994+1</f>
        <v>1824</v>
      </c>
      <c r="C8994" t="s">
        <v>529</v>
      </c>
      <c r="D8994" t="s">
        <v>26</v>
      </c>
      <c r="E8994" s="208" t="s">
        <v>330</v>
      </c>
      <c r="F8994" t="s">
        <v>15</v>
      </c>
      <c r="G8994" s="18">
        <v>404</v>
      </c>
      <c r="H8994" s="151" t="s">
        <v>563</v>
      </c>
      <c r="I8994" t="s">
        <v>561</v>
      </c>
    </row>
    <row r="8995" spans="1:9" x14ac:dyDescent="0.25">
      <c r="A8995">
        <v>1823</v>
      </c>
      <c r="B8995">
        <f>A8995+1</f>
        <v>1824</v>
      </c>
      <c r="C8995" t="s">
        <v>529</v>
      </c>
      <c r="D8995" t="s">
        <v>26</v>
      </c>
      <c r="E8995" s="208" t="s">
        <v>331</v>
      </c>
      <c r="F8995" t="s">
        <v>15</v>
      </c>
      <c r="G8995" s="18">
        <v>197</v>
      </c>
      <c r="H8995" s="151" t="s">
        <v>563</v>
      </c>
      <c r="I8995" t="s">
        <v>561</v>
      </c>
    </row>
    <row r="8996" spans="1:9" x14ac:dyDescent="0.25">
      <c r="A8996">
        <v>1823</v>
      </c>
      <c r="B8996">
        <f>A8996+1</f>
        <v>1824</v>
      </c>
      <c r="C8996" t="s">
        <v>529</v>
      </c>
      <c r="D8996" t="s">
        <v>26</v>
      </c>
      <c r="E8996" s="208" t="s">
        <v>332</v>
      </c>
      <c r="F8996" t="s">
        <v>15</v>
      </c>
      <c r="G8996" s="18">
        <v>361</v>
      </c>
      <c r="H8996" s="151" t="s">
        <v>563</v>
      </c>
      <c r="I8996" t="s">
        <v>561</v>
      </c>
    </row>
    <row r="8997" spans="1:9" x14ac:dyDescent="0.25">
      <c r="A8997">
        <v>1823</v>
      </c>
      <c r="B8997">
        <f>A8997+1</f>
        <v>1824</v>
      </c>
      <c r="C8997" t="s">
        <v>529</v>
      </c>
      <c r="D8997" t="s">
        <v>26</v>
      </c>
      <c r="E8997" s="208" t="s">
        <v>333</v>
      </c>
      <c r="F8997" t="s">
        <v>15</v>
      </c>
      <c r="G8997" s="18">
        <v>37</v>
      </c>
      <c r="H8997" s="151" t="s">
        <v>563</v>
      </c>
      <c r="I8997" t="s">
        <v>561</v>
      </c>
    </row>
    <row r="8998" spans="1:9" x14ac:dyDescent="0.25">
      <c r="A8998">
        <v>1823</v>
      </c>
      <c r="B8998">
        <f>A8998+1</f>
        <v>1824</v>
      </c>
      <c r="C8998" t="s">
        <v>529</v>
      </c>
      <c r="D8998" t="s">
        <v>26</v>
      </c>
      <c r="E8998" s="208" t="s">
        <v>568</v>
      </c>
      <c r="F8998" t="s">
        <v>3</v>
      </c>
      <c r="G8998" s="18">
        <v>273</v>
      </c>
      <c r="H8998" t="s">
        <v>24</v>
      </c>
      <c r="I8998" t="s">
        <v>16</v>
      </c>
    </row>
    <row r="8999" spans="1:9" x14ac:dyDescent="0.25">
      <c r="A8999">
        <v>1823</v>
      </c>
      <c r="B8999">
        <f>A8999+1</f>
        <v>1824</v>
      </c>
      <c r="C8999" t="s">
        <v>529</v>
      </c>
      <c r="D8999" t="s">
        <v>26</v>
      </c>
      <c r="E8999" s="208" t="s">
        <v>568</v>
      </c>
      <c r="F8999" t="s">
        <v>6</v>
      </c>
      <c r="G8999" s="18">
        <v>0</v>
      </c>
      <c r="H8999" t="s">
        <v>25</v>
      </c>
      <c r="I8999" t="s">
        <v>16</v>
      </c>
    </row>
    <row r="9000" spans="1:9" x14ac:dyDescent="0.25">
      <c r="A9000">
        <v>1823</v>
      </c>
      <c r="B9000">
        <f>A9000+1</f>
        <v>1824</v>
      </c>
      <c r="C9000" t="s">
        <v>529</v>
      </c>
      <c r="D9000" t="s">
        <v>26</v>
      </c>
      <c r="E9000" s="208" t="s">
        <v>568</v>
      </c>
      <c r="F9000" t="s">
        <v>169</v>
      </c>
      <c r="G9000" s="18">
        <v>0</v>
      </c>
      <c r="H9000" t="s">
        <v>160</v>
      </c>
      <c r="I9000" t="s">
        <v>16</v>
      </c>
    </row>
    <row r="9001" spans="1:9" x14ac:dyDescent="0.25">
      <c r="A9001">
        <v>1823</v>
      </c>
      <c r="B9001">
        <f>A9001+1</f>
        <v>1824</v>
      </c>
      <c r="C9001" t="s">
        <v>529</v>
      </c>
      <c r="D9001" t="s">
        <v>26</v>
      </c>
      <c r="E9001" s="208" t="s">
        <v>568</v>
      </c>
      <c r="F9001" t="s">
        <v>4</v>
      </c>
      <c r="G9001" s="18">
        <v>0</v>
      </c>
      <c r="H9001" t="s">
        <v>23</v>
      </c>
      <c r="I9001" t="s">
        <v>16</v>
      </c>
    </row>
    <row r="9002" spans="1:9" x14ac:dyDescent="0.25">
      <c r="A9002">
        <v>1823</v>
      </c>
      <c r="B9002">
        <f>A9002+1</f>
        <v>1824</v>
      </c>
      <c r="C9002" t="s">
        <v>529</v>
      </c>
      <c r="D9002" t="s">
        <v>26</v>
      </c>
      <c r="E9002" s="208" t="s">
        <v>568</v>
      </c>
      <c r="F9002" t="s">
        <v>7</v>
      </c>
      <c r="G9002" s="18">
        <v>273</v>
      </c>
      <c r="H9002" s="151" t="s">
        <v>563</v>
      </c>
      <c r="I9002" t="s">
        <v>16</v>
      </c>
    </row>
    <row r="9003" spans="1:9" x14ac:dyDescent="0.25">
      <c r="A9003">
        <v>1823</v>
      </c>
      <c r="B9003">
        <f>A9003+1</f>
        <v>1824</v>
      </c>
      <c r="C9003" t="s">
        <v>529</v>
      </c>
      <c r="D9003" t="s">
        <v>26</v>
      </c>
      <c r="E9003" s="208" t="s">
        <v>568</v>
      </c>
      <c r="F9003" t="s">
        <v>10</v>
      </c>
      <c r="G9003" s="18">
        <v>217</v>
      </c>
      <c r="H9003" t="s">
        <v>24</v>
      </c>
      <c r="I9003" t="s">
        <v>17</v>
      </c>
    </row>
    <row r="9004" spans="1:9" x14ac:dyDescent="0.25">
      <c r="A9004">
        <v>1823</v>
      </c>
      <c r="B9004">
        <f>A9004+1</f>
        <v>1824</v>
      </c>
      <c r="C9004" t="s">
        <v>529</v>
      </c>
      <c r="D9004" t="s">
        <v>26</v>
      </c>
      <c r="E9004" s="208" t="s">
        <v>568</v>
      </c>
      <c r="F9004" t="s">
        <v>13</v>
      </c>
      <c r="G9004" s="18">
        <v>0</v>
      </c>
      <c r="H9004" t="s">
        <v>25</v>
      </c>
      <c r="I9004" t="s">
        <v>17</v>
      </c>
    </row>
    <row r="9005" spans="1:9" x14ac:dyDescent="0.25">
      <c r="A9005">
        <v>1823</v>
      </c>
      <c r="B9005">
        <f>A9005+1</f>
        <v>1824</v>
      </c>
      <c r="C9005" t="s">
        <v>529</v>
      </c>
      <c r="D9005" t="s">
        <v>26</v>
      </c>
      <c r="E9005" s="208" t="s">
        <v>568</v>
      </c>
      <c r="F9005" t="s">
        <v>11</v>
      </c>
      <c r="G9005" s="18">
        <v>0</v>
      </c>
      <c r="H9005" t="s">
        <v>23</v>
      </c>
      <c r="I9005" t="s">
        <v>17</v>
      </c>
    </row>
    <row r="9006" spans="1:9" x14ac:dyDescent="0.25">
      <c r="A9006">
        <v>1823</v>
      </c>
      <c r="B9006">
        <f>A9006+1</f>
        <v>1824</v>
      </c>
      <c r="C9006" t="s">
        <v>529</v>
      </c>
      <c r="D9006" t="s">
        <v>26</v>
      </c>
      <c r="E9006" s="208" t="s">
        <v>568</v>
      </c>
      <c r="F9006" t="s">
        <v>14</v>
      </c>
      <c r="G9006" s="18">
        <v>217</v>
      </c>
      <c r="H9006" s="151" t="s">
        <v>563</v>
      </c>
      <c r="I9006" t="s">
        <v>17</v>
      </c>
    </row>
    <row r="9007" spans="1:9" x14ac:dyDescent="0.25">
      <c r="A9007">
        <v>1823</v>
      </c>
      <c r="B9007">
        <f>A9007+1</f>
        <v>1824</v>
      </c>
      <c r="C9007" t="s">
        <v>529</v>
      </c>
      <c r="D9007" t="s">
        <v>26</v>
      </c>
      <c r="E9007" s="208" t="s">
        <v>568</v>
      </c>
      <c r="F9007" t="s">
        <v>15</v>
      </c>
      <c r="G9007" s="18">
        <v>490</v>
      </c>
      <c r="H9007" s="151" t="s">
        <v>563</v>
      </c>
      <c r="I9007" t="s">
        <v>561</v>
      </c>
    </row>
    <row r="9008" spans="1:9" x14ac:dyDescent="0.25">
      <c r="A9008">
        <v>1823</v>
      </c>
      <c r="B9008">
        <f>A9008+1</f>
        <v>1824</v>
      </c>
      <c r="C9008" t="s">
        <v>529</v>
      </c>
      <c r="D9008" t="s">
        <v>26</v>
      </c>
      <c r="E9008" s="208" t="s">
        <v>566</v>
      </c>
      <c r="F9008" t="s">
        <v>3</v>
      </c>
      <c r="G9008" s="18">
        <v>230</v>
      </c>
      <c r="H9008" t="s">
        <v>24</v>
      </c>
      <c r="I9008" t="s">
        <v>16</v>
      </c>
    </row>
    <row r="9009" spans="1:9" x14ac:dyDescent="0.25">
      <c r="A9009">
        <v>1823</v>
      </c>
      <c r="B9009">
        <f>A9009+1</f>
        <v>1824</v>
      </c>
      <c r="C9009" t="s">
        <v>529</v>
      </c>
      <c r="D9009" t="s">
        <v>26</v>
      </c>
      <c r="E9009" s="208" t="s">
        <v>566</v>
      </c>
      <c r="F9009" t="s">
        <v>6</v>
      </c>
      <c r="G9009" s="18">
        <v>0</v>
      </c>
      <c r="H9009" t="s">
        <v>25</v>
      </c>
      <c r="I9009" t="s">
        <v>16</v>
      </c>
    </row>
    <row r="9010" spans="1:9" x14ac:dyDescent="0.25">
      <c r="A9010">
        <v>1823</v>
      </c>
      <c r="B9010">
        <f>A9010+1</f>
        <v>1824</v>
      </c>
      <c r="C9010" t="s">
        <v>529</v>
      </c>
      <c r="D9010" t="s">
        <v>26</v>
      </c>
      <c r="E9010" s="208" t="s">
        <v>566</v>
      </c>
      <c r="F9010" t="s">
        <v>169</v>
      </c>
      <c r="G9010" s="18">
        <v>0</v>
      </c>
      <c r="H9010" t="s">
        <v>160</v>
      </c>
      <c r="I9010" t="s">
        <v>16</v>
      </c>
    </row>
    <row r="9011" spans="1:9" x14ac:dyDescent="0.25">
      <c r="A9011">
        <v>1823</v>
      </c>
      <c r="B9011">
        <f>A9011+1</f>
        <v>1824</v>
      </c>
      <c r="C9011" t="s">
        <v>529</v>
      </c>
      <c r="D9011" t="s">
        <v>26</v>
      </c>
      <c r="E9011" s="208" t="s">
        <v>566</v>
      </c>
      <c r="F9011" t="s">
        <v>4</v>
      </c>
      <c r="G9011" s="18">
        <v>0</v>
      </c>
      <c r="H9011" t="s">
        <v>23</v>
      </c>
      <c r="I9011" t="s">
        <v>16</v>
      </c>
    </row>
    <row r="9012" spans="1:9" x14ac:dyDescent="0.25">
      <c r="A9012">
        <v>1823</v>
      </c>
      <c r="B9012">
        <f>A9012+1</f>
        <v>1824</v>
      </c>
      <c r="C9012" t="s">
        <v>529</v>
      </c>
      <c r="D9012" t="s">
        <v>26</v>
      </c>
      <c r="E9012" s="208" t="s">
        <v>566</v>
      </c>
      <c r="F9012" t="s">
        <v>7</v>
      </c>
      <c r="G9012" s="18">
        <v>230</v>
      </c>
      <c r="H9012" s="151" t="s">
        <v>563</v>
      </c>
      <c r="I9012" t="s">
        <v>16</v>
      </c>
    </row>
    <row r="9013" spans="1:9" x14ac:dyDescent="0.25">
      <c r="A9013">
        <v>1823</v>
      </c>
      <c r="B9013">
        <f>A9013+1</f>
        <v>1824</v>
      </c>
      <c r="C9013" t="s">
        <v>529</v>
      </c>
      <c r="D9013" t="s">
        <v>26</v>
      </c>
      <c r="E9013" s="208" t="s">
        <v>566</v>
      </c>
      <c r="F9013" t="s">
        <v>10</v>
      </c>
      <c r="G9013" s="18">
        <v>294</v>
      </c>
      <c r="H9013" t="s">
        <v>24</v>
      </c>
      <c r="I9013" t="s">
        <v>17</v>
      </c>
    </row>
    <row r="9014" spans="1:9" x14ac:dyDescent="0.25">
      <c r="A9014">
        <v>1823</v>
      </c>
      <c r="B9014">
        <f>A9014+1</f>
        <v>1824</v>
      </c>
      <c r="C9014" t="s">
        <v>529</v>
      </c>
      <c r="D9014" t="s">
        <v>26</v>
      </c>
      <c r="E9014" s="208" t="s">
        <v>566</v>
      </c>
      <c r="F9014" t="s">
        <v>13</v>
      </c>
      <c r="G9014" s="18">
        <v>0</v>
      </c>
      <c r="H9014" t="s">
        <v>25</v>
      </c>
      <c r="I9014" t="s">
        <v>17</v>
      </c>
    </row>
    <row r="9015" spans="1:9" x14ac:dyDescent="0.25">
      <c r="A9015">
        <v>1823</v>
      </c>
      <c r="B9015">
        <f>A9015+1</f>
        <v>1824</v>
      </c>
      <c r="C9015" t="s">
        <v>529</v>
      </c>
      <c r="D9015" t="s">
        <v>26</v>
      </c>
      <c r="E9015" s="208" t="s">
        <v>566</v>
      </c>
      <c r="F9015" t="s">
        <v>164</v>
      </c>
      <c r="G9015" s="18">
        <v>0</v>
      </c>
      <c r="H9015" t="s">
        <v>160</v>
      </c>
      <c r="I9015" t="s">
        <v>17</v>
      </c>
    </row>
    <row r="9016" spans="1:9" x14ac:dyDescent="0.25">
      <c r="A9016">
        <v>1823</v>
      </c>
      <c r="B9016">
        <f>A9016+1</f>
        <v>1824</v>
      </c>
      <c r="C9016" t="s">
        <v>529</v>
      </c>
      <c r="D9016" t="s">
        <v>26</v>
      </c>
      <c r="E9016" s="208" t="s">
        <v>566</v>
      </c>
      <c r="F9016" t="s">
        <v>11</v>
      </c>
      <c r="G9016" s="18">
        <v>0</v>
      </c>
      <c r="H9016" t="s">
        <v>23</v>
      </c>
      <c r="I9016" t="s">
        <v>17</v>
      </c>
    </row>
    <row r="9017" spans="1:9" x14ac:dyDescent="0.25">
      <c r="A9017">
        <v>1823</v>
      </c>
      <c r="B9017">
        <f>A9017+1</f>
        <v>1824</v>
      </c>
      <c r="C9017" t="s">
        <v>529</v>
      </c>
      <c r="D9017" t="s">
        <v>26</v>
      </c>
      <c r="E9017" s="208" t="s">
        <v>566</v>
      </c>
      <c r="F9017" t="s">
        <v>14</v>
      </c>
      <c r="G9017" s="18">
        <v>294</v>
      </c>
      <c r="H9017" s="151" t="s">
        <v>563</v>
      </c>
      <c r="I9017" t="s">
        <v>17</v>
      </c>
    </row>
    <row r="9018" spans="1:9" x14ac:dyDescent="0.25">
      <c r="A9018">
        <v>1823</v>
      </c>
      <c r="B9018">
        <f>A9018+1</f>
        <v>1824</v>
      </c>
      <c r="C9018" t="s">
        <v>529</v>
      </c>
      <c r="D9018" t="s">
        <v>26</v>
      </c>
      <c r="E9018" s="208" t="s">
        <v>566</v>
      </c>
      <c r="F9018" t="s">
        <v>15</v>
      </c>
      <c r="G9018" s="18">
        <v>524</v>
      </c>
      <c r="H9018" s="151" t="s">
        <v>563</v>
      </c>
      <c r="I9018" t="s">
        <v>561</v>
      </c>
    </row>
    <row r="9019" spans="1:9" x14ac:dyDescent="0.25">
      <c r="A9019">
        <v>1824</v>
      </c>
      <c r="B9019">
        <f>A9019+1</f>
        <v>1825</v>
      </c>
      <c r="C9019" t="s">
        <v>530</v>
      </c>
      <c r="D9019" t="s">
        <v>26</v>
      </c>
      <c r="E9019" s="208" t="s">
        <v>572</v>
      </c>
      <c r="F9019" t="s">
        <v>3</v>
      </c>
      <c r="G9019" s="18">
        <v>2909</v>
      </c>
      <c r="H9019" t="s">
        <v>24</v>
      </c>
      <c r="I9019" t="s">
        <v>16</v>
      </c>
    </row>
    <row r="9020" spans="1:9" x14ac:dyDescent="0.25">
      <c r="A9020">
        <v>1824</v>
      </c>
      <c r="B9020">
        <f>A9020+1</f>
        <v>1825</v>
      </c>
      <c r="C9020" t="s">
        <v>530</v>
      </c>
      <c r="D9020" t="s">
        <v>26</v>
      </c>
      <c r="E9020" s="208" t="s">
        <v>572</v>
      </c>
      <c r="F9020" t="s">
        <v>6</v>
      </c>
      <c r="G9020" s="18">
        <v>0</v>
      </c>
      <c r="H9020" t="s">
        <v>25</v>
      </c>
      <c r="I9020" t="s">
        <v>16</v>
      </c>
    </row>
    <row r="9021" spans="1:9" x14ac:dyDescent="0.25">
      <c r="A9021">
        <v>1824</v>
      </c>
      <c r="B9021">
        <f>A9021+1</f>
        <v>1825</v>
      </c>
      <c r="C9021" t="s">
        <v>530</v>
      </c>
      <c r="D9021" t="s">
        <v>26</v>
      </c>
      <c r="E9021" s="208" t="s">
        <v>572</v>
      </c>
      <c r="F9021" t="s">
        <v>169</v>
      </c>
      <c r="G9021" s="18">
        <v>0</v>
      </c>
      <c r="H9021" t="s">
        <v>160</v>
      </c>
      <c r="I9021" t="s">
        <v>16</v>
      </c>
    </row>
    <row r="9022" spans="1:9" x14ac:dyDescent="0.25">
      <c r="A9022">
        <v>1824</v>
      </c>
      <c r="B9022">
        <f>A9022+1</f>
        <v>1825</v>
      </c>
      <c r="C9022" t="s">
        <v>530</v>
      </c>
      <c r="D9022" t="s">
        <v>26</v>
      </c>
      <c r="E9022" s="208" t="s">
        <v>572</v>
      </c>
      <c r="F9022" t="s">
        <v>4</v>
      </c>
      <c r="G9022" s="18">
        <v>0</v>
      </c>
      <c r="H9022" t="s">
        <v>23</v>
      </c>
      <c r="I9022" t="s">
        <v>16</v>
      </c>
    </row>
    <row r="9023" spans="1:9" x14ac:dyDescent="0.25">
      <c r="A9023">
        <v>1824</v>
      </c>
      <c r="B9023">
        <f>A9023+1</f>
        <v>1825</v>
      </c>
      <c r="C9023" t="s">
        <v>530</v>
      </c>
      <c r="D9023" t="s">
        <v>26</v>
      </c>
      <c r="E9023" s="208" t="s">
        <v>572</v>
      </c>
      <c r="F9023" t="s">
        <v>7</v>
      </c>
      <c r="G9023" s="18">
        <v>2909</v>
      </c>
      <c r="H9023" s="151" t="s">
        <v>563</v>
      </c>
      <c r="I9023" t="s">
        <v>16</v>
      </c>
    </row>
    <row r="9024" spans="1:9" x14ac:dyDescent="0.25">
      <c r="A9024">
        <v>1824</v>
      </c>
      <c r="B9024">
        <f>A9024+1</f>
        <v>1825</v>
      </c>
      <c r="C9024" t="s">
        <v>530</v>
      </c>
      <c r="D9024" t="s">
        <v>26</v>
      </c>
      <c r="E9024" s="208" t="s">
        <v>572</v>
      </c>
      <c r="F9024" t="s">
        <v>10</v>
      </c>
      <c r="G9024" s="18">
        <v>12330</v>
      </c>
      <c r="H9024" t="s">
        <v>24</v>
      </c>
      <c r="I9024" t="s">
        <v>17</v>
      </c>
    </row>
    <row r="9025" spans="1:9" x14ac:dyDescent="0.25">
      <c r="A9025">
        <v>1824</v>
      </c>
      <c r="B9025">
        <f>A9025+1</f>
        <v>1825</v>
      </c>
      <c r="C9025" t="s">
        <v>530</v>
      </c>
      <c r="D9025" t="s">
        <v>26</v>
      </c>
      <c r="E9025" s="208" t="s">
        <v>572</v>
      </c>
      <c r="F9025" t="s">
        <v>13</v>
      </c>
      <c r="G9025" s="18">
        <v>0</v>
      </c>
      <c r="H9025" t="s">
        <v>25</v>
      </c>
      <c r="I9025" t="s">
        <v>17</v>
      </c>
    </row>
    <row r="9026" spans="1:9" x14ac:dyDescent="0.25">
      <c r="A9026">
        <v>1824</v>
      </c>
      <c r="B9026">
        <f>A9026+1</f>
        <v>1825</v>
      </c>
      <c r="C9026" t="s">
        <v>530</v>
      </c>
      <c r="D9026" t="s">
        <v>26</v>
      </c>
      <c r="E9026" s="208" t="s">
        <v>572</v>
      </c>
      <c r="F9026" t="s">
        <v>164</v>
      </c>
      <c r="G9026" s="18">
        <v>0</v>
      </c>
      <c r="H9026" t="s">
        <v>160</v>
      </c>
      <c r="I9026" t="s">
        <v>17</v>
      </c>
    </row>
    <row r="9027" spans="1:9" x14ac:dyDescent="0.25">
      <c r="A9027">
        <v>1824</v>
      </c>
      <c r="B9027">
        <f>A9027+1</f>
        <v>1825</v>
      </c>
      <c r="C9027" t="s">
        <v>530</v>
      </c>
      <c r="D9027" t="s">
        <v>26</v>
      </c>
      <c r="E9027" s="208" t="s">
        <v>572</v>
      </c>
      <c r="F9027" t="s">
        <v>11</v>
      </c>
      <c r="G9027" s="18">
        <v>0</v>
      </c>
      <c r="H9027" t="s">
        <v>23</v>
      </c>
      <c r="I9027" t="s">
        <v>17</v>
      </c>
    </row>
    <row r="9028" spans="1:9" x14ac:dyDescent="0.25">
      <c r="A9028">
        <v>1824</v>
      </c>
      <c r="B9028">
        <f>A9028+1</f>
        <v>1825</v>
      </c>
      <c r="C9028" t="s">
        <v>530</v>
      </c>
      <c r="D9028" t="s">
        <v>26</v>
      </c>
      <c r="E9028" s="208" t="s">
        <v>572</v>
      </c>
      <c r="F9028" t="s">
        <v>14</v>
      </c>
      <c r="G9028" s="18">
        <v>12330</v>
      </c>
      <c r="H9028" s="151" t="s">
        <v>563</v>
      </c>
      <c r="I9028" t="s">
        <v>17</v>
      </c>
    </row>
    <row r="9029" spans="1:9" x14ac:dyDescent="0.25">
      <c r="A9029">
        <v>1824</v>
      </c>
      <c r="B9029">
        <f>A9029+1</f>
        <v>1825</v>
      </c>
      <c r="C9029" t="s">
        <v>530</v>
      </c>
      <c r="D9029" t="s">
        <v>26</v>
      </c>
      <c r="E9029" s="208" t="s">
        <v>572</v>
      </c>
      <c r="F9029" t="s">
        <v>15</v>
      </c>
      <c r="G9029" s="18">
        <v>15239</v>
      </c>
      <c r="H9029" s="151" t="s">
        <v>563</v>
      </c>
      <c r="I9029" t="s">
        <v>561</v>
      </c>
    </row>
    <row r="9030" spans="1:9" x14ac:dyDescent="0.25">
      <c r="A9030">
        <v>1824</v>
      </c>
      <c r="B9030">
        <f>A9030+1</f>
        <v>1825</v>
      </c>
      <c r="C9030" t="s">
        <v>530</v>
      </c>
      <c r="D9030" t="s">
        <v>26</v>
      </c>
      <c r="E9030" s="208" t="s">
        <v>571</v>
      </c>
      <c r="F9030" t="s">
        <v>3</v>
      </c>
      <c r="G9030" s="18">
        <v>3112</v>
      </c>
      <c r="H9030" t="s">
        <v>24</v>
      </c>
      <c r="I9030" t="s">
        <v>16</v>
      </c>
    </row>
    <row r="9031" spans="1:9" x14ac:dyDescent="0.25">
      <c r="A9031">
        <v>1824</v>
      </c>
      <c r="B9031">
        <f>A9031+1</f>
        <v>1825</v>
      </c>
      <c r="C9031" t="s">
        <v>530</v>
      </c>
      <c r="D9031" t="s">
        <v>26</v>
      </c>
      <c r="E9031" s="208" t="s">
        <v>571</v>
      </c>
      <c r="F9031" t="s">
        <v>6</v>
      </c>
      <c r="G9031" s="18">
        <v>0</v>
      </c>
      <c r="H9031" t="s">
        <v>25</v>
      </c>
      <c r="I9031" t="s">
        <v>16</v>
      </c>
    </row>
    <row r="9032" spans="1:9" x14ac:dyDescent="0.25">
      <c r="A9032">
        <v>1824</v>
      </c>
      <c r="B9032">
        <f>A9032+1</f>
        <v>1825</v>
      </c>
      <c r="C9032" t="s">
        <v>530</v>
      </c>
      <c r="D9032" t="s">
        <v>26</v>
      </c>
      <c r="E9032" s="208" t="s">
        <v>571</v>
      </c>
      <c r="F9032" t="s">
        <v>169</v>
      </c>
      <c r="G9032" s="18">
        <v>0</v>
      </c>
      <c r="H9032" t="s">
        <v>160</v>
      </c>
      <c r="I9032" t="s">
        <v>16</v>
      </c>
    </row>
    <row r="9033" spans="1:9" x14ac:dyDescent="0.25">
      <c r="A9033">
        <v>1824</v>
      </c>
      <c r="B9033">
        <f>A9033+1</f>
        <v>1825</v>
      </c>
      <c r="C9033" t="s">
        <v>530</v>
      </c>
      <c r="D9033" t="s">
        <v>26</v>
      </c>
      <c r="E9033" s="208" t="s">
        <v>571</v>
      </c>
      <c r="F9033" t="s">
        <v>4</v>
      </c>
      <c r="G9033" s="18">
        <v>0</v>
      </c>
      <c r="H9033" t="s">
        <v>23</v>
      </c>
      <c r="I9033" t="s">
        <v>16</v>
      </c>
    </row>
    <row r="9034" spans="1:9" x14ac:dyDescent="0.25">
      <c r="A9034">
        <v>1824</v>
      </c>
      <c r="B9034">
        <f>A9034+1</f>
        <v>1825</v>
      </c>
      <c r="C9034" t="s">
        <v>530</v>
      </c>
      <c r="D9034" t="s">
        <v>26</v>
      </c>
      <c r="E9034" s="208" t="s">
        <v>571</v>
      </c>
      <c r="F9034" t="s">
        <v>7</v>
      </c>
      <c r="G9034" s="18">
        <v>3112</v>
      </c>
      <c r="H9034" s="151" t="s">
        <v>563</v>
      </c>
      <c r="I9034" t="s">
        <v>16</v>
      </c>
    </row>
    <row r="9035" spans="1:9" x14ac:dyDescent="0.25">
      <c r="A9035">
        <v>1824</v>
      </c>
      <c r="B9035">
        <f>A9035+1</f>
        <v>1825</v>
      </c>
      <c r="C9035" t="s">
        <v>530</v>
      </c>
      <c r="D9035" t="s">
        <v>26</v>
      </c>
      <c r="E9035" s="208" t="s">
        <v>571</v>
      </c>
      <c r="F9035" t="s">
        <v>10</v>
      </c>
      <c r="G9035" s="18">
        <v>1394</v>
      </c>
      <c r="H9035" t="s">
        <v>24</v>
      </c>
      <c r="I9035" t="s">
        <v>17</v>
      </c>
    </row>
    <row r="9036" spans="1:9" x14ac:dyDescent="0.25">
      <c r="A9036">
        <v>1824</v>
      </c>
      <c r="B9036">
        <f>A9036+1</f>
        <v>1825</v>
      </c>
      <c r="C9036" t="s">
        <v>530</v>
      </c>
      <c r="D9036" t="s">
        <v>26</v>
      </c>
      <c r="E9036" s="208" t="s">
        <v>571</v>
      </c>
      <c r="F9036" t="s">
        <v>13</v>
      </c>
      <c r="G9036" s="18">
        <v>0</v>
      </c>
      <c r="H9036" t="s">
        <v>25</v>
      </c>
      <c r="I9036" t="s">
        <v>17</v>
      </c>
    </row>
    <row r="9037" spans="1:9" x14ac:dyDescent="0.25">
      <c r="A9037">
        <v>1824</v>
      </c>
      <c r="B9037">
        <f>A9037+1</f>
        <v>1825</v>
      </c>
      <c r="C9037" t="s">
        <v>530</v>
      </c>
      <c r="D9037" t="s">
        <v>26</v>
      </c>
      <c r="E9037" s="208" t="s">
        <v>571</v>
      </c>
      <c r="F9037" t="s">
        <v>164</v>
      </c>
      <c r="G9037" s="18">
        <v>0</v>
      </c>
      <c r="H9037" t="s">
        <v>160</v>
      </c>
      <c r="I9037" t="s">
        <v>17</v>
      </c>
    </row>
    <row r="9038" spans="1:9" x14ac:dyDescent="0.25">
      <c r="A9038">
        <v>1824</v>
      </c>
      <c r="B9038">
        <f>A9038+1</f>
        <v>1825</v>
      </c>
      <c r="C9038" t="s">
        <v>530</v>
      </c>
      <c r="D9038" t="s">
        <v>26</v>
      </c>
      <c r="E9038" s="208" t="s">
        <v>571</v>
      </c>
      <c r="F9038" t="s">
        <v>11</v>
      </c>
      <c r="G9038" s="18">
        <v>0</v>
      </c>
      <c r="H9038" t="s">
        <v>23</v>
      </c>
      <c r="I9038" t="s">
        <v>17</v>
      </c>
    </row>
    <row r="9039" spans="1:9" x14ac:dyDescent="0.25">
      <c r="A9039">
        <v>1824</v>
      </c>
      <c r="B9039">
        <f>A9039+1</f>
        <v>1825</v>
      </c>
      <c r="C9039" t="s">
        <v>530</v>
      </c>
      <c r="D9039" t="s">
        <v>26</v>
      </c>
      <c r="E9039" s="208" t="s">
        <v>571</v>
      </c>
      <c r="F9039" t="s">
        <v>14</v>
      </c>
      <c r="G9039" s="18">
        <v>1394</v>
      </c>
      <c r="H9039" s="151" t="s">
        <v>563</v>
      </c>
      <c r="I9039" t="s">
        <v>17</v>
      </c>
    </row>
    <row r="9040" spans="1:9" x14ac:dyDescent="0.25">
      <c r="A9040">
        <v>1824</v>
      </c>
      <c r="B9040">
        <f>A9040+1</f>
        <v>1825</v>
      </c>
      <c r="C9040" t="s">
        <v>530</v>
      </c>
      <c r="D9040" t="s">
        <v>26</v>
      </c>
      <c r="E9040" s="208" t="s">
        <v>571</v>
      </c>
      <c r="F9040" t="s">
        <v>15</v>
      </c>
      <c r="G9040" s="18">
        <v>4506</v>
      </c>
      <c r="H9040" s="151" t="s">
        <v>563</v>
      </c>
      <c r="I9040" t="s">
        <v>561</v>
      </c>
    </row>
    <row r="9041" spans="1:9" x14ac:dyDescent="0.25">
      <c r="A9041">
        <v>1824</v>
      </c>
      <c r="B9041">
        <f>A9041+1</f>
        <v>1825</v>
      </c>
      <c r="C9041" t="s">
        <v>530</v>
      </c>
      <c r="D9041" t="s">
        <v>26</v>
      </c>
      <c r="E9041" s="208" t="s">
        <v>570</v>
      </c>
      <c r="F9041" t="s">
        <v>3</v>
      </c>
      <c r="G9041" s="18">
        <v>4576</v>
      </c>
      <c r="H9041" t="s">
        <v>24</v>
      </c>
      <c r="I9041" t="s">
        <v>16</v>
      </c>
    </row>
    <row r="9042" spans="1:9" x14ac:dyDescent="0.25">
      <c r="A9042">
        <v>1824</v>
      </c>
      <c r="B9042">
        <f>A9042+1</f>
        <v>1825</v>
      </c>
      <c r="C9042" t="s">
        <v>530</v>
      </c>
      <c r="D9042" t="s">
        <v>26</v>
      </c>
      <c r="E9042" s="208" t="s">
        <v>570</v>
      </c>
      <c r="F9042" t="s">
        <v>6</v>
      </c>
      <c r="G9042" s="18">
        <v>0</v>
      </c>
      <c r="H9042" t="s">
        <v>25</v>
      </c>
      <c r="I9042" t="s">
        <v>16</v>
      </c>
    </row>
    <row r="9043" spans="1:9" x14ac:dyDescent="0.25">
      <c r="A9043">
        <v>1824</v>
      </c>
      <c r="B9043">
        <f>A9043+1</f>
        <v>1825</v>
      </c>
      <c r="C9043" t="s">
        <v>530</v>
      </c>
      <c r="D9043" t="s">
        <v>26</v>
      </c>
      <c r="E9043" s="208" t="s">
        <v>570</v>
      </c>
      <c r="F9043" t="s">
        <v>169</v>
      </c>
      <c r="G9043" s="18">
        <v>0</v>
      </c>
      <c r="H9043" t="s">
        <v>160</v>
      </c>
      <c r="I9043" t="s">
        <v>16</v>
      </c>
    </row>
    <row r="9044" spans="1:9" x14ac:dyDescent="0.25">
      <c r="A9044">
        <v>1824</v>
      </c>
      <c r="B9044">
        <f>A9044+1</f>
        <v>1825</v>
      </c>
      <c r="C9044" t="s">
        <v>530</v>
      </c>
      <c r="D9044" t="s">
        <v>26</v>
      </c>
      <c r="E9044" s="208" t="s">
        <v>570</v>
      </c>
      <c r="F9044" t="s">
        <v>4</v>
      </c>
      <c r="G9044" s="18">
        <v>0</v>
      </c>
      <c r="H9044" t="s">
        <v>23</v>
      </c>
      <c r="I9044" t="s">
        <v>16</v>
      </c>
    </row>
    <row r="9045" spans="1:9" x14ac:dyDescent="0.25">
      <c r="A9045">
        <v>1824</v>
      </c>
      <c r="B9045">
        <f>A9045+1</f>
        <v>1825</v>
      </c>
      <c r="C9045" t="s">
        <v>530</v>
      </c>
      <c r="D9045" t="s">
        <v>26</v>
      </c>
      <c r="E9045" s="208" t="s">
        <v>570</v>
      </c>
      <c r="F9045" t="s">
        <v>7</v>
      </c>
      <c r="G9045" s="18">
        <v>4576</v>
      </c>
      <c r="H9045" s="151" t="s">
        <v>563</v>
      </c>
      <c r="I9045" t="s">
        <v>16</v>
      </c>
    </row>
    <row r="9046" spans="1:9" x14ac:dyDescent="0.25">
      <c r="A9046">
        <v>1824</v>
      </c>
      <c r="B9046">
        <f>A9046+1</f>
        <v>1825</v>
      </c>
      <c r="C9046" t="s">
        <v>530</v>
      </c>
      <c r="D9046" t="s">
        <v>26</v>
      </c>
      <c r="E9046" s="208" t="s">
        <v>570</v>
      </c>
      <c r="F9046" t="s">
        <v>10</v>
      </c>
      <c r="G9046" s="18">
        <v>583</v>
      </c>
      <c r="H9046" t="s">
        <v>24</v>
      </c>
      <c r="I9046" t="s">
        <v>17</v>
      </c>
    </row>
    <row r="9047" spans="1:9" x14ac:dyDescent="0.25">
      <c r="A9047">
        <v>1824</v>
      </c>
      <c r="B9047">
        <f>A9047+1</f>
        <v>1825</v>
      </c>
      <c r="C9047" t="s">
        <v>530</v>
      </c>
      <c r="D9047" t="s">
        <v>26</v>
      </c>
      <c r="E9047" s="208" t="s">
        <v>570</v>
      </c>
      <c r="F9047" t="s">
        <v>13</v>
      </c>
      <c r="G9047" s="18">
        <v>0</v>
      </c>
      <c r="H9047" t="s">
        <v>25</v>
      </c>
      <c r="I9047" t="s">
        <v>17</v>
      </c>
    </row>
    <row r="9048" spans="1:9" x14ac:dyDescent="0.25">
      <c r="A9048">
        <v>1824</v>
      </c>
      <c r="B9048">
        <f>A9048+1</f>
        <v>1825</v>
      </c>
      <c r="C9048" t="s">
        <v>530</v>
      </c>
      <c r="D9048" t="s">
        <v>26</v>
      </c>
      <c r="E9048" s="208" t="s">
        <v>570</v>
      </c>
      <c r="F9048" t="s">
        <v>164</v>
      </c>
      <c r="G9048" s="18">
        <v>0</v>
      </c>
      <c r="H9048" t="s">
        <v>160</v>
      </c>
      <c r="I9048" t="s">
        <v>17</v>
      </c>
    </row>
    <row r="9049" spans="1:9" x14ac:dyDescent="0.25">
      <c r="A9049">
        <v>1824</v>
      </c>
      <c r="B9049">
        <f>A9049+1</f>
        <v>1825</v>
      </c>
      <c r="C9049" t="s">
        <v>530</v>
      </c>
      <c r="D9049" t="s">
        <v>26</v>
      </c>
      <c r="E9049" s="208" t="s">
        <v>570</v>
      </c>
      <c r="F9049" t="s">
        <v>11</v>
      </c>
      <c r="G9049" s="18">
        <v>0</v>
      </c>
      <c r="H9049" t="s">
        <v>23</v>
      </c>
      <c r="I9049" t="s">
        <v>17</v>
      </c>
    </row>
    <row r="9050" spans="1:9" x14ac:dyDescent="0.25">
      <c r="A9050">
        <v>1824</v>
      </c>
      <c r="B9050">
        <f>A9050+1</f>
        <v>1825</v>
      </c>
      <c r="C9050" t="s">
        <v>530</v>
      </c>
      <c r="D9050" t="s">
        <v>26</v>
      </c>
      <c r="E9050" s="208" t="s">
        <v>570</v>
      </c>
      <c r="F9050" t="s">
        <v>14</v>
      </c>
      <c r="G9050" s="18">
        <v>583</v>
      </c>
      <c r="H9050" s="151" t="s">
        <v>563</v>
      </c>
      <c r="I9050" t="s">
        <v>17</v>
      </c>
    </row>
    <row r="9051" spans="1:9" x14ac:dyDescent="0.25">
      <c r="A9051">
        <v>1824</v>
      </c>
      <c r="B9051">
        <f>A9051+1</f>
        <v>1825</v>
      </c>
      <c r="C9051" t="s">
        <v>530</v>
      </c>
      <c r="D9051" t="s">
        <v>26</v>
      </c>
      <c r="E9051" s="208" t="s">
        <v>570</v>
      </c>
      <c r="F9051" t="s">
        <v>15</v>
      </c>
      <c r="G9051" s="18">
        <v>5159</v>
      </c>
      <c r="H9051" s="151" t="s">
        <v>563</v>
      </c>
      <c r="I9051" t="s">
        <v>561</v>
      </c>
    </row>
    <row r="9052" spans="1:9" x14ac:dyDescent="0.25">
      <c r="A9052">
        <v>1824</v>
      </c>
      <c r="B9052">
        <f>A9052+1</f>
        <v>1825</v>
      </c>
      <c r="C9052" t="s">
        <v>530</v>
      </c>
      <c r="D9052" t="s">
        <v>26</v>
      </c>
      <c r="E9052" s="208" t="s">
        <v>567</v>
      </c>
      <c r="F9052" t="s">
        <v>3</v>
      </c>
      <c r="G9052" s="18">
        <v>18948</v>
      </c>
      <c r="H9052" t="s">
        <v>24</v>
      </c>
      <c r="I9052" t="s">
        <v>16</v>
      </c>
    </row>
    <row r="9053" spans="1:9" x14ac:dyDescent="0.25">
      <c r="A9053">
        <v>1824</v>
      </c>
      <c r="B9053">
        <f>A9053+1</f>
        <v>1825</v>
      </c>
      <c r="C9053" t="s">
        <v>530</v>
      </c>
      <c r="D9053" t="s">
        <v>26</v>
      </c>
      <c r="E9053" s="208" t="s">
        <v>567</v>
      </c>
      <c r="F9053" t="s">
        <v>6</v>
      </c>
      <c r="G9053" s="18">
        <v>0</v>
      </c>
      <c r="H9053" t="s">
        <v>25</v>
      </c>
      <c r="I9053" t="s">
        <v>16</v>
      </c>
    </row>
    <row r="9054" spans="1:9" x14ac:dyDescent="0.25">
      <c r="A9054">
        <v>1824</v>
      </c>
      <c r="B9054">
        <f>A9054+1</f>
        <v>1825</v>
      </c>
      <c r="C9054" t="s">
        <v>530</v>
      </c>
      <c r="D9054" t="s">
        <v>26</v>
      </c>
      <c r="E9054" s="208" t="s">
        <v>567</v>
      </c>
      <c r="F9054" t="s">
        <v>169</v>
      </c>
      <c r="G9054" s="18">
        <v>17212</v>
      </c>
      <c r="H9054" t="s">
        <v>160</v>
      </c>
      <c r="I9054" t="s">
        <v>16</v>
      </c>
    </row>
    <row r="9055" spans="1:9" x14ac:dyDescent="0.25">
      <c r="A9055">
        <v>1824</v>
      </c>
      <c r="B9055">
        <f>A9055+1</f>
        <v>1825</v>
      </c>
      <c r="C9055" t="s">
        <v>530</v>
      </c>
      <c r="D9055" t="s">
        <v>26</v>
      </c>
      <c r="E9055" s="208" t="s">
        <v>567</v>
      </c>
      <c r="F9055" t="s">
        <v>4</v>
      </c>
      <c r="G9055" s="18">
        <v>0</v>
      </c>
      <c r="H9055" t="s">
        <v>23</v>
      </c>
      <c r="I9055" t="s">
        <v>16</v>
      </c>
    </row>
    <row r="9056" spans="1:9" x14ac:dyDescent="0.25">
      <c r="A9056">
        <v>1824</v>
      </c>
      <c r="B9056">
        <f>A9056+1</f>
        <v>1825</v>
      </c>
      <c r="C9056" t="s">
        <v>530</v>
      </c>
      <c r="D9056" t="s">
        <v>26</v>
      </c>
      <c r="E9056" s="208" t="s">
        <v>567</v>
      </c>
      <c r="F9056" t="s">
        <v>7</v>
      </c>
      <c r="G9056" s="18">
        <v>36160</v>
      </c>
      <c r="H9056" s="151" t="s">
        <v>563</v>
      </c>
      <c r="I9056" t="s">
        <v>16</v>
      </c>
    </row>
    <row r="9057" spans="1:9" x14ac:dyDescent="0.25">
      <c r="A9057">
        <v>1824</v>
      </c>
      <c r="B9057">
        <f>A9057+1</f>
        <v>1825</v>
      </c>
      <c r="C9057" t="s">
        <v>530</v>
      </c>
      <c r="D9057" t="s">
        <v>26</v>
      </c>
      <c r="E9057" s="208" t="s">
        <v>567</v>
      </c>
      <c r="F9057" t="s">
        <v>10</v>
      </c>
      <c r="G9057" s="18">
        <v>6014</v>
      </c>
      <c r="H9057" t="s">
        <v>24</v>
      </c>
      <c r="I9057" t="s">
        <v>17</v>
      </c>
    </row>
    <row r="9058" spans="1:9" x14ac:dyDescent="0.25">
      <c r="A9058">
        <v>1824</v>
      </c>
      <c r="B9058">
        <f>A9058+1</f>
        <v>1825</v>
      </c>
      <c r="C9058" t="s">
        <v>530</v>
      </c>
      <c r="D9058" t="s">
        <v>26</v>
      </c>
      <c r="E9058" s="208" t="s">
        <v>567</v>
      </c>
      <c r="F9058" t="s">
        <v>13</v>
      </c>
      <c r="G9058" s="18">
        <v>0</v>
      </c>
      <c r="H9058" t="s">
        <v>25</v>
      </c>
      <c r="I9058" t="s">
        <v>17</v>
      </c>
    </row>
    <row r="9059" spans="1:9" x14ac:dyDescent="0.25">
      <c r="A9059">
        <v>1824</v>
      </c>
      <c r="B9059">
        <f>A9059+1</f>
        <v>1825</v>
      </c>
      <c r="C9059" t="s">
        <v>530</v>
      </c>
      <c r="D9059" t="s">
        <v>26</v>
      </c>
      <c r="E9059" s="208" t="s">
        <v>567</v>
      </c>
      <c r="F9059" t="s">
        <v>164</v>
      </c>
      <c r="G9059" s="18">
        <v>34664</v>
      </c>
      <c r="H9059" t="s">
        <v>160</v>
      </c>
      <c r="I9059" t="s">
        <v>17</v>
      </c>
    </row>
    <row r="9060" spans="1:9" x14ac:dyDescent="0.25">
      <c r="A9060">
        <v>1824</v>
      </c>
      <c r="B9060">
        <f>A9060+1</f>
        <v>1825</v>
      </c>
      <c r="C9060" t="s">
        <v>530</v>
      </c>
      <c r="D9060" t="s">
        <v>26</v>
      </c>
      <c r="E9060" s="208" t="s">
        <v>567</v>
      </c>
      <c r="F9060" t="s">
        <v>11</v>
      </c>
      <c r="G9060" s="18">
        <v>0</v>
      </c>
      <c r="H9060" t="s">
        <v>23</v>
      </c>
      <c r="I9060" t="s">
        <v>17</v>
      </c>
    </row>
    <row r="9061" spans="1:9" x14ac:dyDescent="0.25">
      <c r="A9061">
        <v>1824</v>
      </c>
      <c r="B9061">
        <f>A9061+1</f>
        <v>1825</v>
      </c>
      <c r="C9061" t="s">
        <v>530</v>
      </c>
      <c r="D9061" t="s">
        <v>26</v>
      </c>
      <c r="E9061" s="208" t="s">
        <v>567</v>
      </c>
      <c r="F9061" t="s">
        <v>14</v>
      </c>
      <c r="G9061" s="18">
        <v>40678</v>
      </c>
      <c r="H9061" s="151" t="s">
        <v>563</v>
      </c>
      <c r="I9061" t="s">
        <v>17</v>
      </c>
    </row>
    <row r="9062" spans="1:9" x14ac:dyDescent="0.25">
      <c r="A9062">
        <v>1824</v>
      </c>
      <c r="B9062">
        <f>A9062+1</f>
        <v>1825</v>
      </c>
      <c r="C9062" t="s">
        <v>530</v>
      </c>
      <c r="D9062" t="s">
        <v>26</v>
      </c>
      <c r="E9062" s="208" t="s">
        <v>567</v>
      </c>
      <c r="F9062" t="s">
        <v>15</v>
      </c>
      <c r="G9062" s="18">
        <v>76838</v>
      </c>
      <c r="H9062" s="151" t="s">
        <v>563</v>
      </c>
      <c r="I9062" t="s">
        <v>561</v>
      </c>
    </row>
    <row r="9063" spans="1:9" x14ac:dyDescent="0.25">
      <c r="A9063">
        <v>1824</v>
      </c>
      <c r="B9063">
        <f>A9063+1</f>
        <v>1825</v>
      </c>
      <c r="C9063" t="s">
        <v>530</v>
      </c>
      <c r="D9063" t="s">
        <v>27</v>
      </c>
      <c r="E9063" s="208" t="s">
        <v>155</v>
      </c>
      <c r="F9063" t="s">
        <v>3</v>
      </c>
      <c r="G9063" s="18">
        <v>84</v>
      </c>
      <c r="H9063" t="s">
        <v>16</v>
      </c>
      <c r="I9063" t="s">
        <v>24</v>
      </c>
    </row>
    <row r="9064" spans="1:9" x14ac:dyDescent="0.25">
      <c r="A9064">
        <v>1824</v>
      </c>
      <c r="B9064">
        <f>A9064+1</f>
        <v>1825</v>
      </c>
      <c r="C9064" t="s">
        <v>530</v>
      </c>
      <c r="D9064" t="s">
        <v>27</v>
      </c>
      <c r="E9064" s="208" t="s">
        <v>156</v>
      </c>
      <c r="F9064" t="s">
        <v>3</v>
      </c>
      <c r="G9064" s="18">
        <v>29</v>
      </c>
      <c r="H9064" t="s">
        <v>16</v>
      </c>
      <c r="I9064" t="s">
        <v>24</v>
      </c>
    </row>
    <row r="9065" spans="1:9" x14ac:dyDescent="0.25">
      <c r="A9065">
        <v>1824</v>
      </c>
      <c r="B9065">
        <f>A9065+1</f>
        <v>1825</v>
      </c>
      <c r="C9065" t="s">
        <v>530</v>
      </c>
      <c r="D9065" t="s">
        <v>27</v>
      </c>
      <c r="E9065" s="208" t="s">
        <v>154</v>
      </c>
      <c r="F9065" t="s">
        <v>3</v>
      </c>
      <c r="G9065" s="18">
        <v>908</v>
      </c>
      <c r="H9065" t="s">
        <v>16</v>
      </c>
      <c r="I9065" t="s">
        <v>24</v>
      </c>
    </row>
    <row r="9066" spans="1:9" x14ac:dyDescent="0.25">
      <c r="A9066">
        <v>1824</v>
      </c>
      <c r="B9066">
        <f>A9066+1</f>
        <v>1825</v>
      </c>
      <c r="C9066" t="s">
        <v>530</v>
      </c>
      <c r="D9066" t="s">
        <v>27</v>
      </c>
      <c r="E9066" s="208" t="s">
        <v>150</v>
      </c>
      <c r="F9066" t="s">
        <v>3</v>
      </c>
      <c r="G9066" s="18">
        <v>1318</v>
      </c>
      <c r="H9066" t="s">
        <v>16</v>
      </c>
      <c r="I9066" t="s">
        <v>24</v>
      </c>
    </row>
    <row r="9067" spans="1:9" x14ac:dyDescent="0.25">
      <c r="A9067">
        <v>1824</v>
      </c>
      <c r="B9067">
        <f>A9067+1</f>
        <v>1825</v>
      </c>
      <c r="C9067" t="s">
        <v>530</v>
      </c>
      <c r="D9067" t="s">
        <v>27</v>
      </c>
      <c r="E9067" s="208" t="s">
        <v>148</v>
      </c>
      <c r="F9067" t="s">
        <v>3</v>
      </c>
      <c r="G9067" s="18">
        <v>9</v>
      </c>
      <c r="H9067" t="s">
        <v>16</v>
      </c>
      <c r="I9067" t="s">
        <v>24</v>
      </c>
    </row>
    <row r="9068" spans="1:9" x14ac:dyDescent="0.25">
      <c r="A9068">
        <v>1824</v>
      </c>
      <c r="B9068">
        <f>A9068+1</f>
        <v>1825</v>
      </c>
      <c r="C9068" t="s">
        <v>530</v>
      </c>
      <c r="D9068" t="s">
        <v>27</v>
      </c>
      <c r="E9068" s="208" t="s">
        <v>147</v>
      </c>
      <c r="F9068" t="s">
        <v>3</v>
      </c>
      <c r="G9068" s="18">
        <v>101</v>
      </c>
      <c r="H9068" t="s">
        <v>16</v>
      </c>
      <c r="I9068" t="s">
        <v>24</v>
      </c>
    </row>
    <row r="9069" spans="1:9" x14ac:dyDescent="0.25">
      <c r="A9069">
        <v>1824</v>
      </c>
      <c r="B9069">
        <f>A9069+1</f>
        <v>1825</v>
      </c>
      <c r="C9069" t="s">
        <v>530</v>
      </c>
      <c r="D9069" t="s">
        <v>27</v>
      </c>
      <c r="E9069" s="208" t="s">
        <v>314</v>
      </c>
      <c r="F9069" t="s">
        <v>3</v>
      </c>
      <c r="G9069" s="18">
        <v>0</v>
      </c>
      <c r="H9069" t="s">
        <v>16</v>
      </c>
      <c r="I9069" t="s">
        <v>24</v>
      </c>
    </row>
    <row r="9070" spans="1:9" x14ac:dyDescent="0.25">
      <c r="A9070">
        <v>1824</v>
      </c>
      <c r="B9070">
        <f>A9070+1</f>
        <v>1825</v>
      </c>
      <c r="C9070" t="s">
        <v>530</v>
      </c>
      <c r="D9070" t="s">
        <v>27</v>
      </c>
      <c r="E9070" s="208" t="s">
        <v>139</v>
      </c>
      <c r="F9070" t="s">
        <v>3</v>
      </c>
      <c r="G9070" s="18">
        <v>0</v>
      </c>
      <c r="H9070" t="s">
        <v>16</v>
      </c>
      <c r="I9070" t="s">
        <v>24</v>
      </c>
    </row>
    <row r="9071" spans="1:9" x14ac:dyDescent="0.25">
      <c r="A9071">
        <v>1824</v>
      </c>
      <c r="B9071">
        <f>A9071+1</f>
        <v>1825</v>
      </c>
      <c r="C9071" t="s">
        <v>530</v>
      </c>
      <c r="D9071" t="s">
        <v>27</v>
      </c>
      <c r="E9071" s="208" t="s">
        <v>131</v>
      </c>
      <c r="F9071" t="s">
        <v>3</v>
      </c>
      <c r="G9071" s="18">
        <v>2</v>
      </c>
      <c r="H9071" t="s">
        <v>16</v>
      </c>
      <c r="I9071" t="s">
        <v>24</v>
      </c>
    </row>
    <row r="9072" spans="1:9" x14ac:dyDescent="0.25">
      <c r="A9072">
        <v>1824</v>
      </c>
      <c r="B9072">
        <f>A9072+1</f>
        <v>1825</v>
      </c>
      <c r="C9072" t="s">
        <v>530</v>
      </c>
      <c r="D9072" t="s">
        <v>27</v>
      </c>
      <c r="E9072" s="208" t="s">
        <v>130</v>
      </c>
      <c r="F9072" t="s">
        <v>3</v>
      </c>
      <c r="G9072" s="18">
        <v>2</v>
      </c>
      <c r="H9072" t="s">
        <v>16</v>
      </c>
      <c r="I9072" t="s">
        <v>24</v>
      </c>
    </row>
    <row r="9073" spans="1:9" x14ac:dyDescent="0.25">
      <c r="A9073">
        <v>1824</v>
      </c>
      <c r="B9073">
        <f>A9073+1</f>
        <v>1825</v>
      </c>
      <c r="C9073" t="s">
        <v>530</v>
      </c>
      <c r="D9073" t="s">
        <v>27</v>
      </c>
      <c r="E9073" s="208" t="s">
        <v>143</v>
      </c>
      <c r="F9073" t="s">
        <v>3</v>
      </c>
      <c r="G9073" s="18">
        <v>10</v>
      </c>
      <c r="H9073" t="s">
        <v>16</v>
      </c>
      <c r="I9073" t="s">
        <v>24</v>
      </c>
    </row>
    <row r="9074" spans="1:9" x14ac:dyDescent="0.25">
      <c r="A9074">
        <v>1824</v>
      </c>
      <c r="B9074">
        <f>A9074+1</f>
        <v>1825</v>
      </c>
      <c r="C9074" t="s">
        <v>530</v>
      </c>
      <c r="D9074" t="s">
        <v>27</v>
      </c>
      <c r="E9074" s="208" t="s">
        <v>142</v>
      </c>
      <c r="F9074" t="s">
        <v>3</v>
      </c>
      <c r="G9074" s="18">
        <v>88</v>
      </c>
      <c r="H9074" t="s">
        <v>16</v>
      </c>
      <c r="I9074" t="s">
        <v>24</v>
      </c>
    </row>
    <row r="9075" spans="1:9" x14ac:dyDescent="0.25">
      <c r="A9075">
        <v>1824</v>
      </c>
      <c r="B9075">
        <f>A9075+1</f>
        <v>1825</v>
      </c>
      <c r="C9075" t="s">
        <v>530</v>
      </c>
      <c r="D9075" t="s">
        <v>27</v>
      </c>
      <c r="E9075" s="208" t="s">
        <v>124</v>
      </c>
      <c r="F9075" t="s">
        <v>3</v>
      </c>
      <c r="G9075" s="18">
        <v>107906</v>
      </c>
      <c r="H9075" t="s">
        <v>16</v>
      </c>
      <c r="I9075" t="s">
        <v>24</v>
      </c>
    </row>
    <row r="9076" spans="1:9" x14ac:dyDescent="0.25">
      <c r="A9076">
        <v>1824</v>
      </c>
      <c r="B9076">
        <f>A9076+1</f>
        <v>1825</v>
      </c>
      <c r="C9076" t="s">
        <v>530</v>
      </c>
      <c r="D9076" t="s">
        <v>26</v>
      </c>
      <c r="E9076" s="208" t="s">
        <v>62</v>
      </c>
      <c r="F9076" t="s">
        <v>3</v>
      </c>
      <c r="G9076" s="18">
        <v>806</v>
      </c>
      <c r="H9076" t="s">
        <v>24</v>
      </c>
      <c r="I9076" t="s">
        <v>16</v>
      </c>
    </row>
    <row r="9077" spans="1:9" x14ac:dyDescent="0.25">
      <c r="A9077">
        <v>1824</v>
      </c>
      <c r="B9077">
        <f>A9077+1</f>
        <v>1825</v>
      </c>
      <c r="C9077" t="s">
        <v>530</v>
      </c>
      <c r="D9077" t="s">
        <v>26</v>
      </c>
      <c r="E9077" s="208" t="s">
        <v>36</v>
      </c>
      <c r="F9077" t="s">
        <v>3</v>
      </c>
      <c r="G9077" s="18">
        <v>20</v>
      </c>
      <c r="H9077" t="s">
        <v>24</v>
      </c>
      <c r="I9077" t="s">
        <v>16</v>
      </c>
    </row>
    <row r="9078" spans="1:9" x14ac:dyDescent="0.25">
      <c r="A9078">
        <v>1824</v>
      </c>
      <c r="B9078">
        <f>A9078+1</f>
        <v>1825</v>
      </c>
      <c r="C9078" t="s">
        <v>530</v>
      </c>
      <c r="D9078" t="s">
        <v>26</v>
      </c>
      <c r="E9078" s="208" t="s">
        <v>35</v>
      </c>
      <c r="F9078" t="s">
        <v>3</v>
      </c>
      <c r="G9078" s="18">
        <v>0</v>
      </c>
      <c r="H9078" t="s">
        <v>24</v>
      </c>
      <c r="I9078" t="s">
        <v>16</v>
      </c>
    </row>
    <row r="9079" spans="1:9" x14ac:dyDescent="0.25">
      <c r="A9079">
        <v>1824</v>
      </c>
      <c r="B9079">
        <f>A9079+1</f>
        <v>1825</v>
      </c>
      <c r="C9079" t="s">
        <v>530</v>
      </c>
      <c r="D9079" t="s">
        <v>26</v>
      </c>
      <c r="E9079" s="208" t="s">
        <v>39</v>
      </c>
      <c r="F9079" t="s">
        <v>3</v>
      </c>
      <c r="G9079" s="18">
        <v>200</v>
      </c>
      <c r="H9079" t="s">
        <v>24</v>
      </c>
      <c r="I9079" t="s">
        <v>16</v>
      </c>
    </row>
    <row r="9080" spans="1:9" x14ac:dyDescent="0.25">
      <c r="A9080">
        <v>1824</v>
      </c>
      <c r="B9080">
        <f>A9080+1</f>
        <v>1825</v>
      </c>
      <c r="C9080" t="s">
        <v>530</v>
      </c>
      <c r="D9080" t="s">
        <v>26</v>
      </c>
      <c r="E9080" s="208" t="s">
        <v>99</v>
      </c>
      <c r="F9080" t="s">
        <v>3</v>
      </c>
      <c r="G9080" s="18">
        <v>36</v>
      </c>
      <c r="H9080" t="s">
        <v>24</v>
      </c>
      <c r="I9080" t="s">
        <v>16</v>
      </c>
    </row>
    <row r="9081" spans="1:9" x14ac:dyDescent="0.25">
      <c r="A9081">
        <v>1824</v>
      </c>
      <c r="B9081">
        <f>A9081+1</f>
        <v>1825</v>
      </c>
      <c r="C9081" t="s">
        <v>530</v>
      </c>
      <c r="D9081" t="s">
        <v>26</v>
      </c>
      <c r="E9081" s="208" t="s">
        <v>94</v>
      </c>
      <c r="F9081" t="s">
        <v>3</v>
      </c>
      <c r="G9081" s="18">
        <v>50</v>
      </c>
      <c r="H9081" t="s">
        <v>24</v>
      </c>
      <c r="I9081" t="s">
        <v>16</v>
      </c>
    </row>
    <row r="9082" spans="1:9" x14ac:dyDescent="0.25">
      <c r="A9082">
        <v>1824</v>
      </c>
      <c r="B9082">
        <f>A9082+1</f>
        <v>1825</v>
      </c>
      <c r="C9082" t="s">
        <v>530</v>
      </c>
      <c r="D9082" t="s">
        <v>26</v>
      </c>
      <c r="E9082" s="208" t="s">
        <v>386</v>
      </c>
      <c r="F9082" t="s">
        <v>3</v>
      </c>
      <c r="G9082" s="18">
        <v>100</v>
      </c>
      <c r="H9082" t="s">
        <v>24</v>
      </c>
      <c r="I9082" t="s">
        <v>16</v>
      </c>
    </row>
    <row r="9083" spans="1:9" x14ac:dyDescent="0.25">
      <c r="A9083">
        <v>1824</v>
      </c>
      <c r="B9083">
        <f>A9083+1</f>
        <v>1825</v>
      </c>
      <c r="C9083" t="s">
        <v>530</v>
      </c>
      <c r="D9083" t="s">
        <v>26</v>
      </c>
      <c r="E9083" s="208" t="s">
        <v>387</v>
      </c>
      <c r="F9083" t="s">
        <v>3</v>
      </c>
      <c r="G9083" s="18">
        <v>0</v>
      </c>
      <c r="H9083" t="s">
        <v>24</v>
      </c>
      <c r="I9083" t="s">
        <v>16</v>
      </c>
    </row>
    <row r="9084" spans="1:9" x14ac:dyDescent="0.25">
      <c r="A9084">
        <v>1824</v>
      </c>
      <c r="B9084">
        <f>A9084+1</f>
        <v>1825</v>
      </c>
      <c r="C9084" t="s">
        <v>530</v>
      </c>
      <c r="D9084" t="s">
        <v>26</v>
      </c>
      <c r="E9084" s="208" t="s">
        <v>388</v>
      </c>
      <c r="F9084" t="s">
        <v>3</v>
      </c>
      <c r="G9084" s="18">
        <v>134</v>
      </c>
      <c r="H9084" t="s">
        <v>24</v>
      </c>
      <c r="I9084" t="s">
        <v>16</v>
      </c>
    </row>
    <row r="9085" spans="1:9" x14ac:dyDescent="0.25">
      <c r="A9085">
        <v>1824</v>
      </c>
      <c r="B9085">
        <f>A9085+1</f>
        <v>1825</v>
      </c>
      <c r="C9085" t="s">
        <v>530</v>
      </c>
      <c r="D9085" t="s">
        <v>26</v>
      </c>
      <c r="E9085" s="208" t="s">
        <v>383</v>
      </c>
      <c r="F9085" t="s">
        <v>3</v>
      </c>
      <c r="G9085" s="18">
        <v>0</v>
      </c>
      <c r="H9085" t="s">
        <v>24</v>
      </c>
      <c r="I9085" t="s">
        <v>16</v>
      </c>
    </row>
    <row r="9086" spans="1:9" x14ac:dyDescent="0.25">
      <c r="A9086">
        <v>1824</v>
      </c>
      <c r="B9086">
        <f>A9086+1</f>
        <v>1825</v>
      </c>
      <c r="C9086" t="s">
        <v>530</v>
      </c>
      <c r="D9086" t="s">
        <v>26</v>
      </c>
      <c r="E9086" s="208" t="s">
        <v>384</v>
      </c>
      <c r="F9086" t="s">
        <v>3</v>
      </c>
      <c r="G9086" s="18">
        <v>0</v>
      </c>
      <c r="H9086" t="s">
        <v>24</v>
      </c>
      <c r="I9086" t="s">
        <v>16</v>
      </c>
    </row>
    <row r="9087" spans="1:9" x14ac:dyDescent="0.25">
      <c r="A9087">
        <v>1824</v>
      </c>
      <c r="B9087">
        <f>A9087+1</f>
        <v>1825</v>
      </c>
      <c r="C9087" t="s">
        <v>530</v>
      </c>
      <c r="D9087" t="s">
        <v>26</v>
      </c>
      <c r="E9087" s="208" t="s">
        <v>107</v>
      </c>
      <c r="F9087" t="s">
        <v>3</v>
      </c>
      <c r="G9087" s="18">
        <v>138510</v>
      </c>
      <c r="H9087" t="s">
        <v>24</v>
      </c>
      <c r="I9087" t="s">
        <v>16</v>
      </c>
    </row>
    <row r="9088" spans="1:9" x14ac:dyDescent="0.25">
      <c r="A9088">
        <v>1824</v>
      </c>
      <c r="B9088">
        <f>A9088+1</f>
        <v>1825</v>
      </c>
      <c r="C9088" t="s">
        <v>530</v>
      </c>
      <c r="D9088" t="s">
        <v>26</v>
      </c>
      <c r="E9088" s="208" t="s">
        <v>101</v>
      </c>
      <c r="F9088" t="s">
        <v>3</v>
      </c>
      <c r="G9088" s="18">
        <v>275500</v>
      </c>
      <c r="H9088" t="s">
        <v>24</v>
      </c>
      <c r="I9088" t="s">
        <v>16</v>
      </c>
    </row>
    <row r="9089" spans="1:9" x14ac:dyDescent="0.25">
      <c r="A9089">
        <v>1824</v>
      </c>
      <c r="B9089">
        <f>A9089+1</f>
        <v>1825</v>
      </c>
      <c r="C9089" t="s">
        <v>530</v>
      </c>
      <c r="D9089" t="s">
        <v>26</v>
      </c>
      <c r="E9089" s="208" t="s">
        <v>75</v>
      </c>
      <c r="F9089" t="s">
        <v>3</v>
      </c>
      <c r="G9089" s="18">
        <v>337040</v>
      </c>
      <c r="H9089" t="s">
        <v>24</v>
      </c>
      <c r="I9089" t="s">
        <v>16</v>
      </c>
    </row>
    <row r="9090" spans="1:9" x14ac:dyDescent="0.25">
      <c r="A9090">
        <v>1824</v>
      </c>
      <c r="B9090">
        <f>A9090+1</f>
        <v>1825</v>
      </c>
      <c r="C9090" t="s">
        <v>530</v>
      </c>
      <c r="D9090" t="s">
        <v>26</v>
      </c>
      <c r="E9090" s="208" t="s">
        <v>330</v>
      </c>
      <c r="F9090" t="s">
        <v>3</v>
      </c>
      <c r="G9090" s="18">
        <v>23</v>
      </c>
      <c r="H9090" t="s">
        <v>24</v>
      </c>
      <c r="I9090" t="s">
        <v>16</v>
      </c>
    </row>
    <row r="9091" spans="1:9" x14ac:dyDescent="0.25">
      <c r="A9091">
        <v>1824</v>
      </c>
      <c r="B9091">
        <f>A9091+1</f>
        <v>1825</v>
      </c>
      <c r="C9091" t="s">
        <v>530</v>
      </c>
      <c r="D9091" t="s">
        <v>26</v>
      </c>
      <c r="E9091" s="208" t="s">
        <v>331</v>
      </c>
      <c r="F9091" t="s">
        <v>3</v>
      </c>
      <c r="G9091" s="18">
        <v>0</v>
      </c>
      <c r="H9091" t="s">
        <v>24</v>
      </c>
      <c r="I9091" t="s">
        <v>16</v>
      </c>
    </row>
    <row r="9092" spans="1:9" x14ac:dyDescent="0.25">
      <c r="A9092">
        <v>1824</v>
      </c>
      <c r="B9092">
        <f>A9092+1</f>
        <v>1825</v>
      </c>
      <c r="C9092" t="s">
        <v>530</v>
      </c>
      <c r="D9092" t="s">
        <v>26</v>
      </c>
      <c r="E9092" s="208" t="s">
        <v>332</v>
      </c>
      <c r="F9092" t="s">
        <v>3</v>
      </c>
      <c r="G9092" s="18">
        <v>0</v>
      </c>
      <c r="H9092" t="s">
        <v>24</v>
      </c>
      <c r="I9092" t="s">
        <v>16</v>
      </c>
    </row>
    <row r="9093" spans="1:9" x14ac:dyDescent="0.25">
      <c r="A9093">
        <v>1824</v>
      </c>
      <c r="B9093">
        <f>A9093+1</f>
        <v>1825</v>
      </c>
      <c r="C9093" t="s">
        <v>530</v>
      </c>
      <c r="D9093" t="s">
        <v>26</v>
      </c>
      <c r="E9093" s="208" t="s">
        <v>333</v>
      </c>
      <c r="F9093" t="s">
        <v>3</v>
      </c>
      <c r="G9093" s="18">
        <v>0</v>
      </c>
      <c r="H9093" t="s">
        <v>24</v>
      </c>
      <c r="I9093" t="s">
        <v>16</v>
      </c>
    </row>
    <row r="9094" spans="1:9" x14ac:dyDescent="0.25">
      <c r="A9094">
        <v>1824</v>
      </c>
      <c r="B9094">
        <f>A9094+1</f>
        <v>1825</v>
      </c>
      <c r="C9094" t="s">
        <v>530</v>
      </c>
      <c r="D9094" t="s">
        <v>27</v>
      </c>
      <c r="E9094" s="208" t="s">
        <v>155</v>
      </c>
      <c r="F9094" t="s">
        <v>6</v>
      </c>
      <c r="G9094" s="18">
        <v>0</v>
      </c>
      <c r="H9094" t="s">
        <v>16</v>
      </c>
      <c r="I9094" t="s">
        <v>25</v>
      </c>
    </row>
    <row r="9095" spans="1:9" x14ac:dyDescent="0.25">
      <c r="A9095">
        <v>1824</v>
      </c>
      <c r="B9095">
        <f>A9095+1</f>
        <v>1825</v>
      </c>
      <c r="C9095" t="s">
        <v>530</v>
      </c>
      <c r="D9095" t="s">
        <v>27</v>
      </c>
      <c r="E9095" s="208" t="s">
        <v>156</v>
      </c>
      <c r="F9095" t="s">
        <v>6</v>
      </c>
      <c r="G9095" s="18">
        <v>0</v>
      </c>
      <c r="H9095" t="s">
        <v>16</v>
      </c>
      <c r="I9095" t="s">
        <v>25</v>
      </c>
    </row>
    <row r="9096" spans="1:9" x14ac:dyDescent="0.25">
      <c r="A9096">
        <v>1824</v>
      </c>
      <c r="B9096">
        <f>A9096+1</f>
        <v>1825</v>
      </c>
      <c r="C9096" t="s">
        <v>530</v>
      </c>
      <c r="D9096" t="s">
        <v>27</v>
      </c>
      <c r="E9096" s="208" t="s">
        <v>154</v>
      </c>
      <c r="F9096" t="s">
        <v>6</v>
      </c>
      <c r="G9096" s="18">
        <v>8</v>
      </c>
      <c r="H9096" t="s">
        <v>16</v>
      </c>
      <c r="I9096" t="s">
        <v>25</v>
      </c>
    </row>
    <row r="9097" spans="1:9" x14ac:dyDescent="0.25">
      <c r="A9097">
        <v>1824</v>
      </c>
      <c r="B9097">
        <f>A9097+1</f>
        <v>1825</v>
      </c>
      <c r="C9097" t="s">
        <v>530</v>
      </c>
      <c r="D9097" t="s">
        <v>27</v>
      </c>
      <c r="E9097" s="208" t="s">
        <v>150</v>
      </c>
      <c r="F9097" t="s">
        <v>6</v>
      </c>
      <c r="G9097" s="18">
        <v>251</v>
      </c>
      <c r="H9097" t="s">
        <v>16</v>
      </c>
      <c r="I9097" t="s">
        <v>25</v>
      </c>
    </row>
    <row r="9098" spans="1:9" x14ac:dyDescent="0.25">
      <c r="A9098">
        <v>1824</v>
      </c>
      <c r="B9098">
        <f>A9098+1</f>
        <v>1825</v>
      </c>
      <c r="C9098" t="s">
        <v>530</v>
      </c>
      <c r="D9098" t="s">
        <v>27</v>
      </c>
      <c r="E9098" s="208" t="s">
        <v>148</v>
      </c>
      <c r="F9098" t="s">
        <v>6</v>
      </c>
      <c r="G9098" s="18">
        <v>31</v>
      </c>
      <c r="H9098" t="s">
        <v>16</v>
      </c>
      <c r="I9098" t="s">
        <v>25</v>
      </c>
    </row>
    <row r="9099" spans="1:9" x14ac:dyDescent="0.25">
      <c r="A9099">
        <v>1824</v>
      </c>
      <c r="B9099">
        <f>A9099+1</f>
        <v>1825</v>
      </c>
      <c r="C9099" t="s">
        <v>530</v>
      </c>
      <c r="D9099" t="s">
        <v>27</v>
      </c>
      <c r="E9099" s="208" t="s">
        <v>147</v>
      </c>
      <c r="F9099" t="s">
        <v>6</v>
      </c>
      <c r="G9099" s="18">
        <v>0</v>
      </c>
      <c r="H9099" t="s">
        <v>16</v>
      </c>
      <c r="I9099" t="s">
        <v>25</v>
      </c>
    </row>
    <row r="9100" spans="1:9" x14ac:dyDescent="0.25">
      <c r="A9100">
        <v>1824</v>
      </c>
      <c r="B9100">
        <f>A9100+1</f>
        <v>1825</v>
      </c>
      <c r="C9100" t="s">
        <v>530</v>
      </c>
      <c r="D9100" t="s">
        <v>27</v>
      </c>
      <c r="E9100" s="208" t="s">
        <v>314</v>
      </c>
      <c r="F9100" t="s">
        <v>6</v>
      </c>
      <c r="G9100" s="18">
        <v>211</v>
      </c>
      <c r="H9100" t="s">
        <v>16</v>
      </c>
      <c r="I9100" t="s">
        <v>25</v>
      </c>
    </row>
    <row r="9101" spans="1:9" x14ac:dyDescent="0.25">
      <c r="A9101">
        <v>1824</v>
      </c>
      <c r="B9101">
        <f>A9101+1</f>
        <v>1825</v>
      </c>
      <c r="C9101" t="s">
        <v>530</v>
      </c>
      <c r="D9101" t="s">
        <v>27</v>
      </c>
      <c r="E9101" s="208" t="s">
        <v>139</v>
      </c>
      <c r="F9101" t="s">
        <v>6</v>
      </c>
      <c r="G9101" s="18">
        <v>1</v>
      </c>
      <c r="H9101" t="s">
        <v>16</v>
      </c>
      <c r="I9101" t="s">
        <v>25</v>
      </c>
    </row>
    <row r="9102" spans="1:9" x14ac:dyDescent="0.25">
      <c r="A9102">
        <v>1824</v>
      </c>
      <c r="B9102">
        <f>A9102+1</f>
        <v>1825</v>
      </c>
      <c r="C9102" t="s">
        <v>530</v>
      </c>
      <c r="D9102" t="s">
        <v>27</v>
      </c>
      <c r="E9102" s="208" t="s">
        <v>131</v>
      </c>
      <c r="F9102" t="s">
        <v>6</v>
      </c>
      <c r="G9102" s="18">
        <v>0</v>
      </c>
      <c r="H9102" t="s">
        <v>16</v>
      </c>
      <c r="I9102" t="s">
        <v>25</v>
      </c>
    </row>
    <row r="9103" spans="1:9" x14ac:dyDescent="0.25">
      <c r="A9103">
        <v>1824</v>
      </c>
      <c r="B9103">
        <f>A9103+1</f>
        <v>1825</v>
      </c>
      <c r="C9103" t="s">
        <v>530</v>
      </c>
      <c r="D9103" t="s">
        <v>27</v>
      </c>
      <c r="E9103" s="208" t="s">
        <v>130</v>
      </c>
      <c r="F9103" t="s">
        <v>6</v>
      </c>
      <c r="G9103" s="18">
        <v>0</v>
      </c>
      <c r="H9103" t="s">
        <v>16</v>
      </c>
      <c r="I9103" t="s">
        <v>25</v>
      </c>
    </row>
    <row r="9104" spans="1:9" x14ac:dyDescent="0.25">
      <c r="A9104">
        <v>1824</v>
      </c>
      <c r="B9104">
        <f>A9104+1</f>
        <v>1825</v>
      </c>
      <c r="C9104" t="s">
        <v>530</v>
      </c>
      <c r="D9104" t="s">
        <v>27</v>
      </c>
      <c r="E9104" s="208" t="s">
        <v>143</v>
      </c>
      <c r="F9104" t="s">
        <v>6</v>
      </c>
      <c r="G9104" s="18">
        <v>0</v>
      </c>
      <c r="H9104" t="s">
        <v>16</v>
      </c>
      <c r="I9104" t="s">
        <v>25</v>
      </c>
    </row>
    <row r="9105" spans="1:9" x14ac:dyDescent="0.25">
      <c r="A9105">
        <v>1824</v>
      </c>
      <c r="B9105">
        <f>A9105+1</f>
        <v>1825</v>
      </c>
      <c r="C9105" t="s">
        <v>530</v>
      </c>
      <c r="D9105" t="s">
        <v>27</v>
      </c>
      <c r="E9105" s="208" t="s">
        <v>142</v>
      </c>
      <c r="F9105" t="s">
        <v>6</v>
      </c>
      <c r="G9105" s="18">
        <v>0</v>
      </c>
      <c r="H9105" t="s">
        <v>16</v>
      </c>
      <c r="I9105" t="s">
        <v>25</v>
      </c>
    </row>
    <row r="9106" spans="1:9" x14ac:dyDescent="0.25">
      <c r="A9106">
        <v>1824</v>
      </c>
      <c r="B9106">
        <f>A9106+1</f>
        <v>1825</v>
      </c>
      <c r="C9106" t="s">
        <v>530</v>
      </c>
      <c r="D9106" t="s">
        <v>26</v>
      </c>
      <c r="E9106" s="208" t="s">
        <v>62</v>
      </c>
      <c r="F9106" t="s">
        <v>6</v>
      </c>
      <c r="G9106" s="18">
        <v>1654</v>
      </c>
      <c r="H9106" t="s">
        <v>25</v>
      </c>
      <c r="I9106" t="s">
        <v>16</v>
      </c>
    </row>
    <row r="9107" spans="1:9" x14ac:dyDescent="0.25">
      <c r="A9107">
        <v>1824</v>
      </c>
      <c r="B9107">
        <f>A9107+1</f>
        <v>1825</v>
      </c>
      <c r="C9107" t="s">
        <v>530</v>
      </c>
      <c r="D9107" t="s">
        <v>26</v>
      </c>
      <c r="E9107" s="208" t="s">
        <v>36</v>
      </c>
      <c r="F9107" t="s">
        <v>6</v>
      </c>
      <c r="G9107" s="18">
        <v>0</v>
      </c>
      <c r="H9107" t="s">
        <v>25</v>
      </c>
      <c r="I9107" t="s">
        <v>16</v>
      </c>
    </row>
    <row r="9108" spans="1:9" x14ac:dyDescent="0.25">
      <c r="A9108">
        <v>1824</v>
      </c>
      <c r="B9108">
        <f>A9108+1</f>
        <v>1825</v>
      </c>
      <c r="C9108" t="s">
        <v>530</v>
      </c>
      <c r="D9108" t="s">
        <v>26</v>
      </c>
      <c r="E9108" s="208" t="s">
        <v>35</v>
      </c>
      <c r="F9108" t="s">
        <v>6</v>
      </c>
      <c r="G9108" s="18">
        <v>0</v>
      </c>
      <c r="H9108" t="s">
        <v>25</v>
      </c>
      <c r="I9108" t="s">
        <v>16</v>
      </c>
    </row>
    <row r="9109" spans="1:9" x14ac:dyDescent="0.25">
      <c r="A9109">
        <v>1824</v>
      </c>
      <c r="B9109">
        <f>A9109+1</f>
        <v>1825</v>
      </c>
      <c r="C9109" t="s">
        <v>530</v>
      </c>
      <c r="D9109" t="s">
        <v>26</v>
      </c>
      <c r="E9109" s="208" t="s">
        <v>39</v>
      </c>
      <c r="F9109" t="s">
        <v>6</v>
      </c>
      <c r="G9109" s="18">
        <v>0</v>
      </c>
      <c r="H9109" t="s">
        <v>25</v>
      </c>
      <c r="I9109" t="s">
        <v>16</v>
      </c>
    </row>
    <row r="9110" spans="1:9" x14ac:dyDescent="0.25">
      <c r="A9110">
        <v>1824</v>
      </c>
      <c r="B9110">
        <f>A9110+1</f>
        <v>1825</v>
      </c>
      <c r="C9110" t="s">
        <v>530</v>
      </c>
      <c r="D9110" t="s">
        <v>26</v>
      </c>
      <c r="E9110" s="208" t="s">
        <v>99</v>
      </c>
      <c r="F9110" t="s">
        <v>6</v>
      </c>
      <c r="G9110" s="18">
        <v>5</v>
      </c>
      <c r="H9110" t="s">
        <v>25</v>
      </c>
      <c r="I9110" t="s">
        <v>16</v>
      </c>
    </row>
    <row r="9111" spans="1:9" x14ac:dyDescent="0.25">
      <c r="A9111">
        <v>1824</v>
      </c>
      <c r="B9111">
        <f>A9111+1</f>
        <v>1825</v>
      </c>
      <c r="C9111" t="s">
        <v>530</v>
      </c>
      <c r="D9111" t="s">
        <v>26</v>
      </c>
      <c r="E9111" s="208" t="s">
        <v>94</v>
      </c>
      <c r="F9111" t="s">
        <v>6</v>
      </c>
      <c r="G9111" s="18">
        <v>170</v>
      </c>
      <c r="H9111" t="s">
        <v>25</v>
      </c>
      <c r="I9111" t="s">
        <v>16</v>
      </c>
    </row>
    <row r="9112" spans="1:9" x14ac:dyDescent="0.25">
      <c r="A9112">
        <v>1824</v>
      </c>
      <c r="B9112">
        <f>A9112+1</f>
        <v>1825</v>
      </c>
      <c r="C9112" t="s">
        <v>530</v>
      </c>
      <c r="D9112" t="s">
        <v>26</v>
      </c>
      <c r="E9112" s="208" t="s">
        <v>386</v>
      </c>
      <c r="F9112" t="s">
        <v>6</v>
      </c>
      <c r="G9112" s="18">
        <v>7165</v>
      </c>
      <c r="H9112" t="s">
        <v>25</v>
      </c>
      <c r="I9112" t="s">
        <v>16</v>
      </c>
    </row>
    <row r="9113" spans="1:9" x14ac:dyDescent="0.25">
      <c r="A9113">
        <v>1824</v>
      </c>
      <c r="B9113">
        <f>A9113+1</f>
        <v>1825</v>
      </c>
      <c r="C9113" t="s">
        <v>530</v>
      </c>
      <c r="D9113" t="s">
        <v>26</v>
      </c>
      <c r="E9113" s="208" t="s">
        <v>387</v>
      </c>
      <c r="F9113" t="s">
        <v>6</v>
      </c>
      <c r="G9113" s="18">
        <v>81</v>
      </c>
      <c r="H9113" t="s">
        <v>25</v>
      </c>
      <c r="I9113" t="s">
        <v>16</v>
      </c>
    </row>
    <row r="9114" spans="1:9" x14ac:dyDescent="0.25">
      <c r="A9114">
        <v>1824</v>
      </c>
      <c r="B9114">
        <f>A9114+1</f>
        <v>1825</v>
      </c>
      <c r="C9114" t="s">
        <v>530</v>
      </c>
      <c r="D9114" t="s">
        <v>26</v>
      </c>
      <c r="E9114" s="208" t="s">
        <v>388</v>
      </c>
      <c r="F9114" t="s">
        <v>6</v>
      </c>
      <c r="G9114" s="18">
        <v>197</v>
      </c>
      <c r="H9114" t="s">
        <v>25</v>
      </c>
      <c r="I9114" t="s">
        <v>16</v>
      </c>
    </row>
    <row r="9115" spans="1:9" x14ac:dyDescent="0.25">
      <c r="A9115">
        <v>1824</v>
      </c>
      <c r="B9115">
        <f>A9115+1</f>
        <v>1825</v>
      </c>
      <c r="C9115" t="s">
        <v>530</v>
      </c>
      <c r="D9115" t="s">
        <v>26</v>
      </c>
      <c r="E9115" s="208" t="s">
        <v>383</v>
      </c>
      <c r="F9115" t="s">
        <v>6</v>
      </c>
      <c r="G9115" s="18">
        <v>61</v>
      </c>
      <c r="H9115" t="s">
        <v>25</v>
      </c>
      <c r="I9115" t="s">
        <v>16</v>
      </c>
    </row>
    <row r="9116" spans="1:9" x14ac:dyDescent="0.25">
      <c r="A9116">
        <v>1824</v>
      </c>
      <c r="B9116">
        <f>A9116+1</f>
        <v>1825</v>
      </c>
      <c r="C9116" t="s">
        <v>530</v>
      </c>
      <c r="D9116" t="s">
        <v>26</v>
      </c>
      <c r="E9116" s="208" t="s">
        <v>384</v>
      </c>
      <c r="F9116" t="s">
        <v>6</v>
      </c>
      <c r="G9116" s="18">
        <v>81</v>
      </c>
      <c r="H9116" t="s">
        <v>25</v>
      </c>
      <c r="I9116" t="s">
        <v>16</v>
      </c>
    </row>
    <row r="9117" spans="1:9" x14ac:dyDescent="0.25">
      <c r="A9117">
        <v>1824</v>
      </c>
      <c r="B9117">
        <f>A9117+1</f>
        <v>1825</v>
      </c>
      <c r="C9117" t="s">
        <v>530</v>
      </c>
      <c r="D9117" t="s">
        <v>26</v>
      </c>
      <c r="E9117" s="208" t="s">
        <v>107</v>
      </c>
      <c r="F9117" t="s">
        <v>6</v>
      </c>
      <c r="G9117" s="18">
        <v>0</v>
      </c>
      <c r="H9117" t="s">
        <v>25</v>
      </c>
      <c r="I9117" t="s">
        <v>16</v>
      </c>
    </row>
    <row r="9118" spans="1:9" x14ac:dyDescent="0.25">
      <c r="A9118">
        <v>1824</v>
      </c>
      <c r="B9118">
        <f>A9118+1</f>
        <v>1825</v>
      </c>
      <c r="C9118" t="s">
        <v>530</v>
      </c>
      <c r="D9118" t="s">
        <v>26</v>
      </c>
      <c r="E9118" s="208" t="s">
        <v>101</v>
      </c>
      <c r="F9118" t="s">
        <v>6</v>
      </c>
      <c r="G9118" s="18">
        <v>0</v>
      </c>
      <c r="H9118" t="s">
        <v>25</v>
      </c>
      <c r="I9118" t="s">
        <v>16</v>
      </c>
    </row>
    <row r="9119" spans="1:9" x14ac:dyDescent="0.25">
      <c r="A9119">
        <v>1824</v>
      </c>
      <c r="B9119">
        <f>A9119+1</f>
        <v>1825</v>
      </c>
      <c r="C9119" t="s">
        <v>530</v>
      </c>
      <c r="D9119" t="s">
        <v>26</v>
      </c>
      <c r="E9119" s="208" t="s">
        <v>75</v>
      </c>
      <c r="F9119" t="s">
        <v>6</v>
      </c>
      <c r="G9119" s="18">
        <v>0</v>
      </c>
      <c r="H9119" t="s">
        <v>25</v>
      </c>
      <c r="I9119" t="s">
        <v>16</v>
      </c>
    </row>
    <row r="9120" spans="1:9" x14ac:dyDescent="0.25">
      <c r="A9120">
        <v>1824</v>
      </c>
      <c r="B9120">
        <f>A9120+1</f>
        <v>1825</v>
      </c>
      <c r="C9120" t="s">
        <v>530</v>
      </c>
      <c r="D9120" t="s">
        <v>26</v>
      </c>
      <c r="E9120" s="208" t="s">
        <v>330</v>
      </c>
      <c r="F9120" t="s">
        <v>6</v>
      </c>
      <c r="G9120" s="18">
        <v>22</v>
      </c>
      <c r="H9120" t="s">
        <v>25</v>
      </c>
      <c r="I9120" t="s">
        <v>16</v>
      </c>
    </row>
    <row r="9121" spans="1:9" x14ac:dyDescent="0.25">
      <c r="A9121">
        <v>1824</v>
      </c>
      <c r="B9121">
        <f>A9121+1</f>
        <v>1825</v>
      </c>
      <c r="C9121" t="s">
        <v>530</v>
      </c>
      <c r="D9121" t="s">
        <v>26</v>
      </c>
      <c r="E9121" s="208" t="s">
        <v>331</v>
      </c>
      <c r="F9121" t="s">
        <v>6</v>
      </c>
      <c r="G9121" s="18">
        <v>155</v>
      </c>
      <c r="H9121" t="s">
        <v>25</v>
      </c>
      <c r="I9121" t="s">
        <v>16</v>
      </c>
    </row>
    <row r="9122" spans="1:9" x14ac:dyDescent="0.25">
      <c r="A9122">
        <v>1824</v>
      </c>
      <c r="B9122">
        <f>A9122+1</f>
        <v>1825</v>
      </c>
      <c r="C9122" t="s">
        <v>530</v>
      </c>
      <c r="D9122" t="s">
        <v>26</v>
      </c>
      <c r="E9122" s="208" t="s">
        <v>332</v>
      </c>
      <c r="F9122" t="s">
        <v>6</v>
      </c>
      <c r="G9122" s="18">
        <v>86</v>
      </c>
      <c r="H9122" t="s">
        <v>25</v>
      </c>
      <c r="I9122" t="s">
        <v>16</v>
      </c>
    </row>
    <row r="9123" spans="1:9" x14ac:dyDescent="0.25">
      <c r="A9123">
        <v>1824</v>
      </c>
      <c r="B9123">
        <f>A9123+1</f>
        <v>1825</v>
      </c>
      <c r="C9123" t="s">
        <v>530</v>
      </c>
      <c r="D9123" t="s">
        <v>26</v>
      </c>
      <c r="E9123" s="208" t="s">
        <v>333</v>
      </c>
      <c r="F9123" t="s">
        <v>6</v>
      </c>
      <c r="G9123" s="18">
        <v>1</v>
      </c>
      <c r="H9123" t="s">
        <v>25</v>
      </c>
      <c r="I9123" t="s">
        <v>16</v>
      </c>
    </row>
    <row r="9124" spans="1:9" x14ac:dyDescent="0.25">
      <c r="A9124">
        <v>1824</v>
      </c>
      <c r="B9124">
        <f>A9124+1</f>
        <v>1825</v>
      </c>
      <c r="C9124" t="s">
        <v>530</v>
      </c>
      <c r="D9124" t="s">
        <v>27</v>
      </c>
      <c r="E9124" s="208" t="s">
        <v>155</v>
      </c>
      <c r="F9124" t="s">
        <v>0</v>
      </c>
      <c r="G9124" s="18">
        <v>15098</v>
      </c>
      <c r="H9124" t="s">
        <v>16</v>
      </c>
      <c r="I9124" t="s">
        <v>18</v>
      </c>
    </row>
    <row r="9125" spans="1:9" x14ac:dyDescent="0.25">
      <c r="A9125">
        <v>1824</v>
      </c>
      <c r="B9125">
        <f>A9125+1</f>
        <v>1825</v>
      </c>
      <c r="C9125" t="s">
        <v>530</v>
      </c>
      <c r="D9125" t="s">
        <v>27</v>
      </c>
      <c r="E9125" s="208" t="s">
        <v>156</v>
      </c>
      <c r="F9125" t="s">
        <v>0</v>
      </c>
      <c r="G9125" s="18">
        <v>644</v>
      </c>
      <c r="H9125" t="s">
        <v>16</v>
      </c>
      <c r="I9125" t="s">
        <v>18</v>
      </c>
    </row>
    <row r="9126" spans="1:9" x14ac:dyDescent="0.25">
      <c r="A9126">
        <v>1824</v>
      </c>
      <c r="B9126">
        <f>A9126+1</f>
        <v>1825</v>
      </c>
      <c r="C9126" t="s">
        <v>530</v>
      </c>
      <c r="D9126" t="s">
        <v>27</v>
      </c>
      <c r="E9126" s="208" t="s">
        <v>154</v>
      </c>
      <c r="F9126" t="s">
        <v>0</v>
      </c>
      <c r="G9126" s="18">
        <v>473</v>
      </c>
      <c r="H9126" t="s">
        <v>16</v>
      </c>
      <c r="I9126" t="s">
        <v>18</v>
      </c>
    </row>
    <row r="9127" spans="1:9" x14ac:dyDescent="0.25">
      <c r="A9127">
        <v>1824</v>
      </c>
      <c r="B9127">
        <f>A9127+1</f>
        <v>1825</v>
      </c>
      <c r="C9127" t="s">
        <v>530</v>
      </c>
      <c r="D9127" t="s">
        <v>27</v>
      </c>
      <c r="E9127" s="208" t="s">
        <v>150</v>
      </c>
      <c r="F9127" t="s">
        <v>0</v>
      </c>
      <c r="G9127" s="18">
        <v>3803</v>
      </c>
      <c r="H9127" t="s">
        <v>16</v>
      </c>
      <c r="I9127" t="s">
        <v>18</v>
      </c>
    </row>
    <row r="9128" spans="1:9" x14ac:dyDescent="0.25">
      <c r="A9128">
        <v>1824</v>
      </c>
      <c r="B9128">
        <f>A9128+1</f>
        <v>1825</v>
      </c>
      <c r="C9128" t="s">
        <v>530</v>
      </c>
      <c r="D9128" t="s">
        <v>27</v>
      </c>
      <c r="E9128" s="208" t="s">
        <v>148</v>
      </c>
      <c r="F9128" t="s">
        <v>0</v>
      </c>
      <c r="G9128" s="18">
        <v>320</v>
      </c>
      <c r="H9128" t="s">
        <v>16</v>
      </c>
      <c r="I9128" t="s">
        <v>18</v>
      </c>
    </row>
    <row r="9129" spans="1:9" x14ac:dyDescent="0.25">
      <c r="A9129">
        <v>1824</v>
      </c>
      <c r="B9129">
        <f>A9129+1</f>
        <v>1825</v>
      </c>
      <c r="C9129" t="s">
        <v>530</v>
      </c>
      <c r="D9129" t="s">
        <v>27</v>
      </c>
      <c r="E9129" s="208" t="s">
        <v>147</v>
      </c>
      <c r="F9129" t="s">
        <v>0</v>
      </c>
      <c r="G9129" s="18">
        <v>0</v>
      </c>
      <c r="H9129" t="s">
        <v>16</v>
      </c>
      <c r="I9129" t="s">
        <v>18</v>
      </c>
    </row>
    <row r="9130" spans="1:9" x14ac:dyDescent="0.25">
      <c r="A9130">
        <v>1824</v>
      </c>
      <c r="B9130">
        <f>A9130+1</f>
        <v>1825</v>
      </c>
      <c r="C9130" t="s">
        <v>530</v>
      </c>
      <c r="D9130" t="s">
        <v>27</v>
      </c>
      <c r="E9130" s="208" t="s">
        <v>314</v>
      </c>
      <c r="F9130" t="s">
        <v>0</v>
      </c>
      <c r="G9130" s="18">
        <v>0</v>
      </c>
      <c r="H9130" t="s">
        <v>16</v>
      </c>
      <c r="I9130" t="s">
        <v>18</v>
      </c>
    </row>
    <row r="9131" spans="1:9" x14ac:dyDescent="0.25">
      <c r="A9131">
        <v>1824</v>
      </c>
      <c r="B9131">
        <f>A9131+1</f>
        <v>1825</v>
      </c>
      <c r="C9131" t="s">
        <v>530</v>
      </c>
      <c r="D9131" t="s">
        <v>27</v>
      </c>
      <c r="E9131" s="208" t="s">
        <v>139</v>
      </c>
      <c r="F9131" t="s">
        <v>0</v>
      </c>
      <c r="G9131" s="18">
        <v>97</v>
      </c>
      <c r="H9131" t="s">
        <v>16</v>
      </c>
      <c r="I9131" t="s">
        <v>18</v>
      </c>
    </row>
    <row r="9132" spans="1:9" x14ac:dyDescent="0.25">
      <c r="A9132">
        <v>1824</v>
      </c>
      <c r="B9132">
        <f>A9132+1</f>
        <v>1825</v>
      </c>
      <c r="C9132" t="s">
        <v>530</v>
      </c>
      <c r="D9132" t="s">
        <v>27</v>
      </c>
      <c r="E9132" s="208" t="s">
        <v>131</v>
      </c>
      <c r="F9132" t="s">
        <v>0</v>
      </c>
      <c r="G9132" s="18">
        <v>367</v>
      </c>
      <c r="H9132" t="s">
        <v>16</v>
      </c>
      <c r="I9132" t="s">
        <v>18</v>
      </c>
    </row>
    <row r="9133" spans="1:9" x14ac:dyDescent="0.25">
      <c r="A9133">
        <v>1824</v>
      </c>
      <c r="B9133">
        <f>A9133+1</f>
        <v>1825</v>
      </c>
      <c r="C9133" t="s">
        <v>530</v>
      </c>
      <c r="D9133" t="s">
        <v>27</v>
      </c>
      <c r="E9133" s="208" t="s">
        <v>130</v>
      </c>
      <c r="F9133" t="s">
        <v>0</v>
      </c>
      <c r="G9133" s="18">
        <v>85</v>
      </c>
      <c r="H9133" t="s">
        <v>16</v>
      </c>
      <c r="I9133" t="s">
        <v>18</v>
      </c>
    </row>
    <row r="9134" spans="1:9" x14ac:dyDescent="0.25">
      <c r="A9134">
        <v>1824</v>
      </c>
      <c r="B9134">
        <f>A9134+1</f>
        <v>1825</v>
      </c>
      <c r="C9134" t="s">
        <v>530</v>
      </c>
      <c r="D9134" t="s">
        <v>27</v>
      </c>
      <c r="E9134" s="208" t="s">
        <v>143</v>
      </c>
      <c r="F9134" t="s">
        <v>0</v>
      </c>
      <c r="G9134" s="18">
        <v>132</v>
      </c>
      <c r="H9134" t="s">
        <v>16</v>
      </c>
      <c r="I9134" t="s">
        <v>18</v>
      </c>
    </row>
    <row r="9135" spans="1:9" x14ac:dyDescent="0.25">
      <c r="A9135">
        <v>1824</v>
      </c>
      <c r="B9135">
        <f>A9135+1</f>
        <v>1825</v>
      </c>
      <c r="C9135" t="s">
        <v>530</v>
      </c>
      <c r="D9135" t="s">
        <v>27</v>
      </c>
      <c r="E9135" s="208" t="s">
        <v>142</v>
      </c>
      <c r="F9135" t="s">
        <v>0</v>
      </c>
      <c r="G9135" s="18">
        <v>1312</v>
      </c>
      <c r="H9135" t="s">
        <v>16</v>
      </c>
      <c r="I9135" t="s">
        <v>18</v>
      </c>
    </row>
    <row r="9136" spans="1:9" x14ac:dyDescent="0.25">
      <c r="A9136">
        <v>1824</v>
      </c>
      <c r="B9136">
        <f>A9136+1</f>
        <v>1825</v>
      </c>
      <c r="C9136" t="s">
        <v>530</v>
      </c>
      <c r="D9136" t="s">
        <v>27</v>
      </c>
      <c r="E9136" s="208" t="s">
        <v>124</v>
      </c>
      <c r="F9136" t="s">
        <v>0</v>
      </c>
      <c r="G9136" s="18">
        <v>10300328</v>
      </c>
      <c r="H9136" t="s">
        <v>16</v>
      </c>
      <c r="I9136" t="s">
        <v>18</v>
      </c>
    </row>
    <row r="9137" spans="1:9" x14ac:dyDescent="0.25">
      <c r="A9137">
        <v>1824</v>
      </c>
      <c r="B9137">
        <f>A9137+1</f>
        <v>1825</v>
      </c>
      <c r="C9137" t="s">
        <v>530</v>
      </c>
      <c r="D9137" t="s">
        <v>26</v>
      </c>
      <c r="E9137" s="208" t="s">
        <v>62</v>
      </c>
      <c r="F9137" t="s">
        <v>169</v>
      </c>
      <c r="G9137" s="18">
        <v>8532</v>
      </c>
      <c r="H9137" t="s">
        <v>160</v>
      </c>
      <c r="I9137" t="s">
        <v>16</v>
      </c>
    </row>
    <row r="9138" spans="1:9" x14ac:dyDescent="0.25">
      <c r="A9138">
        <v>1824</v>
      </c>
      <c r="B9138">
        <f>A9138+1</f>
        <v>1825</v>
      </c>
      <c r="C9138" t="s">
        <v>530</v>
      </c>
      <c r="D9138" t="s">
        <v>26</v>
      </c>
      <c r="E9138" s="208" t="s">
        <v>36</v>
      </c>
      <c r="F9138" t="s">
        <v>169</v>
      </c>
      <c r="G9138" s="18">
        <v>300</v>
      </c>
      <c r="H9138" t="s">
        <v>160</v>
      </c>
      <c r="I9138" t="s">
        <v>16</v>
      </c>
    </row>
    <row r="9139" spans="1:9" x14ac:dyDescent="0.25">
      <c r="A9139">
        <v>1824</v>
      </c>
      <c r="B9139">
        <f>A9139+1</f>
        <v>1825</v>
      </c>
      <c r="C9139" t="s">
        <v>530</v>
      </c>
      <c r="D9139" t="s">
        <v>26</v>
      </c>
      <c r="E9139" s="208" t="s">
        <v>35</v>
      </c>
      <c r="F9139" t="s">
        <v>169</v>
      </c>
      <c r="G9139" s="18">
        <v>3610</v>
      </c>
      <c r="H9139" t="s">
        <v>160</v>
      </c>
      <c r="I9139" t="s">
        <v>16</v>
      </c>
    </row>
    <row r="9140" spans="1:9" x14ac:dyDescent="0.25">
      <c r="A9140">
        <v>1824</v>
      </c>
      <c r="B9140">
        <f>A9140+1</f>
        <v>1825</v>
      </c>
      <c r="C9140" t="s">
        <v>530</v>
      </c>
      <c r="D9140" t="s">
        <v>26</v>
      </c>
      <c r="E9140" s="208" t="s">
        <v>39</v>
      </c>
      <c r="F9140" t="s">
        <v>169</v>
      </c>
      <c r="G9140" s="18">
        <v>0</v>
      </c>
      <c r="H9140" t="s">
        <v>160</v>
      </c>
      <c r="I9140" t="s">
        <v>16</v>
      </c>
    </row>
    <row r="9141" spans="1:9" x14ac:dyDescent="0.25">
      <c r="A9141">
        <v>1824</v>
      </c>
      <c r="B9141">
        <f>A9141+1</f>
        <v>1825</v>
      </c>
      <c r="C9141" t="s">
        <v>530</v>
      </c>
      <c r="D9141" t="s">
        <v>26</v>
      </c>
      <c r="E9141" s="208" t="s">
        <v>99</v>
      </c>
      <c r="F9141" t="s">
        <v>169</v>
      </c>
      <c r="G9141" s="18">
        <v>231</v>
      </c>
      <c r="H9141" t="s">
        <v>160</v>
      </c>
      <c r="I9141" t="s">
        <v>16</v>
      </c>
    </row>
    <row r="9142" spans="1:9" x14ac:dyDescent="0.25">
      <c r="A9142">
        <v>1824</v>
      </c>
      <c r="B9142">
        <f>A9142+1</f>
        <v>1825</v>
      </c>
      <c r="C9142" t="s">
        <v>530</v>
      </c>
      <c r="D9142" t="s">
        <v>26</v>
      </c>
      <c r="E9142" s="208" t="s">
        <v>94</v>
      </c>
      <c r="F9142" t="s">
        <v>169</v>
      </c>
      <c r="G9142" s="18">
        <v>22</v>
      </c>
      <c r="H9142" t="s">
        <v>160</v>
      </c>
      <c r="I9142" t="s">
        <v>16</v>
      </c>
    </row>
    <row r="9143" spans="1:9" x14ac:dyDescent="0.25">
      <c r="A9143">
        <v>1824</v>
      </c>
      <c r="B9143">
        <f>A9143+1</f>
        <v>1825</v>
      </c>
      <c r="C9143" t="s">
        <v>530</v>
      </c>
      <c r="D9143" t="s">
        <v>26</v>
      </c>
      <c r="E9143" s="208" t="s">
        <v>386</v>
      </c>
      <c r="F9143" t="s">
        <v>169</v>
      </c>
      <c r="G9143" s="18">
        <v>0</v>
      </c>
      <c r="H9143" t="s">
        <v>160</v>
      </c>
      <c r="I9143" t="s">
        <v>16</v>
      </c>
    </row>
    <row r="9144" spans="1:9" x14ac:dyDescent="0.25">
      <c r="A9144">
        <v>1824</v>
      </c>
      <c r="B9144">
        <f>A9144+1</f>
        <v>1825</v>
      </c>
      <c r="C9144" t="s">
        <v>530</v>
      </c>
      <c r="D9144" t="s">
        <v>26</v>
      </c>
      <c r="E9144" s="208" t="s">
        <v>387</v>
      </c>
      <c r="F9144" t="s">
        <v>169</v>
      </c>
      <c r="G9144" s="18">
        <v>0</v>
      </c>
      <c r="H9144" t="s">
        <v>160</v>
      </c>
      <c r="I9144" t="s">
        <v>16</v>
      </c>
    </row>
    <row r="9145" spans="1:9" x14ac:dyDescent="0.25">
      <c r="A9145">
        <v>1824</v>
      </c>
      <c r="B9145">
        <f>A9145+1</f>
        <v>1825</v>
      </c>
      <c r="C9145" t="s">
        <v>530</v>
      </c>
      <c r="D9145" t="s">
        <v>26</v>
      </c>
      <c r="E9145" s="208" t="s">
        <v>388</v>
      </c>
      <c r="F9145" t="s">
        <v>169</v>
      </c>
      <c r="G9145" s="18">
        <v>0</v>
      </c>
      <c r="H9145" t="s">
        <v>160</v>
      </c>
      <c r="I9145" t="s">
        <v>16</v>
      </c>
    </row>
    <row r="9146" spans="1:9" x14ac:dyDescent="0.25">
      <c r="A9146">
        <v>1824</v>
      </c>
      <c r="B9146">
        <f>A9146+1</f>
        <v>1825</v>
      </c>
      <c r="C9146" t="s">
        <v>530</v>
      </c>
      <c r="D9146" t="s">
        <v>26</v>
      </c>
      <c r="E9146" s="208" t="s">
        <v>383</v>
      </c>
      <c r="F9146" t="s">
        <v>169</v>
      </c>
      <c r="G9146" s="18">
        <v>0</v>
      </c>
      <c r="H9146" t="s">
        <v>160</v>
      </c>
      <c r="I9146" t="s">
        <v>16</v>
      </c>
    </row>
    <row r="9147" spans="1:9" x14ac:dyDescent="0.25">
      <c r="A9147">
        <v>1824</v>
      </c>
      <c r="B9147">
        <f>A9147+1</f>
        <v>1825</v>
      </c>
      <c r="C9147" t="s">
        <v>530</v>
      </c>
      <c r="D9147" t="s">
        <v>26</v>
      </c>
      <c r="E9147" s="208" t="s">
        <v>107</v>
      </c>
      <c r="F9147" t="s">
        <v>169</v>
      </c>
      <c r="G9147" s="18">
        <v>0</v>
      </c>
      <c r="H9147" t="s">
        <v>160</v>
      </c>
      <c r="I9147" t="s">
        <v>16</v>
      </c>
    </row>
    <row r="9148" spans="1:9" x14ac:dyDescent="0.25">
      <c r="A9148">
        <v>1824</v>
      </c>
      <c r="B9148">
        <f>A9148+1</f>
        <v>1825</v>
      </c>
      <c r="C9148" t="s">
        <v>530</v>
      </c>
      <c r="D9148" t="s">
        <v>26</v>
      </c>
      <c r="E9148" s="208" t="s">
        <v>101</v>
      </c>
      <c r="F9148" t="s">
        <v>169</v>
      </c>
      <c r="G9148" s="18">
        <v>0</v>
      </c>
      <c r="H9148" t="s">
        <v>160</v>
      </c>
      <c r="I9148" t="s">
        <v>16</v>
      </c>
    </row>
    <row r="9149" spans="1:9" x14ac:dyDescent="0.25">
      <c r="A9149">
        <v>1824</v>
      </c>
      <c r="B9149">
        <f>A9149+1</f>
        <v>1825</v>
      </c>
      <c r="C9149" t="s">
        <v>530</v>
      </c>
      <c r="D9149" t="s">
        <v>26</v>
      </c>
      <c r="E9149" s="208" t="s">
        <v>75</v>
      </c>
      <c r="F9149" t="s">
        <v>169</v>
      </c>
      <c r="G9149" s="18">
        <v>0</v>
      </c>
      <c r="H9149" t="s">
        <v>160</v>
      </c>
      <c r="I9149" t="s">
        <v>16</v>
      </c>
    </row>
    <row r="9150" spans="1:9" x14ac:dyDescent="0.25">
      <c r="A9150">
        <v>1824</v>
      </c>
      <c r="B9150">
        <f>A9150+1</f>
        <v>1825</v>
      </c>
      <c r="C9150" t="s">
        <v>530</v>
      </c>
      <c r="D9150" t="s">
        <v>26</v>
      </c>
      <c r="E9150" s="208" t="s">
        <v>330</v>
      </c>
      <c r="F9150" t="s">
        <v>169</v>
      </c>
      <c r="G9150" s="18">
        <v>0</v>
      </c>
      <c r="H9150" t="s">
        <v>160</v>
      </c>
      <c r="I9150" t="s">
        <v>16</v>
      </c>
    </row>
    <row r="9151" spans="1:9" x14ac:dyDescent="0.25">
      <c r="A9151">
        <v>1824</v>
      </c>
      <c r="B9151">
        <f>A9151+1</f>
        <v>1825</v>
      </c>
      <c r="C9151" t="s">
        <v>530</v>
      </c>
      <c r="D9151" t="s">
        <v>26</v>
      </c>
      <c r="E9151" s="208" t="s">
        <v>331</v>
      </c>
      <c r="F9151" t="s">
        <v>169</v>
      </c>
      <c r="G9151" s="18">
        <v>0</v>
      </c>
      <c r="H9151" t="s">
        <v>160</v>
      </c>
      <c r="I9151" t="s">
        <v>16</v>
      </c>
    </row>
    <row r="9152" spans="1:9" x14ac:dyDescent="0.25">
      <c r="A9152">
        <v>1824</v>
      </c>
      <c r="B9152">
        <f>A9152+1</f>
        <v>1825</v>
      </c>
      <c r="C9152" t="s">
        <v>530</v>
      </c>
      <c r="D9152" t="s">
        <v>26</v>
      </c>
      <c r="E9152" s="208" t="s">
        <v>332</v>
      </c>
      <c r="F9152" t="s">
        <v>169</v>
      </c>
      <c r="G9152" s="18">
        <v>0</v>
      </c>
      <c r="H9152" t="s">
        <v>160</v>
      </c>
      <c r="I9152" t="s">
        <v>16</v>
      </c>
    </row>
    <row r="9153" spans="1:9" x14ac:dyDescent="0.25">
      <c r="A9153">
        <v>1824</v>
      </c>
      <c r="B9153">
        <f>A9153+1</f>
        <v>1825</v>
      </c>
      <c r="C9153" t="s">
        <v>530</v>
      </c>
      <c r="D9153" t="s">
        <v>26</v>
      </c>
      <c r="E9153" s="208" t="s">
        <v>333</v>
      </c>
      <c r="F9153" t="s">
        <v>169</v>
      </c>
      <c r="G9153" s="18">
        <v>0</v>
      </c>
      <c r="H9153" t="s">
        <v>160</v>
      </c>
      <c r="I9153" t="s">
        <v>16</v>
      </c>
    </row>
    <row r="9154" spans="1:9" x14ac:dyDescent="0.25">
      <c r="A9154">
        <v>1824</v>
      </c>
      <c r="B9154">
        <f>A9154+1</f>
        <v>1825</v>
      </c>
      <c r="C9154" t="s">
        <v>530</v>
      </c>
      <c r="D9154" t="s">
        <v>27</v>
      </c>
      <c r="E9154" s="208" t="s">
        <v>155</v>
      </c>
      <c r="F9154" t="s">
        <v>1</v>
      </c>
      <c r="G9154" s="18">
        <v>149</v>
      </c>
      <c r="H9154" t="s">
        <v>16</v>
      </c>
      <c r="I9154" t="s">
        <v>21</v>
      </c>
    </row>
    <row r="9155" spans="1:9" x14ac:dyDescent="0.25">
      <c r="A9155">
        <v>1824</v>
      </c>
      <c r="B9155">
        <f>A9155+1</f>
        <v>1825</v>
      </c>
      <c r="C9155" t="s">
        <v>530</v>
      </c>
      <c r="D9155" t="s">
        <v>27</v>
      </c>
      <c r="E9155" s="208" t="s">
        <v>156</v>
      </c>
      <c r="F9155" t="s">
        <v>1</v>
      </c>
      <c r="G9155" s="18">
        <v>56</v>
      </c>
      <c r="H9155" t="s">
        <v>16</v>
      </c>
      <c r="I9155" t="s">
        <v>21</v>
      </c>
    </row>
    <row r="9156" spans="1:9" x14ac:dyDescent="0.25">
      <c r="A9156">
        <v>1824</v>
      </c>
      <c r="B9156">
        <f>A9156+1</f>
        <v>1825</v>
      </c>
      <c r="C9156" t="s">
        <v>530</v>
      </c>
      <c r="D9156" t="s">
        <v>27</v>
      </c>
      <c r="E9156" s="208" t="s">
        <v>154</v>
      </c>
      <c r="F9156" t="s">
        <v>1</v>
      </c>
      <c r="G9156" s="18">
        <v>36</v>
      </c>
      <c r="H9156" t="s">
        <v>16</v>
      </c>
      <c r="I9156" t="s">
        <v>21</v>
      </c>
    </row>
    <row r="9157" spans="1:9" x14ac:dyDescent="0.25">
      <c r="A9157">
        <v>1824</v>
      </c>
      <c r="B9157">
        <f>A9157+1</f>
        <v>1825</v>
      </c>
      <c r="C9157" t="s">
        <v>530</v>
      </c>
      <c r="D9157" t="s">
        <v>27</v>
      </c>
      <c r="E9157" s="208" t="s">
        <v>150</v>
      </c>
      <c r="F9157" t="s">
        <v>1</v>
      </c>
      <c r="G9157" s="18">
        <v>1</v>
      </c>
      <c r="H9157" t="s">
        <v>16</v>
      </c>
      <c r="I9157" t="s">
        <v>21</v>
      </c>
    </row>
    <row r="9158" spans="1:9" x14ac:dyDescent="0.25">
      <c r="A9158">
        <v>1824</v>
      </c>
      <c r="B9158">
        <f>A9158+1</f>
        <v>1825</v>
      </c>
      <c r="C9158" t="s">
        <v>530</v>
      </c>
      <c r="D9158" t="s">
        <v>27</v>
      </c>
      <c r="E9158" s="208" t="s">
        <v>148</v>
      </c>
      <c r="F9158" t="s">
        <v>1</v>
      </c>
      <c r="G9158" s="18">
        <v>34</v>
      </c>
      <c r="H9158" t="s">
        <v>16</v>
      </c>
      <c r="I9158" t="s">
        <v>21</v>
      </c>
    </row>
    <row r="9159" spans="1:9" x14ac:dyDescent="0.25">
      <c r="A9159">
        <v>1824</v>
      </c>
      <c r="B9159">
        <f>A9159+1</f>
        <v>1825</v>
      </c>
      <c r="C9159" t="s">
        <v>530</v>
      </c>
      <c r="D9159" t="s">
        <v>27</v>
      </c>
      <c r="E9159" s="208" t="s">
        <v>147</v>
      </c>
      <c r="F9159" t="s">
        <v>1</v>
      </c>
      <c r="G9159" s="18">
        <v>0</v>
      </c>
      <c r="H9159" t="s">
        <v>16</v>
      </c>
      <c r="I9159" t="s">
        <v>21</v>
      </c>
    </row>
    <row r="9160" spans="1:9" x14ac:dyDescent="0.25">
      <c r="A9160">
        <v>1824</v>
      </c>
      <c r="B9160">
        <f>A9160+1</f>
        <v>1825</v>
      </c>
      <c r="C9160" t="s">
        <v>530</v>
      </c>
      <c r="D9160" t="s">
        <v>27</v>
      </c>
      <c r="E9160" s="208" t="s">
        <v>314</v>
      </c>
      <c r="F9160" t="s">
        <v>1</v>
      </c>
      <c r="G9160" s="18">
        <v>0</v>
      </c>
      <c r="H9160" t="s">
        <v>16</v>
      </c>
      <c r="I9160" t="s">
        <v>21</v>
      </c>
    </row>
    <row r="9161" spans="1:9" x14ac:dyDescent="0.25">
      <c r="A9161">
        <v>1824</v>
      </c>
      <c r="B9161">
        <f>A9161+1</f>
        <v>1825</v>
      </c>
      <c r="C9161" t="s">
        <v>530</v>
      </c>
      <c r="D9161" t="s">
        <v>27</v>
      </c>
      <c r="E9161" s="208" t="s">
        <v>139</v>
      </c>
      <c r="F9161" t="s">
        <v>1</v>
      </c>
      <c r="G9161" s="18">
        <v>0</v>
      </c>
      <c r="H9161" t="s">
        <v>16</v>
      </c>
      <c r="I9161" t="s">
        <v>21</v>
      </c>
    </row>
    <row r="9162" spans="1:9" x14ac:dyDescent="0.25">
      <c r="A9162">
        <v>1824</v>
      </c>
      <c r="B9162">
        <f>A9162+1</f>
        <v>1825</v>
      </c>
      <c r="C9162" t="s">
        <v>530</v>
      </c>
      <c r="D9162" t="s">
        <v>27</v>
      </c>
      <c r="E9162" s="208" t="s">
        <v>131</v>
      </c>
      <c r="F9162" t="s">
        <v>1</v>
      </c>
      <c r="G9162" s="18">
        <v>0</v>
      </c>
      <c r="H9162" t="s">
        <v>16</v>
      </c>
      <c r="I9162" t="s">
        <v>21</v>
      </c>
    </row>
    <row r="9163" spans="1:9" x14ac:dyDescent="0.25">
      <c r="A9163">
        <v>1824</v>
      </c>
      <c r="B9163">
        <f>A9163+1</f>
        <v>1825</v>
      </c>
      <c r="C9163" t="s">
        <v>530</v>
      </c>
      <c r="D9163" t="s">
        <v>27</v>
      </c>
      <c r="E9163" s="208" t="s">
        <v>130</v>
      </c>
      <c r="F9163" t="s">
        <v>1</v>
      </c>
      <c r="G9163" s="18">
        <v>0</v>
      </c>
      <c r="H9163" t="s">
        <v>16</v>
      </c>
      <c r="I9163" t="s">
        <v>21</v>
      </c>
    </row>
    <row r="9164" spans="1:9" x14ac:dyDescent="0.25">
      <c r="A9164">
        <v>1824</v>
      </c>
      <c r="B9164">
        <f>A9164+1</f>
        <v>1825</v>
      </c>
      <c r="C9164" t="s">
        <v>530</v>
      </c>
      <c r="D9164" t="s">
        <v>27</v>
      </c>
      <c r="E9164" s="208" t="s">
        <v>143</v>
      </c>
      <c r="F9164" t="s">
        <v>1</v>
      </c>
      <c r="G9164" s="18">
        <v>18</v>
      </c>
      <c r="H9164" t="s">
        <v>16</v>
      </c>
      <c r="I9164" t="s">
        <v>21</v>
      </c>
    </row>
    <row r="9165" spans="1:9" x14ac:dyDescent="0.25">
      <c r="A9165">
        <v>1824</v>
      </c>
      <c r="B9165">
        <f>A9165+1</f>
        <v>1825</v>
      </c>
      <c r="C9165" t="s">
        <v>530</v>
      </c>
      <c r="D9165" t="s">
        <v>27</v>
      </c>
      <c r="E9165" s="208" t="s">
        <v>142</v>
      </c>
      <c r="F9165" t="s">
        <v>1</v>
      </c>
      <c r="G9165" s="18">
        <v>13</v>
      </c>
      <c r="H9165" t="s">
        <v>16</v>
      </c>
      <c r="I9165" t="s">
        <v>21</v>
      </c>
    </row>
    <row r="9166" spans="1:9" x14ac:dyDescent="0.25">
      <c r="A9166">
        <v>1824</v>
      </c>
      <c r="B9166">
        <f>A9166+1</f>
        <v>1825</v>
      </c>
      <c r="C9166" t="s">
        <v>530</v>
      </c>
      <c r="D9166" t="s">
        <v>27</v>
      </c>
      <c r="E9166" s="208" t="s">
        <v>124</v>
      </c>
      <c r="F9166" t="s">
        <v>1</v>
      </c>
      <c r="G9166" s="18">
        <v>59960</v>
      </c>
      <c r="H9166" t="s">
        <v>16</v>
      </c>
      <c r="I9166" t="s">
        <v>21</v>
      </c>
    </row>
    <row r="9167" spans="1:9" x14ac:dyDescent="0.25">
      <c r="A9167">
        <v>1824</v>
      </c>
      <c r="B9167">
        <f>A9167+1</f>
        <v>1825</v>
      </c>
      <c r="C9167" t="s">
        <v>530</v>
      </c>
      <c r="D9167" t="s">
        <v>27</v>
      </c>
      <c r="E9167" s="208" t="s">
        <v>155</v>
      </c>
      <c r="F9167" t="s">
        <v>4</v>
      </c>
      <c r="G9167" s="18">
        <v>214</v>
      </c>
      <c r="H9167" t="s">
        <v>16</v>
      </c>
      <c r="I9167" t="s">
        <v>23</v>
      </c>
    </row>
    <row r="9168" spans="1:9" x14ac:dyDescent="0.25">
      <c r="A9168">
        <v>1824</v>
      </c>
      <c r="B9168">
        <f>A9168+1</f>
        <v>1825</v>
      </c>
      <c r="C9168" t="s">
        <v>530</v>
      </c>
      <c r="D9168" t="s">
        <v>27</v>
      </c>
      <c r="E9168" s="208" t="s">
        <v>156</v>
      </c>
      <c r="F9168" t="s">
        <v>4</v>
      </c>
      <c r="G9168" s="18">
        <v>10</v>
      </c>
      <c r="H9168" t="s">
        <v>16</v>
      </c>
      <c r="I9168" t="s">
        <v>23</v>
      </c>
    </row>
    <row r="9169" spans="1:9" x14ac:dyDescent="0.25">
      <c r="A9169">
        <v>1824</v>
      </c>
      <c r="B9169">
        <f>A9169+1</f>
        <v>1825</v>
      </c>
      <c r="C9169" t="s">
        <v>530</v>
      </c>
      <c r="D9169" t="s">
        <v>27</v>
      </c>
      <c r="E9169" s="208" t="s">
        <v>154</v>
      </c>
      <c r="F9169" t="s">
        <v>4</v>
      </c>
      <c r="G9169" s="18">
        <v>227</v>
      </c>
      <c r="H9169" t="s">
        <v>16</v>
      </c>
      <c r="I9169" t="s">
        <v>23</v>
      </c>
    </row>
    <row r="9170" spans="1:9" x14ac:dyDescent="0.25">
      <c r="A9170">
        <v>1824</v>
      </c>
      <c r="B9170">
        <f>A9170+1</f>
        <v>1825</v>
      </c>
      <c r="C9170" t="s">
        <v>530</v>
      </c>
      <c r="D9170" t="s">
        <v>27</v>
      </c>
      <c r="E9170" s="208" t="s">
        <v>150</v>
      </c>
      <c r="F9170" t="s">
        <v>4</v>
      </c>
      <c r="G9170" s="18">
        <v>265</v>
      </c>
      <c r="H9170" t="s">
        <v>16</v>
      </c>
      <c r="I9170" t="s">
        <v>23</v>
      </c>
    </row>
    <row r="9171" spans="1:9" x14ac:dyDescent="0.25">
      <c r="A9171">
        <v>1824</v>
      </c>
      <c r="B9171">
        <f>A9171+1</f>
        <v>1825</v>
      </c>
      <c r="C9171" t="s">
        <v>530</v>
      </c>
      <c r="D9171" t="s">
        <v>27</v>
      </c>
      <c r="E9171" s="208" t="s">
        <v>148</v>
      </c>
      <c r="F9171" t="s">
        <v>4</v>
      </c>
      <c r="G9171" s="18">
        <v>7</v>
      </c>
      <c r="H9171" t="s">
        <v>16</v>
      </c>
      <c r="I9171" t="s">
        <v>23</v>
      </c>
    </row>
    <row r="9172" spans="1:9" x14ac:dyDescent="0.25">
      <c r="A9172">
        <v>1824</v>
      </c>
      <c r="B9172">
        <f>A9172+1</f>
        <v>1825</v>
      </c>
      <c r="C9172" t="s">
        <v>530</v>
      </c>
      <c r="D9172" t="s">
        <v>27</v>
      </c>
      <c r="E9172" s="208" t="s">
        <v>147</v>
      </c>
      <c r="F9172" t="s">
        <v>4</v>
      </c>
      <c r="G9172" s="18">
        <v>0</v>
      </c>
      <c r="H9172" t="s">
        <v>16</v>
      </c>
      <c r="I9172" t="s">
        <v>23</v>
      </c>
    </row>
    <row r="9173" spans="1:9" x14ac:dyDescent="0.25">
      <c r="A9173">
        <v>1824</v>
      </c>
      <c r="B9173">
        <f>A9173+1</f>
        <v>1825</v>
      </c>
      <c r="C9173" t="s">
        <v>530</v>
      </c>
      <c r="D9173" t="s">
        <v>27</v>
      </c>
      <c r="E9173" s="208" t="s">
        <v>314</v>
      </c>
      <c r="F9173" t="s">
        <v>4</v>
      </c>
      <c r="G9173" s="18">
        <v>0</v>
      </c>
      <c r="H9173" t="s">
        <v>16</v>
      </c>
      <c r="I9173" t="s">
        <v>23</v>
      </c>
    </row>
    <row r="9174" spans="1:9" x14ac:dyDescent="0.25">
      <c r="A9174">
        <v>1824</v>
      </c>
      <c r="B9174">
        <f>A9174+1</f>
        <v>1825</v>
      </c>
      <c r="C9174" t="s">
        <v>530</v>
      </c>
      <c r="D9174" t="s">
        <v>27</v>
      </c>
      <c r="E9174" s="208" t="s">
        <v>139</v>
      </c>
      <c r="F9174" t="s">
        <v>4</v>
      </c>
      <c r="G9174" s="18">
        <v>10</v>
      </c>
      <c r="H9174" t="s">
        <v>16</v>
      </c>
      <c r="I9174" t="s">
        <v>23</v>
      </c>
    </row>
    <row r="9175" spans="1:9" x14ac:dyDescent="0.25">
      <c r="A9175">
        <v>1824</v>
      </c>
      <c r="B9175">
        <f>A9175+1</f>
        <v>1825</v>
      </c>
      <c r="C9175" t="s">
        <v>530</v>
      </c>
      <c r="D9175" t="s">
        <v>27</v>
      </c>
      <c r="E9175" s="208" t="s">
        <v>131</v>
      </c>
      <c r="F9175" t="s">
        <v>4</v>
      </c>
      <c r="G9175" s="18">
        <v>3</v>
      </c>
      <c r="H9175" t="s">
        <v>16</v>
      </c>
      <c r="I9175" t="s">
        <v>23</v>
      </c>
    </row>
    <row r="9176" spans="1:9" x14ac:dyDescent="0.25">
      <c r="A9176">
        <v>1824</v>
      </c>
      <c r="B9176">
        <f>A9176+1</f>
        <v>1825</v>
      </c>
      <c r="C9176" t="s">
        <v>530</v>
      </c>
      <c r="D9176" t="s">
        <v>27</v>
      </c>
      <c r="E9176" s="208" t="s">
        <v>130</v>
      </c>
      <c r="F9176" t="s">
        <v>4</v>
      </c>
      <c r="G9176" s="18">
        <v>0</v>
      </c>
      <c r="H9176" t="s">
        <v>16</v>
      </c>
      <c r="I9176" t="s">
        <v>23</v>
      </c>
    </row>
    <row r="9177" spans="1:9" x14ac:dyDescent="0.25">
      <c r="A9177">
        <v>1824</v>
      </c>
      <c r="B9177">
        <f>A9177+1</f>
        <v>1825</v>
      </c>
      <c r="C9177" t="s">
        <v>530</v>
      </c>
      <c r="D9177" t="s">
        <v>27</v>
      </c>
      <c r="E9177" s="208" t="s">
        <v>143</v>
      </c>
      <c r="F9177" t="s">
        <v>4</v>
      </c>
      <c r="G9177" s="18">
        <v>174</v>
      </c>
      <c r="H9177" t="s">
        <v>16</v>
      </c>
      <c r="I9177" t="s">
        <v>23</v>
      </c>
    </row>
    <row r="9178" spans="1:9" x14ac:dyDescent="0.25">
      <c r="A9178">
        <v>1824</v>
      </c>
      <c r="B9178">
        <f>A9178+1</f>
        <v>1825</v>
      </c>
      <c r="C9178" t="s">
        <v>530</v>
      </c>
      <c r="D9178" t="s">
        <v>27</v>
      </c>
      <c r="E9178" s="208" t="s">
        <v>142</v>
      </c>
      <c r="F9178" t="s">
        <v>4</v>
      </c>
      <c r="G9178" s="18">
        <v>3176</v>
      </c>
      <c r="H9178" t="s">
        <v>16</v>
      </c>
      <c r="I9178" t="s">
        <v>23</v>
      </c>
    </row>
    <row r="9179" spans="1:9" x14ac:dyDescent="0.25">
      <c r="A9179">
        <v>1824</v>
      </c>
      <c r="B9179">
        <f>A9179+1</f>
        <v>1825</v>
      </c>
      <c r="C9179" t="s">
        <v>530</v>
      </c>
      <c r="D9179" t="s">
        <v>27</v>
      </c>
      <c r="E9179" s="208" t="s">
        <v>124</v>
      </c>
      <c r="F9179" t="s">
        <v>4</v>
      </c>
      <c r="G9179" s="18">
        <v>1596667</v>
      </c>
      <c r="H9179" t="s">
        <v>16</v>
      </c>
      <c r="I9179" t="s">
        <v>23</v>
      </c>
    </row>
    <row r="9180" spans="1:9" x14ac:dyDescent="0.25">
      <c r="A9180">
        <v>1824</v>
      </c>
      <c r="B9180">
        <f>A9180+1</f>
        <v>1825</v>
      </c>
      <c r="C9180" t="s">
        <v>530</v>
      </c>
      <c r="D9180" t="s">
        <v>26</v>
      </c>
      <c r="E9180" s="208" t="s">
        <v>62</v>
      </c>
      <c r="F9180" t="s">
        <v>4</v>
      </c>
      <c r="G9180" s="18">
        <v>48482</v>
      </c>
      <c r="H9180" t="s">
        <v>23</v>
      </c>
      <c r="I9180" t="s">
        <v>16</v>
      </c>
    </row>
    <row r="9181" spans="1:9" x14ac:dyDescent="0.25">
      <c r="A9181">
        <v>1824</v>
      </c>
      <c r="B9181">
        <f>A9181+1</f>
        <v>1825</v>
      </c>
      <c r="C9181" t="s">
        <v>530</v>
      </c>
      <c r="D9181" t="s">
        <v>26</v>
      </c>
      <c r="E9181" s="208" t="s">
        <v>36</v>
      </c>
      <c r="F9181" t="s">
        <v>4</v>
      </c>
      <c r="G9181" s="18">
        <v>3680</v>
      </c>
      <c r="H9181" t="s">
        <v>23</v>
      </c>
      <c r="I9181" t="s">
        <v>16</v>
      </c>
    </row>
    <row r="9182" spans="1:9" x14ac:dyDescent="0.25">
      <c r="A9182">
        <v>1824</v>
      </c>
      <c r="B9182">
        <f>A9182+1</f>
        <v>1825</v>
      </c>
      <c r="C9182" t="s">
        <v>530</v>
      </c>
      <c r="D9182" t="s">
        <v>26</v>
      </c>
      <c r="E9182" s="208" t="s">
        <v>35</v>
      </c>
      <c r="F9182" t="s">
        <v>4</v>
      </c>
      <c r="G9182" s="18">
        <v>0</v>
      </c>
      <c r="H9182" t="s">
        <v>23</v>
      </c>
      <c r="I9182" t="s">
        <v>16</v>
      </c>
    </row>
    <row r="9183" spans="1:9" x14ac:dyDescent="0.25">
      <c r="A9183">
        <v>1824</v>
      </c>
      <c r="B9183">
        <f>A9183+1</f>
        <v>1825</v>
      </c>
      <c r="C9183" t="s">
        <v>530</v>
      </c>
      <c r="D9183" t="s">
        <v>26</v>
      </c>
      <c r="E9183" s="208" t="s">
        <v>39</v>
      </c>
      <c r="F9183" t="s">
        <v>4</v>
      </c>
      <c r="G9183" s="18">
        <v>3155</v>
      </c>
      <c r="H9183" t="s">
        <v>23</v>
      </c>
      <c r="I9183" t="s">
        <v>16</v>
      </c>
    </row>
    <row r="9184" spans="1:9" x14ac:dyDescent="0.25">
      <c r="A9184">
        <v>1824</v>
      </c>
      <c r="B9184">
        <f>A9184+1</f>
        <v>1825</v>
      </c>
      <c r="C9184" t="s">
        <v>530</v>
      </c>
      <c r="D9184" t="s">
        <v>26</v>
      </c>
      <c r="E9184" s="208" t="s">
        <v>99</v>
      </c>
      <c r="F9184" t="s">
        <v>4</v>
      </c>
      <c r="G9184" s="18">
        <v>2296</v>
      </c>
      <c r="H9184" t="s">
        <v>23</v>
      </c>
      <c r="I9184" t="s">
        <v>16</v>
      </c>
    </row>
    <row r="9185" spans="1:9" x14ac:dyDescent="0.25">
      <c r="A9185">
        <v>1824</v>
      </c>
      <c r="B9185">
        <f>A9185+1</f>
        <v>1825</v>
      </c>
      <c r="C9185" t="s">
        <v>530</v>
      </c>
      <c r="D9185" t="s">
        <v>26</v>
      </c>
      <c r="E9185" s="208" t="s">
        <v>94</v>
      </c>
      <c r="F9185" t="s">
        <v>4</v>
      </c>
      <c r="G9185" s="18">
        <v>359</v>
      </c>
      <c r="H9185" t="s">
        <v>23</v>
      </c>
      <c r="I9185" t="s">
        <v>16</v>
      </c>
    </row>
    <row r="9186" spans="1:9" x14ac:dyDescent="0.25">
      <c r="A9186">
        <v>1824</v>
      </c>
      <c r="B9186">
        <f>A9186+1</f>
        <v>1825</v>
      </c>
      <c r="C9186" t="s">
        <v>530</v>
      </c>
      <c r="D9186" t="s">
        <v>26</v>
      </c>
      <c r="E9186" s="208" t="s">
        <v>386</v>
      </c>
      <c r="F9186" t="s">
        <v>4</v>
      </c>
      <c r="G9186" s="18">
        <v>51847</v>
      </c>
      <c r="H9186" t="s">
        <v>23</v>
      </c>
      <c r="I9186" t="s">
        <v>16</v>
      </c>
    </row>
    <row r="9187" spans="1:9" x14ac:dyDescent="0.25">
      <c r="A9187">
        <v>1824</v>
      </c>
      <c r="B9187">
        <f>A9187+1</f>
        <v>1825</v>
      </c>
      <c r="C9187" t="s">
        <v>530</v>
      </c>
      <c r="D9187" t="s">
        <v>26</v>
      </c>
      <c r="E9187" s="208" t="s">
        <v>387</v>
      </c>
      <c r="F9187" t="s">
        <v>4</v>
      </c>
      <c r="G9187" s="18">
        <v>1298</v>
      </c>
      <c r="H9187" t="s">
        <v>23</v>
      </c>
      <c r="I9187" t="s">
        <v>16</v>
      </c>
    </row>
    <row r="9188" spans="1:9" x14ac:dyDescent="0.25">
      <c r="A9188">
        <v>1824</v>
      </c>
      <c r="B9188">
        <f>A9188+1</f>
        <v>1825</v>
      </c>
      <c r="C9188" t="s">
        <v>530</v>
      </c>
      <c r="D9188" t="s">
        <v>26</v>
      </c>
      <c r="E9188" s="208" t="s">
        <v>388</v>
      </c>
      <c r="F9188" t="s">
        <v>4</v>
      </c>
      <c r="G9188" s="18">
        <v>17046</v>
      </c>
      <c r="H9188" t="s">
        <v>23</v>
      </c>
      <c r="I9188" t="s">
        <v>16</v>
      </c>
    </row>
    <row r="9189" spans="1:9" x14ac:dyDescent="0.25">
      <c r="A9189">
        <v>1824</v>
      </c>
      <c r="B9189">
        <f>A9189+1</f>
        <v>1825</v>
      </c>
      <c r="C9189" t="s">
        <v>530</v>
      </c>
      <c r="D9189" t="s">
        <v>26</v>
      </c>
      <c r="E9189" s="208" t="s">
        <v>383</v>
      </c>
      <c r="F9189" t="s">
        <v>4</v>
      </c>
      <c r="G9189" s="18">
        <v>617</v>
      </c>
      <c r="H9189" t="s">
        <v>23</v>
      </c>
      <c r="I9189" t="s">
        <v>16</v>
      </c>
    </row>
    <row r="9190" spans="1:9" x14ac:dyDescent="0.25">
      <c r="A9190">
        <v>1824</v>
      </c>
      <c r="B9190">
        <f>A9190+1</f>
        <v>1825</v>
      </c>
      <c r="C9190" t="s">
        <v>530</v>
      </c>
      <c r="D9190" t="s">
        <v>26</v>
      </c>
      <c r="E9190" s="208" t="s">
        <v>384</v>
      </c>
      <c r="F9190" t="s">
        <v>4</v>
      </c>
      <c r="G9190" s="18">
        <v>1298</v>
      </c>
      <c r="H9190" t="s">
        <v>23</v>
      </c>
      <c r="I9190" t="s">
        <v>16</v>
      </c>
    </row>
    <row r="9191" spans="1:9" x14ac:dyDescent="0.25">
      <c r="A9191">
        <v>1824</v>
      </c>
      <c r="B9191">
        <f>A9191+1</f>
        <v>1825</v>
      </c>
      <c r="C9191" t="s">
        <v>530</v>
      </c>
      <c r="D9191" t="s">
        <v>26</v>
      </c>
      <c r="E9191" s="208" t="s">
        <v>107</v>
      </c>
      <c r="F9191" t="s">
        <v>4</v>
      </c>
      <c r="G9191" s="18">
        <v>1294039</v>
      </c>
      <c r="H9191" t="s">
        <v>23</v>
      </c>
      <c r="I9191" t="s">
        <v>16</v>
      </c>
    </row>
    <row r="9192" spans="1:9" x14ac:dyDescent="0.25">
      <c r="A9192">
        <v>1824</v>
      </c>
      <c r="B9192">
        <f>A9192+1</f>
        <v>1825</v>
      </c>
      <c r="C9192" t="s">
        <v>530</v>
      </c>
      <c r="D9192" t="s">
        <v>26</v>
      </c>
      <c r="E9192" s="208" t="s">
        <v>101</v>
      </c>
      <c r="F9192" t="s">
        <v>4</v>
      </c>
      <c r="G9192" s="18">
        <v>2797424</v>
      </c>
      <c r="H9192" t="s">
        <v>23</v>
      </c>
      <c r="I9192" t="s">
        <v>16</v>
      </c>
    </row>
    <row r="9193" spans="1:9" x14ac:dyDescent="0.25">
      <c r="A9193">
        <v>1824</v>
      </c>
      <c r="B9193">
        <f>A9193+1</f>
        <v>1825</v>
      </c>
      <c r="C9193" t="s">
        <v>530</v>
      </c>
      <c r="D9193" t="s">
        <v>26</v>
      </c>
      <c r="E9193" s="208" t="s">
        <v>75</v>
      </c>
      <c r="F9193" t="s">
        <v>4</v>
      </c>
      <c r="G9193" s="18">
        <v>1617967</v>
      </c>
      <c r="H9193" t="s">
        <v>23</v>
      </c>
      <c r="I9193" t="s">
        <v>16</v>
      </c>
    </row>
    <row r="9194" spans="1:9" x14ac:dyDescent="0.25">
      <c r="A9194">
        <v>1824</v>
      </c>
      <c r="B9194">
        <f>A9194+1</f>
        <v>1825</v>
      </c>
      <c r="C9194" t="s">
        <v>530</v>
      </c>
      <c r="D9194" t="s">
        <v>26</v>
      </c>
      <c r="E9194" s="208" t="s">
        <v>330</v>
      </c>
      <c r="F9194" t="s">
        <v>4</v>
      </c>
      <c r="G9194" s="18">
        <v>141</v>
      </c>
      <c r="H9194" t="s">
        <v>23</v>
      </c>
      <c r="I9194" t="s">
        <v>16</v>
      </c>
    </row>
    <row r="9195" spans="1:9" x14ac:dyDescent="0.25">
      <c r="A9195">
        <v>1824</v>
      </c>
      <c r="B9195">
        <f>A9195+1</f>
        <v>1825</v>
      </c>
      <c r="C9195" t="s">
        <v>530</v>
      </c>
      <c r="D9195" t="s">
        <v>26</v>
      </c>
      <c r="E9195" s="208" t="s">
        <v>331</v>
      </c>
      <c r="F9195" t="s">
        <v>4</v>
      </c>
      <c r="G9195" s="18">
        <v>0</v>
      </c>
      <c r="H9195" t="s">
        <v>23</v>
      </c>
      <c r="I9195" t="s">
        <v>16</v>
      </c>
    </row>
    <row r="9196" spans="1:9" x14ac:dyDescent="0.25">
      <c r="A9196">
        <v>1824</v>
      </c>
      <c r="B9196">
        <f>A9196+1</f>
        <v>1825</v>
      </c>
      <c r="C9196" t="s">
        <v>530</v>
      </c>
      <c r="D9196" t="s">
        <v>26</v>
      </c>
      <c r="E9196" s="208" t="s">
        <v>332</v>
      </c>
      <c r="F9196" t="s">
        <v>4</v>
      </c>
      <c r="G9196" s="18">
        <v>0</v>
      </c>
      <c r="H9196" t="s">
        <v>23</v>
      </c>
      <c r="I9196" t="s">
        <v>16</v>
      </c>
    </row>
    <row r="9197" spans="1:9" x14ac:dyDescent="0.25">
      <c r="A9197">
        <v>1824</v>
      </c>
      <c r="B9197">
        <f>A9197+1</f>
        <v>1825</v>
      </c>
      <c r="C9197" t="s">
        <v>530</v>
      </c>
      <c r="D9197" t="s">
        <v>26</v>
      </c>
      <c r="E9197" s="208" t="s">
        <v>333</v>
      </c>
      <c r="F9197" t="s">
        <v>4</v>
      </c>
      <c r="G9197" s="18">
        <v>19</v>
      </c>
      <c r="H9197" t="s">
        <v>23</v>
      </c>
      <c r="I9197" t="s">
        <v>16</v>
      </c>
    </row>
    <row r="9198" spans="1:9" x14ac:dyDescent="0.25">
      <c r="A9198">
        <v>1824</v>
      </c>
      <c r="B9198">
        <f>A9198+1</f>
        <v>1825</v>
      </c>
      <c r="C9198" t="s">
        <v>530</v>
      </c>
      <c r="D9198" t="s">
        <v>27</v>
      </c>
      <c r="E9198" s="208" t="s">
        <v>155</v>
      </c>
      <c r="F9198" t="s">
        <v>7</v>
      </c>
      <c r="G9198" s="18">
        <v>15545</v>
      </c>
      <c r="H9198" t="s">
        <v>16</v>
      </c>
      <c r="I9198" s="151" t="s">
        <v>562</v>
      </c>
    </row>
    <row r="9199" spans="1:9" x14ac:dyDescent="0.25">
      <c r="A9199">
        <v>1824</v>
      </c>
      <c r="B9199">
        <f>A9199+1</f>
        <v>1825</v>
      </c>
      <c r="C9199" t="s">
        <v>530</v>
      </c>
      <c r="D9199" t="s">
        <v>27</v>
      </c>
      <c r="E9199" s="208" t="s">
        <v>156</v>
      </c>
      <c r="F9199" t="s">
        <v>7</v>
      </c>
      <c r="G9199" s="18">
        <v>739</v>
      </c>
      <c r="H9199" t="s">
        <v>16</v>
      </c>
      <c r="I9199" s="151" t="s">
        <v>562</v>
      </c>
    </row>
    <row r="9200" spans="1:9" x14ac:dyDescent="0.25">
      <c r="A9200">
        <v>1824</v>
      </c>
      <c r="B9200">
        <f>A9200+1</f>
        <v>1825</v>
      </c>
      <c r="C9200" t="s">
        <v>530</v>
      </c>
      <c r="D9200" t="s">
        <v>27</v>
      </c>
      <c r="E9200" s="208" t="s">
        <v>154</v>
      </c>
      <c r="F9200" t="s">
        <v>7</v>
      </c>
      <c r="G9200" s="18">
        <v>1652</v>
      </c>
      <c r="H9200" t="s">
        <v>16</v>
      </c>
      <c r="I9200" s="151" t="s">
        <v>562</v>
      </c>
    </row>
    <row r="9201" spans="1:9" x14ac:dyDescent="0.25">
      <c r="A9201">
        <v>1824</v>
      </c>
      <c r="B9201">
        <f>A9201+1</f>
        <v>1825</v>
      </c>
      <c r="C9201" t="s">
        <v>530</v>
      </c>
      <c r="D9201" t="s">
        <v>27</v>
      </c>
      <c r="E9201" s="208" t="s">
        <v>150</v>
      </c>
      <c r="F9201" t="s">
        <v>7</v>
      </c>
      <c r="G9201" s="18">
        <v>5638</v>
      </c>
      <c r="H9201" t="s">
        <v>16</v>
      </c>
      <c r="I9201" s="151" t="s">
        <v>562</v>
      </c>
    </row>
    <row r="9202" spans="1:9" x14ac:dyDescent="0.25">
      <c r="A9202">
        <v>1824</v>
      </c>
      <c r="B9202">
        <f>A9202+1</f>
        <v>1825</v>
      </c>
      <c r="C9202" t="s">
        <v>530</v>
      </c>
      <c r="D9202" t="s">
        <v>27</v>
      </c>
      <c r="E9202" s="208" t="s">
        <v>148</v>
      </c>
      <c r="F9202" t="s">
        <v>7</v>
      </c>
      <c r="G9202" s="18">
        <v>401</v>
      </c>
      <c r="H9202" t="s">
        <v>16</v>
      </c>
      <c r="I9202" s="151" t="s">
        <v>562</v>
      </c>
    </row>
    <row r="9203" spans="1:9" x14ac:dyDescent="0.25">
      <c r="A9203">
        <v>1824</v>
      </c>
      <c r="B9203">
        <f>A9203+1</f>
        <v>1825</v>
      </c>
      <c r="C9203" t="s">
        <v>530</v>
      </c>
      <c r="D9203" t="s">
        <v>27</v>
      </c>
      <c r="E9203" s="208" t="s">
        <v>147</v>
      </c>
      <c r="F9203" t="s">
        <v>7</v>
      </c>
      <c r="G9203" s="18">
        <v>101</v>
      </c>
      <c r="H9203" t="s">
        <v>16</v>
      </c>
      <c r="I9203" s="151" t="s">
        <v>562</v>
      </c>
    </row>
    <row r="9204" spans="1:9" x14ac:dyDescent="0.25">
      <c r="A9204">
        <v>1824</v>
      </c>
      <c r="B9204">
        <f>A9204+1</f>
        <v>1825</v>
      </c>
      <c r="C9204" t="s">
        <v>530</v>
      </c>
      <c r="D9204" t="s">
        <v>27</v>
      </c>
      <c r="E9204" s="208" t="s">
        <v>314</v>
      </c>
      <c r="F9204" t="s">
        <v>7</v>
      </c>
      <c r="G9204" s="18">
        <v>211</v>
      </c>
      <c r="H9204" t="s">
        <v>16</v>
      </c>
      <c r="I9204" s="151" t="s">
        <v>562</v>
      </c>
    </row>
    <row r="9205" spans="1:9" x14ac:dyDescent="0.25">
      <c r="A9205">
        <v>1824</v>
      </c>
      <c r="B9205">
        <f>A9205+1</f>
        <v>1825</v>
      </c>
      <c r="C9205" t="s">
        <v>530</v>
      </c>
      <c r="D9205" t="s">
        <v>27</v>
      </c>
      <c r="E9205" s="208" t="s">
        <v>139</v>
      </c>
      <c r="F9205" t="s">
        <v>7</v>
      </c>
      <c r="G9205" s="18">
        <v>108</v>
      </c>
      <c r="H9205" t="s">
        <v>16</v>
      </c>
      <c r="I9205" s="151" t="s">
        <v>562</v>
      </c>
    </row>
    <row r="9206" spans="1:9" x14ac:dyDescent="0.25">
      <c r="A9206">
        <v>1824</v>
      </c>
      <c r="B9206">
        <f>A9206+1</f>
        <v>1825</v>
      </c>
      <c r="C9206" t="s">
        <v>530</v>
      </c>
      <c r="D9206" t="s">
        <v>27</v>
      </c>
      <c r="E9206" s="208" t="s">
        <v>131</v>
      </c>
      <c r="F9206" t="s">
        <v>7</v>
      </c>
      <c r="G9206" s="18">
        <v>372</v>
      </c>
      <c r="H9206" t="s">
        <v>16</v>
      </c>
      <c r="I9206" s="151" t="s">
        <v>562</v>
      </c>
    </row>
    <row r="9207" spans="1:9" x14ac:dyDescent="0.25">
      <c r="A9207">
        <v>1824</v>
      </c>
      <c r="B9207">
        <f>A9207+1</f>
        <v>1825</v>
      </c>
      <c r="C9207" t="s">
        <v>530</v>
      </c>
      <c r="D9207" t="s">
        <v>27</v>
      </c>
      <c r="E9207" s="208" t="s">
        <v>130</v>
      </c>
      <c r="F9207" t="s">
        <v>7</v>
      </c>
      <c r="G9207" s="18">
        <v>87</v>
      </c>
      <c r="H9207" t="s">
        <v>16</v>
      </c>
      <c r="I9207" s="151" t="s">
        <v>562</v>
      </c>
    </row>
    <row r="9208" spans="1:9" x14ac:dyDescent="0.25">
      <c r="A9208">
        <v>1824</v>
      </c>
      <c r="B9208">
        <f>A9208+1</f>
        <v>1825</v>
      </c>
      <c r="C9208" t="s">
        <v>530</v>
      </c>
      <c r="D9208" t="s">
        <v>27</v>
      </c>
      <c r="E9208" s="208" t="s">
        <v>143</v>
      </c>
      <c r="F9208" t="s">
        <v>7</v>
      </c>
      <c r="G9208" s="18">
        <v>334</v>
      </c>
      <c r="H9208" t="s">
        <v>16</v>
      </c>
      <c r="I9208" s="151" t="s">
        <v>562</v>
      </c>
    </row>
    <row r="9209" spans="1:9" x14ac:dyDescent="0.25">
      <c r="A9209">
        <v>1824</v>
      </c>
      <c r="B9209">
        <f>A9209+1</f>
        <v>1825</v>
      </c>
      <c r="C9209" t="s">
        <v>530</v>
      </c>
      <c r="D9209" t="s">
        <v>27</v>
      </c>
      <c r="E9209" s="208" t="s">
        <v>142</v>
      </c>
      <c r="F9209" t="s">
        <v>7</v>
      </c>
      <c r="G9209" s="18">
        <v>4589</v>
      </c>
      <c r="H9209" t="s">
        <v>16</v>
      </c>
      <c r="I9209" s="151" t="s">
        <v>562</v>
      </c>
    </row>
    <row r="9210" spans="1:9" x14ac:dyDescent="0.25">
      <c r="A9210">
        <v>1824</v>
      </c>
      <c r="B9210">
        <f>A9210+1</f>
        <v>1825</v>
      </c>
      <c r="C9210" t="s">
        <v>530</v>
      </c>
      <c r="D9210" t="s">
        <v>27</v>
      </c>
      <c r="E9210" s="208" t="s">
        <v>124</v>
      </c>
      <c r="F9210" t="s">
        <v>7</v>
      </c>
      <c r="G9210" s="18">
        <v>12064861</v>
      </c>
      <c r="H9210" t="s">
        <v>16</v>
      </c>
      <c r="I9210" s="151" t="s">
        <v>562</v>
      </c>
    </row>
    <row r="9211" spans="1:9" x14ac:dyDescent="0.25">
      <c r="A9211">
        <v>1824</v>
      </c>
      <c r="B9211">
        <f>A9211+1</f>
        <v>1825</v>
      </c>
      <c r="C9211" t="s">
        <v>530</v>
      </c>
      <c r="D9211" t="s">
        <v>26</v>
      </c>
      <c r="E9211" s="208" t="s">
        <v>62</v>
      </c>
      <c r="F9211" t="s">
        <v>7</v>
      </c>
      <c r="G9211" s="18">
        <v>59474</v>
      </c>
      <c r="H9211" s="151" t="s">
        <v>563</v>
      </c>
      <c r="I9211" t="s">
        <v>16</v>
      </c>
    </row>
    <row r="9212" spans="1:9" x14ac:dyDescent="0.25">
      <c r="A9212">
        <v>1824</v>
      </c>
      <c r="B9212">
        <f>A9212+1</f>
        <v>1825</v>
      </c>
      <c r="C9212" t="s">
        <v>530</v>
      </c>
      <c r="D9212" t="s">
        <v>26</v>
      </c>
      <c r="E9212" s="208" t="s">
        <v>36</v>
      </c>
      <c r="F9212" t="s">
        <v>7</v>
      </c>
      <c r="G9212" s="18">
        <v>4000</v>
      </c>
      <c r="H9212" s="151" t="s">
        <v>563</v>
      </c>
      <c r="I9212" t="s">
        <v>16</v>
      </c>
    </row>
    <row r="9213" spans="1:9" x14ac:dyDescent="0.25">
      <c r="A9213">
        <v>1824</v>
      </c>
      <c r="B9213">
        <f>A9213+1</f>
        <v>1825</v>
      </c>
      <c r="C9213" t="s">
        <v>530</v>
      </c>
      <c r="D9213" t="s">
        <v>26</v>
      </c>
      <c r="E9213" s="208" t="s">
        <v>35</v>
      </c>
      <c r="F9213" t="s">
        <v>7</v>
      </c>
      <c r="G9213" s="18">
        <v>3610</v>
      </c>
      <c r="H9213" s="151" t="s">
        <v>563</v>
      </c>
      <c r="I9213" t="s">
        <v>16</v>
      </c>
    </row>
    <row r="9214" spans="1:9" x14ac:dyDescent="0.25">
      <c r="A9214">
        <v>1824</v>
      </c>
      <c r="B9214">
        <f>A9214+1</f>
        <v>1825</v>
      </c>
      <c r="C9214" t="s">
        <v>530</v>
      </c>
      <c r="D9214" t="s">
        <v>26</v>
      </c>
      <c r="E9214" s="208" t="s">
        <v>39</v>
      </c>
      <c r="F9214" t="s">
        <v>7</v>
      </c>
      <c r="G9214" s="18">
        <v>3355</v>
      </c>
      <c r="H9214" s="151" t="s">
        <v>563</v>
      </c>
      <c r="I9214" t="s">
        <v>16</v>
      </c>
    </row>
    <row r="9215" spans="1:9" x14ac:dyDescent="0.25">
      <c r="A9215">
        <v>1824</v>
      </c>
      <c r="B9215">
        <f>A9215+1</f>
        <v>1825</v>
      </c>
      <c r="C9215" t="s">
        <v>530</v>
      </c>
      <c r="D9215" t="s">
        <v>26</v>
      </c>
      <c r="E9215" s="208" t="s">
        <v>99</v>
      </c>
      <c r="F9215" t="s">
        <v>7</v>
      </c>
      <c r="G9215" s="18">
        <v>2568</v>
      </c>
      <c r="H9215" s="151" t="s">
        <v>563</v>
      </c>
      <c r="I9215" t="s">
        <v>16</v>
      </c>
    </row>
    <row r="9216" spans="1:9" x14ac:dyDescent="0.25">
      <c r="A9216">
        <v>1824</v>
      </c>
      <c r="B9216">
        <f>A9216+1</f>
        <v>1825</v>
      </c>
      <c r="C9216" t="s">
        <v>530</v>
      </c>
      <c r="D9216" t="s">
        <v>26</v>
      </c>
      <c r="E9216" s="208" t="s">
        <v>94</v>
      </c>
      <c r="F9216" t="s">
        <v>7</v>
      </c>
      <c r="G9216" s="18">
        <v>601</v>
      </c>
      <c r="H9216" s="151" t="s">
        <v>563</v>
      </c>
      <c r="I9216" t="s">
        <v>16</v>
      </c>
    </row>
    <row r="9217" spans="1:9" x14ac:dyDescent="0.25">
      <c r="A9217">
        <v>1824</v>
      </c>
      <c r="B9217">
        <f>A9217+1</f>
        <v>1825</v>
      </c>
      <c r="C9217" t="s">
        <v>530</v>
      </c>
      <c r="D9217" t="s">
        <v>26</v>
      </c>
      <c r="E9217" s="208" t="s">
        <v>386</v>
      </c>
      <c r="F9217" t="s">
        <v>7</v>
      </c>
      <c r="G9217" s="18">
        <v>59112</v>
      </c>
      <c r="H9217" s="151" t="s">
        <v>563</v>
      </c>
      <c r="I9217" t="s">
        <v>16</v>
      </c>
    </row>
    <row r="9218" spans="1:9" x14ac:dyDescent="0.25">
      <c r="A9218">
        <v>1824</v>
      </c>
      <c r="B9218">
        <f>A9218+1</f>
        <v>1825</v>
      </c>
      <c r="C9218" t="s">
        <v>530</v>
      </c>
      <c r="D9218" t="s">
        <v>26</v>
      </c>
      <c r="E9218" s="208" t="s">
        <v>387</v>
      </c>
      <c r="F9218" t="s">
        <v>7</v>
      </c>
      <c r="G9218" s="18">
        <v>1379</v>
      </c>
      <c r="H9218" s="151" t="s">
        <v>563</v>
      </c>
      <c r="I9218" t="s">
        <v>16</v>
      </c>
    </row>
    <row r="9219" spans="1:9" x14ac:dyDescent="0.25">
      <c r="A9219">
        <v>1824</v>
      </c>
      <c r="B9219">
        <f>A9219+1</f>
        <v>1825</v>
      </c>
      <c r="C9219" t="s">
        <v>530</v>
      </c>
      <c r="D9219" t="s">
        <v>26</v>
      </c>
      <c r="E9219" s="208" t="s">
        <v>388</v>
      </c>
      <c r="F9219" t="s">
        <v>7</v>
      </c>
      <c r="G9219" s="18">
        <v>17377</v>
      </c>
      <c r="H9219" s="151" t="s">
        <v>563</v>
      </c>
      <c r="I9219" t="s">
        <v>16</v>
      </c>
    </row>
    <row r="9220" spans="1:9" x14ac:dyDescent="0.25">
      <c r="A9220">
        <v>1824</v>
      </c>
      <c r="B9220">
        <f>A9220+1</f>
        <v>1825</v>
      </c>
      <c r="C9220" t="s">
        <v>530</v>
      </c>
      <c r="D9220" t="s">
        <v>26</v>
      </c>
      <c r="E9220" s="208" t="s">
        <v>383</v>
      </c>
      <c r="F9220" t="s">
        <v>7</v>
      </c>
      <c r="G9220" s="18">
        <v>678</v>
      </c>
      <c r="H9220" s="151" t="s">
        <v>563</v>
      </c>
      <c r="I9220" t="s">
        <v>16</v>
      </c>
    </row>
    <row r="9221" spans="1:9" x14ac:dyDescent="0.25">
      <c r="A9221">
        <v>1824</v>
      </c>
      <c r="B9221">
        <f>A9221+1</f>
        <v>1825</v>
      </c>
      <c r="C9221" t="s">
        <v>530</v>
      </c>
      <c r="D9221" t="s">
        <v>26</v>
      </c>
      <c r="E9221" s="208" t="s">
        <v>384</v>
      </c>
      <c r="F9221" t="s">
        <v>7</v>
      </c>
      <c r="G9221" s="18">
        <v>1379</v>
      </c>
      <c r="H9221" s="151" t="s">
        <v>563</v>
      </c>
      <c r="I9221" t="s">
        <v>16</v>
      </c>
    </row>
    <row r="9222" spans="1:9" x14ac:dyDescent="0.25">
      <c r="A9222">
        <v>1824</v>
      </c>
      <c r="B9222">
        <f>A9222+1</f>
        <v>1825</v>
      </c>
      <c r="C9222" t="s">
        <v>530</v>
      </c>
      <c r="D9222" t="s">
        <v>26</v>
      </c>
      <c r="E9222" s="208" t="s">
        <v>107</v>
      </c>
      <c r="F9222" t="s">
        <v>7</v>
      </c>
      <c r="G9222" s="18">
        <v>1432549</v>
      </c>
      <c r="H9222" s="151" t="s">
        <v>563</v>
      </c>
      <c r="I9222" t="s">
        <v>16</v>
      </c>
    </row>
    <row r="9223" spans="1:9" x14ac:dyDescent="0.25">
      <c r="A9223">
        <v>1824</v>
      </c>
      <c r="B9223">
        <f>A9223+1</f>
        <v>1825</v>
      </c>
      <c r="C9223" t="s">
        <v>530</v>
      </c>
      <c r="D9223" t="s">
        <v>26</v>
      </c>
      <c r="E9223" s="208" t="s">
        <v>101</v>
      </c>
      <c r="F9223" t="s">
        <v>7</v>
      </c>
      <c r="G9223" s="18">
        <v>3072924</v>
      </c>
      <c r="H9223" s="151" t="s">
        <v>563</v>
      </c>
      <c r="I9223" t="s">
        <v>16</v>
      </c>
    </row>
    <row r="9224" spans="1:9" x14ac:dyDescent="0.25">
      <c r="A9224">
        <v>1824</v>
      </c>
      <c r="B9224">
        <f>A9224+1</f>
        <v>1825</v>
      </c>
      <c r="C9224" t="s">
        <v>530</v>
      </c>
      <c r="D9224" t="s">
        <v>26</v>
      </c>
      <c r="E9224" s="208" t="s">
        <v>75</v>
      </c>
      <c r="F9224" t="s">
        <v>7</v>
      </c>
      <c r="G9224" s="18">
        <v>1955007</v>
      </c>
      <c r="H9224" s="151" t="s">
        <v>563</v>
      </c>
      <c r="I9224" t="s">
        <v>16</v>
      </c>
    </row>
    <row r="9225" spans="1:9" x14ac:dyDescent="0.25">
      <c r="A9225">
        <v>1824</v>
      </c>
      <c r="B9225">
        <f>A9225+1</f>
        <v>1825</v>
      </c>
      <c r="C9225" t="s">
        <v>530</v>
      </c>
      <c r="D9225" t="s">
        <v>26</v>
      </c>
      <c r="E9225" s="208" t="s">
        <v>330</v>
      </c>
      <c r="F9225" t="s">
        <v>7</v>
      </c>
      <c r="G9225" s="18">
        <v>186</v>
      </c>
      <c r="H9225" s="151" t="s">
        <v>563</v>
      </c>
      <c r="I9225" t="s">
        <v>16</v>
      </c>
    </row>
    <row r="9226" spans="1:9" x14ac:dyDescent="0.25">
      <c r="A9226">
        <v>1824</v>
      </c>
      <c r="B9226">
        <f>A9226+1</f>
        <v>1825</v>
      </c>
      <c r="C9226" t="s">
        <v>530</v>
      </c>
      <c r="D9226" t="s">
        <v>26</v>
      </c>
      <c r="E9226" s="208" t="s">
        <v>331</v>
      </c>
      <c r="F9226" t="s">
        <v>7</v>
      </c>
      <c r="G9226" s="18">
        <v>155</v>
      </c>
      <c r="H9226" s="151" t="s">
        <v>563</v>
      </c>
      <c r="I9226" t="s">
        <v>16</v>
      </c>
    </row>
    <row r="9227" spans="1:9" x14ac:dyDescent="0.25">
      <c r="A9227">
        <v>1824</v>
      </c>
      <c r="B9227">
        <f>A9227+1</f>
        <v>1825</v>
      </c>
      <c r="C9227" t="s">
        <v>530</v>
      </c>
      <c r="D9227" t="s">
        <v>26</v>
      </c>
      <c r="E9227" s="208" t="s">
        <v>332</v>
      </c>
      <c r="F9227" t="s">
        <v>7</v>
      </c>
      <c r="G9227" s="18">
        <v>86</v>
      </c>
      <c r="H9227" s="151" t="s">
        <v>563</v>
      </c>
      <c r="I9227" t="s">
        <v>16</v>
      </c>
    </row>
    <row r="9228" spans="1:9" x14ac:dyDescent="0.25">
      <c r="A9228">
        <v>1824</v>
      </c>
      <c r="B9228">
        <f>A9228+1</f>
        <v>1825</v>
      </c>
      <c r="C9228" t="s">
        <v>530</v>
      </c>
      <c r="D9228" t="s">
        <v>26</v>
      </c>
      <c r="E9228" s="208" t="s">
        <v>333</v>
      </c>
      <c r="F9228" t="s">
        <v>7</v>
      </c>
      <c r="G9228" s="18">
        <v>20</v>
      </c>
      <c r="H9228" s="151" t="s">
        <v>563</v>
      </c>
      <c r="I9228" t="s">
        <v>16</v>
      </c>
    </row>
    <row r="9229" spans="1:9" x14ac:dyDescent="0.25">
      <c r="A9229">
        <v>1824</v>
      </c>
      <c r="B9229">
        <f>A9229+1</f>
        <v>1825</v>
      </c>
      <c r="C9229" t="s">
        <v>530</v>
      </c>
      <c r="D9229" t="s">
        <v>27</v>
      </c>
      <c r="E9229" s="208" t="s">
        <v>155</v>
      </c>
      <c r="F9229" t="s">
        <v>10</v>
      </c>
      <c r="G9229" s="18">
        <v>250</v>
      </c>
      <c r="H9229" t="s">
        <v>17</v>
      </c>
      <c r="I9229" t="s">
        <v>24</v>
      </c>
    </row>
    <row r="9230" spans="1:9" x14ac:dyDescent="0.25">
      <c r="A9230">
        <v>1824</v>
      </c>
      <c r="B9230">
        <f>A9230+1</f>
        <v>1825</v>
      </c>
      <c r="C9230" t="s">
        <v>530</v>
      </c>
      <c r="D9230" t="s">
        <v>27</v>
      </c>
      <c r="E9230" s="208" t="s">
        <v>156</v>
      </c>
      <c r="F9230" t="s">
        <v>10</v>
      </c>
      <c r="G9230" s="18">
        <v>112</v>
      </c>
      <c r="H9230" t="s">
        <v>17</v>
      </c>
      <c r="I9230" t="s">
        <v>24</v>
      </c>
    </row>
    <row r="9231" spans="1:9" x14ac:dyDescent="0.25">
      <c r="A9231">
        <v>1824</v>
      </c>
      <c r="B9231">
        <f>A9231+1</f>
        <v>1825</v>
      </c>
      <c r="C9231" t="s">
        <v>530</v>
      </c>
      <c r="D9231" t="s">
        <v>27</v>
      </c>
      <c r="E9231" s="208" t="s">
        <v>154</v>
      </c>
      <c r="F9231" t="s">
        <v>10</v>
      </c>
      <c r="G9231" s="18">
        <v>182</v>
      </c>
      <c r="H9231" t="s">
        <v>17</v>
      </c>
      <c r="I9231" t="s">
        <v>24</v>
      </c>
    </row>
    <row r="9232" spans="1:9" x14ac:dyDescent="0.25">
      <c r="A9232">
        <v>1824</v>
      </c>
      <c r="B9232">
        <f>A9232+1</f>
        <v>1825</v>
      </c>
      <c r="C9232" t="s">
        <v>530</v>
      </c>
      <c r="D9232" t="s">
        <v>27</v>
      </c>
      <c r="E9232" s="208" t="s">
        <v>150</v>
      </c>
      <c r="F9232" t="s">
        <v>10</v>
      </c>
      <c r="G9232" s="18">
        <v>3631</v>
      </c>
      <c r="H9232" t="s">
        <v>17</v>
      </c>
      <c r="I9232" t="s">
        <v>24</v>
      </c>
    </row>
    <row r="9233" spans="1:9" x14ac:dyDescent="0.25">
      <c r="A9233">
        <v>1824</v>
      </c>
      <c r="B9233">
        <f>A9233+1</f>
        <v>1825</v>
      </c>
      <c r="C9233" t="s">
        <v>530</v>
      </c>
      <c r="D9233" t="s">
        <v>27</v>
      </c>
      <c r="E9233" s="208" t="s">
        <v>148</v>
      </c>
      <c r="F9233" t="s">
        <v>10</v>
      </c>
      <c r="G9233" s="18">
        <v>156</v>
      </c>
      <c r="H9233" t="s">
        <v>17</v>
      </c>
      <c r="I9233" t="s">
        <v>24</v>
      </c>
    </row>
    <row r="9234" spans="1:9" x14ac:dyDescent="0.25">
      <c r="A9234">
        <v>1824</v>
      </c>
      <c r="B9234">
        <f>A9234+1</f>
        <v>1825</v>
      </c>
      <c r="C9234" t="s">
        <v>530</v>
      </c>
      <c r="D9234" t="s">
        <v>27</v>
      </c>
      <c r="E9234" s="208" t="s">
        <v>147</v>
      </c>
      <c r="F9234" t="s">
        <v>10</v>
      </c>
      <c r="G9234" s="18">
        <v>0</v>
      </c>
      <c r="H9234" t="s">
        <v>17</v>
      </c>
      <c r="I9234" t="s">
        <v>24</v>
      </c>
    </row>
    <row r="9235" spans="1:9" x14ac:dyDescent="0.25">
      <c r="A9235">
        <v>1824</v>
      </c>
      <c r="B9235">
        <f>A9235+1</f>
        <v>1825</v>
      </c>
      <c r="C9235" t="s">
        <v>530</v>
      </c>
      <c r="D9235" t="s">
        <v>27</v>
      </c>
      <c r="E9235" s="208" t="s">
        <v>314</v>
      </c>
      <c r="F9235" t="s">
        <v>10</v>
      </c>
      <c r="G9235" s="18">
        <v>0</v>
      </c>
      <c r="H9235" t="s">
        <v>17</v>
      </c>
      <c r="I9235" t="s">
        <v>24</v>
      </c>
    </row>
    <row r="9236" spans="1:9" x14ac:dyDescent="0.25">
      <c r="A9236">
        <v>1824</v>
      </c>
      <c r="B9236">
        <f>A9236+1</f>
        <v>1825</v>
      </c>
      <c r="C9236" t="s">
        <v>530</v>
      </c>
      <c r="D9236" t="s">
        <v>27</v>
      </c>
      <c r="E9236" s="208" t="s">
        <v>139</v>
      </c>
      <c r="F9236" t="s">
        <v>10</v>
      </c>
      <c r="G9236" s="18">
        <v>103</v>
      </c>
      <c r="H9236" t="s">
        <v>17</v>
      </c>
      <c r="I9236" t="s">
        <v>24</v>
      </c>
    </row>
    <row r="9237" spans="1:9" x14ac:dyDescent="0.25">
      <c r="A9237">
        <v>1824</v>
      </c>
      <c r="B9237">
        <f>A9237+1</f>
        <v>1825</v>
      </c>
      <c r="C9237" t="s">
        <v>530</v>
      </c>
      <c r="D9237" t="s">
        <v>27</v>
      </c>
      <c r="E9237" s="208" t="s">
        <v>131</v>
      </c>
      <c r="F9237" t="s">
        <v>10</v>
      </c>
      <c r="G9237" s="18">
        <v>0</v>
      </c>
      <c r="H9237" t="s">
        <v>17</v>
      </c>
      <c r="I9237" t="s">
        <v>24</v>
      </c>
    </row>
    <row r="9238" spans="1:9" x14ac:dyDescent="0.25">
      <c r="A9238">
        <v>1824</v>
      </c>
      <c r="B9238">
        <f>A9238+1</f>
        <v>1825</v>
      </c>
      <c r="C9238" t="s">
        <v>530</v>
      </c>
      <c r="D9238" t="s">
        <v>27</v>
      </c>
      <c r="E9238" s="208" t="s">
        <v>130</v>
      </c>
      <c r="F9238" t="s">
        <v>10</v>
      </c>
      <c r="G9238" s="18">
        <v>0</v>
      </c>
      <c r="H9238" t="s">
        <v>17</v>
      </c>
      <c r="I9238" t="s">
        <v>24</v>
      </c>
    </row>
    <row r="9239" spans="1:9" x14ac:dyDescent="0.25">
      <c r="A9239">
        <v>1824</v>
      </c>
      <c r="B9239">
        <f>A9239+1</f>
        <v>1825</v>
      </c>
      <c r="C9239" t="s">
        <v>530</v>
      </c>
      <c r="D9239" t="s">
        <v>27</v>
      </c>
      <c r="E9239" s="208" t="s">
        <v>143</v>
      </c>
      <c r="F9239" t="s">
        <v>10</v>
      </c>
      <c r="G9239" s="18">
        <v>13</v>
      </c>
      <c r="H9239" t="s">
        <v>17</v>
      </c>
      <c r="I9239" t="s">
        <v>24</v>
      </c>
    </row>
    <row r="9240" spans="1:9" x14ac:dyDescent="0.25">
      <c r="A9240">
        <v>1824</v>
      </c>
      <c r="B9240">
        <f>A9240+1</f>
        <v>1825</v>
      </c>
      <c r="C9240" t="s">
        <v>530</v>
      </c>
      <c r="D9240" t="s">
        <v>27</v>
      </c>
      <c r="E9240" s="208" t="s">
        <v>142</v>
      </c>
      <c r="F9240" t="s">
        <v>10</v>
      </c>
      <c r="G9240" s="18">
        <v>97</v>
      </c>
      <c r="H9240" t="s">
        <v>17</v>
      </c>
      <c r="I9240" t="s">
        <v>24</v>
      </c>
    </row>
    <row r="9241" spans="1:9" x14ac:dyDescent="0.25">
      <c r="A9241">
        <v>1824</v>
      </c>
      <c r="B9241">
        <f>A9241+1</f>
        <v>1825</v>
      </c>
      <c r="C9241" t="s">
        <v>530</v>
      </c>
      <c r="D9241" t="s">
        <v>27</v>
      </c>
      <c r="E9241" s="208" t="s">
        <v>124</v>
      </c>
      <c r="F9241" t="s">
        <v>10</v>
      </c>
      <c r="G9241" s="18">
        <v>47084</v>
      </c>
      <c r="H9241" t="s">
        <v>17</v>
      </c>
      <c r="I9241" t="s">
        <v>24</v>
      </c>
    </row>
    <row r="9242" spans="1:9" x14ac:dyDescent="0.25">
      <c r="A9242">
        <v>1824</v>
      </c>
      <c r="B9242">
        <f>A9242+1</f>
        <v>1825</v>
      </c>
      <c r="C9242" t="s">
        <v>530</v>
      </c>
      <c r="D9242" t="s">
        <v>26</v>
      </c>
      <c r="E9242" s="208" t="s">
        <v>62</v>
      </c>
      <c r="F9242" t="s">
        <v>10</v>
      </c>
      <c r="G9242" s="18">
        <v>611</v>
      </c>
      <c r="H9242" t="s">
        <v>24</v>
      </c>
      <c r="I9242" t="s">
        <v>17</v>
      </c>
    </row>
    <row r="9243" spans="1:9" x14ac:dyDescent="0.25">
      <c r="A9243">
        <v>1824</v>
      </c>
      <c r="B9243">
        <f>A9243+1</f>
        <v>1825</v>
      </c>
      <c r="C9243" t="s">
        <v>530</v>
      </c>
      <c r="D9243" t="s">
        <v>26</v>
      </c>
      <c r="E9243" s="208" t="s">
        <v>36</v>
      </c>
      <c r="F9243" t="s">
        <v>10</v>
      </c>
      <c r="G9243" s="18">
        <v>56</v>
      </c>
      <c r="H9243" t="s">
        <v>24</v>
      </c>
      <c r="I9243" t="s">
        <v>17</v>
      </c>
    </row>
    <row r="9244" spans="1:9" x14ac:dyDescent="0.25">
      <c r="A9244">
        <v>1824</v>
      </c>
      <c r="B9244">
        <f>A9244+1</f>
        <v>1825</v>
      </c>
      <c r="C9244" t="s">
        <v>530</v>
      </c>
      <c r="D9244" t="s">
        <v>26</v>
      </c>
      <c r="E9244" s="208" t="s">
        <v>35</v>
      </c>
      <c r="F9244" t="s">
        <v>10</v>
      </c>
      <c r="G9244" s="18">
        <v>10</v>
      </c>
      <c r="H9244" t="s">
        <v>24</v>
      </c>
      <c r="I9244" t="s">
        <v>17</v>
      </c>
    </row>
    <row r="9245" spans="1:9" x14ac:dyDescent="0.25">
      <c r="A9245">
        <v>1824</v>
      </c>
      <c r="B9245">
        <f>A9245+1</f>
        <v>1825</v>
      </c>
      <c r="C9245" t="s">
        <v>530</v>
      </c>
      <c r="D9245" t="s">
        <v>26</v>
      </c>
      <c r="E9245" s="208" t="s">
        <v>39</v>
      </c>
      <c r="F9245" t="s">
        <v>10</v>
      </c>
      <c r="G9245" s="18">
        <v>0</v>
      </c>
      <c r="H9245" t="s">
        <v>24</v>
      </c>
      <c r="I9245" t="s">
        <v>17</v>
      </c>
    </row>
    <row r="9246" spans="1:9" x14ac:dyDescent="0.25">
      <c r="A9246">
        <v>1824</v>
      </c>
      <c r="B9246">
        <f>A9246+1</f>
        <v>1825</v>
      </c>
      <c r="C9246" t="s">
        <v>530</v>
      </c>
      <c r="D9246" t="s">
        <v>26</v>
      </c>
      <c r="E9246" s="208" t="s">
        <v>99</v>
      </c>
      <c r="F9246" t="s">
        <v>10</v>
      </c>
      <c r="G9246" s="18">
        <v>10</v>
      </c>
      <c r="H9246" t="s">
        <v>24</v>
      </c>
      <c r="I9246" t="s">
        <v>17</v>
      </c>
    </row>
    <row r="9247" spans="1:9" x14ac:dyDescent="0.25">
      <c r="A9247">
        <v>1824</v>
      </c>
      <c r="B9247">
        <f>A9247+1</f>
        <v>1825</v>
      </c>
      <c r="C9247" t="s">
        <v>530</v>
      </c>
      <c r="D9247" t="s">
        <v>26</v>
      </c>
      <c r="E9247" s="208" t="s">
        <v>94</v>
      </c>
      <c r="F9247" t="s">
        <v>10</v>
      </c>
      <c r="G9247" s="18">
        <v>0</v>
      </c>
      <c r="H9247" t="s">
        <v>24</v>
      </c>
      <c r="I9247" t="s">
        <v>17</v>
      </c>
    </row>
    <row r="9248" spans="1:9" x14ac:dyDescent="0.25">
      <c r="A9248">
        <v>1824</v>
      </c>
      <c r="B9248">
        <f>A9248+1</f>
        <v>1825</v>
      </c>
      <c r="C9248" t="s">
        <v>530</v>
      </c>
      <c r="D9248" t="s">
        <v>26</v>
      </c>
      <c r="E9248" s="208" t="s">
        <v>386</v>
      </c>
      <c r="F9248" t="s">
        <v>10</v>
      </c>
      <c r="G9248" s="18">
        <v>723</v>
      </c>
      <c r="H9248" t="s">
        <v>24</v>
      </c>
      <c r="I9248" t="s">
        <v>17</v>
      </c>
    </row>
    <row r="9249" spans="1:9" x14ac:dyDescent="0.25">
      <c r="A9249">
        <v>1824</v>
      </c>
      <c r="B9249">
        <f>A9249+1</f>
        <v>1825</v>
      </c>
      <c r="C9249" t="s">
        <v>530</v>
      </c>
      <c r="D9249" t="s">
        <v>26</v>
      </c>
      <c r="E9249" s="208" t="s">
        <v>387</v>
      </c>
      <c r="F9249" t="s">
        <v>10</v>
      </c>
      <c r="G9249" s="18">
        <v>100</v>
      </c>
      <c r="H9249" t="s">
        <v>24</v>
      </c>
      <c r="I9249" t="s">
        <v>17</v>
      </c>
    </row>
    <row r="9250" spans="1:9" x14ac:dyDescent="0.25">
      <c r="A9250">
        <v>1824</v>
      </c>
      <c r="B9250">
        <f>A9250+1</f>
        <v>1825</v>
      </c>
      <c r="C9250" t="s">
        <v>530</v>
      </c>
      <c r="D9250" t="s">
        <v>26</v>
      </c>
      <c r="E9250" s="208" t="s">
        <v>388</v>
      </c>
      <c r="F9250" t="s">
        <v>10</v>
      </c>
      <c r="G9250" s="18">
        <v>276</v>
      </c>
      <c r="H9250" t="s">
        <v>24</v>
      </c>
      <c r="I9250" t="s">
        <v>17</v>
      </c>
    </row>
    <row r="9251" spans="1:9" x14ac:dyDescent="0.25">
      <c r="A9251">
        <v>1824</v>
      </c>
      <c r="B9251">
        <f>A9251+1</f>
        <v>1825</v>
      </c>
      <c r="C9251" t="s">
        <v>530</v>
      </c>
      <c r="D9251" t="s">
        <v>26</v>
      </c>
      <c r="E9251" s="208" t="s">
        <v>383</v>
      </c>
      <c r="F9251" t="s">
        <v>10</v>
      </c>
      <c r="G9251" s="18">
        <v>0</v>
      </c>
      <c r="H9251" t="s">
        <v>24</v>
      </c>
      <c r="I9251" t="s">
        <v>17</v>
      </c>
    </row>
    <row r="9252" spans="1:9" x14ac:dyDescent="0.25">
      <c r="A9252">
        <v>1824</v>
      </c>
      <c r="B9252">
        <f>A9252+1</f>
        <v>1825</v>
      </c>
      <c r="C9252" t="s">
        <v>530</v>
      </c>
      <c r="D9252" t="s">
        <v>26</v>
      </c>
      <c r="E9252" s="208" t="s">
        <v>384</v>
      </c>
      <c r="F9252" t="s">
        <v>10</v>
      </c>
      <c r="G9252" s="18">
        <v>100</v>
      </c>
      <c r="H9252" t="s">
        <v>24</v>
      </c>
      <c r="I9252" t="s">
        <v>17</v>
      </c>
    </row>
    <row r="9253" spans="1:9" x14ac:dyDescent="0.25">
      <c r="A9253">
        <v>1824</v>
      </c>
      <c r="B9253">
        <f>A9253+1</f>
        <v>1825</v>
      </c>
      <c r="C9253" t="s">
        <v>530</v>
      </c>
      <c r="D9253" t="s">
        <v>26</v>
      </c>
      <c r="E9253" s="208" t="s">
        <v>107</v>
      </c>
      <c r="F9253" t="s">
        <v>10</v>
      </c>
      <c r="G9253" s="18">
        <v>514249</v>
      </c>
      <c r="H9253" t="s">
        <v>24</v>
      </c>
      <c r="I9253" t="s">
        <v>17</v>
      </c>
    </row>
    <row r="9254" spans="1:9" x14ac:dyDescent="0.25">
      <c r="A9254">
        <v>1824</v>
      </c>
      <c r="B9254">
        <f>A9254+1</f>
        <v>1825</v>
      </c>
      <c r="C9254" t="s">
        <v>530</v>
      </c>
      <c r="D9254" t="s">
        <v>26</v>
      </c>
      <c r="E9254" s="208" t="s">
        <v>101</v>
      </c>
      <c r="F9254" t="s">
        <v>10</v>
      </c>
      <c r="G9254" s="18">
        <v>634300</v>
      </c>
      <c r="H9254" t="s">
        <v>24</v>
      </c>
      <c r="I9254" t="s">
        <v>17</v>
      </c>
    </row>
    <row r="9255" spans="1:9" x14ac:dyDescent="0.25">
      <c r="A9255">
        <v>1824</v>
      </c>
      <c r="B9255">
        <f>A9255+1</f>
        <v>1825</v>
      </c>
      <c r="C9255" t="s">
        <v>530</v>
      </c>
      <c r="D9255" t="s">
        <v>26</v>
      </c>
      <c r="E9255" s="208" t="s">
        <v>75</v>
      </c>
      <c r="F9255" t="s">
        <v>10</v>
      </c>
      <c r="G9255" s="18">
        <v>1959780</v>
      </c>
      <c r="H9255" t="s">
        <v>24</v>
      </c>
      <c r="I9255" t="s">
        <v>17</v>
      </c>
    </row>
    <row r="9256" spans="1:9" x14ac:dyDescent="0.25">
      <c r="A9256">
        <v>1824</v>
      </c>
      <c r="B9256">
        <f>A9256+1</f>
        <v>1825</v>
      </c>
      <c r="C9256" t="s">
        <v>530</v>
      </c>
      <c r="D9256" t="s">
        <v>26</v>
      </c>
      <c r="E9256" s="208" t="s">
        <v>330</v>
      </c>
      <c r="F9256" t="s">
        <v>10</v>
      </c>
      <c r="G9256" s="18">
        <v>23</v>
      </c>
      <c r="H9256" t="s">
        <v>24</v>
      </c>
      <c r="I9256" t="s">
        <v>17</v>
      </c>
    </row>
    <row r="9257" spans="1:9" x14ac:dyDescent="0.25">
      <c r="A9257">
        <v>1824</v>
      </c>
      <c r="B9257">
        <f>A9257+1</f>
        <v>1825</v>
      </c>
      <c r="C9257" t="s">
        <v>530</v>
      </c>
      <c r="D9257" t="s">
        <v>26</v>
      </c>
      <c r="E9257" s="208" t="s">
        <v>331</v>
      </c>
      <c r="F9257" t="s">
        <v>10</v>
      </c>
      <c r="G9257" s="18">
        <v>0</v>
      </c>
      <c r="H9257" t="s">
        <v>24</v>
      </c>
      <c r="I9257" t="s">
        <v>17</v>
      </c>
    </row>
    <row r="9258" spans="1:9" x14ac:dyDescent="0.25">
      <c r="A9258">
        <v>1824</v>
      </c>
      <c r="B9258">
        <f>A9258+1</f>
        <v>1825</v>
      </c>
      <c r="C9258" t="s">
        <v>530</v>
      </c>
      <c r="D9258" t="s">
        <v>26</v>
      </c>
      <c r="E9258" s="208" t="s">
        <v>332</v>
      </c>
      <c r="F9258" t="s">
        <v>10</v>
      </c>
      <c r="G9258" s="18">
        <v>0</v>
      </c>
      <c r="H9258" t="s">
        <v>24</v>
      </c>
      <c r="I9258" t="s">
        <v>17</v>
      </c>
    </row>
    <row r="9259" spans="1:9" x14ac:dyDescent="0.25">
      <c r="A9259">
        <v>1824</v>
      </c>
      <c r="B9259">
        <f>A9259+1</f>
        <v>1825</v>
      </c>
      <c r="C9259" t="s">
        <v>530</v>
      </c>
      <c r="D9259" t="s">
        <v>26</v>
      </c>
      <c r="E9259" s="208" t="s">
        <v>333</v>
      </c>
      <c r="F9259" t="s">
        <v>10</v>
      </c>
      <c r="G9259" s="18">
        <v>0</v>
      </c>
      <c r="H9259" t="s">
        <v>24</v>
      </c>
      <c r="I9259" t="s">
        <v>17</v>
      </c>
    </row>
    <row r="9260" spans="1:9" x14ac:dyDescent="0.25">
      <c r="A9260">
        <v>1824</v>
      </c>
      <c r="B9260">
        <f>A9260+1</f>
        <v>1825</v>
      </c>
      <c r="C9260" t="s">
        <v>530</v>
      </c>
      <c r="D9260" t="s">
        <v>27</v>
      </c>
      <c r="E9260" s="208" t="s">
        <v>155</v>
      </c>
      <c r="F9260" t="s">
        <v>13</v>
      </c>
      <c r="G9260" s="18">
        <v>0</v>
      </c>
      <c r="H9260" t="s">
        <v>17</v>
      </c>
      <c r="I9260" t="s">
        <v>25</v>
      </c>
    </row>
    <row r="9261" spans="1:9" x14ac:dyDescent="0.25">
      <c r="A9261">
        <v>1824</v>
      </c>
      <c r="B9261">
        <f>A9261+1</f>
        <v>1825</v>
      </c>
      <c r="C9261" t="s">
        <v>530</v>
      </c>
      <c r="D9261" t="s">
        <v>27</v>
      </c>
      <c r="E9261" s="208" t="s">
        <v>156</v>
      </c>
      <c r="F9261" t="s">
        <v>13</v>
      </c>
      <c r="G9261" s="18">
        <v>0</v>
      </c>
      <c r="H9261" t="s">
        <v>17</v>
      </c>
      <c r="I9261" t="s">
        <v>25</v>
      </c>
    </row>
    <row r="9262" spans="1:9" x14ac:dyDescent="0.25">
      <c r="A9262">
        <v>1824</v>
      </c>
      <c r="B9262">
        <f>A9262+1</f>
        <v>1825</v>
      </c>
      <c r="C9262" t="s">
        <v>530</v>
      </c>
      <c r="D9262" t="s">
        <v>27</v>
      </c>
      <c r="E9262" s="208" t="s">
        <v>154</v>
      </c>
      <c r="F9262" t="s">
        <v>13</v>
      </c>
      <c r="G9262" s="18">
        <v>0</v>
      </c>
      <c r="H9262" t="s">
        <v>17</v>
      </c>
      <c r="I9262" t="s">
        <v>25</v>
      </c>
    </row>
    <row r="9263" spans="1:9" x14ac:dyDescent="0.25">
      <c r="A9263">
        <v>1824</v>
      </c>
      <c r="B9263">
        <f>A9263+1</f>
        <v>1825</v>
      </c>
      <c r="C9263" t="s">
        <v>530</v>
      </c>
      <c r="D9263" t="s">
        <v>27</v>
      </c>
      <c r="E9263" s="208" t="s">
        <v>150</v>
      </c>
      <c r="F9263" t="s">
        <v>13</v>
      </c>
      <c r="G9263" s="18">
        <v>51</v>
      </c>
      <c r="H9263" t="s">
        <v>17</v>
      </c>
      <c r="I9263" t="s">
        <v>25</v>
      </c>
    </row>
    <row r="9264" spans="1:9" x14ac:dyDescent="0.25">
      <c r="A9264">
        <v>1824</v>
      </c>
      <c r="B9264">
        <f>A9264+1</f>
        <v>1825</v>
      </c>
      <c r="C9264" t="s">
        <v>530</v>
      </c>
      <c r="D9264" t="s">
        <v>27</v>
      </c>
      <c r="E9264" s="208" t="s">
        <v>148</v>
      </c>
      <c r="F9264" t="s">
        <v>13</v>
      </c>
      <c r="G9264" s="18">
        <v>8</v>
      </c>
      <c r="H9264" t="s">
        <v>17</v>
      </c>
      <c r="I9264" t="s">
        <v>25</v>
      </c>
    </row>
    <row r="9265" spans="1:9" x14ac:dyDescent="0.25">
      <c r="A9265">
        <v>1824</v>
      </c>
      <c r="B9265">
        <f>A9265+1</f>
        <v>1825</v>
      </c>
      <c r="C9265" t="s">
        <v>530</v>
      </c>
      <c r="D9265" t="s">
        <v>27</v>
      </c>
      <c r="E9265" s="208" t="s">
        <v>147</v>
      </c>
      <c r="F9265" t="s">
        <v>13</v>
      </c>
      <c r="G9265" s="18">
        <v>0</v>
      </c>
      <c r="H9265" t="s">
        <v>17</v>
      </c>
      <c r="I9265" t="s">
        <v>25</v>
      </c>
    </row>
    <row r="9266" spans="1:9" x14ac:dyDescent="0.25">
      <c r="A9266">
        <v>1824</v>
      </c>
      <c r="B9266">
        <f>A9266+1</f>
        <v>1825</v>
      </c>
      <c r="C9266" t="s">
        <v>530</v>
      </c>
      <c r="D9266" t="s">
        <v>27</v>
      </c>
      <c r="E9266" s="208" t="s">
        <v>314</v>
      </c>
      <c r="F9266" t="s">
        <v>13</v>
      </c>
      <c r="G9266" s="18">
        <v>4</v>
      </c>
      <c r="H9266" t="s">
        <v>17</v>
      </c>
      <c r="I9266" t="s">
        <v>25</v>
      </c>
    </row>
    <row r="9267" spans="1:9" x14ac:dyDescent="0.25">
      <c r="A9267">
        <v>1824</v>
      </c>
      <c r="B9267">
        <f>A9267+1</f>
        <v>1825</v>
      </c>
      <c r="C9267" t="s">
        <v>530</v>
      </c>
      <c r="D9267" t="s">
        <v>27</v>
      </c>
      <c r="E9267" s="208" t="s">
        <v>139</v>
      </c>
      <c r="F9267" t="s">
        <v>13</v>
      </c>
      <c r="G9267" s="18">
        <v>0</v>
      </c>
      <c r="H9267" t="s">
        <v>17</v>
      </c>
      <c r="I9267" t="s">
        <v>25</v>
      </c>
    </row>
    <row r="9268" spans="1:9" x14ac:dyDescent="0.25">
      <c r="A9268">
        <v>1824</v>
      </c>
      <c r="B9268">
        <f>A9268+1</f>
        <v>1825</v>
      </c>
      <c r="C9268" t="s">
        <v>530</v>
      </c>
      <c r="D9268" t="s">
        <v>27</v>
      </c>
      <c r="E9268" s="208" t="s">
        <v>131</v>
      </c>
      <c r="F9268" t="s">
        <v>13</v>
      </c>
      <c r="G9268" s="18">
        <v>0</v>
      </c>
      <c r="H9268" t="s">
        <v>17</v>
      </c>
      <c r="I9268" t="s">
        <v>25</v>
      </c>
    </row>
    <row r="9269" spans="1:9" x14ac:dyDescent="0.25">
      <c r="A9269">
        <v>1824</v>
      </c>
      <c r="B9269">
        <f>A9269+1</f>
        <v>1825</v>
      </c>
      <c r="C9269" t="s">
        <v>530</v>
      </c>
      <c r="D9269" t="s">
        <v>27</v>
      </c>
      <c r="E9269" s="208" t="s">
        <v>130</v>
      </c>
      <c r="F9269" t="s">
        <v>13</v>
      </c>
      <c r="G9269" s="18">
        <v>0</v>
      </c>
      <c r="H9269" t="s">
        <v>17</v>
      </c>
      <c r="I9269" t="s">
        <v>25</v>
      </c>
    </row>
    <row r="9270" spans="1:9" x14ac:dyDescent="0.25">
      <c r="A9270">
        <v>1824</v>
      </c>
      <c r="B9270">
        <f>A9270+1</f>
        <v>1825</v>
      </c>
      <c r="C9270" t="s">
        <v>530</v>
      </c>
      <c r="D9270" t="s">
        <v>27</v>
      </c>
      <c r="E9270" s="208" t="s">
        <v>143</v>
      </c>
      <c r="F9270" t="s">
        <v>13</v>
      </c>
      <c r="G9270" s="18">
        <v>0</v>
      </c>
      <c r="H9270" t="s">
        <v>17</v>
      </c>
      <c r="I9270" t="s">
        <v>25</v>
      </c>
    </row>
    <row r="9271" spans="1:9" x14ac:dyDescent="0.25">
      <c r="A9271">
        <v>1824</v>
      </c>
      <c r="B9271">
        <f>A9271+1</f>
        <v>1825</v>
      </c>
      <c r="C9271" t="s">
        <v>530</v>
      </c>
      <c r="D9271" t="s">
        <v>27</v>
      </c>
      <c r="E9271" s="208" t="s">
        <v>142</v>
      </c>
      <c r="F9271" t="s">
        <v>13</v>
      </c>
      <c r="G9271" s="18">
        <v>0</v>
      </c>
      <c r="H9271" t="s">
        <v>17</v>
      </c>
      <c r="I9271" t="s">
        <v>25</v>
      </c>
    </row>
    <row r="9272" spans="1:9" x14ac:dyDescent="0.25">
      <c r="A9272">
        <v>1824</v>
      </c>
      <c r="B9272">
        <f>A9272+1</f>
        <v>1825</v>
      </c>
      <c r="C9272" t="s">
        <v>530</v>
      </c>
      <c r="D9272" t="s">
        <v>27</v>
      </c>
      <c r="E9272" s="208" t="s">
        <v>124</v>
      </c>
      <c r="F9272" t="s">
        <v>13</v>
      </c>
      <c r="G9272" s="18">
        <v>0</v>
      </c>
      <c r="H9272" t="s">
        <v>17</v>
      </c>
      <c r="I9272" t="s">
        <v>25</v>
      </c>
    </row>
    <row r="9273" spans="1:9" x14ac:dyDescent="0.25">
      <c r="A9273">
        <v>1824</v>
      </c>
      <c r="B9273">
        <f>A9273+1</f>
        <v>1825</v>
      </c>
      <c r="C9273" t="s">
        <v>530</v>
      </c>
      <c r="D9273" t="s">
        <v>26</v>
      </c>
      <c r="E9273" s="208" t="s">
        <v>62</v>
      </c>
      <c r="F9273" t="s">
        <v>13</v>
      </c>
      <c r="G9273" s="18">
        <v>0</v>
      </c>
      <c r="H9273" t="s">
        <v>25</v>
      </c>
      <c r="I9273" t="s">
        <v>17</v>
      </c>
    </row>
    <row r="9274" spans="1:9" x14ac:dyDescent="0.25">
      <c r="A9274">
        <v>1824</v>
      </c>
      <c r="B9274">
        <f>A9274+1</f>
        <v>1825</v>
      </c>
      <c r="C9274" t="s">
        <v>530</v>
      </c>
      <c r="D9274" t="s">
        <v>26</v>
      </c>
      <c r="E9274" s="208" t="s">
        <v>36</v>
      </c>
      <c r="F9274" t="s">
        <v>13</v>
      </c>
      <c r="G9274" s="18">
        <v>0</v>
      </c>
      <c r="H9274" t="s">
        <v>25</v>
      </c>
      <c r="I9274" t="s">
        <v>17</v>
      </c>
    </row>
    <row r="9275" spans="1:9" x14ac:dyDescent="0.25">
      <c r="A9275">
        <v>1824</v>
      </c>
      <c r="B9275">
        <f>A9275+1</f>
        <v>1825</v>
      </c>
      <c r="C9275" t="s">
        <v>530</v>
      </c>
      <c r="D9275" t="s">
        <v>26</v>
      </c>
      <c r="E9275" s="208" t="s">
        <v>35</v>
      </c>
      <c r="F9275" t="s">
        <v>13</v>
      </c>
      <c r="G9275" s="18">
        <v>0</v>
      </c>
      <c r="H9275" t="s">
        <v>25</v>
      </c>
      <c r="I9275" t="s">
        <v>17</v>
      </c>
    </row>
    <row r="9276" spans="1:9" x14ac:dyDescent="0.25">
      <c r="A9276">
        <v>1824</v>
      </c>
      <c r="B9276">
        <f>A9276+1</f>
        <v>1825</v>
      </c>
      <c r="C9276" t="s">
        <v>530</v>
      </c>
      <c r="D9276" t="s">
        <v>26</v>
      </c>
      <c r="E9276" s="208" t="s">
        <v>39</v>
      </c>
      <c r="F9276" t="s">
        <v>13</v>
      </c>
      <c r="G9276" s="18">
        <v>0</v>
      </c>
      <c r="H9276" t="s">
        <v>25</v>
      </c>
      <c r="I9276" t="s">
        <v>17</v>
      </c>
    </row>
    <row r="9277" spans="1:9" x14ac:dyDescent="0.25">
      <c r="A9277">
        <v>1824</v>
      </c>
      <c r="B9277">
        <f>A9277+1</f>
        <v>1825</v>
      </c>
      <c r="C9277" t="s">
        <v>530</v>
      </c>
      <c r="D9277" t="s">
        <v>26</v>
      </c>
      <c r="E9277" s="208" t="s">
        <v>99</v>
      </c>
      <c r="F9277" t="s">
        <v>13</v>
      </c>
      <c r="G9277" s="18">
        <v>0</v>
      </c>
      <c r="H9277" t="s">
        <v>25</v>
      </c>
      <c r="I9277" t="s">
        <v>17</v>
      </c>
    </row>
    <row r="9278" spans="1:9" x14ac:dyDescent="0.25">
      <c r="A9278">
        <v>1824</v>
      </c>
      <c r="B9278">
        <f>A9278+1</f>
        <v>1825</v>
      </c>
      <c r="C9278" t="s">
        <v>530</v>
      </c>
      <c r="D9278" t="s">
        <v>26</v>
      </c>
      <c r="E9278" s="208" t="s">
        <v>94</v>
      </c>
      <c r="F9278" t="s">
        <v>13</v>
      </c>
      <c r="G9278" s="18">
        <v>0</v>
      </c>
      <c r="H9278" t="s">
        <v>25</v>
      </c>
      <c r="I9278" t="s">
        <v>17</v>
      </c>
    </row>
    <row r="9279" spans="1:9" x14ac:dyDescent="0.25">
      <c r="A9279">
        <v>1824</v>
      </c>
      <c r="B9279">
        <f>A9279+1</f>
        <v>1825</v>
      </c>
      <c r="C9279" t="s">
        <v>530</v>
      </c>
      <c r="D9279" t="s">
        <v>26</v>
      </c>
      <c r="E9279" s="208" t="s">
        <v>386</v>
      </c>
      <c r="F9279" t="s">
        <v>13</v>
      </c>
      <c r="G9279" s="18">
        <v>200</v>
      </c>
      <c r="H9279" t="s">
        <v>25</v>
      </c>
      <c r="I9279" t="s">
        <v>17</v>
      </c>
    </row>
    <row r="9280" spans="1:9" x14ac:dyDescent="0.25">
      <c r="A9280">
        <v>1824</v>
      </c>
      <c r="B9280">
        <f>A9280+1</f>
        <v>1825</v>
      </c>
      <c r="C9280" t="s">
        <v>530</v>
      </c>
      <c r="D9280" t="s">
        <v>26</v>
      </c>
      <c r="E9280" s="208" t="s">
        <v>387</v>
      </c>
      <c r="F9280" t="s">
        <v>13</v>
      </c>
      <c r="G9280" s="18">
        <v>0</v>
      </c>
      <c r="H9280" t="s">
        <v>25</v>
      </c>
      <c r="I9280" t="s">
        <v>17</v>
      </c>
    </row>
    <row r="9281" spans="1:9" x14ac:dyDescent="0.25">
      <c r="A9281">
        <v>1824</v>
      </c>
      <c r="B9281">
        <f>A9281+1</f>
        <v>1825</v>
      </c>
      <c r="C9281" t="s">
        <v>530</v>
      </c>
      <c r="D9281" t="s">
        <v>26</v>
      </c>
      <c r="E9281" s="208" t="s">
        <v>388</v>
      </c>
      <c r="F9281" t="s">
        <v>13</v>
      </c>
      <c r="G9281" s="18">
        <v>0</v>
      </c>
      <c r="H9281" t="s">
        <v>25</v>
      </c>
      <c r="I9281" t="s">
        <v>17</v>
      </c>
    </row>
    <row r="9282" spans="1:9" x14ac:dyDescent="0.25">
      <c r="A9282">
        <v>1824</v>
      </c>
      <c r="B9282">
        <f>A9282+1</f>
        <v>1825</v>
      </c>
      <c r="C9282" t="s">
        <v>530</v>
      </c>
      <c r="D9282" t="s">
        <v>26</v>
      </c>
      <c r="E9282" s="208" t="s">
        <v>383</v>
      </c>
      <c r="F9282" t="s">
        <v>13</v>
      </c>
      <c r="G9282" s="18">
        <v>0</v>
      </c>
      <c r="H9282" t="s">
        <v>25</v>
      </c>
      <c r="I9282" t="s">
        <v>17</v>
      </c>
    </row>
    <row r="9283" spans="1:9" x14ac:dyDescent="0.25">
      <c r="A9283">
        <v>1824</v>
      </c>
      <c r="B9283">
        <f>A9283+1</f>
        <v>1825</v>
      </c>
      <c r="C9283" t="s">
        <v>530</v>
      </c>
      <c r="D9283" t="s">
        <v>26</v>
      </c>
      <c r="E9283" s="208" t="s">
        <v>384</v>
      </c>
      <c r="F9283" t="s">
        <v>13</v>
      </c>
      <c r="G9283" s="18">
        <v>0</v>
      </c>
      <c r="H9283" t="s">
        <v>25</v>
      </c>
      <c r="I9283" t="s">
        <v>17</v>
      </c>
    </row>
    <row r="9284" spans="1:9" x14ac:dyDescent="0.25">
      <c r="A9284">
        <v>1824</v>
      </c>
      <c r="B9284">
        <f>A9284+1</f>
        <v>1825</v>
      </c>
      <c r="C9284" t="s">
        <v>530</v>
      </c>
      <c r="D9284" t="s">
        <v>26</v>
      </c>
      <c r="E9284" s="208" t="s">
        <v>107</v>
      </c>
      <c r="F9284" t="s">
        <v>13</v>
      </c>
      <c r="G9284" s="18">
        <v>0</v>
      </c>
      <c r="H9284" t="s">
        <v>25</v>
      </c>
      <c r="I9284" t="s">
        <v>17</v>
      </c>
    </row>
    <row r="9285" spans="1:9" x14ac:dyDescent="0.25">
      <c r="A9285">
        <v>1824</v>
      </c>
      <c r="B9285">
        <f>A9285+1</f>
        <v>1825</v>
      </c>
      <c r="C9285" t="s">
        <v>530</v>
      </c>
      <c r="D9285" t="s">
        <v>26</v>
      </c>
      <c r="E9285" s="208" t="s">
        <v>330</v>
      </c>
      <c r="F9285" t="s">
        <v>13</v>
      </c>
      <c r="G9285" s="18">
        <v>204</v>
      </c>
      <c r="H9285" t="s">
        <v>25</v>
      </c>
      <c r="I9285" t="s">
        <v>17</v>
      </c>
    </row>
    <row r="9286" spans="1:9" x14ac:dyDescent="0.25">
      <c r="A9286">
        <v>1824</v>
      </c>
      <c r="B9286">
        <f>A9286+1</f>
        <v>1825</v>
      </c>
      <c r="C9286" t="s">
        <v>530</v>
      </c>
      <c r="D9286" t="s">
        <v>26</v>
      </c>
      <c r="E9286" s="208" t="s">
        <v>331</v>
      </c>
      <c r="F9286" t="s">
        <v>13</v>
      </c>
      <c r="G9286" s="18">
        <v>13</v>
      </c>
      <c r="H9286" t="s">
        <v>25</v>
      </c>
      <c r="I9286" t="s">
        <v>17</v>
      </c>
    </row>
    <row r="9287" spans="1:9" x14ac:dyDescent="0.25">
      <c r="A9287">
        <v>1824</v>
      </c>
      <c r="B9287">
        <f>A9287+1</f>
        <v>1825</v>
      </c>
      <c r="C9287" t="s">
        <v>530</v>
      </c>
      <c r="D9287" t="s">
        <v>26</v>
      </c>
      <c r="E9287" s="208" t="s">
        <v>332</v>
      </c>
      <c r="F9287" t="s">
        <v>13</v>
      </c>
      <c r="G9287" s="18">
        <v>0</v>
      </c>
      <c r="H9287" t="s">
        <v>25</v>
      </c>
      <c r="I9287" t="s">
        <v>17</v>
      </c>
    </row>
    <row r="9288" spans="1:9" x14ac:dyDescent="0.25">
      <c r="A9288">
        <v>1824</v>
      </c>
      <c r="B9288">
        <f>A9288+1</f>
        <v>1825</v>
      </c>
      <c r="C9288" t="s">
        <v>530</v>
      </c>
      <c r="D9288" t="s">
        <v>26</v>
      </c>
      <c r="E9288" s="208" t="s">
        <v>333</v>
      </c>
      <c r="F9288" t="s">
        <v>13</v>
      </c>
      <c r="G9288" s="18">
        <v>0</v>
      </c>
      <c r="H9288" t="s">
        <v>25</v>
      </c>
      <c r="I9288" t="s">
        <v>17</v>
      </c>
    </row>
    <row r="9289" spans="1:9" x14ac:dyDescent="0.25">
      <c r="A9289">
        <v>1824</v>
      </c>
      <c r="B9289">
        <f>A9289+1</f>
        <v>1825</v>
      </c>
      <c r="C9289" t="s">
        <v>530</v>
      </c>
      <c r="D9289" t="s">
        <v>27</v>
      </c>
      <c r="E9289" s="208" t="s">
        <v>155</v>
      </c>
      <c r="F9289" t="s">
        <v>8</v>
      </c>
      <c r="G9289" s="18">
        <v>57061</v>
      </c>
      <c r="H9289" t="s">
        <v>17</v>
      </c>
      <c r="I9289" t="s">
        <v>18</v>
      </c>
    </row>
    <row r="9290" spans="1:9" x14ac:dyDescent="0.25">
      <c r="A9290">
        <v>1824</v>
      </c>
      <c r="B9290">
        <f>A9290+1</f>
        <v>1825</v>
      </c>
      <c r="C9290" t="s">
        <v>530</v>
      </c>
      <c r="D9290" t="s">
        <v>27</v>
      </c>
      <c r="E9290" s="208" t="s">
        <v>156</v>
      </c>
      <c r="F9290" t="s">
        <v>8</v>
      </c>
      <c r="G9290" s="18">
        <v>6170</v>
      </c>
      <c r="H9290" t="s">
        <v>17</v>
      </c>
      <c r="I9290" t="s">
        <v>18</v>
      </c>
    </row>
    <row r="9291" spans="1:9" x14ac:dyDescent="0.25">
      <c r="A9291">
        <v>1824</v>
      </c>
      <c r="B9291">
        <f>A9291+1</f>
        <v>1825</v>
      </c>
      <c r="C9291" t="s">
        <v>530</v>
      </c>
      <c r="D9291" t="s">
        <v>27</v>
      </c>
      <c r="E9291" s="208" t="s">
        <v>154</v>
      </c>
      <c r="F9291" t="s">
        <v>8</v>
      </c>
      <c r="G9291" s="18">
        <v>672</v>
      </c>
      <c r="H9291" t="s">
        <v>17</v>
      </c>
      <c r="I9291" t="s">
        <v>18</v>
      </c>
    </row>
    <row r="9292" spans="1:9" x14ac:dyDescent="0.25">
      <c r="A9292">
        <v>1824</v>
      </c>
      <c r="B9292">
        <f>A9292+1</f>
        <v>1825</v>
      </c>
      <c r="C9292" t="s">
        <v>530</v>
      </c>
      <c r="D9292" t="s">
        <v>27</v>
      </c>
      <c r="E9292" s="208" t="s">
        <v>150</v>
      </c>
      <c r="F9292" t="s">
        <v>8</v>
      </c>
      <c r="G9292" s="18">
        <v>15229</v>
      </c>
      <c r="H9292" t="s">
        <v>17</v>
      </c>
      <c r="I9292" t="s">
        <v>18</v>
      </c>
    </row>
    <row r="9293" spans="1:9" x14ac:dyDescent="0.25">
      <c r="A9293">
        <v>1824</v>
      </c>
      <c r="B9293">
        <f>A9293+1</f>
        <v>1825</v>
      </c>
      <c r="C9293" t="s">
        <v>530</v>
      </c>
      <c r="D9293" t="s">
        <v>27</v>
      </c>
      <c r="E9293" s="208" t="s">
        <v>148</v>
      </c>
      <c r="F9293" t="s">
        <v>8</v>
      </c>
      <c r="G9293" s="18">
        <v>1475</v>
      </c>
      <c r="H9293" t="s">
        <v>17</v>
      </c>
      <c r="I9293" t="s">
        <v>18</v>
      </c>
    </row>
    <row r="9294" spans="1:9" x14ac:dyDescent="0.25">
      <c r="A9294">
        <v>1824</v>
      </c>
      <c r="B9294">
        <f>A9294+1</f>
        <v>1825</v>
      </c>
      <c r="C9294" t="s">
        <v>530</v>
      </c>
      <c r="D9294" t="s">
        <v>27</v>
      </c>
      <c r="E9294" s="208" t="s">
        <v>314</v>
      </c>
      <c r="F9294" t="s">
        <v>8</v>
      </c>
      <c r="G9294" s="18">
        <v>0</v>
      </c>
      <c r="H9294" t="s">
        <v>17</v>
      </c>
      <c r="I9294" t="s">
        <v>18</v>
      </c>
    </row>
    <row r="9295" spans="1:9" x14ac:dyDescent="0.25">
      <c r="A9295">
        <v>1824</v>
      </c>
      <c r="B9295">
        <f>A9295+1</f>
        <v>1825</v>
      </c>
      <c r="C9295" t="s">
        <v>530</v>
      </c>
      <c r="D9295" t="s">
        <v>27</v>
      </c>
      <c r="E9295" s="208" t="s">
        <v>139</v>
      </c>
      <c r="F9295" t="s">
        <v>8</v>
      </c>
      <c r="G9295" s="18">
        <v>584</v>
      </c>
      <c r="H9295" t="s">
        <v>17</v>
      </c>
      <c r="I9295" t="s">
        <v>18</v>
      </c>
    </row>
    <row r="9296" spans="1:9" x14ac:dyDescent="0.25">
      <c r="A9296">
        <v>1824</v>
      </c>
      <c r="B9296">
        <f>A9296+1</f>
        <v>1825</v>
      </c>
      <c r="C9296" t="s">
        <v>530</v>
      </c>
      <c r="D9296" t="s">
        <v>27</v>
      </c>
      <c r="E9296" s="208" t="s">
        <v>131</v>
      </c>
      <c r="F9296" t="s">
        <v>8</v>
      </c>
      <c r="G9296" s="18">
        <v>3575</v>
      </c>
      <c r="H9296" t="s">
        <v>17</v>
      </c>
      <c r="I9296" t="s">
        <v>18</v>
      </c>
    </row>
    <row r="9297" spans="1:9" x14ac:dyDescent="0.25">
      <c r="A9297">
        <v>1824</v>
      </c>
      <c r="B9297">
        <f>A9297+1</f>
        <v>1825</v>
      </c>
      <c r="C9297" t="s">
        <v>530</v>
      </c>
      <c r="D9297" t="s">
        <v>27</v>
      </c>
      <c r="E9297" s="208" t="s">
        <v>130</v>
      </c>
      <c r="F9297" t="s">
        <v>8</v>
      </c>
      <c r="G9297" s="18">
        <v>261</v>
      </c>
      <c r="H9297" t="s">
        <v>17</v>
      </c>
      <c r="I9297" t="s">
        <v>18</v>
      </c>
    </row>
    <row r="9298" spans="1:9" x14ac:dyDescent="0.25">
      <c r="A9298">
        <v>1824</v>
      </c>
      <c r="B9298">
        <f>A9298+1</f>
        <v>1825</v>
      </c>
      <c r="C9298" t="s">
        <v>530</v>
      </c>
      <c r="D9298" t="s">
        <v>27</v>
      </c>
      <c r="E9298" s="208" t="s">
        <v>143</v>
      </c>
      <c r="F9298" t="s">
        <v>8</v>
      </c>
      <c r="G9298" s="18">
        <v>66</v>
      </c>
      <c r="H9298" t="s">
        <v>17</v>
      </c>
      <c r="I9298" t="s">
        <v>18</v>
      </c>
    </row>
    <row r="9299" spans="1:9" x14ac:dyDescent="0.25">
      <c r="A9299">
        <v>1824</v>
      </c>
      <c r="B9299">
        <f>A9299+1</f>
        <v>1825</v>
      </c>
      <c r="C9299" t="s">
        <v>530</v>
      </c>
      <c r="D9299" t="s">
        <v>27</v>
      </c>
      <c r="E9299" s="208" t="s">
        <v>142</v>
      </c>
      <c r="F9299" t="s">
        <v>8</v>
      </c>
      <c r="G9299" s="18">
        <v>10016</v>
      </c>
      <c r="H9299" t="s">
        <v>17</v>
      </c>
      <c r="I9299" t="s">
        <v>18</v>
      </c>
    </row>
    <row r="9300" spans="1:9" x14ac:dyDescent="0.25">
      <c r="A9300">
        <v>1824</v>
      </c>
      <c r="B9300">
        <f>A9300+1</f>
        <v>1825</v>
      </c>
      <c r="C9300" t="s">
        <v>530</v>
      </c>
      <c r="D9300" t="s">
        <v>27</v>
      </c>
      <c r="E9300" s="208" t="s">
        <v>124</v>
      </c>
      <c r="F9300" t="s">
        <v>8</v>
      </c>
      <c r="G9300" s="18">
        <v>8972677</v>
      </c>
      <c r="H9300" t="s">
        <v>17</v>
      </c>
      <c r="I9300" t="s">
        <v>18</v>
      </c>
    </row>
    <row r="9301" spans="1:9" x14ac:dyDescent="0.25">
      <c r="A9301">
        <v>1824</v>
      </c>
      <c r="B9301">
        <f>A9301+1</f>
        <v>1825</v>
      </c>
      <c r="C9301" t="s">
        <v>530</v>
      </c>
      <c r="D9301" t="s">
        <v>26</v>
      </c>
      <c r="E9301" s="208" t="s">
        <v>62</v>
      </c>
      <c r="F9301" t="s">
        <v>164</v>
      </c>
      <c r="G9301" s="18">
        <v>959</v>
      </c>
      <c r="H9301" t="s">
        <v>160</v>
      </c>
      <c r="I9301" t="s">
        <v>17</v>
      </c>
    </row>
    <row r="9302" spans="1:9" x14ac:dyDescent="0.25">
      <c r="A9302">
        <v>1824</v>
      </c>
      <c r="B9302">
        <f>A9302+1</f>
        <v>1825</v>
      </c>
      <c r="C9302" t="s">
        <v>530</v>
      </c>
      <c r="D9302" t="s">
        <v>26</v>
      </c>
      <c r="E9302" s="208" t="s">
        <v>36</v>
      </c>
      <c r="F9302" t="s">
        <v>164</v>
      </c>
      <c r="G9302" s="18">
        <v>64</v>
      </c>
      <c r="H9302" t="s">
        <v>160</v>
      </c>
      <c r="I9302" t="s">
        <v>17</v>
      </c>
    </row>
    <row r="9303" spans="1:9" x14ac:dyDescent="0.25">
      <c r="A9303">
        <v>1824</v>
      </c>
      <c r="B9303">
        <f>A9303+1</f>
        <v>1825</v>
      </c>
      <c r="C9303" t="s">
        <v>530</v>
      </c>
      <c r="D9303" t="s">
        <v>26</v>
      </c>
      <c r="E9303" s="208" t="s">
        <v>35</v>
      </c>
      <c r="F9303" t="s">
        <v>164</v>
      </c>
      <c r="G9303" s="18">
        <v>0</v>
      </c>
      <c r="H9303" t="s">
        <v>160</v>
      </c>
      <c r="I9303" t="s">
        <v>17</v>
      </c>
    </row>
    <row r="9304" spans="1:9" x14ac:dyDescent="0.25">
      <c r="A9304">
        <v>1824</v>
      </c>
      <c r="B9304">
        <f>A9304+1</f>
        <v>1825</v>
      </c>
      <c r="C9304" t="s">
        <v>530</v>
      </c>
      <c r="D9304" t="s">
        <v>26</v>
      </c>
      <c r="E9304" s="208" t="s">
        <v>39</v>
      </c>
      <c r="F9304" t="s">
        <v>164</v>
      </c>
      <c r="G9304" s="18">
        <v>0</v>
      </c>
      <c r="H9304" t="s">
        <v>160</v>
      </c>
      <c r="I9304" t="s">
        <v>17</v>
      </c>
    </row>
    <row r="9305" spans="1:9" x14ac:dyDescent="0.25">
      <c r="A9305">
        <v>1824</v>
      </c>
      <c r="B9305">
        <f>A9305+1</f>
        <v>1825</v>
      </c>
      <c r="C9305" t="s">
        <v>530</v>
      </c>
      <c r="D9305" t="s">
        <v>26</v>
      </c>
      <c r="E9305" s="208" t="s">
        <v>99</v>
      </c>
      <c r="F9305" t="s">
        <v>164</v>
      </c>
      <c r="G9305" s="18">
        <v>225</v>
      </c>
      <c r="H9305" t="s">
        <v>160</v>
      </c>
      <c r="I9305" t="s">
        <v>17</v>
      </c>
    </row>
    <row r="9306" spans="1:9" x14ac:dyDescent="0.25">
      <c r="A9306">
        <v>1824</v>
      </c>
      <c r="B9306">
        <f>A9306+1</f>
        <v>1825</v>
      </c>
      <c r="C9306" t="s">
        <v>530</v>
      </c>
      <c r="D9306" t="s">
        <v>26</v>
      </c>
      <c r="E9306" s="208" t="s">
        <v>94</v>
      </c>
      <c r="F9306" t="s">
        <v>164</v>
      </c>
      <c r="G9306" s="18">
        <v>0</v>
      </c>
      <c r="H9306" t="s">
        <v>160</v>
      </c>
      <c r="I9306" t="s">
        <v>17</v>
      </c>
    </row>
    <row r="9307" spans="1:9" x14ac:dyDescent="0.25">
      <c r="A9307">
        <v>1824</v>
      </c>
      <c r="B9307">
        <f>A9307+1</f>
        <v>1825</v>
      </c>
      <c r="C9307" t="s">
        <v>530</v>
      </c>
      <c r="D9307" t="s">
        <v>26</v>
      </c>
      <c r="E9307" s="208" t="s">
        <v>386</v>
      </c>
      <c r="F9307" t="s">
        <v>164</v>
      </c>
      <c r="G9307" s="18">
        <v>0</v>
      </c>
      <c r="H9307" t="s">
        <v>160</v>
      </c>
      <c r="I9307" t="s">
        <v>17</v>
      </c>
    </row>
    <row r="9308" spans="1:9" x14ac:dyDescent="0.25">
      <c r="A9308">
        <v>1824</v>
      </c>
      <c r="B9308">
        <f>A9308+1</f>
        <v>1825</v>
      </c>
      <c r="C9308" t="s">
        <v>530</v>
      </c>
      <c r="D9308" t="s">
        <v>26</v>
      </c>
      <c r="E9308" s="208" t="s">
        <v>387</v>
      </c>
      <c r="F9308" t="s">
        <v>164</v>
      </c>
      <c r="G9308" s="18">
        <v>0</v>
      </c>
      <c r="H9308" t="s">
        <v>160</v>
      </c>
      <c r="I9308" t="s">
        <v>17</v>
      </c>
    </row>
    <row r="9309" spans="1:9" x14ac:dyDescent="0.25">
      <c r="A9309">
        <v>1824</v>
      </c>
      <c r="B9309">
        <f>A9309+1</f>
        <v>1825</v>
      </c>
      <c r="C9309" t="s">
        <v>530</v>
      </c>
      <c r="D9309" t="s">
        <v>26</v>
      </c>
      <c r="E9309" s="208" t="s">
        <v>388</v>
      </c>
      <c r="F9309" t="s">
        <v>164</v>
      </c>
      <c r="G9309" s="18">
        <v>0</v>
      </c>
      <c r="H9309" t="s">
        <v>160</v>
      </c>
      <c r="I9309" t="s">
        <v>17</v>
      </c>
    </row>
    <row r="9310" spans="1:9" x14ac:dyDescent="0.25">
      <c r="A9310">
        <v>1824</v>
      </c>
      <c r="B9310">
        <f>A9310+1</f>
        <v>1825</v>
      </c>
      <c r="C9310" t="s">
        <v>530</v>
      </c>
      <c r="D9310" t="s">
        <v>26</v>
      </c>
      <c r="E9310" s="208" t="s">
        <v>383</v>
      </c>
      <c r="F9310" t="s">
        <v>164</v>
      </c>
      <c r="G9310" s="18">
        <v>0</v>
      </c>
      <c r="H9310" t="s">
        <v>160</v>
      </c>
      <c r="I9310" t="s">
        <v>17</v>
      </c>
    </row>
    <row r="9311" spans="1:9" x14ac:dyDescent="0.25">
      <c r="A9311">
        <v>1824</v>
      </c>
      <c r="B9311">
        <f>A9311+1</f>
        <v>1825</v>
      </c>
      <c r="C9311" t="s">
        <v>530</v>
      </c>
      <c r="D9311" t="s">
        <v>26</v>
      </c>
      <c r="E9311" s="208" t="s">
        <v>384</v>
      </c>
      <c r="F9311" t="s">
        <v>164</v>
      </c>
      <c r="G9311" s="18">
        <v>0</v>
      </c>
      <c r="H9311" t="s">
        <v>160</v>
      </c>
      <c r="I9311" t="s">
        <v>17</v>
      </c>
    </row>
    <row r="9312" spans="1:9" x14ac:dyDescent="0.25">
      <c r="A9312">
        <v>1824</v>
      </c>
      <c r="B9312">
        <f>A9312+1</f>
        <v>1825</v>
      </c>
      <c r="C9312" t="s">
        <v>530</v>
      </c>
      <c r="D9312" t="s">
        <v>26</v>
      </c>
      <c r="E9312" s="208" t="s">
        <v>107</v>
      </c>
      <c r="F9312" t="s">
        <v>164</v>
      </c>
      <c r="G9312" s="18">
        <v>0</v>
      </c>
      <c r="H9312" t="s">
        <v>160</v>
      </c>
      <c r="I9312" t="s">
        <v>17</v>
      </c>
    </row>
    <row r="9313" spans="1:9" x14ac:dyDescent="0.25">
      <c r="A9313">
        <v>1824</v>
      </c>
      <c r="B9313">
        <f>A9313+1</f>
        <v>1825</v>
      </c>
      <c r="C9313" t="s">
        <v>530</v>
      </c>
      <c r="D9313" t="s">
        <v>26</v>
      </c>
      <c r="E9313" s="208" t="s">
        <v>101</v>
      </c>
      <c r="F9313" t="s">
        <v>164</v>
      </c>
      <c r="G9313" s="18">
        <v>0</v>
      </c>
      <c r="H9313" t="s">
        <v>160</v>
      </c>
      <c r="I9313" t="s">
        <v>17</v>
      </c>
    </row>
    <row r="9314" spans="1:9" x14ac:dyDescent="0.25">
      <c r="A9314">
        <v>1824</v>
      </c>
      <c r="B9314">
        <f>A9314+1</f>
        <v>1825</v>
      </c>
      <c r="C9314" t="s">
        <v>530</v>
      </c>
      <c r="D9314" t="s">
        <v>26</v>
      </c>
      <c r="E9314" s="208" t="s">
        <v>75</v>
      </c>
      <c r="F9314" t="s">
        <v>164</v>
      </c>
      <c r="G9314" s="18">
        <v>0</v>
      </c>
      <c r="H9314" t="s">
        <v>160</v>
      </c>
      <c r="I9314" t="s">
        <v>17</v>
      </c>
    </row>
    <row r="9315" spans="1:9" x14ac:dyDescent="0.25">
      <c r="A9315">
        <v>1824</v>
      </c>
      <c r="B9315">
        <f>A9315+1</f>
        <v>1825</v>
      </c>
      <c r="C9315" t="s">
        <v>530</v>
      </c>
      <c r="D9315" t="s">
        <v>26</v>
      </c>
      <c r="E9315" s="208" t="s">
        <v>330</v>
      </c>
      <c r="F9315" t="s">
        <v>164</v>
      </c>
      <c r="G9315" s="18">
        <v>0</v>
      </c>
      <c r="H9315" t="s">
        <v>160</v>
      </c>
      <c r="I9315" t="s">
        <v>17</v>
      </c>
    </row>
    <row r="9316" spans="1:9" x14ac:dyDescent="0.25">
      <c r="A9316">
        <v>1824</v>
      </c>
      <c r="B9316">
        <f>A9316+1</f>
        <v>1825</v>
      </c>
      <c r="C9316" t="s">
        <v>530</v>
      </c>
      <c r="D9316" t="s">
        <v>26</v>
      </c>
      <c r="E9316" s="208" t="s">
        <v>331</v>
      </c>
      <c r="F9316" t="s">
        <v>164</v>
      </c>
      <c r="G9316" s="18">
        <v>0</v>
      </c>
      <c r="H9316" t="s">
        <v>160</v>
      </c>
      <c r="I9316" t="s">
        <v>17</v>
      </c>
    </row>
    <row r="9317" spans="1:9" x14ac:dyDescent="0.25">
      <c r="A9317">
        <v>1824</v>
      </c>
      <c r="B9317">
        <f>A9317+1</f>
        <v>1825</v>
      </c>
      <c r="C9317" t="s">
        <v>530</v>
      </c>
      <c r="D9317" t="s">
        <v>26</v>
      </c>
      <c r="E9317" s="208" t="s">
        <v>332</v>
      </c>
      <c r="F9317" t="s">
        <v>164</v>
      </c>
      <c r="G9317" s="18">
        <v>0</v>
      </c>
      <c r="H9317" t="s">
        <v>160</v>
      </c>
      <c r="I9317" t="s">
        <v>17</v>
      </c>
    </row>
    <row r="9318" spans="1:9" x14ac:dyDescent="0.25">
      <c r="A9318">
        <v>1824</v>
      </c>
      <c r="B9318">
        <f>A9318+1</f>
        <v>1825</v>
      </c>
      <c r="C9318" t="s">
        <v>530</v>
      </c>
      <c r="D9318" t="s">
        <v>26</v>
      </c>
      <c r="E9318" s="208" t="s">
        <v>333</v>
      </c>
      <c r="F9318" t="s">
        <v>164</v>
      </c>
      <c r="G9318" s="18">
        <v>0</v>
      </c>
      <c r="H9318" t="s">
        <v>160</v>
      </c>
      <c r="I9318" t="s">
        <v>17</v>
      </c>
    </row>
    <row r="9319" spans="1:9" x14ac:dyDescent="0.25">
      <c r="A9319">
        <v>1824</v>
      </c>
      <c r="B9319">
        <f>A9319+1</f>
        <v>1825</v>
      </c>
      <c r="C9319" t="s">
        <v>530</v>
      </c>
      <c r="D9319" t="s">
        <v>27</v>
      </c>
      <c r="E9319" s="208" t="s">
        <v>155</v>
      </c>
      <c r="F9319" t="s">
        <v>9</v>
      </c>
      <c r="G9319" s="18">
        <v>847</v>
      </c>
      <c r="H9319" t="s">
        <v>17</v>
      </c>
      <c r="I9319" t="s">
        <v>21</v>
      </c>
    </row>
    <row r="9320" spans="1:9" x14ac:dyDescent="0.25">
      <c r="A9320">
        <v>1824</v>
      </c>
      <c r="B9320">
        <f>A9320+1</f>
        <v>1825</v>
      </c>
      <c r="C9320" t="s">
        <v>530</v>
      </c>
      <c r="D9320" t="s">
        <v>27</v>
      </c>
      <c r="E9320" s="208" t="s">
        <v>156</v>
      </c>
      <c r="F9320" t="s">
        <v>9</v>
      </c>
      <c r="G9320" s="18">
        <v>323</v>
      </c>
      <c r="H9320" t="s">
        <v>17</v>
      </c>
      <c r="I9320" t="s">
        <v>21</v>
      </c>
    </row>
    <row r="9321" spans="1:9" x14ac:dyDescent="0.25">
      <c r="A9321">
        <v>1824</v>
      </c>
      <c r="B9321">
        <f>A9321+1</f>
        <v>1825</v>
      </c>
      <c r="C9321" t="s">
        <v>530</v>
      </c>
      <c r="D9321" t="s">
        <v>27</v>
      </c>
      <c r="E9321" s="208" t="s">
        <v>154</v>
      </c>
      <c r="F9321" t="s">
        <v>9</v>
      </c>
      <c r="G9321" s="18">
        <v>300</v>
      </c>
      <c r="H9321" t="s">
        <v>17</v>
      </c>
      <c r="I9321" t="s">
        <v>21</v>
      </c>
    </row>
    <row r="9322" spans="1:9" x14ac:dyDescent="0.25">
      <c r="A9322">
        <v>1824</v>
      </c>
      <c r="B9322">
        <f>A9322+1</f>
        <v>1825</v>
      </c>
      <c r="C9322" t="s">
        <v>530</v>
      </c>
      <c r="D9322" t="s">
        <v>27</v>
      </c>
      <c r="E9322" s="208" t="s">
        <v>150</v>
      </c>
      <c r="F9322" t="s">
        <v>9</v>
      </c>
      <c r="G9322" s="18">
        <v>0</v>
      </c>
      <c r="H9322" t="s">
        <v>17</v>
      </c>
      <c r="I9322" t="s">
        <v>21</v>
      </c>
    </row>
    <row r="9323" spans="1:9" x14ac:dyDescent="0.25">
      <c r="A9323">
        <v>1824</v>
      </c>
      <c r="B9323">
        <f>A9323+1</f>
        <v>1825</v>
      </c>
      <c r="C9323" t="s">
        <v>530</v>
      </c>
      <c r="D9323" t="s">
        <v>27</v>
      </c>
      <c r="E9323" s="208" t="s">
        <v>148</v>
      </c>
      <c r="F9323" t="s">
        <v>9</v>
      </c>
      <c r="G9323" s="18">
        <v>0</v>
      </c>
      <c r="H9323" t="s">
        <v>17</v>
      </c>
      <c r="I9323" t="s">
        <v>21</v>
      </c>
    </row>
    <row r="9324" spans="1:9" x14ac:dyDescent="0.25">
      <c r="A9324">
        <v>1824</v>
      </c>
      <c r="B9324">
        <f>A9324+1</f>
        <v>1825</v>
      </c>
      <c r="C9324" t="s">
        <v>530</v>
      </c>
      <c r="D9324" t="s">
        <v>27</v>
      </c>
      <c r="E9324" s="208" t="s">
        <v>147</v>
      </c>
      <c r="F9324" t="s">
        <v>9</v>
      </c>
      <c r="G9324" s="18">
        <v>0</v>
      </c>
      <c r="H9324" t="s">
        <v>17</v>
      </c>
      <c r="I9324" t="s">
        <v>21</v>
      </c>
    </row>
    <row r="9325" spans="1:9" x14ac:dyDescent="0.25">
      <c r="A9325">
        <v>1824</v>
      </c>
      <c r="B9325">
        <f>A9325+1</f>
        <v>1825</v>
      </c>
      <c r="C9325" t="s">
        <v>530</v>
      </c>
      <c r="D9325" t="s">
        <v>27</v>
      </c>
      <c r="E9325" s="208" t="s">
        <v>314</v>
      </c>
      <c r="F9325" t="s">
        <v>9</v>
      </c>
      <c r="G9325" s="18">
        <v>0</v>
      </c>
      <c r="H9325" t="s">
        <v>17</v>
      </c>
      <c r="I9325" t="s">
        <v>21</v>
      </c>
    </row>
    <row r="9326" spans="1:9" x14ac:dyDescent="0.25">
      <c r="A9326">
        <v>1824</v>
      </c>
      <c r="B9326">
        <f>A9326+1</f>
        <v>1825</v>
      </c>
      <c r="C9326" t="s">
        <v>530</v>
      </c>
      <c r="D9326" t="s">
        <v>27</v>
      </c>
      <c r="E9326" s="208" t="s">
        <v>139</v>
      </c>
      <c r="F9326" t="s">
        <v>9</v>
      </c>
      <c r="G9326" s="18">
        <v>0</v>
      </c>
      <c r="H9326" t="s">
        <v>17</v>
      </c>
      <c r="I9326" t="s">
        <v>21</v>
      </c>
    </row>
    <row r="9327" spans="1:9" x14ac:dyDescent="0.25">
      <c r="A9327">
        <v>1824</v>
      </c>
      <c r="B9327">
        <f>A9327+1</f>
        <v>1825</v>
      </c>
      <c r="C9327" t="s">
        <v>530</v>
      </c>
      <c r="D9327" t="s">
        <v>27</v>
      </c>
      <c r="E9327" s="208" t="s">
        <v>131</v>
      </c>
      <c r="F9327" t="s">
        <v>9</v>
      </c>
      <c r="G9327" s="18">
        <v>0</v>
      </c>
      <c r="H9327" t="s">
        <v>17</v>
      </c>
      <c r="I9327" t="s">
        <v>21</v>
      </c>
    </row>
    <row r="9328" spans="1:9" x14ac:dyDescent="0.25">
      <c r="A9328">
        <v>1824</v>
      </c>
      <c r="B9328">
        <f>A9328+1</f>
        <v>1825</v>
      </c>
      <c r="C9328" t="s">
        <v>530</v>
      </c>
      <c r="D9328" t="s">
        <v>27</v>
      </c>
      <c r="E9328" s="208" t="s">
        <v>130</v>
      </c>
      <c r="F9328" t="s">
        <v>9</v>
      </c>
      <c r="G9328" s="18">
        <v>0</v>
      </c>
      <c r="H9328" t="s">
        <v>17</v>
      </c>
      <c r="I9328" t="s">
        <v>21</v>
      </c>
    </row>
    <row r="9329" spans="1:9" x14ac:dyDescent="0.25">
      <c r="A9329">
        <v>1824</v>
      </c>
      <c r="B9329">
        <f>A9329+1</f>
        <v>1825</v>
      </c>
      <c r="C9329" t="s">
        <v>530</v>
      </c>
      <c r="D9329" t="s">
        <v>27</v>
      </c>
      <c r="E9329" s="208" t="s">
        <v>143</v>
      </c>
      <c r="F9329" t="s">
        <v>9</v>
      </c>
      <c r="G9329" s="18">
        <v>0</v>
      </c>
      <c r="H9329" t="s">
        <v>17</v>
      </c>
      <c r="I9329" t="s">
        <v>21</v>
      </c>
    </row>
    <row r="9330" spans="1:9" x14ac:dyDescent="0.25">
      <c r="A9330">
        <v>1824</v>
      </c>
      <c r="B9330">
        <f>A9330+1</f>
        <v>1825</v>
      </c>
      <c r="C9330" t="s">
        <v>530</v>
      </c>
      <c r="D9330" t="s">
        <v>27</v>
      </c>
      <c r="E9330" s="208" t="s">
        <v>142</v>
      </c>
      <c r="F9330" t="s">
        <v>9</v>
      </c>
      <c r="G9330" s="18">
        <v>0</v>
      </c>
      <c r="H9330" t="s">
        <v>17</v>
      </c>
      <c r="I9330" t="s">
        <v>21</v>
      </c>
    </row>
    <row r="9331" spans="1:9" x14ac:dyDescent="0.25">
      <c r="A9331">
        <v>1824</v>
      </c>
      <c r="B9331">
        <f>A9331+1</f>
        <v>1825</v>
      </c>
      <c r="C9331" t="s">
        <v>530</v>
      </c>
      <c r="D9331" t="s">
        <v>27</v>
      </c>
      <c r="E9331" s="208" t="s">
        <v>124</v>
      </c>
      <c r="F9331" t="s">
        <v>9</v>
      </c>
      <c r="G9331" s="18">
        <v>7018</v>
      </c>
      <c r="H9331" t="s">
        <v>17</v>
      </c>
      <c r="I9331" t="s">
        <v>21</v>
      </c>
    </row>
    <row r="9332" spans="1:9" x14ac:dyDescent="0.25">
      <c r="A9332">
        <v>1824</v>
      </c>
      <c r="B9332">
        <f>A9332+1</f>
        <v>1825</v>
      </c>
      <c r="C9332" t="s">
        <v>530</v>
      </c>
      <c r="D9332" t="s">
        <v>27</v>
      </c>
      <c r="E9332" s="208" t="s">
        <v>155</v>
      </c>
      <c r="F9332" t="s">
        <v>11</v>
      </c>
      <c r="G9332" s="18">
        <v>111</v>
      </c>
      <c r="H9332" t="s">
        <v>17</v>
      </c>
      <c r="I9332" t="s">
        <v>23</v>
      </c>
    </row>
    <row r="9333" spans="1:9" x14ac:dyDescent="0.25">
      <c r="A9333">
        <v>1824</v>
      </c>
      <c r="B9333">
        <f>A9333+1</f>
        <v>1825</v>
      </c>
      <c r="C9333" t="s">
        <v>530</v>
      </c>
      <c r="D9333" t="s">
        <v>27</v>
      </c>
      <c r="E9333" s="208" t="s">
        <v>156</v>
      </c>
      <c r="F9333" t="s">
        <v>11</v>
      </c>
      <c r="G9333" s="18">
        <v>36</v>
      </c>
      <c r="H9333" t="s">
        <v>17</v>
      </c>
      <c r="I9333" t="s">
        <v>23</v>
      </c>
    </row>
    <row r="9334" spans="1:9" x14ac:dyDescent="0.25">
      <c r="A9334">
        <v>1824</v>
      </c>
      <c r="B9334">
        <f>A9334+1</f>
        <v>1825</v>
      </c>
      <c r="C9334" t="s">
        <v>530</v>
      </c>
      <c r="D9334" t="s">
        <v>27</v>
      </c>
      <c r="E9334" s="208" t="s">
        <v>154</v>
      </c>
      <c r="F9334" t="s">
        <v>11</v>
      </c>
      <c r="G9334" s="18">
        <v>52</v>
      </c>
      <c r="H9334" t="s">
        <v>17</v>
      </c>
      <c r="I9334" t="s">
        <v>23</v>
      </c>
    </row>
    <row r="9335" spans="1:9" x14ac:dyDescent="0.25">
      <c r="A9335">
        <v>1824</v>
      </c>
      <c r="B9335">
        <f>A9335+1</f>
        <v>1825</v>
      </c>
      <c r="C9335" t="s">
        <v>530</v>
      </c>
      <c r="D9335" t="s">
        <v>27</v>
      </c>
      <c r="E9335" s="208" t="s">
        <v>150</v>
      </c>
      <c r="F9335" t="s">
        <v>11</v>
      </c>
      <c r="G9335" s="18">
        <v>3081</v>
      </c>
      <c r="H9335" t="s">
        <v>17</v>
      </c>
      <c r="I9335" t="s">
        <v>23</v>
      </c>
    </row>
    <row r="9336" spans="1:9" x14ac:dyDescent="0.25">
      <c r="A9336">
        <v>1824</v>
      </c>
      <c r="B9336">
        <f>A9336+1</f>
        <v>1825</v>
      </c>
      <c r="C9336" t="s">
        <v>530</v>
      </c>
      <c r="D9336" t="s">
        <v>27</v>
      </c>
      <c r="E9336" s="208" t="s">
        <v>148</v>
      </c>
      <c r="F9336" t="s">
        <v>11</v>
      </c>
      <c r="G9336" s="18">
        <v>37</v>
      </c>
      <c r="H9336" t="s">
        <v>17</v>
      </c>
      <c r="I9336" t="s">
        <v>23</v>
      </c>
    </row>
    <row r="9337" spans="1:9" x14ac:dyDescent="0.25">
      <c r="A9337">
        <v>1824</v>
      </c>
      <c r="B9337">
        <f>A9337+1</f>
        <v>1825</v>
      </c>
      <c r="C9337" t="s">
        <v>530</v>
      </c>
      <c r="D9337" t="s">
        <v>27</v>
      </c>
      <c r="E9337" s="208" t="s">
        <v>147</v>
      </c>
      <c r="F9337" t="s">
        <v>11</v>
      </c>
      <c r="G9337" s="18">
        <v>0</v>
      </c>
      <c r="H9337" t="s">
        <v>17</v>
      </c>
      <c r="I9337" t="s">
        <v>23</v>
      </c>
    </row>
    <row r="9338" spans="1:9" x14ac:dyDescent="0.25">
      <c r="A9338">
        <v>1824</v>
      </c>
      <c r="B9338">
        <f>A9338+1</f>
        <v>1825</v>
      </c>
      <c r="C9338" t="s">
        <v>530</v>
      </c>
      <c r="D9338" t="s">
        <v>27</v>
      </c>
      <c r="E9338" s="208" t="s">
        <v>314</v>
      </c>
      <c r="F9338" t="s">
        <v>11</v>
      </c>
      <c r="G9338" s="18">
        <v>0</v>
      </c>
      <c r="H9338" t="s">
        <v>17</v>
      </c>
      <c r="I9338" t="s">
        <v>23</v>
      </c>
    </row>
    <row r="9339" spans="1:9" x14ac:dyDescent="0.25">
      <c r="A9339">
        <v>1824</v>
      </c>
      <c r="B9339">
        <f>A9339+1</f>
        <v>1825</v>
      </c>
      <c r="C9339" t="s">
        <v>530</v>
      </c>
      <c r="D9339" t="s">
        <v>27</v>
      </c>
      <c r="E9339" s="208" t="s">
        <v>139</v>
      </c>
      <c r="F9339" t="s">
        <v>11</v>
      </c>
      <c r="G9339" s="18">
        <v>99</v>
      </c>
      <c r="H9339" t="s">
        <v>17</v>
      </c>
      <c r="I9339" t="s">
        <v>23</v>
      </c>
    </row>
    <row r="9340" spans="1:9" x14ac:dyDescent="0.25">
      <c r="A9340">
        <v>1824</v>
      </c>
      <c r="B9340">
        <f>A9340+1</f>
        <v>1825</v>
      </c>
      <c r="C9340" t="s">
        <v>530</v>
      </c>
      <c r="D9340" t="s">
        <v>27</v>
      </c>
      <c r="E9340" s="208" t="s">
        <v>131</v>
      </c>
      <c r="F9340" t="s">
        <v>11</v>
      </c>
      <c r="G9340" s="18">
        <v>0</v>
      </c>
      <c r="H9340" t="s">
        <v>17</v>
      </c>
      <c r="I9340" t="s">
        <v>23</v>
      </c>
    </row>
    <row r="9341" spans="1:9" x14ac:dyDescent="0.25">
      <c r="A9341">
        <v>1824</v>
      </c>
      <c r="B9341">
        <f>A9341+1</f>
        <v>1825</v>
      </c>
      <c r="C9341" t="s">
        <v>530</v>
      </c>
      <c r="D9341" t="s">
        <v>27</v>
      </c>
      <c r="E9341" s="208" t="s">
        <v>130</v>
      </c>
      <c r="F9341" t="s">
        <v>11</v>
      </c>
      <c r="G9341" s="18">
        <v>0</v>
      </c>
      <c r="H9341" t="s">
        <v>17</v>
      </c>
      <c r="I9341" t="s">
        <v>23</v>
      </c>
    </row>
    <row r="9342" spans="1:9" x14ac:dyDescent="0.25">
      <c r="A9342">
        <v>1824</v>
      </c>
      <c r="B9342">
        <f>A9342+1</f>
        <v>1825</v>
      </c>
      <c r="C9342" t="s">
        <v>530</v>
      </c>
      <c r="D9342" t="s">
        <v>27</v>
      </c>
      <c r="E9342" s="208" t="s">
        <v>143</v>
      </c>
      <c r="F9342" t="s">
        <v>11</v>
      </c>
      <c r="G9342" s="18">
        <v>124</v>
      </c>
      <c r="H9342" t="s">
        <v>17</v>
      </c>
      <c r="I9342" t="s">
        <v>23</v>
      </c>
    </row>
    <row r="9343" spans="1:9" x14ac:dyDescent="0.25">
      <c r="A9343">
        <v>1824</v>
      </c>
      <c r="B9343">
        <f>A9343+1</f>
        <v>1825</v>
      </c>
      <c r="C9343" t="s">
        <v>530</v>
      </c>
      <c r="D9343" t="s">
        <v>27</v>
      </c>
      <c r="E9343" s="208" t="s">
        <v>142</v>
      </c>
      <c r="F9343" t="s">
        <v>11</v>
      </c>
      <c r="G9343" s="18">
        <v>6277</v>
      </c>
      <c r="H9343" t="s">
        <v>17</v>
      </c>
      <c r="I9343" t="s">
        <v>23</v>
      </c>
    </row>
    <row r="9344" spans="1:9" x14ac:dyDescent="0.25">
      <c r="A9344">
        <v>1824</v>
      </c>
      <c r="B9344">
        <f>A9344+1</f>
        <v>1825</v>
      </c>
      <c r="C9344" t="s">
        <v>530</v>
      </c>
      <c r="D9344" t="s">
        <v>27</v>
      </c>
      <c r="E9344" s="208" t="s">
        <v>124</v>
      </c>
      <c r="F9344" t="s">
        <v>11</v>
      </c>
      <c r="G9344" s="18">
        <v>163016</v>
      </c>
      <c r="H9344" t="s">
        <v>17</v>
      </c>
      <c r="I9344" t="s">
        <v>23</v>
      </c>
    </row>
    <row r="9345" spans="1:9" x14ac:dyDescent="0.25">
      <c r="A9345">
        <v>1824</v>
      </c>
      <c r="B9345">
        <f>A9345+1</f>
        <v>1825</v>
      </c>
      <c r="C9345" t="s">
        <v>530</v>
      </c>
      <c r="D9345" t="s">
        <v>26</v>
      </c>
      <c r="E9345" s="208" t="s">
        <v>62</v>
      </c>
      <c r="F9345" t="s">
        <v>11</v>
      </c>
      <c r="G9345" s="18">
        <v>4896</v>
      </c>
      <c r="H9345" t="s">
        <v>23</v>
      </c>
      <c r="I9345" t="s">
        <v>17</v>
      </c>
    </row>
    <row r="9346" spans="1:9" x14ac:dyDescent="0.25">
      <c r="A9346">
        <v>1824</v>
      </c>
      <c r="B9346">
        <f>A9346+1</f>
        <v>1825</v>
      </c>
      <c r="C9346" t="s">
        <v>530</v>
      </c>
      <c r="D9346" t="s">
        <v>26</v>
      </c>
      <c r="E9346" s="208" t="s">
        <v>36</v>
      </c>
      <c r="F9346" t="s">
        <v>11</v>
      </c>
      <c r="G9346" s="18">
        <v>1006</v>
      </c>
      <c r="H9346" t="s">
        <v>23</v>
      </c>
      <c r="I9346" t="s">
        <v>17</v>
      </c>
    </row>
    <row r="9347" spans="1:9" x14ac:dyDescent="0.25">
      <c r="A9347">
        <v>1824</v>
      </c>
      <c r="B9347">
        <f>A9347+1</f>
        <v>1825</v>
      </c>
      <c r="C9347" t="s">
        <v>530</v>
      </c>
      <c r="D9347" t="s">
        <v>26</v>
      </c>
      <c r="E9347" s="208" t="s">
        <v>35</v>
      </c>
      <c r="F9347" t="s">
        <v>11</v>
      </c>
      <c r="G9347" s="18">
        <v>20</v>
      </c>
      <c r="H9347" t="s">
        <v>23</v>
      </c>
      <c r="I9347" t="s">
        <v>17</v>
      </c>
    </row>
    <row r="9348" spans="1:9" x14ac:dyDescent="0.25">
      <c r="A9348">
        <v>1824</v>
      </c>
      <c r="B9348">
        <f>A9348+1</f>
        <v>1825</v>
      </c>
      <c r="C9348" t="s">
        <v>530</v>
      </c>
      <c r="D9348" t="s">
        <v>26</v>
      </c>
      <c r="E9348" s="208" t="s">
        <v>39</v>
      </c>
      <c r="F9348" t="s">
        <v>11</v>
      </c>
      <c r="G9348" s="18">
        <v>226</v>
      </c>
      <c r="H9348" t="s">
        <v>23</v>
      </c>
      <c r="I9348" t="s">
        <v>17</v>
      </c>
    </row>
    <row r="9349" spans="1:9" x14ac:dyDescent="0.25">
      <c r="A9349">
        <v>1824</v>
      </c>
      <c r="B9349">
        <f>A9349+1</f>
        <v>1825</v>
      </c>
      <c r="C9349" t="s">
        <v>530</v>
      </c>
      <c r="D9349" t="s">
        <v>26</v>
      </c>
      <c r="E9349" s="208" t="s">
        <v>99</v>
      </c>
      <c r="F9349" t="s">
        <v>11</v>
      </c>
      <c r="G9349" s="18">
        <v>304</v>
      </c>
      <c r="H9349" t="s">
        <v>23</v>
      </c>
      <c r="I9349" t="s">
        <v>17</v>
      </c>
    </row>
    <row r="9350" spans="1:9" x14ac:dyDescent="0.25">
      <c r="A9350">
        <v>1824</v>
      </c>
      <c r="B9350">
        <f>A9350+1</f>
        <v>1825</v>
      </c>
      <c r="C9350" t="s">
        <v>530</v>
      </c>
      <c r="D9350" t="s">
        <v>26</v>
      </c>
      <c r="E9350" s="208" t="s">
        <v>94</v>
      </c>
      <c r="F9350" t="s">
        <v>11</v>
      </c>
      <c r="G9350" s="18">
        <v>0</v>
      </c>
      <c r="H9350" t="s">
        <v>23</v>
      </c>
      <c r="I9350" t="s">
        <v>17</v>
      </c>
    </row>
    <row r="9351" spans="1:9" x14ac:dyDescent="0.25">
      <c r="A9351">
        <v>1824</v>
      </c>
      <c r="B9351">
        <f>A9351+1</f>
        <v>1825</v>
      </c>
      <c r="C9351" t="s">
        <v>530</v>
      </c>
      <c r="D9351" t="s">
        <v>26</v>
      </c>
      <c r="E9351" s="208" t="s">
        <v>386</v>
      </c>
      <c r="F9351" t="s">
        <v>11</v>
      </c>
      <c r="G9351" s="18">
        <v>9797</v>
      </c>
      <c r="H9351" t="s">
        <v>23</v>
      </c>
      <c r="I9351" t="s">
        <v>17</v>
      </c>
    </row>
    <row r="9352" spans="1:9" x14ac:dyDescent="0.25">
      <c r="A9352">
        <v>1824</v>
      </c>
      <c r="B9352">
        <f>A9352+1</f>
        <v>1825</v>
      </c>
      <c r="C9352" t="s">
        <v>530</v>
      </c>
      <c r="D9352" t="s">
        <v>26</v>
      </c>
      <c r="E9352" s="208" t="s">
        <v>387</v>
      </c>
      <c r="F9352" t="s">
        <v>11</v>
      </c>
      <c r="G9352" s="18">
        <v>499</v>
      </c>
      <c r="H9352" t="s">
        <v>23</v>
      </c>
      <c r="I9352" t="s">
        <v>17</v>
      </c>
    </row>
    <row r="9353" spans="1:9" x14ac:dyDescent="0.25">
      <c r="A9353">
        <v>1824</v>
      </c>
      <c r="B9353">
        <f>A9353+1</f>
        <v>1825</v>
      </c>
      <c r="C9353" t="s">
        <v>530</v>
      </c>
      <c r="D9353" t="s">
        <v>26</v>
      </c>
      <c r="E9353" s="208" t="s">
        <v>388</v>
      </c>
      <c r="F9353" t="s">
        <v>11</v>
      </c>
      <c r="G9353" s="18">
        <v>3107</v>
      </c>
      <c r="H9353" t="s">
        <v>23</v>
      </c>
      <c r="I9353" t="s">
        <v>17</v>
      </c>
    </row>
    <row r="9354" spans="1:9" x14ac:dyDescent="0.25">
      <c r="A9354">
        <v>1824</v>
      </c>
      <c r="B9354">
        <f>A9354+1</f>
        <v>1825</v>
      </c>
      <c r="C9354" t="s">
        <v>530</v>
      </c>
      <c r="D9354" t="s">
        <v>26</v>
      </c>
      <c r="E9354" s="208" t="s">
        <v>383</v>
      </c>
      <c r="F9354" t="s">
        <v>11</v>
      </c>
      <c r="G9354" s="18">
        <v>50</v>
      </c>
      <c r="H9354" t="s">
        <v>23</v>
      </c>
      <c r="I9354" t="s">
        <v>17</v>
      </c>
    </row>
    <row r="9355" spans="1:9" x14ac:dyDescent="0.25">
      <c r="A9355">
        <v>1824</v>
      </c>
      <c r="B9355">
        <f>A9355+1</f>
        <v>1825</v>
      </c>
      <c r="C9355" t="s">
        <v>530</v>
      </c>
      <c r="D9355" t="s">
        <v>26</v>
      </c>
      <c r="E9355" s="208" t="s">
        <v>384</v>
      </c>
      <c r="F9355" t="s">
        <v>11</v>
      </c>
      <c r="G9355" s="18">
        <v>499</v>
      </c>
      <c r="H9355" t="s">
        <v>23</v>
      </c>
      <c r="I9355" t="s">
        <v>17</v>
      </c>
    </row>
    <row r="9356" spans="1:9" x14ac:dyDescent="0.25">
      <c r="A9356">
        <v>1824</v>
      </c>
      <c r="B9356">
        <f>A9356+1</f>
        <v>1825</v>
      </c>
      <c r="C9356" t="s">
        <v>530</v>
      </c>
      <c r="D9356" t="s">
        <v>26</v>
      </c>
      <c r="E9356" s="208" t="s">
        <v>107</v>
      </c>
      <c r="F9356" t="s">
        <v>11</v>
      </c>
      <c r="G9356" s="18">
        <v>2505333</v>
      </c>
      <c r="H9356" t="s">
        <v>23</v>
      </c>
      <c r="I9356" t="s">
        <v>17</v>
      </c>
    </row>
    <row r="9357" spans="1:9" x14ac:dyDescent="0.25">
      <c r="A9357">
        <v>1824</v>
      </c>
      <c r="B9357">
        <f>A9357+1</f>
        <v>1825</v>
      </c>
      <c r="C9357" t="s">
        <v>530</v>
      </c>
      <c r="D9357" t="s">
        <v>26</v>
      </c>
      <c r="E9357" s="208" t="s">
        <v>101</v>
      </c>
      <c r="F9357" t="s">
        <v>11</v>
      </c>
      <c r="G9357" s="18">
        <v>1915995</v>
      </c>
      <c r="H9357" t="s">
        <v>23</v>
      </c>
      <c r="I9357" t="s">
        <v>17</v>
      </c>
    </row>
    <row r="9358" spans="1:9" x14ac:dyDescent="0.25">
      <c r="A9358">
        <v>1824</v>
      </c>
      <c r="B9358">
        <f>A9358+1</f>
        <v>1825</v>
      </c>
      <c r="C9358" t="s">
        <v>530</v>
      </c>
      <c r="D9358" t="s">
        <v>26</v>
      </c>
      <c r="E9358" s="208" t="s">
        <v>75</v>
      </c>
      <c r="F9358" t="s">
        <v>11</v>
      </c>
      <c r="G9358" s="18">
        <v>1573288</v>
      </c>
      <c r="H9358" t="s">
        <v>23</v>
      </c>
      <c r="I9358" t="s">
        <v>17</v>
      </c>
    </row>
    <row r="9359" spans="1:9" x14ac:dyDescent="0.25">
      <c r="A9359">
        <v>1824</v>
      </c>
      <c r="B9359">
        <f>A9359+1</f>
        <v>1825</v>
      </c>
      <c r="C9359" t="s">
        <v>530</v>
      </c>
      <c r="D9359" t="s">
        <v>26</v>
      </c>
      <c r="E9359" s="208" t="s">
        <v>330</v>
      </c>
      <c r="F9359" t="s">
        <v>11</v>
      </c>
      <c r="G9359" s="18">
        <v>7</v>
      </c>
      <c r="H9359" t="s">
        <v>23</v>
      </c>
      <c r="I9359" t="s">
        <v>17</v>
      </c>
    </row>
    <row r="9360" spans="1:9" x14ac:dyDescent="0.25">
      <c r="A9360">
        <v>1824</v>
      </c>
      <c r="B9360">
        <f>A9360+1</f>
        <v>1825</v>
      </c>
      <c r="C9360" t="s">
        <v>530</v>
      </c>
      <c r="D9360" t="s">
        <v>26</v>
      </c>
      <c r="E9360" s="208" t="s">
        <v>331</v>
      </c>
      <c r="F9360" t="s">
        <v>11</v>
      </c>
      <c r="G9360" s="18">
        <v>36</v>
      </c>
      <c r="H9360" t="s">
        <v>23</v>
      </c>
      <c r="I9360" t="s">
        <v>17</v>
      </c>
    </row>
    <row r="9361" spans="1:9" x14ac:dyDescent="0.25">
      <c r="A9361">
        <v>1824</v>
      </c>
      <c r="B9361">
        <f>A9361+1</f>
        <v>1825</v>
      </c>
      <c r="C9361" t="s">
        <v>530</v>
      </c>
      <c r="D9361" t="s">
        <v>26</v>
      </c>
      <c r="E9361" s="208" t="s">
        <v>332</v>
      </c>
      <c r="F9361" t="s">
        <v>11</v>
      </c>
      <c r="G9361" s="18">
        <v>0</v>
      </c>
      <c r="H9361" t="s">
        <v>23</v>
      </c>
      <c r="I9361" t="s">
        <v>17</v>
      </c>
    </row>
    <row r="9362" spans="1:9" x14ac:dyDescent="0.25">
      <c r="A9362">
        <v>1824</v>
      </c>
      <c r="B9362">
        <f>A9362+1</f>
        <v>1825</v>
      </c>
      <c r="C9362" t="s">
        <v>530</v>
      </c>
      <c r="D9362" t="s">
        <v>26</v>
      </c>
      <c r="E9362" s="208" t="s">
        <v>333</v>
      </c>
      <c r="F9362" t="s">
        <v>11</v>
      </c>
      <c r="G9362" s="18">
        <v>0</v>
      </c>
      <c r="H9362" t="s">
        <v>23</v>
      </c>
      <c r="I9362" t="s">
        <v>17</v>
      </c>
    </row>
    <row r="9363" spans="1:9" x14ac:dyDescent="0.25">
      <c r="A9363">
        <v>1824</v>
      </c>
      <c r="B9363">
        <f>A9363+1</f>
        <v>1825</v>
      </c>
      <c r="C9363" t="s">
        <v>530</v>
      </c>
      <c r="D9363" t="s">
        <v>27</v>
      </c>
      <c r="E9363" s="208" t="s">
        <v>155</v>
      </c>
      <c r="F9363" t="s">
        <v>14</v>
      </c>
      <c r="G9363" s="18">
        <v>58269</v>
      </c>
      <c r="H9363" t="s">
        <v>17</v>
      </c>
      <c r="I9363" s="151" t="s">
        <v>562</v>
      </c>
    </row>
    <row r="9364" spans="1:9" x14ac:dyDescent="0.25">
      <c r="A9364">
        <v>1824</v>
      </c>
      <c r="B9364">
        <f>A9364+1</f>
        <v>1825</v>
      </c>
      <c r="C9364" t="s">
        <v>530</v>
      </c>
      <c r="D9364" t="s">
        <v>27</v>
      </c>
      <c r="E9364" s="208" t="s">
        <v>156</v>
      </c>
      <c r="F9364" t="s">
        <v>14</v>
      </c>
      <c r="G9364" s="18">
        <v>6641</v>
      </c>
      <c r="H9364" t="s">
        <v>17</v>
      </c>
      <c r="I9364" s="151" t="s">
        <v>562</v>
      </c>
    </row>
    <row r="9365" spans="1:9" x14ac:dyDescent="0.25">
      <c r="A9365">
        <v>1824</v>
      </c>
      <c r="B9365">
        <f>A9365+1</f>
        <v>1825</v>
      </c>
      <c r="C9365" t="s">
        <v>530</v>
      </c>
      <c r="D9365" t="s">
        <v>27</v>
      </c>
      <c r="E9365" s="208" t="s">
        <v>154</v>
      </c>
      <c r="F9365" t="s">
        <v>14</v>
      </c>
      <c r="G9365" s="18">
        <v>1206</v>
      </c>
      <c r="H9365" t="s">
        <v>17</v>
      </c>
      <c r="I9365" s="151" t="s">
        <v>562</v>
      </c>
    </row>
    <row r="9366" spans="1:9" x14ac:dyDescent="0.25">
      <c r="A9366">
        <v>1824</v>
      </c>
      <c r="B9366">
        <f>A9366+1</f>
        <v>1825</v>
      </c>
      <c r="C9366" t="s">
        <v>530</v>
      </c>
      <c r="D9366" t="s">
        <v>27</v>
      </c>
      <c r="E9366" s="208" t="s">
        <v>150</v>
      </c>
      <c r="F9366" t="s">
        <v>14</v>
      </c>
      <c r="G9366" s="18">
        <v>21992</v>
      </c>
      <c r="H9366" t="s">
        <v>17</v>
      </c>
      <c r="I9366" s="151" t="s">
        <v>562</v>
      </c>
    </row>
    <row r="9367" spans="1:9" x14ac:dyDescent="0.25">
      <c r="A9367">
        <v>1824</v>
      </c>
      <c r="B9367">
        <f>A9367+1</f>
        <v>1825</v>
      </c>
      <c r="C9367" t="s">
        <v>530</v>
      </c>
      <c r="D9367" t="s">
        <v>27</v>
      </c>
      <c r="E9367" s="208" t="s">
        <v>148</v>
      </c>
      <c r="F9367" t="s">
        <v>14</v>
      </c>
      <c r="G9367" s="18">
        <v>1676</v>
      </c>
      <c r="H9367" t="s">
        <v>17</v>
      </c>
      <c r="I9367" s="151" t="s">
        <v>562</v>
      </c>
    </row>
    <row r="9368" spans="1:9" x14ac:dyDescent="0.25">
      <c r="A9368">
        <v>1824</v>
      </c>
      <c r="B9368">
        <f>A9368+1</f>
        <v>1825</v>
      </c>
      <c r="C9368" t="s">
        <v>530</v>
      </c>
      <c r="D9368" t="s">
        <v>27</v>
      </c>
      <c r="E9368" s="208" t="s">
        <v>147</v>
      </c>
      <c r="F9368" t="s">
        <v>14</v>
      </c>
      <c r="G9368" s="18">
        <v>0</v>
      </c>
      <c r="H9368" t="s">
        <v>17</v>
      </c>
      <c r="I9368" s="151" t="s">
        <v>562</v>
      </c>
    </row>
    <row r="9369" spans="1:9" x14ac:dyDescent="0.25">
      <c r="A9369">
        <v>1824</v>
      </c>
      <c r="B9369">
        <f>A9369+1</f>
        <v>1825</v>
      </c>
      <c r="C9369" t="s">
        <v>530</v>
      </c>
      <c r="D9369" t="s">
        <v>27</v>
      </c>
      <c r="E9369" s="208" t="s">
        <v>314</v>
      </c>
      <c r="F9369" t="s">
        <v>14</v>
      </c>
      <c r="G9369" s="18">
        <v>4</v>
      </c>
      <c r="H9369" t="s">
        <v>17</v>
      </c>
      <c r="I9369" s="151" t="s">
        <v>562</v>
      </c>
    </row>
    <row r="9370" spans="1:9" x14ac:dyDescent="0.25">
      <c r="A9370">
        <v>1824</v>
      </c>
      <c r="B9370">
        <f>A9370+1</f>
        <v>1825</v>
      </c>
      <c r="C9370" t="s">
        <v>530</v>
      </c>
      <c r="D9370" t="s">
        <v>27</v>
      </c>
      <c r="E9370" s="208" t="s">
        <v>139</v>
      </c>
      <c r="F9370" t="s">
        <v>14</v>
      </c>
      <c r="G9370" s="18">
        <v>786</v>
      </c>
      <c r="H9370" t="s">
        <v>17</v>
      </c>
      <c r="I9370" s="151" t="s">
        <v>562</v>
      </c>
    </row>
    <row r="9371" spans="1:9" x14ac:dyDescent="0.25">
      <c r="A9371">
        <v>1824</v>
      </c>
      <c r="B9371">
        <f>A9371+1</f>
        <v>1825</v>
      </c>
      <c r="C9371" t="s">
        <v>530</v>
      </c>
      <c r="D9371" t="s">
        <v>27</v>
      </c>
      <c r="E9371" s="208" t="s">
        <v>131</v>
      </c>
      <c r="F9371" t="s">
        <v>14</v>
      </c>
      <c r="G9371" s="18">
        <v>3575</v>
      </c>
      <c r="H9371" t="s">
        <v>17</v>
      </c>
      <c r="I9371" s="151" t="s">
        <v>562</v>
      </c>
    </row>
    <row r="9372" spans="1:9" x14ac:dyDescent="0.25">
      <c r="A9372">
        <v>1824</v>
      </c>
      <c r="B9372">
        <f>A9372+1</f>
        <v>1825</v>
      </c>
      <c r="C9372" t="s">
        <v>530</v>
      </c>
      <c r="D9372" t="s">
        <v>27</v>
      </c>
      <c r="E9372" s="208" t="s">
        <v>130</v>
      </c>
      <c r="F9372" t="s">
        <v>14</v>
      </c>
      <c r="G9372" s="18">
        <v>261</v>
      </c>
      <c r="H9372" t="s">
        <v>17</v>
      </c>
      <c r="I9372" s="151" t="s">
        <v>562</v>
      </c>
    </row>
    <row r="9373" spans="1:9" x14ac:dyDescent="0.25">
      <c r="A9373">
        <v>1824</v>
      </c>
      <c r="B9373">
        <f>A9373+1</f>
        <v>1825</v>
      </c>
      <c r="C9373" t="s">
        <v>530</v>
      </c>
      <c r="D9373" t="s">
        <v>27</v>
      </c>
      <c r="E9373" s="208" t="s">
        <v>143</v>
      </c>
      <c r="F9373" t="s">
        <v>14</v>
      </c>
      <c r="G9373" s="18">
        <v>203</v>
      </c>
      <c r="H9373" t="s">
        <v>17</v>
      </c>
      <c r="I9373" s="151" t="s">
        <v>562</v>
      </c>
    </row>
    <row r="9374" spans="1:9" x14ac:dyDescent="0.25">
      <c r="A9374">
        <v>1824</v>
      </c>
      <c r="B9374">
        <f>A9374+1</f>
        <v>1825</v>
      </c>
      <c r="C9374" t="s">
        <v>530</v>
      </c>
      <c r="D9374" t="s">
        <v>27</v>
      </c>
      <c r="E9374" s="208" t="s">
        <v>142</v>
      </c>
      <c r="F9374" t="s">
        <v>14</v>
      </c>
      <c r="G9374" s="18">
        <v>16390</v>
      </c>
      <c r="H9374" t="s">
        <v>17</v>
      </c>
      <c r="I9374" s="151" t="s">
        <v>562</v>
      </c>
    </row>
    <row r="9375" spans="1:9" x14ac:dyDescent="0.25">
      <c r="A9375">
        <v>1824</v>
      </c>
      <c r="B9375">
        <f>A9375+1</f>
        <v>1825</v>
      </c>
      <c r="C9375" t="s">
        <v>530</v>
      </c>
      <c r="D9375" t="s">
        <v>27</v>
      </c>
      <c r="E9375" s="208" t="s">
        <v>124</v>
      </c>
      <c r="F9375" t="s">
        <v>14</v>
      </c>
      <c r="G9375" s="18">
        <v>9189795</v>
      </c>
      <c r="H9375" t="s">
        <v>17</v>
      </c>
      <c r="I9375" s="151" t="s">
        <v>562</v>
      </c>
    </row>
    <row r="9376" spans="1:9" x14ac:dyDescent="0.25">
      <c r="A9376">
        <v>1824</v>
      </c>
      <c r="B9376">
        <f>A9376+1</f>
        <v>1825</v>
      </c>
      <c r="C9376" t="s">
        <v>530</v>
      </c>
      <c r="D9376" t="s">
        <v>26</v>
      </c>
      <c r="E9376" s="208" t="s">
        <v>62</v>
      </c>
      <c r="F9376" t="s">
        <v>14</v>
      </c>
      <c r="G9376" s="18">
        <v>6466</v>
      </c>
      <c r="H9376" s="151" t="s">
        <v>563</v>
      </c>
      <c r="I9376" t="s">
        <v>17</v>
      </c>
    </row>
    <row r="9377" spans="1:9" x14ac:dyDescent="0.25">
      <c r="A9377">
        <v>1824</v>
      </c>
      <c r="B9377">
        <f>A9377+1</f>
        <v>1825</v>
      </c>
      <c r="C9377" t="s">
        <v>530</v>
      </c>
      <c r="D9377" t="s">
        <v>26</v>
      </c>
      <c r="E9377" s="208" t="s">
        <v>36</v>
      </c>
      <c r="F9377" t="s">
        <v>14</v>
      </c>
      <c r="G9377" s="18">
        <v>1126</v>
      </c>
      <c r="H9377" s="151" t="s">
        <v>563</v>
      </c>
      <c r="I9377" t="s">
        <v>17</v>
      </c>
    </row>
    <row r="9378" spans="1:9" x14ac:dyDescent="0.25">
      <c r="A9378">
        <v>1824</v>
      </c>
      <c r="B9378">
        <f>A9378+1</f>
        <v>1825</v>
      </c>
      <c r="C9378" t="s">
        <v>530</v>
      </c>
      <c r="D9378" t="s">
        <v>26</v>
      </c>
      <c r="E9378" s="208" t="s">
        <v>35</v>
      </c>
      <c r="F9378" t="s">
        <v>14</v>
      </c>
      <c r="G9378" s="18">
        <v>30</v>
      </c>
      <c r="H9378" s="151" t="s">
        <v>563</v>
      </c>
      <c r="I9378" t="s">
        <v>17</v>
      </c>
    </row>
    <row r="9379" spans="1:9" x14ac:dyDescent="0.25">
      <c r="A9379">
        <v>1824</v>
      </c>
      <c r="B9379">
        <f>A9379+1</f>
        <v>1825</v>
      </c>
      <c r="C9379" t="s">
        <v>530</v>
      </c>
      <c r="D9379" t="s">
        <v>26</v>
      </c>
      <c r="E9379" s="208" t="s">
        <v>39</v>
      </c>
      <c r="F9379" t="s">
        <v>14</v>
      </c>
      <c r="G9379" s="18">
        <v>226</v>
      </c>
      <c r="H9379" s="151" t="s">
        <v>563</v>
      </c>
      <c r="I9379" t="s">
        <v>17</v>
      </c>
    </row>
    <row r="9380" spans="1:9" x14ac:dyDescent="0.25">
      <c r="A9380">
        <v>1824</v>
      </c>
      <c r="B9380">
        <f>A9380+1</f>
        <v>1825</v>
      </c>
      <c r="C9380" t="s">
        <v>530</v>
      </c>
      <c r="D9380" t="s">
        <v>26</v>
      </c>
      <c r="E9380" s="208" t="s">
        <v>99</v>
      </c>
      <c r="F9380" t="s">
        <v>14</v>
      </c>
      <c r="G9380" s="18">
        <v>539</v>
      </c>
      <c r="H9380" s="151" t="s">
        <v>563</v>
      </c>
      <c r="I9380" t="s">
        <v>17</v>
      </c>
    </row>
    <row r="9381" spans="1:9" x14ac:dyDescent="0.25">
      <c r="A9381">
        <v>1824</v>
      </c>
      <c r="B9381">
        <f>A9381+1</f>
        <v>1825</v>
      </c>
      <c r="C9381" t="s">
        <v>530</v>
      </c>
      <c r="D9381" t="s">
        <v>26</v>
      </c>
      <c r="E9381" s="208" t="s">
        <v>94</v>
      </c>
      <c r="F9381" t="s">
        <v>14</v>
      </c>
      <c r="G9381" s="18">
        <v>0</v>
      </c>
      <c r="H9381" s="151" t="s">
        <v>563</v>
      </c>
      <c r="I9381" t="s">
        <v>17</v>
      </c>
    </row>
    <row r="9382" spans="1:9" x14ac:dyDescent="0.25">
      <c r="A9382">
        <v>1824</v>
      </c>
      <c r="B9382">
        <f>A9382+1</f>
        <v>1825</v>
      </c>
      <c r="C9382" t="s">
        <v>530</v>
      </c>
      <c r="D9382" t="s">
        <v>26</v>
      </c>
      <c r="E9382" s="208" t="s">
        <v>386</v>
      </c>
      <c r="F9382" t="s">
        <v>14</v>
      </c>
      <c r="G9382" s="18">
        <v>10720</v>
      </c>
      <c r="H9382" s="151" t="s">
        <v>563</v>
      </c>
      <c r="I9382" t="s">
        <v>17</v>
      </c>
    </row>
    <row r="9383" spans="1:9" x14ac:dyDescent="0.25">
      <c r="A9383">
        <v>1824</v>
      </c>
      <c r="B9383">
        <f>A9383+1</f>
        <v>1825</v>
      </c>
      <c r="C9383" t="s">
        <v>530</v>
      </c>
      <c r="D9383" t="s">
        <v>26</v>
      </c>
      <c r="E9383" s="208" t="s">
        <v>387</v>
      </c>
      <c r="F9383" t="s">
        <v>14</v>
      </c>
      <c r="G9383" s="18">
        <v>599</v>
      </c>
      <c r="H9383" s="151" t="s">
        <v>563</v>
      </c>
      <c r="I9383" t="s">
        <v>17</v>
      </c>
    </row>
    <row r="9384" spans="1:9" x14ac:dyDescent="0.25">
      <c r="A9384">
        <v>1824</v>
      </c>
      <c r="B9384">
        <f>A9384+1</f>
        <v>1825</v>
      </c>
      <c r="C9384" t="s">
        <v>530</v>
      </c>
      <c r="D9384" t="s">
        <v>26</v>
      </c>
      <c r="E9384" s="208" t="s">
        <v>388</v>
      </c>
      <c r="F9384" t="s">
        <v>14</v>
      </c>
      <c r="G9384" s="18">
        <v>3383</v>
      </c>
      <c r="H9384" s="151" t="s">
        <v>563</v>
      </c>
      <c r="I9384" t="s">
        <v>17</v>
      </c>
    </row>
    <row r="9385" spans="1:9" x14ac:dyDescent="0.25">
      <c r="A9385">
        <v>1824</v>
      </c>
      <c r="B9385">
        <f>A9385+1</f>
        <v>1825</v>
      </c>
      <c r="C9385" t="s">
        <v>530</v>
      </c>
      <c r="D9385" t="s">
        <v>26</v>
      </c>
      <c r="E9385" s="208" t="s">
        <v>383</v>
      </c>
      <c r="F9385" t="s">
        <v>14</v>
      </c>
      <c r="G9385" s="18">
        <v>50</v>
      </c>
      <c r="H9385" s="151" t="s">
        <v>563</v>
      </c>
      <c r="I9385" t="s">
        <v>17</v>
      </c>
    </row>
    <row r="9386" spans="1:9" x14ac:dyDescent="0.25">
      <c r="A9386">
        <v>1824</v>
      </c>
      <c r="B9386">
        <f>A9386+1</f>
        <v>1825</v>
      </c>
      <c r="C9386" t="s">
        <v>530</v>
      </c>
      <c r="D9386" t="s">
        <v>26</v>
      </c>
      <c r="E9386" s="208" t="s">
        <v>384</v>
      </c>
      <c r="F9386" t="s">
        <v>14</v>
      </c>
      <c r="G9386" s="18">
        <v>599</v>
      </c>
      <c r="H9386" s="151" t="s">
        <v>563</v>
      </c>
      <c r="I9386" t="s">
        <v>17</v>
      </c>
    </row>
    <row r="9387" spans="1:9" x14ac:dyDescent="0.25">
      <c r="A9387">
        <v>1824</v>
      </c>
      <c r="B9387">
        <f>A9387+1</f>
        <v>1825</v>
      </c>
      <c r="C9387" t="s">
        <v>530</v>
      </c>
      <c r="D9387" t="s">
        <v>26</v>
      </c>
      <c r="E9387" s="208" t="s">
        <v>107</v>
      </c>
      <c r="F9387" t="s">
        <v>14</v>
      </c>
      <c r="G9387" s="18">
        <v>3019582</v>
      </c>
      <c r="H9387" s="151" t="s">
        <v>563</v>
      </c>
      <c r="I9387" t="s">
        <v>17</v>
      </c>
    </row>
    <row r="9388" spans="1:9" x14ac:dyDescent="0.25">
      <c r="A9388">
        <v>1824</v>
      </c>
      <c r="B9388">
        <f>A9388+1</f>
        <v>1825</v>
      </c>
      <c r="C9388" t="s">
        <v>530</v>
      </c>
      <c r="D9388" t="s">
        <v>26</v>
      </c>
      <c r="E9388" s="208" t="s">
        <v>101</v>
      </c>
      <c r="F9388" t="s">
        <v>14</v>
      </c>
      <c r="G9388" s="18">
        <v>2550295</v>
      </c>
      <c r="H9388" s="151" t="s">
        <v>563</v>
      </c>
      <c r="I9388" t="s">
        <v>17</v>
      </c>
    </row>
    <row r="9389" spans="1:9" x14ac:dyDescent="0.25">
      <c r="A9389">
        <v>1824</v>
      </c>
      <c r="B9389">
        <f>A9389+1</f>
        <v>1825</v>
      </c>
      <c r="C9389" t="s">
        <v>530</v>
      </c>
      <c r="D9389" t="s">
        <v>26</v>
      </c>
      <c r="E9389" s="208" t="s">
        <v>75</v>
      </c>
      <c r="F9389" t="s">
        <v>14</v>
      </c>
      <c r="G9389" s="18">
        <v>3533068</v>
      </c>
      <c r="H9389" s="151" t="s">
        <v>563</v>
      </c>
      <c r="I9389" t="s">
        <v>17</v>
      </c>
    </row>
    <row r="9390" spans="1:9" x14ac:dyDescent="0.25">
      <c r="A9390">
        <v>1824</v>
      </c>
      <c r="B9390">
        <f>A9390+1</f>
        <v>1825</v>
      </c>
      <c r="C9390" t="s">
        <v>530</v>
      </c>
      <c r="D9390" t="s">
        <v>26</v>
      </c>
      <c r="E9390" s="208" t="s">
        <v>330</v>
      </c>
      <c r="F9390" t="s">
        <v>14</v>
      </c>
      <c r="G9390" s="18">
        <v>234</v>
      </c>
      <c r="H9390" s="151" t="s">
        <v>563</v>
      </c>
      <c r="I9390" t="s">
        <v>17</v>
      </c>
    </row>
    <row r="9391" spans="1:9" x14ac:dyDescent="0.25">
      <c r="A9391">
        <v>1824</v>
      </c>
      <c r="B9391">
        <f>A9391+1</f>
        <v>1825</v>
      </c>
      <c r="C9391" t="s">
        <v>530</v>
      </c>
      <c r="D9391" t="s">
        <v>26</v>
      </c>
      <c r="E9391" s="208" t="s">
        <v>331</v>
      </c>
      <c r="F9391" t="s">
        <v>14</v>
      </c>
      <c r="G9391" s="18">
        <v>49</v>
      </c>
      <c r="H9391" s="151" t="s">
        <v>563</v>
      </c>
      <c r="I9391" t="s">
        <v>17</v>
      </c>
    </row>
    <row r="9392" spans="1:9" x14ac:dyDescent="0.25">
      <c r="A9392">
        <v>1824</v>
      </c>
      <c r="B9392">
        <f>A9392+1</f>
        <v>1825</v>
      </c>
      <c r="C9392" t="s">
        <v>530</v>
      </c>
      <c r="D9392" t="s">
        <v>26</v>
      </c>
      <c r="E9392" s="208" t="s">
        <v>332</v>
      </c>
      <c r="F9392" t="s">
        <v>14</v>
      </c>
      <c r="G9392" s="18">
        <v>0</v>
      </c>
      <c r="H9392" s="151" t="s">
        <v>563</v>
      </c>
      <c r="I9392" t="s">
        <v>17</v>
      </c>
    </row>
    <row r="9393" spans="1:9" x14ac:dyDescent="0.25">
      <c r="A9393">
        <v>1824</v>
      </c>
      <c r="B9393">
        <f>A9393+1</f>
        <v>1825</v>
      </c>
      <c r="C9393" t="s">
        <v>530</v>
      </c>
      <c r="D9393" t="s">
        <v>26</v>
      </c>
      <c r="E9393" s="208" t="s">
        <v>333</v>
      </c>
      <c r="F9393" t="s">
        <v>14</v>
      </c>
      <c r="G9393" s="18">
        <v>0</v>
      </c>
      <c r="H9393" s="151" t="s">
        <v>563</v>
      </c>
      <c r="I9393" t="s">
        <v>17</v>
      </c>
    </row>
    <row r="9394" spans="1:9" x14ac:dyDescent="0.25">
      <c r="A9394">
        <v>1824</v>
      </c>
      <c r="B9394">
        <f>A9394+1</f>
        <v>1825</v>
      </c>
      <c r="C9394" t="s">
        <v>530</v>
      </c>
      <c r="D9394" t="s">
        <v>27</v>
      </c>
      <c r="E9394" s="208" t="s">
        <v>155</v>
      </c>
      <c r="F9394" t="s">
        <v>15</v>
      </c>
      <c r="G9394" s="18">
        <v>73814</v>
      </c>
      <c r="H9394" t="s">
        <v>561</v>
      </c>
      <c r="I9394" s="151" t="s">
        <v>562</v>
      </c>
    </row>
    <row r="9395" spans="1:9" x14ac:dyDescent="0.25">
      <c r="A9395">
        <v>1824</v>
      </c>
      <c r="B9395">
        <f>A9395+1</f>
        <v>1825</v>
      </c>
      <c r="C9395" t="s">
        <v>530</v>
      </c>
      <c r="D9395" t="s">
        <v>27</v>
      </c>
      <c r="E9395" s="208" t="s">
        <v>156</v>
      </c>
      <c r="F9395" t="s">
        <v>15</v>
      </c>
      <c r="G9395" s="18">
        <v>7380</v>
      </c>
      <c r="H9395" t="s">
        <v>561</v>
      </c>
      <c r="I9395" s="151" t="s">
        <v>562</v>
      </c>
    </row>
    <row r="9396" spans="1:9" x14ac:dyDescent="0.25">
      <c r="A9396">
        <v>1824</v>
      </c>
      <c r="B9396">
        <f>A9396+1</f>
        <v>1825</v>
      </c>
      <c r="C9396" t="s">
        <v>530</v>
      </c>
      <c r="D9396" t="s">
        <v>27</v>
      </c>
      <c r="E9396" s="208" t="s">
        <v>154</v>
      </c>
      <c r="F9396" t="s">
        <v>15</v>
      </c>
      <c r="G9396" s="18">
        <v>2858</v>
      </c>
      <c r="H9396" t="s">
        <v>561</v>
      </c>
      <c r="I9396" s="151" t="s">
        <v>562</v>
      </c>
    </row>
    <row r="9397" spans="1:9" x14ac:dyDescent="0.25">
      <c r="A9397">
        <v>1824</v>
      </c>
      <c r="B9397">
        <f>A9397+1</f>
        <v>1825</v>
      </c>
      <c r="C9397" t="s">
        <v>530</v>
      </c>
      <c r="D9397" t="s">
        <v>27</v>
      </c>
      <c r="E9397" s="208" t="s">
        <v>150</v>
      </c>
      <c r="F9397" t="s">
        <v>15</v>
      </c>
      <c r="G9397" s="18">
        <v>27630</v>
      </c>
      <c r="H9397" t="s">
        <v>561</v>
      </c>
      <c r="I9397" s="151" t="s">
        <v>562</v>
      </c>
    </row>
    <row r="9398" spans="1:9" x14ac:dyDescent="0.25">
      <c r="A9398">
        <v>1824</v>
      </c>
      <c r="B9398">
        <f>A9398+1</f>
        <v>1825</v>
      </c>
      <c r="C9398" t="s">
        <v>530</v>
      </c>
      <c r="D9398" t="s">
        <v>27</v>
      </c>
      <c r="E9398" s="208" t="s">
        <v>148</v>
      </c>
      <c r="F9398" t="s">
        <v>15</v>
      </c>
      <c r="G9398" s="18">
        <v>2077</v>
      </c>
      <c r="H9398" t="s">
        <v>561</v>
      </c>
      <c r="I9398" s="151" t="s">
        <v>562</v>
      </c>
    </row>
    <row r="9399" spans="1:9" x14ac:dyDescent="0.25">
      <c r="A9399">
        <v>1824</v>
      </c>
      <c r="B9399">
        <f>A9399+1</f>
        <v>1825</v>
      </c>
      <c r="C9399" t="s">
        <v>530</v>
      </c>
      <c r="D9399" t="s">
        <v>27</v>
      </c>
      <c r="E9399" s="208" t="s">
        <v>147</v>
      </c>
      <c r="F9399" t="s">
        <v>15</v>
      </c>
      <c r="G9399" s="18">
        <v>101</v>
      </c>
      <c r="H9399" t="s">
        <v>561</v>
      </c>
      <c r="I9399" s="151" t="s">
        <v>562</v>
      </c>
    </row>
    <row r="9400" spans="1:9" x14ac:dyDescent="0.25">
      <c r="A9400">
        <v>1824</v>
      </c>
      <c r="B9400">
        <f>A9400+1</f>
        <v>1825</v>
      </c>
      <c r="C9400" t="s">
        <v>530</v>
      </c>
      <c r="D9400" t="s">
        <v>27</v>
      </c>
      <c r="E9400" s="208" t="s">
        <v>314</v>
      </c>
      <c r="F9400" t="s">
        <v>15</v>
      </c>
      <c r="G9400" s="18">
        <v>215</v>
      </c>
      <c r="H9400" t="s">
        <v>561</v>
      </c>
      <c r="I9400" s="151" t="s">
        <v>562</v>
      </c>
    </row>
    <row r="9401" spans="1:9" x14ac:dyDescent="0.25">
      <c r="A9401">
        <v>1824</v>
      </c>
      <c r="B9401">
        <f>A9401+1</f>
        <v>1825</v>
      </c>
      <c r="C9401" t="s">
        <v>530</v>
      </c>
      <c r="D9401" t="s">
        <v>27</v>
      </c>
      <c r="E9401" s="208" t="s">
        <v>139</v>
      </c>
      <c r="F9401" t="s">
        <v>15</v>
      </c>
      <c r="G9401" s="18">
        <v>894</v>
      </c>
      <c r="H9401" t="s">
        <v>561</v>
      </c>
      <c r="I9401" s="151" t="s">
        <v>562</v>
      </c>
    </row>
    <row r="9402" spans="1:9" x14ac:dyDescent="0.25">
      <c r="A9402">
        <v>1824</v>
      </c>
      <c r="B9402">
        <f>A9402+1</f>
        <v>1825</v>
      </c>
      <c r="C9402" t="s">
        <v>530</v>
      </c>
      <c r="D9402" t="s">
        <v>27</v>
      </c>
      <c r="E9402" s="208" t="s">
        <v>131</v>
      </c>
      <c r="F9402" t="s">
        <v>15</v>
      </c>
      <c r="G9402" s="18">
        <v>3947</v>
      </c>
      <c r="H9402" t="s">
        <v>561</v>
      </c>
      <c r="I9402" s="151" t="s">
        <v>562</v>
      </c>
    </row>
    <row r="9403" spans="1:9" x14ac:dyDescent="0.25">
      <c r="A9403">
        <v>1824</v>
      </c>
      <c r="B9403">
        <f>A9403+1</f>
        <v>1825</v>
      </c>
      <c r="C9403" t="s">
        <v>530</v>
      </c>
      <c r="D9403" t="s">
        <v>27</v>
      </c>
      <c r="E9403" s="208" t="s">
        <v>130</v>
      </c>
      <c r="F9403" t="s">
        <v>15</v>
      </c>
      <c r="G9403" s="18">
        <v>348</v>
      </c>
      <c r="H9403" t="s">
        <v>561</v>
      </c>
      <c r="I9403" s="151" t="s">
        <v>562</v>
      </c>
    </row>
    <row r="9404" spans="1:9" x14ac:dyDescent="0.25">
      <c r="A9404">
        <v>1824</v>
      </c>
      <c r="B9404">
        <f>A9404+1</f>
        <v>1825</v>
      </c>
      <c r="C9404" t="s">
        <v>530</v>
      </c>
      <c r="D9404" t="s">
        <v>27</v>
      </c>
      <c r="E9404" s="208" t="s">
        <v>143</v>
      </c>
      <c r="F9404" t="s">
        <v>15</v>
      </c>
      <c r="G9404" s="18">
        <v>537</v>
      </c>
      <c r="H9404" t="s">
        <v>561</v>
      </c>
      <c r="I9404" s="151" t="s">
        <v>562</v>
      </c>
    </row>
    <row r="9405" spans="1:9" x14ac:dyDescent="0.25">
      <c r="A9405">
        <v>1824</v>
      </c>
      <c r="B9405">
        <f>A9405+1</f>
        <v>1825</v>
      </c>
      <c r="C9405" t="s">
        <v>530</v>
      </c>
      <c r="D9405" t="s">
        <v>27</v>
      </c>
      <c r="E9405" s="208" t="s">
        <v>142</v>
      </c>
      <c r="F9405" t="s">
        <v>15</v>
      </c>
      <c r="G9405" s="18">
        <v>20979</v>
      </c>
      <c r="H9405" t="s">
        <v>561</v>
      </c>
      <c r="I9405" s="151" t="s">
        <v>562</v>
      </c>
    </row>
    <row r="9406" spans="1:9" x14ac:dyDescent="0.25">
      <c r="A9406">
        <v>1824</v>
      </c>
      <c r="B9406">
        <f>A9406+1</f>
        <v>1825</v>
      </c>
      <c r="C9406" t="s">
        <v>530</v>
      </c>
      <c r="D9406" t="s">
        <v>27</v>
      </c>
      <c r="E9406" s="208" t="s">
        <v>124</v>
      </c>
      <c r="F9406" t="s">
        <v>15</v>
      </c>
      <c r="G9406" s="18">
        <v>21254656</v>
      </c>
      <c r="H9406" t="s">
        <v>561</v>
      </c>
      <c r="I9406" s="151" t="s">
        <v>562</v>
      </c>
    </row>
    <row r="9407" spans="1:9" x14ac:dyDescent="0.25">
      <c r="A9407">
        <v>1824</v>
      </c>
      <c r="B9407">
        <f>A9407+1</f>
        <v>1825</v>
      </c>
      <c r="C9407" t="s">
        <v>530</v>
      </c>
      <c r="D9407" t="s">
        <v>26</v>
      </c>
      <c r="E9407" s="208" t="s">
        <v>62</v>
      </c>
      <c r="F9407" t="s">
        <v>15</v>
      </c>
      <c r="G9407" s="18">
        <v>65940</v>
      </c>
      <c r="H9407" s="151" t="s">
        <v>563</v>
      </c>
      <c r="I9407" t="s">
        <v>561</v>
      </c>
    </row>
    <row r="9408" spans="1:9" x14ac:dyDescent="0.25">
      <c r="A9408">
        <v>1824</v>
      </c>
      <c r="B9408">
        <f>A9408+1</f>
        <v>1825</v>
      </c>
      <c r="C9408" t="s">
        <v>530</v>
      </c>
      <c r="D9408" t="s">
        <v>26</v>
      </c>
      <c r="E9408" s="208" t="s">
        <v>36</v>
      </c>
      <c r="F9408" t="s">
        <v>15</v>
      </c>
      <c r="G9408" s="18">
        <v>5126</v>
      </c>
      <c r="H9408" s="151" t="s">
        <v>563</v>
      </c>
      <c r="I9408" t="s">
        <v>561</v>
      </c>
    </row>
    <row r="9409" spans="1:9" x14ac:dyDescent="0.25">
      <c r="A9409">
        <v>1824</v>
      </c>
      <c r="B9409">
        <f>A9409+1</f>
        <v>1825</v>
      </c>
      <c r="C9409" t="s">
        <v>530</v>
      </c>
      <c r="D9409" t="s">
        <v>26</v>
      </c>
      <c r="E9409" s="208" t="s">
        <v>35</v>
      </c>
      <c r="F9409" t="s">
        <v>15</v>
      </c>
      <c r="G9409" s="18">
        <v>3640</v>
      </c>
      <c r="H9409" s="151" t="s">
        <v>563</v>
      </c>
      <c r="I9409" t="s">
        <v>561</v>
      </c>
    </row>
    <row r="9410" spans="1:9" x14ac:dyDescent="0.25">
      <c r="A9410">
        <v>1824</v>
      </c>
      <c r="B9410">
        <f>A9410+1</f>
        <v>1825</v>
      </c>
      <c r="C9410" t="s">
        <v>530</v>
      </c>
      <c r="D9410" t="s">
        <v>26</v>
      </c>
      <c r="E9410" s="208" t="s">
        <v>39</v>
      </c>
      <c r="F9410" t="s">
        <v>15</v>
      </c>
      <c r="G9410" s="18">
        <v>3581</v>
      </c>
      <c r="H9410" s="151" t="s">
        <v>563</v>
      </c>
      <c r="I9410" t="s">
        <v>561</v>
      </c>
    </row>
    <row r="9411" spans="1:9" x14ac:dyDescent="0.25">
      <c r="A9411">
        <v>1824</v>
      </c>
      <c r="B9411">
        <f>A9411+1</f>
        <v>1825</v>
      </c>
      <c r="C9411" t="s">
        <v>530</v>
      </c>
      <c r="D9411" t="s">
        <v>26</v>
      </c>
      <c r="E9411" s="208" t="s">
        <v>99</v>
      </c>
      <c r="F9411" t="s">
        <v>15</v>
      </c>
      <c r="G9411" s="18">
        <v>3107</v>
      </c>
      <c r="H9411" s="151" t="s">
        <v>563</v>
      </c>
      <c r="I9411" t="s">
        <v>561</v>
      </c>
    </row>
    <row r="9412" spans="1:9" x14ac:dyDescent="0.25">
      <c r="A9412">
        <v>1824</v>
      </c>
      <c r="B9412">
        <f>A9412+1</f>
        <v>1825</v>
      </c>
      <c r="C9412" t="s">
        <v>530</v>
      </c>
      <c r="D9412" t="s">
        <v>26</v>
      </c>
      <c r="E9412" s="208" t="s">
        <v>94</v>
      </c>
      <c r="F9412" t="s">
        <v>15</v>
      </c>
      <c r="G9412" s="18">
        <v>601</v>
      </c>
      <c r="H9412" s="151" t="s">
        <v>563</v>
      </c>
      <c r="I9412" t="s">
        <v>561</v>
      </c>
    </row>
    <row r="9413" spans="1:9" x14ac:dyDescent="0.25">
      <c r="A9413">
        <v>1824</v>
      </c>
      <c r="B9413">
        <f>A9413+1</f>
        <v>1825</v>
      </c>
      <c r="C9413" t="s">
        <v>530</v>
      </c>
      <c r="D9413" t="s">
        <v>26</v>
      </c>
      <c r="E9413" s="208" t="s">
        <v>386</v>
      </c>
      <c r="F9413" t="s">
        <v>15</v>
      </c>
      <c r="G9413" s="18">
        <v>69832</v>
      </c>
      <c r="H9413" s="151" t="s">
        <v>563</v>
      </c>
      <c r="I9413" t="s">
        <v>561</v>
      </c>
    </row>
    <row r="9414" spans="1:9" x14ac:dyDescent="0.25">
      <c r="A9414">
        <v>1824</v>
      </c>
      <c r="B9414">
        <f>A9414+1</f>
        <v>1825</v>
      </c>
      <c r="C9414" t="s">
        <v>530</v>
      </c>
      <c r="D9414" t="s">
        <v>26</v>
      </c>
      <c r="E9414" s="208" t="s">
        <v>387</v>
      </c>
      <c r="F9414" t="s">
        <v>15</v>
      </c>
      <c r="G9414" s="18">
        <v>1978</v>
      </c>
      <c r="H9414" s="151" t="s">
        <v>563</v>
      </c>
      <c r="I9414" t="s">
        <v>561</v>
      </c>
    </row>
    <row r="9415" spans="1:9" x14ac:dyDescent="0.25">
      <c r="A9415">
        <v>1824</v>
      </c>
      <c r="B9415">
        <f>A9415+1</f>
        <v>1825</v>
      </c>
      <c r="C9415" t="s">
        <v>530</v>
      </c>
      <c r="D9415" t="s">
        <v>26</v>
      </c>
      <c r="E9415" s="208" t="s">
        <v>388</v>
      </c>
      <c r="F9415" t="s">
        <v>15</v>
      </c>
      <c r="G9415" s="18">
        <v>20760</v>
      </c>
      <c r="H9415" s="151" t="s">
        <v>563</v>
      </c>
      <c r="I9415" t="s">
        <v>561</v>
      </c>
    </row>
    <row r="9416" spans="1:9" x14ac:dyDescent="0.25">
      <c r="A9416">
        <v>1824</v>
      </c>
      <c r="B9416">
        <f>A9416+1</f>
        <v>1825</v>
      </c>
      <c r="C9416" t="s">
        <v>530</v>
      </c>
      <c r="D9416" t="s">
        <v>26</v>
      </c>
      <c r="E9416" s="208" t="s">
        <v>383</v>
      </c>
      <c r="F9416" t="s">
        <v>15</v>
      </c>
      <c r="G9416" s="18">
        <v>728</v>
      </c>
      <c r="H9416" s="151" t="s">
        <v>563</v>
      </c>
      <c r="I9416" t="s">
        <v>561</v>
      </c>
    </row>
    <row r="9417" spans="1:9" x14ac:dyDescent="0.25">
      <c r="A9417">
        <v>1824</v>
      </c>
      <c r="B9417">
        <f>A9417+1</f>
        <v>1825</v>
      </c>
      <c r="C9417" t="s">
        <v>530</v>
      </c>
      <c r="D9417" t="s">
        <v>26</v>
      </c>
      <c r="E9417" s="208" t="s">
        <v>384</v>
      </c>
      <c r="F9417" t="s">
        <v>15</v>
      </c>
      <c r="G9417" s="18">
        <v>1978</v>
      </c>
      <c r="H9417" s="151" t="s">
        <v>563</v>
      </c>
      <c r="I9417" t="s">
        <v>561</v>
      </c>
    </row>
    <row r="9418" spans="1:9" x14ac:dyDescent="0.25">
      <c r="A9418">
        <v>1824</v>
      </c>
      <c r="B9418">
        <f>A9418+1</f>
        <v>1825</v>
      </c>
      <c r="C9418" t="s">
        <v>530</v>
      </c>
      <c r="D9418" t="s">
        <v>26</v>
      </c>
      <c r="E9418" s="208" t="s">
        <v>107</v>
      </c>
      <c r="F9418" t="s">
        <v>15</v>
      </c>
      <c r="G9418" s="18">
        <v>4452131</v>
      </c>
      <c r="H9418" s="151" t="s">
        <v>563</v>
      </c>
      <c r="I9418" t="s">
        <v>561</v>
      </c>
    </row>
    <row r="9419" spans="1:9" x14ac:dyDescent="0.25">
      <c r="A9419">
        <v>1824</v>
      </c>
      <c r="B9419">
        <f>A9419+1</f>
        <v>1825</v>
      </c>
      <c r="C9419" t="s">
        <v>530</v>
      </c>
      <c r="D9419" t="s">
        <v>26</v>
      </c>
      <c r="E9419" s="208" t="s">
        <v>101</v>
      </c>
      <c r="F9419" t="s">
        <v>15</v>
      </c>
      <c r="G9419" s="18">
        <v>5623219</v>
      </c>
      <c r="H9419" s="151" t="s">
        <v>563</v>
      </c>
      <c r="I9419" t="s">
        <v>561</v>
      </c>
    </row>
    <row r="9420" spans="1:9" x14ac:dyDescent="0.25">
      <c r="A9420">
        <v>1824</v>
      </c>
      <c r="B9420">
        <f>A9420+1</f>
        <v>1825</v>
      </c>
      <c r="C9420" t="s">
        <v>530</v>
      </c>
      <c r="D9420" t="s">
        <v>26</v>
      </c>
      <c r="E9420" s="208" t="s">
        <v>75</v>
      </c>
      <c r="F9420" t="s">
        <v>15</v>
      </c>
      <c r="G9420" s="18">
        <v>5488075</v>
      </c>
      <c r="H9420" s="151" t="s">
        <v>563</v>
      </c>
      <c r="I9420" t="s">
        <v>561</v>
      </c>
    </row>
    <row r="9421" spans="1:9" x14ac:dyDescent="0.25">
      <c r="A9421">
        <v>1824</v>
      </c>
      <c r="B9421">
        <f>A9421+1</f>
        <v>1825</v>
      </c>
      <c r="C9421" t="s">
        <v>530</v>
      </c>
      <c r="D9421" t="s">
        <v>26</v>
      </c>
      <c r="E9421" s="208" t="s">
        <v>330</v>
      </c>
      <c r="F9421" t="s">
        <v>15</v>
      </c>
      <c r="G9421" s="18">
        <v>420</v>
      </c>
      <c r="H9421" s="151" t="s">
        <v>563</v>
      </c>
      <c r="I9421" t="s">
        <v>561</v>
      </c>
    </row>
    <row r="9422" spans="1:9" x14ac:dyDescent="0.25">
      <c r="A9422">
        <v>1824</v>
      </c>
      <c r="B9422">
        <f>A9422+1</f>
        <v>1825</v>
      </c>
      <c r="C9422" t="s">
        <v>530</v>
      </c>
      <c r="D9422" t="s">
        <v>26</v>
      </c>
      <c r="E9422" s="208" t="s">
        <v>331</v>
      </c>
      <c r="F9422" t="s">
        <v>15</v>
      </c>
      <c r="G9422" s="18">
        <v>204</v>
      </c>
      <c r="H9422" s="151" t="s">
        <v>563</v>
      </c>
      <c r="I9422" t="s">
        <v>561</v>
      </c>
    </row>
    <row r="9423" spans="1:9" x14ac:dyDescent="0.25">
      <c r="A9423">
        <v>1824</v>
      </c>
      <c r="B9423">
        <f>A9423+1</f>
        <v>1825</v>
      </c>
      <c r="C9423" t="s">
        <v>530</v>
      </c>
      <c r="D9423" t="s">
        <v>26</v>
      </c>
      <c r="E9423" s="208" t="s">
        <v>332</v>
      </c>
      <c r="F9423" t="s">
        <v>15</v>
      </c>
      <c r="G9423" s="18">
        <v>86</v>
      </c>
      <c r="H9423" s="151" t="s">
        <v>563</v>
      </c>
      <c r="I9423" t="s">
        <v>561</v>
      </c>
    </row>
    <row r="9424" spans="1:9" x14ac:dyDescent="0.25">
      <c r="A9424">
        <v>1824</v>
      </c>
      <c r="B9424">
        <f>A9424+1</f>
        <v>1825</v>
      </c>
      <c r="C9424" t="s">
        <v>530</v>
      </c>
      <c r="D9424" t="s">
        <v>26</v>
      </c>
      <c r="E9424" s="208" t="s">
        <v>333</v>
      </c>
      <c r="F9424" t="s">
        <v>15</v>
      </c>
      <c r="G9424" s="18">
        <v>20</v>
      </c>
      <c r="H9424" s="151" t="s">
        <v>563</v>
      </c>
      <c r="I9424" t="s">
        <v>561</v>
      </c>
    </row>
    <row r="9425" spans="1:9" x14ac:dyDescent="0.25">
      <c r="A9425">
        <v>1824</v>
      </c>
      <c r="B9425">
        <f>A9425+1</f>
        <v>1825</v>
      </c>
      <c r="C9425" t="s">
        <v>530</v>
      </c>
      <c r="D9425" t="s">
        <v>26</v>
      </c>
      <c r="E9425" s="208" t="s">
        <v>568</v>
      </c>
      <c r="F9425" t="s">
        <v>3</v>
      </c>
      <c r="G9425" s="18">
        <v>766</v>
      </c>
      <c r="H9425" t="s">
        <v>24</v>
      </c>
      <c r="I9425" t="s">
        <v>16</v>
      </c>
    </row>
    <row r="9426" spans="1:9" x14ac:dyDescent="0.25">
      <c r="A9426">
        <v>1824</v>
      </c>
      <c r="B9426">
        <f>A9426+1</f>
        <v>1825</v>
      </c>
      <c r="C9426" t="s">
        <v>530</v>
      </c>
      <c r="D9426" t="s">
        <v>26</v>
      </c>
      <c r="E9426" s="208" t="s">
        <v>568</v>
      </c>
      <c r="F9426" t="s">
        <v>6</v>
      </c>
      <c r="G9426" s="18">
        <v>0</v>
      </c>
      <c r="H9426" t="s">
        <v>25</v>
      </c>
      <c r="I9426" t="s">
        <v>16</v>
      </c>
    </row>
    <row r="9427" spans="1:9" x14ac:dyDescent="0.25">
      <c r="A9427">
        <v>1824</v>
      </c>
      <c r="B9427">
        <f>A9427+1</f>
        <v>1825</v>
      </c>
      <c r="C9427" t="s">
        <v>530</v>
      </c>
      <c r="D9427" t="s">
        <v>26</v>
      </c>
      <c r="E9427" s="208" t="s">
        <v>568</v>
      </c>
      <c r="F9427" t="s">
        <v>169</v>
      </c>
      <c r="G9427" s="18">
        <v>0</v>
      </c>
      <c r="H9427" t="s">
        <v>160</v>
      </c>
      <c r="I9427" t="s">
        <v>16</v>
      </c>
    </row>
    <row r="9428" spans="1:9" x14ac:dyDescent="0.25">
      <c r="A9428">
        <v>1824</v>
      </c>
      <c r="B9428">
        <f>A9428+1</f>
        <v>1825</v>
      </c>
      <c r="C9428" t="s">
        <v>530</v>
      </c>
      <c r="D9428" t="s">
        <v>26</v>
      </c>
      <c r="E9428" s="208" t="s">
        <v>568</v>
      </c>
      <c r="F9428" t="s">
        <v>4</v>
      </c>
      <c r="G9428" s="18">
        <v>0</v>
      </c>
      <c r="H9428" t="s">
        <v>23</v>
      </c>
      <c r="I9428" t="s">
        <v>16</v>
      </c>
    </row>
    <row r="9429" spans="1:9" x14ac:dyDescent="0.25">
      <c r="A9429">
        <v>1824</v>
      </c>
      <c r="B9429">
        <f>A9429+1</f>
        <v>1825</v>
      </c>
      <c r="C9429" t="s">
        <v>530</v>
      </c>
      <c r="D9429" t="s">
        <v>26</v>
      </c>
      <c r="E9429" s="208" t="s">
        <v>568</v>
      </c>
      <c r="F9429" t="s">
        <v>7</v>
      </c>
      <c r="G9429" s="18">
        <v>766</v>
      </c>
      <c r="H9429" s="151" t="s">
        <v>563</v>
      </c>
      <c r="I9429" t="s">
        <v>16</v>
      </c>
    </row>
    <row r="9430" spans="1:9" x14ac:dyDescent="0.25">
      <c r="A9430">
        <v>1824</v>
      </c>
      <c r="B9430">
        <f>A9430+1</f>
        <v>1825</v>
      </c>
      <c r="C9430" t="s">
        <v>530</v>
      </c>
      <c r="D9430" t="s">
        <v>26</v>
      </c>
      <c r="E9430" s="208" t="s">
        <v>568</v>
      </c>
      <c r="F9430" t="s">
        <v>10</v>
      </c>
      <c r="G9430" s="18">
        <v>367</v>
      </c>
      <c r="H9430" t="s">
        <v>24</v>
      </c>
      <c r="I9430" t="s">
        <v>17</v>
      </c>
    </row>
    <row r="9431" spans="1:9" x14ac:dyDescent="0.25">
      <c r="A9431">
        <v>1824</v>
      </c>
      <c r="B9431">
        <f>A9431+1</f>
        <v>1825</v>
      </c>
      <c r="C9431" t="s">
        <v>530</v>
      </c>
      <c r="D9431" t="s">
        <v>26</v>
      </c>
      <c r="E9431" s="208" t="s">
        <v>568</v>
      </c>
      <c r="F9431" t="s">
        <v>13</v>
      </c>
      <c r="G9431" s="18">
        <v>0</v>
      </c>
      <c r="H9431" t="s">
        <v>25</v>
      </c>
      <c r="I9431" t="s">
        <v>17</v>
      </c>
    </row>
    <row r="9432" spans="1:9" x14ac:dyDescent="0.25">
      <c r="A9432">
        <v>1824</v>
      </c>
      <c r="B9432">
        <f>A9432+1</f>
        <v>1825</v>
      </c>
      <c r="C9432" t="s">
        <v>530</v>
      </c>
      <c r="D9432" t="s">
        <v>26</v>
      </c>
      <c r="E9432" s="208" t="s">
        <v>568</v>
      </c>
      <c r="F9432" t="s">
        <v>164</v>
      </c>
      <c r="G9432" s="18">
        <v>0</v>
      </c>
      <c r="H9432" t="s">
        <v>160</v>
      </c>
      <c r="I9432" t="s">
        <v>17</v>
      </c>
    </row>
    <row r="9433" spans="1:9" x14ac:dyDescent="0.25">
      <c r="A9433">
        <v>1824</v>
      </c>
      <c r="B9433">
        <f>A9433+1</f>
        <v>1825</v>
      </c>
      <c r="C9433" t="s">
        <v>530</v>
      </c>
      <c r="D9433" t="s">
        <v>26</v>
      </c>
      <c r="E9433" s="208" t="s">
        <v>568</v>
      </c>
      <c r="F9433" t="s">
        <v>11</v>
      </c>
      <c r="G9433" s="18">
        <v>0</v>
      </c>
      <c r="H9433" t="s">
        <v>23</v>
      </c>
      <c r="I9433" t="s">
        <v>17</v>
      </c>
    </row>
    <row r="9434" spans="1:9" x14ac:dyDescent="0.25">
      <c r="A9434">
        <v>1824</v>
      </c>
      <c r="B9434">
        <f>A9434+1</f>
        <v>1825</v>
      </c>
      <c r="C9434" t="s">
        <v>530</v>
      </c>
      <c r="D9434" t="s">
        <v>26</v>
      </c>
      <c r="E9434" s="208" t="s">
        <v>568</v>
      </c>
      <c r="F9434" t="s">
        <v>14</v>
      </c>
      <c r="G9434" s="18">
        <v>367</v>
      </c>
      <c r="H9434" s="151" t="s">
        <v>563</v>
      </c>
      <c r="I9434" t="s">
        <v>17</v>
      </c>
    </row>
    <row r="9435" spans="1:9" x14ac:dyDescent="0.25">
      <c r="A9435">
        <v>1824</v>
      </c>
      <c r="B9435">
        <f>A9435+1</f>
        <v>1825</v>
      </c>
      <c r="C9435" t="s">
        <v>530</v>
      </c>
      <c r="D9435" t="s">
        <v>26</v>
      </c>
      <c r="E9435" s="208" t="s">
        <v>568</v>
      </c>
      <c r="F9435" t="s">
        <v>15</v>
      </c>
      <c r="G9435" s="18">
        <v>1133</v>
      </c>
      <c r="H9435" s="151" t="s">
        <v>563</v>
      </c>
      <c r="I9435" t="s">
        <v>561</v>
      </c>
    </row>
    <row r="9436" spans="1:9" x14ac:dyDescent="0.25">
      <c r="A9436">
        <v>1824</v>
      </c>
      <c r="B9436">
        <f>A9436+1</f>
        <v>1825</v>
      </c>
      <c r="C9436" t="s">
        <v>530</v>
      </c>
      <c r="D9436" t="s">
        <v>26</v>
      </c>
      <c r="E9436" s="208" t="s">
        <v>566</v>
      </c>
      <c r="F9436" t="s">
        <v>3</v>
      </c>
      <c r="G9436" s="18">
        <v>202</v>
      </c>
      <c r="H9436" t="s">
        <v>24</v>
      </c>
      <c r="I9436" t="s">
        <v>16</v>
      </c>
    </row>
    <row r="9437" spans="1:9" x14ac:dyDescent="0.25">
      <c r="A9437">
        <v>1824</v>
      </c>
      <c r="B9437">
        <f>A9437+1</f>
        <v>1825</v>
      </c>
      <c r="C9437" t="s">
        <v>530</v>
      </c>
      <c r="D9437" t="s">
        <v>26</v>
      </c>
      <c r="E9437" s="208" t="s">
        <v>566</v>
      </c>
      <c r="F9437" t="s">
        <v>6</v>
      </c>
      <c r="G9437" s="18">
        <v>0</v>
      </c>
      <c r="H9437" t="s">
        <v>25</v>
      </c>
      <c r="I9437" t="s">
        <v>16</v>
      </c>
    </row>
    <row r="9438" spans="1:9" x14ac:dyDescent="0.25">
      <c r="A9438">
        <v>1824</v>
      </c>
      <c r="B9438">
        <f>A9438+1</f>
        <v>1825</v>
      </c>
      <c r="C9438" t="s">
        <v>530</v>
      </c>
      <c r="D9438" t="s">
        <v>26</v>
      </c>
      <c r="E9438" s="208" t="s">
        <v>566</v>
      </c>
      <c r="F9438" t="s">
        <v>169</v>
      </c>
      <c r="G9438" s="18">
        <v>0</v>
      </c>
      <c r="H9438" t="s">
        <v>160</v>
      </c>
      <c r="I9438" t="s">
        <v>16</v>
      </c>
    </row>
    <row r="9439" spans="1:9" x14ac:dyDescent="0.25">
      <c r="A9439">
        <v>1824</v>
      </c>
      <c r="B9439">
        <f>A9439+1</f>
        <v>1825</v>
      </c>
      <c r="C9439" t="s">
        <v>530</v>
      </c>
      <c r="D9439" t="s">
        <v>26</v>
      </c>
      <c r="E9439" s="208" t="s">
        <v>566</v>
      </c>
      <c r="F9439" t="s">
        <v>4</v>
      </c>
      <c r="G9439" s="18">
        <v>0</v>
      </c>
      <c r="H9439" t="s">
        <v>23</v>
      </c>
      <c r="I9439" t="s">
        <v>16</v>
      </c>
    </row>
    <row r="9440" spans="1:9" x14ac:dyDescent="0.25">
      <c r="A9440">
        <v>1824</v>
      </c>
      <c r="B9440">
        <f>A9440+1</f>
        <v>1825</v>
      </c>
      <c r="C9440" t="s">
        <v>530</v>
      </c>
      <c r="D9440" t="s">
        <v>26</v>
      </c>
      <c r="E9440" s="208" t="s">
        <v>566</v>
      </c>
      <c r="F9440" t="s">
        <v>7</v>
      </c>
      <c r="G9440" s="18">
        <v>202</v>
      </c>
      <c r="H9440" s="151" t="s">
        <v>563</v>
      </c>
      <c r="I9440" t="s">
        <v>16</v>
      </c>
    </row>
    <row r="9441" spans="1:9" x14ac:dyDescent="0.25">
      <c r="A9441">
        <v>1824</v>
      </c>
      <c r="B9441">
        <f>A9441+1</f>
        <v>1825</v>
      </c>
      <c r="C9441" t="s">
        <v>530</v>
      </c>
      <c r="D9441" t="s">
        <v>26</v>
      </c>
      <c r="E9441" s="208" t="s">
        <v>566</v>
      </c>
      <c r="F9441" t="s">
        <v>10</v>
      </c>
      <c r="G9441" s="18">
        <v>30</v>
      </c>
      <c r="H9441" t="s">
        <v>24</v>
      </c>
      <c r="I9441" t="s">
        <v>17</v>
      </c>
    </row>
    <row r="9442" spans="1:9" x14ac:dyDescent="0.25">
      <c r="A9442">
        <v>1824</v>
      </c>
      <c r="B9442">
        <f>A9442+1</f>
        <v>1825</v>
      </c>
      <c r="C9442" t="s">
        <v>530</v>
      </c>
      <c r="D9442" t="s">
        <v>26</v>
      </c>
      <c r="E9442" s="208" t="s">
        <v>566</v>
      </c>
      <c r="F9442" t="s">
        <v>13</v>
      </c>
      <c r="G9442" s="18">
        <v>0</v>
      </c>
      <c r="H9442" t="s">
        <v>25</v>
      </c>
      <c r="I9442" t="s">
        <v>17</v>
      </c>
    </row>
    <row r="9443" spans="1:9" x14ac:dyDescent="0.25">
      <c r="A9443">
        <v>1824</v>
      </c>
      <c r="B9443">
        <f>A9443+1</f>
        <v>1825</v>
      </c>
      <c r="C9443" t="s">
        <v>530</v>
      </c>
      <c r="D9443" t="s">
        <v>26</v>
      </c>
      <c r="E9443" s="208" t="s">
        <v>566</v>
      </c>
      <c r="F9443" t="s">
        <v>164</v>
      </c>
      <c r="G9443" s="18">
        <v>0</v>
      </c>
      <c r="H9443" t="s">
        <v>160</v>
      </c>
      <c r="I9443" t="s">
        <v>17</v>
      </c>
    </row>
    <row r="9444" spans="1:9" x14ac:dyDescent="0.25">
      <c r="A9444">
        <v>1824</v>
      </c>
      <c r="B9444">
        <f>A9444+1</f>
        <v>1825</v>
      </c>
      <c r="C9444" t="s">
        <v>530</v>
      </c>
      <c r="D9444" t="s">
        <v>26</v>
      </c>
      <c r="E9444" s="208" t="s">
        <v>566</v>
      </c>
      <c r="F9444" t="s">
        <v>11</v>
      </c>
      <c r="G9444" s="18">
        <v>0</v>
      </c>
      <c r="H9444" t="s">
        <v>23</v>
      </c>
      <c r="I9444" t="s">
        <v>17</v>
      </c>
    </row>
    <row r="9445" spans="1:9" x14ac:dyDescent="0.25">
      <c r="A9445">
        <v>1824</v>
      </c>
      <c r="B9445">
        <f>A9445+1</f>
        <v>1825</v>
      </c>
      <c r="C9445" t="s">
        <v>530</v>
      </c>
      <c r="D9445" t="s">
        <v>26</v>
      </c>
      <c r="E9445" s="208" t="s">
        <v>566</v>
      </c>
      <c r="F9445" t="s">
        <v>14</v>
      </c>
      <c r="G9445" s="18">
        <v>30</v>
      </c>
      <c r="H9445" s="151" t="s">
        <v>563</v>
      </c>
      <c r="I9445" t="s">
        <v>17</v>
      </c>
    </row>
    <row r="9446" spans="1:9" x14ac:dyDescent="0.25">
      <c r="A9446">
        <v>1824</v>
      </c>
      <c r="B9446">
        <f>A9446+1</f>
        <v>1825</v>
      </c>
      <c r="C9446" t="s">
        <v>530</v>
      </c>
      <c r="D9446" t="s">
        <v>26</v>
      </c>
      <c r="E9446" s="208" t="s">
        <v>566</v>
      </c>
      <c r="F9446" t="s">
        <v>15</v>
      </c>
      <c r="G9446" s="18">
        <v>232</v>
      </c>
      <c r="H9446" s="151" t="s">
        <v>563</v>
      </c>
      <c r="I9446" t="s">
        <v>561</v>
      </c>
    </row>
    <row r="9447" spans="1:9" x14ac:dyDescent="0.25">
      <c r="A9447">
        <v>1825</v>
      </c>
      <c r="B9447">
        <f>A9447+1</f>
        <v>1826</v>
      </c>
      <c r="C9447" t="s">
        <v>531</v>
      </c>
      <c r="D9447" t="s">
        <v>26</v>
      </c>
      <c r="E9447" s="208" t="s">
        <v>572</v>
      </c>
      <c r="F9447" t="s">
        <v>3</v>
      </c>
      <c r="G9447" s="18">
        <v>2811</v>
      </c>
      <c r="H9447" t="s">
        <v>24</v>
      </c>
      <c r="I9447" t="s">
        <v>16</v>
      </c>
    </row>
    <row r="9448" spans="1:9" x14ac:dyDescent="0.25">
      <c r="A9448">
        <v>1825</v>
      </c>
      <c r="B9448">
        <f>A9448+1</f>
        <v>1826</v>
      </c>
      <c r="C9448" t="s">
        <v>531</v>
      </c>
      <c r="D9448" t="s">
        <v>26</v>
      </c>
      <c r="E9448" s="208" t="s">
        <v>572</v>
      </c>
      <c r="F9448" t="s">
        <v>6</v>
      </c>
      <c r="G9448" s="18">
        <v>0</v>
      </c>
      <c r="H9448" t="s">
        <v>25</v>
      </c>
      <c r="I9448" t="s">
        <v>16</v>
      </c>
    </row>
    <row r="9449" spans="1:9" x14ac:dyDescent="0.25">
      <c r="A9449">
        <v>1825</v>
      </c>
      <c r="B9449">
        <f>A9449+1</f>
        <v>1826</v>
      </c>
      <c r="C9449" t="s">
        <v>531</v>
      </c>
      <c r="D9449" t="s">
        <v>26</v>
      </c>
      <c r="E9449" s="208" t="s">
        <v>572</v>
      </c>
      <c r="F9449" t="s">
        <v>169</v>
      </c>
      <c r="G9449" s="18">
        <v>0</v>
      </c>
      <c r="H9449" t="s">
        <v>160</v>
      </c>
      <c r="I9449" t="s">
        <v>16</v>
      </c>
    </row>
    <row r="9450" spans="1:9" x14ac:dyDescent="0.25">
      <c r="A9450">
        <v>1825</v>
      </c>
      <c r="B9450">
        <f>A9450+1</f>
        <v>1826</v>
      </c>
      <c r="C9450" t="s">
        <v>531</v>
      </c>
      <c r="D9450" t="s">
        <v>26</v>
      </c>
      <c r="E9450" s="208" t="s">
        <v>572</v>
      </c>
      <c r="F9450" t="s">
        <v>4</v>
      </c>
      <c r="G9450" s="18">
        <v>0</v>
      </c>
      <c r="H9450" t="s">
        <v>23</v>
      </c>
      <c r="I9450" t="s">
        <v>16</v>
      </c>
    </row>
    <row r="9451" spans="1:9" x14ac:dyDescent="0.25">
      <c r="A9451">
        <v>1825</v>
      </c>
      <c r="B9451">
        <f>A9451+1</f>
        <v>1826</v>
      </c>
      <c r="C9451" t="s">
        <v>531</v>
      </c>
      <c r="D9451" t="s">
        <v>26</v>
      </c>
      <c r="E9451" s="208" t="s">
        <v>572</v>
      </c>
      <c r="F9451" t="s">
        <v>7</v>
      </c>
      <c r="G9451" s="18">
        <v>2811</v>
      </c>
      <c r="H9451" s="151" t="s">
        <v>563</v>
      </c>
      <c r="I9451" t="s">
        <v>16</v>
      </c>
    </row>
    <row r="9452" spans="1:9" x14ac:dyDescent="0.25">
      <c r="A9452">
        <v>1825</v>
      </c>
      <c r="B9452">
        <f>A9452+1</f>
        <v>1826</v>
      </c>
      <c r="C9452" t="s">
        <v>531</v>
      </c>
      <c r="D9452" t="s">
        <v>26</v>
      </c>
      <c r="E9452" s="208" t="s">
        <v>572</v>
      </c>
      <c r="F9452" t="s">
        <v>10</v>
      </c>
      <c r="G9452" s="18">
        <v>892</v>
      </c>
      <c r="H9452" t="s">
        <v>24</v>
      </c>
      <c r="I9452" t="s">
        <v>17</v>
      </c>
    </row>
    <row r="9453" spans="1:9" x14ac:dyDescent="0.25">
      <c r="A9453">
        <v>1825</v>
      </c>
      <c r="B9453">
        <f>A9453+1</f>
        <v>1826</v>
      </c>
      <c r="C9453" t="s">
        <v>531</v>
      </c>
      <c r="D9453" t="s">
        <v>26</v>
      </c>
      <c r="E9453" s="208" t="s">
        <v>572</v>
      </c>
      <c r="F9453" t="s">
        <v>13</v>
      </c>
      <c r="G9453" s="18">
        <v>0</v>
      </c>
      <c r="H9453" t="s">
        <v>25</v>
      </c>
      <c r="I9453" t="s">
        <v>17</v>
      </c>
    </row>
    <row r="9454" spans="1:9" x14ac:dyDescent="0.25">
      <c r="A9454">
        <v>1825</v>
      </c>
      <c r="B9454">
        <f>A9454+1</f>
        <v>1826</v>
      </c>
      <c r="C9454" t="s">
        <v>531</v>
      </c>
      <c r="D9454" t="s">
        <v>26</v>
      </c>
      <c r="E9454" s="208" t="s">
        <v>572</v>
      </c>
      <c r="F9454" t="s">
        <v>164</v>
      </c>
      <c r="G9454" s="18">
        <v>0</v>
      </c>
      <c r="H9454" t="s">
        <v>160</v>
      </c>
      <c r="I9454" t="s">
        <v>17</v>
      </c>
    </row>
    <row r="9455" spans="1:9" x14ac:dyDescent="0.25">
      <c r="A9455">
        <v>1825</v>
      </c>
      <c r="B9455">
        <f>A9455+1</f>
        <v>1826</v>
      </c>
      <c r="C9455" t="s">
        <v>531</v>
      </c>
      <c r="D9455" t="s">
        <v>26</v>
      </c>
      <c r="E9455" s="208" t="s">
        <v>572</v>
      </c>
      <c r="F9455" t="s">
        <v>11</v>
      </c>
      <c r="G9455" s="18">
        <v>0</v>
      </c>
      <c r="H9455" t="s">
        <v>23</v>
      </c>
      <c r="I9455" t="s">
        <v>17</v>
      </c>
    </row>
    <row r="9456" spans="1:9" x14ac:dyDescent="0.25">
      <c r="A9456">
        <v>1825</v>
      </c>
      <c r="B9456">
        <f>A9456+1</f>
        <v>1826</v>
      </c>
      <c r="C9456" t="s">
        <v>531</v>
      </c>
      <c r="D9456" t="s">
        <v>26</v>
      </c>
      <c r="E9456" s="208" t="s">
        <v>572</v>
      </c>
      <c r="F9456" t="s">
        <v>14</v>
      </c>
      <c r="G9456" s="18">
        <v>892</v>
      </c>
      <c r="H9456" s="151" t="s">
        <v>563</v>
      </c>
      <c r="I9456" t="s">
        <v>17</v>
      </c>
    </row>
    <row r="9457" spans="1:9" x14ac:dyDescent="0.25">
      <c r="A9457">
        <v>1825</v>
      </c>
      <c r="B9457">
        <f>A9457+1</f>
        <v>1826</v>
      </c>
      <c r="C9457" t="s">
        <v>531</v>
      </c>
      <c r="D9457" t="s">
        <v>26</v>
      </c>
      <c r="E9457" s="208" t="s">
        <v>572</v>
      </c>
      <c r="F9457" t="s">
        <v>15</v>
      </c>
      <c r="G9457" s="18">
        <v>3703</v>
      </c>
      <c r="H9457" s="151" t="s">
        <v>563</v>
      </c>
      <c r="I9457" t="s">
        <v>561</v>
      </c>
    </row>
    <row r="9458" spans="1:9" x14ac:dyDescent="0.25">
      <c r="A9458">
        <v>1825</v>
      </c>
      <c r="B9458">
        <f>A9458+1</f>
        <v>1826</v>
      </c>
      <c r="C9458" t="s">
        <v>531</v>
      </c>
      <c r="D9458" t="s">
        <v>26</v>
      </c>
      <c r="E9458" s="208" t="s">
        <v>571</v>
      </c>
      <c r="F9458" t="s">
        <v>3</v>
      </c>
      <c r="G9458" s="18">
        <v>2276</v>
      </c>
      <c r="H9458" t="s">
        <v>24</v>
      </c>
      <c r="I9458" t="s">
        <v>16</v>
      </c>
    </row>
    <row r="9459" spans="1:9" x14ac:dyDescent="0.25">
      <c r="A9459">
        <v>1825</v>
      </c>
      <c r="B9459">
        <f>A9459+1</f>
        <v>1826</v>
      </c>
      <c r="C9459" t="s">
        <v>531</v>
      </c>
      <c r="D9459" t="s">
        <v>26</v>
      </c>
      <c r="E9459" s="208" t="s">
        <v>571</v>
      </c>
      <c r="F9459" t="s">
        <v>6</v>
      </c>
      <c r="G9459" s="18">
        <v>0</v>
      </c>
      <c r="H9459" t="s">
        <v>25</v>
      </c>
      <c r="I9459" t="s">
        <v>16</v>
      </c>
    </row>
    <row r="9460" spans="1:9" x14ac:dyDescent="0.25">
      <c r="A9460">
        <v>1825</v>
      </c>
      <c r="B9460">
        <f>A9460+1</f>
        <v>1826</v>
      </c>
      <c r="C9460" t="s">
        <v>531</v>
      </c>
      <c r="D9460" t="s">
        <v>26</v>
      </c>
      <c r="E9460" s="208" t="s">
        <v>571</v>
      </c>
      <c r="F9460" t="s">
        <v>169</v>
      </c>
      <c r="G9460" s="18">
        <v>0</v>
      </c>
      <c r="H9460" t="s">
        <v>160</v>
      </c>
      <c r="I9460" t="s">
        <v>16</v>
      </c>
    </row>
    <row r="9461" spans="1:9" x14ac:dyDescent="0.25">
      <c r="A9461">
        <v>1825</v>
      </c>
      <c r="B9461">
        <f>A9461+1</f>
        <v>1826</v>
      </c>
      <c r="C9461" t="s">
        <v>531</v>
      </c>
      <c r="D9461" t="s">
        <v>26</v>
      </c>
      <c r="E9461" s="208" t="s">
        <v>571</v>
      </c>
      <c r="F9461" t="s">
        <v>4</v>
      </c>
      <c r="G9461" s="18">
        <v>0</v>
      </c>
      <c r="H9461" t="s">
        <v>23</v>
      </c>
      <c r="I9461" t="s">
        <v>16</v>
      </c>
    </row>
    <row r="9462" spans="1:9" x14ac:dyDescent="0.25">
      <c r="A9462">
        <v>1825</v>
      </c>
      <c r="B9462">
        <f>A9462+1</f>
        <v>1826</v>
      </c>
      <c r="C9462" t="s">
        <v>531</v>
      </c>
      <c r="D9462" t="s">
        <v>26</v>
      </c>
      <c r="E9462" s="208" t="s">
        <v>571</v>
      </c>
      <c r="F9462" t="s">
        <v>7</v>
      </c>
      <c r="G9462" s="18">
        <v>2276</v>
      </c>
      <c r="H9462" s="151" t="s">
        <v>563</v>
      </c>
      <c r="I9462" t="s">
        <v>16</v>
      </c>
    </row>
    <row r="9463" spans="1:9" x14ac:dyDescent="0.25">
      <c r="A9463">
        <v>1825</v>
      </c>
      <c r="B9463">
        <f>A9463+1</f>
        <v>1826</v>
      </c>
      <c r="C9463" t="s">
        <v>531</v>
      </c>
      <c r="D9463" t="s">
        <v>26</v>
      </c>
      <c r="E9463" s="208" t="s">
        <v>571</v>
      </c>
      <c r="F9463" t="s">
        <v>10</v>
      </c>
      <c r="G9463" s="18">
        <v>1108</v>
      </c>
      <c r="H9463" t="s">
        <v>24</v>
      </c>
      <c r="I9463" t="s">
        <v>17</v>
      </c>
    </row>
    <row r="9464" spans="1:9" x14ac:dyDescent="0.25">
      <c r="A9464">
        <v>1825</v>
      </c>
      <c r="B9464">
        <f>A9464+1</f>
        <v>1826</v>
      </c>
      <c r="C9464" t="s">
        <v>531</v>
      </c>
      <c r="D9464" t="s">
        <v>26</v>
      </c>
      <c r="E9464" s="208" t="s">
        <v>571</v>
      </c>
      <c r="F9464" t="s">
        <v>13</v>
      </c>
      <c r="G9464" s="18">
        <v>0</v>
      </c>
      <c r="H9464" t="s">
        <v>25</v>
      </c>
      <c r="I9464" t="s">
        <v>17</v>
      </c>
    </row>
    <row r="9465" spans="1:9" x14ac:dyDescent="0.25">
      <c r="A9465">
        <v>1825</v>
      </c>
      <c r="B9465">
        <f>A9465+1</f>
        <v>1826</v>
      </c>
      <c r="C9465" t="s">
        <v>531</v>
      </c>
      <c r="D9465" t="s">
        <v>26</v>
      </c>
      <c r="E9465" s="208" t="s">
        <v>571</v>
      </c>
      <c r="F9465" t="s">
        <v>164</v>
      </c>
      <c r="G9465" s="18">
        <v>0</v>
      </c>
      <c r="H9465" t="s">
        <v>160</v>
      </c>
      <c r="I9465" t="s">
        <v>17</v>
      </c>
    </row>
    <row r="9466" spans="1:9" x14ac:dyDescent="0.25">
      <c r="A9466">
        <v>1825</v>
      </c>
      <c r="B9466">
        <f>A9466+1</f>
        <v>1826</v>
      </c>
      <c r="C9466" t="s">
        <v>531</v>
      </c>
      <c r="D9466" t="s">
        <v>26</v>
      </c>
      <c r="E9466" s="208" t="s">
        <v>571</v>
      </c>
      <c r="F9466" t="s">
        <v>11</v>
      </c>
      <c r="G9466" s="18">
        <v>0</v>
      </c>
      <c r="H9466" t="s">
        <v>23</v>
      </c>
      <c r="I9466" t="s">
        <v>17</v>
      </c>
    </row>
    <row r="9467" spans="1:9" x14ac:dyDescent="0.25">
      <c r="A9467">
        <v>1825</v>
      </c>
      <c r="B9467">
        <f>A9467+1</f>
        <v>1826</v>
      </c>
      <c r="C9467" t="s">
        <v>531</v>
      </c>
      <c r="D9467" t="s">
        <v>26</v>
      </c>
      <c r="E9467" s="208" t="s">
        <v>571</v>
      </c>
      <c r="F9467" t="s">
        <v>14</v>
      </c>
      <c r="G9467" s="18">
        <v>1108</v>
      </c>
      <c r="H9467" s="151" t="s">
        <v>563</v>
      </c>
      <c r="I9467" t="s">
        <v>17</v>
      </c>
    </row>
    <row r="9468" spans="1:9" x14ac:dyDescent="0.25">
      <c r="A9468">
        <v>1825</v>
      </c>
      <c r="B9468">
        <f>A9468+1</f>
        <v>1826</v>
      </c>
      <c r="C9468" t="s">
        <v>531</v>
      </c>
      <c r="D9468" t="s">
        <v>26</v>
      </c>
      <c r="E9468" s="208" t="s">
        <v>571</v>
      </c>
      <c r="F9468" t="s">
        <v>15</v>
      </c>
      <c r="G9468" s="18">
        <v>3384</v>
      </c>
      <c r="H9468" s="151" t="s">
        <v>563</v>
      </c>
      <c r="I9468" t="s">
        <v>561</v>
      </c>
    </row>
    <row r="9469" spans="1:9" x14ac:dyDescent="0.25">
      <c r="A9469">
        <v>1825</v>
      </c>
      <c r="B9469">
        <f>A9469+1</f>
        <v>1826</v>
      </c>
      <c r="C9469" t="s">
        <v>531</v>
      </c>
      <c r="D9469" t="s">
        <v>26</v>
      </c>
      <c r="E9469" s="208" t="s">
        <v>570</v>
      </c>
      <c r="F9469" t="s">
        <v>3</v>
      </c>
      <c r="G9469" s="18">
        <v>5022</v>
      </c>
      <c r="H9469" t="s">
        <v>24</v>
      </c>
      <c r="I9469" t="s">
        <v>16</v>
      </c>
    </row>
    <row r="9470" spans="1:9" x14ac:dyDescent="0.25">
      <c r="A9470">
        <v>1825</v>
      </c>
      <c r="B9470">
        <f>A9470+1</f>
        <v>1826</v>
      </c>
      <c r="C9470" t="s">
        <v>531</v>
      </c>
      <c r="D9470" t="s">
        <v>26</v>
      </c>
      <c r="E9470" s="208" t="s">
        <v>570</v>
      </c>
      <c r="F9470" t="s">
        <v>6</v>
      </c>
      <c r="G9470" s="18">
        <v>0</v>
      </c>
      <c r="H9470" t="s">
        <v>25</v>
      </c>
      <c r="I9470" t="s">
        <v>16</v>
      </c>
    </row>
    <row r="9471" spans="1:9" x14ac:dyDescent="0.25">
      <c r="A9471">
        <v>1825</v>
      </c>
      <c r="B9471">
        <f>A9471+1</f>
        <v>1826</v>
      </c>
      <c r="C9471" t="s">
        <v>531</v>
      </c>
      <c r="D9471" t="s">
        <v>26</v>
      </c>
      <c r="E9471" s="208" t="s">
        <v>570</v>
      </c>
      <c r="F9471" t="s">
        <v>169</v>
      </c>
      <c r="G9471" s="18">
        <v>0</v>
      </c>
      <c r="H9471" t="s">
        <v>160</v>
      </c>
      <c r="I9471" t="s">
        <v>16</v>
      </c>
    </row>
    <row r="9472" spans="1:9" x14ac:dyDescent="0.25">
      <c r="A9472">
        <v>1825</v>
      </c>
      <c r="B9472">
        <f>A9472+1</f>
        <v>1826</v>
      </c>
      <c r="C9472" t="s">
        <v>531</v>
      </c>
      <c r="D9472" t="s">
        <v>26</v>
      </c>
      <c r="E9472" s="208" t="s">
        <v>570</v>
      </c>
      <c r="F9472" t="s">
        <v>4</v>
      </c>
      <c r="G9472" s="18">
        <v>0</v>
      </c>
      <c r="H9472" t="s">
        <v>23</v>
      </c>
      <c r="I9472" t="s">
        <v>16</v>
      </c>
    </row>
    <row r="9473" spans="1:9" x14ac:dyDescent="0.25">
      <c r="A9473">
        <v>1825</v>
      </c>
      <c r="B9473">
        <f>A9473+1</f>
        <v>1826</v>
      </c>
      <c r="C9473" t="s">
        <v>531</v>
      </c>
      <c r="D9473" t="s">
        <v>26</v>
      </c>
      <c r="E9473" s="208" t="s">
        <v>570</v>
      </c>
      <c r="F9473" t="s">
        <v>7</v>
      </c>
      <c r="G9473" s="18">
        <v>5022</v>
      </c>
      <c r="H9473" s="151" t="s">
        <v>563</v>
      </c>
      <c r="I9473" t="s">
        <v>16</v>
      </c>
    </row>
    <row r="9474" spans="1:9" x14ac:dyDescent="0.25">
      <c r="A9474">
        <v>1825</v>
      </c>
      <c r="B9474">
        <f>A9474+1</f>
        <v>1826</v>
      </c>
      <c r="C9474" t="s">
        <v>531</v>
      </c>
      <c r="D9474" t="s">
        <v>26</v>
      </c>
      <c r="E9474" s="208" t="s">
        <v>570</v>
      </c>
      <c r="F9474" t="s">
        <v>10</v>
      </c>
      <c r="G9474" s="18">
        <v>996</v>
      </c>
      <c r="H9474" t="s">
        <v>24</v>
      </c>
      <c r="I9474" t="s">
        <v>17</v>
      </c>
    </row>
    <row r="9475" spans="1:9" x14ac:dyDescent="0.25">
      <c r="A9475">
        <v>1825</v>
      </c>
      <c r="B9475">
        <f>A9475+1</f>
        <v>1826</v>
      </c>
      <c r="C9475" t="s">
        <v>531</v>
      </c>
      <c r="D9475" t="s">
        <v>26</v>
      </c>
      <c r="E9475" s="208" t="s">
        <v>570</v>
      </c>
      <c r="F9475" t="s">
        <v>13</v>
      </c>
      <c r="G9475" s="18">
        <v>0</v>
      </c>
      <c r="H9475" t="s">
        <v>25</v>
      </c>
      <c r="I9475" t="s">
        <v>17</v>
      </c>
    </row>
    <row r="9476" spans="1:9" x14ac:dyDescent="0.25">
      <c r="A9476">
        <v>1825</v>
      </c>
      <c r="B9476">
        <f>A9476+1</f>
        <v>1826</v>
      </c>
      <c r="C9476" t="s">
        <v>531</v>
      </c>
      <c r="D9476" t="s">
        <v>26</v>
      </c>
      <c r="E9476" s="208" t="s">
        <v>570</v>
      </c>
      <c r="F9476" t="s">
        <v>164</v>
      </c>
      <c r="G9476" s="18">
        <v>0</v>
      </c>
      <c r="H9476" t="s">
        <v>160</v>
      </c>
      <c r="I9476" t="s">
        <v>17</v>
      </c>
    </row>
    <row r="9477" spans="1:9" x14ac:dyDescent="0.25">
      <c r="A9477">
        <v>1825</v>
      </c>
      <c r="B9477">
        <f>A9477+1</f>
        <v>1826</v>
      </c>
      <c r="C9477" t="s">
        <v>531</v>
      </c>
      <c r="D9477" t="s">
        <v>26</v>
      </c>
      <c r="E9477" s="208" t="s">
        <v>570</v>
      </c>
      <c r="F9477" t="s">
        <v>11</v>
      </c>
      <c r="G9477" s="18">
        <v>0</v>
      </c>
      <c r="H9477" t="s">
        <v>23</v>
      </c>
      <c r="I9477" t="s">
        <v>17</v>
      </c>
    </row>
    <row r="9478" spans="1:9" x14ac:dyDescent="0.25">
      <c r="A9478">
        <v>1825</v>
      </c>
      <c r="B9478">
        <f>A9478+1</f>
        <v>1826</v>
      </c>
      <c r="C9478" t="s">
        <v>531</v>
      </c>
      <c r="D9478" t="s">
        <v>26</v>
      </c>
      <c r="E9478" s="208" t="s">
        <v>570</v>
      </c>
      <c r="F9478" t="s">
        <v>14</v>
      </c>
      <c r="G9478" s="18">
        <v>996</v>
      </c>
      <c r="H9478" s="151" t="s">
        <v>563</v>
      </c>
      <c r="I9478" t="s">
        <v>17</v>
      </c>
    </row>
    <row r="9479" spans="1:9" x14ac:dyDescent="0.25">
      <c r="A9479">
        <v>1825</v>
      </c>
      <c r="B9479">
        <f>A9479+1</f>
        <v>1826</v>
      </c>
      <c r="C9479" t="s">
        <v>531</v>
      </c>
      <c r="D9479" t="s">
        <v>26</v>
      </c>
      <c r="E9479" s="208" t="s">
        <v>570</v>
      </c>
      <c r="F9479" t="s">
        <v>15</v>
      </c>
      <c r="G9479" s="18">
        <v>6018</v>
      </c>
      <c r="H9479" s="151" t="s">
        <v>563</v>
      </c>
      <c r="I9479" t="s">
        <v>561</v>
      </c>
    </row>
    <row r="9480" spans="1:9" x14ac:dyDescent="0.25">
      <c r="A9480">
        <v>1825</v>
      </c>
      <c r="B9480">
        <f>A9480+1</f>
        <v>1826</v>
      </c>
      <c r="C9480" t="s">
        <v>531</v>
      </c>
      <c r="D9480" t="s">
        <v>26</v>
      </c>
      <c r="E9480" s="208" t="s">
        <v>567</v>
      </c>
      <c r="F9480" t="s">
        <v>3</v>
      </c>
      <c r="G9480" s="18">
        <v>22806</v>
      </c>
      <c r="H9480" t="s">
        <v>24</v>
      </c>
      <c r="I9480" t="s">
        <v>16</v>
      </c>
    </row>
    <row r="9481" spans="1:9" x14ac:dyDescent="0.25">
      <c r="A9481">
        <v>1825</v>
      </c>
      <c r="B9481">
        <f>A9481+1</f>
        <v>1826</v>
      </c>
      <c r="C9481" t="s">
        <v>531</v>
      </c>
      <c r="D9481" t="s">
        <v>26</v>
      </c>
      <c r="E9481" s="208" t="s">
        <v>567</v>
      </c>
      <c r="F9481" t="s">
        <v>6</v>
      </c>
      <c r="G9481" s="18">
        <v>0</v>
      </c>
      <c r="H9481" t="s">
        <v>25</v>
      </c>
      <c r="I9481" t="s">
        <v>16</v>
      </c>
    </row>
    <row r="9482" spans="1:9" x14ac:dyDescent="0.25">
      <c r="A9482">
        <v>1825</v>
      </c>
      <c r="B9482">
        <f>A9482+1</f>
        <v>1826</v>
      </c>
      <c r="C9482" t="s">
        <v>531</v>
      </c>
      <c r="D9482" t="s">
        <v>26</v>
      </c>
      <c r="E9482" s="208" t="s">
        <v>567</v>
      </c>
      <c r="F9482" t="s">
        <v>169</v>
      </c>
      <c r="G9482" s="18">
        <v>16827</v>
      </c>
      <c r="H9482" t="s">
        <v>160</v>
      </c>
      <c r="I9482" t="s">
        <v>16</v>
      </c>
    </row>
    <row r="9483" spans="1:9" x14ac:dyDescent="0.25">
      <c r="A9483">
        <v>1825</v>
      </c>
      <c r="B9483">
        <f>A9483+1</f>
        <v>1826</v>
      </c>
      <c r="C9483" t="s">
        <v>531</v>
      </c>
      <c r="D9483" t="s">
        <v>26</v>
      </c>
      <c r="E9483" s="208" t="s">
        <v>567</v>
      </c>
      <c r="F9483" t="s">
        <v>4</v>
      </c>
      <c r="G9483" s="18">
        <v>0</v>
      </c>
      <c r="H9483" t="s">
        <v>23</v>
      </c>
      <c r="I9483" t="s">
        <v>16</v>
      </c>
    </row>
    <row r="9484" spans="1:9" x14ac:dyDescent="0.25">
      <c r="A9484">
        <v>1825</v>
      </c>
      <c r="B9484">
        <f>A9484+1</f>
        <v>1826</v>
      </c>
      <c r="C9484" t="s">
        <v>531</v>
      </c>
      <c r="D9484" t="s">
        <v>26</v>
      </c>
      <c r="E9484" s="208" t="s">
        <v>567</v>
      </c>
      <c r="F9484" t="s">
        <v>7</v>
      </c>
      <c r="G9484" s="18">
        <v>39633</v>
      </c>
      <c r="H9484" s="151" t="s">
        <v>563</v>
      </c>
      <c r="I9484" t="s">
        <v>16</v>
      </c>
    </row>
    <row r="9485" spans="1:9" x14ac:dyDescent="0.25">
      <c r="A9485">
        <v>1825</v>
      </c>
      <c r="B9485">
        <f>A9485+1</f>
        <v>1826</v>
      </c>
      <c r="C9485" t="s">
        <v>531</v>
      </c>
      <c r="D9485" t="s">
        <v>26</v>
      </c>
      <c r="E9485" s="208" t="s">
        <v>567</v>
      </c>
      <c r="F9485" t="s">
        <v>10</v>
      </c>
      <c r="G9485" s="18">
        <v>6366</v>
      </c>
      <c r="H9485" t="s">
        <v>24</v>
      </c>
      <c r="I9485" t="s">
        <v>17</v>
      </c>
    </row>
    <row r="9486" spans="1:9" x14ac:dyDescent="0.25">
      <c r="A9486">
        <v>1825</v>
      </c>
      <c r="B9486">
        <f>A9486+1</f>
        <v>1826</v>
      </c>
      <c r="C9486" t="s">
        <v>531</v>
      </c>
      <c r="D9486" t="s">
        <v>26</v>
      </c>
      <c r="E9486" s="208" t="s">
        <v>567</v>
      </c>
      <c r="F9486" t="s">
        <v>13</v>
      </c>
      <c r="G9486" s="18">
        <v>0</v>
      </c>
      <c r="H9486" t="s">
        <v>25</v>
      </c>
      <c r="I9486" t="s">
        <v>17</v>
      </c>
    </row>
    <row r="9487" spans="1:9" x14ac:dyDescent="0.25">
      <c r="A9487">
        <v>1825</v>
      </c>
      <c r="B9487">
        <f>A9487+1</f>
        <v>1826</v>
      </c>
      <c r="C9487" t="s">
        <v>531</v>
      </c>
      <c r="D9487" t="s">
        <v>26</v>
      </c>
      <c r="E9487" s="208" t="s">
        <v>567</v>
      </c>
      <c r="F9487" t="s">
        <v>164</v>
      </c>
      <c r="G9487" s="18">
        <v>36542</v>
      </c>
      <c r="H9487" t="s">
        <v>160</v>
      </c>
      <c r="I9487" t="s">
        <v>17</v>
      </c>
    </row>
    <row r="9488" spans="1:9" x14ac:dyDescent="0.25">
      <c r="A9488">
        <v>1825</v>
      </c>
      <c r="B9488">
        <f>A9488+1</f>
        <v>1826</v>
      </c>
      <c r="C9488" t="s">
        <v>531</v>
      </c>
      <c r="D9488" t="s">
        <v>26</v>
      </c>
      <c r="E9488" s="208" t="s">
        <v>567</v>
      </c>
      <c r="F9488" t="s">
        <v>11</v>
      </c>
      <c r="G9488" s="18">
        <v>0</v>
      </c>
      <c r="H9488" t="s">
        <v>23</v>
      </c>
      <c r="I9488" t="s">
        <v>17</v>
      </c>
    </row>
    <row r="9489" spans="1:9" x14ac:dyDescent="0.25">
      <c r="A9489">
        <v>1825</v>
      </c>
      <c r="B9489">
        <f>A9489+1</f>
        <v>1826</v>
      </c>
      <c r="C9489" t="s">
        <v>531</v>
      </c>
      <c r="D9489" t="s">
        <v>26</v>
      </c>
      <c r="E9489" s="208" t="s">
        <v>567</v>
      </c>
      <c r="F9489" t="s">
        <v>14</v>
      </c>
      <c r="G9489" s="18">
        <v>42908</v>
      </c>
      <c r="H9489" s="151" t="s">
        <v>563</v>
      </c>
      <c r="I9489" t="s">
        <v>17</v>
      </c>
    </row>
    <row r="9490" spans="1:9" x14ac:dyDescent="0.25">
      <c r="A9490">
        <v>1825</v>
      </c>
      <c r="B9490">
        <f>A9490+1</f>
        <v>1826</v>
      </c>
      <c r="C9490" t="s">
        <v>531</v>
      </c>
      <c r="D9490" t="s">
        <v>26</v>
      </c>
      <c r="E9490" s="208" t="s">
        <v>567</v>
      </c>
      <c r="F9490" t="s">
        <v>15</v>
      </c>
      <c r="G9490" s="18">
        <v>82541</v>
      </c>
      <c r="H9490" s="151" t="s">
        <v>563</v>
      </c>
      <c r="I9490" t="s">
        <v>561</v>
      </c>
    </row>
    <row r="9491" spans="1:9" x14ac:dyDescent="0.25">
      <c r="A9491">
        <v>1825</v>
      </c>
      <c r="B9491">
        <f>A9491+1</f>
        <v>1826</v>
      </c>
      <c r="C9491" t="s">
        <v>531</v>
      </c>
      <c r="D9491" t="s">
        <v>27</v>
      </c>
      <c r="E9491" s="208" t="s">
        <v>155</v>
      </c>
      <c r="F9491" t="s">
        <v>3</v>
      </c>
      <c r="G9491" s="18">
        <v>247</v>
      </c>
      <c r="H9491" t="s">
        <v>16</v>
      </c>
      <c r="I9491" t="s">
        <v>24</v>
      </c>
    </row>
    <row r="9492" spans="1:9" x14ac:dyDescent="0.25">
      <c r="A9492">
        <v>1825</v>
      </c>
      <c r="B9492">
        <f>A9492+1</f>
        <v>1826</v>
      </c>
      <c r="C9492" t="s">
        <v>531</v>
      </c>
      <c r="D9492" t="s">
        <v>27</v>
      </c>
      <c r="E9492" s="208" t="s">
        <v>156</v>
      </c>
      <c r="F9492" t="s">
        <v>3</v>
      </c>
      <c r="G9492" s="18">
        <v>143</v>
      </c>
      <c r="H9492" t="s">
        <v>16</v>
      </c>
      <c r="I9492" t="s">
        <v>24</v>
      </c>
    </row>
    <row r="9493" spans="1:9" x14ac:dyDescent="0.25">
      <c r="A9493">
        <v>1825</v>
      </c>
      <c r="B9493">
        <f>A9493+1</f>
        <v>1826</v>
      </c>
      <c r="C9493" t="s">
        <v>531</v>
      </c>
      <c r="D9493" t="s">
        <v>27</v>
      </c>
      <c r="E9493" s="208" t="s">
        <v>154</v>
      </c>
      <c r="F9493" t="s">
        <v>3</v>
      </c>
      <c r="G9493" s="18">
        <v>730</v>
      </c>
      <c r="H9493" t="s">
        <v>16</v>
      </c>
      <c r="I9493" t="s">
        <v>24</v>
      </c>
    </row>
    <row r="9494" spans="1:9" x14ac:dyDescent="0.25">
      <c r="A9494">
        <v>1825</v>
      </c>
      <c r="B9494">
        <f>A9494+1</f>
        <v>1826</v>
      </c>
      <c r="C9494" t="s">
        <v>531</v>
      </c>
      <c r="D9494" t="s">
        <v>27</v>
      </c>
      <c r="E9494" s="208" t="s">
        <v>150</v>
      </c>
      <c r="F9494" t="s">
        <v>3</v>
      </c>
      <c r="G9494" s="18">
        <v>2641</v>
      </c>
      <c r="H9494" t="s">
        <v>16</v>
      </c>
      <c r="I9494" t="s">
        <v>24</v>
      </c>
    </row>
    <row r="9495" spans="1:9" x14ac:dyDescent="0.25">
      <c r="A9495">
        <v>1825</v>
      </c>
      <c r="B9495">
        <f>A9495+1</f>
        <v>1826</v>
      </c>
      <c r="C9495" t="s">
        <v>531</v>
      </c>
      <c r="D9495" t="s">
        <v>27</v>
      </c>
      <c r="E9495" s="208" t="s">
        <v>148</v>
      </c>
      <c r="F9495" t="s">
        <v>3</v>
      </c>
      <c r="G9495" s="18">
        <v>134</v>
      </c>
      <c r="H9495" t="s">
        <v>16</v>
      </c>
      <c r="I9495" t="s">
        <v>24</v>
      </c>
    </row>
    <row r="9496" spans="1:9" x14ac:dyDescent="0.25">
      <c r="A9496">
        <v>1825</v>
      </c>
      <c r="B9496">
        <f>A9496+1</f>
        <v>1826</v>
      </c>
      <c r="C9496" t="s">
        <v>531</v>
      </c>
      <c r="D9496" t="s">
        <v>27</v>
      </c>
      <c r="E9496" s="208" t="s">
        <v>147</v>
      </c>
      <c r="F9496" t="s">
        <v>3</v>
      </c>
      <c r="G9496" s="18">
        <v>482</v>
      </c>
      <c r="H9496" t="s">
        <v>16</v>
      </c>
      <c r="I9496" t="s">
        <v>24</v>
      </c>
    </row>
    <row r="9497" spans="1:9" x14ac:dyDescent="0.25">
      <c r="A9497">
        <v>1825</v>
      </c>
      <c r="B9497">
        <f>A9497+1</f>
        <v>1826</v>
      </c>
      <c r="C9497" t="s">
        <v>531</v>
      </c>
      <c r="D9497" t="s">
        <v>27</v>
      </c>
      <c r="E9497" s="208" t="s">
        <v>139</v>
      </c>
      <c r="F9497" t="s">
        <v>3</v>
      </c>
      <c r="G9497" s="18">
        <v>12</v>
      </c>
      <c r="H9497" t="s">
        <v>16</v>
      </c>
      <c r="I9497" t="s">
        <v>24</v>
      </c>
    </row>
    <row r="9498" spans="1:9" x14ac:dyDescent="0.25">
      <c r="A9498">
        <v>1825</v>
      </c>
      <c r="B9498">
        <f>A9498+1</f>
        <v>1826</v>
      </c>
      <c r="C9498" t="s">
        <v>531</v>
      </c>
      <c r="D9498" t="s">
        <v>27</v>
      </c>
      <c r="E9498" s="208" t="s">
        <v>132</v>
      </c>
      <c r="F9498" t="s">
        <v>3</v>
      </c>
      <c r="G9498" s="18">
        <v>32</v>
      </c>
      <c r="H9498" t="s">
        <v>16</v>
      </c>
      <c r="I9498" t="s">
        <v>24</v>
      </c>
    </row>
    <row r="9499" spans="1:9" x14ac:dyDescent="0.25">
      <c r="A9499">
        <v>1825</v>
      </c>
      <c r="B9499">
        <f>A9499+1</f>
        <v>1826</v>
      </c>
      <c r="C9499" t="s">
        <v>531</v>
      </c>
      <c r="D9499" t="s">
        <v>27</v>
      </c>
      <c r="E9499" s="208" t="s">
        <v>130</v>
      </c>
      <c r="F9499" t="s">
        <v>3</v>
      </c>
      <c r="G9499" s="18">
        <v>1</v>
      </c>
      <c r="H9499" t="s">
        <v>16</v>
      </c>
      <c r="I9499" t="s">
        <v>24</v>
      </c>
    </row>
    <row r="9500" spans="1:9" x14ac:dyDescent="0.25">
      <c r="A9500">
        <v>1825</v>
      </c>
      <c r="B9500">
        <f>A9500+1</f>
        <v>1826</v>
      </c>
      <c r="C9500" t="s">
        <v>531</v>
      </c>
      <c r="D9500" t="s">
        <v>27</v>
      </c>
      <c r="E9500" s="208" t="s">
        <v>143</v>
      </c>
      <c r="F9500" t="s">
        <v>3</v>
      </c>
      <c r="G9500" s="18">
        <v>13</v>
      </c>
      <c r="H9500" t="s">
        <v>16</v>
      </c>
      <c r="I9500" t="s">
        <v>24</v>
      </c>
    </row>
    <row r="9501" spans="1:9" x14ac:dyDescent="0.25">
      <c r="A9501">
        <v>1825</v>
      </c>
      <c r="B9501">
        <f>A9501+1</f>
        <v>1826</v>
      </c>
      <c r="C9501" t="s">
        <v>531</v>
      </c>
      <c r="D9501" t="s">
        <v>27</v>
      </c>
      <c r="E9501" s="208" t="s">
        <v>142</v>
      </c>
      <c r="F9501" t="s">
        <v>3</v>
      </c>
      <c r="G9501" s="18">
        <v>115</v>
      </c>
      <c r="H9501" t="s">
        <v>16</v>
      </c>
      <c r="I9501" t="s">
        <v>24</v>
      </c>
    </row>
    <row r="9502" spans="1:9" x14ac:dyDescent="0.25">
      <c r="A9502">
        <v>1825</v>
      </c>
      <c r="B9502">
        <f>A9502+1</f>
        <v>1826</v>
      </c>
      <c r="C9502" t="s">
        <v>531</v>
      </c>
      <c r="D9502" t="s">
        <v>27</v>
      </c>
      <c r="E9502" s="208" t="s">
        <v>124</v>
      </c>
      <c r="F9502" t="s">
        <v>3</v>
      </c>
      <c r="G9502" s="18">
        <v>114292</v>
      </c>
      <c r="H9502" t="s">
        <v>16</v>
      </c>
      <c r="I9502" t="s">
        <v>24</v>
      </c>
    </row>
    <row r="9503" spans="1:9" x14ac:dyDescent="0.25">
      <c r="A9503">
        <v>1825</v>
      </c>
      <c r="B9503">
        <f>A9503+1</f>
        <v>1826</v>
      </c>
      <c r="C9503" t="s">
        <v>531</v>
      </c>
      <c r="D9503" t="s">
        <v>27</v>
      </c>
      <c r="E9503" s="208" t="s">
        <v>115</v>
      </c>
      <c r="F9503" t="s">
        <v>3</v>
      </c>
      <c r="G9503" s="18">
        <v>0</v>
      </c>
      <c r="H9503" t="s">
        <v>16</v>
      </c>
      <c r="I9503" t="s">
        <v>24</v>
      </c>
    </row>
    <row r="9504" spans="1:9" x14ac:dyDescent="0.25">
      <c r="A9504">
        <v>1825</v>
      </c>
      <c r="B9504">
        <f>A9504+1</f>
        <v>1826</v>
      </c>
      <c r="C9504" t="s">
        <v>531</v>
      </c>
      <c r="D9504" t="s">
        <v>27</v>
      </c>
      <c r="E9504" s="208" t="s">
        <v>116</v>
      </c>
      <c r="F9504" t="s">
        <v>3</v>
      </c>
      <c r="G9504" s="18">
        <v>0</v>
      </c>
      <c r="H9504" t="s">
        <v>16</v>
      </c>
      <c r="I9504" t="s">
        <v>24</v>
      </c>
    </row>
    <row r="9505" spans="1:9" x14ac:dyDescent="0.25">
      <c r="A9505">
        <v>1825</v>
      </c>
      <c r="B9505">
        <f>A9505+1</f>
        <v>1826</v>
      </c>
      <c r="C9505" t="s">
        <v>531</v>
      </c>
      <c r="D9505" t="s">
        <v>27</v>
      </c>
      <c r="E9505" s="208" t="s">
        <v>136</v>
      </c>
      <c r="F9505" t="s">
        <v>3</v>
      </c>
      <c r="G9505" s="18">
        <v>20</v>
      </c>
      <c r="H9505" t="s">
        <v>16</v>
      </c>
      <c r="I9505" t="s">
        <v>24</v>
      </c>
    </row>
    <row r="9506" spans="1:9" x14ac:dyDescent="0.25">
      <c r="A9506">
        <v>1825</v>
      </c>
      <c r="B9506">
        <f>A9506+1</f>
        <v>1826</v>
      </c>
      <c r="C9506" t="s">
        <v>531</v>
      </c>
      <c r="D9506" t="s">
        <v>27</v>
      </c>
      <c r="E9506" s="208" t="s">
        <v>157</v>
      </c>
      <c r="F9506" t="s">
        <v>3</v>
      </c>
      <c r="G9506" s="18">
        <v>11</v>
      </c>
      <c r="H9506" t="s">
        <v>16</v>
      </c>
      <c r="I9506" t="s">
        <v>24</v>
      </c>
    </row>
    <row r="9507" spans="1:9" x14ac:dyDescent="0.25">
      <c r="A9507">
        <v>1825</v>
      </c>
      <c r="B9507">
        <f>A9507+1</f>
        <v>1826</v>
      </c>
      <c r="C9507" t="s">
        <v>531</v>
      </c>
      <c r="D9507" t="s">
        <v>27</v>
      </c>
      <c r="E9507" s="208" t="s">
        <v>74</v>
      </c>
      <c r="F9507" t="s">
        <v>3</v>
      </c>
      <c r="G9507" s="18">
        <v>6</v>
      </c>
      <c r="H9507" t="s">
        <v>16</v>
      </c>
      <c r="I9507" t="s">
        <v>24</v>
      </c>
    </row>
    <row r="9508" spans="1:9" x14ac:dyDescent="0.25">
      <c r="A9508">
        <v>1825</v>
      </c>
      <c r="B9508">
        <f>A9508+1</f>
        <v>1826</v>
      </c>
      <c r="C9508" t="s">
        <v>531</v>
      </c>
      <c r="D9508" t="s">
        <v>27</v>
      </c>
      <c r="E9508" s="208" t="s">
        <v>129</v>
      </c>
      <c r="F9508" t="s">
        <v>3</v>
      </c>
      <c r="G9508" s="18">
        <v>0</v>
      </c>
      <c r="H9508" t="s">
        <v>16</v>
      </c>
      <c r="I9508" t="s">
        <v>24</v>
      </c>
    </row>
    <row r="9509" spans="1:9" x14ac:dyDescent="0.25">
      <c r="A9509">
        <v>1825</v>
      </c>
      <c r="B9509">
        <f>A9509+1</f>
        <v>1826</v>
      </c>
      <c r="C9509" t="s">
        <v>531</v>
      </c>
      <c r="D9509" t="s">
        <v>27</v>
      </c>
      <c r="E9509" s="208" t="s">
        <v>141</v>
      </c>
      <c r="F9509" t="s">
        <v>3</v>
      </c>
      <c r="G9509" s="18">
        <v>0</v>
      </c>
      <c r="H9509" t="s">
        <v>16</v>
      </c>
      <c r="I9509" t="s">
        <v>24</v>
      </c>
    </row>
    <row r="9510" spans="1:9" x14ac:dyDescent="0.25">
      <c r="A9510">
        <v>1825</v>
      </c>
      <c r="B9510">
        <f>A9510+1</f>
        <v>1826</v>
      </c>
      <c r="C9510" t="s">
        <v>531</v>
      </c>
      <c r="D9510" t="s">
        <v>27</v>
      </c>
      <c r="E9510" s="208" t="s">
        <v>128</v>
      </c>
      <c r="F9510" t="s">
        <v>3</v>
      </c>
      <c r="G9510" s="18">
        <v>0</v>
      </c>
      <c r="H9510" t="s">
        <v>16</v>
      </c>
      <c r="I9510" t="s">
        <v>24</v>
      </c>
    </row>
    <row r="9511" spans="1:9" x14ac:dyDescent="0.25">
      <c r="A9511">
        <v>1825</v>
      </c>
      <c r="B9511">
        <f>A9511+1</f>
        <v>1826</v>
      </c>
      <c r="C9511" t="s">
        <v>531</v>
      </c>
      <c r="D9511" t="s">
        <v>27</v>
      </c>
      <c r="E9511" s="208" t="s">
        <v>135</v>
      </c>
      <c r="F9511" t="s">
        <v>3</v>
      </c>
      <c r="G9511" s="18">
        <v>2</v>
      </c>
      <c r="H9511" t="s">
        <v>16</v>
      </c>
      <c r="I9511" t="s">
        <v>24</v>
      </c>
    </row>
    <row r="9512" spans="1:9" x14ac:dyDescent="0.25">
      <c r="A9512">
        <v>1825</v>
      </c>
      <c r="B9512">
        <f>A9512+1</f>
        <v>1826</v>
      </c>
      <c r="C9512" t="s">
        <v>531</v>
      </c>
      <c r="D9512" t="s">
        <v>27</v>
      </c>
      <c r="E9512" s="208" t="s">
        <v>138</v>
      </c>
      <c r="F9512" t="s">
        <v>3</v>
      </c>
      <c r="G9512" s="18">
        <v>61</v>
      </c>
      <c r="H9512" t="s">
        <v>16</v>
      </c>
      <c r="I9512" t="s">
        <v>24</v>
      </c>
    </row>
    <row r="9513" spans="1:9" x14ac:dyDescent="0.25">
      <c r="A9513">
        <v>1825</v>
      </c>
      <c r="B9513">
        <f>A9513+1</f>
        <v>1826</v>
      </c>
      <c r="C9513" t="s">
        <v>531</v>
      </c>
      <c r="D9513" t="s">
        <v>27</v>
      </c>
      <c r="E9513" s="208" t="s">
        <v>134</v>
      </c>
      <c r="F9513" t="s">
        <v>3</v>
      </c>
      <c r="G9513" s="18">
        <v>0</v>
      </c>
      <c r="H9513" t="s">
        <v>16</v>
      </c>
      <c r="I9513" t="s">
        <v>24</v>
      </c>
    </row>
    <row r="9514" spans="1:9" x14ac:dyDescent="0.25">
      <c r="A9514">
        <v>1825</v>
      </c>
      <c r="B9514">
        <f>A9514+1</f>
        <v>1826</v>
      </c>
      <c r="C9514" t="s">
        <v>531</v>
      </c>
      <c r="D9514" t="s">
        <v>26</v>
      </c>
      <c r="E9514" s="208" t="s">
        <v>62</v>
      </c>
      <c r="F9514" t="s">
        <v>3</v>
      </c>
      <c r="G9514" s="18">
        <v>300</v>
      </c>
      <c r="H9514" t="s">
        <v>24</v>
      </c>
      <c r="I9514" t="s">
        <v>16</v>
      </c>
    </row>
    <row r="9515" spans="1:9" x14ac:dyDescent="0.25">
      <c r="A9515">
        <v>1825</v>
      </c>
      <c r="B9515">
        <f>A9515+1</f>
        <v>1826</v>
      </c>
      <c r="C9515" t="s">
        <v>531</v>
      </c>
      <c r="D9515" t="s">
        <v>26</v>
      </c>
      <c r="E9515" s="208" t="s">
        <v>55</v>
      </c>
      <c r="F9515" t="s">
        <v>3</v>
      </c>
      <c r="G9515" s="18">
        <v>6</v>
      </c>
      <c r="H9515" t="s">
        <v>24</v>
      </c>
      <c r="I9515" t="s">
        <v>16</v>
      </c>
    </row>
    <row r="9516" spans="1:9" x14ac:dyDescent="0.25">
      <c r="A9516">
        <v>1825</v>
      </c>
      <c r="B9516">
        <f>A9516+1</f>
        <v>1826</v>
      </c>
      <c r="C9516" t="s">
        <v>531</v>
      </c>
      <c r="D9516" t="s">
        <v>26</v>
      </c>
      <c r="E9516" s="208" t="s">
        <v>36</v>
      </c>
      <c r="F9516" t="s">
        <v>3</v>
      </c>
      <c r="G9516" s="18">
        <v>12</v>
      </c>
      <c r="H9516" t="s">
        <v>24</v>
      </c>
      <c r="I9516" t="s">
        <v>16</v>
      </c>
    </row>
    <row r="9517" spans="1:9" x14ac:dyDescent="0.25">
      <c r="A9517">
        <v>1825</v>
      </c>
      <c r="B9517">
        <f>A9517+1</f>
        <v>1826</v>
      </c>
      <c r="C9517" t="s">
        <v>531</v>
      </c>
      <c r="D9517" t="s">
        <v>26</v>
      </c>
      <c r="E9517" s="208" t="s">
        <v>35</v>
      </c>
      <c r="F9517" t="s">
        <v>3</v>
      </c>
      <c r="G9517" s="18">
        <v>0</v>
      </c>
      <c r="H9517" t="s">
        <v>24</v>
      </c>
      <c r="I9517" t="s">
        <v>16</v>
      </c>
    </row>
    <row r="9518" spans="1:9" x14ac:dyDescent="0.25">
      <c r="A9518">
        <v>1825</v>
      </c>
      <c r="B9518">
        <f>A9518+1</f>
        <v>1826</v>
      </c>
      <c r="C9518" t="s">
        <v>531</v>
      </c>
      <c r="D9518" t="s">
        <v>26</v>
      </c>
      <c r="E9518" s="208" t="s">
        <v>40</v>
      </c>
      <c r="F9518" t="s">
        <v>3</v>
      </c>
      <c r="G9518" s="18">
        <v>0</v>
      </c>
      <c r="H9518" t="s">
        <v>24</v>
      </c>
      <c r="I9518" t="s">
        <v>16</v>
      </c>
    </row>
    <row r="9519" spans="1:9" x14ac:dyDescent="0.25">
      <c r="A9519">
        <v>1825</v>
      </c>
      <c r="B9519">
        <f>A9519+1</f>
        <v>1826</v>
      </c>
      <c r="C9519" t="s">
        <v>531</v>
      </c>
      <c r="D9519" t="s">
        <v>26</v>
      </c>
      <c r="E9519" s="208" t="s">
        <v>99</v>
      </c>
      <c r="F9519" t="s">
        <v>3</v>
      </c>
      <c r="G9519" s="18">
        <v>0</v>
      </c>
      <c r="H9519" t="s">
        <v>24</v>
      </c>
      <c r="I9519" t="s">
        <v>16</v>
      </c>
    </row>
    <row r="9520" spans="1:9" x14ac:dyDescent="0.25">
      <c r="A9520">
        <v>1825</v>
      </c>
      <c r="B9520">
        <f>A9520+1</f>
        <v>1826</v>
      </c>
      <c r="C9520" t="s">
        <v>531</v>
      </c>
      <c r="D9520" t="s">
        <v>26</v>
      </c>
      <c r="E9520" s="208" t="s">
        <v>98</v>
      </c>
      <c r="F9520" t="s">
        <v>3</v>
      </c>
      <c r="G9520" s="18">
        <v>25846</v>
      </c>
      <c r="H9520" t="s">
        <v>24</v>
      </c>
      <c r="I9520" t="s">
        <v>16</v>
      </c>
    </row>
    <row r="9521" spans="1:9" x14ac:dyDescent="0.25">
      <c r="A9521">
        <v>1825</v>
      </c>
      <c r="B9521">
        <f>A9521+1</f>
        <v>1826</v>
      </c>
      <c r="C9521" t="s">
        <v>531</v>
      </c>
      <c r="D9521" t="s">
        <v>26</v>
      </c>
      <c r="E9521" s="208" t="s">
        <v>352</v>
      </c>
      <c r="F9521" t="s">
        <v>3</v>
      </c>
      <c r="G9521" s="18">
        <v>634</v>
      </c>
      <c r="H9521" t="s">
        <v>24</v>
      </c>
      <c r="I9521" t="s">
        <v>16</v>
      </c>
    </row>
    <row r="9522" spans="1:9" x14ac:dyDescent="0.25">
      <c r="A9522">
        <v>1825</v>
      </c>
      <c r="B9522">
        <f>A9522+1</f>
        <v>1826</v>
      </c>
      <c r="C9522" t="s">
        <v>531</v>
      </c>
      <c r="D9522" t="s">
        <v>26</v>
      </c>
      <c r="E9522" s="208" t="s">
        <v>107</v>
      </c>
      <c r="F9522" t="s">
        <v>3</v>
      </c>
      <c r="G9522" s="18">
        <v>161666</v>
      </c>
      <c r="H9522" t="s">
        <v>24</v>
      </c>
      <c r="I9522" t="s">
        <v>16</v>
      </c>
    </row>
    <row r="9523" spans="1:9" x14ac:dyDescent="0.25">
      <c r="A9523">
        <v>1825</v>
      </c>
      <c r="B9523">
        <f>A9523+1</f>
        <v>1826</v>
      </c>
      <c r="C9523" t="s">
        <v>531</v>
      </c>
      <c r="D9523" t="s">
        <v>26</v>
      </c>
      <c r="E9523" s="208" t="s">
        <v>101</v>
      </c>
      <c r="F9523" t="s">
        <v>3</v>
      </c>
      <c r="G9523" s="18">
        <v>247980</v>
      </c>
      <c r="H9523" t="s">
        <v>24</v>
      </c>
      <c r="I9523" t="s">
        <v>16</v>
      </c>
    </row>
    <row r="9524" spans="1:9" x14ac:dyDescent="0.25">
      <c r="A9524">
        <v>1825</v>
      </c>
      <c r="B9524">
        <f>A9524+1</f>
        <v>1826</v>
      </c>
      <c r="C9524" t="s">
        <v>531</v>
      </c>
      <c r="D9524" t="s">
        <v>26</v>
      </c>
      <c r="E9524" s="208" t="s">
        <v>75</v>
      </c>
      <c r="F9524" t="s">
        <v>3</v>
      </c>
      <c r="G9524" s="18">
        <v>678227</v>
      </c>
      <c r="H9524" t="s">
        <v>24</v>
      </c>
      <c r="I9524" t="s">
        <v>16</v>
      </c>
    </row>
    <row r="9525" spans="1:9" x14ac:dyDescent="0.25">
      <c r="A9525">
        <v>1825</v>
      </c>
      <c r="B9525">
        <f>A9525+1</f>
        <v>1826</v>
      </c>
      <c r="C9525" t="s">
        <v>531</v>
      </c>
      <c r="D9525" t="s">
        <v>26</v>
      </c>
      <c r="E9525" s="208" t="s">
        <v>66</v>
      </c>
      <c r="F9525" t="s">
        <v>3</v>
      </c>
      <c r="G9525" s="18">
        <v>83500</v>
      </c>
      <c r="H9525" t="s">
        <v>24</v>
      </c>
      <c r="I9525" t="s">
        <v>16</v>
      </c>
    </row>
    <row r="9526" spans="1:9" x14ac:dyDescent="0.25">
      <c r="A9526">
        <v>1825</v>
      </c>
      <c r="B9526">
        <f>A9526+1</f>
        <v>1826</v>
      </c>
      <c r="C9526" t="s">
        <v>531</v>
      </c>
      <c r="D9526" t="s">
        <v>26</v>
      </c>
      <c r="E9526" s="208" t="s">
        <v>330</v>
      </c>
      <c r="F9526" t="s">
        <v>3</v>
      </c>
      <c r="G9526" s="18">
        <v>2</v>
      </c>
      <c r="H9526" t="s">
        <v>24</v>
      </c>
      <c r="I9526" t="s">
        <v>16</v>
      </c>
    </row>
    <row r="9527" spans="1:9" x14ac:dyDescent="0.25">
      <c r="A9527">
        <v>1825</v>
      </c>
      <c r="B9527">
        <f>A9527+1</f>
        <v>1826</v>
      </c>
      <c r="C9527" t="s">
        <v>531</v>
      </c>
      <c r="D9527" t="s">
        <v>26</v>
      </c>
      <c r="E9527" s="208" t="s">
        <v>331</v>
      </c>
      <c r="F9527" t="s">
        <v>3</v>
      </c>
      <c r="G9527" s="18">
        <v>0</v>
      </c>
      <c r="H9527" t="s">
        <v>24</v>
      </c>
      <c r="I9527" t="s">
        <v>16</v>
      </c>
    </row>
    <row r="9528" spans="1:9" x14ac:dyDescent="0.25">
      <c r="A9528">
        <v>1825</v>
      </c>
      <c r="B9528">
        <f>A9528+1</f>
        <v>1826</v>
      </c>
      <c r="C9528" t="s">
        <v>531</v>
      </c>
      <c r="D9528" t="s">
        <v>26</v>
      </c>
      <c r="E9528" s="208" t="s">
        <v>332</v>
      </c>
      <c r="F9528" t="s">
        <v>3</v>
      </c>
      <c r="G9528" s="18">
        <v>0</v>
      </c>
      <c r="H9528" t="s">
        <v>24</v>
      </c>
      <c r="I9528" t="s">
        <v>16</v>
      </c>
    </row>
    <row r="9529" spans="1:9" x14ac:dyDescent="0.25">
      <c r="A9529">
        <v>1825</v>
      </c>
      <c r="B9529">
        <f>A9529+1</f>
        <v>1826</v>
      </c>
      <c r="C9529" t="s">
        <v>531</v>
      </c>
      <c r="D9529" t="s">
        <v>26</v>
      </c>
      <c r="E9529" s="208" t="s">
        <v>333</v>
      </c>
      <c r="F9529" t="s">
        <v>3</v>
      </c>
      <c r="G9529" s="18">
        <v>0</v>
      </c>
      <c r="H9529" t="s">
        <v>24</v>
      </c>
      <c r="I9529" t="s">
        <v>16</v>
      </c>
    </row>
    <row r="9530" spans="1:9" x14ac:dyDescent="0.25">
      <c r="A9530">
        <v>1825</v>
      </c>
      <c r="B9530">
        <f>A9530+1</f>
        <v>1826</v>
      </c>
      <c r="C9530" t="s">
        <v>531</v>
      </c>
      <c r="D9530" t="s">
        <v>27</v>
      </c>
      <c r="E9530" s="208" t="s">
        <v>155</v>
      </c>
      <c r="F9530" t="s">
        <v>2</v>
      </c>
      <c r="G9530" s="18">
        <v>60</v>
      </c>
      <c r="H9530" t="s">
        <v>16</v>
      </c>
      <c r="I9530" t="s">
        <v>22</v>
      </c>
    </row>
    <row r="9531" spans="1:9" x14ac:dyDescent="0.25">
      <c r="A9531">
        <v>1825</v>
      </c>
      <c r="B9531">
        <f>A9531+1</f>
        <v>1826</v>
      </c>
      <c r="C9531" t="s">
        <v>531</v>
      </c>
      <c r="D9531" t="s">
        <v>27</v>
      </c>
      <c r="E9531" s="208" t="s">
        <v>156</v>
      </c>
      <c r="F9531" t="s">
        <v>2</v>
      </c>
      <c r="G9531" s="18">
        <v>10</v>
      </c>
      <c r="H9531" t="s">
        <v>16</v>
      </c>
      <c r="I9531" t="s">
        <v>22</v>
      </c>
    </row>
    <row r="9532" spans="1:9" x14ac:dyDescent="0.25">
      <c r="A9532">
        <v>1825</v>
      </c>
      <c r="B9532">
        <f>A9532+1</f>
        <v>1826</v>
      </c>
      <c r="C9532" t="s">
        <v>531</v>
      </c>
      <c r="D9532" t="s">
        <v>27</v>
      </c>
      <c r="E9532" s="208" t="s">
        <v>154</v>
      </c>
      <c r="F9532" t="s">
        <v>2</v>
      </c>
      <c r="G9532" s="18">
        <v>7</v>
      </c>
      <c r="H9532" t="s">
        <v>16</v>
      </c>
      <c r="I9532" t="s">
        <v>22</v>
      </c>
    </row>
    <row r="9533" spans="1:9" x14ac:dyDescent="0.25">
      <c r="A9533">
        <v>1825</v>
      </c>
      <c r="B9533">
        <f>A9533+1</f>
        <v>1826</v>
      </c>
      <c r="C9533" t="s">
        <v>531</v>
      </c>
      <c r="D9533" t="s">
        <v>27</v>
      </c>
      <c r="E9533" s="208" t="s">
        <v>150</v>
      </c>
      <c r="F9533" t="s">
        <v>2</v>
      </c>
      <c r="G9533" s="18">
        <v>55</v>
      </c>
      <c r="H9533" t="s">
        <v>16</v>
      </c>
      <c r="I9533" t="s">
        <v>22</v>
      </c>
    </row>
    <row r="9534" spans="1:9" x14ac:dyDescent="0.25">
      <c r="A9534">
        <v>1825</v>
      </c>
      <c r="B9534">
        <f>A9534+1</f>
        <v>1826</v>
      </c>
      <c r="C9534" t="s">
        <v>531</v>
      </c>
      <c r="D9534" t="s">
        <v>27</v>
      </c>
      <c r="E9534" s="208" t="s">
        <v>148</v>
      </c>
      <c r="F9534" t="s">
        <v>2</v>
      </c>
      <c r="G9534" s="18">
        <v>0</v>
      </c>
      <c r="H9534" t="s">
        <v>16</v>
      </c>
      <c r="I9534" t="s">
        <v>22</v>
      </c>
    </row>
    <row r="9535" spans="1:9" x14ac:dyDescent="0.25">
      <c r="A9535">
        <v>1825</v>
      </c>
      <c r="B9535">
        <f>A9535+1</f>
        <v>1826</v>
      </c>
      <c r="C9535" t="s">
        <v>531</v>
      </c>
      <c r="D9535" t="s">
        <v>27</v>
      </c>
      <c r="E9535" s="208" t="s">
        <v>147</v>
      </c>
      <c r="F9535" t="s">
        <v>2</v>
      </c>
      <c r="G9535" s="18">
        <v>0</v>
      </c>
      <c r="H9535" t="s">
        <v>16</v>
      </c>
      <c r="I9535" t="s">
        <v>22</v>
      </c>
    </row>
    <row r="9536" spans="1:9" x14ac:dyDescent="0.25">
      <c r="A9536">
        <v>1825</v>
      </c>
      <c r="B9536">
        <f>A9536+1</f>
        <v>1826</v>
      </c>
      <c r="C9536" t="s">
        <v>531</v>
      </c>
      <c r="D9536" t="s">
        <v>27</v>
      </c>
      <c r="E9536" s="208" t="s">
        <v>139</v>
      </c>
      <c r="F9536" t="s">
        <v>2</v>
      </c>
      <c r="G9536" s="18">
        <v>0</v>
      </c>
      <c r="H9536" t="s">
        <v>16</v>
      </c>
      <c r="I9536" t="s">
        <v>22</v>
      </c>
    </row>
    <row r="9537" spans="1:9" x14ac:dyDescent="0.25">
      <c r="A9537">
        <v>1825</v>
      </c>
      <c r="B9537">
        <f>A9537+1</f>
        <v>1826</v>
      </c>
      <c r="C9537" t="s">
        <v>531</v>
      </c>
      <c r="D9537" t="s">
        <v>27</v>
      </c>
      <c r="E9537" s="208" t="s">
        <v>132</v>
      </c>
      <c r="F9537" t="s">
        <v>2</v>
      </c>
      <c r="G9537" s="18">
        <v>0</v>
      </c>
      <c r="H9537" t="s">
        <v>16</v>
      </c>
      <c r="I9537" t="s">
        <v>22</v>
      </c>
    </row>
    <row r="9538" spans="1:9" x14ac:dyDescent="0.25">
      <c r="A9538">
        <v>1825</v>
      </c>
      <c r="B9538">
        <f>A9538+1</f>
        <v>1826</v>
      </c>
      <c r="C9538" t="s">
        <v>531</v>
      </c>
      <c r="D9538" t="s">
        <v>27</v>
      </c>
      <c r="E9538" s="208" t="s">
        <v>130</v>
      </c>
      <c r="F9538" t="s">
        <v>2</v>
      </c>
      <c r="G9538" s="18">
        <v>0</v>
      </c>
      <c r="H9538" t="s">
        <v>16</v>
      </c>
      <c r="I9538" t="s">
        <v>22</v>
      </c>
    </row>
    <row r="9539" spans="1:9" x14ac:dyDescent="0.25">
      <c r="A9539">
        <v>1825</v>
      </c>
      <c r="B9539">
        <f>A9539+1</f>
        <v>1826</v>
      </c>
      <c r="C9539" t="s">
        <v>531</v>
      </c>
      <c r="D9539" t="s">
        <v>27</v>
      </c>
      <c r="E9539" s="208" t="s">
        <v>143</v>
      </c>
      <c r="F9539" t="s">
        <v>2</v>
      </c>
      <c r="G9539" s="18">
        <v>3</v>
      </c>
      <c r="H9539" t="s">
        <v>16</v>
      </c>
      <c r="I9539" t="s">
        <v>22</v>
      </c>
    </row>
    <row r="9540" spans="1:9" x14ac:dyDescent="0.25">
      <c r="A9540">
        <v>1825</v>
      </c>
      <c r="B9540">
        <f>A9540+1</f>
        <v>1826</v>
      </c>
      <c r="C9540" t="s">
        <v>531</v>
      </c>
      <c r="D9540" t="s">
        <v>27</v>
      </c>
      <c r="E9540" s="208" t="s">
        <v>142</v>
      </c>
      <c r="F9540" t="s">
        <v>2</v>
      </c>
      <c r="G9540" s="18">
        <v>268</v>
      </c>
      <c r="H9540" t="s">
        <v>16</v>
      </c>
      <c r="I9540" t="s">
        <v>22</v>
      </c>
    </row>
    <row r="9541" spans="1:9" x14ac:dyDescent="0.25">
      <c r="A9541">
        <v>1825</v>
      </c>
      <c r="B9541">
        <f>A9541+1</f>
        <v>1826</v>
      </c>
      <c r="C9541" t="s">
        <v>531</v>
      </c>
      <c r="D9541" t="s">
        <v>27</v>
      </c>
      <c r="E9541" s="208" t="s">
        <v>124</v>
      </c>
      <c r="F9541" t="s">
        <v>2</v>
      </c>
      <c r="G9541" s="18">
        <v>506755</v>
      </c>
      <c r="H9541" t="s">
        <v>16</v>
      </c>
      <c r="I9541" t="s">
        <v>22</v>
      </c>
    </row>
    <row r="9542" spans="1:9" x14ac:dyDescent="0.25">
      <c r="A9542">
        <v>1825</v>
      </c>
      <c r="B9542">
        <f>A9542+1</f>
        <v>1826</v>
      </c>
      <c r="C9542" t="s">
        <v>531</v>
      </c>
      <c r="D9542" t="s">
        <v>27</v>
      </c>
      <c r="E9542" s="208" t="s">
        <v>115</v>
      </c>
      <c r="F9542" t="s">
        <v>2</v>
      </c>
      <c r="G9542" s="18">
        <v>0</v>
      </c>
      <c r="H9542" t="s">
        <v>16</v>
      </c>
      <c r="I9542" t="s">
        <v>22</v>
      </c>
    </row>
    <row r="9543" spans="1:9" x14ac:dyDescent="0.25">
      <c r="A9543">
        <v>1825</v>
      </c>
      <c r="B9543">
        <f>A9543+1</f>
        <v>1826</v>
      </c>
      <c r="C9543" t="s">
        <v>531</v>
      </c>
      <c r="D9543" t="s">
        <v>27</v>
      </c>
      <c r="E9543" s="208" t="s">
        <v>116</v>
      </c>
      <c r="F9543" t="s">
        <v>2</v>
      </c>
      <c r="G9543" s="18">
        <v>0</v>
      </c>
      <c r="H9543" t="s">
        <v>16</v>
      </c>
      <c r="I9543" t="s">
        <v>22</v>
      </c>
    </row>
    <row r="9544" spans="1:9" x14ac:dyDescent="0.25">
      <c r="A9544">
        <v>1825</v>
      </c>
      <c r="B9544">
        <f>A9544+1</f>
        <v>1826</v>
      </c>
      <c r="C9544" t="s">
        <v>531</v>
      </c>
      <c r="D9544" t="s">
        <v>27</v>
      </c>
      <c r="E9544" s="208" t="s">
        <v>136</v>
      </c>
      <c r="F9544" t="s">
        <v>2</v>
      </c>
      <c r="G9544" s="18">
        <v>0</v>
      </c>
      <c r="H9544" t="s">
        <v>16</v>
      </c>
      <c r="I9544" t="s">
        <v>22</v>
      </c>
    </row>
    <row r="9545" spans="1:9" x14ac:dyDescent="0.25">
      <c r="A9545">
        <v>1825</v>
      </c>
      <c r="B9545">
        <f>A9545+1</f>
        <v>1826</v>
      </c>
      <c r="C9545" t="s">
        <v>531</v>
      </c>
      <c r="D9545" t="s">
        <v>27</v>
      </c>
      <c r="E9545" s="208" t="s">
        <v>157</v>
      </c>
      <c r="F9545" t="s">
        <v>2</v>
      </c>
      <c r="G9545" s="18">
        <v>0</v>
      </c>
      <c r="H9545" t="s">
        <v>16</v>
      </c>
      <c r="I9545" t="s">
        <v>22</v>
      </c>
    </row>
    <row r="9546" spans="1:9" x14ac:dyDescent="0.25">
      <c r="A9546">
        <v>1825</v>
      </c>
      <c r="B9546">
        <f>A9546+1</f>
        <v>1826</v>
      </c>
      <c r="C9546" t="s">
        <v>531</v>
      </c>
      <c r="D9546" t="s">
        <v>27</v>
      </c>
      <c r="E9546" s="208" t="s">
        <v>74</v>
      </c>
      <c r="F9546" t="s">
        <v>2</v>
      </c>
      <c r="G9546" s="18">
        <v>22</v>
      </c>
      <c r="H9546" t="s">
        <v>16</v>
      </c>
      <c r="I9546" t="s">
        <v>22</v>
      </c>
    </row>
    <row r="9547" spans="1:9" x14ac:dyDescent="0.25">
      <c r="A9547">
        <v>1825</v>
      </c>
      <c r="B9547">
        <f>A9547+1</f>
        <v>1826</v>
      </c>
      <c r="C9547" t="s">
        <v>531</v>
      </c>
      <c r="D9547" t="s">
        <v>27</v>
      </c>
      <c r="E9547" s="208" t="s">
        <v>129</v>
      </c>
      <c r="F9547" t="s">
        <v>2</v>
      </c>
      <c r="G9547" s="18">
        <v>0</v>
      </c>
      <c r="H9547" t="s">
        <v>16</v>
      </c>
      <c r="I9547" t="s">
        <v>22</v>
      </c>
    </row>
    <row r="9548" spans="1:9" x14ac:dyDescent="0.25">
      <c r="A9548">
        <v>1825</v>
      </c>
      <c r="B9548">
        <f>A9548+1</f>
        <v>1826</v>
      </c>
      <c r="C9548" t="s">
        <v>531</v>
      </c>
      <c r="D9548" t="s">
        <v>27</v>
      </c>
      <c r="E9548" s="208" t="s">
        <v>141</v>
      </c>
      <c r="F9548" t="s">
        <v>2</v>
      </c>
      <c r="G9548" s="18">
        <v>0</v>
      </c>
      <c r="H9548" t="s">
        <v>16</v>
      </c>
      <c r="I9548" t="s">
        <v>22</v>
      </c>
    </row>
    <row r="9549" spans="1:9" x14ac:dyDescent="0.25">
      <c r="A9549">
        <v>1825</v>
      </c>
      <c r="B9549">
        <f>A9549+1</f>
        <v>1826</v>
      </c>
      <c r="C9549" t="s">
        <v>531</v>
      </c>
      <c r="D9549" t="s">
        <v>27</v>
      </c>
      <c r="E9549" s="208" t="s">
        <v>128</v>
      </c>
      <c r="F9549" t="s">
        <v>2</v>
      </c>
      <c r="G9549" s="18">
        <v>0</v>
      </c>
      <c r="H9549" t="s">
        <v>16</v>
      </c>
      <c r="I9549" t="s">
        <v>22</v>
      </c>
    </row>
    <row r="9550" spans="1:9" x14ac:dyDescent="0.25">
      <c r="A9550">
        <v>1825</v>
      </c>
      <c r="B9550">
        <f>A9550+1</f>
        <v>1826</v>
      </c>
      <c r="C9550" t="s">
        <v>531</v>
      </c>
      <c r="D9550" t="s">
        <v>27</v>
      </c>
      <c r="E9550" s="208" t="s">
        <v>135</v>
      </c>
      <c r="F9550" t="s">
        <v>2</v>
      </c>
      <c r="G9550" s="18">
        <v>0</v>
      </c>
      <c r="H9550" t="s">
        <v>16</v>
      </c>
      <c r="I9550" t="s">
        <v>22</v>
      </c>
    </row>
    <row r="9551" spans="1:9" x14ac:dyDescent="0.25">
      <c r="A9551">
        <v>1825</v>
      </c>
      <c r="B9551">
        <f>A9551+1</f>
        <v>1826</v>
      </c>
      <c r="C9551" t="s">
        <v>531</v>
      </c>
      <c r="D9551" t="s">
        <v>27</v>
      </c>
      <c r="E9551" s="208" t="s">
        <v>138</v>
      </c>
      <c r="F9551" t="s">
        <v>2</v>
      </c>
      <c r="G9551" s="18">
        <v>0</v>
      </c>
      <c r="H9551" t="s">
        <v>16</v>
      </c>
      <c r="I9551" t="s">
        <v>22</v>
      </c>
    </row>
    <row r="9552" spans="1:9" x14ac:dyDescent="0.25">
      <c r="A9552">
        <v>1825</v>
      </c>
      <c r="B9552">
        <f>A9552+1</f>
        <v>1826</v>
      </c>
      <c r="C9552" t="s">
        <v>531</v>
      </c>
      <c r="D9552" t="s">
        <v>27</v>
      </c>
      <c r="E9552" s="208" t="s">
        <v>134</v>
      </c>
      <c r="F9552" t="s">
        <v>2</v>
      </c>
      <c r="G9552" s="18">
        <v>0</v>
      </c>
      <c r="H9552" t="s">
        <v>16</v>
      </c>
      <c r="I9552" t="s">
        <v>22</v>
      </c>
    </row>
    <row r="9553" spans="1:9" x14ac:dyDescent="0.25">
      <c r="A9553">
        <v>1825</v>
      </c>
      <c r="B9553">
        <f>A9553+1</f>
        <v>1826</v>
      </c>
      <c r="C9553" t="s">
        <v>531</v>
      </c>
      <c r="D9553" t="s">
        <v>27</v>
      </c>
      <c r="E9553" s="208" t="s">
        <v>155</v>
      </c>
      <c r="F9553" t="s">
        <v>6</v>
      </c>
      <c r="G9553" s="18">
        <v>0</v>
      </c>
      <c r="H9553" t="s">
        <v>16</v>
      </c>
      <c r="I9553" t="s">
        <v>25</v>
      </c>
    </row>
    <row r="9554" spans="1:9" x14ac:dyDescent="0.25">
      <c r="A9554">
        <v>1825</v>
      </c>
      <c r="B9554">
        <f>A9554+1</f>
        <v>1826</v>
      </c>
      <c r="C9554" t="s">
        <v>531</v>
      </c>
      <c r="D9554" t="s">
        <v>27</v>
      </c>
      <c r="E9554" s="208" t="s">
        <v>156</v>
      </c>
      <c r="F9554" t="s">
        <v>6</v>
      </c>
      <c r="G9554" s="18">
        <v>0</v>
      </c>
      <c r="H9554" t="s">
        <v>16</v>
      </c>
      <c r="I9554" t="s">
        <v>25</v>
      </c>
    </row>
    <row r="9555" spans="1:9" x14ac:dyDescent="0.25">
      <c r="A9555">
        <v>1825</v>
      </c>
      <c r="B9555">
        <f>A9555+1</f>
        <v>1826</v>
      </c>
      <c r="C9555" t="s">
        <v>531</v>
      </c>
      <c r="D9555" t="s">
        <v>27</v>
      </c>
      <c r="E9555" s="208" t="s">
        <v>154</v>
      </c>
      <c r="F9555" t="s">
        <v>6</v>
      </c>
      <c r="G9555" s="18">
        <v>52</v>
      </c>
      <c r="H9555" t="s">
        <v>16</v>
      </c>
      <c r="I9555" t="s">
        <v>25</v>
      </c>
    </row>
    <row r="9556" spans="1:9" x14ac:dyDescent="0.25">
      <c r="A9556">
        <v>1825</v>
      </c>
      <c r="B9556">
        <f>A9556+1</f>
        <v>1826</v>
      </c>
      <c r="C9556" t="s">
        <v>531</v>
      </c>
      <c r="D9556" t="s">
        <v>27</v>
      </c>
      <c r="E9556" s="208" t="s">
        <v>150</v>
      </c>
      <c r="F9556" t="s">
        <v>6</v>
      </c>
      <c r="G9556" s="18">
        <v>148</v>
      </c>
      <c r="H9556" t="s">
        <v>16</v>
      </c>
      <c r="I9556" t="s">
        <v>25</v>
      </c>
    </row>
    <row r="9557" spans="1:9" x14ac:dyDescent="0.25">
      <c r="A9557">
        <v>1825</v>
      </c>
      <c r="B9557">
        <f>A9557+1</f>
        <v>1826</v>
      </c>
      <c r="C9557" t="s">
        <v>531</v>
      </c>
      <c r="D9557" t="s">
        <v>27</v>
      </c>
      <c r="E9557" s="208" t="s">
        <v>148</v>
      </c>
      <c r="F9557" t="s">
        <v>6</v>
      </c>
      <c r="G9557" s="18">
        <v>298</v>
      </c>
      <c r="H9557" t="s">
        <v>16</v>
      </c>
      <c r="I9557" t="s">
        <v>25</v>
      </c>
    </row>
    <row r="9558" spans="1:9" x14ac:dyDescent="0.25">
      <c r="A9558">
        <v>1825</v>
      </c>
      <c r="B9558">
        <f>A9558+1</f>
        <v>1826</v>
      </c>
      <c r="C9558" t="s">
        <v>531</v>
      </c>
      <c r="D9558" t="s">
        <v>27</v>
      </c>
      <c r="E9558" s="208" t="s">
        <v>147</v>
      </c>
      <c r="F9558" t="s">
        <v>6</v>
      </c>
      <c r="G9558" s="18">
        <v>1179</v>
      </c>
      <c r="H9558" t="s">
        <v>16</v>
      </c>
      <c r="I9558" t="s">
        <v>25</v>
      </c>
    </row>
    <row r="9559" spans="1:9" x14ac:dyDescent="0.25">
      <c r="A9559">
        <v>1825</v>
      </c>
      <c r="B9559">
        <f>A9559+1</f>
        <v>1826</v>
      </c>
      <c r="C9559" t="s">
        <v>531</v>
      </c>
      <c r="D9559" t="s">
        <v>27</v>
      </c>
      <c r="E9559" s="208" t="s">
        <v>139</v>
      </c>
      <c r="F9559" t="s">
        <v>6</v>
      </c>
      <c r="G9559" s="18">
        <v>0</v>
      </c>
      <c r="H9559" t="s">
        <v>16</v>
      </c>
      <c r="I9559" t="s">
        <v>25</v>
      </c>
    </row>
    <row r="9560" spans="1:9" x14ac:dyDescent="0.25">
      <c r="A9560">
        <v>1825</v>
      </c>
      <c r="B9560">
        <f>A9560+1</f>
        <v>1826</v>
      </c>
      <c r="C9560" t="s">
        <v>531</v>
      </c>
      <c r="D9560" t="s">
        <v>27</v>
      </c>
      <c r="E9560" s="208" t="s">
        <v>132</v>
      </c>
      <c r="F9560" t="s">
        <v>6</v>
      </c>
      <c r="G9560" s="18">
        <v>0</v>
      </c>
      <c r="H9560" t="s">
        <v>16</v>
      </c>
      <c r="I9560" t="s">
        <v>25</v>
      </c>
    </row>
    <row r="9561" spans="1:9" x14ac:dyDescent="0.25">
      <c r="A9561">
        <v>1825</v>
      </c>
      <c r="B9561">
        <f>A9561+1</f>
        <v>1826</v>
      </c>
      <c r="C9561" t="s">
        <v>531</v>
      </c>
      <c r="D9561" t="s">
        <v>27</v>
      </c>
      <c r="E9561" s="208" t="s">
        <v>130</v>
      </c>
      <c r="F9561" t="s">
        <v>6</v>
      </c>
      <c r="G9561" s="18">
        <v>0</v>
      </c>
      <c r="H9561" t="s">
        <v>16</v>
      </c>
      <c r="I9561" t="s">
        <v>25</v>
      </c>
    </row>
    <row r="9562" spans="1:9" x14ac:dyDescent="0.25">
      <c r="A9562">
        <v>1825</v>
      </c>
      <c r="B9562">
        <f>A9562+1</f>
        <v>1826</v>
      </c>
      <c r="C9562" t="s">
        <v>531</v>
      </c>
      <c r="D9562" t="s">
        <v>27</v>
      </c>
      <c r="E9562" s="208" t="s">
        <v>143</v>
      </c>
      <c r="F9562" t="s">
        <v>6</v>
      </c>
      <c r="G9562" s="18">
        <v>4</v>
      </c>
      <c r="H9562" t="s">
        <v>16</v>
      </c>
      <c r="I9562" t="s">
        <v>25</v>
      </c>
    </row>
    <row r="9563" spans="1:9" x14ac:dyDescent="0.25">
      <c r="A9563">
        <v>1825</v>
      </c>
      <c r="B9563">
        <f>A9563+1</f>
        <v>1826</v>
      </c>
      <c r="C9563" t="s">
        <v>531</v>
      </c>
      <c r="D9563" t="s">
        <v>27</v>
      </c>
      <c r="E9563" s="208" t="s">
        <v>142</v>
      </c>
      <c r="F9563" t="s">
        <v>6</v>
      </c>
      <c r="G9563" s="18">
        <v>18</v>
      </c>
      <c r="H9563" t="s">
        <v>16</v>
      </c>
      <c r="I9563" t="s">
        <v>25</v>
      </c>
    </row>
    <row r="9564" spans="1:9" x14ac:dyDescent="0.25">
      <c r="A9564">
        <v>1825</v>
      </c>
      <c r="B9564">
        <f>A9564+1</f>
        <v>1826</v>
      </c>
      <c r="C9564" t="s">
        <v>531</v>
      </c>
      <c r="D9564" t="s">
        <v>27</v>
      </c>
      <c r="E9564" s="208" t="s">
        <v>124</v>
      </c>
      <c r="F9564" t="s">
        <v>6</v>
      </c>
      <c r="G9564" s="18">
        <v>630</v>
      </c>
      <c r="H9564" t="s">
        <v>16</v>
      </c>
      <c r="I9564" t="s">
        <v>25</v>
      </c>
    </row>
    <row r="9565" spans="1:9" x14ac:dyDescent="0.25">
      <c r="A9565">
        <v>1825</v>
      </c>
      <c r="B9565">
        <f>A9565+1</f>
        <v>1826</v>
      </c>
      <c r="C9565" t="s">
        <v>531</v>
      </c>
      <c r="D9565" t="s">
        <v>27</v>
      </c>
      <c r="E9565" s="208" t="s">
        <v>115</v>
      </c>
      <c r="F9565" t="s">
        <v>6</v>
      </c>
      <c r="G9565" s="18">
        <v>0</v>
      </c>
      <c r="H9565" t="s">
        <v>16</v>
      </c>
      <c r="I9565" t="s">
        <v>25</v>
      </c>
    </row>
    <row r="9566" spans="1:9" x14ac:dyDescent="0.25">
      <c r="A9566">
        <v>1825</v>
      </c>
      <c r="B9566">
        <f>A9566+1</f>
        <v>1826</v>
      </c>
      <c r="C9566" t="s">
        <v>531</v>
      </c>
      <c r="D9566" t="s">
        <v>27</v>
      </c>
      <c r="E9566" s="208" t="s">
        <v>116</v>
      </c>
      <c r="F9566" t="s">
        <v>6</v>
      </c>
      <c r="G9566" s="18">
        <v>0</v>
      </c>
      <c r="H9566" t="s">
        <v>16</v>
      </c>
      <c r="I9566" t="s">
        <v>25</v>
      </c>
    </row>
    <row r="9567" spans="1:9" x14ac:dyDescent="0.25">
      <c r="A9567">
        <v>1825</v>
      </c>
      <c r="B9567">
        <f>A9567+1</f>
        <v>1826</v>
      </c>
      <c r="C9567" t="s">
        <v>531</v>
      </c>
      <c r="D9567" t="s">
        <v>27</v>
      </c>
      <c r="E9567" s="208" t="s">
        <v>136</v>
      </c>
      <c r="F9567" t="s">
        <v>6</v>
      </c>
      <c r="G9567" s="18">
        <v>0</v>
      </c>
      <c r="H9567" t="s">
        <v>16</v>
      </c>
      <c r="I9567" t="s">
        <v>25</v>
      </c>
    </row>
    <row r="9568" spans="1:9" x14ac:dyDescent="0.25">
      <c r="A9568">
        <v>1825</v>
      </c>
      <c r="B9568">
        <f>A9568+1</f>
        <v>1826</v>
      </c>
      <c r="C9568" t="s">
        <v>531</v>
      </c>
      <c r="D9568" t="s">
        <v>27</v>
      </c>
      <c r="E9568" s="208" t="s">
        <v>157</v>
      </c>
      <c r="F9568" t="s">
        <v>6</v>
      </c>
      <c r="G9568" s="18">
        <v>15</v>
      </c>
      <c r="H9568" t="s">
        <v>16</v>
      </c>
      <c r="I9568" t="s">
        <v>25</v>
      </c>
    </row>
    <row r="9569" spans="1:9" x14ac:dyDescent="0.25">
      <c r="A9569">
        <v>1825</v>
      </c>
      <c r="B9569">
        <f>A9569+1</f>
        <v>1826</v>
      </c>
      <c r="C9569" t="s">
        <v>531</v>
      </c>
      <c r="D9569" t="s">
        <v>27</v>
      </c>
      <c r="E9569" s="208" t="s">
        <v>74</v>
      </c>
      <c r="F9569" t="s">
        <v>6</v>
      </c>
      <c r="G9569" s="18">
        <v>0</v>
      </c>
      <c r="H9569" t="s">
        <v>16</v>
      </c>
      <c r="I9569" t="s">
        <v>25</v>
      </c>
    </row>
    <row r="9570" spans="1:9" x14ac:dyDescent="0.25">
      <c r="A9570">
        <v>1825</v>
      </c>
      <c r="B9570">
        <f>A9570+1</f>
        <v>1826</v>
      </c>
      <c r="C9570" t="s">
        <v>531</v>
      </c>
      <c r="D9570" t="s">
        <v>27</v>
      </c>
      <c r="E9570" s="208" t="s">
        <v>129</v>
      </c>
      <c r="F9570" t="s">
        <v>6</v>
      </c>
      <c r="G9570" s="18">
        <v>0</v>
      </c>
      <c r="H9570" t="s">
        <v>16</v>
      </c>
      <c r="I9570" t="s">
        <v>25</v>
      </c>
    </row>
    <row r="9571" spans="1:9" x14ac:dyDescent="0.25">
      <c r="A9571">
        <v>1825</v>
      </c>
      <c r="B9571">
        <f>A9571+1</f>
        <v>1826</v>
      </c>
      <c r="C9571" t="s">
        <v>531</v>
      </c>
      <c r="D9571" t="s">
        <v>27</v>
      </c>
      <c r="E9571" s="208" t="s">
        <v>141</v>
      </c>
      <c r="F9571" t="s">
        <v>6</v>
      </c>
      <c r="G9571" s="18">
        <v>0</v>
      </c>
      <c r="H9571" t="s">
        <v>16</v>
      </c>
      <c r="I9571" t="s">
        <v>25</v>
      </c>
    </row>
    <row r="9572" spans="1:9" x14ac:dyDescent="0.25">
      <c r="A9572">
        <v>1825</v>
      </c>
      <c r="B9572">
        <f>A9572+1</f>
        <v>1826</v>
      </c>
      <c r="C9572" t="s">
        <v>531</v>
      </c>
      <c r="D9572" t="s">
        <v>27</v>
      </c>
      <c r="E9572" s="208" t="s">
        <v>128</v>
      </c>
      <c r="F9572" t="s">
        <v>6</v>
      </c>
      <c r="G9572" s="18">
        <v>0</v>
      </c>
      <c r="H9572" t="s">
        <v>16</v>
      </c>
      <c r="I9572" t="s">
        <v>25</v>
      </c>
    </row>
    <row r="9573" spans="1:9" x14ac:dyDescent="0.25">
      <c r="A9573">
        <v>1825</v>
      </c>
      <c r="B9573">
        <f>A9573+1</f>
        <v>1826</v>
      </c>
      <c r="C9573" t="s">
        <v>531</v>
      </c>
      <c r="D9573" t="s">
        <v>27</v>
      </c>
      <c r="E9573" s="208" t="s">
        <v>135</v>
      </c>
      <c r="F9573" t="s">
        <v>6</v>
      </c>
      <c r="G9573" s="18">
        <v>0</v>
      </c>
      <c r="H9573" t="s">
        <v>16</v>
      </c>
      <c r="I9573" t="s">
        <v>25</v>
      </c>
    </row>
    <row r="9574" spans="1:9" x14ac:dyDescent="0.25">
      <c r="A9574">
        <v>1825</v>
      </c>
      <c r="B9574">
        <f>A9574+1</f>
        <v>1826</v>
      </c>
      <c r="C9574" t="s">
        <v>531</v>
      </c>
      <c r="D9574" t="s">
        <v>27</v>
      </c>
      <c r="E9574" s="208" t="s">
        <v>138</v>
      </c>
      <c r="F9574" t="s">
        <v>6</v>
      </c>
      <c r="G9574" s="18">
        <v>0</v>
      </c>
      <c r="H9574" t="s">
        <v>16</v>
      </c>
      <c r="I9574" t="s">
        <v>25</v>
      </c>
    </row>
    <row r="9575" spans="1:9" x14ac:dyDescent="0.25">
      <c r="A9575">
        <v>1825</v>
      </c>
      <c r="B9575">
        <f>A9575+1</f>
        <v>1826</v>
      </c>
      <c r="C9575" t="s">
        <v>531</v>
      </c>
      <c r="D9575" t="s">
        <v>27</v>
      </c>
      <c r="E9575" s="208" t="s">
        <v>134</v>
      </c>
      <c r="F9575" t="s">
        <v>6</v>
      </c>
      <c r="G9575" s="18">
        <v>0</v>
      </c>
      <c r="H9575" t="s">
        <v>16</v>
      </c>
      <c r="I9575" t="s">
        <v>25</v>
      </c>
    </row>
    <row r="9576" spans="1:9" x14ac:dyDescent="0.25">
      <c r="A9576">
        <v>1825</v>
      </c>
      <c r="B9576">
        <f>A9576+1</f>
        <v>1826</v>
      </c>
      <c r="C9576" t="s">
        <v>531</v>
      </c>
      <c r="D9576" t="s">
        <v>26</v>
      </c>
      <c r="E9576" s="208" t="s">
        <v>62</v>
      </c>
      <c r="F9576" t="s">
        <v>6</v>
      </c>
      <c r="G9576" s="18">
        <v>1200</v>
      </c>
      <c r="H9576" t="s">
        <v>25</v>
      </c>
      <c r="I9576" t="s">
        <v>16</v>
      </c>
    </row>
    <row r="9577" spans="1:9" x14ac:dyDescent="0.25">
      <c r="A9577">
        <v>1825</v>
      </c>
      <c r="B9577">
        <f>A9577+1</f>
        <v>1826</v>
      </c>
      <c r="C9577" t="s">
        <v>531</v>
      </c>
      <c r="D9577" t="s">
        <v>26</v>
      </c>
      <c r="E9577" s="208" t="s">
        <v>55</v>
      </c>
      <c r="F9577" t="s">
        <v>6</v>
      </c>
      <c r="G9577" s="18">
        <v>0</v>
      </c>
      <c r="H9577" t="s">
        <v>25</v>
      </c>
      <c r="I9577" t="s">
        <v>16</v>
      </c>
    </row>
    <row r="9578" spans="1:9" x14ac:dyDescent="0.25">
      <c r="A9578">
        <v>1825</v>
      </c>
      <c r="B9578">
        <f>A9578+1</f>
        <v>1826</v>
      </c>
      <c r="C9578" t="s">
        <v>531</v>
      </c>
      <c r="D9578" t="s">
        <v>26</v>
      </c>
      <c r="E9578" s="208" t="s">
        <v>36</v>
      </c>
      <c r="F9578" t="s">
        <v>6</v>
      </c>
      <c r="G9578" s="18">
        <v>0</v>
      </c>
      <c r="H9578" t="s">
        <v>25</v>
      </c>
      <c r="I9578" t="s">
        <v>16</v>
      </c>
    </row>
    <row r="9579" spans="1:9" x14ac:dyDescent="0.25">
      <c r="A9579">
        <v>1825</v>
      </c>
      <c r="B9579">
        <f>A9579+1</f>
        <v>1826</v>
      </c>
      <c r="C9579" t="s">
        <v>531</v>
      </c>
      <c r="D9579" t="s">
        <v>26</v>
      </c>
      <c r="E9579" s="208" t="s">
        <v>35</v>
      </c>
      <c r="F9579" t="s">
        <v>6</v>
      </c>
      <c r="G9579" s="18">
        <v>0</v>
      </c>
      <c r="H9579" t="s">
        <v>25</v>
      </c>
      <c r="I9579" t="s">
        <v>16</v>
      </c>
    </row>
    <row r="9580" spans="1:9" x14ac:dyDescent="0.25">
      <c r="A9580">
        <v>1825</v>
      </c>
      <c r="B9580">
        <f>A9580+1</f>
        <v>1826</v>
      </c>
      <c r="C9580" t="s">
        <v>531</v>
      </c>
      <c r="D9580" t="s">
        <v>26</v>
      </c>
      <c r="E9580" s="208" t="s">
        <v>40</v>
      </c>
      <c r="F9580" t="s">
        <v>6</v>
      </c>
      <c r="G9580" s="18">
        <v>28</v>
      </c>
      <c r="H9580" t="s">
        <v>25</v>
      </c>
      <c r="I9580" t="s">
        <v>16</v>
      </c>
    </row>
    <row r="9581" spans="1:9" x14ac:dyDescent="0.25">
      <c r="A9581">
        <v>1825</v>
      </c>
      <c r="B9581">
        <f>A9581+1</f>
        <v>1826</v>
      </c>
      <c r="C9581" t="s">
        <v>531</v>
      </c>
      <c r="D9581" t="s">
        <v>26</v>
      </c>
      <c r="E9581" s="208" t="s">
        <v>99</v>
      </c>
      <c r="F9581" t="s">
        <v>6</v>
      </c>
      <c r="G9581" s="18">
        <v>0</v>
      </c>
      <c r="H9581" t="s">
        <v>25</v>
      </c>
      <c r="I9581" t="s">
        <v>16</v>
      </c>
    </row>
    <row r="9582" spans="1:9" x14ac:dyDescent="0.25">
      <c r="A9582">
        <v>1825</v>
      </c>
      <c r="B9582">
        <f>A9582+1</f>
        <v>1826</v>
      </c>
      <c r="C9582" t="s">
        <v>531</v>
      </c>
      <c r="D9582" t="s">
        <v>26</v>
      </c>
      <c r="E9582" s="208" t="s">
        <v>98</v>
      </c>
      <c r="F9582" t="s">
        <v>6</v>
      </c>
      <c r="G9582" s="18">
        <v>3500</v>
      </c>
      <c r="H9582" t="s">
        <v>25</v>
      </c>
      <c r="I9582" t="s">
        <v>16</v>
      </c>
    </row>
    <row r="9583" spans="1:9" x14ac:dyDescent="0.25">
      <c r="A9583">
        <v>1825</v>
      </c>
      <c r="B9583">
        <f>A9583+1</f>
        <v>1826</v>
      </c>
      <c r="C9583" t="s">
        <v>531</v>
      </c>
      <c r="D9583" t="s">
        <v>26</v>
      </c>
      <c r="E9583" s="208" t="s">
        <v>352</v>
      </c>
      <c r="F9583" t="s">
        <v>6</v>
      </c>
      <c r="G9583" s="18">
        <v>3119</v>
      </c>
      <c r="H9583" t="s">
        <v>25</v>
      </c>
      <c r="I9583" t="s">
        <v>16</v>
      </c>
    </row>
    <row r="9584" spans="1:9" x14ac:dyDescent="0.25">
      <c r="A9584">
        <v>1825</v>
      </c>
      <c r="B9584">
        <f>A9584+1</f>
        <v>1826</v>
      </c>
      <c r="C9584" t="s">
        <v>531</v>
      </c>
      <c r="D9584" t="s">
        <v>26</v>
      </c>
      <c r="E9584" s="208" t="s">
        <v>107</v>
      </c>
      <c r="F9584" t="s">
        <v>6</v>
      </c>
      <c r="G9584" s="18">
        <v>0</v>
      </c>
      <c r="H9584" t="s">
        <v>25</v>
      </c>
      <c r="I9584" t="s">
        <v>16</v>
      </c>
    </row>
    <row r="9585" spans="1:9" x14ac:dyDescent="0.25">
      <c r="A9585">
        <v>1825</v>
      </c>
      <c r="B9585">
        <f>A9585+1</f>
        <v>1826</v>
      </c>
      <c r="C9585" t="s">
        <v>531</v>
      </c>
      <c r="D9585" t="s">
        <v>26</v>
      </c>
      <c r="E9585" s="208" t="s">
        <v>101</v>
      </c>
      <c r="F9585" t="s">
        <v>6</v>
      </c>
      <c r="G9585" s="18">
        <v>0</v>
      </c>
      <c r="H9585" t="s">
        <v>25</v>
      </c>
      <c r="I9585" t="s">
        <v>16</v>
      </c>
    </row>
    <row r="9586" spans="1:9" x14ac:dyDescent="0.25">
      <c r="A9586">
        <v>1825</v>
      </c>
      <c r="B9586">
        <f>A9586+1</f>
        <v>1826</v>
      </c>
      <c r="C9586" t="s">
        <v>531</v>
      </c>
      <c r="D9586" t="s">
        <v>26</v>
      </c>
      <c r="E9586" s="208" t="s">
        <v>75</v>
      </c>
      <c r="F9586" t="s">
        <v>6</v>
      </c>
      <c r="G9586" s="18">
        <v>0</v>
      </c>
      <c r="H9586" t="s">
        <v>25</v>
      </c>
      <c r="I9586" t="s">
        <v>16</v>
      </c>
    </row>
    <row r="9587" spans="1:9" x14ac:dyDescent="0.25">
      <c r="A9587">
        <v>1825</v>
      </c>
      <c r="B9587">
        <f>A9587+1</f>
        <v>1826</v>
      </c>
      <c r="C9587" t="s">
        <v>531</v>
      </c>
      <c r="D9587" t="s">
        <v>26</v>
      </c>
      <c r="E9587" s="208" t="s">
        <v>66</v>
      </c>
      <c r="F9587" t="s">
        <v>6</v>
      </c>
      <c r="G9587" s="18">
        <v>0</v>
      </c>
      <c r="H9587" t="s">
        <v>25</v>
      </c>
      <c r="I9587" t="s">
        <v>16</v>
      </c>
    </row>
    <row r="9588" spans="1:9" x14ac:dyDescent="0.25">
      <c r="A9588">
        <v>1825</v>
      </c>
      <c r="B9588">
        <f>A9588+1</f>
        <v>1826</v>
      </c>
      <c r="C9588" t="s">
        <v>531</v>
      </c>
      <c r="D9588" t="s">
        <v>26</v>
      </c>
      <c r="E9588" s="208" t="s">
        <v>330</v>
      </c>
      <c r="F9588" t="s">
        <v>6</v>
      </c>
      <c r="G9588" s="18">
        <v>87</v>
      </c>
      <c r="H9588" t="s">
        <v>25</v>
      </c>
      <c r="I9588" t="s">
        <v>16</v>
      </c>
    </row>
    <row r="9589" spans="1:9" x14ac:dyDescent="0.25">
      <c r="A9589">
        <v>1825</v>
      </c>
      <c r="B9589">
        <f>A9589+1</f>
        <v>1826</v>
      </c>
      <c r="C9589" t="s">
        <v>531</v>
      </c>
      <c r="D9589" t="s">
        <v>26</v>
      </c>
      <c r="E9589" s="208" t="s">
        <v>331</v>
      </c>
      <c r="F9589" t="s">
        <v>6</v>
      </c>
      <c r="G9589" s="18">
        <v>174</v>
      </c>
      <c r="H9589" t="s">
        <v>25</v>
      </c>
      <c r="I9589" t="s">
        <v>16</v>
      </c>
    </row>
    <row r="9590" spans="1:9" x14ac:dyDescent="0.25">
      <c r="A9590">
        <v>1825</v>
      </c>
      <c r="B9590">
        <f>A9590+1</f>
        <v>1826</v>
      </c>
      <c r="C9590" t="s">
        <v>531</v>
      </c>
      <c r="D9590" t="s">
        <v>26</v>
      </c>
      <c r="E9590" s="208" t="s">
        <v>332</v>
      </c>
      <c r="F9590" t="s">
        <v>6</v>
      </c>
      <c r="G9590" s="18">
        <v>64</v>
      </c>
      <c r="H9590" t="s">
        <v>25</v>
      </c>
      <c r="I9590" t="s">
        <v>16</v>
      </c>
    </row>
    <row r="9591" spans="1:9" x14ac:dyDescent="0.25">
      <c r="A9591">
        <v>1825</v>
      </c>
      <c r="B9591">
        <f>A9591+1</f>
        <v>1826</v>
      </c>
      <c r="C9591" t="s">
        <v>531</v>
      </c>
      <c r="D9591" t="s">
        <v>26</v>
      </c>
      <c r="E9591" s="208" t="s">
        <v>333</v>
      </c>
      <c r="F9591" t="s">
        <v>6</v>
      </c>
      <c r="G9591" s="18">
        <v>61</v>
      </c>
      <c r="H9591" t="s">
        <v>25</v>
      </c>
      <c r="I9591" t="s">
        <v>16</v>
      </c>
    </row>
    <row r="9592" spans="1:9" x14ac:dyDescent="0.25">
      <c r="A9592">
        <v>1825</v>
      </c>
      <c r="B9592">
        <f>A9592+1</f>
        <v>1826</v>
      </c>
      <c r="C9592" t="s">
        <v>531</v>
      </c>
      <c r="D9592" t="s">
        <v>27</v>
      </c>
      <c r="E9592" s="208" t="s">
        <v>155</v>
      </c>
      <c r="F9592" t="s">
        <v>0</v>
      </c>
      <c r="G9592" s="18">
        <v>23325</v>
      </c>
      <c r="H9592" t="s">
        <v>16</v>
      </c>
      <c r="I9592" t="s">
        <v>18</v>
      </c>
    </row>
    <row r="9593" spans="1:9" x14ac:dyDescent="0.25">
      <c r="A9593">
        <v>1825</v>
      </c>
      <c r="B9593">
        <f>A9593+1</f>
        <v>1826</v>
      </c>
      <c r="C9593" t="s">
        <v>531</v>
      </c>
      <c r="D9593" t="s">
        <v>27</v>
      </c>
      <c r="E9593" s="208" t="s">
        <v>156</v>
      </c>
      <c r="F9593" t="s">
        <v>0</v>
      </c>
      <c r="G9593" s="18">
        <v>1459</v>
      </c>
      <c r="H9593" t="s">
        <v>16</v>
      </c>
      <c r="I9593" t="s">
        <v>18</v>
      </c>
    </row>
    <row r="9594" spans="1:9" x14ac:dyDescent="0.25">
      <c r="A9594">
        <v>1825</v>
      </c>
      <c r="B9594">
        <f>A9594+1</f>
        <v>1826</v>
      </c>
      <c r="C9594" t="s">
        <v>531</v>
      </c>
      <c r="D9594" t="s">
        <v>27</v>
      </c>
      <c r="E9594" s="208" t="s">
        <v>154</v>
      </c>
      <c r="F9594" t="s">
        <v>0</v>
      </c>
      <c r="G9594" s="18">
        <v>717</v>
      </c>
      <c r="H9594" t="s">
        <v>16</v>
      </c>
      <c r="I9594" t="s">
        <v>18</v>
      </c>
    </row>
    <row r="9595" spans="1:9" x14ac:dyDescent="0.25">
      <c r="A9595">
        <v>1825</v>
      </c>
      <c r="B9595">
        <f>A9595+1</f>
        <v>1826</v>
      </c>
      <c r="C9595" t="s">
        <v>531</v>
      </c>
      <c r="D9595" t="s">
        <v>27</v>
      </c>
      <c r="E9595" s="208" t="s">
        <v>150</v>
      </c>
      <c r="F9595" t="s">
        <v>0</v>
      </c>
      <c r="G9595" s="18">
        <v>5140</v>
      </c>
      <c r="H9595" t="s">
        <v>16</v>
      </c>
      <c r="I9595" t="s">
        <v>18</v>
      </c>
    </row>
    <row r="9596" spans="1:9" x14ac:dyDescent="0.25">
      <c r="A9596">
        <v>1825</v>
      </c>
      <c r="B9596">
        <f>A9596+1</f>
        <v>1826</v>
      </c>
      <c r="C9596" t="s">
        <v>531</v>
      </c>
      <c r="D9596" t="s">
        <v>27</v>
      </c>
      <c r="E9596" s="208" t="s">
        <v>148</v>
      </c>
      <c r="F9596" t="s">
        <v>0</v>
      </c>
      <c r="G9596" s="18">
        <v>453</v>
      </c>
      <c r="H9596" t="s">
        <v>16</v>
      </c>
      <c r="I9596" t="s">
        <v>18</v>
      </c>
    </row>
    <row r="9597" spans="1:9" x14ac:dyDescent="0.25">
      <c r="A9597">
        <v>1825</v>
      </c>
      <c r="B9597">
        <f>A9597+1</f>
        <v>1826</v>
      </c>
      <c r="C9597" t="s">
        <v>531</v>
      </c>
      <c r="D9597" t="s">
        <v>27</v>
      </c>
      <c r="E9597" s="208" t="s">
        <v>147</v>
      </c>
      <c r="F9597" t="s">
        <v>0</v>
      </c>
      <c r="G9597" s="18">
        <v>60</v>
      </c>
      <c r="H9597" t="s">
        <v>16</v>
      </c>
      <c r="I9597" t="s">
        <v>18</v>
      </c>
    </row>
    <row r="9598" spans="1:9" x14ac:dyDescent="0.25">
      <c r="A9598">
        <v>1825</v>
      </c>
      <c r="B9598">
        <f>A9598+1</f>
        <v>1826</v>
      </c>
      <c r="C9598" t="s">
        <v>531</v>
      </c>
      <c r="D9598" t="s">
        <v>27</v>
      </c>
      <c r="E9598" s="208" t="s">
        <v>139</v>
      </c>
      <c r="F9598" t="s">
        <v>0</v>
      </c>
      <c r="G9598" s="18">
        <v>5</v>
      </c>
      <c r="H9598" t="s">
        <v>16</v>
      </c>
      <c r="I9598" t="s">
        <v>18</v>
      </c>
    </row>
    <row r="9599" spans="1:9" x14ac:dyDescent="0.25">
      <c r="A9599">
        <v>1825</v>
      </c>
      <c r="B9599">
        <f>A9599+1</f>
        <v>1826</v>
      </c>
      <c r="C9599" t="s">
        <v>531</v>
      </c>
      <c r="D9599" t="s">
        <v>27</v>
      </c>
      <c r="E9599" s="208" t="s">
        <v>132</v>
      </c>
      <c r="F9599" t="s">
        <v>0</v>
      </c>
      <c r="G9599" s="18">
        <v>400</v>
      </c>
      <c r="H9599" t="s">
        <v>16</v>
      </c>
      <c r="I9599" t="s">
        <v>18</v>
      </c>
    </row>
    <row r="9600" spans="1:9" x14ac:dyDescent="0.25">
      <c r="A9600">
        <v>1825</v>
      </c>
      <c r="B9600">
        <f>A9600+1</f>
        <v>1826</v>
      </c>
      <c r="C9600" t="s">
        <v>531</v>
      </c>
      <c r="D9600" t="s">
        <v>27</v>
      </c>
      <c r="E9600" s="208" t="s">
        <v>130</v>
      </c>
      <c r="F9600" t="s">
        <v>0</v>
      </c>
      <c r="G9600" s="18">
        <v>0</v>
      </c>
      <c r="H9600" t="s">
        <v>16</v>
      </c>
      <c r="I9600" t="s">
        <v>18</v>
      </c>
    </row>
    <row r="9601" spans="1:9" x14ac:dyDescent="0.25">
      <c r="A9601">
        <v>1825</v>
      </c>
      <c r="B9601">
        <f>A9601+1</f>
        <v>1826</v>
      </c>
      <c r="C9601" t="s">
        <v>531</v>
      </c>
      <c r="D9601" t="s">
        <v>27</v>
      </c>
      <c r="E9601" s="208" t="s">
        <v>143</v>
      </c>
      <c r="F9601" t="s">
        <v>0</v>
      </c>
      <c r="G9601" s="18">
        <v>120</v>
      </c>
      <c r="H9601" t="s">
        <v>16</v>
      </c>
      <c r="I9601" t="s">
        <v>18</v>
      </c>
    </row>
    <row r="9602" spans="1:9" x14ac:dyDescent="0.25">
      <c r="A9602">
        <v>1825</v>
      </c>
      <c r="B9602">
        <f>A9602+1</f>
        <v>1826</v>
      </c>
      <c r="C9602" t="s">
        <v>531</v>
      </c>
      <c r="D9602" t="s">
        <v>27</v>
      </c>
      <c r="E9602" s="208" t="s">
        <v>142</v>
      </c>
      <c r="F9602" t="s">
        <v>0</v>
      </c>
      <c r="G9602" s="18">
        <v>1509</v>
      </c>
      <c r="H9602" t="s">
        <v>16</v>
      </c>
      <c r="I9602" t="s">
        <v>18</v>
      </c>
    </row>
    <row r="9603" spans="1:9" x14ac:dyDescent="0.25">
      <c r="A9603">
        <v>1825</v>
      </c>
      <c r="B9603">
        <f>A9603+1</f>
        <v>1826</v>
      </c>
      <c r="C9603" t="s">
        <v>531</v>
      </c>
      <c r="D9603" t="s">
        <v>27</v>
      </c>
      <c r="E9603" s="208" t="s">
        <v>124</v>
      </c>
      <c r="F9603" t="s">
        <v>0</v>
      </c>
      <c r="G9603" s="18">
        <v>9911744</v>
      </c>
      <c r="H9603" t="s">
        <v>16</v>
      </c>
      <c r="I9603" t="s">
        <v>18</v>
      </c>
    </row>
    <row r="9604" spans="1:9" x14ac:dyDescent="0.25">
      <c r="A9604">
        <v>1825</v>
      </c>
      <c r="B9604">
        <f>A9604+1</f>
        <v>1826</v>
      </c>
      <c r="C9604" t="s">
        <v>531</v>
      </c>
      <c r="D9604" t="s">
        <v>27</v>
      </c>
      <c r="E9604" s="208" t="s">
        <v>115</v>
      </c>
      <c r="F9604" t="s">
        <v>0</v>
      </c>
      <c r="G9604" s="18">
        <v>147</v>
      </c>
      <c r="H9604" t="s">
        <v>16</v>
      </c>
      <c r="I9604" t="s">
        <v>18</v>
      </c>
    </row>
    <row r="9605" spans="1:9" x14ac:dyDescent="0.25">
      <c r="A9605">
        <v>1825</v>
      </c>
      <c r="B9605">
        <f>A9605+1</f>
        <v>1826</v>
      </c>
      <c r="C9605" t="s">
        <v>531</v>
      </c>
      <c r="D9605" t="s">
        <v>27</v>
      </c>
      <c r="E9605" s="208" t="s">
        <v>116</v>
      </c>
      <c r="F9605" t="s">
        <v>0</v>
      </c>
      <c r="G9605" s="18">
        <v>251</v>
      </c>
      <c r="H9605" t="s">
        <v>16</v>
      </c>
      <c r="I9605" t="s">
        <v>18</v>
      </c>
    </row>
    <row r="9606" spans="1:9" x14ac:dyDescent="0.25">
      <c r="A9606">
        <v>1825</v>
      </c>
      <c r="B9606">
        <f>A9606+1</f>
        <v>1826</v>
      </c>
      <c r="C9606" t="s">
        <v>531</v>
      </c>
      <c r="D9606" t="s">
        <v>27</v>
      </c>
      <c r="E9606" s="208" t="s">
        <v>136</v>
      </c>
      <c r="F9606" t="s">
        <v>0</v>
      </c>
      <c r="G9606" s="18">
        <v>25</v>
      </c>
      <c r="H9606" t="s">
        <v>16</v>
      </c>
      <c r="I9606" t="s">
        <v>18</v>
      </c>
    </row>
    <row r="9607" spans="1:9" x14ac:dyDescent="0.25">
      <c r="A9607">
        <v>1825</v>
      </c>
      <c r="B9607">
        <f>A9607+1</f>
        <v>1826</v>
      </c>
      <c r="C9607" t="s">
        <v>531</v>
      </c>
      <c r="D9607" t="s">
        <v>27</v>
      </c>
      <c r="E9607" s="208" t="s">
        <v>157</v>
      </c>
      <c r="F9607" t="s">
        <v>0</v>
      </c>
      <c r="G9607" s="18">
        <v>695</v>
      </c>
      <c r="H9607" t="s">
        <v>16</v>
      </c>
      <c r="I9607" t="s">
        <v>18</v>
      </c>
    </row>
    <row r="9608" spans="1:9" x14ac:dyDescent="0.25">
      <c r="A9608">
        <v>1825</v>
      </c>
      <c r="B9608">
        <f>A9608+1</f>
        <v>1826</v>
      </c>
      <c r="C9608" t="s">
        <v>531</v>
      </c>
      <c r="D9608" t="s">
        <v>27</v>
      </c>
      <c r="E9608" s="208" t="s">
        <v>74</v>
      </c>
      <c r="F9608" t="s">
        <v>0</v>
      </c>
      <c r="G9608" s="18">
        <v>1549</v>
      </c>
      <c r="H9608" t="s">
        <v>16</v>
      </c>
      <c r="I9608" t="s">
        <v>18</v>
      </c>
    </row>
    <row r="9609" spans="1:9" x14ac:dyDescent="0.25">
      <c r="A9609">
        <v>1825</v>
      </c>
      <c r="B9609">
        <f>A9609+1</f>
        <v>1826</v>
      </c>
      <c r="C9609" t="s">
        <v>531</v>
      </c>
      <c r="D9609" t="s">
        <v>27</v>
      </c>
      <c r="E9609" s="208" t="s">
        <v>129</v>
      </c>
      <c r="F9609" t="s">
        <v>0</v>
      </c>
      <c r="G9609" s="18">
        <v>135.5</v>
      </c>
      <c r="H9609" t="s">
        <v>16</v>
      </c>
      <c r="I9609" t="s">
        <v>18</v>
      </c>
    </row>
    <row r="9610" spans="1:9" x14ac:dyDescent="0.25">
      <c r="A9610">
        <v>1825</v>
      </c>
      <c r="B9610">
        <f>A9610+1</f>
        <v>1826</v>
      </c>
      <c r="C9610" t="s">
        <v>531</v>
      </c>
      <c r="D9610" t="s">
        <v>27</v>
      </c>
      <c r="E9610" s="208" t="s">
        <v>141</v>
      </c>
      <c r="F9610" t="s">
        <v>0</v>
      </c>
      <c r="G9610" s="18">
        <v>646</v>
      </c>
      <c r="H9610" t="s">
        <v>16</v>
      </c>
      <c r="I9610" t="s">
        <v>18</v>
      </c>
    </row>
    <row r="9611" spans="1:9" x14ac:dyDescent="0.25">
      <c r="A9611">
        <v>1825</v>
      </c>
      <c r="B9611">
        <f>A9611+1</f>
        <v>1826</v>
      </c>
      <c r="C9611" t="s">
        <v>531</v>
      </c>
      <c r="D9611" t="s">
        <v>27</v>
      </c>
      <c r="E9611" s="208" t="s">
        <v>128</v>
      </c>
      <c r="F9611" t="s">
        <v>0</v>
      </c>
      <c r="G9611" s="18">
        <v>177</v>
      </c>
      <c r="H9611" t="s">
        <v>16</v>
      </c>
      <c r="I9611" t="s">
        <v>18</v>
      </c>
    </row>
    <row r="9612" spans="1:9" x14ac:dyDescent="0.25">
      <c r="A9612">
        <v>1825</v>
      </c>
      <c r="B9612">
        <f>A9612+1</f>
        <v>1826</v>
      </c>
      <c r="C9612" t="s">
        <v>531</v>
      </c>
      <c r="D9612" t="s">
        <v>27</v>
      </c>
      <c r="E9612" s="208" t="s">
        <v>135</v>
      </c>
      <c r="F9612" t="s">
        <v>0</v>
      </c>
      <c r="G9612" s="18">
        <v>206</v>
      </c>
      <c r="H9612" t="s">
        <v>16</v>
      </c>
      <c r="I9612" t="s">
        <v>18</v>
      </c>
    </row>
    <row r="9613" spans="1:9" x14ac:dyDescent="0.25">
      <c r="A9613">
        <v>1825</v>
      </c>
      <c r="B9613">
        <f>A9613+1</f>
        <v>1826</v>
      </c>
      <c r="C9613" t="s">
        <v>531</v>
      </c>
      <c r="D9613" t="s">
        <v>27</v>
      </c>
      <c r="E9613" s="208" t="s">
        <v>138</v>
      </c>
      <c r="F9613" t="s">
        <v>0</v>
      </c>
      <c r="G9613" s="18">
        <v>680</v>
      </c>
      <c r="H9613" t="s">
        <v>16</v>
      </c>
      <c r="I9613" t="s">
        <v>18</v>
      </c>
    </row>
    <row r="9614" spans="1:9" x14ac:dyDescent="0.25">
      <c r="A9614">
        <v>1825</v>
      </c>
      <c r="B9614">
        <f>A9614+1</f>
        <v>1826</v>
      </c>
      <c r="C9614" t="s">
        <v>531</v>
      </c>
      <c r="D9614" t="s">
        <v>27</v>
      </c>
      <c r="E9614" s="208" t="s">
        <v>134</v>
      </c>
      <c r="F9614" t="s">
        <v>0</v>
      </c>
      <c r="G9614" s="18">
        <v>3560</v>
      </c>
      <c r="H9614" t="s">
        <v>16</v>
      </c>
      <c r="I9614" t="s">
        <v>18</v>
      </c>
    </row>
    <row r="9615" spans="1:9" x14ac:dyDescent="0.25">
      <c r="A9615">
        <v>1825</v>
      </c>
      <c r="B9615">
        <f>A9615+1</f>
        <v>1826</v>
      </c>
      <c r="C9615" t="s">
        <v>531</v>
      </c>
      <c r="D9615" t="s">
        <v>26</v>
      </c>
      <c r="E9615" s="208" t="s">
        <v>62</v>
      </c>
      <c r="F9615" t="s">
        <v>169</v>
      </c>
      <c r="G9615" s="18">
        <v>5781</v>
      </c>
      <c r="H9615" t="s">
        <v>160</v>
      </c>
      <c r="I9615" t="s">
        <v>16</v>
      </c>
    </row>
    <row r="9616" spans="1:9" x14ac:dyDescent="0.25">
      <c r="A9616">
        <v>1825</v>
      </c>
      <c r="B9616">
        <f>A9616+1</f>
        <v>1826</v>
      </c>
      <c r="C9616" t="s">
        <v>531</v>
      </c>
      <c r="D9616" t="s">
        <v>26</v>
      </c>
      <c r="E9616" s="208" t="s">
        <v>55</v>
      </c>
      <c r="F9616" t="s">
        <v>169</v>
      </c>
      <c r="G9616" s="18">
        <v>0</v>
      </c>
      <c r="H9616" t="s">
        <v>160</v>
      </c>
      <c r="I9616" t="s">
        <v>16</v>
      </c>
    </row>
    <row r="9617" spans="1:9" x14ac:dyDescent="0.25">
      <c r="A9617">
        <v>1825</v>
      </c>
      <c r="B9617">
        <f>A9617+1</f>
        <v>1826</v>
      </c>
      <c r="C9617" t="s">
        <v>531</v>
      </c>
      <c r="D9617" t="s">
        <v>26</v>
      </c>
      <c r="E9617" s="208" t="s">
        <v>36</v>
      </c>
      <c r="F9617" t="s">
        <v>169</v>
      </c>
      <c r="G9617" s="18">
        <v>904</v>
      </c>
      <c r="H9617" t="s">
        <v>160</v>
      </c>
      <c r="I9617" t="s">
        <v>16</v>
      </c>
    </row>
    <row r="9618" spans="1:9" x14ac:dyDescent="0.25">
      <c r="A9618">
        <v>1825</v>
      </c>
      <c r="B9618">
        <f>A9618+1</f>
        <v>1826</v>
      </c>
      <c r="C9618" t="s">
        <v>531</v>
      </c>
      <c r="D9618" t="s">
        <v>26</v>
      </c>
      <c r="E9618" s="208" t="s">
        <v>35</v>
      </c>
      <c r="F9618" t="s">
        <v>169</v>
      </c>
      <c r="G9618" s="18">
        <v>3356</v>
      </c>
      <c r="H9618" t="s">
        <v>160</v>
      </c>
      <c r="I9618" t="s">
        <v>16</v>
      </c>
    </row>
    <row r="9619" spans="1:9" x14ac:dyDescent="0.25">
      <c r="A9619">
        <v>1825</v>
      </c>
      <c r="B9619">
        <f>A9619+1</f>
        <v>1826</v>
      </c>
      <c r="C9619" t="s">
        <v>531</v>
      </c>
      <c r="D9619" t="s">
        <v>26</v>
      </c>
      <c r="E9619" s="208" t="s">
        <v>40</v>
      </c>
      <c r="F9619" t="s">
        <v>169</v>
      </c>
      <c r="G9619" s="18">
        <v>31708</v>
      </c>
      <c r="H9619" t="s">
        <v>160</v>
      </c>
      <c r="I9619" t="s">
        <v>16</v>
      </c>
    </row>
    <row r="9620" spans="1:9" x14ac:dyDescent="0.25">
      <c r="A9620">
        <v>1825</v>
      </c>
      <c r="B9620">
        <f>A9620+1</f>
        <v>1826</v>
      </c>
      <c r="C9620" t="s">
        <v>531</v>
      </c>
      <c r="D9620" t="s">
        <v>26</v>
      </c>
      <c r="E9620" s="208" t="s">
        <v>99</v>
      </c>
      <c r="F9620" t="s">
        <v>169</v>
      </c>
      <c r="G9620" s="18">
        <v>219</v>
      </c>
      <c r="H9620" t="s">
        <v>160</v>
      </c>
      <c r="I9620" t="s">
        <v>16</v>
      </c>
    </row>
    <row r="9621" spans="1:9" x14ac:dyDescent="0.25">
      <c r="A9621">
        <v>1825</v>
      </c>
      <c r="B9621">
        <f>A9621+1</f>
        <v>1826</v>
      </c>
      <c r="C9621" t="s">
        <v>531</v>
      </c>
      <c r="D9621" t="s">
        <v>26</v>
      </c>
      <c r="E9621" s="208" t="s">
        <v>98</v>
      </c>
      <c r="F9621" t="s">
        <v>169</v>
      </c>
      <c r="G9621" s="18">
        <v>0</v>
      </c>
      <c r="H9621" t="s">
        <v>160</v>
      </c>
      <c r="I9621" t="s">
        <v>16</v>
      </c>
    </row>
    <row r="9622" spans="1:9" x14ac:dyDescent="0.25">
      <c r="A9622">
        <v>1825</v>
      </c>
      <c r="B9622">
        <f>A9622+1</f>
        <v>1826</v>
      </c>
      <c r="C9622" t="s">
        <v>531</v>
      </c>
      <c r="D9622" t="s">
        <v>26</v>
      </c>
      <c r="E9622" s="208" t="s">
        <v>352</v>
      </c>
      <c r="F9622" t="s">
        <v>169</v>
      </c>
      <c r="G9622" s="18">
        <v>4645</v>
      </c>
      <c r="H9622" t="s">
        <v>160</v>
      </c>
      <c r="I9622" t="s">
        <v>16</v>
      </c>
    </row>
    <row r="9623" spans="1:9" x14ac:dyDescent="0.25">
      <c r="A9623">
        <v>1825</v>
      </c>
      <c r="B9623">
        <f>A9623+1</f>
        <v>1826</v>
      </c>
      <c r="C9623" t="s">
        <v>531</v>
      </c>
      <c r="D9623" t="s">
        <v>26</v>
      </c>
      <c r="E9623" s="208" t="s">
        <v>107</v>
      </c>
      <c r="F9623" t="s">
        <v>169</v>
      </c>
      <c r="G9623" s="18">
        <v>0</v>
      </c>
      <c r="H9623" t="s">
        <v>160</v>
      </c>
      <c r="I9623" t="s">
        <v>16</v>
      </c>
    </row>
    <row r="9624" spans="1:9" x14ac:dyDescent="0.25">
      <c r="A9624">
        <v>1825</v>
      </c>
      <c r="B9624">
        <f>A9624+1</f>
        <v>1826</v>
      </c>
      <c r="C9624" t="s">
        <v>531</v>
      </c>
      <c r="D9624" t="s">
        <v>26</v>
      </c>
      <c r="E9624" s="208" t="s">
        <v>101</v>
      </c>
      <c r="F9624" t="s">
        <v>169</v>
      </c>
      <c r="G9624" s="18">
        <v>0</v>
      </c>
      <c r="H9624" t="s">
        <v>160</v>
      </c>
      <c r="I9624" t="s">
        <v>16</v>
      </c>
    </row>
    <row r="9625" spans="1:9" x14ac:dyDescent="0.25">
      <c r="A9625">
        <v>1825</v>
      </c>
      <c r="B9625">
        <f>A9625+1</f>
        <v>1826</v>
      </c>
      <c r="C9625" t="s">
        <v>531</v>
      </c>
      <c r="D9625" t="s">
        <v>26</v>
      </c>
      <c r="E9625" s="208" t="s">
        <v>75</v>
      </c>
      <c r="F9625" t="s">
        <v>169</v>
      </c>
      <c r="G9625" s="18">
        <v>0</v>
      </c>
      <c r="H9625" t="s">
        <v>160</v>
      </c>
      <c r="I9625" t="s">
        <v>16</v>
      </c>
    </row>
    <row r="9626" spans="1:9" x14ac:dyDescent="0.25">
      <c r="A9626">
        <v>1825</v>
      </c>
      <c r="B9626">
        <f>A9626+1</f>
        <v>1826</v>
      </c>
      <c r="C9626" t="s">
        <v>531</v>
      </c>
      <c r="D9626" t="s">
        <v>26</v>
      </c>
      <c r="E9626" s="208" t="s">
        <v>66</v>
      </c>
      <c r="F9626" t="s">
        <v>169</v>
      </c>
      <c r="G9626" s="18">
        <v>0</v>
      </c>
      <c r="H9626" t="s">
        <v>160</v>
      </c>
      <c r="I9626" t="s">
        <v>16</v>
      </c>
    </row>
    <row r="9627" spans="1:9" x14ac:dyDescent="0.25">
      <c r="A9627">
        <v>1825</v>
      </c>
      <c r="B9627">
        <f>A9627+1</f>
        <v>1826</v>
      </c>
      <c r="C9627" t="s">
        <v>531</v>
      </c>
      <c r="D9627" t="s">
        <v>26</v>
      </c>
      <c r="E9627" s="208" t="s">
        <v>330</v>
      </c>
      <c r="F9627" t="s">
        <v>169</v>
      </c>
      <c r="G9627" s="18">
        <v>0</v>
      </c>
      <c r="H9627" t="s">
        <v>160</v>
      </c>
      <c r="I9627" t="s">
        <v>16</v>
      </c>
    </row>
    <row r="9628" spans="1:9" x14ac:dyDescent="0.25">
      <c r="A9628">
        <v>1825</v>
      </c>
      <c r="B9628">
        <f>A9628+1</f>
        <v>1826</v>
      </c>
      <c r="C9628" t="s">
        <v>531</v>
      </c>
      <c r="D9628" t="s">
        <v>26</v>
      </c>
      <c r="E9628" s="208" t="s">
        <v>331</v>
      </c>
      <c r="F9628" t="s">
        <v>169</v>
      </c>
      <c r="G9628" s="18">
        <v>0</v>
      </c>
      <c r="H9628" t="s">
        <v>160</v>
      </c>
      <c r="I9628" t="s">
        <v>16</v>
      </c>
    </row>
    <row r="9629" spans="1:9" x14ac:dyDescent="0.25">
      <c r="A9629">
        <v>1825</v>
      </c>
      <c r="B9629">
        <f>A9629+1</f>
        <v>1826</v>
      </c>
      <c r="C9629" t="s">
        <v>531</v>
      </c>
      <c r="D9629" t="s">
        <v>26</v>
      </c>
      <c r="E9629" s="208" t="s">
        <v>332</v>
      </c>
      <c r="F9629" t="s">
        <v>169</v>
      </c>
      <c r="G9629" s="18">
        <v>0</v>
      </c>
      <c r="H9629" t="s">
        <v>160</v>
      </c>
      <c r="I9629" t="s">
        <v>16</v>
      </c>
    </row>
    <row r="9630" spans="1:9" x14ac:dyDescent="0.25">
      <c r="A9630">
        <v>1825</v>
      </c>
      <c r="B9630">
        <f>A9630+1</f>
        <v>1826</v>
      </c>
      <c r="C9630" t="s">
        <v>531</v>
      </c>
      <c r="D9630" t="s">
        <v>26</v>
      </c>
      <c r="E9630" s="208" t="s">
        <v>333</v>
      </c>
      <c r="F9630" t="s">
        <v>169</v>
      </c>
      <c r="G9630" s="18">
        <v>0</v>
      </c>
      <c r="H9630" t="s">
        <v>160</v>
      </c>
      <c r="I9630" t="s">
        <v>16</v>
      </c>
    </row>
    <row r="9631" spans="1:9" x14ac:dyDescent="0.25">
      <c r="A9631">
        <v>1825</v>
      </c>
      <c r="B9631">
        <f>A9631+1</f>
        <v>1826</v>
      </c>
      <c r="C9631" t="s">
        <v>531</v>
      </c>
      <c r="D9631" t="s">
        <v>27</v>
      </c>
      <c r="E9631" s="208" t="s">
        <v>155</v>
      </c>
      <c r="F9631" t="s">
        <v>1</v>
      </c>
      <c r="G9631" s="18">
        <v>385</v>
      </c>
      <c r="H9631" t="s">
        <v>16</v>
      </c>
      <c r="I9631" t="s">
        <v>21</v>
      </c>
    </row>
    <row r="9632" spans="1:9" x14ac:dyDescent="0.25">
      <c r="A9632">
        <v>1825</v>
      </c>
      <c r="B9632">
        <f>A9632+1</f>
        <v>1826</v>
      </c>
      <c r="C9632" t="s">
        <v>531</v>
      </c>
      <c r="D9632" t="s">
        <v>27</v>
      </c>
      <c r="E9632" s="208" t="s">
        <v>156</v>
      </c>
      <c r="F9632" t="s">
        <v>1</v>
      </c>
      <c r="G9632" s="18">
        <v>99</v>
      </c>
      <c r="H9632" t="s">
        <v>16</v>
      </c>
      <c r="I9632" t="s">
        <v>21</v>
      </c>
    </row>
    <row r="9633" spans="1:9" x14ac:dyDescent="0.25">
      <c r="A9633">
        <v>1825</v>
      </c>
      <c r="B9633">
        <f>A9633+1</f>
        <v>1826</v>
      </c>
      <c r="C9633" t="s">
        <v>531</v>
      </c>
      <c r="D9633" t="s">
        <v>27</v>
      </c>
      <c r="E9633" s="208" t="s">
        <v>154</v>
      </c>
      <c r="F9633" t="s">
        <v>1</v>
      </c>
      <c r="G9633" s="18">
        <v>50</v>
      </c>
      <c r="H9633" t="s">
        <v>16</v>
      </c>
      <c r="I9633" t="s">
        <v>21</v>
      </c>
    </row>
    <row r="9634" spans="1:9" x14ac:dyDescent="0.25">
      <c r="A9634">
        <v>1825</v>
      </c>
      <c r="B9634">
        <f>A9634+1</f>
        <v>1826</v>
      </c>
      <c r="C9634" t="s">
        <v>531</v>
      </c>
      <c r="D9634" t="s">
        <v>27</v>
      </c>
      <c r="E9634" s="208" t="s">
        <v>150</v>
      </c>
      <c r="F9634" t="s">
        <v>1</v>
      </c>
      <c r="G9634" s="18">
        <v>6</v>
      </c>
      <c r="H9634" t="s">
        <v>16</v>
      </c>
      <c r="I9634" t="s">
        <v>21</v>
      </c>
    </row>
    <row r="9635" spans="1:9" x14ac:dyDescent="0.25">
      <c r="A9635">
        <v>1825</v>
      </c>
      <c r="B9635">
        <f>A9635+1</f>
        <v>1826</v>
      </c>
      <c r="C9635" t="s">
        <v>531</v>
      </c>
      <c r="D9635" t="s">
        <v>27</v>
      </c>
      <c r="E9635" s="208" t="s">
        <v>148</v>
      </c>
      <c r="F9635" t="s">
        <v>1</v>
      </c>
      <c r="G9635" s="18">
        <v>36</v>
      </c>
      <c r="H9635" t="s">
        <v>16</v>
      </c>
      <c r="I9635" t="s">
        <v>21</v>
      </c>
    </row>
    <row r="9636" spans="1:9" x14ac:dyDescent="0.25">
      <c r="A9636">
        <v>1825</v>
      </c>
      <c r="B9636">
        <f>A9636+1</f>
        <v>1826</v>
      </c>
      <c r="C9636" t="s">
        <v>531</v>
      </c>
      <c r="D9636" t="s">
        <v>27</v>
      </c>
      <c r="E9636" s="208" t="s">
        <v>147</v>
      </c>
      <c r="F9636" t="s">
        <v>1</v>
      </c>
      <c r="G9636" s="18">
        <v>0</v>
      </c>
      <c r="H9636" t="s">
        <v>16</v>
      </c>
      <c r="I9636" t="s">
        <v>21</v>
      </c>
    </row>
    <row r="9637" spans="1:9" x14ac:dyDescent="0.25">
      <c r="A9637">
        <v>1825</v>
      </c>
      <c r="B9637">
        <f>A9637+1</f>
        <v>1826</v>
      </c>
      <c r="C9637" t="s">
        <v>531</v>
      </c>
      <c r="D9637" t="s">
        <v>27</v>
      </c>
      <c r="E9637" s="208" t="s">
        <v>139</v>
      </c>
      <c r="F9637" t="s">
        <v>1</v>
      </c>
      <c r="G9637" s="18">
        <v>0</v>
      </c>
      <c r="H9637" t="s">
        <v>16</v>
      </c>
      <c r="I9637" t="s">
        <v>21</v>
      </c>
    </row>
    <row r="9638" spans="1:9" x14ac:dyDescent="0.25">
      <c r="A9638">
        <v>1825</v>
      </c>
      <c r="B9638">
        <f>A9638+1</f>
        <v>1826</v>
      </c>
      <c r="C9638" t="s">
        <v>531</v>
      </c>
      <c r="D9638" t="s">
        <v>27</v>
      </c>
      <c r="E9638" s="208" t="s">
        <v>132</v>
      </c>
      <c r="F9638" t="s">
        <v>1</v>
      </c>
      <c r="G9638" s="18">
        <v>9</v>
      </c>
      <c r="H9638" t="s">
        <v>16</v>
      </c>
      <c r="I9638" t="s">
        <v>21</v>
      </c>
    </row>
    <row r="9639" spans="1:9" x14ac:dyDescent="0.25">
      <c r="A9639">
        <v>1825</v>
      </c>
      <c r="B9639">
        <f>A9639+1</f>
        <v>1826</v>
      </c>
      <c r="C9639" t="s">
        <v>531</v>
      </c>
      <c r="D9639" t="s">
        <v>27</v>
      </c>
      <c r="E9639" s="208" t="s">
        <v>130</v>
      </c>
      <c r="F9639" t="s">
        <v>1</v>
      </c>
      <c r="G9639" s="18">
        <v>0</v>
      </c>
      <c r="H9639" t="s">
        <v>16</v>
      </c>
      <c r="I9639" t="s">
        <v>21</v>
      </c>
    </row>
    <row r="9640" spans="1:9" x14ac:dyDescent="0.25">
      <c r="A9640">
        <v>1825</v>
      </c>
      <c r="B9640">
        <f>A9640+1</f>
        <v>1826</v>
      </c>
      <c r="C9640" t="s">
        <v>531</v>
      </c>
      <c r="D9640" t="s">
        <v>27</v>
      </c>
      <c r="E9640" s="208" t="s">
        <v>143</v>
      </c>
      <c r="F9640" t="s">
        <v>1</v>
      </c>
      <c r="G9640" s="18">
        <v>0</v>
      </c>
      <c r="H9640" t="s">
        <v>16</v>
      </c>
      <c r="I9640" t="s">
        <v>21</v>
      </c>
    </row>
    <row r="9641" spans="1:9" x14ac:dyDescent="0.25">
      <c r="A9641">
        <v>1825</v>
      </c>
      <c r="B9641">
        <f>A9641+1</f>
        <v>1826</v>
      </c>
      <c r="C9641" t="s">
        <v>531</v>
      </c>
      <c r="D9641" t="s">
        <v>27</v>
      </c>
      <c r="E9641" s="208" t="s">
        <v>142</v>
      </c>
      <c r="F9641" t="s">
        <v>1</v>
      </c>
      <c r="G9641" s="18">
        <v>32</v>
      </c>
      <c r="H9641" t="s">
        <v>16</v>
      </c>
      <c r="I9641" t="s">
        <v>21</v>
      </c>
    </row>
    <row r="9642" spans="1:9" x14ac:dyDescent="0.25">
      <c r="A9642">
        <v>1825</v>
      </c>
      <c r="B9642">
        <f>A9642+1</f>
        <v>1826</v>
      </c>
      <c r="C9642" t="s">
        <v>531</v>
      </c>
      <c r="D9642" t="s">
        <v>27</v>
      </c>
      <c r="E9642" s="208" t="s">
        <v>124</v>
      </c>
      <c r="F9642" t="s">
        <v>1</v>
      </c>
      <c r="G9642" s="18">
        <v>78450</v>
      </c>
      <c r="H9642" t="s">
        <v>16</v>
      </c>
      <c r="I9642" t="s">
        <v>21</v>
      </c>
    </row>
    <row r="9643" spans="1:9" x14ac:dyDescent="0.25">
      <c r="A9643">
        <v>1825</v>
      </c>
      <c r="B9643">
        <f>A9643+1</f>
        <v>1826</v>
      </c>
      <c r="C9643" t="s">
        <v>531</v>
      </c>
      <c r="D9643" t="s">
        <v>27</v>
      </c>
      <c r="E9643" s="208" t="s">
        <v>115</v>
      </c>
      <c r="F9643" t="s">
        <v>1</v>
      </c>
      <c r="G9643" s="18">
        <v>0</v>
      </c>
      <c r="H9643" t="s">
        <v>16</v>
      </c>
      <c r="I9643" t="s">
        <v>21</v>
      </c>
    </row>
    <row r="9644" spans="1:9" x14ac:dyDescent="0.25">
      <c r="A9644">
        <v>1825</v>
      </c>
      <c r="B9644">
        <f>A9644+1</f>
        <v>1826</v>
      </c>
      <c r="C9644" t="s">
        <v>531</v>
      </c>
      <c r="D9644" t="s">
        <v>27</v>
      </c>
      <c r="E9644" s="208" t="s">
        <v>116</v>
      </c>
      <c r="F9644" t="s">
        <v>1</v>
      </c>
      <c r="G9644" s="18">
        <v>0</v>
      </c>
      <c r="H9644" t="s">
        <v>16</v>
      </c>
      <c r="I9644" t="s">
        <v>21</v>
      </c>
    </row>
    <row r="9645" spans="1:9" x14ac:dyDescent="0.25">
      <c r="A9645">
        <v>1825</v>
      </c>
      <c r="B9645">
        <f>A9645+1</f>
        <v>1826</v>
      </c>
      <c r="C9645" t="s">
        <v>531</v>
      </c>
      <c r="D9645" t="s">
        <v>27</v>
      </c>
      <c r="E9645" s="208" t="s">
        <v>136</v>
      </c>
      <c r="F9645" t="s">
        <v>1</v>
      </c>
      <c r="G9645" s="18">
        <v>0</v>
      </c>
      <c r="H9645" t="s">
        <v>16</v>
      </c>
      <c r="I9645" t="s">
        <v>21</v>
      </c>
    </row>
    <row r="9646" spans="1:9" x14ac:dyDescent="0.25">
      <c r="A9646">
        <v>1825</v>
      </c>
      <c r="B9646">
        <f>A9646+1</f>
        <v>1826</v>
      </c>
      <c r="C9646" t="s">
        <v>531</v>
      </c>
      <c r="D9646" t="s">
        <v>27</v>
      </c>
      <c r="E9646" s="208" t="s">
        <v>157</v>
      </c>
      <c r="F9646" t="s">
        <v>1</v>
      </c>
      <c r="G9646" s="18">
        <v>9</v>
      </c>
      <c r="H9646" t="s">
        <v>16</v>
      </c>
      <c r="I9646" t="s">
        <v>21</v>
      </c>
    </row>
    <row r="9647" spans="1:9" x14ac:dyDescent="0.25">
      <c r="A9647">
        <v>1825</v>
      </c>
      <c r="B9647">
        <f>A9647+1</f>
        <v>1826</v>
      </c>
      <c r="C9647" t="s">
        <v>531</v>
      </c>
      <c r="D9647" t="s">
        <v>27</v>
      </c>
      <c r="E9647" s="208" t="s">
        <v>74</v>
      </c>
      <c r="F9647" t="s">
        <v>1</v>
      </c>
      <c r="G9647" s="18">
        <v>120</v>
      </c>
      <c r="H9647" t="s">
        <v>16</v>
      </c>
      <c r="I9647" t="s">
        <v>21</v>
      </c>
    </row>
    <row r="9648" spans="1:9" x14ac:dyDescent="0.25">
      <c r="A9648">
        <v>1825</v>
      </c>
      <c r="B9648">
        <f>A9648+1</f>
        <v>1826</v>
      </c>
      <c r="C9648" t="s">
        <v>531</v>
      </c>
      <c r="D9648" t="s">
        <v>27</v>
      </c>
      <c r="E9648" s="208" t="s">
        <v>129</v>
      </c>
      <c r="F9648" t="s">
        <v>1</v>
      </c>
      <c r="G9648" s="18">
        <v>38</v>
      </c>
      <c r="H9648" t="s">
        <v>16</v>
      </c>
      <c r="I9648" t="s">
        <v>21</v>
      </c>
    </row>
    <row r="9649" spans="1:9" x14ac:dyDescent="0.25">
      <c r="A9649">
        <v>1825</v>
      </c>
      <c r="B9649">
        <f>A9649+1</f>
        <v>1826</v>
      </c>
      <c r="C9649" t="s">
        <v>531</v>
      </c>
      <c r="D9649" t="s">
        <v>27</v>
      </c>
      <c r="E9649" s="208" t="s">
        <v>141</v>
      </c>
      <c r="F9649" t="s">
        <v>1</v>
      </c>
      <c r="G9649" s="18">
        <v>0</v>
      </c>
      <c r="H9649" t="s">
        <v>16</v>
      </c>
      <c r="I9649" t="s">
        <v>21</v>
      </c>
    </row>
    <row r="9650" spans="1:9" x14ac:dyDescent="0.25">
      <c r="A9650">
        <v>1825</v>
      </c>
      <c r="B9650">
        <f>A9650+1</f>
        <v>1826</v>
      </c>
      <c r="C9650" t="s">
        <v>531</v>
      </c>
      <c r="D9650" t="s">
        <v>27</v>
      </c>
      <c r="E9650" s="208" t="s">
        <v>128</v>
      </c>
      <c r="F9650" t="s">
        <v>1</v>
      </c>
      <c r="G9650" s="18">
        <v>0</v>
      </c>
      <c r="H9650" t="s">
        <v>16</v>
      </c>
      <c r="I9650" t="s">
        <v>21</v>
      </c>
    </row>
    <row r="9651" spans="1:9" x14ac:dyDescent="0.25">
      <c r="A9651">
        <v>1825</v>
      </c>
      <c r="B9651">
        <f>A9651+1</f>
        <v>1826</v>
      </c>
      <c r="C9651" t="s">
        <v>531</v>
      </c>
      <c r="D9651" t="s">
        <v>27</v>
      </c>
      <c r="E9651" s="208" t="s">
        <v>135</v>
      </c>
      <c r="F9651" t="s">
        <v>1</v>
      </c>
      <c r="G9651" s="18">
        <v>18</v>
      </c>
      <c r="H9651" t="s">
        <v>16</v>
      </c>
      <c r="I9651" t="s">
        <v>21</v>
      </c>
    </row>
    <row r="9652" spans="1:9" x14ac:dyDescent="0.25">
      <c r="A9652">
        <v>1825</v>
      </c>
      <c r="B9652">
        <f>A9652+1</f>
        <v>1826</v>
      </c>
      <c r="C9652" t="s">
        <v>531</v>
      </c>
      <c r="D9652" t="s">
        <v>27</v>
      </c>
      <c r="E9652" s="208" t="s">
        <v>138</v>
      </c>
      <c r="F9652" t="s">
        <v>1</v>
      </c>
      <c r="G9652" s="18">
        <v>0</v>
      </c>
      <c r="H9652" t="s">
        <v>16</v>
      </c>
      <c r="I9652" t="s">
        <v>21</v>
      </c>
    </row>
    <row r="9653" spans="1:9" x14ac:dyDescent="0.25">
      <c r="A9653">
        <v>1825</v>
      </c>
      <c r="B9653">
        <f>A9653+1</f>
        <v>1826</v>
      </c>
      <c r="C9653" t="s">
        <v>531</v>
      </c>
      <c r="D9653" t="s">
        <v>27</v>
      </c>
      <c r="E9653" s="208" t="s">
        <v>134</v>
      </c>
      <c r="F9653" t="s">
        <v>1</v>
      </c>
      <c r="G9653" s="18">
        <v>0</v>
      </c>
      <c r="H9653" t="s">
        <v>16</v>
      </c>
      <c r="I9653" t="s">
        <v>21</v>
      </c>
    </row>
    <row r="9654" spans="1:9" x14ac:dyDescent="0.25">
      <c r="A9654">
        <v>1825</v>
      </c>
      <c r="B9654">
        <f>A9654+1</f>
        <v>1826</v>
      </c>
      <c r="C9654" t="s">
        <v>531</v>
      </c>
      <c r="D9654" t="s">
        <v>27</v>
      </c>
      <c r="E9654" s="208" t="s">
        <v>155</v>
      </c>
      <c r="F9654" t="s">
        <v>4</v>
      </c>
      <c r="G9654" s="18">
        <v>216</v>
      </c>
      <c r="H9654" t="s">
        <v>16</v>
      </c>
      <c r="I9654" t="s">
        <v>23</v>
      </c>
    </row>
    <row r="9655" spans="1:9" x14ac:dyDescent="0.25">
      <c r="A9655">
        <v>1825</v>
      </c>
      <c r="B9655">
        <f>A9655+1</f>
        <v>1826</v>
      </c>
      <c r="C9655" t="s">
        <v>531</v>
      </c>
      <c r="D9655" t="s">
        <v>27</v>
      </c>
      <c r="E9655" s="208" t="s">
        <v>156</v>
      </c>
      <c r="F9655" t="s">
        <v>4</v>
      </c>
      <c r="G9655" s="18">
        <v>105</v>
      </c>
      <c r="H9655" t="s">
        <v>16</v>
      </c>
      <c r="I9655" t="s">
        <v>23</v>
      </c>
    </row>
    <row r="9656" spans="1:9" x14ac:dyDescent="0.25">
      <c r="A9656">
        <v>1825</v>
      </c>
      <c r="B9656">
        <f>A9656+1</f>
        <v>1826</v>
      </c>
      <c r="C9656" t="s">
        <v>531</v>
      </c>
      <c r="D9656" t="s">
        <v>27</v>
      </c>
      <c r="E9656" s="208" t="s">
        <v>154</v>
      </c>
      <c r="F9656" t="s">
        <v>4</v>
      </c>
      <c r="G9656" s="18">
        <v>116</v>
      </c>
      <c r="H9656" t="s">
        <v>16</v>
      </c>
      <c r="I9656" t="s">
        <v>23</v>
      </c>
    </row>
    <row r="9657" spans="1:9" x14ac:dyDescent="0.25">
      <c r="A9657">
        <v>1825</v>
      </c>
      <c r="B9657">
        <f>A9657+1</f>
        <v>1826</v>
      </c>
      <c r="C9657" t="s">
        <v>531</v>
      </c>
      <c r="D9657" t="s">
        <v>27</v>
      </c>
      <c r="E9657" s="208" t="s">
        <v>150</v>
      </c>
      <c r="F9657" t="s">
        <v>4</v>
      </c>
      <c r="G9657" s="18">
        <v>276</v>
      </c>
      <c r="H9657" t="s">
        <v>16</v>
      </c>
      <c r="I9657" t="s">
        <v>23</v>
      </c>
    </row>
    <row r="9658" spans="1:9" x14ac:dyDescent="0.25">
      <c r="A9658">
        <v>1825</v>
      </c>
      <c r="B9658">
        <f>A9658+1</f>
        <v>1826</v>
      </c>
      <c r="C9658" t="s">
        <v>531</v>
      </c>
      <c r="D9658" t="s">
        <v>27</v>
      </c>
      <c r="E9658" s="208" t="s">
        <v>148</v>
      </c>
      <c r="F9658" t="s">
        <v>4</v>
      </c>
      <c r="G9658" s="18">
        <v>1</v>
      </c>
      <c r="H9658" t="s">
        <v>16</v>
      </c>
      <c r="I9658" t="s">
        <v>23</v>
      </c>
    </row>
    <row r="9659" spans="1:9" x14ac:dyDescent="0.25">
      <c r="A9659">
        <v>1825</v>
      </c>
      <c r="B9659">
        <f>A9659+1</f>
        <v>1826</v>
      </c>
      <c r="C9659" t="s">
        <v>531</v>
      </c>
      <c r="D9659" t="s">
        <v>27</v>
      </c>
      <c r="E9659" s="208" t="s">
        <v>147</v>
      </c>
      <c r="F9659" t="s">
        <v>4</v>
      </c>
      <c r="G9659" s="18">
        <v>0</v>
      </c>
      <c r="H9659" t="s">
        <v>16</v>
      </c>
      <c r="I9659" t="s">
        <v>23</v>
      </c>
    </row>
    <row r="9660" spans="1:9" x14ac:dyDescent="0.25">
      <c r="A9660">
        <v>1825</v>
      </c>
      <c r="B9660">
        <f>A9660+1</f>
        <v>1826</v>
      </c>
      <c r="C9660" t="s">
        <v>531</v>
      </c>
      <c r="D9660" t="s">
        <v>27</v>
      </c>
      <c r="E9660" s="208" t="s">
        <v>139</v>
      </c>
      <c r="F9660" t="s">
        <v>4</v>
      </c>
      <c r="G9660" s="18">
        <v>0</v>
      </c>
      <c r="H9660" t="s">
        <v>16</v>
      </c>
      <c r="I9660" t="s">
        <v>23</v>
      </c>
    </row>
    <row r="9661" spans="1:9" x14ac:dyDescent="0.25">
      <c r="A9661">
        <v>1825</v>
      </c>
      <c r="B9661">
        <f>A9661+1</f>
        <v>1826</v>
      </c>
      <c r="C9661" t="s">
        <v>531</v>
      </c>
      <c r="D9661" t="s">
        <v>27</v>
      </c>
      <c r="E9661" s="208" t="s">
        <v>132</v>
      </c>
      <c r="F9661" t="s">
        <v>4</v>
      </c>
      <c r="G9661" s="18">
        <v>0</v>
      </c>
      <c r="H9661" t="s">
        <v>16</v>
      </c>
      <c r="I9661" t="s">
        <v>23</v>
      </c>
    </row>
    <row r="9662" spans="1:9" x14ac:dyDescent="0.25">
      <c r="A9662">
        <v>1825</v>
      </c>
      <c r="B9662">
        <f>A9662+1</f>
        <v>1826</v>
      </c>
      <c r="C9662" t="s">
        <v>531</v>
      </c>
      <c r="D9662" t="s">
        <v>27</v>
      </c>
      <c r="E9662" s="208" t="s">
        <v>130</v>
      </c>
      <c r="F9662" t="s">
        <v>4</v>
      </c>
      <c r="G9662" s="18">
        <v>0</v>
      </c>
      <c r="H9662" t="s">
        <v>16</v>
      </c>
      <c r="I9662" t="s">
        <v>23</v>
      </c>
    </row>
    <row r="9663" spans="1:9" x14ac:dyDescent="0.25">
      <c r="A9663">
        <v>1825</v>
      </c>
      <c r="B9663">
        <f>A9663+1</f>
        <v>1826</v>
      </c>
      <c r="C9663" t="s">
        <v>531</v>
      </c>
      <c r="D9663" t="s">
        <v>27</v>
      </c>
      <c r="E9663" s="208" t="s">
        <v>143</v>
      </c>
      <c r="F9663" t="s">
        <v>4</v>
      </c>
      <c r="G9663" s="18">
        <v>221</v>
      </c>
      <c r="H9663" t="s">
        <v>16</v>
      </c>
      <c r="I9663" t="s">
        <v>23</v>
      </c>
    </row>
    <row r="9664" spans="1:9" x14ac:dyDescent="0.25">
      <c r="A9664">
        <v>1825</v>
      </c>
      <c r="B9664">
        <f>A9664+1</f>
        <v>1826</v>
      </c>
      <c r="C9664" t="s">
        <v>531</v>
      </c>
      <c r="D9664" t="s">
        <v>27</v>
      </c>
      <c r="E9664" s="208" t="s">
        <v>142</v>
      </c>
      <c r="F9664" t="s">
        <v>4</v>
      </c>
      <c r="G9664" s="18">
        <v>1958</v>
      </c>
      <c r="H9664" t="s">
        <v>16</v>
      </c>
      <c r="I9664" t="s">
        <v>23</v>
      </c>
    </row>
    <row r="9665" spans="1:9" x14ac:dyDescent="0.25">
      <c r="A9665">
        <v>1825</v>
      </c>
      <c r="B9665">
        <f>A9665+1</f>
        <v>1826</v>
      </c>
      <c r="C9665" t="s">
        <v>531</v>
      </c>
      <c r="D9665" t="s">
        <v>27</v>
      </c>
      <c r="E9665" s="208" t="s">
        <v>124</v>
      </c>
      <c r="F9665" t="s">
        <v>4</v>
      </c>
      <c r="G9665" s="18">
        <v>1875465</v>
      </c>
      <c r="H9665" t="s">
        <v>16</v>
      </c>
      <c r="I9665" t="s">
        <v>23</v>
      </c>
    </row>
    <row r="9666" spans="1:9" x14ac:dyDescent="0.25">
      <c r="A9666">
        <v>1825</v>
      </c>
      <c r="B9666">
        <f>A9666+1</f>
        <v>1826</v>
      </c>
      <c r="C9666" t="s">
        <v>531</v>
      </c>
      <c r="D9666" t="s">
        <v>27</v>
      </c>
      <c r="E9666" s="208" t="s">
        <v>115</v>
      </c>
      <c r="F9666" t="s">
        <v>4</v>
      </c>
      <c r="G9666" s="18">
        <v>13</v>
      </c>
      <c r="H9666" t="s">
        <v>16</v>
      </c>
      <c r="I9666" t="s">
        <v>23</v>
      </c>
    </row>
    <row r="9667" spans="1:9" x14ac:dyDescent="0.25">
      <c r="A9667">
        <v>1825</v>
      </c>
      <c r="B9667">
        <f>A9667+1</f>
        <v>1826</v>
      </c>
      <c r="C9667" t="s">
        <v>531</v>
      </c>
      <c r="D9667" t="s">
        <v>27</v>
      </c>
      <c r="E9667" s="208" t="s">
        <v>116</v>
      </c>
      <c r="F9667" t="s">
        <v>4</v>
      </c>
      <c r="G9667" s="18">
        <v>5</v>
      </c>
      <c r="H9667" t="s">
        <v>16</v>
      </c>
      <c r="I9667" t="s">
        <v>23</v>
      </c>
    </row>
    <row r="9668" spans="1:9" x14ac:dyDescent="0.25">
      <c r="A9668">
        <v>1825</v>
      </c>
      <c r="B9668">
        <f>A9668+1</f>
        <v>1826</v>
      </c>
      <c r="C9668" t="s">
        <v>531</v>
      </c>
      <c r="D9668" t="s">
        <v>27</v>
      </c>
      <c r="E9668" s="208" t="s">
        <v>136</v>
      </c>
      <c r="F9668" t="s">
        <v>4</v>
      </c>
      <c r="G9668" s="18">
        <v>48</v>
      </c>
      <c r="H9668" t="s">
        <v>16</v>
      </c>
      <c r="I9668" t="s">
        <v>23</v>
      </c>
    </row>
    <row r="9669" spans="1:9" x14ac:dyDescent="0.25">
      <c r="A9669">
        <v>1825</v>
      </c>
      <c r="B9669">
        <f>A9669+1</f>
        <v>1826</v>
      </c>
      <c r="C9669" t="s">
        <v>531</v>
      </c>
      <c r="D9669" t="s">
        <v>27</v>
      </c>
      <c r="E9669" s="208" t="s">
        <v>157</v>
      </c>
      <c r="F9669" t="s">
        <v>4</v>
      </c>
      <c r="G9669" s="18">
        <v>20</v>
      </c>
      <c r="H9669" t="s">
        <v>16</v>
      </c>
      <c r="I9669" t="s">
        <v>23</v>
      </c>
    </row>
    <row r="9670" spans="1:9" x14ac:dyDescent="0.25">
      <c r="A9670">
        <v>1825</v>
      </c>
      <c r="B9670">
        <f>A9670+1</f>
        <v>1826</v>
      </c>
      <c r="C9670" t="s">
        <v>531</v>
      </c>
      <c r="D9670" t="s">
        <v>27</v>
      </c>
      <c r="E9670" s="208" t="s">
        <v>74</v>
      </c>
      <c r="F9670" t="s">
        <v>4</v>
      </c>
      <c r="G9670" s="18">
        <v>457</v>
      </c>
      <c r="H9670" t="s">
        <v>16</v>
      </c>
      <c r="I9670" t="s">
        <v>23</v>
      </c>
    </row>
    <row r="9671" spans="1:9" x14ac:dyDescent="0.25">
      <c r="A9671">
        <v>1825</v>
      </c>
      <c r="B9671">
        <f>A9671+1</f>
        <v>1826</v>
      </c>
      <c r="C9671" t="s">
        <v>531</v>
      </c>
      <c r="D9671" t="s">
        <v>27</v>
      </c>
      <c r="E9671" s="208" t="s">
        <v>129</v>
      </c>
      <c r="F9671" t="s">
        <v>4</v>
      </c>
      <c r="G9671" s="18">
        <v>2</v>
      </c>
      <c r="H9671" t="s">
        <v>16</v>
      </c>
      <c r="I9671" t="s">
        <v>23</v>
      </c>
    </row>
    <row r="9672" spans="1:9" x14ac:dyDescent="0.25">
      <c r="A9672">
        <v>1825</v>
      </c>
      <c r="B9672">
        <f>A9672+1</f>
        <v>1826</v>
      </c>
      <c r="C9672" t="s">
        <v>531</v>
      </c>
      <c r="D9672" t="s">
        <v>27</v>
      </c>
      <c r="E9672" s="208" t="s">
        <v>141</v>
      </c>
      <c r="F9672" t="s">
        <v>4</v>
      </c>
      <c r="G9672" s="18">
        <v>109</v>
      </c>
      <c r="H9672" t="s">
        <v>16</v>
      </c>
      <c r="I9672" t="s">
        <v>23</v>
      </c>
    </row>
    <row r="9673" spans="1:9" x14ac:dyDescent="0.25">
      <c r="A9673">
        <v>1825</v>
      </c>
      <c r="B9673">
        <f>A9673+1</f>
        <v>1826</v>
      </c>
      <c r="C9673" t="s">
        <v>531</v>
      </c>
      <c r="D9673" t="s">
        <v>27</v>
      </c>
      <c r="E9673" s="208" t="s">
        <v>128</v>
      </c>
      <c r="F9673" t="s">
        <v>4</v>
      </c>
      <c r="G9673" s="18">
        <v>28</v>
      </c>
      <c r="H9673" t="s">
        <v>16</v>
      </c>
      <c r="I9673" t="s">
        <v>23</v>
      </c>
    </row>
    <row r="9674" spans="1:9" x14ac:dyDescent="0.25">
      <c r="A9674">
        <v>1825</v>
      </c>
      <c r="B9674">
        <f>A9674+1</f>
        <v>1826</v>
      </c>
      <c r="C9674" t="s">
        <v>531</v>
      </c>
      <c r="D9674" t="s">
        <v>27</v>
      </c>
      <c r="E9674" s="208" t="s">
        <v>135</v>
      </c>
      <c r="F9674" t="s">
        <v>4</v>
      </c>
      <c r="G9674" s="18">
        <v>113</v>
      </c>
      <c r="H9674" t="s">
        <v>16</v>
      </c>
      <c r="I9674" t="s">
        <v>23</v>
      </c>
    </row>
    <row r="9675" spans="1:9" x14ac:dyDescent="0.25">
      <c r="A9675">
        <v>1825</v>
      </c>
      <c r="B9675">
        <f>A9675+1</f>
        <v>1826</v>
      </c>
      <c r="C9675" t="s">
        <v>531</v>
      </c>
      <c r="D9675" t="s">
        <v>27</v>
      </c>
      <c r="E9675" s="208" t="s">
        <v>138</v>
      </c>
      <c r="F9675" t="s">
        <v>4</v>
      </c>
      <c r="G9675" s="18">
        <v>0</v>
      </c>
      <c r="H9675" t="s">
        <v>16</v>
      </c>
      <c r="I9675" t="s">
        <v>23</v>
      </c>
    </row>
    <row r="9676" spans="1:9" x14ac:dyDescent="0.25">
      <c r="A9676">
        <v>1825</v>
      </c>
      <c r="B9676">
        <f>A9676+1</f>
        <v>1826</v>
      </c>
      <c r="C9676" t="s">
        <v>531</v>
      </c>
      <c r="D9676" t="s">
        <v>27</v>
      </c>
      <c r="E9676" s="208" t="s">
        <v>134</v>
      </c>
      <c r="F9676" t="s">
        <v>4</v>
      </c>
      <c r="G9676" s="18">
        <v>0</v>
      </c>
      <c r="H9676" t="s">
        <v>16</v>
      </c>
      <c r="I9676" t="s">
        <v>23</v>
      </c>
    </row>
    <row r="9677" spans="1:9" x14ac:dyDescent="0.25">
      <c r="A9677">
        <v>1825</v>
      </c>
      <c r="B9677">
        <f>A9677+1</f>
        <v>1826</v>
      </c>
      <c r="C9677" t="s">
        <v>531</v>
      </c>
      <c r="D9677" t="s">
        <v>26</v>
      </c>
      <c r="E9677" s="208" t="s">
        <v>62</v>
      </c>
      <c r="F9677" t="s">
        <v>4</v>
      </c>
      <c r="G9677" s="18">
        <v>47274</v>
      </c>
      <c r="H9677" t="s">
        <v>23</v>
      </c>
      <c r="I9677" t="s">
        <v>16</v>
      </c>
    </row>
    <row r="9678" spans="1:9" x14ac:dyDescent="0.25">
      <c r="A9678">
        <v>1825</v>
      </c>
      <c r="B9678">
        <f>A9678+1</f>
        <v>1826</v>
      </c>
      <c r="C9678" t="s">
        <v>531</v>
      </c>
      <c r="D9678" t="s">
        <v>26</v>
      </c>
      <c r="E9678" s="208" t="s">
        <v>55</v>
      </c>
      <c r="F9678" t="s">
        <v>4</v>
      </c>
      <c r="G9678" s="18">
        <v>8229</v>
      </c>
      <c r="H9678" t="s">
        <v>23</v>
      </c>
      <c r="I9678" t="s">
        <v>16</v>
      </c>
    </row>
    <row r="9679" spans="1:9" x14ac:dyDescent="0.25">
      <c r="A9679">
        <v>1825</v>
      </c>
      <c r="B9679">
        <f>A9679+1</f>
        <v>1826</v>
      </c>
      <c r="C9679" t="s">
        <v>531</v>
      </c>
      <c r="D9679" t="s">
        <v>26</v>
      </c>
      <c r="E9679" s="208" t="s">
        <v>36</v>
      </c>
      <c r="F9679" t="s">
        <v>4</v>
      </c>
      <c r="G9679" s="18">
        <v>1867</v>
      </c>
      <c r="H9679" t="s">
        <v>23</v>
      </c>
      <c r="I9679" t="s">
        <v>16</v>
      </c>
    </row>
    <row r="9680" spans="1:9" x14ac:dyDescent="0.25">
      <c r="A9680">
        <v>1825</v>
      </c>
      <c r="B9680">
        <f>A9680+1</f>
        <v>1826</v>
      </c>
      <c r="C9680" t="s">
        <v>531</v>
      </c>
      <c r="D9680" t="s">
        <v>26</v>
      </c>
      <c r="E9680" s="208" t="s">
        <v>35</v>
      </c>
      <c r="F9680" t="s">
        <v>4</v>
      </c>
      <c r="G9680" s="18">
        <v>0</v>
      </c>
      <c r="H9680" t="s">
        <v>23</v>
      </c>
      <c r="I9680" t="s">
        <v>16</v>
      </c>
    </row>
    <row r="9681" spans="1:9" x14ac:dyDescent="0.25">
      <c r="A9681">
        <v>1825</v>
      </c>
      <c r="B9681">
        <f>A9681+1</f>
        <v>1826</v>
      </c>
      <c r="C9681" t="s">
        <v>531</v>
      </c>
      <c r="D9681" t="s">
        <v>26</v>
      </c>
      <c r="E9681" s="208" t="s">
        <v>40</v>
      </c>
      <c r="F9681" t="s">
        <v>4</v>
      </c>
      <c r="G9681" s="18">
        <v>176105</v>
      </c>
      <c r="H9681" t="s">
        <v>23</v>
      </c>
      <c r="I9681" t="s">
        <v>16</v>
      </c>
    </row>
    <row r="9682" spans="1:9" x14ac:dyDescent="0.25">
      <c r="A9682">
        <v>1825</v>
      </c>
      <c r="B9682">
        <f>A9682+1</f>
        <v>1826</v>
      </c>
      <c r="C9682" t="s">
        <v>531</v>
      </c>
      <c r="D9682" t="s">
        <v>26</v>
      </c>
      <c r="E9682" s="208" t="s">
        <v>99</v>
      </c>
      <c r="F9682" t="s">
        <v>4</v>
      </c>
      <c r="G9682" s="18">
        <v>0</v>
      </c>
      <c r="H9682" t="s">
        <v>23</v>
      </c>
      <c r="I9682" t="s">
        <v>16</v>
      </c>
    </row>
    <row r="9683" spans="1:9" x14ac:dyDescent="0.25">
      <c r="A9683">
        <v>1825</v>
      </c>
      <c r="B9683">
        <f>A9683+1</f>
        <v>1826</v>
      </c>
      <c r="C9683" t="s">
        <v>531</v>
      </c>
      <c r="D9683" t="s">
        <v>26</v>
      </c>
      <c r="E9683" s="208" t="s">
        <v>98</v>
      </c>
      <c r="F9683" t="s">
        <v>4</v>
      </c>
      <c r="G9683" s="18">
        <v>1284101</v>
      </c>
      <c r="H9683" t="s">
        <v>23</v>
      </c>
      <c r="I9683" t="s">
        <v>16</v>
      </c>
    </row>
    <row r="9684" spans="1:9" x14ac:dyDescent="0.25">
      <c r="A9684">
        <v>1825</v>
      </c>
      <c r="B9684">
        <f>A9684+1</f>
        <v>1826</v>
      </c>
      <c r="C9684" t="s">
        <v>531</v>
      </c>
      <c r="D9684" t="s">
        <v>26</v>
      </c>
      <c r="E9684" s="208" t="s">
        <v>352</v>
      </c>
      <c r="F9684" t="s">
        <v>4</v>
      </c>
      <c r="G9684" s="18">
        <v>27563</v>
      </c>
      <c r="H9684" t="s">
        <v>23</v>
      </c>
      <c r="I9684" t="s">
        <v>16</v>
      </c>
    </row>
    <row r="9685" spans="1:9" x14ac:dyDescent="0.25">
      <c r="A9685">
        <v>1825</v>
      </c>
      <c r="B9685">
        <f>A9685+1</f>
        <v>1826</v>
      </c>
      <c r="C9685" t="s">
        <v>531</v>
      </c>
      <c r="D9685" t="s">
        <v>26</v>
      </c>
      <c r="E9685" s="208" t="s">
        <v>107</v>
      </c>
      <c r="F9685" t="s">
        <v>4</v>
      </c>
      <c r="G9685" s="18">
        <v>1632089</v>
      </c>
      <c r="H9685" t="s">
        <v>23</v>
      </c>
      <c r="I9685" t="s">
        <v>16</v>
      </c>
    </row>
    <row r="9686" spans="1:9" x14ac:dyDescent="0.25">
      <c r="A9686">
        <v>1825</v>
      </c>
      <c r="B9686">
        <f>A9686+1</f>
        <v>1826</v>
      </c>
      <c r="C9686" t="s">
        <v>531</v>
      </c>
      <c r="D9686" t="s">
        <v>26</v>
      </c>
      <c r="E9686" s="208" t="s">
        <v>101</v>
      </c>
      <c r="F9686" t="s">
        <v>4</v>
      </c>
      <c r="G9686" s="18">
        <v>4603202</v>
      </c>
      <c r="H9686" t="s">
        <v>23</v>
      </c>
      <c r="I9686" t="s">
        <v>16</v>
      </c>
    </row>
    <row r="9687" spans="1:9" x14ac:dyDescent="0.25">
      <c r="A9687">
        <v>1825</v>
      </c>
      <c r="B9687">
        <f>A9687+1</f>
        <v>1826</v>
      </c>
      <c r="C9687" t="s">
        <v>531</v>
      </c>
      <c r="D9687" t="s">
        <v>26</v>
      </c>
      <c r="E9687" s="208" t="s">
        <v>75</v>
      </c>
      <c r="F9687" t="s">
        <v>4</v>
      </c>
      <c r="G9687" s="18">
        <v>1373259</v>
      </c>
      <c r="H9687" t="s">
        <v>23</v>
      </c>
      <c r="I9687" t="s">
        <v>16</v>
      </c>
    </row>
    <row r="9688" spans="1:9" x14ac:dyDescent="0.25">
      <c r="A9688">
        <v>1825</v>
      </c>
      <c r="B9688">
        <f>A9688+1</f>
        <v>1826</v>
      </c>
      <c r="C9688" t="s">
        <v>531</v>
      </c>
      <c r="D9688" t="s">
        <v>26</v>
      </c>
      <c r="E9688" s="208" t="s">
        <v>66</v>
      </c>
      <c r="F9688" t="s">
        <v>4</v>
      </c>
      <c r="G9688" s="18">
        <v>5480</v>
      </c>
      <c r="H9688" t="s">
        <v>23</v>
      </c>
      <c r="I9688" t="s">
        <v>16</v>
      </c>
    </row>
    <row r="9689" spans="1:9" x14ac:dyDescent="0.25">
      <c r="A9689">
        <v>1825</v>
      </c>
      <c r="B9689">
        <f>A9689+1</f>
        <v>1826</v>
      </c>
      <c r="C9689" t="s">
        <v>531</v>
      </c>
      <c r="D9689" t="s">
        <v>26</v>
      </c>
      <c r="E9689" s="208" t="s">
        <v>330</v>
      </c>
      <c r="F9689" t="s">
        <v>4</v>
      </c>
      <c r="G9689" s="18">
        <v>175</v>
      </c>
      <c r="H9689" t="s">
        <v>23</v>
      </c>
      <c r="I9689" t="s">
        <v>16</v>
      </c>
    </row>
    <row r="9690" spans="1:9" x14ac:dyDescent="0.25">
      <c r="A9690">
        <v>1825</v>
      </c>
      <c r="B9690">
        <f>A9690+1</f>
        <v>1826</v>
      </c>
      <c r="C9690" t="s">
        <v>531</v>
      </c>
      <c r="D9690" t="s">
        <v>26</v>
      </c>
      <c r="E9690" s="208" t="s">
        <v>331</v>
      </c>
      <c r="F9690" t="s">
        <v>4</v>
      </c>
      <c r="G9690" s="18">
        <v>0</v>
      </c>
      <c r="H9690" t="s">
        <v>23</v>
      </c>
      <c r="I9690" t="s">
        <v>16</v>
      </c>
    </row>
    <row r="9691" spans="1:9" x14ac:dyDescent="0.25">
      <c r="A9691">
        <v>1825</v>
      </c>
      <c r="B9691">
        <f>A9691+1</f>
        <v>1826</v>
      </c>
      <c r="C9691" t="s">
        <v>531</v>
      </c>
      <c r="D9691" t="s">
        <v>26</v>
      </c>
      <c r="E9691" s="208" t="s">
        <v>332</v>
      </c>
      <c r="F9691" t="s">
        <v>4</v>
      </c>
      <c r="G9691" s="18">
        <v>0</v>
      </c>
      <c r="H9691" t="s">
        <v>23</v>
      </c>
      <c r="I9691" t="s">
        <v>16</v>
      </c>
    </row>
    <row r="9692" spans="1:9" x14ac:dyDescent="0.25">
      <c r="A9692">
        <v>1825</v>
      </c>
      <c r="B9692">
        <f>A9692+1</f>
        <v>1826</v>
      </c>
      <c r="C9692" t="s">
        <v>531</v>
      </c>
      <c r="D9692" t="s">
        <v>26</v>
      </c>
      <c r="E9692" s="208" t="s">
        <v>333</v>
      </c>
      <c r="F9692" t="s">
        <v>4</v>
      </c>
      <c r="G9692" s="18">
        <v>0</v>
      </c>
      <c r="H9692" t="s">
        <v>23</v>
      </c>
      <c r="I9692" t="s">
        <v>16</v>
      </c>
    </row>
    <row r="9693" spans="1:9" x14ac:dyDescent="0.25">
      <c r="A9693">
        <v>1825</v>
      </c>
      <c r="B9693">
        <f>A9693+1</f>
        <v>1826</v>
      </c>
      <c r="C9693" t="s">
        <v>531</v>
      </c>
      <c r="D9693" t="s">
        <v>26</v>
      </c>
      <c r="E9693" s="208" t="s">
        <v>32</v>
      </c>
      <c r="F9693" t="s">
        <v>4</v>
      </c>
      <c r="G9693" s="18">
        <v>9</v>
      </c>
      <c r="H9693" t="s">
        <v>23</v>
      </c>
      <c r="I9693" t="s">
        <v>16</v>
      </c>
    </row>
    <row r="9694" spans="1:9" x14ac:dyDescent="0.25">
      <c r="A9694">
        <v>1825</v>
      </c>
      <c r="B9694">
        <f>A9694+1</f>
        <v>1826</v>
      </c>
      <c r="C9694" t="s">
        <v>531</v>
      </c>
      <c r="D9694" t="s">
        <v>26</v>
      </c>
      <c r="E9694" s="208" t="s">
        <v>31</v>
      </c>
      <c r="F9694" t="s">
        <v>4</v>
      </c>
      <c r="G9694" s="18">
        <v>226</v>
      </c>
      <c r="H9694" t="s">
        <v>23</v>
      </c>
      <c r="I9694" t="s">
        <v>16</v>
      </c>
    </row>
    <row r="9695" spans="1:9" x14ac:dyDescent="0.25">
      <c r="A9695">
        <v>1825</v>
      </c>
      <c r="B9695">
        <f>A9695+1</f>
        <v>1826</v>
      </c>
      <c r="C9695" t="s">
        <v>531</v>
      </c>
      <c r="D9695" t="s">
        <v>26</v>
      </c>
      <c r="E9695" s="208" t="s">
        <v>110</v>
      </c>
      <c r="F9695" t="s">
        <v>4</v>
      </c>
      <c r="G9695" s="18">
        <v>34000</v>
      </c>
      <c r="H9695" t="s">
        <v>23</v>
      </c>
      <c r="I9695" t="s">
        <v>16</v>
      </c>
    </row>
    <row r="9696" spans="1:9" x14ac:dyDescent="0.25">
      <c r="A9696">
        <v>1825</v>
      </c>
      <c r="B9696">
        <f>A9696+1</f>
        <v>1826</v>
      </c>
      <c r="C9696" t="s">
        <v>531</v>
      </c>
      <c r="D9696" t="s">
        <v>26</v>
      </c>
      <c r="E9696" s="208" t="s">
        <v>103</v>
      </c>
      <c r="F9696" t="s">
        <v>4</v>
      </c>
      <c r="G9696" s="18">
        <v>14551</v>
      </c>
      <c r="H9696" t="s">
        <v>23</v>
      </c>
      <c r="I9696" t="s">
        <v>16</v>
      </c>
    </row>
    <row r="9697" spans="1:9" x14ac:dyDescent="0.25">
      <c r="A9697">
        <v>1825</v>
      </c>
      <c r="B9697">
        <f>A9697+1</f>
        <v>1826</v>
      </c>
      <c r="C9697" t="s">
        <v>531</v>
      </c>
      <c r="D9697" t="s">
        <v>26</v>
      </c>
      <c r="E9697" s="208" t="s">
        <v>497</v>
      </c>
      <c r="F9697" t="s">
        <v>4</v>
      </c>
      <c r="G9697" s="18">
        <v>78165</v>
      </c>
      <c r="H9697" t="s">
        <v>23</v>
      </c>
      <c r="I9697" t="s">
        <v>16</v>
      </c>
    </row>
    <row r="9698" spans="1:9" x14ac:dyDescent="0.25">
      <c r="A9698">
        <v>1825</v>
      </c>
      <c r="B9698">
        <f>A9698+1</f>
        <v>1826</v>
      </c>
      <c r="C9698" t="s">
        <v>531</v>
      </c>
      <c r="D9698" t="s">
        <v>26</v>
      </c>
      <c r="E9698" s="208" t="s">
        <v>501</v>
      </c>
      <c r="F9698" t="s">
        <v>4</v>
      </c>
      <c r="G9698" s="18">
        <v>44890</v>
      </c>
      <c r="H9698" t="s">
        <v>23</v>
      </c>
      <c r="I9698" t="s">
        <v>16</v>
      </c>
    </row>
    <row r="9699" spans="1:9" x14ac:dyDescent="0.25">
      <c r="A9699">
        <v>1825</v>
      </c>
      <c r="B9699">
        <f>A9699+1</f>
        <v>1826</v>
      </c>
      <c r="C9699" t="s">
        <v>531</v>
      </c>
      <c r="D9699" t="s">
        <v>26</v>
      </c>
      <c r="E9699" s="208" t="s">
        <v>111</v>
      </c>
      <c r="F9699" t="s">
        <v>4</v>
      </c>
      <c r="G9699" s="18">
        <v>2003</v>
      </c>
      <c r="H9699" t="s">
        <v>23</v>
      </c>
      <c r="I9699" t="s">
        <v>16</v>
      </c>
    </row>
    <row r="9700" spans="1:9" x14ac:dyDescent="0.25">
      <c r="A9700">
        <v>1825</v>
      </c>
      <c r="B9700">
        <f>A9700+1</f>
        <v>1826</v>
      </c>
      <c r="C9700" t="s">
        <v>531</v>
      </c>
      <c r="D9700" t="s">
        <v>26</v>
      </c>
      <c r="E9700" s="208" t="s">
        <v>49</v>
      </c>
      <c r="F9700" t="s">
        <v>4</v>
      </c>
      <c r="G9700" s="18">
        <v>52216</v>
      </c>
      <c r="H9700" t="s">
        <v>23</v>
      </c>
      <c r="I9700" t="s">
        <v>16</v>
      </c>
    </row>
    <row r="9701" spans="1:9" x14ac:dyDescent="0.25">
      <c r="A9701">
        <v>1825</v>
      </c>
      <c r="B9701">
        <f>A9701+1</f>
        <v>1826</v>
      </c>
      <c r="C9701" t="s">
        <v>531</v>
      </c>
      <c r="D9701" t="s">
        <v>26</v>
      </c>
      <c r="E9701" s="208" t="s">
        <v>499</v>
      </c>
      <c r="F9701" t="s">
        <v>4</v>
      </c>
      <c r="G9701" s="18">
        <v>691</v>
      </c>
      <c r="H9701" t="s">
        <v>23</v>
      </c>
      <c r="I9701" t="s">
        <v>16</v>
      </c>
    </row>
    <row r="9702" spans="1:9" x14ac:dyDescent="0.25">
      <c r="A9702">
        <v>1825</v>
      </c>
      <c r="B9702">
        <f>A9702+1</f>
        <v>1826</v>
      </c>
      <c r="C9702" t="s">
        <v>531</v>
      </c>
      <c r="D9702" t="s">
        <v>26</v>
      </c>
      <c r="E9702" s="208" t="s">
        <v>500</v>
      </c>
      <c r="F9702" t="s">
        <v>4</v>
      </c>
      <c r="G9702" s="18">
        <v>61</v>
      </c>
      <c r="H9702" t="s">
        <v>23</v>
      </c>
      <c r="I9702" t="s">
        <v>16</v>
      </c>
    </row>
    <row r="9703" spans="1:9" x14ac:dyDescent="0.25">
      <c r="A9703">
        <v>1825</v>
      </c>
      <c r="B9703">
        <f>A9703+1</f>
        <v>1826</v>
      </c>
      <c r="C9703" t="s">
        <v>531</v>
      </c>
      <c r="D9703" t="s">
        <v>27</v>
      </c>
      <c r="E9703" s="208" t="s">
        <v>155</v>
      </c>
      <c r="F9703" t="s">
        <v>7</v>
      </c>
      <c r="G9703" s="18">
        <v>24233</v>
      </c>
      <c r="H9703" t="s">
        <v>16</v>
      </c>
      <c r="I9703" s="151" t="s">
        <v>562</v>
      </c>
    </row>
    <row r="9704" spans="1:9" x14ac:dyDescent="0.25">
      <c r="A9704">
        <v>1825</v>
      </c>
      <c r="B9704">
        <f>A9704+1</f>
        <v>1826</v>
      </c>
      <c r="C9704" t="s">
        <v>531</v>
      </c>
      <c r="D9704" t="s">
        <v>27</v>
      </c>
      <c r="E9704" s="208" t="s">
        <v>156</v>
      </c>
      <c r="F9704" t="s">
        <v>7</v>
      </c>
      <c r="G9704" s="18">
        <v>1816</v>
      </c>
      <c r="H9704" t="s">
        <v>16</v>
      </c>
      <c r="I9704" s="151" t="s">
        <v>562</v>
      </c>
    </row>
    <row r="9705" spans="1:9" x14ac:dyDescent="0.25">
      <c r="A9705">
        <v>1825</v>
      </c>
      <c r="B9705">
        <f>A9705+1</f>
        <v>1826</v>
      </c>
      <c r="C9705" t="s">
        <v>531</v>
      </c>
      <c r="D9705" t="s">
        <v>27</v>
      </c>
      <c r="E9705" s="208" t="s">
        <v>154</v>
      </c>
      <c r="F9705" t="s">
        <v>7</v>
      </c>
      <c r="G9705" s="18">
        <v>1672</v>
      </c>
      <c r="H9705" t="s">
        <v>16</v>
      </c>
      <c r="I9705" s="151" t="s">
        <v>562</v>
      </c>
    </row>
    <row r="9706" spans="1:9" x14ac:dyDescent="0.25">
      <c r="A9706">
        <v>1825</v>
      </c>
      <c r="B9706">
        <f>A9706+1</f>
        <v>1826</v>
      </c>
      <c r="C9706" t="s">
        <v>531</v>
      </c>
      <c r="D9706" t="s">
        <v>27</v>
      </c>
      <c r="E9706" s="208" t="s">
        <v>150</v>
      </c>
      <c r="F9706" t="s">
        <v>7</v>
      </c>
      <c r="G9706" s="18">
        <v>8266</v>
      </c>
      <c r="H9706" t="s">
        <v>16</v>
      </c>
      <c r="I9706" s="151" t="s">
        <v>562</v>
      </c>
    </row>
    <row r="9707" spans="1:9" x14ac:dyDescent="0.25">
      <c r="A9707">
        <v>1825</v>
      </c>
      <c r="B9707">
        <f>A9707+1</f>
        <v>1826</v>
      </c>
      <c r="C9707" t="s">
        <v>531</v>
      </c>
      <c r="D9707" t="s">
        <v>27</v>
      </c>
      <c r="E9707" s="208" t="s">
        <v>148</v>
      </c>
      <c r="F9707" t="s">
        <v>7</v>
      </c>
      <c r="G9707" s="18">
        <v>922</v>
      </c>
      <c r="H9707" t="s">
        <v>16</v>
      </c>
      <c r="I9707" s="151" t="s">
        <v>562</v>
      </c>
    </row>
    <row r="9708" spans="1:9" x14ac:dyDescent="0.25">
      <c r="A9708">
        <v>1825</v>
      </c>
      <c r="B9708">
        <f>A9708+1</f>
        <v>1826</v>
      </c>
      <c r="C9708" t="s">
        <v>531</v>
      </c>
      <c r="D9708" t="s">
        <v>27</v>
      </c>
      <c r="E9708" s="208" t="s">
        <v>147</v>
      </c>
      <c r="F9708" t="s">
        <v>7</v>
      </c>
      <c r="G9708" s="18">
        <v>1721</v>
      </c>
      <c r="H9708" t="s">
        <v>16</v>
      </c>
      <c r="I9708" s="151" t="s">
        <v>562</v>
      </c>
    </row>
    <row r="9709" spans="1:9" x14ac:dyDescent="0.25">
      <c r="A9709">
        <v>1825</v>
      </c>
      <c r="B9709">
        <f>A9709+1</f>
        <v>1826</v>
      </c>
      <c r="C9709" t="s">
        <v>531</v>
      </c>
      <c r="D9709" t="s">
        <v>27</v>
      </c>
      <c r="E9709" s="208" t="s">
        <v>139</v>
      </c>
      <c r="F9709" t="s">
        <v>7</v>
      </c>
      <c r="G9709" s="18">
        <v>17</v>
      </c>
      <c r="H9709" t="s">
        <v>16</v>
      </c>
      <c r="I9709" s="151" t="s">
        <v>562</v>
      </c>
    </row>
    <row r="9710" spans="1:9" x14ac:dyDescent="0.25">
      <c r="A9710">
        <v>1825</v>
      </c>
      <c r="B9710">
        <f>A9710+1</f>
        <v>1826</v>
      </c>
      <c r="C9710" t="s">
        <v>531</v>
      </c>
      <c r="D9710" t="s">
        <v>27</v>
      </c>
      <c r="E9710" s="208" t="s">
        <v>132</v>
      </c>
      <c r="F9710" t="s">
        <v>7</v>
      </c>
      <c r="G9710" s="18">
        <v>441</v>
      </c>
      <c r="H9710" t="s">
        <v>16</v>
      </c>
      <c r="I9710" s="151" t="s">
        <v>562</v>
      </c>
    </row>
    <row r="9711" spans="1:9" x14ac:dyDescent="0.25">
      <c r="A9711">
        <v>1825</v>
      </c>
      <c r="B9711">
        <f>A9711+1</f>
        <v>1826</v>
      </c>
      <c r="C9711" t="s">
        <v>531</v>
      </c>
      <c r="D9711" t="s">
        <v>27</v>
      </c>
      <c r="E9711" s="208" t="s">
        <v>130</v>
      </c>
      <c r="F9711" t="s">
        <v>7</v>
      </c>
      <c r="G9711" s="18">
        <v>1</v>
      </c>
      <c r="H9711" t="s">
        <v>16</v>
      </c>
      <c r="I9711" s="151" t="s">
        <v>562</v>
      </c>
    </row>
    <row r="9712" spans="1:9" x14ac:dyDescent="0.25">
      <c r="A9712">
        <v>1825</v>
      </c>
      <c r="B9712">
        <f>A9712+1</f>
        <v>1826</v>
      </c>
      <c r="C9712" t="s">
        <v>531</v>
      </c>
      <c r="D9712" t="s">
        <v>27</v>
      </c>
      <c r="E9712" s="208" t="s">
        <v>143</v>
      </c>
      <c r="F9712" t="s">
        <v>7</v>
      </c>
      <c r="G9712" s="18">
        <v>361</v>
      </c>
      <c r="H9712" t="s">
        <v>16</v>
      </c>
      <c r="I9712" s="151" t="s">
        <v>562</v>
      </c>
    </row>
    <row r="9713" spans="1:9" x14ac:dyDescent="0.25">
      <c r="A9713">
        <v>1825</v>
      </c>
      <c r="B9713">
        <f>A9713+1</f>
        <v>1826</v>
      </c>
      <c r="C9713" t="s">
        <v>531</v>
      </c>
      <c r="D9713" t="s">
        <v>27</v>
      </c>
      <c r="E9713" s="208" t="s">
        <v>142</v>
      </c>
      <c r="F9713" t="s">
        <v>7</v>
      </c>
      <c r="G9713" s="18">
        <v>3900</v>
      </c>
      <c r="H9713" t="s">
        <v>16</v>
      </c>
      <c r="I9713" s="151" t="s">
        <v>562</v>
      </c>
    </row>
    <row r="9714" spans="1:9" x14ac:dyDescent="0.25">
      <c r="A9714">
        <v>1825</v>
      </c>
      <c r="B9714">
        <f>A9714+1</f>
        <v>1826</v>
      </c>
      <c r="C9714" t="s">
        <v>531</v>
      </c>
      <c r="D9714" t="s">
        <v>27</v>
      </c>
      <c r="E9714" s="208" t="s">
        <v>124</v>
      </c>
      <c r="F9714" t="s">
        <v>7</v>
      </c>
      <c r="G9714" s="18">
        <v>12487336</v>
      </c>
      <c r="H9714" t="s">
        <v>16</v>
      </c>
      <c r="I9714" s="151" t="s">
        <v>562</v>
      </c>
    </row>
    <row r="9715" spans="1:9" x14ac:dyDescent="0.25">
      <c r="A9715">
        <v>1825</v>
      </c>
      <c r="B9715">
        <f>A9715+1</f>
        <v>1826</v>
      </c>
      <c r="C9715" t="s">
        <v>531</v>
      </c>
      <c r="D9715" t="s">
        <v>27</v>
      </c>
      <c r="E9715" s="208" t="s">
        <v>115</v>
      </c>
      <c r="F9715" t="s">
        <v>7</v>
      </c>
      <c r="G9715" s="18">
        <v>160</v>
      </c>
      <c r="H9715" t="s">
        <v>16</v>
      </c>
      <c r="I9715" s="151" t="s">
        <v>562</v>
      </c>
    </row>
    <row r="9716" spans="1:9" x14ac:dyDescent="0.25">
      <c r="A9716">
        <v>1825</v>
      </c>
      <c r="B9716">
        <f>A9716+1</f>
        <v>1826</v>
      </c>
      <c r="C9716" t="s">
        <v>531</v>
      </c>
      <c r="D9716" t="s">
        <v>27</v>
      </c>
      <c r="E9716" s="208" t="s">
        <v>116</v>
      </c>
      <c r="F9716" t="s">
        <v>7</v>
      </c>
      <c r="G9716" s="18">
        <v>256</v>
      </c>
      <c r="H9716" t="s">
        <v>16</v>
      </c>
      <c r="I9716" s="151" t="s">
        <v>562</v>
      </c>
    </row>
    <row r="9717" spans="1:9" x14ac:dyDescent="0.25">
      <c r="A9717">
        <v>1825</v>
      </c>
      <c r="B9717">
        <f>A9717+1</f>
        <v>1826</v>
      </c>
      <c r="C9717" t="s">
        <v>531</v>
      </c>
      <c r="D9717" t="s">
        <v>27</v>
      </c>
      <c r="E9717" s="208" t="s">
        <v>136</v>
      </c>
      <c r="F9717" t="s">
        <v>7</v>
      </c>
      <c r="G9717" s="18">
        <v>93</v>
      </c>
      <c r="H9717" t="s">
        <v>16</v>
      </c>
      <c r="I9717" s="151" t="s">
        <v>562</v>
      </c>
    </row>
    <row r="9718" spans="1:9" x14ac:dyDescent="0.25">
      <c r="A9718">
        <v>1825</v>
      </c>
      <c r="B9718">
        <f>A9718+1</f>
        <v>1826</v>
      </c>
      <c r="C9718" t="s">
        <v>531</v>
      </c>
      <c r="D9718" t="s">
        <v>27</v>
      </c>
      <c r="E9718" s="208" t="s">
        <v>157</v>
      </c>
      <c r="F9718" t="s">
        <v>7</v>
      </c>
      <c r="G9718" s="18">
        <v>750</v>
      </c>
      <c r="H9718" t="s">
        <v>16</v>
      </c>
      <c r="I9718" s="151" t="s">
        <v>562</v>
      </c>
    </row>
    <row r="9719" spans="1:9" x14ac:dyDescent="0.25">
      <c r="A9719">
        <v>1825</v>
      </c>
      <c r="B9719">
        <f>A9719+1</f>
        <v>1826</v>
      </c>
      <c r="C9719" t="s">
        <v>531</v>
      </c>
      <c r="D9719" t="s">
        <v>27</v>
      </c>
      <c r="E9719" s="208" t="s">
        <v>74</v>
      </c>
      <c r="F9719" t="s">
        <v>7</v>
      </c>
      <c r="G9719" s="18">
        <v>2154</v>
      </c>
      <c r="H9719" t="s">
        <v>16</v>
      </c>
      <c r="I9719" s="151" t="s">
        <v>562</v>
      </c>
    </row>
    <row r="9720" spans="1:9" x14ac:dyDescent="0.25">
      <c r="A9720">
        <v>1825</v>
      </c>
      <c r="B9720">
        <f>A9720+1</f>
        <v>1826</v>
      </c>
      <c r="C9720" t="s">
        <v>531</v>
      </c>
      <c r="D9720" t="s">
        <v>27</v>
      </c>
      <c r="E9720" s="208" t="s">
        <v>129</v>
      </c>
      <c r="F9720" t="s">
        <v>7</v>
      </c>
      <c r="G9720" s="18">
        <v>175.5</v>
      </c>
      <c r="H9720" t="s">
        <v>16</v>
      </c>
      <c r="I9720" s="151" t="s">
        <v>562</v>
      </c>
    </row>
    <row r="9721" spans="1:9" x14ac:dyDescent="0.25">
      <c r="A9721">
        <v>1825</v>
      </c>
      <c r="B9721">
        <f>A9721+1</f>
        <v>1826</v>
      </c>
      <c r="C9721" t="s">
        <v>531</v>
      </c>
      <c r="D9721" t="s">
        <v>27</v>
      </c>
      <c r="E9721" s="208" t="s">
        <v>141</v>
      </c>
      <c r="F9721" t="s">
        <v>7</v>
      </c>
      <c r="G9721" s="18">
        <v>755</v>
      </c>
      <c r="H9721" t="s">
        <v>16</v>
      </c>
      <c r="I9721" s="151" t="s">
        <v>562</v>
      </c>
    </row>
    <row r="9722" spans="1:9" x14ac:dyDescent="0.25">
      <c r="A9722">
        <v>1825</v>
      </c>
      <c r="B9722">
        <f>A9722+1</f>
        <v>1826</v>
      </c>
      <c r="C9722" t="s">
        <v>531</v>
      </c>
      <c r="D9722" t="s">
        <v>27</v>
      </c>
      <c r="E9722" s="208" t="s">
        <v>128</v>
      </c>
      <c r="F9722" t="s">
        <v>7</v>
      </c>
      <c r="G9722" s="18">
        <v>205</v>
      </c>
      <c r="H9722" t="s">
        <v>16</v>
      </c>
      <c r="I9722" s="151" t="s">
        <v>562</v>
      </c>
    </row>
    <row r="9723" spans="1:9" x14ac:dyDescent="0.25">
      <c r="A9723">
        <v>1825</v>
      </c>
      <c r="B9723">
        <f>A9723+1</f>
        <v>1826</v>
      </c>
      <c r="C9723" t="s">
        <v>531</v>
      </c>
      <c r="D9723" t="s">
        <v>27</v>
      </c>
      <c r="E9723" s="208" t="s">
        <v>135</v>
      </c>
      <c r="F9723" t="s">
        <v>7</v>
      </c>
      <c r="G9723" s="18">
        <v>339</v>
      </c>
      <c r="H9723" t="s">
        <v>16</v>
      </c>
      <c r="I9723" s="151" t="s">
        <v>562</v>
      </c>
    </row>
    <row r="9724" spans="1:9" x14ac:dyDescent="0.25">
      <c r="A9724">
        <v>1825</v>
      </c>
      <c r="B9724">
        <f>A9724+1</f>
        <v>1826</v>
      </c>
      <c r="C9724" t="s">
        <v>531</v>
      </c>
      <c r="D9724" t="s">
        <v>27</v>
      </c>
      <c r="E9724" s="208" t="s">
        <v>138</v>
      </c>
      <c r="F9724" t="s">
        <v>7</v>
      </c>
      <c r="G9724" s="18">
        <v>741</v>
      </c>
      <c r="H9724" t="s">
        <v>16</v>
      </c>
      <c r="I9724" s="151" t="s">
        <v>562</v>
      </c>
    </row>
    <row r="9725" spans="1:9" x14ac:dyDescent="0.25">
      <c r="A9725">
        <v>1825</v>
      </c>
      <c r="B9725">
        <f>A9725+1</f>
        <v>1826</v>
      </c>
      <c r="C9725" t="s">
        <v>531</v>
      </c>
      <c r="D9725" t="s">
        <v>27</v>
      </c>
      <c r="E9725" s="208" t="s">
        <v>134</v>
      </c>
      <c r="F9725" t="s">
        <v>7</v>
      </c>
      <c r="G9725" s="18">
        <v>3560</v>
      </c>
      <c r="H9725" t="s">
        <v>16</v>
      </c>
      <c r="I9725" s="151" t="s">
        <v>562</v>
      </c>
    </row>
    <row r="9726" spans="1:9" x14ac:dyDescent="0.25">
      <c r="A9726">
        <v>1825</v>
      </c>
      <c r="B9726">
        <f>A9726+1</f>
        <v>1826</v>
      </c>
      <c r="C9726" t="s">
        <v>531</v>
      </c>
      <c r="D9726" t="s">
        <v>26</v>
      </c>
      <c r="E9726" s="208" t="s">
        <v>62</v>
      </c>
      <c r="F9726" t="s">
        <v>7</v>
      </c>
      <c r="G9726" s="18">
        <v>54555</v>
      </c>
      <c r="H9726" s="151" t="s">
        <v>563</v>
      </c>
      <c r="I9726" t="s">
        <v>16</v>
      </c>
    </row>
    <row r="9727" spans="1:9" x14ac:dyDescent="0.25">
      <c r="A9727">
        <v>1825</v>
      </c>
      <c r="B9727">
        <f>A9727+1</f>
        <v>1826</v>
      </c>
      <c r="C9727" t="s">
        <v>531</v>
      </c>
      <c r="D9727" t="s">
        <v>26</v>
      </c>
      <c r="E9727" s="208" t="s">
        <v>55</v>
      </c>
      <c r="F9727" t="s">
        <v>7</v>
      </c>
      <c r="G9727" s="18">
        <v>8235</v>
      </c>
      <c r="H9727" s="151" t="s">
        <v>563</v>
      </c>
      <c r="I9727" t="s">
        <v>16</v>
      </c>
    </row>
    <row r="9728" spans="1:9" x14ac:dyDescent="0.25">
      <c r="A9728">
        <v>1825</v>
      </c>
      <c r="B9728">
        <f>A9728+1</f>
        <v>1826</v>
      </c>
      <c r="C9728" t="s">
        <v>531</v>
      </c>
      <c r="D9728" t="s">
        <v>26</v>
      </c>
      <c r="E9728" s="208" t="s">
        <v>36</v>
      </c>
      <c r="F9728" t="s">
        <v>7</v>
      </c>
      <c r="G9728" s="18">
        <v>2783</v>
      </c>
      <c r="H9728" s="151" t="s">
        <v>563</v>
      </c>
      <c r="I9728" t="s">
        <v>16</v>
      </c>
    </row>
    <row r="9729" spans="1:9" x14ac:dyDescent="0.25">
      <c r="A9729">
        <v>1825</v>
      </c>
      <c r="B9729">
        <f>A9729+1</f>
        <v>1826</v>
      </c>
      <c r="C9729" t="s">
        <v>531</v>
      </c>
      <c r="D9729" t="s">
        <v>26</v>
      </c>
      <c r="E9729" s="208" t="s">
        <v>35</v>
      </c>
      <c r="F9729" t="s">
        <v>7</v>
      </c>
      <c r="G9729" s="18">
        <v>3356</v>
      </c>
      <c r="H9729" s="151" t="s">
        <v>563</v>
      </c>
      <c r="I9729" t="s">
        <v>16</v>
      </c>
    </row>
    <row r="9730" spans="1:9" x14ac:dyDescent="0.25">
      <c r="A9730">
        <v>1825</v>
      </c>
      <c r="B9730">
        <f>A9730+1</f>
        <v>1826</v>
      </c>
      <c r="C9730" t="s">
        <v>531</v>
      </c>
      <c r="D9730" t="s">
        <v>26</v>
      </c>
      <c r="E9730" s="208" t="s">
        <v>40</v>
      </c>
      <c r="F9730" t="s">
        <v>7</v>
      </c>
      <c r="G9730" s="18">
        <v>207841</v>
      </c>
      <c r="H9730" s="151" t="s">
        <v>563</v>
      </c>
      <c r="I9730" t="s">
        <v>16</v>
      </c>
    </row>
    <row r="9731" spans="1:9" x14ac:dyDescent="0.25">
      <c r="A9731">
        <v>1825</v>
      </c>
      <c r="B9731">
        <f>A9731+1</f>
        <v>1826</v>
      </c>
      <c r="C9731" t="s">
        <v>531</v>
      </c>
      <c r="D9731" t="s">
        <v>26</v>
      </c>
      <c r="E9731" s="208" t="s">
        <v>99</v>
      </c>
      <c r="F9731" t="s">
        <v>7</v>
      </c>
      <c r="G9731" s="18">
        <v>219</v>
      </c>
      <c r="H9731" s="151" t="s">
        <v>563</v>
      </c>
      <c r="I9731" t="s">
        <v>16</v>
      </c>
    </row>
    <row r="9732" spans="1:9" x14ac:dyDescent="0.25">
      <c r="A9732">
        <v>1825</v>
      </c>
      <c r="B9732">
        <f>A9732+1</f>
        <v>1826</v>
      </c>
      <c r="C9732" t="s">
        <v>531</v>
      </c>
      <c r="D9732" t="s">
        <v>26</v>
      </c>
      <c r="E9732" s="208" t="s">
        <v>98</v>
      </c>
      <c r="F9732" t="s">
        <v>7</v>
      </c>
      <c r="G9732" s="18">
        <v>1313447</v>
      </c>
      <c r="H9732" s="151" t="s">
        <v>563</v>
      </c>
      <c r="I9732" t="s">
        <v>16</v>
      </c>
    </row>
    <row r="9733" spans="1:9" x14ac:dyDescent="0.25">
      <c r="A9733">
        <v>1825</v>
      </c>
      <c r="B9733">
        <f>A9733+1</f>
        <v>1826</v>
      </c>
      <c r="C9733" t="s">
        <v>531</v>
      </c>
      <c r="D9733" t="s">
        <v>26</v>
      </c>
      <c r="E9733" s="208" t="s">
        <v>352</v>
      </c>
      <c r="F9733" t="s">
        <v>7</v>
      </c>
      <c r="G9733" s="18">
        <v>35961</v>
      </c>
      <c r="H9733" s="151" t="s">
        <v>563</v>
      </c>
      <c r="I9733" t="s">
        <v>16</v>
      </c>
    </row>
    <row r="9734" spans="1:9" x14ac:dyDescent="0.25">
      <c r="A9734">
        <v>1825</v>
      </c>
      <c r="B9734">
        <f>A9734+1</f>
        <v>1826</v>
      </c>
      <c r="C9734" t="s">
        <v>531</v>
      </c>
      <c r="D9734" t="s">
        <v>26</v>
      </c>
      <c r="E9734" s="208" t="s">
        <v>107</v>
      </c>
      <c r="F9734" t="s">
        <v>7</v>
      </c>
      <c r="G9734" s="18">
        <v>1793755</v>
      </c>
      <c r="H9734" s="151" t="s">
        <v>563</v>
      </c>
      <c r="I9734" t="s">
        <v>16</v>
      </c>
    </row>
    <row r="9735" spans="1:9" x14ac:dyDescent="0.25">
      <c r="A9735">
        <v>1825</v>
      </c>
      <c r="B9735">
        <f>A9735+1</f>
        <v>1826</v>
      </c>
      <c r="C9735" t="s">
        <v>531</v>
      </c>
      <c r="D9735" t="s">
        <v>26</v>
      </c>
      <c r="E9735" s="208" t="s">
        <v>101</v>
      </c>
      <c r="F9735" t="s">
        <v>7</v>
      </c>
      <c r="G9735" s="18">
        <v>4851182</v>
      </c>
      <c r="H9735" s="151" t="s">
        <v>563</v>
      </c>
      <c r="I9735" t="s">
        <v>16</v>
      </c>
    </row>
    <row r="9736" spans="1:9" x14ac:dyDescent="0.25">
      <c r="A9736">
        <v>1825</v>
      </c>
      <c r="B9736">
        <f>A9736+1</f>
        <v>1826</v>
      </c>
      <c r="C9736" t="s">
        <v>531</v>
      </c>
      <c r="D9736" t="s">
        <v>26</v>
      </c>
      <c r="E9736" s="208" t="s">
        <v>75</v>
      </c>
      <c r="F9736" t="s">
        <v>7</v>
      </c>
      <c r="G9736" s="18">
        <v>2051486</v>
      </c>
      <c r="H9736" s="151" t="s">
        <v>563</v>
      </c>
      <c r="I9736" t="s">
        <v>16</v>
      </c>
    </row>
    <row r="9737" spans="1:9" x14ac:dyDescent="0.25">
      <c r="A9737">
        <v>1825</v>
      </c>
      <c r="B9737">
        <f>A9737+1</f>
        <v>1826</v>
      </c>
      <c r="C9737" t="s">
        <v>531</v>
      </c>
      <c r="D9737" t="s">
        <v>26</v>
      </c>
      <c r="E9737" s="208" t="s">
        <v>66</v>
      </c>
      <c r="F9737" t="s">
        <v>7</v>
      </c>
      <c r="G9737" s="18">
        <v>88980</v>
      </c>
      <c r="H9737" s="151" t="s">
        <v>563</v>
      </c>
      <c r="I9737" t="s">
        <v>16</v>
      </c>
    </row>
    <row r="9738" spans="1:9" x14ac:dyDescent="0.25">
      <c r="A9738">
        <v>1825</v>
      </c>
      <c r="B9738">
        <f>A9738+1</f>
        <v>1826</v>
      </c>
      <c r="C9738" t="s">
        <v>531</v>
      </c>
      <c r="D9738" t="s">
        <v>26</v>
      </c>
      <c r="E9738" s="208" t="s">
        <v>330</v>
      </c>
      <c r="F9738" t="s">
        <v>7</v>
      </c>
      <c r="G9738" s="18">
        <v>264</v>
      </c>
      <c r="H9738" s="151" t="s">
        <v>563</v>
      </c>
      <c r="I9738" t="s">
        <v>16</v>
      </c>
    </row>
    <row r="9739" spans="1:9" x14ac:dyDescent="0.25">
      <c r="A9739">
        <v>1825</v>
      </c>
      <c r="B9739">
        <f>A9739+1</f>
        <v>1826</v>
      </c>
      <c r="C9739" t="s">
        <v>531</v>
      </c>
      <c r="D9739" t="s">
        <v>26</v>
      </c>
      <c r="E9739" s="208" t="s">
        <v>331</v>
      </c>
      <c r="F9739" t="s">
        <v>7</v>
      </c>
      <c r="G9739" s="18">
        <v>174</v>
      </c>
      <c r="H9739" s="151" t="s">
        <v>563</v>
      </c>
      <c r="I9739" t="s">
        <v>16</v>
      </c>
    </row>
    <row r="9740" spans="1:9" x14ac:dyDescent="0.25">
      <c r="A9740">
        <v>1825</v>
      </c>
      <c r="B9740">
        <f>A9740+1</f>
        <v>1826</v>
      </c>
      <c r="C9740" t="s">
        <v>531</v>
      </c>
      <c r="D9740" t="s">
        <v>26</v>
      </c>
      <c r="E9740" s="208" t="s">
        <v>332</v>
      </c>
      <c r="F9740" t="s">
        <v>7</v>
      </c>
      <c r="G9740" s="18">
        <v>64</v>
      </c>
      <c r="H9740" s="151" t="s">
        <v>563</v>
      </c>
      <c r="I9740" t="s">
        <v>16</v>
      </c>
    </row>
    <row r="9741" spans="1:9" x14ac:dyDescent="0.25">
      <c r="A9741">
        <v>1825</v>
      </c>
      <c r="B9741">
        <f>A9741+1</f>
        <v>1826</v>
      </c>
      <c r="C9741" t="s">
        <v>531</v>
      </c>
      <c r="D9741" t="s">
        <v>26</v>
      </c>
      <c r="E9741" s="208" t="s">
        <v>333</v>
      </c>
      <c r="F9741" t="s">
        <v>7</v>
      </c>
      <c r="G9741" s="18">
        <v>61</v>
      </c>
      <c r="H9741" s="151" t="s">
        <v>563</v>
      </c>
      <c r="I9741" t="s">
        <v>16</v>
      </c>
    </row>
    <row r="9742" spans="1:9" x14ac:dyDescent="0.25">
      <c r="A9742">
        <v>1825</v>
      </c>
      <c r="B9742">
        <f>A9742+1</f>
        <v>1826</v>
      </c>
      <c r="C9742" t="s">
        <v>531</v>
      </c>
      <c r="D9742" t="s">
        <v>26</v>
      </c>
      <c r="E9742" s="208" t="s">
        <v>32</v>
      </c>
      <c r="F9742" t="s">
        <v>7</v>
      </c>
      <c r="G9742" s="18">
        <v>9</v>
      </c>
      <c r="H9742" s="151" t="s">
        <v>563</v>
      </c>
      <c r="I9742" t="s">
        <v>16</v>
      </c>
    </row>
    <row r="9743" spans="1:9" x14ac:dyDescent="0.25">
      <c r="A9743">
        <v>1825</v>
      </c>
      <c r="B9743">
        <f>A9743+1</f>
        <v>1826</v>
      </c>
      <c r="C9743" t="s">
        <v>531</v>
      </c>
      <c r="D9743" t="s">
        <v>26</v>
      </c>
      <c r="E9743" s="208" t="s">
        <v>31</v>
      </c>
      <c r="F9743" t="s">
        <v>7</v>
      </c>
      <c r="G9743" s="18">
        <v>226</v>
      </c>
      <c r="H9743" s="151" t="s">
        <v>563</v>
      </c>
      <c r="I9743" t="s">
        <v>16</v>
      </c>
    </row>
    <row r="9744" spans="1:9" x14ac:dyDescent="0.25">
      <c r="A9744">
        <v>1825</v>
      </c>
      <c r="B9744">
        <f>A9744+1</f>
        <v>1826</v>
      </c>
      <c r="C9744" t="s">
        <v>531</v>
      </c>
      <c r="D9744" t="s">
        <v>26</v>
      </c>
      <c r="E9744" s="208" t="s">
        <v>110</v>
      </c>
      <c r="F9744" t="s">
        <v>7</v>
      </c>
      <c r="G9744" s="18">
        <v>34000</v>
      </c>
      <c r="H9744" s="151" t="s">
        <v>563</v>
      </c>
      <c r="I9744" t="s">
        <v>16</v>
      </c>
    </row>
    <row r="9745" spans="1:9" x14ac:dyDescent="0.25">
      <c r="A9745">
        <v>1825</v>
      </c>
      <c r="B9745">
        <f>A9745+1</f>
        <v>1826</v>
      </c>
      <c r="C9745" t="s">
        <v>531</v>
      </c>
      <c r="D9745" t="s">
        <v>26</v>
      </c>
      <c r="E9745" s="208" t="s">
        <v>103</v>
      </c>
      <c r="F9745" t="s">
        <v>7</v>
      </c>
      <c r="G9745" s="18">
        <v>14551</v>
      </c>
      <c r="H9745" s="151" t="s">
        <v>563</v>
      </c>
      <c r="I9745" t="s">
        <v>16</v>
      </c>
    </row>
    <row r="9746" spans="1:9" x14ac:dyDescent="0.25">
      <c r="A9746">
        <v>1825</v>
      </c>
      <c r="B9746">
        <f>A9746+1</f>
        <v>1826</v>
      </c>
      <c r="C9746" t="s">
        <v>531</v>
      </c>
      <c r="D9746" t="s">
        <v>26</v>
      </c>
      <c r="E9746" s="208" t="s">
        <v>497</v>
      </c>
      <c r="F9746" t="s">
        <v>7</v>
      </c>
      <c r="G9746" s="18">
        <v>78165</v>
      </c>
      <c r="H9746" s="151" t="s">
        <v>563</v>
      </c>
      <c r="I9746" t="s">
        <v>16</v>
      </c>
    </row>
    <row r="9747" spans="1:9" x14ac:dyDescent="0.25">
      <c r="A9747">
        <v>1825</v>
      </c>
      <c r="B9747">
        <f>A9747+1</f>
        <v>1826</v>
      </c>
      <c r="C9747" t="s">
        <v>531</v>
      </c>
      <c r="D9747" t="s">
        <v>26</v>
      </c>
      <c r="E9747" s="208" t="s">
        <v>501</v>
      </c>
      <c r="F9747" t="s">
        <v>7</v>
      </c>
      <c r="G9747" s="18">
        <v>44890</v>
      </c>
      <c r="H9747" s="151" t="s">
        <v>563</v>
      </c>
      <c r="I9747" t="s">
        <v>16</v>
      </c>
    </row>
    <row r="9748" spans="1:9" x14ac:dyDescent="0.25">
      <c r="A9748">
        <v>1825</v>
      </c>
      <c r="B9748">
        <f>A9748+1</f>
        <v>1826</v>
      </c>
      <c r="C9748" t="s">
        <v>531</v>
      </c>
      <c r="D9748" t="s">
        <v>26</v>
      </c>
      <c r="E9748" s="208" t="s">
        <v>111</v>
      </c>
      <c r="F9748" t="s">
        <v>7</v>
      </c>
      <c r="G9748" s="18">
        <v>2003</v>
      </c>
      <c r="H9748" s="151" t="s">
        <v>563</v>
      </c>
      <c r="I9748" t="s">
        <v>16</v>
      </c>
    </row>
    <row r="9749" spans="1:9" x14ac:dyDescent="0.25">
      <c r="A9749">
        <v>1825</v>
      </c>
      <c r="B9749">
        <f>A9749+1</f>
        <v>1826</v>
      </c>
      <c r="C9749" t="s">
        <v>531</v>
      </c>
      <c r="D9749" t="s">
        <v>26</v>
      </c>
      <c r="E9749" s="208" t="s">
        <v>49</v>
      </c>
      <c r="F9749" t="s">
        <v>7</v>
      </c>
      <c r="G9749" s="18">
        <v>52216</v>
      </c>
      <c r="H9749" s="151" t="s">
        <v>563</v>
      </c>
      <c r="I9749" t="s">
        <v>16</v>
      </c>
    </row>
    <row r="9750" spans="1:9" x14ac:dyDescent="0.25">
      <c r="A9750">
        <v>1825</v>
      </c>
      <c r="B9750">
        <f>A9750+1</f>
        <v>1826</v>
      </c>
      <c r="C9750" t="s">
        <v>531</v>
      </c>
      <c r="D9750" t="s">
        <v>26</v>
      </c>
      <c r="E9750" s="208" t="s">
        <v>499</v>
      </c>
      <c r="F9750" t="s">
        <v>7</v>
      </c>
      <c r="G9750" s="18">
        <v>691</v>
      </c>
      <c r="H9750" s="151" t="s">
        <v>563</v>
      </c>
      <c r="I9750" t="s">
        <v>16</v>
      </c>
    </row>
    <row r="9751" spans="1:9" x14ac:dyDescent="0.25">
      <c r="A9751">
        <v>1825</v>
      </c>
      <c r="B9751">
        <f>A9751+1</f>
        <v>1826</v>
      </c>
      <c r="C9751" t="s">
        <v>531</v>
      </c>
      <c r="D9751" t="s">
        <v>26</v>
      </c>
      <c r="E9751" s="208" t="s">
        <v>500</v>
      </c>
      <c r="F9751" t="s">
        <v>7</v>
      </c>
      <c r="G9751" s="18">
        <v>61</v>
      </c>
      <c r="H9751" s="151" t="s">
        <v>563</v>
      </c>
      <c r="I9751" t="s">
        <v>16</v>
      </c>
    </row>
    <row r="9752" spans="1:9" x14ac:dyDescent="0.25">
      <c r="A9752">
        <v>1825</v>
      </c>
      <c r="B9752">
        <f>A9752+1</f>
        <v>1826</v>
      </c>
      <c r="C9752" t="s">
        <v>531</v>
      </c>
      <c r="D9752" t="s">
        <v>27</v>
      </c>
      <c r="E9752" s="208" t="s">
        <v>155</v>
      </c>
      <c r="F9752" t="s">
        <v>10</v>
      </c>
      <c r="G9752" s="18">
        <v>1014</v>
      </c>
      <c r="H9752" t="s">
        <v>17</v>
      </c>
      <c r="I9752" t="s">
        <v>24</v>
      </c>
    </row>
    <row r="9753" spans="1:9" x14ac:dyDescent="0.25">
      <c r="A9753">
        <v>1825</v>
      </c>
      <c r="B9753">
        <f>A9753+1</f>
        <v>1826</v>
      </c>
      <c r="C9753" t="s">
        <v>531</v>
      </c>
      <c r="D9753" t="s">
        <v>27</v>
      </c>
      <c r="E9753" s="208" t="s">
        <v>156</v>
      </c>
      <c r="F9753" t="s">
        <v>10</v>
      </c>
      <c r="G9753" s="18">
        <v>172</v>
      </c>
      <c r="H9753" t="s">
        <v>17</v>
      </c>
      <c r="I9753" t="s">
        <v>24</v>
      </c>
    </row>
    <row r="9754" spans="1:9" x14ac:dyDescent="0.25">
      <c r="A9754">
        <v>1825</v>
      </c>
      <c r="B9754">
        <f>A9754+1</f>
        <v>1826</v>
      </c>
      <c r="C9754" t="s">
        <v>531</v>
      </c>
      <c r="D9754" t="s">
        <v>27</v>
      </c>
      <c r="E9754" s="208" t="s">
        <v>154</v>
      </c>
      <c r="F9754" t="s">
        <v>10</v>
      </c>
      <c r="G9754" s="18">
        <v>293</v>
      </c>
      <c r="H9754" t="s">
        <v>17</v>
      </c>
      <c r="I9754" t="s">
        <v>24</v>
      </c>
    </row>
    <row r="9755" spans="1:9" x14ac:dyDescent="0.25">
      <c r="A9755">
        <v>1825</v>
      </c>
      <c r="B9755">
        <f>A9755+1</f>
        <v>1826</v>
      </c>
      <c r="C9755" t="s">
        <v>531</v>
      </c>
      <c r="D9755" t="s">
        <v>27</v>
      </c>
      <c r="E9755" s="208" t="s">
        <v>150</v>
      </c>
      <c r="F9755" t="s">
        <v>10</v>
      </c>
      <c r="G9755" s="18">
        <v>3760</v>
      </c>
      <c r="H9755" t="s">
        <v>17</v>
      </c>
      <c r="I9755" t="s">
        <v>24</v>
      </c>
    </row>
    <row r="9756" spans="1:9" x14ac:dyDescent="0.25">
      <c r="A9756">
        <v>1825</v>
      </c>
      <c r="B9756">
        <f>A9756+1</f>
        <v>1826</v>
      </c>
      <c r="C9756" t="s">
        <v>531</v>
      </c>
      <c r="D9756" t="s">
        <v>27</v>
      </c>
      <c r="E9756" s="208" t="s">
        <v>148</v>
      </c>
      <c r="F9756" t="s">
        <v>10</v>
      </c>
      <c r="G9756" s="18">
        <v>185</v>
      </c>
      <c r="H9756" t="s">
        <v>17</v>
      </c>
      <c r="I9756" t="s">
        <v>24</v>
      </c>
    </row>
    <row r="9757" spans="1:9" x14ac:dyDescent="0.25">
      <c r="A9757">
        <v>1825</v>
      </c>
      <c r="B9757">
        <f>A9757+1</f>
        <v>1826</v>
      </c>
      <c r="C9757" t="s">
        <v>531</v>
      </c>
      <c r="D9757" t="s">
        <v>27</v>
      </c>
      <c r="E9757" s="208" t="s">
        <v>147</v>
      </c>
      <c r="F9757" t="s">
        <v>10</v>
      </c>
      <c r="G9757" s="18">
        <v>25</v>
      </c>
      <c r="H9757" t="s">
        <v>17</v>
      </c>
      <c r="I9757" t="s">
        <v>24</v>
      </c>
    </row>
    <row r="9758" spans="1:9" x14ac:dyDescent="0.25">
      <c r="A9758">
        <v>1825</v>
      </c>
      <c r="B9758">
        <f>A9758+1</f>
        <v>1826</v>
      </c>
      <c r="C9758" t="s">
        <v>531</v>
      </c>
      <c r="D9758" t="s">
        <v>27</v>
      </c>
      <c r="E9758" s="208" t="s">
        <v>139</v>
      </c>
      <c r="F9758" t="s">
        <v>10</v>
      </c>
      <c r="G9758" s="18">
        <v>148</v>
      </c>
      <c r="H9758" t="s">
        <v>17</v>
      </c>
      <c r="I9758" t="s">
        <v>24</v>
      </c>
    </row>
    <row r="9759" spans="1:9" x14ac:dyDescent="0.25">
      <c r="A9759">
        <v>1825</v>
      </c>
      <c r="B9759">
        <f>A9759+1</f>
        <v>1826</v>
      </c>
      <c r="C9759" t="s">
        <v>531</v>
      </c>
      <c r="D9759" t="s">
        <v>27</v>
      </c>
      <c r="E9759" s="208" t="s">
        <v>132</v>
      </c>
      <c r="F9759" t="s">
        <v>10</v>
      </c>
      <c r="G9759" s="18">
        <v>12</v>
      </c>
      <c r="H9759" t="s">
        <v>17</v>
      </c>
      <c r="I9759" t="s">
        <v>24</v>
      </c>
    </row>
    <row r="9760" spans="1:9" x14ac:dyDescent="0.25">
      <c r="A9760">
        <v>1825</v>
      </c>
      <c r="B9760">
        <f>A9760+1</f>
        <v>1826</v>
      </c>
      <c r="C9760" t="s">
        <v>531</v>
      </c>
      <c r="D9760" t="s">
        <v>27</v>
      </c>
      <c r="E9760" s="208" t="s">
        <v>130</v>
      </c>
      <c r="F9760" t="s">
        <v>10</v>
      </c>
      <c r="G9760" s="18">
        <v>0</v>
      </c>
      <c r="H9760" t="s">
        <v>17</v>
      </c>
      <c r="I9760" t="s">
        <v>24</v>
      </c>
    </row>
    <row r="9761" spans="1:9" x14ac:dyDescent="0.25">
      <c r="A9761">
        <v>1825</v>
      </c>
      <c r="B9761">
        <f>A9761+1</f>
        <v>1826</v>
      </c>
      <c r="C9761" t="s">
        <v>531</v>
      </c>
      <c r="D9761" t="s">
        <v>27</v>
      </c>
      <c r="E9761" s="208" t="s">
        <v>143</v>
      </c>
      <c r="F9761" t="s">
        <v>10</v>
      </c>
      <c r="G9761" s="18">
        <v>4</v>
      </c>
      <c r="H9761" t="s">
        <v>17</v>
      </c>
      <c r="I9761" t="s">
        <v>24</v>
      </c>
    </row>
    <row r="9762" spans="1:9" x14ac:dyDescent="0.25">
      <c r="A9762">
        <v>1825</v>
      </c>
      <c r="B9762">
        <f>A9762+1</f>
        <v>1826</v>
      </c>
      <c r="C9762" t="s">
        <v>531</v>
      </c>
      <c r="D9762" t="s">
        <v>27</v>
      </c>
      <c r="E9762" s="208" t="s">
        <v>142</v>
      </c>
      <c r="F9762" t="s">
        <v>10</v>
      </c>
      <c r="G9762" s="18">
        <v>122</v>
      </c>
      <c r="H9762" t="s">
        <v>17</v>
      </c>
      <c r="I9762" t="s">
        <v>24</v>
      </c>
    </row>
    <row r="9763" spans="1:9" x14ac:dyDescent="0.25">
      <c r="A9763">
        <v>1825</v>
      </c>
      <c r="B9763">
        <f>A9763+1</f>
        <v>1826</v>
      </c>
      <c r="C9763" t="s">
        <v>531</v>
      </c>
      <c r="D9763" t="s">
        <v>27</v>
      </c>
      <c r="E9763" s="208" t="s">
        <v>124</v>
      </c>
      <c r="F9763" t="s">
        <v>10</v>
      </c>
      <c r="G9763" s="18">
        <v>56721</v>
      </c>
      <c r="H9763" t="s">
        <v>17</v>
      </c>
      <c r="I9763" t="s">
        <v>24</v>
      </c>
    </row>
    <row r="9764" spans="1:9" x14ac:dyDescent="0.25">
      <c r="A9764">
        <v>1825</v>
      </c>
      <c r="B9764">
        <f>A9764+1</f>
        <v>1826</v>
      </c>
      <c r="C9764" t="s">
        <v>531</v>
      </c>
      <c r="D9764" t="s">
        <v>27</v>
      </c>
      <c r="E9764" s="208" t="s">
        <v>115</v>
      </c>
      <c r="F9764" t="s">
        <v>10</v>
      </c>
      <c r="G9764" s="18">
        <v>3</v>
      </c>
      <c r="H9764" t="s">
        <v>17</v>
      </c>
      <c r="I9764" t="s">
        <v>24</v>
      </c>
    </row>
    <row r="9765" spans="1:9" x14ac:dyDescent="0.25">
      <c r="A9765">
        <v>1825</v>
      </c>
      <c r="B9765">
        <f>A9765+1</f>
        <v>1826</v>
      </c>
      <c r="C9765" t="s">
        <v>531</v>
      </c>
      <c r="D9765" t="s">
        <v>27</v>
      </c>
      <c r="E9765" s="208" t="s">
        <v>116</v>
      </c>
      <c r="F9765" t="s">
        <v>10</v>
      </c>
      <c r="G9765" s="18">
        <v>0</v>
      </c>
      <c r="H9765" t="s">
        <v>17</v>
      </c>
      <c r="I9765" t="s">
        <v>24</v>
      </c>
    </row>
    <row r="9766" spans="1:9" x14ac:dyDescent="0.25">
      <c r="A9766">
        <v>1825</v>
      </c>
      <c r="B9766">
        <f>A9766+1</f>
        <v>1826</v>
      </c>
      <c r="C9766" t="s">
        <v>531</v>
      </c>
      <c r="D9766" t="s">
        <v>27</v>
      </c>
      <c r="E9766" s="208" t="s">
        <v>136</v>
      </c>
      <c r="F9766" t="s">
        <v>10</v>
      </c>
      <c r="G9766" s="18">
        <v>17</v>
      </c>
      <c r="H9766" t="s">
        <v>17</v>
      </c>
      <c r="I9766" t="s">
        <v>24</v>
      </c>
    </row>
    <row r="9767" spans="1:9" x14ac:dyDescent="0.25">
      <c r="A9767">
        <v>1825</v>
      </c>
      <c r="B9767">
        <f>A9767+1</f>
        <v>1826</v>
      </c>
      <c r="C9767" t="s">
        <v>531</v>
      </c>
      <c r="D9767" t="s">
        <v>27</v>
      </c>
      <c r="E9767" s="208" t="s">
        <v>157</v>
      </c>
      <c r="F9767" t="s">
        <v>10</v>
      </c>
      <c r="G9767" s="18">
        <v>12</v>
      </c>
      <c r="H9767" t="s">
        <v>17</v>
      </c>
      <c r="I9767" t="s">
        <v>24</v>
      </c>
    </row>
    <row r="9768" spans="1:9" x14ac:dyDescent="0.25">
      <c r="A9768">
        <v>1825</v>
      </c>
      <c r="B9768">
        <f>A9768+1</f>
        <v>1826</v>
      </c>
      <c r="C9768" t="s">
        <v>531</v>
      </c>
      <c r="D9768" t="s">
        <v>27</v>
      </c>
      <c r="E9768" s="208" t="s">
        <v>74</v>
      </c>
      <c r="F9768" t="s">
        <v>10</v>
      </c>
      <c r="G9768" s="18">
        <v>12</v>
      </c>
      <c r="H9768" t="s">
        <v>17</v>
      </c>
      <c r="I9768" t="s">
        <v>24</v>
      </c>
    </row>
    <row r="9769" spans="1:9" x14ac:dyDescent="0.25">
      <c r="A9769">
        <v>1825</v>
      </c>
      <c r="B9769">
        <f>A9769+1</f>
        <v>1826</v>
      </c>
      <c r="C9769" t="s">
        <v>531</v>
      </c>
      <c r="D9769" t="s">
        <v>27</v>
      </c>
      <c r="E9769" s="208" t="s">
        <v>129</v>
      </c>
      <c r="F9769" t="s">
        <v>10</v>
      </c>
      <c r="G9769" s="18">
        <v>10</v>
      </c>
      <c r="H9769" t="s">
        <v>17</v>
      </c>
      <c r="I9769" t="s">
        <v>24</v>
      </c>
    </row>
    <row r="9770" spans="1:9" x14ac:dyDescent="0.25">
      <c r="A9770">
        <v>1825</v>
      </c>
      <c r="B9770">
        <f>A9770+1</f>
        <v>1826</v>
      </c>
      <c r="C9770" t="s">
        <v>531</v>
      </c>
      <c r="D9770" t="s">
        <v>27</v>
      </c>
      <c r="E9770" s="208" t="s">
        <v>141</v>
      </c>
      <c r="F9770" t="s">
        <v>10</v>
      </c>
      <c r="G9770" s="18">
        <v>0</v>
      </c>
      <c r="H9770" t="s">
        <v>17</v>
      </c>
      <c r="I9770" t="s">
        <v>24</v>
      </c>
    </row>
    <row r="9771" spans="1:9" x14ac:dyDescent="0.25">
      <c r="A9771">
        <v>1825</v>
      </c>
      <c r="B9771">
        <f>A9771+1</f>
        <v>1826</v>
      </c>
      <c r="C9771" t="s">
        <v>531</v>
      </c>
      <c r="D9771" t="s">
        <v>27</v>
      </c>
      <c r="E9771" s="208" t="s">
        <v>128</v>
      </c>
      <c r="F9771" t="s">
        <v>10</v>
      </c>
      <c r="G9771" s="18">
        <v>0</v>
      </c>
      <c r="H9771" t="s">
        <v>17</v>
      </c>
      <c r="I9771" t="s">
        <v>24</v>
      </c>
    </row>
    <row r="9772" spans="1:9" x14ac:dyDescent="0.25">
      <c r="A9772">
        <v>1825</v>
      </c>
      <c r="B9772">
        <f>A9772+1</f>
        <v>1826</v>
      </c>
      <c r="C9772" t="s">
        <v>531</v>
      </c>
      <c r="D9772" t="s">
        <v>27</v>
      </c>
      <c r="E9772" s="208" t="s">
        <v>135</v>
      </c>
      <c r="F9772" t="s">
        <v>10</v>
      </c>
      <c r="G9772" s="18">
        <v>19</v>
      </c>
      <c r="H9772" t="s">
        <v>17</v>
      </c>
      <c r="I9772" t="s">
        <v>24</v>
      </c>
    </row>
    <row r="9773" spans="1:9" x14ac:dyDescent="0.25">
      <c r="A9773">
        <v>1825</v>
      </c>
      <c r="B9773">
        <f>A9773+1</f>
        <v>1826</v>
      </c>
      <c r="C9773" t="s">
        <v>531</v>
      </c>
      <c r="D9773" t="s">
        <v>27</v>
      </c>
      <c r="E9773" s="208" t="s">
        <v>138</v>
      </c>
      <c r="F9773" t="s">
        <v>10</v>
      </c>
      <c r="G9773" s="18">
        <v>52</v>
      </c>
      <c r="H9773" t="s">
        <v>17</v>
      </c>
      <c r="I9773" t="s">
        <v>24</v>
      </c>
    </row>
    <row r="9774" spans="1:9" x14ac:dyDescent="0.25">
      <c r="A9774">
        <v>1825</v>
      </c>
      <c r="B9774">
        <f>A9774+1</f>
        <v>1826</v>
      </c>
      <c r="C9774" t="s">
        <v>531</v>
      </c>
      <c r="D9774" t="s">
        <v>27</v>
      </c>
      <c r="E9774" s="208" t="s">
        <v>134</v>
      </c>
      <c r="F9774" t="s">
        <v>10</v>
      </c>
      <c r="G9774" s="18">
        <v>0</v>
      </c>
      <c r="H9774" t="s">
        <v>17</v>
      </c>
      <c r="I9774" t="s">
        <v>24</v>
      </c>
    </row>
    <row r="9775" spans="1:9" x14ac:dyDescent="0.25">
      <c r="A9775">
        <v>1825</v>
      </c>
      <c r="B9775">
        <f>A9775+1</f>
        <v>1826</v>
      </c>
      <c r="C9775" t="s">
        <v>531</v>
      </c>
      <c r="D9775" t="s">
        <v>26</v>
      </c>
      <c r="E9775" s="208" t="s">
        <v>62</v>
      </c>
      <c r="F9775" t="s">
        <v>10</v>
      </c>
      <c r="G9775" s="18">
        <v>246</v>
      </c>
      <c r="H9775" t="s">
        <v>24</v>
      </c>
      <c r="I9775" t="s">
        <v>17</v>
      </c>
    </row>
    <row r="9776" spans="1:9" x14ac:dyDescent="0.25">
      <c r="A9776">
        <v>1825</v>
      </c>
      <c r="B9776">
        <f>A9776+1</f>
        <v>1826</v>
      </c>
      <c r="C9776" t="s">
        <v>531</v>
      </c>
      <c r="D9776" t="s">
        <v>26</v>
      </c>
      <c r="E9776" s="208" t="s">
        <v>55</v>
      </c>
      <c r="F9776" t="s">
        <v>10</v>
      </c>
      <c r="G9776" s="18">
        <v>0</v>
      </c>
      <c r="H9776" t="s">
        <v>24</v>
      </c>
      <c r="I9776" t="s">
        <v>17</v>
      </c>
    </row>
    <row r="9777" spans="1:9" x14ac:dyDescent="0.25">
      <c r="A9777">
        <v>1825</v>
      </c>
      <c r="B9777">
        <f>A9777+1</f>
        <v>1826</v>
      </c>
      <c r="C9777" t="s">
        <v>531</v>
      </c>
      <c r="D9777" t="s">
        <v>26</v>
      </c>
      <c r="E9777" s="208" t="s">
        <v>36</v>
      </c>
      <c r="F9777" t="s">
        <v>10</v>
      </c>
      <c r="G9777" s="18">
        <v>367</v>
      </c>
      <c r="H9777" t="s">
        <v>24</v>
      </c>
      <c r="I9777" t="s">
        <v>17</v>
      </c>
    </row>
    <row r="9778" spans="1:9" x14ac:dyDescent="0.25">
      <c r="A9778">
        <v>1825</v>
      </c>
      <c r="B9778">
        <f>A9778+1</f>
        <v>1826</v>
      </c>
      <c r="C9778" t="s">
        <v>531</v>
      </c>
      <c r="D9778" t="s">
        <v>26</v>
      </c>
      <c r="E9778" s="208" t="s">
        <v>35</v>
      </c>
      <c r="F9778" t="s">
        <v>10</v>
      </c>
      <c r="G9778" s="18">
        <v>0</v>
      </c>
      <c r="H9778" t="s">
        <v>24</v>
      </c>
      <c r="I9778" t="s">
        <v>17</v>
      </c>
    </row>
    <row r="9779" spans="1:9" x14ac:dyDescent="0.25">
      <c r="A9779">
        <v>1825</v>
      </c>
      <c r="B9779">
        <f>A9779+1</f>
        <v>1826</v>
      </c>
      <c r="C9779" t="s">
        <v>531</v>
      </c>
      <c r="D9779" t="s">
        <v>26</v>
      </c>
      <c r="E9779" s="208" t="s">
        <v>40</v>
      </c>
      <c r="F9779" t="s">
        <v>10</v>
      </c>
      <c r="G9779" s="18">
        <v>0</v>
      </c>
      <c r="H9779" t="s">
        <v>24</v>
      </c>
      <c r="I9779" t="s">
        <v>17</v>
      </c>
    </row>
    <row r="9780" spans="1:9" x14ac:dyDescent="0.25">
      <c r="A9780">
        <v>1825</v>
      </c>
      <c r="B9780">
        <f>A9780+1</f>
        <v>1826</v>
      </c>
      <c r="C9780" t="s">
        <v>531</v>
      </c>
      <c r="D9780" t="s">
        <v>26</v>
      </c>
      <c r="E9780" s="208" t="s">
        <v>99</v>
      </c>
      <c r="F9780" t="s">
        <v>10</v>
      </c>
      <c r="G9780" s="18">
        <v>0</v>
      </c>
      <c r="H9780" t="s">
        <v>24</v>
      </c>
      <c r="I9780" t="s">
        <v>17</v>
      </c>
    </row>
    <row r="9781" spans="1:9" x14ac:dyDescent="0.25">
      <c r="A9781">
        <v>1825</v>
      </c>
      <c r="B9781">
        <f>A9781+1</f>
        <v>1826</v>
      </c>
      <c r="C9781" t="s">
        <v>531</v>
      </c>
      <c r="D9781" t="s">
        <v>26</v>
      </c>
      <c r="E9781" s="208" t="s">
        <v>98</v>
      </c>
      <c r="F9781" t="s">
        <v>10</v>
      </c>
      <c r="G9781" s="18">
        <v>0</v>
      </c>
      <c r="H9781" t="s">
        <v>24</v>
      </c>
      <c r="I9781" t="s">
        <v>17</v>
      </c>
    </row>
    <row r="9782" spans="1:9" x14ac:dyDescent="0.25">
      <c r="A9782">
        <v>1825</v>
      </c>
      <c r="B9782">
        <f>A9782+1</f>
        <v>1826</v>
      </c>
      <c r="C9782" t="s">
        <v>531</v>
      </c>
      <c r="D9782" t="s">
        <v>26</v>
      </c>
      <c r="E9782" s="208" t="s">
        <v>352</v>
      </c>
      <c r="F9782" t="s">
        <v>10</v>
      </c>
      <c r="G9782" s="18">
        <v>155</v>
      </c>
      <c r="H9782" t="s">
        <v>24</v>
      </c>
      <c r="I9782" t="s">
        <v>17</v>
      </c>
    </row>
    <row r="9783" spans="1:9" x14ac:dyDescent="0.25">
      <c r="A9783">
        <v>1825</v>
      </c>
      <c r="B9783">
        <f>A9783+1</f>
        <v>1826</v>
      </c>
      <c r="C9783" t="s">
        <v>531</v>
      </c>
      <c r="D9783" t="s">
        <v>26</v>
      </c>
      <c r="E9783" s="208" t="s">
        <v>107</v>
      </c>
      <c r="F9783" t="s">
        <v>10</v>
      </c>
      <c r="G9783" s="18">
        <v>107551</v>
      </c>
      <c r="H9783" t="s">
        <v>24</v>
      </c>
      <c r="I9783" t="s">
        <v>17</v>
      </c>
    </row>
    <row r="9784" spans="1:9" x14ac:dyDescent="0.25">
      <c r="A9784">
        <v>1825</v>
      </c>
      <c r="B9784">
        <f>A9784+1</f>
        <v>1826</v>
      </c>
      <c r="C9784" t="s">
        <v>531</v>
      </c>
      <c r="D9784" t="s">
        <v>26</v>
      </c>
      <c r="E9784" s="208" t="s">
        <v>101</v>
      </c>
      <c r="F9784" t="s">
        <v>10</v>
      </c>
      <c r="G9784" s="18">
        <v>705081</v>
      </c>
      <c r="H9784" t="s">
        <v>24</v>
      </c>
      <c r="I9784" t="s">
        <v>17</v>
      </c>
    </row>
    <row r="9785" spans="1:9" x14ac:dyDescent="0.25">
      <c r="A9785">
        <v>1825</v>
      </c>
      <c r="B9785">
        <f>A9785+1</f>
        <v>1826</v>
      </c>
      <c r="C9785" t="s">
        <v>531</v>
      </c>
      <c r="D9785" t="s">
        <v>26</v>
      </c>
      <c r="E9785" s="208" t="s">
        <v>75</v>
      </c>
      <c r="F9785" t="s">
        <v>10</v>
      </c>
      <c r="G9785" s="18">
        <v>1790809</v>
      </c>
      <c r="H9785" t="s">
        <v>24</v>
      </c>
      <c r="I9785" t="s">
        <v>17</v>
      </c>
    </row>
    <row r="9786" spans="1:9" x14ac:dyDescent="0.25">
      <c r="A9786">
        <v>1825</v>
      </c>
      <c r="B9786">
        <f>A9786+1</f>
        <v>1826</v>
      </c>
      <c r="C9786" t="s">
        <v>531</v>
      </c>
      <c r="D9786" t="s">
        <v>26</v>
      </c>
      <c r="E9786" s="208" t="s">
        <v>66</v>
      </c>
      <c r="F9786" t="s">
        <v>10</v>
      </c>
      <c r="G9786" s="18">
        <v>0</v>
      </c>
      <c r="H9786" t="s">
        <v>24</v>
      </c>
      <c r="I9786" t="s">
        <v>17</v>
      </c>
    </row>
    <row r="9787" spans="1:9" x14ac:dyDescent="0.25">
      <c r="A9787">
        <v>1825</v>
      </c>
      <c r="B9787">
        <f>A9787+1</f>
        <v>1826</v>
      </c>
      <c r="C9787" t="s">
        <v>531</v>
      </c>
      <c r="D9787" t="s">
        <v>26</v>
      </c>
      <c r="E9787" s="208" t="s">
        <v>330</v>
      </c>
      <c r="F9787" t="s">
        <v>10</v>
      </c>
      <c r="G9787" s="18">
        <v>0</v>
      </c>
      <c r="H9787" t="s">
        <v>24</v>
      </c>
      <c r="I9787" t="s">
        <v>17</v>
      </c>
    </row>
    <row r="9788" spans="1:9" x14ac:dyDescent="0.25">
      <c r="A9788">
        <v>1825</v>
      </c>
      <c r="B9788">
        <f>A9788+1</f>
        <v>1826</v>
      </c>
      <c r="C9788" t="s">
        <v>531</v>
      </c>
      <c r="D9788" t="s">
        <v>26</v>
      </c>
      <c r="E9788" s="208" t="s">
        <v>331</v>
      </c>
      <c r="F9788" t="s">
        <v>10</v>
      </c>
      <c r="G9788" s="18">
        <v>0</v>
      </c>
      <c r="H9788" t="s">
        <v>24</v>
      </c>
      <c r="I9788" t="s">
        <v>17</v>
      </c>
    </row>
    <row r="9789" spans="1:9" x14ac:dyDescent="0.25">
      <c r="A9789">
        <v>1825</v>
      </c>
      <c r="B9789">
        <f>A9789+1</f>
        <v>1826</v>
      </c>
      <c r="C9789" t="s">
        <v>531</v>
      </c>
      <c r="D9789" t="s">
        <v>26</v>
      </c>
      <c r="E9789" s="208" t="s">
        <v>332</v>
      </c>
      <c r="F9789" t="s">
        <v>10</v>
      </c>
      <c r="G9789" s="18">
        <v>0</v>
      </c>
      <c r="H9789" t="s">
        <v>24</v>
      </c>
      <c r="I9789" t="s">
        <v>17</v>
      </c>
    </row>
    <row r="9790" spans="1:9" x14ac:dyDescent="0.25">
      <c r="A9790">
        <v>1825</v>
      </c>
      <c r="B9790">
        <f>A9790+1</f>
        <v>1826</v>
      </c>
      <c r="C9790" t="s">
        <v>531</v>
      </c>
      <c r="D9790" t="s">
        <v>26</v>
      </c>
      <c r="E9790" s="208" t="s">
        <v>333</v>
      </c>
      <c r="F9790" t="s">
        <v>10</v>
      </c>
      <c r="G9790" s="18">
        <v>0</v>
      </c>
      <c r="H9790" t="s">
        <v>24</v>
      </c>
      <c r="I9790" t="s">
        <v>17</v>
      </c>
    </row>
    <row r="9791" spans="1:9" x14ac:dyDescent="0.25">
      <c r="A9791">
        <v>1825</v>
      </c>
      <c r="B9791">
        <f>A9791+1</f>
        <v>1826</v>
      </c>
      <c r="C9791" t="s">
        <v>531</v>
      </c>
      <c r="D9791" t="s">
        <v>27</v>
      </c>
      <c r="E9791" s="208" t="s">
        <v>155</v>
      </c>
      <c r="F9791" t="s">
        <v>13</v>
      </c>
      <c r="G9791" s="18">
        <v>50</v>
      </c>
      <c r="H9791" t="s">
        <v>17</v>
      </c>
      <c r="I9791" t="s">
        <v>25</v>
      </c>
    </row>
    <row r="9792" spans="1:9" x14ac:dyDescent="0.25">
      <c r="A9792">
        <v>1825</v>
      </c>
      <c r="B9792">
        <f>A9792+1</f>
        <v>1826</v>
      </c>
      <c r="C9792" t="s">
        <v>531</v>
      </c>
      <c r="D9792" t="s">
        <v>27</v>
      </c>
      <c r="E9792" s="208" t="s">
        <v>156</v>
      </c>
      <c r="F9792" t="s">
        <v>13</v>
      </c>
      <c r="G9792" s="18">
        <v>0</v>
      </c>
      <c r="H9792" t="s">
        <v>17</v>
      </c>
      <c r="I9792" t="s">
        <v>25</v>
      </c>
    </row>
    <row r="9793" spans="1:9" x14ac:dyDescent="0.25">
      <c r="A9793">
        <v>1825</v>
      </c>
      <c r="B9793">
        <f>A9793+1</f>
        <v>1826</v>
      </c>
      <c r="C9793" t="s">
        <v>531</v>
      </c>
      <c r="D9793" t="s">
        <v>27</v>
      </c>
      <c r="E9793" s="208" t="s">
        <v>154</v>
      </c>
      <c r="F9793" t="s">
        <v>13</v>
      </c>
      <c r="G9793" s="18">
        <v>0</v>
      </c>
      <c r="H9793" t="s">
        <v>17</v>
      </c>
      <c r="I9793" t="s">
        <v>25</v>
      </c>
    </row>
    <row r="9794" spans="1:9" x14ac:dyDescent="0.25">
      <c r="A9794">
        <v>1825</v>
      </c>
      <c r="B9794">
        <f>A9794+1</f>
        <v>1826</v>
      </c>
      <c r="C9794" t="s">
        <v>531</v>
      </c>
      <c r="D9794" t="s">
        <v>27</v>
      </c>
      <c r="E9794" s="208" t="s">
        <v>150</v>
      </c>
      <c r="F9794" t="s">
        <v>13</v>
      </c>
      <c r="G9794" s="18">
        <v>97</v>
      </c>
      <c r="H9794" t="s">
        <v>17</v>
      </c>
      <c r="I9794" t="s">
        <v>25</v>
      </c>
    </row>
    <row r="9795" spans="1:9" x14ac:dyDescent="0.25">
      <c r="A9795">
        <v>1825</v>
      </c>
      <c r="B9795">
        <f>A9795+1</f>
        <v>1826</v>
      </c>
      <c r="C9795" t="s">
        <v>531</v>
      </c>
      <c r="D9795" t="s">
        <v>27</v>
      </c>
      <c r="E9795" s="208" t="s">
        <v>148</v>
      </c>
      <c r="F9795" t="s">
        <v>13</v>
      </c>
      <c r="G9795" s="18">
        <v>1</v>
      </c>
      <c r="H9795" t="s">
        <v>17</v>
      </c>
      <c r="I9795" t="s">
        <v>25</v>
      </c>
    </row>
    <row r="9796" spans="1:9" x14ac:dyDescent="0.25">
      <c r="A9796">
        <v>1825</v>
      </c>
      <c r="B9796">
        <f>A9796+1</f>
        <v>1826</v>
      </c>
      <c r="C9796" t="s">
        <v>531</v>
      </c>
      <c r="D9796" t="s">
        <v>27</v>
      </c>
      <c r="E9796" s="208" t="s">
        <v>147</v>
      </c>
      <c r="F9796" t="s">
        <v>13</v>
      </c>
      <c r="G9796" s="18">
        <v>66</v>
      </c>
      <c r="H9796" t="s">
        <v>17</v>
      </c>
      <c r="I9796" t="s">
        <v>25</v>
      </c>
    </row>
    <row r="9797" spans="1:9" x14ac:dyDescent="0.25">
      <c r="A9797">
        <v>1825</v>
      </c>
      <c r="B9797">
        <f>A9797+1</f>
        <v>1826</v>
      </c>
      <c r="C9797" t="s">
        <v>531</v>
      </c>
      <c r="D9797" t="s">
        <v>27</v>
      </c>
      <c r="E9797" s="208" t="s">
        <v>139</v>
      </c>
      <c r="F9797" t="s">
        <v>13</v>
      </c>
      <c r="G9797" s="18">
        <v>0</v>
      </c>
      <c r="H9797" t="s">
        <v>17</v>
      </c>
      <c r="I9797" t="s">
        <v>25</v>
      </c>
    </row>
    <row r="9798" spans="1:9" x14ac:dyDescent="0.25">
      <c r="A9798">
        <v>1825</v>
      </c>
      <c r="B9798">
        <f>A9798+1</f>
        <v>1826</v>
      </c>
      <c r="C9798" t="s">
        <v>531</v>
      </c>
      <c r="D9798" t="s">
        <v>27</v>
      </c>
      <c r="E9798" s="208" t="s">
        <v>132</v>
      </c>
      <c r="F9798" t="s">
        <v>13</v>
      </c>
      <c r="G9798" s="18">
        <v>0</v>
      </c>
      <c r="H9798" t="s">
        <v>17</v>
      </c>
      <c r="I9798" t="s">
        <v>25</v>
      </c>
    </row>
    <row r="9799" spans="1:9" x14ac:dyDescent="0.25">
      <c r="A9799">
        <v>1825</v>
      </c>
      <c r="B9799">
        <f>A9799+1</f>
        <v>1826</v>
      </c>
      <c r="C9799" t="s">
        <v>531</v>
      </c>
      <c r="D9799" t="s">
        <v>27</v>
      </c>
      <c r="E9799" s="208" t="s">
        <v>130</v>
      </c>
      <c r="F9799" t="s">
        <v>13</v>
      </c>
      <c r="G9799" s="18">
        <v>0</v>
      </c>
      <c r="H9799" t="s">
        <v>17</v>
      </c>
      <c r="I9799" t="s">
        <v>25</v>
      </c>
    </row>
    <row r="9800" spans="1:9" x14ac:dyDescent="0.25">
      <c r="A9800">
        <v>1825</v>
      </c>
      <c r="B9800">
        <f>A9800+1</f>
        <v>1826</v>
      </c>
      <c r="C9800" t="s">
        <v>531</v>
      </c>
      <c r="D9800" t="s">
        <v>27</v>
      </c>
      <c r="E9800" s="208" t="s">
        <v>143</v>
      </c>
      <c r="F9800" t="s">
        <v>13</v>
      </c>
      <c r="G9800" s="18">
        <v>0</v>
      </c>
      <c r="H9800" t="s">
        <v>17</v>
      </c>
      <c r="I9800" t="s">
        <v>25</v>
      </c>
    </row>
    <row r="9801" spans="1:9" x14ac:dyDescent="0.25">
      <c r="A9801">
        <v>1825</v>
      </c>
      <c r="B9801">
        <f>A9801+1</f>
        <v>1826</v>
      </c>
      <c r="C9801" t="s">
        <v>531</v>
      </c>
      <c r="D9801" t="s">
        <v>27</v>
      </c>
      <c r="E9801" s="208" t="s">
        <v>142</v>
      </c>
      <c r="F9801" t="s">
        <v>13</v>
      </c>
      <c r="G9801" s="18">
        <v>0</v>
      </c>
      <c r="H9801" t="s">
        <v>17</v>
      </c>
      <c r="I9801" t="s">
        <v>25</v>
      </c>
    </row>
    <row r="9802" spans="1:9" x14ac:dyDescent="0.25">
      <c r="A9802">
        <v>1825</v>
      </c>
      <c r="B9802">
        <f>A9802+1</f>
        <v>1826</v>
      </c>
      <c r="C9802" t="s">
        <v>531</v>
      </c>
      <c r="D9802" t="s">
        <v>27</v>
      </c>
      <c r="E9802" s="208" t="s">
        <v>115</v>
      </c>
      <c r="F9802" t="s">
        <v>13</v>
      </c>
      <c r="G9802" s="18">
        <v>0</v>
      </c>
      <c r="H9802" t="s">
        <v>17</v>
      </c>
      <c r="I9802" t="s">
        <v>25</v>
      </c>
    </row>
    <row r="9803" spans="1:9" x14ac:dyDescent="0.25">
      <c r="A9803">
        <v>1825</v>
      </c>
      <c r="B9803">
        <f>A9803+1</f>
        <v>1826</v>
      </c>
      <c r="C9803" t="s">
        <v>531</v>
      </c>
      <c r="D9803" t="s">
        <v>27</v>
      </c>
      <c r="E9803" s="208" t="s">
        <v>116</v>
      </c>
      <c r="F9803" t="s">
        <v>13</v>
      </c>
      <c r="G9803" s="18">
        <v>0</v>
      </c>
      <c r="H9803" t="s">
        <v>17</v>
      </c>
      <c r="I9803" t="s">
        <v>25</v>
      </c>
    </row>
    <row r="9804" spans="1:9" x14ac:dyDescent="0.25">
      <c r="A9804">
        <v>1825</v>
      </c>
      <c r="B9804">
        <f>A9804+1</f>
        <v>1826</v>
      </c>
      <c r="C9804" t="s">
        <v>531</v>
      </c>
      <c r="D9804" t="s">
        <v>27</v>
      </c>
      <c r="E9804" s="208" t="s">
        <v>136</v>
      </c>
      <c r="F9804" t="s">
        <v>13</v>
      </c>
      <c r="G9804" s="18">
        <v>0</v>
      </c>
      <c r="H9804" t="s">
        <v>17</v>
      </c>
      <c r="I9804" t="s">
        <v>25</v>
      </c>
    </row>
    <row r="9805" spans="1:9" x14ac:dyDescent="0.25">
      <c r="A9805">
        <v>1825</v>
      </c>
      <c r="B9805">
        <f>A9805+1</f>
        <v>1826</v>
      </c>
      <c r="C9805" t="s">
        <v>531</v>
      </c>
      <c r="D9805" t="s">
        <v>27</v>
      </c>
      <c r="E9805" s="208" t="s">
        <v>157</v>
      </c>
      <c r="F9805" t="s">
        <v>13</v>
      </c>
      <c r="G9805" s="18">
        <v>0</v>
      </c>
      <c r="H9805" t="s">
        <v>17</v>
      </c>
      <c r="I9805" t="s">
        <v>25</v>
      </c>
    </row>
    <row r="9806" spans="1:9" x14ac:dyDescent="0.25">
      <c r="A9806">
        <v>1825</v>
      </c>
      <c r="B9806">
        <f>A9806+1</f>
        <v>1826</v>
      </c>
      <c r="C9806" t="s">
        <v>531</v>
      </c>
      <c r="D9806" t="s">
        <v>27</v>
      </c>
      <c r="E9806" s="208" t="s">
        <v>74</v>
      </c>
      <c r="F9806" t="s">
        <v>13</v>
      </c>
      <c r="G9806" s="18">
        <v>0</v>
      </c>
      <c r="H9806" t="s">
        <v>17</v>
      </c>
      <c r="I9806" t="s">
        <v>25</v>
      </c>
    </row>
    <row r="9807" spans="1:9" x14ac:dyDescent="0.25">
      <c r="A9807">
        <v>1825</v>
      </c>
      <c r="B9807">
        <f>A9807+1</f>
        <v>1826</v>
      </c>
      <c r="C9807" t="s">
        <v>531</v>
      </c>
      <c r="D9807" t="s">
        <v>27</v>
      </c>
      <c r="E9807" s="208" t="s">
        <v>129</v>
      </c>
      <c r="F9807" t="s">
        <v>13</v>
      </c>
      <c r="G9807" s="18">
        <v>0</v>
      </c>
      <c r="H9807" t="s">
        <v>17</v>
      </c>
      <c r="I9807" t="s">
        <v>25</v>
      </c>
    </row>
    <row r="9808" spans="1:9" x14ac:dyDescent="0.25">
      <c r="A9808">
        <v>1825</v>
      </c>
      <c r="B9808">
        <f>A9808+1</f>
        <v>1826</v>
      </c>
      <c r="C9808" t="s">
        <v>531</v>
      </c>
      <c r="D9808" t="s">
        <v>27</v>
      </c>
      <c r="E9808" s="208" t="s">
        <v>141</v>
      </c>
      <c r="F9808" t="s">
        <v>13</v>
      </c>
      <c r="G9808" s="18">
        <v>0</v>
      </c>
      <c r="H9808" t="s">
        <v>17</v>
      </c>
      <c r="I9808" t="s">
        <v>25</v>
      </c>
    </row>
    <row r="9809" spans="1:9" x14ac:dyDescent="0.25">
      <c r="A9809">
        <v>1825</v>
      </c>
      <c r="B9809">
        <f>A9809+1</f>
        <v>1826</v>
      </c>
      <c r="C9809" t="s">
        <v>531</v>
      </c>
      <c r="D9809" t="s">
        <v>27</v>
      </c>
      <c r="E9809" s="208" t="s">
        <v>128</v>
      </c>
      <c r="F9809" t="s">
        <v>13</v>
      </c>
      <c r="G9809" s="18">
        <v>0</v>
      </c>
      <c r="H9809" t="s">
        <v>17</v>
      </c>
      <c r="I9809" t="s">
        <v>25</v>
      </c>
    </row>
    <row r="9810" spans="1:9" x14ac:dyDescent="0.25">
      <c r="A9810">
        <v>1825</v>
      </c>
      <c r="B9810">
        <f>A9810+1</f>
        <v>1826</v>
      </c>
      <c r="C9810" t="s">
        <v>531</v>
      </c>
      <c r="D9810" t="s">
        <v>27</v>
      </c>
      <c r="E9810" s="208" t="s">
        <v>135</v>
      </c>
      <c r="F9810" t="s">
        <v>13</v>
      </c>
      <c r="G9810" s="18">
        <v>0</v>
      </c>
      <c r="H9810" t="s">
        <v>17</v>
      </c>
      <c r="I9810" t="s">
        <v>25</v>
      </c>
    </row>
    <row r="9811" spans="1:9" x14ac:dyDescent="0.25">
      <c r="A9811">
        <v>1825</v>
      </c>
      <c r="B9811">
        <f>A9811+1</f>
        <v>1826</v>
      </c>
      <c r="C9811" t="s">
        <v>531</v>
      </c>
      <c r="D9811" t="s">
        <v>27</v>
      </c>
      <c r="E9811" s="208" t="s">
        <v>138</v>
      </c>
      <c r="F9811" t="s">
        <v>13</v>
      </c>
      <c r="G9811" s="18">
        <v>0</v>
      </c>
      <c r="H9811" t="s">
        <v>17</v>
      </c>
      <c r="I9811" t="s">
        <v>25</v>
      </c>
    </row>
    <row r="9812" spans="1:9" x14ac:dyDescent="0.25">
      <c r="A9812">
        <v>1825</v>
      </c>
      <c r="B9812">
        <f>A9812+1</f>
        <v>1826</v>
      </c>
      <c r="C9812" t="s">
        <v>531</v>
      </c>
      <c r="D9812" t="s">
        <v>27</v>
      </c>
      <c r="E9812" s="208" t="s">
        <v>134</v>
      </c>
      <c r="F9812" t="s">
        <v>13</v>
      </c>
      <c r="G9812" s="18">
        <v>0</v>
      </c>
      <c r="H9812" t="s">
        <v>17</v>
      </c>
      <c r="I9812" t="s">
        <v>25</v>
      </c>
    </row>
    <row r="9813" spans="1:9" x14ac:dyDescent="0.25">
      <c r="A9813">
        <v>1825</v>
      </c>
      <c r="B9813">
        <f>A9813+1</f>
        <v>1826</v>
      </c>
      <c r="C9813" t="s">
        <v>531</v>
      </c>
      <c r="D9813" t="s">
        <v>26</v>
      </c>
      <c r="E9813" s="208" t="s">
        <v>62</v>
      </c>
      <c r="F9813" t="s">
        <v>13</v>
      </c>
      <c r="G9813" s="18">
        <v>0</v>
      </c>
      <c r="H9813" t="s">
        <v>25</v>
      </c>
      <c r="I9813" t="s">
        <v>17</v>
      </c>
    </row>
    <row r="9814" spans="1:9" x14ac:dyDescent="0.25">
      <c r="A9814">
        <v>1825</v>
      </c>
      <c r="B9814">
        <f>A9814+1</f>
        <v>1826</v>
      </c>
      <c r="C9814" t="s">
        <v>531</v>
      </c>
      <c r="D9814" t="s">
        <v>26</v>
      </c>
      <c r="E9814" s="208" t="s">
        <v>55</v>
      </c>
      <c r="F9814" t="s">
        <v>13</v>
      </c>
      <c r="G9814" s="18">
        <v>0</v>
      </c>
      <c r="H9814" t="s">
        <v>25</v>
      </c>
      <c r="I9814" t="s">
        <v>17</v>
      </c>
    </row>
    <row r="9815" spans="1:9" x14ac:dyDescent="0.25">
      <c r="A9815">
        <v>1825</v>
      </c>
      <c r="B9815">
        <f>A9815+1</f>
        <v>1826</v>
      </c>
      <c r="C9815" t="s">
        <v>531</v>
      </c>
      <c r="D9815" t="s">
        <v>26</v>
      </c>
      <c r="E9815" s="208" t="s">
        <v>36</v>
      </c>
      <c r="F9815" t="s">
        <v>13</v>
      </c>
      <c r="G9815" s="18">
        <v>0</v>
      </c>
      <c r="H9815" t="s">
        <v>25</v>
      </c>
      <c r="I9815" t="s">
        <v>17</v>
      </c>
    </row>
    <row r="9816" spans="1:9" x14ac:dyDescent="0.25">
      <c r="A9816">
        <v>1825</v>
      </c>
      <c r="B9816">
        <f>A9816+1</f>
        <v>1826</v>
      </c>
      <c r="C9816" t="s">
        <v>531</v>
      </c>
      <c r="D9816" t="s">
        <v>26</v>
      </c>
      <c r="E9816" s="208" t="s">
        <v>35</v>
      </c>
      <c r="F9816" t="s">
        <v>13</v>
      </c>
      <c r="G9816" s="18">
        <v>0</v>
      </c>
      <c r="H9816" t="s">
        <v>25</v>
      </c>
      <c r="I9816" t="s">
        <v>17</v>
      </c>
    </row>
    <row r="9817" spans="1:9" x14ac:dyDescent="0.25">
      <c r="A9817">
        <v>1825</v>
      </c>
      <c r="B9817">
        <f>A9817+1</f>
        <v>1826</v>
      </c>
      <c r="C9817" t="s">
        <v>531</v>
      </c>
      <c r="D9817" t="s">
        <v>26</v>
      </c>
      <c r="E9817" s="208" t="s">
        <v>40</v>
      </c>
      <c r="F9817" t="s">
        <v>13</v>
      </c>
      <c r="G9817" s="18">
        <v>0</v>
      </c>
      <c r="H9817" t="s">
        <v>25</v>
      </c>
      <c r="I9817" t="s">
        <v>17</v>
      </c>
    </row>
    <row r="9818" spans="1:9" x14ac:dyDescent="0.25">
      <c r="A9818">
        <v>1825</v>
      </c>
      <c r="B9818">
        <f>A9818+1</f>
        <v>1826</v>
      </c>
      <c r="C9818" t="s">
        <v>531</v>
      </c>
      <c r="D9818" t="s">
        <v>26</v>
      </c>
      <c r="E9818" s="208" t="s">
        <v>99</v>
      </c>
      <c r="F9818" t="s">
        <v>13</v>
      </c>
      <c r="G9818" s="18">
        <v>0</v>
      </c>
      <c r="H9818" t="s">
        <v>25</v>
      </c>
      <c r="I9818" t="s">
        <v>17</v>
      </c>
    </row>
    <row r="9819" spans="1:9" x14ac:dyDescent="0.25">
      <c r="A9819">
        <v>1825</v>
      </c>
      <c r="B9819">
        <f>A9819+1</f>
        <v>1826</v>
      </c>
      <c r="C9819" t="s">
        <v>531</v>
      </c>
      <c r="D9819" t="s">
        <v>26</v>
      </c>
      <c r="E9819" s="208" t="s">
        <v>98</v>
      </c>
      <c r="F9819" t="s">
        <v>13</v>
      </c>
      <c r="G9819" s="18">
        <v>0</v>
      </c>
      <c r="H9819" t="s">
        <v>25</v>
      </c>
      <c r="I9819" t="s">
        <v>17</v>
      </c>
    </row>
    <row r="9820" spans="1:9" x14ac:dyDescent="0.25">
      <c r="A9820">
        <v>1825</v>
      </c>
      <c r="B9820">
        <f>A9820+1</f>
        <v>1826</v>
      </c>
      <c r="C9820" t="s">
        <v>531</v>
      </c>
      <c r="D9820" t="s">
        <v>26</v>
      </c>
      <c r="E9820" s="208" t="s">
        <v>352</v>
      </c>
      <c r="F9820" t="s">
        <v>13</v>
      </c>
      <c r="G9820" s="18">
        <v>54</v>
      </c>
      <c r="H9820" t="s">
        <v>25</v>
      </c>
      <c r="I9820" t="s">
        <v>17</v>
      </c>
    </row>
    <row r="9821" spans="1:9" x14ac:dyDescent="0.25">
      <c r="A9821">
        <v>1825</v>
      </c>
      <c r="B9821">
        <f>A9821+1</f>
        <v>1826</v>
      </c>
      <c r="C9821" t="s">
        <v>531</v>
      </c>
      <c r="D9821" t="s">
        <v>26</v>
      </c>
      <c r="E9821" s="208" t="s">
        <v>107</v>
      </c>
      <c r="F9821" t="s">
        <v>13</v>
      </c>
      <c r="G9821" s="18">
        <v>0</v>
      </c>
      <c r="H9821" t="s">
        <v>25</v>
      </c>
      <c r="I9821" t="s">
        <v>17</v>
      </c>
    </row>
    <row r="9822" spans="1:9" x14ac:dyDescent="0.25">
      <c r="A9822">
        <v>1825</v>
      </c>
      <c r="B9822">
        <f>A9822+1</f>
        <v>1826</v>
      </c>
      <c r="C9822" t="s">
        <v>531</v>
      </c>
      <c r="D9822" t="s">
        <v>26</v>
      </c>
      <c r="E9822" s="208" t="s">
        <v>101</v>
      </c>
      <c r="F9822" t="s">
        <v>13</v>
      </c>
      <c r="G9822" s="18">
        <v>0</v>
      </c>
      <c r="H9822" t="s">
        <v>25</v>
      </c>
      <c r="I9822" t="s">
        <v>17</v>
      </c>
    </row>
    <row r="9823" spans="1:9" x14ac:dyDescent="0.25">
      <c r="A9823">
        <v>1825</v>
      </c>
      <c r="B9823">
        <f>A9823+1</f>
        <v>1826</v>
      </c>
      <c r="C9823" t="s">
        <v>531</v>
      </c>
      <c r="D9823" t="s">
        <v>26</v>
      </c>
      <c r="E9823" s="208" t="s">
        <v>75</v>
      </c>
      <c r="F9823" t="s">
        <v>13</v>
      </c>
      <c r="G9823" s="18">
        <v>0</v>
      </c>
      <c r="H9823" t="s">
        <v>25</v>
      </c>
      <c r="I9823" t="s">
        <v>17</v>
      </c>
    </row>
    <row r="9824" spans="1:9" x14ac:dyDescent="0.25">
      <c r="A9824">
        <v>1825</v>
      </c>
      <c r="B9824">
        <f>A9824+1</f>
        <v>1826</v>
      </c>
      <c r="C9824" t="s">
        <v>531</v>
      </c>
      <c r="D9824" t="s">
        <v>26</v>
      </c>
      <c r="E9824" s="208" t="s">
        <v>66</v>
      </c>
      <c r="F9824" t="s">
        <v>13</v>
      </c>
      <c r="G9824" s="18">
        <v>0</v>
      </c>
      <c r="H9824" t="s">
        <v>25</v>
      </c>
      <c r="I9824" t="s">
        <v>17</v>
      </c>
    </row>
    <row r="9825" spans="1:9" x14ac:dyDescent="0.25">
      <c r="A9825">
        <v>1825</v>
      </c>
      <c r="B9825">
        <f>A9825+1</f>
        <v>1826</v>
      </c>
      <c r="C9825" t="s">
        <v>531</v>
      </c>
      <c r="D9825" t="s">
        <v>26</v>
      </c>
      <c r="E9825" s="208" t="s">
        <v>330</v>
      </c>
      <c r="F9825" t="s">
        <v>13</v>
      </c>
      <c r="G9825" s="18">
        <v>359</v>
      </c>
      <c r="H9825" t="s">
        <v>25</v>
      </c>
      <c r="I9825" t="s">
        <v>17</v>
      </c>
    </row>
    <row r="9826" spans="1:9" x14ac:dyDescent="0.25">
      <c r="A9826">
        <v>1825</v>
      </c>
      <c r="B9826">
        <f>A9826+1</f>
        <v>1826</v>
      </c>
      <c r="C9826" t="s">
        <v>531</v>
      </c>
      <c r="D9826" t="s">
        <v>26</v>
      </c>
      <c r="E9826" s="208" t="s">
        <v>331</v>
      </c>
      <c r="F9826" t="s">
        <v>13</v>
      </c>
      <c r="G9826" s="18">
        <v>84</v>
      </c>
      <c r="H9826" t="s">
        <v>25</v>
      </c>
      <c r="I9826" t="s">
        <v>17</v>
      </c>
    </row>
    <row r="9827" spans="1:9" x14ac:dyDescent="0.25">
      <c r="A9827">
        <v>1825</v>
      </c>
      <c r="B9827">
        <f>A9827+1</f>
        <v>1826</v>
      </c>
      <c r="C9827" t="s">
        <v>531</v>
      </c>
      <c r="D9827" t="s">
        <v>26</v>
      </c>
      <c r="E9827" s="208" t="s">
        <v>332</v>
      </c>
      <c r="F9827" t="s">
        <v>13</v>
      </c>
      <c r="G9827" s="18">
        <v>0</v>
      </c>
      <c r="H9827" t="s">
        <v>25</v>
      </c>
      <c r="I9827" t="s">
        <v>17</v>
      </c>
    </row>
    <row r="9828" spans="1:9" x14ac:dyDescent="0.25">
      <c r="A9828">
        <v>1825</v>
      </c>
      <c r="B9828">
        <f>A9828+1</f>
        <v>1826</v>
      </c>
      <c r="C9828" t="s">
        <v>531</v>
      </c>
      <c r="D9828" t="s">
        <v>26</v>
      </c>
      <c r="E9828" s="208" t="s">
        <v>333</v>
      </c>
      <c r="F9828" t="s">
        <v>13</v>
      </c>
      <c r="G9828" s="18">
        <v>55</v>
      </c>
      <c r="H9828" t="s">
        <v>25</v>
      </c>
      <c r="I9828" t="s">
        <v>17</v>
      </c>
    </row>
    <row r="9829" spans="1:9" x14ac:dyDescent="0.25">
      <c r="A9829">
        <v>1825</v>
      </c>
      <c r="B9829">
        <f>A9829+1</f>
        <v>1826</v>
      </c>
      <c r="C9829" t="s">
        <v>531</v>
      </c>
      <c r="D9829" t="s">
        <v>27</v>
      </c>
      <c r="E9829" s="208" t="s">
        <v>155</v>
      </c>
      <c r="F9829" t="s">
        <v>8</v>
      </c>
      <c r="G9829" s="18">
        <v>74390</v>
      </c>
      <c r="H9829" t="s">
        <v>17</v>
      </c>
      <c r="I9829" t="s">
        <v>18</v>
      </c>
    </row>
    <row r="9830" spans="1:9" x14ac:dyDescent="0.25">
      <c r="A9830">
        <v>1825</v>
      </c>
      <c r="B9830">
        <f>A9830+1</f>
        <v>1826</v>
      </c>
      <c r="C9830" t="s">
        <v>531</v>
      </c>
      <c r="D9830" t="s">
        <v>27</v>
      </c>
      <c r="E9830" s="208" t="s">
        <v>156</v>
      </c>
      <c r="F9830" t="s">
        <v>8</v>
      </c>
      <c r="G9830" s="18">
        <v>7223</v>
      </c>
      <c r="H9830" t="s">
        <v>17</v>
      </c>
      <c r="I9830" t="s">
        <v>18</v>
      </c>
    </row>
    <row r="9831" spans="1:9" x14ac:dyDescent="0.25">
      <c r="A9831">
        <v>1825</v>
      </c>
      <c r="B9831">
        <f>A9831+1</f>
        <v>1826</v>
      </c>
      <c r="C9831" t="s">
        <v>531</v>
      </c>
      <c r="D9831" t="s">
        <v>27</v>
      </c>
      <c r="E9831" s="208" t="s">
        <v>154</v>
      </c>
      <c r="F9831" t="s">
        <v>8</v>
      </c>
      <c r="G9831" s="18">
        <v>768</v>
      </c>
      <c r="H9831" t="s">
        <v>17</v>
      </c>
      <c r="I9831" t="s">
        <v>18</v>
      </c>
    </row>
    <row r="9832" spans="1:9" x14ac:dyDescent="0.25">
      <c r="A9832">
        <v>1825</v>
      </c>
      <c r="B9832">
        <f>A9832+1</f>
        <v>1826</v>
      </c>
      <c r="C9832" t="s">
        <v>531</v>
      </c>
      <c r="D9832" t="s">
        <v>27</v>
      </c>
      <c r="E9832" s="208" t="s">
        <v>150</v>
      </c>
      <c r="F9832" t="s">
        <v>8</v>
      </c>
      <c r="G9832" s="18">
        <v>20216</v>
      </c>
      <c r="H9832" t="s">
        <v>17</v>
      </c>
      <c r="I9832" t="s">
        <v>18</v>
      </c>
    </row>
    <row r="9833" spans="1:9" x14ac:dyDescent="0.25">
      <c r="A9833">
        <v>1825</v>
      </c>
      <c r="B9833">
        <f>A9833+1</f>
        <v>1826</v>
      </c>
      <c r="C9833" t="s">
        <v>531</v>
      </c>
      <c r="D9833" t="s">
        <v>27</v>
      </c>
      <c r="E9833" s="208" t="s">
        <v>148</v>
      </c>
      <c r="F9833" t="s">
        <v>8</v>
      </c>
      <c r="G9833" s="18">
        <v>1847</v>
      </c>
      <c r="H9833" t="s">
        <v>17</v>
      </c>
      <c r="I9833" t="s">
        <v>18</v>
      </c>
    </row>
    <row r="9834" spans="1:9" x14ac:dyDescent="0.25">
      <c r="A9834">
        <v>1825</v>
      </c>
      <c r="B9834">
        <f>A9834+1</f>
        <v>1826</v>
      </c>
      <c r="C9834" t="s">
        <v>531</v>
      </c>
      <c r="D9834" t="s">
        <v>27</v>
      </c>
      <c r="E9834" s="208" t="s">
        <v>147</v>
      </c>
      <c r="F9834" t="s">
        <v>8</v>
      </c>
      <c r="G9834" s="18">
        <v>38</v>
      </c>
      <c r="H9834" t="s">
        <v>17</v>
      </c>
      <c r="I9834" t="s">
        <v>18</v>
      </c>
    </row>
    <row r="9835" spans="1:9" x14ac:dyDescent="0.25">
      <c r="A9835">
        <v>1825</v>
      </c>
      <c r="B9835">
        <f>A9835+1</f>
        <v>1826</v>
      </c>
      <c r="C9835" t="s">
        <v>531</v>
      </c>
      <c r="D9835" t="s">
        <v>27</v>
      </c>
      <c r="E9835" s="208" t="s">
        <v>139</v>
      </c>
      <c r="F9835" t="s">
        <v>8</v>
      </c>
      <c r="G9835" s="18">
        <v>231</v>
      </c>
      <c r="H9835" t="s">
        <v>17</v>
      </c>
      <c r="I9835" t="s">
        <v>18</v>
      </c>
    </row>
    <row r="9836" spans="1:9" x14ac:dyDescent="0.25">
      <c r="A9836">
        <v>1825</v>
      </c>
      <c r="B9836">
        <f>A9836+1</f>
        <v>1826</v>
      </c>
      <c r="C9836" t="s">
        <v>531</v>
      </c>
      <c r="D9836" t="s">
        <v>27</v>
      </c>
      <c r="E9836" s="208" t="s">
        <v>132</v>
      </c>
      <c r="F9836" t="s">
        <v>8</v>
      </c>
      <c r="G9836" s="18">
        <v>5294</v>
      </c>
      <c r="H9836" t="s">
        <v>17</v>
      </c>
      <c r="I9836" t="s">
        <v>18</v>
      </c>
    </row>
    <row r="9837" spans="1:9" x14ac:dyDescent="0.25">
      <c r="A9837">
        <v>1825</v>
      </c>
      <c r="B9837">
        <f>A9837+1</f>
        <v>1826</v>
      </c>
      <c r="C9837" t="s">
        <v>531</v>
      </c>
      <c r="D9837" t="s">
        <v>27</v>
      </c>
      <c r="E9837" s="208" t="s">
        <v>130</v>
      </c>
      <c r="F9837" t="s">
        <v>8</v>
      </c>
      <c r="G9837" s="18">
        <v>516</v>
      </c>
      <c r="H9837" t="s">
        <v>17</v>
      </c>
      <c r="I9837" t="s">
        <v>18</v>
      </c>
    </row>
    <row r="9838" spans="1:9" x14ac:dyDescent="0.25">
      <c r="A9838">
        <v>1825</v>
      </c>
      <c r="B9838">
        <f>A9838+1</f>
        <v>1826</v>
      </c>
      <c r="C9838" t="s">
        <v>531</v>
      </c>
      <c r="D9838" t="s">
        <v>27</v>
      </c>
      <c r="E9838" s="208" t="s">
        <v>143</v>
      </c>
      <c r="F9838" t="s">
        <v>8</v>
      </c>
      <c r="G9838" s="18">
        <v>148</v>
      </c>
      <c r="H9838" t="s">
        <v>17</v>
      </c>
      <c r="I9838" t="s">
        <v>18</v>
      </c>
    </row>
    <row r="9839" spans="1:9" x14ac:dyDescent="0.25">
      <c r="A9839">
        <v>1825</v>
      </c>
      <c r="B9839">
        <f>A9839+1</f>
        <v>1826</v>
      </c>
      <c r="C9839" t="s">
        <v>531</v>
      </c>
      <c r="D9839" t="s">
        <v>27</v>
      </c>
      <c r="E9839" s="208" t="s">
        <v>142</v>
      </c>
      <c r="F9839" t="s">
        <v>8</v>
      </c>
      <c r="G9839" s="18">
        <v>10657</v>
      </c>
      <c r="H9839" t="s">
        <v>17</v>
      </c>
      <c r="I9839" t="s">
        <v>18</v>
      </c>
    </row>
    <row r="9840" spans="1:9" x14ac:dyDescent="0.25">
      <c r="A9840">
        <v>1825</v>
      </c>
      <c r="B9840">
        <f>A9840+1</f>
        <v>1826</v>
      </c>
      <c r="C9840" t="s">
        <v>531</v>
      </c>
      <c r="D9840" t="s">
        <v>27</v>
      </c>
      <c r="E9840" s="208" t="s">
        <v>124</v>
      </c>
      <c r="F9840" t="s">
        <v>8</v>
      </c>
      <c r="G9840" s="18">
        <v>7659923</v>
      </c>
      <c r="H9840" t="s">
        <v>17</v>
      </c>
      <c r="I9840" t="s">
        <v>18</v>
      </c>
    </row>
    <row r="9841" spans="1:9" x14ac:dyDescent="0.25">
      <c r="A9841">
        <v>1825</v>
      </c>
      <c r="B9841">
        <f>A9841+1</f>
        <v>1826</v>
      </c>
      <c r="C9841" t="s">
        <v>531</v>
      </c>
      <c r="D9841" t="s">
        <v>27</v>
      </c>
      <c r="E9841" s="208" t="s">
        <v>115</v>
      </c>
      <c r="F9841" t="s">
        <v>8</v>
      </c>
      <c r="G9841" s="18">
        <v>195</v>
      </c>
      <c r="H9841" t="s">
        <v>17</v>
      </c>
      <c r="I9841" t="s">
        <v>18</v>
      </c>
    </row>
    <row r="9842" spans="1:9" x14ac:dyDescent="0.25">
      <c r="A9842">
        <v>1825</v>
      </c>
      <c r="B9842">
        <f>A9842+1</f>
        <v>1826</v>
      </c>
      <c r="C9842" t="s">
        <v>531</v>
      </c>
      <c r="D9842" t="s">
        <v>27</v>
      </c>
      <c r="E9842" s="208" t="s">
        <v>116</v>
      </c>
      <c r="F9842" t="s">
        <v>8</v>
      </c>
      <c r="G9842" s="18">
        <v>1653</v>
      </c>
      <c r="H9842" t="s">
        <v>17</v>
      </c>
      <c r="I9842" t="s">
        <v>18</v>
      </c>
    </row>
    <row r="9843" spans="1:9" x14ac:dyDescent="0.25">
      <c r="A9843">
        <v>1825</v>
      </c>
      <c r="B9843">
        <f>A9843+1</f>
        <v>1826</v>
      </c>
      <c r="C9843" t="s">
        <v>531</v>
      </c>
      <c r="D9843" t="s">
        <v>27</v>
      </c>
      <c r="E9843" s="208" t="s">
        <v>136</v>
      </c>
      <c r="F9843" t="s">
        <v>8</v>
      </c>
      <c r="G9843" s="18">
        <v>94</v>
      </c>
      <c r="H9843" t="s">
        <v>17</v>
      </c>
      <c r="I9843" t="s">
        <v>18</v>
      </c>
    </row>
    <row r="9844" spans="1:9" x14ac:dyDescent="0.25">
      <c r="A9844">
        <v>1825</v>
      </c>
      <c r="B9844">
        <f>A9844+1</f>
        <v>1826</v>
      </c>
      <c r="C9844" t="s">
        <v>531</v>
      </c>
      <c r="D9844" t="s">
        <v>27</v>
      </c>
      <c r="E9844" s="208" t="s">
        <v>157</v>
      </c>
      <c r="F9844" t="s">
        <v>8</v>
      </c>
      <c r="G9844" s="18">
        <v>117</v>
      </c>
      <c r="H9844" t="s">
        <v>17</v>
      </c>
      <c r="I9844" t="s">
        <v>18</v>
      </c>
    </row>
    <row r="9845" spans="1:9" x14ac:dyDescent="0.25">
      <c r="A9845">
        <v>1825</v>
      </c>
      <c r="B9845">
        <f>A9845+1</f>
        <v>1826</v>
      </c>
      <c r="C9845" t="s">
        <v>531</v>
      </c>
      <c r="D9845" t="s">
        <v>27</v>
      </c>
      <c r="E9845" s="208" t="s">
        <v>74</v>
      </c>
      <c r="F9845" t="s">
        <v>8</v>
      </c>
      <c r="G9845" s="18">
        <v>3250</v>
      </c>
      <c r="H9845" t="s">
        <v>17</v>
      </c>
      <c r="I9845" t="s">
        <v>18</v>
      </c>
    </row>
    <row r="9846" spans="1:9" x14ac:dyDescent="0.25">
      <c r="A9846">
        <v>1825</v>
      </c>
      <c r="B9846">
        <f>A9846+1</f>
        <v>1826</v>
      </c>
      <c r="C9846" t="s">
        <v>531</v>
      </c>
      <c r="D9846" t="s">
        <v>27</v>
      </c>
      <c r="E9846" s="208" t="s">
        <v>129</v>
      </c>
      <c r="F9846" t="s">
        <v>8</v>
      </c>
      <c r="G9846" s="18">
        <v>711</v>
      </c>
      <c r="H9846" t="s">
        <v>17</v>
      </c>
      <c r="I9846" t="s">
        <v>18</v>
      </c>
    </row>
    <row r="9847" spans="1:9" x14ac:dyDescent="0.25">
      <c r="A9847">
        <v>1825</v>
      </c>
      <c r="B9847">
        <f>A9847+1</f>
        <v>1826</v>
      </c>
      <c r="C9847" t="s">
        <v>531</v>
      </c>
      <c r="D9847" t="s">
        <v>27</v>
      </c>
      <c r="E9847" s="208" t="s">
        <v>141</v>
      </c>
      <c r="F9847" t="s">
        <v>8</v>
      </c>
      <c r="G9847" s="18">
        <v>88</v>
      </c>
      <c r="H9847" t="s">
        <v>17</v>
      </c>
      <c r="I9847" t="s">
        <v>18</v>
      </c>
    </row>
    <row r="9848" spans="1:9" x14ac:dyDescent="0.25">
      <c r="A9848">
        <v>1825</v>
      </c>
      <c r="B9848">
        <f>A9848+1</f>
        <v>1826</v>
      </c>
      <c r="C9848" t="s">
        <v>531</v>
      </c>
      <c r="D9848" t="s">
        <v>27</v>
      </c>
      <c r="E9848" s="208" t="s">
        <v>128</v>
      </c>
      <c r="F9848" t="s">
        <v>8</v>
      </c>
      <c r="G9848" s="18">
        <v>81</v>
      </c>
      <c r="H9848" t="s">
        <v>17</v>
      </c>
      <c r="I9848" t="s">
        <v>18</v>
      </c>
    </row>
    <row r="9849" spans="1:9" x14ac:dyDescent="0.25">
      <c r="A9849">
        <v>1825</v>
      </c>
      <c r="B9849">
        <f>A9849+1</f>
        <v>1826</v>
      </c>
      <c r="C9849" t="s">
        <v>531</v>
      </c>
      <c r="D9849" t="s">
        <v>27</v>
      </c>
      <c r="E9849" s="208" t="s">
        <v>135</v>
      </c>
      <c r="F9849" t="s">
        <v>8</v>
      </c>
      <c r="G9849" s="18">
        <v>111</v>
      </c>
      <c r="H9849" t="s">
        <v>17</v>
      </c>
      <c r="I9849" t="s">
        <v>18</v>
      </c>
    </row>
    <row r="9850" spans="1:9" x14ac:dyDescent="0.25">
      <c r="A9850">
        <v>1825</v>
      </c>
      <c r="B9850">
        <f>A9850+1</f>
        <v>1826</v>
      </c>
      <c r="C9850" t="s">
        <v>531</v>
      </c>
      <c r="D9850" t="s">
        <v>27</v>
      </c>
      <c r="E9850" s="208" t="s">
        <v>138</v>
      </c>
      <c r="F9850" t="s">
        <v>8</v>
      </c>
      <c r="G9850" s="18">
        <v>2368</v>
      </c>
      <c r="H9850" t="s">
        <v>17</v>
      </c>
      <c r="I9850" t="s">
        <v>18</v>
      </c>
    </row>
    <row r="9851" spans="1:9" x14ac:dyDescent="0.25">
      <c r="A9851">
        <v>1825</v>
      </c>
      <c r="B9851">
        <f>A9851+1</f>
        <v>1826</v>
      </c>
      <c r="C9851" t="s">
        <v>531</v>
      </c>
      <c r="D9851" t="s">
        <v>27</v>
      </c>
      <c r="E9851" s="208" t="s">
        <v>134</v>
      </c>
      <c r="F9851" t="s">
        <v>8</v>
      </c>
      <c r="G9851" s="18">
        <v>4640</v>
      </c>
      <c r="H9851" t="s">
        <v>17</v>
      </c>
      <c r="I9851" t="s">
        <v>18</v>
      </c>
    </row>
    <row r="9852" spans="1:9" x14ac:dyDescent="0.25">
      <c r="A9852">
        <v>1825</v>
      </c>
      <c r="B9852">
        <f>A9852+1</f>
        <v>1826</v>
      </c>
      <c r="C9852" t="s">
        <v>531</v>
      </c>
      <c r="D9852" t="s">
        <v>26</v>
      </c>
      <c r="E9852" s="208" t="s">
        <v>62</v>
      </c>
      <c r="F9852" t="s">
        <v>164</v>
      </c>
      <c r="G9852" s="18">
        <v>134</v>
      </c>
      <c r="H9852" t="s">
        <v>160</v>
      </c>
      <c r="I9852" t="s">
        <v>17</v>
      </c>
    </row>
    <row r="9853" spans="1:9" x14ac:dyDescent="0.25">
      <c r="A9853">
        <v>1825</v>
      </c>
      <c r="B9853">
        <f>A9853+1</f>
        <v>1826</v>
      </c>
      <c r="C9853" t="s">
        <v>531</v>
      </c>
      <c r="D9853" t="s">
        <v>26</v>
      </c>
      <c r="E9853" s="208" t="s">
        <v>55</v>
      </c>
      <c r="F9853" t="s">
        <v>164</v>
      </c>
      <c r="G9853" s="18">
        <v>0</v>
      </c>
      <c r="H9853" t="s">
        <v>160</v>
      </c>
      <c r="I9853" t="s">
        <v>17</v>
      </c>
    </row>
    <row r="9854" spans="1:9" x14ac:dyDescent="0.25">
      <c r="A9854">
        <v>1825</v>
      </c>
      <c r="B9854">
        <f>A9854+1</f>
        <v>1826</v>
      </c>
      <c r="C9854" t="s">
        <v>531</v>
      </c>
      <c r="D9854" t="s">
        <v>26</v>
      </c>
      <c r="E9854" s="208" t="s">
        <v>36</v>
      </c>
      <c r="F9854" t="s">
        <v>164</v>
      </c>
      <c r="G9854" s="18">
        <v>121</v>
      </c>
      <c r="H9854" t="s">
        <v>160</v>
      </c>
      <c r="I9854" t="s">
        <v>17</v>
      </c>
    </row>
    <row r="9855" spans="1:9" x14ac:dyDescent="0.25">
      <c r="A9855">
        <v>1825</v>
      </c>
      <c r="B9855">
        <f>A9855+1</f>
        <v>1826</v>
      </c>
      <c r="C9855" t="s">
        <v>531</v>
      </c>
      <c r="D9855" t="s">
        <v>26</v>
      </c>
      <c r="E9855" s="208" t="s">
        <v>35</v>
      </c>
      <c r="F9855" t="s">
        <v>164</v>
      </c>
      <c r="G9855" s="18">
        <v>0</v>
      </c>
      <c r="H9855" t="s">
        <v>160</v>
      </c>
      <c r="I9855" t="s">
        <v>17</v>
      </c>
    </row>
    <row r="9856" spans="1:9" x14ac:dyDescent="0.25">
      <c r="A9856">
        <v>1825</v>
      </c>
      <c r="B9856">
        <f>A9856+1</f>
        <v>1826</v>
      </c>
      <c r="C9856" t="s">
        <v>531</v>
      </c>
      <c r="D9856" t="s">
        <v>26</v>
      </c>
      <c r="E9856" s="208" t="s">
        <v>40</v>
      </c>
      <c r="F9856" t="s">
        <v>164</v>
      </c>
      <c r="G9856" s="18">
        <v>0</v>
      </c>
      <c r="H9856" t="s">
        <v>160</v>
      </c>
      <c r="I9856" t="s">
        <v>17</v>
      </c>
    </row>
    <row r="9857" spans="1:9" x14ac:dyDescent="0.25">
      <c r="A9857">
        <v>1825</v>
      </c>
      <c r="B9857">
        <f>A9857+1</f>
        <v>1826</v>
      </c>
      <c r="C9857" t="s">
        <v>531</v>
      </c>
      <c r="D9857" t="s">
        <v>26</v>
      </c>
      <c r="E9857" s="208" t="s">
        <v>99</v>
      </c>
      <c r="F9857" t="s">
        <v>164</v>
      </c>
      <c r="G9857" s="18">
        <v>187</v>
      </c>
      <c r="H9857" t="s">
        <v>160</v>
      </c>
      <c r="I9857" t="s">
        <v>17</v>
      </c>
    </row>
    <row r="9858" spans="1:9" x14ac:dyDescent="0.25">
      <c r="A9858">
        <v>1825</v>
      </c>
      <c r="B9858">
        <f>A9858+1</f>
        <v>1826</v>
      </c>
      <c r="C9858" t="s">
        <v>531</v>
      </c>
      <c r="D9858" t="s">
        <v>26</v>
      </c>
      <c r="E9858" s="208" t="s">
        <v>98</v>
      </c>
      <c r="F9858" t="s">
        <v>164</v>
      </c>
      <c r="G9858" s="18">
        <v>0</v>
      </c>
      <c r="H9858" t="s">
        <v>160</v>
      </c>
      <c r="I9858" t="s">
        <v>17</v>
      </c>
    </row>
    <row r="9859" spans="1:9" x14ac:dyDescent="0.25">
      <c r="A9859">
        <v>1825</v>
      </c>
      <c r="B9859">
        <f>A9859+1</f>
        <v>1826</v>
      </c>
      <c r="C9859" t="s">
        <v>531</v>
      </c>
      <c r="D9859" t="s">
        <v>26</v>
      </c>
      <c r="E9859" s="208" t="s">
        <v>352</v>
      </c>
      <c r="F9859" t="s">
        <v>164</v>
      </c>
      <c r="G9859" s="18">
        <v>1361</v>
      </c>
      <c r="H9859" t="s">
        <v>160</v>
      </c>
      <c r="I9859" t="s">
        <v>17</v>
      </c>
    </row>
    <row r="9860" spans="1:9" x14ac:dyDescent="0.25">
      <c r="A9860">
        <v>1825</v>
      </c>
      <c r="B9860">
        <f>A9860+1</f>
        <v>1826</v>
      </c>
      <c r="C9860" t="s">
        <v>531</v>
      </c>
      <c r="D9860" t="s">
        <v>26</v>
      </c>
      <c r="E9860" s="208" t="s">
        <v>107</v>
      </c>
      <c r="F9860" t="s">
        <v>164</v>
      </c>
      <c r="G9860" s="18">
        <v>0</v>
      </c>
      <c r="H9860" t="s">
        <v>160</v>
      </c>
      <c r="I9860" t="s">
        <v>17</v>
      </c>
    </row>
    <row r="9861" spans="1:9" x14ac:dyDescent="0.25">
      <c r="A9861">
        <v>1825</v>
      </c>
      <c r="B9861">
        <f>A9861+1</f>
        <v>1826</v>
      </c>
      <c r="C9861" t="s">
        <v>531</v>
      </c>
      <c r="D9861" t="s">
        <v>26</v>
      </c>
      <c r="E9861" s="208" t="s">
        <v>101</v>
      </c>
      <c r="F9861" t="s">
        <v>164</v>
      </c>
      <c r="G9861" s="18">
        <v>0</v>
      </c>
      <c r="H9861" t="s">
        <v>160</v>
      </c>
      <c r="I9861" t="s">
        <v>17</v>
      </c>
    </row>
    <row r="9862" spans="1:9" x14ac:dyDescent="0.25">
      <c r="A9862">
        <v>1825</v>
      </c>
      <c r="B9862">
        <f>A9862+1</f>
        <v>1826</v>
      </c>
      <c r="C9862" t="s">
        <v>531</v>
      </c>
      <c r="D9862" t="s">
        <v>26</v>
      </c>
      <c r="E9862" s="208" t="s">
        <v>75</v>
      </c>
      <c r="F9862" t="s">
        <v>164</v>
      </c>
      <c r="G9862" s="18">
        <v>0</v>
      </c>
      <c r="H9862" t="s">
        <v>160</v>
      </c>
      <c r="I9862" t="s">
        <v>17</v>
      </c>
    </row>
    <row r="9863" spans="1:9" x14ac:dyDescent="0.25">
      <c r="A9863">
        <v>1825</v>
      </c>
      <c r="B9863">
        <f>A9863+1</f>
        <v>1826</v>
      </c>
      <c r="C9863" t="s">
        <v>531</v>
      </c>
      <c r="D9863" t="s">
        <v>26</v>
      </c>
      <c r="E9863" s="208" t="s">
        <v>66</v>
      </c>
      <c r="F9863" t="s">
        <v>164</v>
      </c>
      <c r="G9863" s="18">
        <v>0</v>
      </c>
      <c r="H9863" t="s">
        <v>160</v>
      </c>
      <c r="I9863" t="s">
        <v>17</v>
      </c>
    </row>
    <row r="9864" spans="1:9" x14ac:dyDescent="0.25">
      <c r="A9864">
        <v>1825</v>
      </c>
      <c r="B9864">
        <f>A9864+1</f>
        <v>1826</v>
      </c>
      <c r="C9864" t="s">
        <v>531</v>
      </c>
      <c r="D9864" t="s">
        <v>26</v>
      </c>
      <c r="E9864" s="208" t="s">
        <v>330</v>
      </c>
      <c r="F9864" t="s">
        <v>164</v>
      </c>
      <c r="G9864" s="18">
        <v>0</v>
      </c>
      <c r="H9864" t="s">
        <v>160</v>
      </c>
      <c r="I9864" t="s">
        <v>17</v>
      </c>
    </row>
    <row r="9865" spans="1:9" x14ac:dyDescent="0.25">
      <c r="A9865">
        <v>1825</v>
      </c>
      <c r="B9865">
        <f>A9865+1</f>
        <v>1826</v>
      </c>
      <c r="C9865" t="s">
        <v>531</v>
      </c>
      <c r="D9865" t="s">
        <v>26</v>
      </c>
      <c r="E9865" s="208" t="s">
        <v>331</v>
      </c>
      <c r="F9865" t="s">
        <v>164</v>
      </c>
      <c r="G9865" s="18">
        <v>0</v>
      </c>
      <c r="H9865" t="s">
        <v>160</v>
      </c>
      <c r="I9865" t="s">
        <v>17</v>
      </c>
    </row>
    <row r="9866" spans="1:9" x14ac:dyDescent="0.25">
      <c r="A9866">
        <v>1825</v>
      </c>
      <c r="B9866">
        <f>A9866+1</f>
        <v>1826</v>
      </c>
      <c r="C9866" t="s">
        <v>531</v>
      </c>
      <c r="D9866" t="s">
        <v>26</v>
      </c>
      <c r="E9866" s="208" t="s">
        <v>332</v>
      </c>
      <c r="F9866" t="s">
        <v>164</v>
      </c>
      <c r="G9866" s="18">
        <v>0</v>
      </c>
      <c r="H9866" t="s">
        <v>160</v>
      </c>
      <c r="I9866" t="s">
        <v>17</v>
      </c>
    </row>
    <row r="9867" spans="1:9" x14ac:dyDescent="0.25">
      <c r="A9867">
        <v>1825</v>
      </c>
      <c r="B9867">
        <f>A9867+1</f>
        <v>1826</v>
      </c>
      <c r="C9867" t="s">
        <v>531</v>
      </c>
      <c r="D9867" t="s">
        <v>26</v>
      </c>
      <c r="E9867" s="208" t="s">
        <v>333</v>
      </c>
      <c r="F9867" t="s">
        <v>164</v>
      </c>
      <c r="G9867" s="18">
        <v>0</v>
      </c>
      <c r="H9867" t="s">
        <v>160</v>
      </c>
      <c r="I9867" t="s">
        <v>17</v>
      </c>
    </row>
    <row r="9868" spans="1:9" x14ac:dyDescent="0.25">
      <c r="A9868">
        <v>1825</v>
      </c>
      <c r="B9868">
        <f>A9868+1</f>
        <v>1826</v>
      </c>
      <c r="C9868" t="s">
        <v>531</v>
      </c>
      <c r="D9868" t="s">
        <v>27</v>
      </c>
      <c r="E9868" s="208" t="s">
        <v>156</v>
      </c>
      <c r="F9868" t="s">
        <v>9</v>
      </c>
      <c r="G9868" s="18">
        <v>265</v>
      </c>
      <c r="H9868" t="s">
        <v>17</v>
      </c>
      <c r="I9868" t="s">
        <v>21</v>
      </c>
    </row>
    <row r="9869" spans="1:9" x14ac:dyDescent="0.25">
      <c r="A9869">
        <v>1825</v>
      </c>
      <c r="B9869">
        <f>A9869+1</f>
        <v>1826</v>
      </c>
      <c r="C9869" t="s">
        <v>531</v>
      </c>
      <c r="D9869" t="s">
        <v>27</v>
      </c>
      <c r="E9869" s="208" t="s">
        <v>154</v>
      </c>
      <c r="F9869" t="s">
        <v>9</v>
      </c>
      <c r="G9869" s="18">
        <v>331</v>
      </c>
      <c r="H9869" t="s">
        <v>17</v>
      </c>
      <c r="I9869" t="s">
        <v>21</v>
      </c>
    </row>
    <row r="9870" spans="1:9" x14ac:dyDescent="0.25">
      <c r="A9870">
        <v>1825</v>
      </c>
      <c r="B9870">
        <f>A9870+1</f>
        <v>1826</v>
      </c>
      <c r="C9870" t="s">
        <v>531</v>
      </c>
      <c r="D9870" t="s">
        <v>27</v>
      </c>
      <c r="E9870" s="208" t="s">
        <v>150</v>
      </c>
      <c r="F9870" t="s">
        <v>9</v>
      </c>
      <c r="G9870" s="18">
        <v>0</v>
      </c>
      <c r="H9870" t="s">
        <v>17</v>
      </c>
      <c r="I9870" t="s">
        <v>21</v>
      </c>
    </row>
    <row r="9871" spans="1:9" x14ac:dyDescent="0.25">
      <c r="A9871">
        <v>1825</v>
      </c>
      <c r="B9871">
        <f>A9871+1</f>
        <v>1826</v>
      </c>
      <c r="C9871" t="s">
        <v>531</v>
      </c>
      <c r="D9871" t="s">
        <v>27</v>
      </c>
      <c r="E9871" s="208" t="s">
        <v>148</v>
      </c>
      <c r="F9871" t="s">
        <v>9</v>
      </c>
      <c r="G9871" s="18">
        <v>0</v>
      </c>
      <c r="H9871" t="s">
        <v>17</v>
      </c>
      <c r="I9871" t="s">
        <v>21</v>
      </c>
    </row>
    <row r="9872" spans="1:9" x14ac:dyDescent="0.25">
      <c r="A9872">
        <v>1825</v>
      </c>
      <c r="B9872">
        <f>A9872+1</f>
        <v>1826</v>
      </c>
      <c r="C9872" t="s">
        <v>531</v>
      </c>
      <c r="D9872" t="s">
        <v>27</v>
      </c>
      <c r="E9872" s="208" t="s">
        <v>147</v>
      </c>
      <c r="F9872" t="s">
        <v>9</v>
      </c>
      <c r="G9872" s="18">
        <v>0</v>
      </c>
      <c r="H9872" t="s">
        <v>17</v>
      </c>
      <c r="I9872" t="s">
        <v>21</v>
      </c>
    </row>
    <row r="9873" spans="1:9" x14ac:dyDescent="0.25">
      <c r="A9873">
        <v>1825</v>
      </c>
      <c r="B9873">
        <f>A9873+1</f>
        <v>1826</v>
      </c>
      <c r="C9873" t="s">
        <v>531</v>
      </c>
      <c r="D9873" t="s">
        <v>27</v>
      </c>
      <c r="E9873" s="208" t="s">
        <v>139</v>
      </c>
      <c r="F9873" t="s">
        <v>9</v>
      </c>
      <c r="G9873" s="18">
        <v>0</v>
      </c>
      <c r="H9873" t="s">
        <v>17</v>
      </c>
      <c r="I9873" t="s">
        <v>21</v>
      </c>
    </row>
    <row r="9874" spans="1:9" x14ac:dyDescent="0.25">
      <c r="A9874">
        <v>1825</v>
      </c>
      <c r="B9874">
        <f>A9874+1</f>
        <v>1826</v>
      </c>
      <c r="C9874" t="s">
        <v>531</v>
      </c>
      <c r="D9874" t="s">
        <v>27</v>
      </c>
      <c r="E9874" s="208" t="s">
        <v>132</v>
      </c>
      <c r="F9874" t="s">
        <v>9</v>
      </c>
      <c r="G9874" s="18">
        <v>2</v>
      </c>
      <c r="H9874" t="s">
        <v>17</v>
      </c>
      <c r="I9874" t="s">
        <v>21</v>
      </c>
    </row>
    <row r="9875" spans="1:9" x14ac:dyDescent="0.25">
      <c r="A9875">
        <v>1825</v>
      </c>
      <c r="B9875">
        <f>A9875+1</f>
        <v>1826</v>
      </c>
      <c r="C9875" t="s">
        <v>531</v>
      </c>
      <c r="D9875" t="s">
        <v>27</v>
      </c>
      <c r="E9875" s="208" t="s">
        <v>130</v>
      </c>
      <c r="F9875" t="s">
        <v>9</v>
      </c>
      <c r="G9875" s="18">
        <v>0</v>
      </c>
      <c r="H9875" t="s">
        <v>17</v>
      </c>
      <c r="I9875" t="s">
        <v>21</v>
      </c>
    </row>
    <row r="9876" spans="1:9" x14ac:dyDescent="0.25">
      <c r="A9876">
        <v>1825</v>
      </c>
      <c r="B9876">
        <f>A9876+1</f>
        <v>1826</v>
      </c>
      <c r="C9876" t="s">
        <v>531</v>
      </c>
      <c r="D9876" t="s">
        <v>27</v>
      </c>
      <c r="E9876" s="208" t="s">
        <v>143</v>
      </c>
      <c r="F9876" t="s">
        <v>9</v>
      </c>
      <c r="G9876" s="18">
        <v>0</v>
      </c>
      <c r="H9876" t="s">
        <v>17</v>
      </c>
      <c r="I9876" t="s">
        <v>21</v>
      </c>
    </row>
    <row r="9877" spans="1:9" x14ac:dyDescent="0.25">
      <c r="A9877">
        <v>1825</v>
      </c>
      <c r="B9877">
        <f>A9877+1</f>
        <v>1826</v>
      </c>
      <c r="C9877" t="s">
        <v>531</v>
      </c>
      <c r="D9877" t="s">
        <v>27</v>
      </c>
      <c r="E9877" s="208" t="s">
        <v>142</v>
      </c>
      <c r="F9877" t="s">
        <v>9</v>
      </c>
      <c r="G9877" s="18">
        <v>10</v>
      </c>
      <c r="H9877" t="s">
        <v>17</v>
      </c>
      <c r="I9877" t="s">
        <v>21</v>
      </c>
    </row>
    <row r="9878" spans="1:9" x14ac:dyDescent="0.25">
      <c r="A9878">
        <v>1825</v>
      </c>
      <c r="B9878">
        <f>A9878+1</f>
        <v>1826</v>
      </c>
      <c r="C9878" t="s">
        <v>531</v>
      </c>
      <c r="D9878" t="s">
        <v>27</v>
      </c>
      <c r="E9878" s="208" t="s">
        <v>124</v>
      </c>
      <c r="F9878" t="s">
        <v>9</v>
      </c>
      <c r="G9878" s="18">
        <v>0</v>
      </c>
      <c r="H9878" t="s">
        <v>17</v>
      </c>
      <c r="I9878" t="s">
        <v>21</v>
      </c>
    </row>
    <row r="9879" spans="1:9" x14ac:dyDescent="0.25">
      <c r="A9879">
        <v>1825</v>
      </c>
      <c r="B9879">
        <f>A9879+1</f>
        <v>1826</v>
      </c>
      <c r="C9879" t="s">
        <v>531</v>
      </c>
      <c r="D9879" t="s">
        <v>27</v>
      </c>
      <c r="E9879" s="208" t="s">
        <v>115</v>
      </c>
      <c r="F9879" t="s">
        <v>9</v>
      </c>
      <c r="G9879" s="18">
        <v>0</v>
      </c>
      <c r="H9879" t="s">
        <v>17</v>
      </c>
      <c r="I9879" t="s">
        <v>21</v>
      </c>
    </row>
    <row r="9880" spans="1:9" x14ac:dyDescent="0.25">
      <c r="A9880">
        <v>1825</v>
      </c>
      <c r="B9880">
        <f>A9880+1</f>
        <v>1826</v>
      </c>
      <c r="C9880" t="s">
        <v>531</v>
      </c>
      <c r="D9880" t="s">
        <v>27</v>
      </c>
      <c r="E9880" s="208" t="s">
        <v>116</v>
      </c>
      <c r="F9880" t="s">
        <v>9</v>
      </c>
      <c r="G9880" s="18">
        <v>1</v>
      </c>
      <c r="H9880" t="s">
        <v>17</v>
      </c>
      <c r="I9880" t="s">
        <v>21</v>
      </c>
    </row>
    <row r="9881" spans="1:9" x14ac:dyDescent="0.25">
      <c r="A9881">
        <v>1825</v>
      </c>
      <c r="B9881">
        <f>A9881+1</f>
        <v>1826</v>
      </c>
      <c r="C9881" t="s">
        <v>531</v>
      </c>
      <c r="D9881" t="s">
        <v>27</v>
      </c>
      <c r="E9881" s="208" t="s">
        <v>136</v>
      </c>
      <c r="F9881" t="s">
        <v>9</v>
      </c>
      <c r="G9881" s="18">
        <v>0</v>
      </c>
      <c r="H9881" t="s">
        <v>17</v>
      </c>
      <c r="I9881" t="s">
        <v>21</v>
      </c>
    </row>
    <row r="9882" spans="1:9" x14ac:dyDescent="0.25">
      <c r="A9882">
        <v>1825</v>
      </c>
      <c r="B9882">
        <f>A9882+1</f>
        <v>1826</v>
      </c>
      <c r="C9882" t="s">
        <v>531</v>
      </c>
      <c r="D9882" t="s">
        <v>27</v>
      </c>
      <c r="E9882" s="208" t="s">
        <v>157</v>
      </c>
      <c r="F9882" t="s">
        <v>9</v>
      </c>
      <c r="G9882" s="18">
        <v>0</v>
      </c>
      <c r="H9882" t="s">
        <v>17</v>
      </c>
      <c r="I9882" t="s">
        <v>21</v>
      </c>
    </row>
    <row r="9883" spans="1:9" x14ac:dyDescent="0.25">
      <c r="A9883">
        <v>1825</v>
      </c>
      <c r="B9883">
        <f>A9883+1</f>
        <v>1826</v>
      </c>
      <c r="C9883" t="s">
        <v>531</v>
      </c>
      <c r="D9883" t="s">
        <v>27</v>
      </c>
      <c r="E9883" s="208" t="s">
        <v>74</v>
      </c>
      <c r="F9883" t="s">
        <v>9</v>
      </c>
      <c r="G9883" s="18">
        <v>15</v>
      </c>
      <c r="H9883" t="s">
        <v>17</v>
      </c>
      <c r="I9883" t="s">
        <v>21</v>
      </c>
    </row>
    <row r="9884" spans="1:9" x14ac:dyDescent="0.25">
      <c r="A9884">
        <v>1825</v>
      </c>
      <c r="B9884">
        <f>A9884+1</f>
        <v>1826</v>
      </c>
      <c r="C9884" t="s">
        <v>531</v>
      </c>
      <c r="D9884" t="s">
        <v>27</v>
      </c>
      <c r="E9884" s="208" t="s">
        <v>129</v>
      </c>
      <c r="F9884" t="s">
        <v>9</v>
      </c>
      <c r="G9884" s="18">
        <v>0</v>
      </c>
      <c r="H9884" t="s">
        <v>17</v>
      </c>
      <c r="I9884" t="s">
        <v>21</v>
      </c>
    </row>
    <row r="9885" spans="1:9" x14ac:dyDescent="0.25">
      <c r="A9885">
        <v>1825</v>
      </c>
      <c r="B9885">
        <f>A9885+1</f>
        <v>1826</v>
      </c>
      <c r="C9885" t="s">
        <v>531</v>
      </c>
      <c r="D9885" t="s">
        <v>27</v>
      </c>
      <c r="E9885" s="208" t="s">
        <v>141</v>
      </c>
      <c r="F9885" t="s">
        <v>9</v>
      </c>
      <c r="G9885" s="18">
        <v>0</v>
      </c>
      <c r="H9885" t="s">
        <v>17</v>
      </c>
      <c r="I9885" t="s">
        <v>21</v>
      </c>
    </row>
    <row r="9886" spans="1:9" x14ac:dyDescent="0.25">
      <c r="A9886">
        <v>1825</v>
      </c>
      <c r="B9886">
        <f>A9886+1</f>
        <v>1826</v>
      </c>
      <c r="C9886" t="s">
        <v>531</v>
      </c>
      <c r="D9886" t="s">
        <v>27</v>
      </c>
      <c r="E9886" s="208" t="s">
        <v>128</v>
      </c>
      <c r="F9886" t="s">
        <v>9</v>
      </c>
      <c r="G9886" s="18">
        <v>0</v>
      </c>
      <c r="H9886" t="s">
        <v>17</v>
      </c>
      <c r="I9886" t="s">
        <v>21</v>
      </c>
    </row>
    <row r="9887" spans="1:9" x14ac:dyDescent="0.25">
      <c r="A9887">
        <v>1825</v>
      </c>
      <c r="B9887">
        <f>A9887+1</f>
        <v>1826</v>
      </c>
      <c r="C9887" t="s">
        <v>531</v>
      </c>
      <c r="D9887" t="s">
        <v>27</v>
      </c>
      <c r="E9887" s="208" t="s">
        <v>135</v>
      </c>
      <c r="F9887" t="s">
        <v>9</v>
      </c>
      <c r="G9887" s="18">
        <v>0</v>
      </c>
      <c r="H9887" t="s">
        <v>17</v>
      </c>
      <c r="I9887" t="s">
        <v>21</v>
      </c>
    </row>
    <row r="9888" spans="1:9" x14ac:dyDescent="0.25">
      <c r="A9888">
        <v>1825</v>
      </c>
      <c r="B9888">
        <f>A9888+1</f>
        <v>1826</v>
      </c>
      <c r="C9888" t="s">
        <v>531</v>
      </c>
      <c r="D9888" t="s">
        <v>27</v>
      </c>
      <c r="E9888" s="208" t="s">
        <v>138</v>
      </c>
      <c r="F9888" t="s">
        <v>9</v>
      </c>
      <c r="G9888" s="18">
        <v>0</v>
      </c>
      <c r="H9888" t="s">
        <v>17</v>
      </c>
      <c r="I9888" t="s">
        <v>21</v>
      </c>
    </row>
    <row r="9889" spans="1:9" x14ac:dyDescent="0.25">
      <c r="A9889">
        <v>1825</v>
      </c>
      <c r="B9889">
        <f>A9889+1</f>
        <v>1826</v>
      </c>
      <c r="C9889" t="s">
        <v>531</v>
      </c>
      <c r="D9889" t="s">
        <v>27</v>
      </c>
      <c r="E9889" s="208" t="s">
        <v>134</v>
      </c>
      <c r="F9889" t="s">
        <v>9</v>
      </c>
      <c r="G9889" s="18">
        <v>0</v>
      </c>
      <c r="H9889" t="s">
        <v>17</v>
      </c>
      <c r="I9889" t="s">
        <v>21</v>
      </c>
    </row>
    <row r="9890" spans="1:9" x14ac:dyDescent="0.25">
      <c r="A9890">
        <v>1825</v>
      </c>
      <c r="B9890">
        <f>A9890+1</f>
        <v>1826</v>
      </c>
      <c r="C9890" t="s">
        <v>531</v>
      </c>
      <c r="D9890" t="s">
        <v>27</v>
      </c>
      <c r="E9890" s="208" t="s">
        <v>155</v>
      </c>
      <c r="F9890" t="s">
        <v>11</v>
      </c>
      <c r="G9890" s="18">
        <v>291</v>
      </c>
      <c r="H9890" t="s">
        <v>17</v>
      </c>
      <c r="I9890" t="s">
        <v>23</v>
      </c>
    </row>
    <row r="9891" spans="1:9" x14ac:dyDescent="0.25">
      <c r="A9891">
        <v>1825</v>
      </c>
      <c r="B9891">
        <f>A9891+1</f>
        <v>1826</v>
      </c>
      <c r="C9891" t="s">
        <v>531</v>
      </c>
      <c r="D9891" t="s">
        <v>27</v>
      </c>
      <c r="E9891" s="208" t="s">
        <v>156</v>
      </c>
      <c r="F9891" t="s">
        <v>11</v>
      </c>
      <c r="G9891" s="18">
        <v>38</v>
      </c>
      <c r="H9891" t="s">
        <v>17</v>
      </c>
      <c r="I9891" t="s">
        <v>23</v>
      </c>
    </row>
    <row r="9892" spans="1:9" x14ac:dyDescent="0.25">
      <c r="A9892">
        <v>1825</v>
      </c>
      <c r="B9892">
        <f>A9892+1</f>
        <v>1826</v>
      </c>
      <c r="C9892" t="s">
        <v>531</v>
      </c>
      <c r="D9892" t="s">
        <v>27</v>
      </c>
      <c r="E9892" s="208" t="s">
        <v>154</v>
      </c>
      <c r="F9892" t="s">
        <v>11</v>
      </c>
      <c r="G9892" s="18">
        <v>62</v>
      </c>
      <c r="H9892" t="s">
        <v>17</v>
      </c>
      <c r="I9892" t="s">
        <v>23</v>
      </c>
    </row>
    <row r="9893" spans="1:9" x14ac:dyDescent="0.25">
      <c r="A9893">
        <v>1825</v>
      </c>
      <c r="B9893">
        <f>A9893+1</f>
        <v>1826</v>
      </c>
      <c r="C9893" t="s">
        <v>531</v>
      </c>
      <c r="D9893" t="s">
        <v>27</v>
      </c>
      <c r="E9893" s="208" t="s">
        <v>150</v>
      </c>
      <c r="F9893" t="s">
        <v>11</v>
      </c>
      <c r="G9893" s="18">
        <v>3271</v>
      </c>
      <c r="H9893" t="s">
        <v>17</v>
      </c>
      <c r="I9893" t="s">
        <v>23</v>
      </c>
    </row>
    <row r="9894" spans="1:9" x14ac:dyDescent="0.25">
      <c r="A9894">
        <v>1825</v>
      </c>
      <c r="B9894">
        <f>A9894+1</f>
        <v>1826</v>
      </c>
      <c r="C9894" t="s">
        <v>531</v>
      </c>
      <c r="D9894" t="s">
        <v>27</v>
      </c>
      <c r="E9894" s="208" t="s">
        <v>148</v>
      </c>
      <c r="F9894" t="s">
        <v>11</v>
      </c>
      <c r="G9894" s="18">
        <v>143</v>
      </c>
      <c r="H9894" t="s">
        <v>17</v>
      </c>
      <c r="I9894" t="s">
        <v>23</v>
      </c>
    </row>
    <row r="9895" spans="1:9" x14ac:dyDescent="0.25">
      <c r="A9895">
        <v>1825</v>
      </c>
      <c r="B9895">
        <f>A9895+1</f>
        <v>1826</v>
      </c>
      <c r="C9895" t="s">
        <v>531</v>
      </c>
      <c r="D9895" t="s">
        <v>27</v>
      </c>
      <c r="E9895" s="208" t="s">
        <v>147</v>
      </c>
      <c r="F9895" t="s">
        <v>11</v>
      </c>
      <c r="G9895" s="18">
        <v>2</v>
      </c>
      <c r="H9895" t="s">
        <v>17</v>
      </c>
      <c r="I9895" t="s">
        <v>23</v>
      </c>
    </row>
    <row r="9896" spans="1:9" x14ac:dyDescent="0.25">
      <c r="A9896">
        <v>1825</v>
      </c>
      <c r="B9896">
        <f>A9896+1</f>
        <v>1826</v>
      </c>
      <c r="C9896" t="s">
        <v>531</v>
      </c>
      <c r="D9896" t="s">
        <v>27</v>
      </c>
      <c r="E9896" s="208" t="s">
        <v>139</v>
      </c>
      <c r="F9896" t="s">
        <v>11</v>
      </c>
      <c r="G9896" s="18">
        <v>153</v>
      </c>
      <c r="H9896" t="s">
        <v>17</v>
      </c>
      <c r="I9896" t="s">
        <v>23</v>
      </c>
    </row>
    <row r="9897" spans="1:9" x14ac:dyDescent="0.25">
      <c r="A9897">
        <v>1825</v>
      </c>
      <c r="B9897">
        <f>A9897+1</f>
        <v>1826</v>
      </c>
      <c r="C9897" t="s">
        <v>531</v>
      </c>
      <c r="D9897" t="s">
        <v>27</v>
      </c>
      <c r="E9897" s="208" t="s">
        <v>132</v>
      </c>
      <c r="F9897" t="s">
        <v>11</v>
      </c>
      <c r="G9897" s="18">
        <v>5</v>
      </c>
      <c r="H9897" t="s">
        <v>17</v>
      </c>
      <c r="I9897" t="s">
        <v>23</v>
      </c>
    </row>
    <row r="9898" spans="1:9" x14ac:dyDescent="0.25">
      <c r="A9898">
        <v>1825</v>
      </c>
      <c r="B9898">
        <f>A9898+1</f>
        <v>1826</v>
      </c>
      <c r="C9898" t="s">
        <v>531</v>
      </c>
      <c r="D9898" t="s">
        <v>27</v>
      </c>
      <c r="E9898" s="208" t="s">
        <v>130</v>
      </c>
      <c r="F9898" t="s">
        <v>11</v>
      </c>
      <c r="G9898" s="18">
        <v>0</v>
      </c>
      <c r="H9898" t="s">
        <v>17</v>
      </c>
      <c r="I9898" t="s">
        <v>23</v>
      </c>
    </row>
    <row r="9899" spans="1:9" x14ac:dyDescent="0.25">
      <c r="A9899">
        <v>1825</v>
      </c>
      <c r="B9899">
        <f>A9899+1</f>
        <v>1826</v>
      </c>
      <c r="C9899" t="s">
        <v>531</v>
      </c>
      <c r="D9899" t="s">
        <v>27</v>
      </c>
      <c r="E9899" s="208" t="s">
        <v>143</v>
      </c>
      <c r="F9899" t="s">
        <v>11</v>
      </c>
      <c r="G9899" s="18">
        <v>9</v>
      </c>
      <c r="H9899" t="s">
        <v>17</v>
      </c>
      <c r="I9899" t="s">
        <v>23</v>
      </c>
    </row>
    <row r="9900" spans="1:9" x14ac:dyDescent="0.25">
      <c r="A9900">
        <v>1825</v>
      </c>
      <c r="B9900">
        <f>A9900+1</f>
        <v>1826</v>
      </c>
      <c r="C9900" t="s">
        <v>531</v>
      </c>
      <c r="D9900" t="s">
        <v>27</v>
      </c>
      <c r="E9900" s="208" t="s">
        <v>142</v>
      </c>
      <c r="F9900" t="s">
        <v>11</v>
      </c>
      <c r="G9900" s="18">
        <v>1744</v>
      </c>
      <c r="H9900" t="s">
        <v>17</v>
      </c>
      <c r="I9900" t="s">
        <v>23</v>
      </c>
    </row>
    <row r="9901" spans="1:9" x14ac:dyDescent="0.25">
      <c r="A9901">
        <v>1825</v>
      </c>
      <c r="B9901">
        <f>A9901+1</f>
        <v>1826</v>
      </c>
      <c r="C9901" t="s">
        <v>531</v>
      </c>
      <c r="D9901" t="s">
        <v>27</v>
      </c>
      <c r="E9901" s="208" t="s">
        <v>124</v>
      </c>
      <c r="F9901" t="s">
        <v>11</v>
      </c>
      <c r="G9901" s="18">
        <v>148906</v>
      </c>
      <c r="H9901" t="s">
        <v>17</v>
      </c>
      <c r="I9901" t="s">
        <v>23</v>
      </c>
    </row>
    <row r="9902" spans="1:9" x14ac:dyDescent="0.25">
      <c r="A9902">
        <v>1825</v>
      </c>
      <c r="B9902">
        <f>A9902+1</f>
        <v>1826</v>
      </c>
      <c r="C9902" t="s">
        <v>531</v>
      </c>
      <c r="D9902" t="s">
        <v>27</v>
      </c>
      <c r="E9902" s="208" t="s">
        <v>115</v>
      </c>
      <c r="F9902" t="s">
        <v>11</v>
      </c>
      <c r="G9902" s="18">
        <v>0</v>
      </c>
      <c r="H9902" t="s">
        <v>17</v>
      </c>
      <c r="I9902" t="s">
        <v>23</v>
      </c>
    </row>
    <row r="9903" spans="1:9" x14ac:dyDescent="0.25">
      <c r="A9903">
        <v>1825</v>
      </c>
      <c r="B9903">
        <f>A9903+1</f>
        <v>1826</v>
      </c>
      <c r="C9903" t="s">
        <v>531</v>
      </c>
      <c r="D9903" t="s">
        <v>27</v>
      </c>
      <c r="E9903" s="208" t="s">
        <v>116</v>
      </c>
      <c r="F9903" t="s">
        <v>11</v>
      </c>
      <c r="G9903" s="18">
        <v>2</v>
      </c>
      <c r="H9903" t="s">
        <v>17</v>
      </c>
      <c r="I9903" t="s">
        <v>23</v>
      </c>
    </row>
    <row r="9904" spans="1:9" x14ac:dyDescent="0.25">
      <c r="A9904">
        <v>1825</v>
      </c>
      <c r="B9904">
        <f>A9904+1</f>
        <v>1826</v>
      </c>
      <c r="C9904" t="s">
        <v>531</v>
      </c>
      <c r="D9904" t="s">
        <v>27</v>
      </c>
      <c r="E9904" s="208" t="s">
        <v>136</v>
      </c>
      <c r="F9904" t="s">
        <v>11</v>
      </c>
      <c r="G9904" s="18">
        <v>44</v>
      </c>
      <c r="H9904" t="s">
        <v>17</v>
      </c>
      <c r="I9904" t="s">
        <v>23</v>
      </c>
    </row>
    <row r="9905" spans="1:9" x14ac:dyDescent="0.25">
      <c r="A9905">
        <v>1825</v>
      </c>
      <c r="B9905">
        <f>A9905+1</f>
        <v>1826</v>
      </c>
      <c r="C9905" t="s">
        <v>531</v>
      </c>
      <c r="D9905" t="s">
        <v>27</v>
      </c>
      <c r="E9905" s="208" t="s">
        <v>157</v>
      </c>
      <c r="F9905" t="s">
        <v>11</v>
      </c>
      <c r="G9905" s="18">
        <v>0</v>
      </c>
      <c r="H9905" t="s">
        <v>17</v>
      </c>
      <c r="I9905" t="s">
        <v>23</v>
      </c>
    </row>
    <row r="9906" spans="1:9" x14ac:dyDescent="0.25">
      <c r="A9906">
        <v>1825</v>
      </c>
      <c r="B9906">
        <f>A9906+1</f>
        <v>1826</v>
      </c>
      <c r="C9906" t="s">
        <v>531</v>
      </c>
      <c r="D9906" t="s">
        <v>27</v>
      </c>
      <c r="E9906" s="208" t="s">
        <v>74</v>
      </c>
      <c r="F9906" t="s">
        <v>11</v>
      </c>
      <c r="G9906" s="18">
        <v>181</v>
      </c>
      <c r="H9906" t="s">
        <v>17</v>
      </c>
      <c r="I9906" t="s">
        <v>23</v>
      </c>
    </row>
    <row r="9907" spans="1:9" x14ac:dyDescent="0.25">
      <c r="A9907">
        <v>1825</v>
      </c>
      <c r="B9907">
        <f>A9907+1</f>
        <v>1826</v>
      </c>
      <c r="C9907" t="s">
        <v>531</v>
      </c>
      <c r="D9907" t="s">
        <v>27</v>
      </c>
      <c r="E9907" s="208" t="s">
        <v>129</v>
      </c>
      <c r="F9907" t="s">
        <v>11</v>
      </c>
      <c r="G9907" s="18">
        <v>11</v>
      </c>
      <c r="H9907" t="s">
        <v>17</v>
      </c>
      <c r="I9907" t="s">
        <v>23</v>
      </c>
    </row>
    <row r="9908" spans="1:9" x14ac:dyDescent="0.25">
      <c r="A9908">
        <v>1825</v>
      </c>
      <c r="B9908">
        <f>A9908+1</f>
        <v>1826</v>
      </c>
      <c r="C9908" t="s">
        <v>531</v>
      </c>
      <c r="D9908" t="s">
        <v>27</v>
      </c>
      <c r="E9908" s="208" t="s">
        <v>141</v>
      </c>
      <c r="F9908" t="s">
        <v>11</v>
      </c>
      <c r="G9908" s="18">
        <v>5</v>
      </c>
      <c r="H9908" t="s">
        <v>17</v>
      </c>
      <c r="I9908" t="s">
        <v>23</v>
      </c>
    </row>
    <row r="9909" spans="1:9" x14ac:dyDescent="0.25">
      <c r="A9909">
        <v>1825</v>
      </c>
      <c r="B9909">
        <f>A9909+1</f>
        <v>1826</v>
      </c>
      <c r="C9909" t="s">
        <v>531</v>
      </c>
      <c r="D9909" t="s">
        <v>27</v>
      </c>
      <c r="E9909" s="208" t="s">
        <v>128</v>
      </c>
      <c r="F9909" t="s">
        <v>11</v>
      </c>
      <c r="G9909" s="18">
        <v>0</v>
      </c>
      <c r="H9909" t="s">
        <v>17</v>
      </c>
      <c r="I9909" t="s">
        <v>23</v>
      </c>
    </row>
    <row r="9910" spans="1:9" x14ac:dyDescent="0.25">
      <c r="A9910">
        <v>1825</v>
      </c>
      <c r="B9910">
        <f>A9910+1</f>
        <v>1826</v>
      </c>
      <c r="C9910" t="s">
        <v>531</v>
      </c>
      <c r="D9910" t="s">
        <v>27</v>
      </c>
      <c r="E9910" s="208" t="s">
        <v>135</v>
      </c>
      <c r="F9910" t="s">
        <v>11</v>
      </c>
      <c r="G9910" s="18">
        <v>2</v>
      </c>
      <c r="H9910" t="s">
        <v>17</v>
      </c>
      <c r="I9910" t="s">
        <v>23</v>
      </c>
    </row>
    <row r="9911" spans="1:9" x14ac:dyDescent="0.25">
      <c r="A9911">
        <v>1825</v>
      </c>
      <c r="B9911">
        <f>A9911+1</f>
        <v>1826</v>
      </c>
      <c r="C9911" t="s">
        <v>531</v>
      </c>
      <c r="D9911" t="s">
        <v>27</v>
      </c>
      <c r="E9911" s="208" t="s">
        <v>138</v>
      </c>
      <c r="F9911" t="s">
        <v>11</v>
      </c>
      <c r="G9911" s="18">
        <v>0</v>
      </c>
      <c r="H9911" t="s">
        <v>17</v>
      </c>
      <c r="I9911" t="s">
        <v>23</v>
      </c>
    </row>
    <row r="9912" spans="1:9" x14ac:dyDescent="0.25">
      <c r="A9912">
        <v>1825</v>
      </c>
      <c r="B9912">
        <f>A9912+1</f>
        <v>1826</v>
      </c>
      <c r="C9912" t="s">
        <v>531</v>
      </c>
      <c r="D9912" t="s">
        <v>27</v>
      </c>
      <c r="E9912" s="208" t="s">
        <v>134</v>
      </c>
      <c r="F9912" t="s">
        <v>11</v>
      </c>
      <c r="G9912" s="18">
        <v>0</v>
      </c>
      <c r="H9912" t="s">
        <v>17</v>
      </c>
      <c r="I9912" t="s">
        <v>23</v>
      </c>
    </row>
    <row r="9913" spans="1:9" x14ac:dyDescent="0.25">
      <c r="A9913">
        <v>1825</v>
      </c>
      <c r="B9913">
        <f>A9913+1</f>
        <v>1826</v>
      </c>
      <c r="C9913" t="s">
        <v>531</v>
      </c>
      <c r="D9913" t="s">
        <v>26</v>
      </c>
      <c r="E9913" s="208" t="s">
        <v>62</v>
      </c>
      <c r="F9913" t="s">
        <v>11</v>
      </c>
      <c r="G9913" s="18">
        <v>5470</v>
      </c>
      <c r="H9913" t="s">
        <v>23</v>
      </c>
      <c r="I9913" t="s">
        <v>17</v>
      </c>
    </row>
    <row r="9914" spans="1:9" x14ac:dyDescent="0.25">
      <c r="A9914">
        <v>1825</v>
      </c>
      <c r="B9914">
        <f>A9914+1</f>
        <v>1826</v>
      </c>
      <c r="C9914" t="s">
        <v>531</v>
      </c>
      <c r="D9914" t="s">
        <v>26</v>
      </c>
      <c r="E9914" s="208" t="s">
        <v>55</v>
      </c>
      <c r="F9914" t="s">
        <v>11</v>
      </c>
      <c r="G9914" s="18">
        <v>1806</v>
      </c>
      <c r="H9914" t="s">
        <v>23</v>
      </c>
      <c r="I9914" t="s">
        <v>17</v>
      </c>
    </row>
    <row r="9915" spans="1:9" x14ac:dyDescent="0.25">
      <c r="A9915">
        <v>1825</v>
      </c>
      <c r="B9915">
        <f>A9915+1</f>
        <v>1826</v>
      </c>
      <c r="C9915" t="s">
        <v>531</v>
      </c>
      <c r="D9915" t="s">
        <v>26</v>
      </c>
      <c r="E9915" s="208" t="s">
        <v>36</v>
      </c>
      <c r="F9915" t="s">
        <v>11</v>
      </c>
      <c r="G9915" s="18">
        <v>0</v>
      </c>
      <c r="H9915" t="s">
        <v>23</v>
      </c>
      <c r="I9915" t="s">
        <v>17</v>
      </c>
    </row>
    <row r="9916" spans="1:9" x14ac:dyDescent="0.25">
      <c r="A9916">
        <v>1825</v>
      </c>
      <c r="B9916">
        <f>A9916+1</f>
        <v>1826</v>
      </c>
      <c r="C9916" t="s">
        <v>531</v>
      </c>
      <c r="D9916" t="s">
        <v>26</v>
      </c>
      <c r="E9916" s="208" t="s">
        <v>35</v>
      </c>
      <c r="F9916" t="s">
        <v>11</v>
      </c>
      <c r="G9916" s="18">
        <v>0</v>
      </c>
      <c r="H9916" t="s">
        <v>23</v>
      </c>
      <c r="I9916" t="s">
        <v>17</v>
      </c>
    </row>
    <row r="9917" spans="1:9" x14ac:dyDescent="0.25">
      <c r="A9917">
        <v>1825</v>
      </c>
      <c r="B9917">
        <f>A9917+1</f>
        <v>1826</v>
      </c>
      <c r="C9917" t="s">
        <v>531</v>
      </c>
      <c r="D9917" t="s">
        <v>26</v>
      </c>
      <c r="E9917" s="208" t="s">
        <v>40</v>
      </c>
      <c r="F9917" t="s">
        <v>11</v>
      </c>
      <c r="G9917" s="18">
        <v>74444</v>
      </c>
      <c r="H9917" t="s">
        <v>23</v>
      </c>
      <c r="I9917" t="s">
        <v>17</v>
      </c>
    </row>
    <row r="9918" spans="1:9" x14ac:dyDescent="0.25">
      <c r="A9918">
        <v>1825</v>
      </c>
      <c r="B9918">
        <f>A9918+1</f>
        <v>1826</v>
      </c>
      <c r="C9918" t="s">
        <v>531</v>
      </c>
      <c r="D9918" t="s">
        <v>26</v>
      </c>
      <c r="E9918" s="208" t="s">
        <v>99</v>
      </c>
      <c r="F9918" t="s">
        <v>11</v>
      </c>
      <c r="G9918" s="18">
        <v>0</v>
      </c>
      <c r="H9918" t="s">
        <v>23</v>
      </c>
      <c r="I9918" t="s">
        <v>17</v>
      </c>
    </row>
    <row r="9919" spans="1:9" x14ac:dyDescent="0.25">
      <c r="A9919">
        <v>1825</v>
      </c>
      <c r="B9919">
        <f>A9919+1</f>
        <v>1826</v>
      </c>
      <c r="C9919" t="s">
        <v>531</v>
      </c>
      <c r="D9919" t="s">
        <v>26</v>
      </c>
      <c r="E9919" s="208" t="s">
        <v>98</v>
      </c>
      <c r="F9919" t="s">
        <v>11</v>
      </c>
      <c r="G9919" s="18">
        <v>98376</v>
      </c>
      <c r="H9919" t="s">
        <v>23</v>
      </c>
      <c r="I9919" t="s">
        <v>17</v>
      </c>
    </row>
    <row r="9920" spans="1:9" x14ac:dyDescent="0.25">
      <c r="A9920">
        <v>1825</v>
      </c>
      <c r="B9920">
        <f>A9920+1</f>
        <v>1826</v>
      </c>
      <c r="C9920" t="s">
        <v>531</v>
      </c>
      <c r="D9920" t="s">
        <v>26</v>
      </c>
      <c r="E9920" s="208" t="s">
        <v>352</v>
      </c>
      <c r="F9920" t="s">
        <v>11</v>
      </c>
      <c r="G9920" s="18">
        <v>4986</v>
      </c>
      <c r="H9920" t="s">
        <v>23</v>
      </c>
      <c r="I9920" t="s">
        <v>17</v>
      </c>
    </row>
    <row r="9921" spans="1:9" x14ac:dyDescent="0.25">
      <c r="A9921">
        <v>1825</v>
      </c>
      <c r="B9921">
        <f>A9921+1</f>
        <v>1826</v>
      </c>
      <c r="C9921" t="s">
        <v>531</v>
      </c>
      <c r="D9921" t="s">
        <v>26</v>
      </c>
      <c r="E9921" s="208" t="s">
        <v>568</v>
      </c>
      <c r="F9921" t="s">
        <v>3</v>
      </c>
      <c r="G9921" s="18">
        <v>667</v>
      </c>
      <c r="H9921" t="s">
        <v>24</v>
      </c>
      <c r="I9921" t="s">
        <v>16</v>
      </c>
    </row>
    <row r="9922" spans="1:9" x14ac:dyDescent="0.25">
      <c r="A9922">
        <v>1825</v>
      </c>
      <c r="B9922">
        <f>A9922+1</f>
        <v>1826</v>
      </c>
      <c r="C9922" t="s">
        <v>531</v>
      </c>
      <c r="D9922" t="s">
        <v>26</v>
      </c>
      <c r="E9922" s="208" t="s">
        <v>568</v>
      </c>
      <c r="F9922" t="s">
        <v>6</v>
      </c>
      <c r="G9922" s="18">
        <v>0</v>
      </c>
      <c r="H9922" t="s">
        <v>25</v>
      </c>
      <c r="I9922" t="s">
        <v>16</v>
      </c>
    </row>
    <row r="9923" spans="1:9" x14ac:dyDescent="0.25">
      <c r="A9923">
        <v>1825</v>
      </c>
      <c r="B9923">
        <f>A9923+1</f>
        <v>1826</v>
      </c>
      <c r="C9923" t="s">
        <v>531</v>
      </c>
      <c r="D9923" t="s">
        <v>26</v>
      </c>
      <c r="E9923" s="208" t="s">
        <v>568</v>
      </c>
      <c r="F9923" t="s">
        <v>169</v>
      </c>
      <c r="G9923" s="18">
        <v>0</v>
      </c>
      <c r="H9923" t="s">
        <v>160</v>
      </c>
      <c r="I9923" t="s">
        <v>16</v>
      </c>
    </row>
    <row r="9924" spans="1:9" x14ac:dyDescent="0.25">
      <c r="A9924">
        <v>1825</v>
      </c>
      <c r="B9924">
        <f>A9924+1</f>
        <v>1826</v>
      </c>
      <c r="C9924" t="s">
        <v>531</v>
      </c>
      <c r="D9924" t="s">
        <v>26</v>
      </c>
      <c r="E9924" s="208" t="s">
        <v>107</v>
      </c>
      <c r="F9924" t="s">
        <v>11</v>
      </c>
      <c r="G9924" s="18">
        <v>3204127</v>
      </c>
      <c r="H9924" t="s">
        <v>23</v>
      </c>
      <c r="I9924" t="s">
        <v>17</v>
      </c>
    </row>
    <row r="9925" spans="1:9" x14ac:dyDescent="0.25">
      <c r="A9925">
        <v>1825</v>
      </c>
      <c r="B9925">
        <f>A9925+1</f>
        <v>1826</v>
      </c>
      <c r="C9925" t="s">
        <v>531</v>
      </c>
      <c r="D9925" t="s">
        <v>26</v>
      </c>
      <c r="E9925" s="208" t="s">
        <v>101</v>
      </c>
      <c r="F9925" t="s">
        <v>11</v>
      </c>
      <c r="G9925" s="18">
        <v>3592396</v>
      </c>
      <c r="H9925" t="s">
        <v>23</v>
      </c>
      <c r="I9925" t="s">
        <v>17</v>
      </c>
    </row>
    <row r="9926" spans="1:9" x14ac:dyDescent="0.25">
      <c r="A9926">
        <v>1825</v>
      </c>
      <c r="B9926">
        <f>A9926+1</f>
        <v>1826</v>
      </c>
      <c r="C9926" t="s">
        <v>531</v>
      </c>
      <c r="D9926" t="s">
        <v>26</v>
      </c>
      <c r="E9926" s="208" t="s">
        <v>75</v>
      </c>
      <c r="F9926" t="s">
        <v>11</v>
      </c>
      <c r="G9926" s="18">
        <v>817910</v>
      </c>
      <c r="H9926" t="s">
        <v>23</v>
      </c>
      <c r="I9926" t="s">
        <v>17</v>
      </c>
    </row>
    <row r="9927" spans="1:9" x14ac:dyDescent="0.25">
      <c r="A9927">
        <v>1825</v>
      </c>
      <c r="B9927">
        <f>A9927+1</f>
        <v>1826</v>
      </c>
      <c r="C9927" t="s">
        <v>531</v>
      </c>
      <c r="D9927" t="s">
        <v>26</v>
      </c>
      <c r="E9927" s="208" t="s">
        <v>66</v>
      </c>
      <c r="F9927" t="s">
        <v>11</v>
      </c>
      <c r="G9927" s="18">
        <v>26000</v>
      </c>
      <c r="H9927" t="s">
        <v>23</v>
      </c>
      <c r="I9927" t="s">
        <v>17</v>
      </c>
    </row>
    <row r="9928" spans="1:9" x14ac:dyDescent="0.25">
      <c r="A9928">
        <v>1825</v>
      </c>
      <c r="B9928">
        <f>A9928+1</f>
        <v>1826</v>
      </c>
      <c r="C9928" t="s">
        <v>531</v>
      </c>
      <c r="D9928" t="s">
        <v>26</v>
      </c>
      <c r="E9928" s="208" t="s">
        <v>330</v>
      </c>
      <c r="F9928" t="s">
        <v>11</v>
      </c>
      <c r="G9928" s="18">
        <v>12</v>
      </c>
      <c r="H9928" t="s">
        <v>23</v>
      </c>
      <c r="I9928" t="s">
        <v>17</v>
      </c>
    </row>
    <row r="9929" spans="1:9" x14ac:dyDescent="0.25">
      <c r="A9929">
        <v>1825</v>
      </c>
      <c r="B9929">
        <f>A9929+1</f>
        <v>1826</v>
      </c>
      <c r="C9929" t="s">
        <v>531</v>
      </c>
      <c r="D9929" t="s">
        <v>26</v>
      </c>
      <c r="E9929" s="208" t="s">
        <v>331</v>
      </c>
      <c r="F9929" t="s">
        <v>11</v>
      </c>
      <c r="G9929" s="18">
        <v>0</v>
      </c>
      <c r="H9929" t="s">
        <v>23</v>
      </c>
      <c r="I9929" t="s">
        <v>17</v>
      </c>
    </row>
    <row r="9930" spans="1:9" x14ac:dyDescent="0.25">
      <c r="A9930">
        <v>1825</v>
      </c>
      <c r="B9930">
        <f>A9930+1</f>
        <v>1826</v>
      </c>
      <c r="C9930" t="s">
        <v>531</v>
      </c>
      <c r="D9930" t="s">
        <v>26</v>
      </c>
      <c r="E9930" s="208" t="s">
        <v>332</v>
      </c>
      <c r="F9930" t="s">
        <v>11</v>
      </c>
      <c r="G9930" s="18">
        <v>0</v>
      </c>
      <c r="H9930" t="s">
        <v>23</v>
      </c>
      <c r="I9930" t="s">
        <v>17</v>
      </c>
    </row>
    <row r="9931" spans="1:9" x14ac:dyDescent="0.25">
      <c r="A9931">
        <v>1825</v>
      </c>
      <c r="B9931">
        <f>A9931+1</f>
        <v>1826</v>
      </c>
      <c r="C9931" t="s">
        <v>531</v>
      </c>
      <c r="D9931" t="s">
        <v>26</v>
      </c>
      <c r="E9931" s="208" t="s">
        <v>333</v>
      </c>
      <c r="F9931" t="s">
        <v>11</v>
      </c>
      <c r="G9931" s="18">
        <v>0</v>
      </c>
      <c r="H9931" t="s">
        <v>23</v>
      </c>
      <c r="I9931" t="s">
        <v>17</v>
      </c>
    </row>
    <row r="9932" spans="1:9" x14ac:dyDescent="0.25">
      <c r="A9932">
        <v>1825</v>
      </c>
      <c r="B9932">
        <f>A9932+1</f>
        <v>1826</v>
      </c>
      <c r="C9932" t="s">
        <v>531</v>
      </c>
      <c r="D9932" t="s">
        <v>26</v>
      </c>
      <c r="E9932" s="208" t="s">
        <v>32</v>
      </c>
      <c r="F9932" t="s">
        <v>11</v>
      </c>
      <c r="G9932" s="18">
        <v>5</v>
      </c>
      <c r="H9932" t="s">
        <v>23</v>
      </c>
      <c r="I9932" t="s">
        <v>17</v>
      </c>
    </row>
    <row r="9933" spans="1:9" x14ac:dyDescent="0.25">
      <c r="A9933">
        <v>1825</v>
      </c>
      <c r="B9933">
        <f>A9933+1</f>
        <v>1826</v>
      </c>
      <c r="C9933" t="s">
        <v>531</v>
      </c>
      <c r="D9933" t="s">
        <v>26</v>
      </c>
      <c r="E9933" s="208" t="s">
        <v>31</v>
      </c>
      <c r="F9933" t="s">
        <v>11</v>
      </c>
      <c r="G9933" s="18">
        <v>108</v>
      </c>
      <c r="H9933" t="s">
        <v>23</v>
      </c>
      <c r="I9933" t="s">
        <v>17</v>
      </c>
    </row>
    <row r="9934" spans="1:9" x14ac:dyDescent="0.25">
      <c r="A9934">
        <v>1825</v>
      </c>
      <c r="B9934">
        <f>A9934+1</f>
        <v>1826</v>
      </c>
      <c r="C9934" t="s">
        <v>531</v>
      </c>
      <c r="D9934" t="s">
        <v>26</v>
      </c>
      <c r="E9934" s="208" t="s">
        <v>110</v>
      </c>
      <c r="F9934" t="s">
        <v>11</v>
      </c>
      <c r="G9934" s="18">
        <v>2370</v>
      </c>
      <c r="H9934" t="s">
        <v>23</v>
      </c>
      <c r="I9934" t="s">
        <v>17</v>
      </c>
    </row>
    <row r="9935" spans="1:9" x14ac:dyDescent="0.25">
      <c r="A9935">
        <v>1825</v>
      </c>
      <c r="B9935">
        <f>A9935+1</f>
        <v>1826</v>
      </c>
      <c r="C9935" t="s">
        <v>531</v>
      </c>
      <c r="D9935" t="s">
        <v>26</v>
      </c>
      <c r="E9935" s="208" t="s">
        <v>103</v>
      </c>
      <c r="F9935" t="s">
        <v>11</v>
      </c>
      <c r="G9935" s="18">
        <v>1031</v>
      </c>
      <c r="H9935" t="s">
        <v>23</v>
      </c>
      <c r="I9935" t="s">
        <v>17</v>
      </c>
    </row>
    <row r="9936" spans="1:9" x14ac:dyDescent="0.25">
      <c r="A9936">
        <v>1825</v>
      </c>
      <c r="B9936">
        <f>A9936+1</f>
        <v>1826</v>
      </c>
      <c r="C9936" t="s">
        <v>531</v>
      </c>
      <c r="D9936" t="s">
        <v>26</v>
      </c>
      <c r="E9936" s="208" t="s">
        <v>497</v>
      </c>
      <c r="F9936" t="s">
        <v>11</v>
      </c>
      <c r="G9936" s="18">
        <v>1943</v>
      </c>
      <c r="H9936" t="s">
        <v>23</v>
      </c>
      <c r="I9936" t="s">
        <v>17</v>
      </c>
    </row>
    <row r="9937" spans="1:9" x14ac:dyDescent="0.25">
      <c r="A9937">
        <v>1825</v>
      </c>
      <c r="B9937">
        <f>A9937+1</f>
        <v>1826</v>
      </c>
      <c r="C9937" t="s">
        <v>531</v>
      </c>
      <c r="D9937" t="s">
        <v>26</v>
      </c>
      <c r="E9937" s="208" t="s">
        <v>501</v>
      </c>
      <c r="F9937" t="s">
        <v>11</v>
      </c>
      <c r="G9937" s="18">
        <v>3676</v>
      </c>
      <c r="H9937" t="s">
        <v>23</v>
      </c>
      <c r="I9937" t="s">
        <v>17</v>
      </c>
    </row>
    <row r="9938" spans="1:9" x14ac:dyDescent="0.25">
      <c r="A9938">
        <v>1825</v>
      </c>
      <c r="B9938">
        <f>A9938+1</f>
        <v>1826</v>
      </c>
      <c r="C9938" t="s">
        <v>531</v>
      </c>
      <c r="D9938" t="s">
        <v>26</v>
      </c>
      <c r="E9938" s="208" t="s">
        <v>111</v>
      </c>
      <c r="F9938" t="s">
        <v>11</v>
      </c>
      <c r="G9938" s="18">
        <v>0</v>
      </c>
      <c r="H9938" t="s">
        <v>23</v>
      </c>
      <c r="I9938" t="s">
        <v>17</v>
      </c>
    </row>
    <row r="9939" spans="1:9" x14ac:dyDescent="0.25">
      <c r="A9939">
        <v>1825</v>
      </c>
      <c r="B9939">
        <f>A9939+1</f>
        <v>1826</v>
      </c>
      <c r="C9939" t="s">
        <v>531</v>
      </c>
      <c r="D9939" t="s">
        <v>26</v>
      </c>
      <c r="E9939" s="208" t="s">
        <v>49</v>
      </c>
      <c r="F9939" t="s">
        <v>11</v>
      </c>
      <c r="G9939" s="18">
        <v>2512</v>
      </c>
      <c r="H9939" t="s">
        <v>23</v>
      </c>
      <c r="I9939" t="s">
        <v>17</v>
      </c>
    </row>
    <row r="9940" spans="1:9" x14ac:dyDescent="0.25">
      <c r="A9940">
        <v>1825</v>
      </c>
      <c r="B9940">
        <f>A9940+1</f>
        <v>1826</v>
      </c>
      <c r="C9940" t="s">
        <v>531</v>
      </c>
      <c r="D9940" t="s">
        <v>26</v>
      </c>
      <c r="E9940" s="208" t="s">
        <v>499</v>
      </c>
      <c r="F9940" t="s">
        <v>11</v>
      </c>
      <c r="G9940" s="18">
        <v>0</v>
      </c>
      <c r="H9940" t="s">
        <v>23</v>
      </c>
      <c r="I9940" t="s">
        <v>17</v>
      </c>
    </row>
    <row r="9941" spans="1:9" x14ac:dyDescent="0.25">
      <c r="A9941">
        <v>1825</v>
      </c>
      <c r="B9941">
        <f>A9941+1</f>
        <v>1826</v>
      </c>
      <c r="C9941" t="s">
        <v>531</v>
      </c>
      <c r="D9941" t="s">
        <v>26</v>
      </c>
      <c r="E9941" s="208" t="s">
        <v>500</v>
      </c>
      <c r="F9941" t="s">
        <v>11</v>
      </c>
      <c r="G9941" s="18">
        <v>0</v>
      </c>
      <c r="H9941" t="s">
        <v>23</v>
      </c>
      <c r="I9941" t="s">
        <v>17</v>
      </c>
    </row>
    <row r="9942" spans="1:9" x14ac:dyDescent="0.25">
      <c r="A9942">
        <v>1825</v>
      </c>
      <c r="B9942">
        <f>A9942+1</f>
        <v>1826</v>
      </c>
      <c r="C9942" t="s">
        <v>531</v>
      </c>
      <c r="D9942" t="s">
        <v>27</v>
      </c>
      <c r="E9942" s="208" t="s">
        <v>155</v>
      </c>
      <c r="F9942" t="s">
        <v>14</v>
      </c>
      <c r="G9942" s="18">
        <v>75745</v>
      </c>
      <c r="H9942" t="s">
        <v>17</v>
      </c>
      <c r="I9942" s="151" t="s">
        <v>562</v>
      </c>
    </row>
    <row r="9943" spans="1:9" x14ac:dyDescent="0.25">
      <c r="A9943">
        <v>1825</v>
      </c>
      <c r="B9943">
        <f>A9943+1</f>
        <v>1826</v>
      </c>
      <c r="C9943" t="s">
        <v>531</v>
      </c>
      <c r="D9943" t="s">
        <v>27</v>
      </c>
      <c r="E9943" s="208" t="s">
        <v>156</v>
      </c>
      <c r="F9943" t="s">
        <v>14</v>
      </c>
      <c r="G9943" s="18">
        <v>7698</v>
      </c>
      <c r="H9943" t="s">
        <v>17</v>
      </c>
      <c r="I9943" s="151" t="s">
        <v>562</v>
      </c>
    </row>
    <row r="9944" spans="1:9" x14ac:dyDescent="0.25">
      <c r="A9944">
        <v>1825</v>
      </c>
      <c r="B9944">
        <f>A9944+1</f>
        <v>1826</v>
      </c>
      <c r="C9944" t="s">
        <v>531</v>
      </c>
      <c r="D9944" t="s">
        <v>27</v>
      </c>
      <c r="E9944" s="208" t="s">
        <v>154</v>
      </c>
      <c r="F9944" t="s">
        <v>14</v>
      </c>
      <c r="G9944" s="18">
        <v>1454</v>
      </c>
      <c r="H9944" t="s">
        <v>17</v>
      </c>
      <c r="I9944" s="151" t="s">
        <v>562</v>
      </c>
    </row>
    <row r="9945" spans="1:9" x14ac:dyDescent="0.25">
      <c r="A9945">
        <v>1825</v>
      </c>
      <c r="B9945">
        <f>A9945+1</f>
        <v>1826</v>
      </c>
      <c r="C9945" t="s">
        <v>531</v>
      </c>
      <c r="D9945" t="s">
        <v>27</v>
      </c>
      <c r="E9945" s="208" t="s">
        <v>150</v>
      </c>
      <c r="F9945" t="s">
        <v>14</v>
      </c>
      <c r="G9945" s="18">
        <v>27344</v>
      </c>
      <c r="H9945" t="s">
        <v>17</v>
      </c>
      <c r="I9945" s="151" t="s">
        <v>562</v>
      </c>
    </row>
    <row r="9946" spans="1:9" x14ac:dyDescent="0.25">
      <c r="A9946">
        <v>1825</v>
      </c>
      <c r="B9946">
        <f>A9946+1</f>
        <v>1826</v>
      </c>
      <c r="C9946" t="s">
        <v>531</v>
      </c>
      <c r="D9946" t="s">
        <v>27</v>
      </c>
      <c r="E9946" s="208" t="s">
        <v>148</v>
      </c>
      <c r="F9946" t="s">
        <v>14</v>
      </c>
      <c r="G9946" s="18">
        <v>2176</v>
      </c>
      <c r="H9946" t="s">
        <v>17</v>
      </c>
      <c r="I9946" s="151" t="s">
        <v>562</v>
      </c>
    </row>
    <row r="9947" spans="1:9" x14ac:dyDescent="0.25">
      <c r="A9947">
        <v>1825</v>
      </c>
      <c r="B9947">
        <f>A9947+1</f>
        <v>1826</v>
      </c>
      <c r="C9947" t="s">
        <v>531</v>
      </c>
      <c r="D9947" t="s">
        <v>27</v>
      </c>
      <c r="E9947" s="208" t="s">
        <v>147</v>
      </c>
      <c r="F9947" t="s">
        <v>14</v>
      </c>
      <c r="G9947" s="18">
        <v>131</v>
      </c>
      <c r="H9947" t="s">
        <v>17</v>
      </c>
      <c r="I9947" s="151" t="s">
        <v>562</v>
      </c>
    </row>
    <row r="9948" spans="1:9" x14ac:dyDescent="0.25">
      <c r="A9948">
        <v>1825</v>
      </c>
      <c r="B9948">
        <f>A9948+1</f>
        <v>1826</v>
      </c>
      <c r="C9948" t="s">
        <v>531</v>
      </c>
      <c r="D9948" t="s">
        <v>27</v>
      </c>
      <c r="E9948" s="208" t="s">
        <v>139</v>
      </c>
      <c r="F9948" t="s">
        <v>14</v>
      </c>
      <c r="G9948" s="18">
        <v>532</v>
      </c>
      <c r="H9948" t="s">
        <v>17</v>
      </c>
      <c r="I9948" s="151" t="s">
        <v>562</v>
      </c>
    </row>
    <row r="9949" spans="1:9" x14ac:dyDescent="0.25">
      <c r="A9949">
        <v>1825</v>
      </c>
      <c r="B9949">
        <f>A9949+1</f>
        <v>1826</v>
      </c>
      <c r="C9949" t="s">
        <v>531</v>
      </c>
      <c r="D9949" t="s">
        <v>27</v>
      </c>
      <c r="E9949" s="208" t="s">
        <v>132</v>
      </c>
      <c r="F9949" t="s">
        <v>14</v>
      </c>
      <c r="G9949" s="18">
        <v>5313</v>
      </c>
      <c r="H9949" t="s">
        <v>17</v>
      </c>
      <c r="I9949" s="151" t="s">
        <v>562</v>
      </c>
    </row>
    <row r="9950" spans="1:9" x14ac:dyDescent="0.25">
      <c r="A9950">
        <v>1825</v>
      </c>
      <c r="B9950">
        <f>A9950+1</f>
        <v>1826</v>
      </c>
      <c r="C9950" t="s">
        <v>531</v>
      </c>
      <c r="D9950" t="s">
        <v>27</v>
      </c>
      <c r="E9950" s="208" t="s">
        <v>130</v>
      </c>
      <c r="F9950" t="s">
        <v>14</v>
      </c>
      <c r="G9950" s="18">
        <v>516</v>
      </c>
      <c r="H9950" t="s">
        <v>17</v>
      </c>
      <c r="I9950" s="151" t="s">
        <v>562</v>
      </c>
    </row>
    <row r="9951" spans="1:9" x14ac:dyDescent="0.25">
      <c r="A9951">
        <v>1825</v>
      </c>
      <c r="B9951">
        <f>A9951+1</f>
        <v>1826</v>
      </c>
      <c r="C9951" t="s">
        <v>531</v>
      </c>
      <c r="D9951" t="s">
        <v>27</v>
      </c>
      <c r="E9951" s="208" t="s">
        <v>143</v>
      </c>
      <c r="F9951" t="s">
        <v>14</v>
      </c>
      <c r="G9951" s="18">
        <v>161</v>
      </c>
      <c r="H9951" t="s">
        <v>17</v>
      </c>
      <c r="I9951" s="151" t="s">
        <v>562</v>
      </c>
    </row>
    <row r="9952" spans="1:9" x14ac:dyDescent="0.25">
      <c r="A9952">
        <v>1825</v>
      </c>
      <c r="B9952">
        <f>A9952+1</f>
        <v>1826</v>
      </c>
      <c r="C9952" t="s">
        <v>531</v>
      </c>
      <c r="D9952" t="s">
        <v>27</v>
      </c>
      <c r="E9952" s="208" t="s">
        <v>142</v>
      </c>
      <c r="F9952" t="s">
        <v>14</v>
      </c>
      <c r="G9952" s="18">
        <v>12533</v>
      </c>
      <c r="H9952" t="s">
        <v>17</v>
      </c>
      <c r="I9952" s="151" t="s">
        <v>562</v>
      </c>
    </row>
    <row r="9953" spans="1:9" x14ac:dyDescent="0.25">
      <c r="A9953">
        <v>1825</v>
      </c>
      <c r="B9953">
        <f>A9953+1</f>
        <v>1826</v>
      </c>
      <c r="C9953" t="s">
        <v>531</v>
      </c>
      <c r="D9953" t="s">
        <v>27</v>
      </c>
      <c r="E9953" s="208" t="s">
        <v>124</v>
      </c>
      <c r="F9953" t="s">
        <v>14</v>
      </c>
      <c r="G9953" s="18">
        <v>7865550</v>
      </c>
      <c r="H9953" t="s">
        <v>17</v>
      </c>
      <c r="I9953" s="151" t="s">
        <v>562</v>
      </c>
    </row>
    <row r="9954" spans="1:9" x14ac:dyDescent="0.25">
      <c r="A9954">
        <v>1825</v>
      </c>
      <c r="B9954">
        <f>A9954+1</f>
        <v>1826</v>
      </c>
      <c r="C9954" t="s">
        <v>531</v>
      </c>
      <c r="D9954" t="s">
        <v>27</v>
      </c>
      <c r="E9954" s="208" t="s">
        <v>115</v>
      </c>
      <c r="F9954" t="s">
        <v>14</v>
      </c>
      <c r="G9954" s="18">
        <v>198</v>
      </c>
      <c r="H9954" t="s">
        <v>17</v>
      </c>
      <c r="I9954" s="151" t="s">
        <v>562</v>
      </c>
    </row>
    <row r="9955" spans="1:9" x14ac:dyDescent="0.25">
      <c r="A9955">
        <v>1825</v>
      </c>
      <c r="B9955">
        <f>A9955+1</f>
        <v>1826</v>
      </c>
      <c r="C9955" t="s">
        <v>531</v>
      </c>
      <c r="D9955" t="s">
        <v>27</v>
      </c>
      <c r="E9955" s="208" t="s">
        <v>116</v>
      </c>
      <c r="F9955" t="s">
        <v>14</v>
      </c>
      <c r="G9955" s="18">
        <v>1656</v>
      </c>
      <c r="H9955" t="s">
        <v>17</v>
      </c>
      <c r="I9955" s="151" t="s">
        <v>562</v>
      </c>
    </row>
    <row r="9956" spans="1:9" x14ac:dyDescent="0.25">
      <c r="A9956">
        <v>1825</v>
      </c>
      <c r="B9956">
        <f>A9956+1</f>
        <v>1826</v>
      </c>
      <c r="C9956" t="s">
        <v>531</v>
      </c>
      <c r="D9956" t="s">
        <v>27</v>
      </c>
      <c r="E9956" s="208" t="s">
        <v>136</v>
      </c>
      <c r="F9956" t="s">
        <v>14</v>
      </c>
      <c r="G9956" s="18">
        <v>155</v>
      </c>
      <c r="H9956" t="s">
        <v>17</v>
      </c>
      <c r="I9956" s="151" t="s">
        <v>562</v>
      </c>
    </row>
    <row r="9957" spans="1:9" x14ac:dyDescent="0.25">
      <c r="A9957">
        <v>1825</v>
      </c>
      <c r="B9957">
        <f>A9957+1</f>
        <v>1826</v>
      </c>
      <c r="C9957" t="s">
        <v>531</v>
      </c>
      <c r="D9957" t="s">
        <v>27</v>
      </c>
      <c r="E9957" s="208" t="s">
        <v>157</v>
      </c>
      <c r="F9957" t="s">
        <v>14</v>
      </c>
      <c r="G9957" s="18">
        <v>129</v>
      </c>
      <c r="H9957" t="s">
        <v>17</v>
      </c>
      <c r="I9957" s="151" t="s">
        <v>562</v>
      </c>
    </row>
    <row r="9958" spans="1:9" x14ac:dyDescent="0.25">
      <c r="A9958">
        <v>1825</v>
      </c>
      <c r="B9958">
        <f>A9958+1</f>
        <v>1826</v>
      </c>
      <c r="C9958" t="s">
        <v>531</v>
      </c>
      <c r="D9958" t="s">
        <v>27</v>
      </c>
      <c r="E9958" s="208" t="s">
        <v>74</v>
      </c>
      <c r="F9958" t="s">
        <v>14</v>
      </c>
      <c r="G9958" s="18">
        <v>3458</v>
      </c>
      <c r="H9958" t="s">
        <v>17</v>
      </c>
      <c r="I9958" s="151" t="s">
        <v>562</v>
      </c>
    </row>
    <row r="9959" spans="1:9" x14ac:dyDescent="0.25">
      <c r="A9959">
        <v>1825</v>
      </c>
      <c r="B9959">
        <f>A9959+1</f>
        <v>1826</v>
      </c>
      <c r="C9959" t="s">
        <v>531</v>
      </c>
      <c r="D9959" t="s">
        <v>27</v>
      </c>
      <c r="E9959" s="208" t="s">
        <v>129</v>
      </c>
      <c r="F9959" t="s">
        <v>14</v>
      </c>
      <c r="G9959" s="18">
        <v>732</v>
      </c>
      <c r="H9959" t="s">
        <v>17</v>
      </c>
      <c r="I9959" s="151" t="s">
        <v>562</v>
      </c>
    </row>
    <row r="9960" spans="1:9" x14ac:dyDescent="0.25">
      <c r="A9960">
        <v>1825</v>
      </c>
      <c r="B9960">
        <f>A9960+1</f>
        <v>1826</v>
      </c>
      <c r="C9960" t="s">
        <v>531</v>
      </c>
      <c r="D9960" t="s">
        <v>27</v>
      </c>
      <c r="E9960" s="208" t="s">
        <v>141</v>
      </c>
      <c r="F9960" t="s">
        <v>14</v>
      </c>
      <c r="G9960" s="18">
        <v>93</v>
      </c>
      <c r="H9960" t="s">
        <v>17</v>
      </c>
      <c r="I9960" s="151" t="s">
        <v>562</v>
      </c>
    </row>
    <row r="9961" spans="1:9" x14ac:dyDescent="0.25">
      <c r="A9961">
        <v>1825</v>
      </c>
      <c r="B9961">
        <f>A9961+1</f>
        <v>1826</v>
      </c>
      <c r="C9961" t="s">
        <v>531</v>
      </c>
      <c r="D9961" t="s">
        <v>27</v>
      </c>
      <c r="E9961" s="208" t="s">
        <v>128</v>
      </c>
      <c r="F9961" t="s">
        <v>14</v>
      </c>
      <c r="G9961" s="18">
        <v>81</v>
      </c>
      <c r="H9961" t="s">
        <v>17</v>
      </c>
      <c r="I9961" s="151" t="s">
        <v>562</v>
      </c>
    </row>
    <row r="9962" spans="1:9" x14ac:dyDescent="0.25">
      <c r="A9962">
        <v>1825</v>
      </c>
      <c r="B9962">
        <f>A9962+1</f>
        <v>1826</v>
      </c>
      <c r="C9962" t="s">
        <v>531</v>
      </c>
      <c r="D9962" t="s">
        <v>27</v>
      </c>
      <c r="E9962" s="208" t="s">
        <v>135</v>
      </c>
      <c r="F9962" t="s">
        <v>14</v>
      </c>
      <c r="G9962" s="18">
        <v>132</v>
      </c>
      <c r="H9962" t="s">
        <v>17</v>
      </c>
      <c r="I9962" s="151" t="s">
        <v>562</v>
      </c>
    </row>
    <row r="9963" spans="1:9" x14ac:dyDescent="0.25">
      <c r="A9963">
        <v>1825</v>
      </c>
      <c r="B9963">
        <f>A9963+1</f>
        <v>1826</v>
      </c>
      <c r="C9963" t="s">
        <v>531</v>
      </c>
      <c r="D9963" t="s">
        <v>27</v>
      </c>
      <c r="E9963" s="208" t="s">
        <v>138</v>
      </c>
      <c r="F9963" t="s">
        <v>14</v>
      </c>
      <c r="G9963" s="18">
        <v>2420</v>
      </c>
      <c r="H9963" t="s">
        <v>17</v>
      </c>
      <c r="I9963" s="151" t="s">
        <v>562</v>
      </c>
    </row>
    <row r="9964" spans="1:9" x14ac:dyDescent="0.25">
      <c r="A9964">
        <v>1825</v>
      </c>
      <c r="B9964">
        <f>A9964+1</f>
        <v>1826</v>
      </c>
      <c r="C9964" t="s">
        <v>531</v>
      </c>
      <c r="D9964" t="s">
        <v>27</v>
      </c>
      <c r="E9964" s="208" t="s">
        <v>134</v>
      </c>
      <c r="F9964" t="s">
        <v>14</v>
      </c>
      <c r="G9964" s="18">
        <v>4640</v>
      </c>
      <c r="H9964" t="s">
        <v>17</v>
      </c>
      <c r="I9964" s="151" t="s">
        <v>562</v>
      </c>
    </row>
    <row r="9965" spans="1:9" x14ac:dyDescent="0.25">
      <c r="A9965">
        <v>1825</v>
      </c>
      <c r="B9965">
        <f>A9965+1</f>
        <v>1826</v>
      </c>
      <c r="C9965" t="s">
        <v>531</v>
      </c>
      <c r="D9965" t="s">
        <v>26</v>
      </c>
      <c r="E9965" s="208" t="s">
        <v>62</v>
      </c>
      <c r="F9965" t="s">
        <v>14</v>
      </c>
      <c r="G9965" s="18">
        <v>5850</v>
      </c>
      <c r="H9965" s="151" t="s">
        <v>563</v>
      </c>
      <c r="I9965" t="s">
        <v>17</v>
      </c>
    </row>
    <row r="9966" spans="1:9" x14ac:dyDescent="0.25">
      <c r="A9966">
        <v>1825</v>
      </c>
      <c r="B9966">
        <f>A9966+1</f>
        <v>1826</v>
      </c>
      <c r="C9966" t="s">
        <v>531</v>
      </c>
      <c r="D9966" t="s">
        <v>26</v>
      </c>
      <c r="E9966" s="208" t="s">
        <v>55</v>
      </c>
      <c r="F9966" t="s">
        <v>14</v>
      </c>
      <c r="G9966" s="18">
        <v>1806</v>
      </c>
      <c r="H9966" s="151" t="s">
        <v>563</v>
      </c>
      <c r="I9966" t="s">
        <v>17</v>
      </c>
    </row>
    <row r="9967" spans="1:9" x14ac:dyDescent="0.25">
      <c r="A9967">
        <v>1825</v>
      </c>
      <c r="B9967">
        <f>A9967+1</f>
        <v>1826</v>
      </c>
      <c r="C9967" t="s">
        <v>531</v>
      </c>
      <c r="D9967" t="s">
        <v>26</v>
      </c>
      <c r="E9967" s="208" t="s">
        <v>36</v>
      </c>
      <c r="F9967" t="s">
        <v>14</v>
      </c>
      <c r="G9967" s="18">
        <v>488</v>
      </c>
      <c r="H9967" s="151" t="s">
        <v>563</v>
      </c>
      <c r="I9967" t="s">
        <v>17</v>
      </c>
    </row>
    <row r="9968" spans="1:9" x14ac:dyDescent="0.25">
      <c r="A9968">
        <v>1825</v>
      </c>
      <c r="B9968">
        <f>A9968+1</f>
        <v>1826</v>
      </c>
      <c r="C9968" t="s">
        <v>531</v>
      </c>
      <c r="D9968" t="s">
        <v>26</v>
      </c>
      <c r="E9968" s="208" t="s">
        <v>35</v>
      </c>
      <c r="F9968" t="s">
        <v>14</v>
      </c>
      <c r="G9968" s="18">
        <v>0</v>
      </c>
      <c r="H9968" s="151" t="s">
        <v>563</v>
      </c>
      <c r="I9968" t="s">
        <v>17</v>
      </c>
    </row>
    <row r="9969" spans="1:9" x14ac:dyDescent="0.25">
      <c r="A9969">
        <v>1825</v>
      </c>
      <c r="B9969">
        <f>A9969+1</f>
        <v>1826</v>
      </c>
      <c r="C9969" t="s">
        <v>531</v>
      </c>
      <c r="D9969" t="s">
        <v>26</v>
      </c>
      <c r="E9969" s="208" t="s">
        <v>40</v>
      </c>
      <c r="F9969" t="s">
        <v>14</v>
      </c>
      <c r="G9969" s="18">
        <v>74444</v>
      </c>
      <c r="H9969" s="151" t="s">
        <v>563</v>
      </c>
      <c r="I9969" t="s">
        <v>17</v>
      </c>
    </row>
    <row r="9970" spans="1:9" x14ac:dyDescent="0.25">
      <c r="A9970">
        <v>1825</v>
      </c>
      <c r="B9970">
        <f>A9970+1</f>
        <v>1826</v>
      </c>
      <c r="C9970" t="s">
        <v>531</v>
      </c>
      <c r="D9970" t="s">
        <v>26</v>
      </c>
      <c r="E9970" s="208" t="s">
        <v>99</v>
      </c>
      <c r="F9970" t="s">
        <v>14</v>
      </c>
      <c r="G9970" s="18">
        <v>187</v>
      </c>
      <c r="H9970" s="151" t="s">
        <v>563</v>
      </c>
      <c r="I9970" t="s">
        <v>17</v>
      </c>
    </row>
    <row r="9971" spans="1:9" x14ac:dyDescent="0.25">
      <c r="A9971">
        <v>1825</v>
      </c>
      <c r="B9971">
        <f>A9971+1</f>
        <v>1826</v>
      </c>
      <c r="C9971" t="s">
        <v>531</v>
      </c>
      <c r="D9971" t="s">
        <v>26</v>
      </c>
      <c r="E9971" s="208" t="s">
        <v>98</v>
      </c>
      <c r="F9971" t="s">
        <v>14</v>
      </c>
      <c r="G9971" s="18">
        <v>98376</v>
      </c>
      <c r="H9971" s="151" t="s">
        <v>563</v>
      </c>
      <c r="I9971" t="s">
        <v>17</v>
      </c>
    </row>
    <row r="9972" spans="1:9" x14ac:dyDescent="0.25">
      <c r="A9972">
        <v>1825</v>
      </c>
      <c r="B9972">
        <f>A9972+1</f>
        <v>1826</v>
      </c>
      <c r="C9972" t="s">
        <v>531</v>
      </c>
      <c r="D9972" t="s">
        <v>26</v>
      </c>
      <c r="E9972" s="208" t="s">
        <v>352</v>
      </c>
      <c r="F9972" t="s">
        <v>14</v>
      </c>
      <c r="G9972" s="18">
        <v>6556</v>
      </c>
      <c r="H9972" s="151" t="s">
        <v>563</v>
      </c>
      <c r="I9972" t="s">
        <v>17</v>
      </c>
    </row>
    <row r="9973" spans="1:9" x14ac:dyDescent="0.25">
      <c r="A9973">
        <v>1825</v>
      </c>
      <c r="B9973">
        <f>A9973+1</f>
        <v>1826</v>
      </c>
      <c r="C9973" t="s">
        <v>531</v>
      </c>
      <c r="D9973" t="s">
        <v>26</v>
      </c>
      <c r="E9973" s="208" t="s">
        <v>568</v>
      </c>
      <c r="F9973" t="s">
        <v>4</v>
      </c>
      <c r="G9973" s="18">
        <v>0</v>
      </c>
      <c r="H9973" t="s">
        <v>23</v>
      </c>
      <c r="I9973" t="s">
        <v>16</v>
      </c>
    </row>
    <row r="9974" spans="1:9" x14ac:dyDescent="0.25">
      <c r="A9974">
        <v>1825</v>
      </c>
      <c r="B9974">
        <f>A9974+1</f>
        <v>1826</v>
      </c>
      <c r="C9974" t="s">
        <v>531</v>
      </c>
      <c r="D9974" t="s">
        <v>26</v>
      </c>
      <c r="E9974" s="208" t="s">
        <v>568</v>
      </c>
      <c r="F9974" t="s">
        <v>7</v>
      </c>
      <c r="G9974" s="18">
        <v>667</v>
      </c>
      <c r="H9974" s="151" t="s">
        <v>563</v>
      </c>
      <c r="I9974" t="s">
        <v>16</v>
      </c>
    </row>
    <row r="9975" spans="1:9" x14ac:dyDescent="0.25">
      <c r="A9975">
        <v>1825</v>
      </c>
      <c r="B9975">
        <f>A9975+1</f>
        <v>1826</v>
      </c>
      <c r="C9975" t="s">
        <v>531</v>
      </c>
      <c r="D9975" t="s">
        <v>26</v>
      </c>
      <c r="E9975" s="208" t="s">
        <v>568</v>
      </c>
      <c r="F9975" t="s">
        <v>10</v>
      </c>
      <c r="G9975" s="18">
        <v>263</v>
      </c>
      <c r="H9975" t="s">
        <v>24</v>
      </c>
      <c r="I9975" t="s">
        <v>17</v>
      </c>
    </row>
    <row r="9976" spans="1:9" x14ac:dyDescent="0.25">
      <c r="A9976">
        <v>1825</v>
      </c>
      <c r="B9976">
        <f>A9976+1</f>
        <v>1826</v>
      </c>
      <c r="C9976" t="s">
        <v>531</v>
      </c>
      <c r="D9976" t="s">
        <v>26</v>
      </c>
      <c r="E9976" s="208" t="s">
        <v>568</v>
      </c>
      <c r="F9976" t="s">
        <v>13</v>
      </c>
      <c r="G9976" s="18">
        <v>0</v>
      </c>
      <c r="H9976" t="s">
        <v>25</v>
      </c>
      <c r="I9976" t="s">
        <v>17</v>
      </c>
    </row>
    <row r="9977" spans="1:9" x14ac:dyDescent="0.25">
      <c r="A9977">
        <v>1825</v>
      </c>
      <c r="B9977">
        <f>A9977+1</f>
        <v>1826</v>
      </c>
      <c r="C9977" t="s">
        <v>531</v>
      </c>
      <c r="D9977" t="s">
        <v>26</v>
      </c>
      <c r="E9977" s="208" t="s">
        <v>568</v>
      </c>
      <c r="F9977" t="s">
        <v>164</v>
      </c>
      <c r="G9977" s="18">
        <v>0</v>
      </c>
      <c r="H9977" t="s">
        <v>160</v>
      </c>
      <c r="I9977" t="s">
        <v>17</v>
      </c>
    </row>
    <row r="9978" spans="1:9" x14ac:dyDescent="0.25">
      <c r="A9978">
        <v>1825</v>
      </c>
      <c r="B9978">
        <f>A9978+1</f>
        <v>1826</v>
      </c>
      <c r="C9978" t="s">
        <v>531</v>
      </c>
      <c r="D9978" t="s">
        <v>26</v>
      </c>
      <c r="E9978" s="208" t="s">
        <v>568</v>
      </c>
      <c r="F9978" t="s">
        <v>11</v>
      </c>
      <c r="G9978" s="18">
        <v>0</v>
      </c>
      <c r="H9978" t="s">
        <v>23</v>
      </c>
      <c r="I9978" t="s">
        <v>17</v>
      </c>
    </row>
    <row r="9979" spans="1:9" x14ac:dyDescent="0.25">
      <c r="A9979">
        <v>1825</v>
      </c>
      <c r="B9979">
        <f>A9979+1</f>
        <v>1826</v>
      </c>
      <c r="C9979" t="s">
        <v>531</v>
      </c>
      <c r="D9979" t="s">
        <v>26</v>
      </c>
      <c r="E9979" s="208" t="s">
        <v>107</v>
      </c>
      <c r="F9979" t="s">
        <v>14</v>
      </c>
      <c r="G9979" s="18">
        <v>3311678</v>
      </c>
      <c r="H9979" s="151" t="s">
        <v>563</v>
      </c>
      <c r="I9979" t="s">
        <v>17</v>
      </c>
    </row>
    <row r="9980" spans="1:9" x14ac:dyDescent="0.25">
      <c r="A9980">
        <v>1825</v>
      </c>
      <c r="B9980">
        <f>A9980+1</f>
        <v>1826</v>
      </c>
      <c r="C9980" t="s">
        <v>531</v>
      </c>
      <c r="D9980" t="s">
        <v>26</v>
      </c>
      <c r="E9980" s="208" t="s">
        <v>101</v>
      </c>
      <c r="F9980" t="s">
        <v>14</v>
      </c>
      <c r="G9980" s="18">
        <v>4297477</v>
      </c>
      <c r="H9980" s="151" t="s">
        <v>563</v>
      </c>
      <c r="I9980" t="s">
        <v>17</v>
      </c>
    </row>
    <row r="9981" spans="1:9" x14ac:dyDescent="0.25">
      <c r="A9981">
        <v>1825</v>
      </c>
      <c r="B9981">
        <f>A9981+1</f>
        <v>1826</v>
      </c>
      <c r="C9981" t="s">
        <v>531</v>
      </c>
      <c r="D9981" t="s">
        <v>26</v>
      </c>
      <c r="E9981" s="208" t="s">
        <v>75</v>
      </c>
      <c r="F9981" t="s">
        <v>14</v>
      </c>
      <c r="G9981" s="18">
        <v>2608719</v>
      </c>
      <c r="H9981" s="151" t="s">
        <v>563</v>
      </c>
      <c r="I9981" t="s">
        <v>17</v>
      </c>
    </row>
    <row r="9982" spans="1:9" x14ac:dyDescent="0.25">
      <c r="A9982">
        <v>1825</v>
      </c>
      <c r="B9982">
        <f>A9982+1</f>
        <v>1826</v>
      </c>
      <c r="C9982" t="s">
        <v>531</v>
      </c>
      <c r="D9982" t="s">
        <v>26</v>
      </c>
      <c r="E9982" s="208" t="s">
        <v>66</v>
      </c>
      <c r="F9982" t="s">
        <v>14</v>
      </c>
      <c r="G9982" s="18">
        <v>26000</v>
      </c>
      <c r="H9982" s="151" t="s">
        <v>563</v>
      </c>
      <c r="I9982" t="s">
        <v>17</v>
      </c>
    </row>
    <row r="9983" spans="1:9" x14ac:dyDescent="0.25">
      <c r="A9983">
        <v>1825</v>
      </c>
      <c r="B9983">
        <f>A9983+1</f>
        <v>1826</v>
      </c>
      <c r="C9983" t="s">
        <v>531</v>
      </c>
      <c r="D9983" t="s">
        <v>26</v>
      </c>
      <c r="E9983" s="208" t="s">
        <v>330</v>
      </c>
      <c r="F9983" t="s">
        <v>14</v>
      </c>
      <c r="G9983" s="18">
        <v>371</v>
      </c>
      <c r="H9983" s="151" t="s">
        <v>563</v>
      </c>
      <c r="I9983" t="s">
        <v>17</v>
      </c>
    </row>
    <row r="9984" spans="1:9" x14ac:dyDescent="0.25">
      <c r="A9984">
        <v>1825</v>
      </c>
      <c r="B9984">
        <f>A9984+1</f>
        <v>1826</v>
      </c>
      <c r="C9984" t="s">
        <v>531</v>
      </c>
      <c r="D9984" t="s">
        <v>26</v>
      </c>
      <c r="E9984" s="208" t="s">
        <v>331</v>
      </c>
      <c r="F9984" t="s">
        <v>14</v>
      </c>
      <c r="G9984" s="18">
        <v>84</v>
      </c>
      <c r="H9984" s="151" t="s">
        <v>563</v>
      </c>
      <c r="I9984" t="s">
        <v>17</v>
      </c>
    </row>
    <row r="9985" spans="1:9" x14ac:dyDescent="0.25">
      <c r="A9985">
        <v>1825</v>
      </c>
      <c r="B9985">
        <f>A9985+1</f>
        <v>1826</v>
      </c>
      <c r="C9985" t="s">
        <v>531</v>
      </c>
      <c r="D9985" t="s">
        <v>26</v>
      </c>
      <c r="E9985" s="208" t="s">
        <v>332</v>
      </c>
      <c r="F9985" t="s">
        <v>14</v>
      </c>
      <c r="G9985" s="18">
        <v>0</v>
      </c>
      <c r="H9985" s="151" t="s">
        <v>563</v>
      </c>
      <c r="I9985" t="s">
        <v>17</v>
      </c>
    </row>
    <row r="9986" spans="1:9" x14ac:dyDescent="0.25">
      <c r="A9986">
        <v>1825</v>
      </c>
      <c r="B9986">
        <f>A9986+1</f>
        <v>1826</v>
      </c>
      <c r="C9986" t="s">
        <v>531</v>
      </c>
      <c r="D9986" t="s">
        <v>26</v>
      </c>
      <c r="E9986" s="208" t="s">
        <v>333</v>
      </c>
      <c r="F9986" t="s">
        <v>14</v>
      </c>
      <c r="G9986" s="18">
        <v>55</v>
      </c>
      <c r="H9986" s="151" t="s">
        <v>563</v>
      </c>
      <c r="I9986" t="s">
        <v>17</v>
      </c>
    </row>
    <row r="9987" spans="1:9" x14ac:dyDescent="0.25">
      <c r="A9987">
        <v>1825</v>
      </c>
      <c r="B9987">
        <f>A9987+1</f>
        <v>1826</v>
      </c>
      <c r="C9987" t="s">
        <v>531</v>
      </c>
      <c r="D9987" t="s">
        <v>26</v>
      </c>
      <c r="E9987" s="208" t="s">
        <v>32</v>
      </c>
      <c r="F9987" t="s">
        <v>14</v>
      </c>
      <c r="G9987" s="18">
        <v>5</v>
      </c>
      <c r="H9987" s="151" t="s">
        <v>563</v>
      </c>
      <c r="I9987" t="s">
        <v>17</v>
      </c>
    </row>
    <row r="9988" spans="1:9" x14ac:dyDescent="0.25">
      <c r="A9988">
        <v>1825</v>
      </c>
      <c r="B9988">
        <f>A9988+1</f>
        <v>1826</v>
      </c>
      <c r="C9988" t="s">
        <v>531</v>
      </c>
      <c r="D9988" t="s">
        <v>26</v>
      </c>
      <c r="E9988" s="208" t="s">
        <v>31</v>
      </c>
      <c r="F9988" t="s">
        <v>14</v>
      </c>
      <c r="G9988" s="18">
        <v>108</v>
      </c>
      <c r="H9988" s="151" t="s">
        <v>563</v>
      </c>
      <c r="I9988" t="s">
        <v>17</v>
      </c>
    </row>
    <row r="9989" spans="1:9" x14ac:dyDescent="0.25">
      <c r="A9989">
        <v>1825</v>
      </c>
      <c r="B9989">
        <f>A9989+1</f>
        <v>1826</v>
      </c>
      <c r="C9989" t="s">
        <v>531</v>
      </c>
      <c r="D9989" t="s">
        <v>26</v>
      </c>
      <c r="E9989" s="208" t="s">
        <v>110</v>
      </c>
      <c r="F9989" t="s">
        <v>14</v>
      </c>
      <c r="G9989" s="18">
        <v>2370</v>
      </c>
      <c r="H9989" s="151" t="s">
        <v>563</v>
      </c>
      <c r="I9989" t="s">
        <v>17</v>
      </c>
    </row>
    <row r="9990" spans="1:9" x14ac:dyDescent="0.25">
      <c r="A9990">
        <v>1825</v>
      </c>
      <c r="B9990">
        <f>A9990+1</f>
        <v>1826</v>
      </c>
      <c r="C9990" t="s">
        <v>531</v>
      </c>
      <c r="D9990" t="s">
        <v>26</v>
      </c>
      <c r="E9990" s="208" t="s">
        <v>103</v>
      </c>
      <c r="F9990" t="s">
        <v>14</v>
      </c>
      <c r="G9990" s="18">
        <v>1031</v>
      </c>
      <c r="H9990" s="151" t="s">
        <v>563</v>
      </c>
      <c r="I9990" t="s">
        <v>17</v>
      </c>
    </row>
    <row r="9991" spans="1:9" x14ac:dyDescent="0.25">
      <c r="A9991">
        <v>1825</v>
      </c>
      <c r="B9991">
        <f>A9991+1</f>
        <v>1826</v>
      </c>
      <c r="C9991" t="s">
        <v>531</v>
      </c>
      <c r="D9991" t="s">
        <v>26</v>
      </c>
      <c r="E9991" s="208" t="s">
        <v>497</v>
      </c>
      <c r="F9991" t="s">
        <v>14</v>
      </c>
      <c r="G9991" s="18">
        <v>1943</v>
      </c>
      <c r="H9991" s="151" t="s">
        <v>563</v>
      </c>
      <c r="I9991" t="s">
        <v>17</v>
      </c>
    </row>
    <row r="9992" spans="1:9" x14ac:dyDescent="0.25">
      <c r="A9992">
        <v>1825</v>
      </c>
      <c r="B9992">
        <f>A9992+1</f>
        <v>1826</v>
      </c>
      <c r="C9992" t="s">
        <v>531</v>
      </c>
      <c r="D9992" t="s">
        <v>26</v>
      </c>
      <c r="E9992" s="208" t="s">
        <v>501</v>
      </c>
      <c r="F9992" t="s">
        <v>14</v>
      </c>
      <c r="G9992" s="18">
        <v>3676</v>
      </c>
      <c r="H9992" s="151" t="s">
        <v>563</v>
      </c>
      <c r="I9992" t="s">
        <v>17</v>
      </c>
    </row>
    <row r="9993" spans="1:9" x14ac:dyDescent="0.25">
      <c r="A9993">
        <v>1825</v>
      </c>
      <c r="B9993">
        <f>A9993+1</f>
        <v>1826</v>
      </c>
      <c r="C9993" t="s">
        <v>531</v>
      </c>
      <c r="D9993" t="s">
        <v>26</v>
      </c>
      <c r="E9993" s="208" t="s">
        <v>111</v>
      </c>
      <c r="F9993" t="s">
        <v>14</v>
      </c>
      <c r="G9993" s="18">
        <v>0</v>
      </c>
      <c r="H9993" s="151" t="s">
        <v>563</v>
      </c>
      <c r="I9993" t="s">
        <v>17</v>
      </c>
    </row>
    <row r="9994" spans="1:9" x14ac:dyDescent="0.25">
      <c r="A9994">
        <v>1825</v>
      </c>
      <c r="B9994">
        <f>A9994+1</f>
        <v>1826</v>
      </c>
      <c r="C9994" t="s">
        <v>531</v>
      </c>
      <c r="D9994" t="s">
        <v>26</v>
      </c>
      <c r="E9994" s="208" t="s">
        <v>49</v>
      </c>
      <c r="F9994" t="s">
        <v>14</v>
      </c>
      <c r="G9994" s="18">
        <v>2512</v>
      </c>
      <c r="H9994" s="151" t="s">
        <v>563</v>
      </c>
      <c r="I9994" t="s">
        <v>17</v>
      </c>
    </row>
    <row r="9995" spans="1:9" x14ac:dyDescent="0.25">
      <c r="A9995">
        <v>1825</v>
      </c>
      <c r="B9995">
        <f>A9995+1</f>
        <v>1826</v>
      </c>
      <c r="C9995" t="s">
        <v>531</v>
      </c>
      <c r="D9995" t="s">
        <v>26</v>
      </c>
      <c r="E9995" s="208" t="s">
        <v>499</v>
      </c>
      <c r="F9995" t="s">
        <v>14</v>
      </c>
      <c r="G9995" s="18">
        <v>0</v>
      </c>
      <c r="H9995" s="151" t="s">
        <v>563</v>
      </c>
      <c r="I9995" t="s">
        <v>17</v>
      </c>
    </row>
    <row r="9996" spans="1:9" x14ac:dyDescent="0.25">
      <c r="A9996">
        <v>1825</v>
      </c>
      <c r="B9996">
        <f>A9996+1</f>
        <v>1826</v>
      </c>
      <c r="C9996" t="s">
        <v>531</v>
      </c>
      <c r="D9996" t="s">
        <v>26</v>
      </c>
      <c r="E9996" s="208" t="s">
        <v>500</v>
      </c>
      <c r="F9996" t="s">
        <v>14</v>
      </c>
      <c r="G9996" s="18">
        <v>0</v>
      </c>
      <c r="H9996" s="151" t="s">
        <v>563</v>
      </c>
      <c r="I9996" t="s">
        <v>17</v>
      </c>
    </row>
    <row r="9997" spans="1:9" x14ac:dyDescent="0.25">
      <c r="A9997">
        <v>1825</v>
      </c>
      <c r="B9997">
        <f>A9997+1</f>
        <v>1826</v>
      </c>
      <c r="C9997" t="s">
        <v>531</v>
      </c>
      <c r="D9997" t="s">
        <v>27</v>
      </c>
      <c r="E9997" s="208" t="s">
        <v>155</v>
      </c>
      <c r="F9997" t="s">
        <v>15</v>
      </c>
      <c r="G9997" s="18">
        <v>99978</v>
      </c>
      <c r="H9997" t="s">
        <v>561</v>
      </c>
      <c r="I9997" s="151" t="s">
        <v>562</v>
      </c>
    </row>
    <row r="9998" spans="1:9" x14ac:dyDescent="0.25">
      <c r="A9998">
        <v>1825</v>
      </c>
      <c r="B9998">
        <f>A9998+1</f>
        <v>1826</v>
      </c>
      <c r="C9998" t="s">
        <v>531</v>
      </c>
      <c r="D9998" t="s">
        <v>27</v>
      </c>
      <c r="E9998" s="208" t="s">
        <v>156</v>
      </c>
      <c r="F9998" t="s">
        <v>15</v>
      </c>
      <c r="G9998" s="18">
        <v>9514</v>
      </c>
      <c r="H9998" t="s">
        <v>561</v>
      </c>
      <c r="I9998" s="151" t="s">
        <v>562</v>
      </c>
    </row>
    <row r="9999" spans="1:9" x14ac:dyDescent="0.25">
      <c r="A9999">
        <v>1825</v>
      </c>
      <c r="B9999">
        <f>A9999+1</f>
        <v>1826</v>
      </c>
      <c r="C9999" t="s">
        <v>531</v>
      </c>
      <c r="D9999" t="s">
        <v>27</v>
      </c>
      <c r="E9999" s="208" t="s">
        <v>154</v>
      </c>
      <c r="F9999" t="s">
        <v>15</v>
      </c>
      <c r="G9999" s="18">
        <v>3126</v>
      </c>
      <c r="H9999" t="s">
        <v>561</v>
      </c>
      <c r="I9999" s="151" t="s">
        <v>562</v>
      </c>
    </row>
    <row r="10000" spans="1:9" x14ac:dyDescent="0.25">
      <c r="A10000">
        <v>1825</v>
      </c>
      <c r="B10000">
        <f>A10000+1</f>
        <v>1826</v>
      </c>
      <c r="C10000" t="s">
        <v>531</v>
      </c>
      <c r="D10000" t="s">
        <v>27</v>
      </c>
      <c r="E10000" s="208" t="s">
        <v>150</v>
      </c>
      <c r="F10000" t="s">
        <v>15</v>
      </c>
      <c r="G10000" s="18">
        <v>35610</v>
      </c>
      <c r="H10000" t="s">
        <v>561</v>
      </c>
      <c r="I10000" s="151" t="s">
        <v>562</v>
      </c>
    </row>
    <row r="10001" spans="1:9" x14ac:dyDescent="0.25">
      <c r="A10001">
        <v>1825</v>
      </c>
      <c r="B10001">
        <f>A10001+1</f>
        <v>1826</v>
      </c>
      <c r="C10001" t="s">
        <v>531</v>
      </c>
      <c r="D10001" t="s">
        <v>27</v>
      </c>
      <c r="E10001" s="208" t="s">
        <v>148</v>
      </c>
      <c r="F10001" t="s">
        <v>15</v>
      </c>
      <c r="G10001" s="18">
        <v>3098</v>
      </c>
      <c r="H10001" t="s">
        <v>561</v>
      </c>
      <c r="I10001" s="151" t="s">
        <v>562</v>
      </c>
    </row>
    <row r="10002" spans="1:9" x14ac:dyDescent="0.25">
      <c r="A10002">
        <v>1825</v>
      </c>
      <c r="B10002">
        <f>A10002+1</f>
        <v>1826</v>
      </c>
      <c r="C10002" t="s">
        <v>531</v>
      </c>
      <c r="D10002" t="s">
        <v>27</v>
      </c>
      <c r="E10002" s="208" t="s">
        <v>147</v>
      </c>
      <c r="F10002" t="s">
        <v>15</v>
      </c>
      <c r="G10002" s="18">
        <v>1852</v>
      </c>
      <c r="H10002" t="s">
        <v>561</v>
      </c>
      <c r="I10002" s="151" t="s">
        <v>562</v>
      </c>
    </row>
    <row r="10003" spans="1:9" x14ac:dyDescent="0.25">
      <c r="A10003">
        <v>1825</v>
      </c>
      <c r="B10003">
        <f>A10003+1</f>
        <v>1826</v>
      </c>
      <c r="C10003" t="s">
        <v>531</v>
      </c>
      <c r="D10003" t="s">
        <v>27</v>
      </c>
      <c r="E10003" s="208" t="s">
        <v>139</v>
      </c>
      <c r="F10003" t="s">
        <v>15</v>
      </c>
      <c r="G10003" s="18">
        <v>549</v>
      </c>
      <c r="H10003" t="s">
        <v>561</v>
      </c>
      <c r="I10003" s="151" t="s">
        <v>562</v>
      </c>
    </row>
    <row r="10004" spans="1:9" x14ac:dyDescent="0.25">
      <c r="A10004">
        <v>1825</v>
      </c>
      <c r="B10004">
        <f>A10004+1</f>
        <v>1826</v>
      </c>
      <c r="C10004" t="s">
        <v>531</v>
      </c>
      <c r="D10004" t="s">
        <v>27</v>
      </c>
      <c r="E10004" s="208" t="s">
        <v>132</v>
      </c>
      <c r="F10004" t="s">
        <v>15</v>
      </c>
      <c r="G10004" s="18">
        <v>5754</v>
      </c>
      <c r="H10004" t="s">
        <v>561</v>
      </c>
      <c r="I10004" s="151" t="s">
        <v>562</v>
      </c>
    </row>
    <row r="10005" spans="1:9" x14ac:dyDescent="0.25">
      <c r="A10005">
        <v>1825</v>
      </c>
      <c r="B10005">
        <f>A10005+1</f>
        <v>1826</v>
      </c>
      <c r="C10005" t="s">
        <v>531</v>
      </c>
      <c r="D10005" t="s">
        <v>27</v>
      </c>
      <c r="E10005" s="208" t="s">
        <v>130</v>
      </c>
      <c r="F10005" t="s">
        <v>15</v>
      </c>
      <c r="G10005" s="18">
        <v>517</v>
      </c>
      <c r="H10005" t="s">
        <v>561</v>
      </c>
      <c r="I10005" s="151" t="s">
        <v>562</v>
      </c>
    </row>
    <row r="10006" spans="1:9" x14ac:dyDescent="0.25">
      <c r="A10006">
        <v>1825</v>
      </c>
      <c r="B10006">
        <f>A10006+1</f>
        <v>1826</v>
      </c>
      <c r="C10006" t="s">
        <v>531</v>
      </c>
      <c r="D10006" t="s">
        <v>27</v>
      </c>
      <c r="E10006" s="208" t="s">
        <v>143</v>
      </c>
      <c r="F10006" t="s">
        <v>15</v>
      </c>
      <c r="G10006" s="18">
        <v>522</v>
      </c>
      <c r="H10006" t="s">
        <v>561</v>
      </c>
      <c r="I10006" s="151" t="s">
        <v>562</v>
      </c>
    </row>
    <row r="10007" spans="1:9" x14ac:dyDescent="0.25">
      <c r="A10007">
        <v>1825</v>
      </c>
      <c r="B10007">
        <f>A10007+1</f>
        <v>1826</v>
      </c>
      <c r="C10007" t="s">
        <v>531</v>
      </c>
      <c r="D10007" t="s">
        <v>27</v>
      </c>
      <c r="E10007" s="208" t="s">
        <v>142</v>
      </c>
      <c r="F10007" t="s">
        <v>15</v>
      </c>
      <c r="G10007" s="18">
        <v>16433</v>
      </c>
      <c r="H10007" t="s">
        <v>561</v>
      </c>
      <c r="I10007" s="151" t="s">
        <v>562</v>
      </c>
    </row>
    <row r="10008" spans="1:9" x14ac:dyDescent="0.25">
      <c r="A10008">
        <v>1825</v>
      </c>
      <c r="B10008">
        <f>A10008+1</f>
        <v>1826</v>
      </c>
      <c r="C10008" t="s">
        <v>531</v>
      </c>
      <c r="D10008" t="s">
        <v>27</v>
      </c>
      <c r="E10008" s="208" t="s">
        <v>124</v>
      </c>
      <c r="F10008" t="s">
        <v>15</v>
      </c>
      <c r="G10008" s="18">
        <v>20352886</v>
      </c>
      <c r="H10008" t="s">
        <v>561</v>
      </c>
      <c r="I10008" s="151" t="s">
        <v>562</v>
      </c>
    </row>
    <row r="10009" spans="1:9" x14ac:dyDescent="0.25">
      <c r="A10009">
        <v>1825</v>
      </c>
      <c r="B10009">
        <f>A10009+1</f>
        <v>1826</v>
      </c>
      <c r="C10009" t="s">
        <v>531</v>
      </c>
      <c r="D10009" t="s">
        <v>27</v>
      </c>
      <c r="E10009" s="208" t="s">
        <v>115</v>
      </c>
      <c r="F10009" t="s">
        <v>15</v>
      </c>
      <c r="G10009" s="18">
        <v>358</v>
      </c>
      <c r="H10009" t="s">
        <v>561</v>
      </c>
      <c r="I10009" s="151" t="s">
        <v>562</v>
      </c>
    </row>
    <row r="10010" spans="1:9" x14ac:dyDescent="0.25">
      <c r="A10010">
        <v>1825</v>
      </c>
      <c r="B10010">
        <f>A10010+1</f>
        <v>1826</v>
      </c>
      <c r="C10010" t="s">
        <v>531</v>
      </c>
      <c r="D10010" t="s">
        <v>27</v>
      </c>
      <c r="E10010" s="208" t="s">
        <v>116</v>
      </c>
      <c r="F10010" t="s">
        <v>15</v>
      </c>
      <c r="G10010" s="18">
        <v>1912</v>
      </c>
      <c r="H10010" t="s">
        <v>561</v>
      </c>
      <c r="I10010" s="151" t="s">
        <v>562</v>
      </c>
    </row>
    <row r="10011" spans="1:9" x14ac:dyDescent="0.25">
      <c r="A10011">
        <v>1825</v>
      </c>
      <c r="B10011">
        <f>A10011+1</f>
        <v>1826</v>
      </c>
      <c r="C10011" t="s">
        <v>531</v>
      </c>
      <c r="D10011" t="s">
        <v>27</v>
      </c>
      <c r="E10011" s="208" t="s">
        <v>136</v>
      </c>
      <c r="F10011" t="s">
        <v>15</v>
      </c>
      <c r="G10011" s="18">
        <v>248</v>
      </c>
      <c r="H10011" t="s">
        <v>561</v>
      </c>
      <c r="I10011" s="151" t="s">
        <v>562</v>
      </c>
    </row>
    <row r="10012" spans="1:9" x14ac:dyDescent="0.25">
      <c r="A10012">
        <v>1825</v>
      </c>
      <c r="B10012">
        <f>A10012+1</f>
        <v>1826</v>
      </c>
      <c r="C10012" t="s">
        <v>531</v>
      </c>
      <c r="D10012" t="s">
        <v>27</v>
      </c>
      <c r="E10012" s="208" t="s">
        <v>157</v>
      </c>
      <c r="F10012" t="s">
        <v>15</v>
      </c>
      <c r="G10012" s="18">
        <v>879</v>
      </c>
      <c r="H10012" t="s">
        <v>561</v>
      </c>
      <c r="I10012" s="151" t="s">
        <v>562</v>
      </c>
    </row>
    <row r="10013" spans="1:9" x14ac:dyDescent="0.25">
      <c r="A10013">
        <v>1825</v>
      </c>
      <c r="B10013">
        <f>A10013+1</f>
        <v>1826</v>
      </c>
      <c r="C10013" t="s">
        <v>531</v>
      </c>
      <c r="D10013" t="s">
        <v>27</v>
      </c>
      <c r="E10013" s="208" t="s">
        <v>74</v>
      </c>
      <c r="F10013" t="s">
        <v>15</v>
      </c>
      <c r="G10013" s="18">
        <v>5612</v>
      </c>
      <c r="H10013" t="s">
        <v>561</v>
      </c>
      <c r="I10013" s="151" t="s">
        <v>562</v>
      </c>
    </row>
    <row r="10014" spans="1:9" x14ac:dyDescent="0.25">
      <c r="A10014">
        <v>1825</v>
      </c>
      <c r="B10014">
        <f>A10014+1</f>
        <v>1826</v>
      </c>
      <c r="C10014" t="s">
        <v>531</v>
      </c>
      <c r="D10014" t="s">
        <v>27</v>
      </c>
      <c r="E10014" s="208" t="s">
        <v>129</v>
      </c>
      <c r="F10014" t="s">
        <v>15</v>
      </c>
      <c r="G10014" s="18">
        <v>907.5</v>
      </c>
      <c r="H10014" t="s">
        <v>561</v>
      </c>
      <c r="I10014" s="151" t="s">
        <v>562</v>
      </c>
    </row>
    <row r="10015" spans="1:9" x14ac:dyDescent="0.25">
      <c r="A10015">
        <v>1825</v>
      </c>
      <c r="B10015">
        <f>A10015+1</f>
        <v>1826</v>
      </c>
      <c r="C10015" t="s">
        <v>531</v>
      </c>
      <c r="D10015" t="s">
        <v>27</v>
      </c>
      <c r="E10015" s="208" t="s">
        <v>141</v>
      </c>
      <c r="F10015" t="s">
        <v>15</v>
      </c>
      <c r="G10015" s="18">
        <v>848</v>
      </c>
      <c r="H10015" t="s">
        <v>561</v>
      </c>
      <c r="I10015" s="151" t="s">
        <v>562</v>
      </c>
    </row>
    <row r="10016" spans="1:9" x14ac:dyDescent="0.25">
      <c r="A10016">
        <v>1825</v>
      </c>
      <c r="B10016">
        <f>A10016+1</f>
        <v>1826</v>
      </c>
      <c r="C10016" t="s">
        <v>531</v>
      </c>
      <c r="D10016" t="s">
        <v>27</v>
      </c>
      <c r="E10016" s="208" t="s">
        <v>128</v>
      </c>
      <c r="F10016" t="s">
        <v>15</v>
      </c>
      <c r="G10016" s="18">
        <v>286</v>
      </c>
      <c r="H10016" t="s">
        <v>561</v>
      </c>
      <c r="I10016" s="151" t="s">
        <v>562</v>
      </c>
    </row>
    <row r="10017" spans="1:9" x14ac:dyDescent="0.25">
      <c r="A10017">
        <v>1825</v>
      </c>
      <c r="B10017">
        <f>A10017+1</f>
        <v>1826</v>
      </c>
      <c r="C10017" t="s">
        <v>531</v>
      </c>
      <c r="D10017" t="s">
        <v>27</v>
      </c>
      <c r="E10017" s="208" t="s">
        <v>135</v>
      </c>
      <c r="F10017" t="s">
        <v>15</v>
      </c>
      <c r="G10017" s="18">
        <v>471</v>
      </c>
      <c r="H10017" t="s">
        <v>561</v>
      </c>
      <c r="I10017" s="151" t="s">
        <v>562</v>
      </c>
    </row>
    <row r="10018" spans="1:9" x14ac:dyDescent="0.25">
      <c r="A10018">
        <v>1825</v>
      </c>
      <c r="B10018">
        <f>A10018+1</f>
        <v>1826</v>
      </c>
      <c r="C10018" t="s">
        <v>531</v>
      </c>
      <c r="D10018" t="s">
        <v>27</v>
      </c>
      <c r="E10018" s="208" t="s">
        <v>138</v>
      </c>
      <c r="F10018" t="s">
        <v>15</v>
      </c>
      <c r="G10018" s="18">
        <v>3161</v>
      </c>
      <c r="H10018" t="s">
        <v>561</v>
      </c>
      <c r="I10018" s="151" t="s">
        <v>562</v>
      </c>
    </row>
    <row r="10019" spans="1:9" x14ac:dyDescent="0.25">
      <c r="A10019">
        <v>1825</v>
      </c>
      <c r="B10019">
        <f>A10019+1</f>
        <v>1826</v>
      </c>
      <c r="C10019" t="s">
        <v>531</v>
      </c>
      <c r="D10019" t="s">
        <v>27</v>
      </c>
      <c r="E10019" s="208" t="s">
        <v>134</v>
      </c>
      <c r="F10019" t="s">
        <v>15</v>
      </c>
      <c r="G10019" s="18">
        <v>8200</v>
      </c>
      <c r="H10019" t="s">
        <v>561</v>
      </c>
      <c r="I10019" s="151" t="s">
        <v>562</v>
      </c>
    </row>
    <row r="10020" spans="1:9" x14ac:dyDescent="0.25">
      <c r="A10020">
        <v>1825</v>
      </c>
      <c r="B10020">
        <f>A10020+1</f>
        <v>1826</v>
      </c>
      <c r="C10020" t="s">
        <v>531</v>
      </c>
      <c r="D10020" t="s">
        <v>26</v>
      </c>
      <c r="E10020" s="208" t="s">
        <v>62</v>
      </c>
      <c r="F10020" t="s">
        <v>15</v>
      </c>
      <c r="G10020" s="18">
        <v>60405</v>
      </c>
      <c r="H10020" s="151" t="s">
        <v>563</v>
      </c>
      <c r="I10020" t="s">
        <v>561</v>
      </c>
    </row>
    <row r="10021" spans="1:9" x14ac:dyDescent="0.25">
      <c r="A10021">
        <v>1825</v>
      </c>
      <c r="B10021">
        <f>A10021+1</f>
        <v>1826</v>
      </c>
      <c r="C10021" t="s">
        <v>531</v>
      </c>
      <c r="D10021" t="s">
        <v>26</v>
      </c>
      <c r="E10021" s="208" t="s">
        <v>55</v>
      </c>
      <c r="F10021" t="s">
        <v>15</v>
      </c>
      <c r="G10021" s="18">
        <v>10041</v>
      </c>
      <c r="H10021" s="151" t="s">
        <v>563</v>
      </c>
      <c r="I10021" t="s">
        <v>561</v>
      </c>
    </row>
    <row r="10022" spans="1:9" x14ac:dyDescent="0.25">
      <c r="A10022">
        <v>1825</v>
      </c>
      <c r="B10022">
        <f>A10022+1</f>
        <v>1826</v>
      </c>
      <c r="C10022" t="s">
        <v>531</v>
      </c>
      <c r="D10022" t="s">
        <v>26</v>
      </c>
      <c r="E10022" s="208" t="s">
        <v>36</v>
      </c>
      <c r="F10022" t="s">
        <v>15</v>
      </c>
      <c r="G10022" s="18">
        <v>3271</v>
      </c>
      <c r="H10022" s="151" t="s">
        <v>563</v>
      </c>
      <c r="I10022" t="s">
        <v>561</v>
      </c>
    </row>
    <row r="10023" spans="1:9" x14ac:dyDescent="0.25">
      <c r="A10023">
        <v>1825</v>
      </c>
      <c r="B10023">
        <f>A10023+1</f>
        <v>1826</v>
      </c>
      <c r="C10023" t="s">
        <v>531</v>
      </c>
      <c r="D10023" t="s">
        <v>26</v>
      </c>
      <c r="E10023" s="208" t="s">
        <v>35</v>
      </c>
      <c r="F10023" t="s">
        <v>15</v>
      </c>
      <c r="G10023" s="18">
        <v>3356</v>
      </c>
      <c r="H10023" s="151" t="s">
        <v>563</v>
      </c>
      <c r="I10023" t="s">
        <v>561</v>
      </c>
    </row>
    <row r="10024" spans="1:9" x14ac:dyDescent="0.25">
      <c r="A10024">
        <v>1825</v>
      </c>
      <c r="B10024">
        <f>A10024+1</f>
        <v>1826</v>
      </c>
      <c r="C10024" t="s">
        <v>531</v>
      </c>
      <c r="D10024" t="s">
        <v>26</v>
      </c>
      <c r="E10024" s="208" t="s">
        <v>40</v>
      </c>
      <c r="F10024" t="s">
        <v>15</v>
      </c>
      <c r="G10024" s="18">
        <v>282285</v>
      </c>
      <c r="H10024" s="151" t="s">
        <v>563</v>
      </c>
      <c r="I10024" t="s">
        <v>561</v>
      </c>
    </row>
    <row r="10025" spans="1:9" x14ac:dyDescent="0.25">
      <c r="A10025">
        <v>1825</v>
      </c>
      <c r="B10025">
        <f>A10025+1</f>
        <v>1826</v>
      </c>
      <c r="C10025" t="s">
        <v>531</v>
      </c>
      <c r="D10025" t="s">
        <v>26</v>
      </c>
      <c r="E10025" s="208" t="s">
        <v>99</v>
      </c>
      <c r="F10025" t="s">
        <v>15</v>
      </c>
      <c r="G10025" s="18">
        <v>406</v>
      </c>
      <c r="H10025" s="151" t="s">
        <v>563</v>
      </c>
      <c r="I10025" t="s">
        <v>561</v>
      </c>
    </row>
    <row r="10026" spans="1:9" x14ac:dyDescent="0.25">
      <c r="A10026">
        <v>1825</v>
      </c>
      <c r="B10026">
        <f>A10026+1</f>
        <v>1826</v>
      </c>
      <c r="C10026" t="s">
        <v>531</v>
      </c>
      <c r="D10026" t="s">
        <v>26</v>
      </c>
      <c r="E10026" s="208" t="s">
        <v>98</v>
      </c>
      <c r="F10026" t="s">
        <v>15</v>
      </c>
      <c r="G10026" s="18">
        <v>1411823</v>
      </c>
      <c r="H10026" s="151" t="s">
        <v>563</v>
      </c>
      <c r="I10026" t="s">
        <v>561</v>
      </c>
    </row>
    <row r="10027" spans="1:9" x14ac:dyDescent="0.25">
      <c r="A10027">
        <v>1825</v>
      </c>
      <c r="B10027">
        <f>A10027+1</f>
        <v>1826</v>
      </c>
      <c r="C10027" t="s">
        <v>531</v>
      </c>
      <c r="D10027" t="s">
        <v>26</v>
      </c>
      <c r="E10027" s="208" t="s">
        <v>352</v>
      </c>
      <c r="F10027" t="s">
        <v>15</v>
      </c>
      <c r="G10027" s="18">
        <v>42517</v>
      </c>
      <c r="H10027" s="151" t="s">
        <v>563</v>
      </c>
      <c r="I10027" t="s">
        <v>561</v>
      </c>
    </row>
    <row r="10028" spans="1:9" x14ac:dyDescent="0.25">
      <c r="A10028">
        <v>1825</v>
      </c>
      <c r="B10028">
        <f>A10028+1</f>
        <v>1826</v>
      </c>
      <c r="C10028" t="s">
        <v>531</v>
      </c>
      <c r="D10028" t="s">
        <v>26</v>
      </c>
      <c r="E10028" s="208" t="s">
        <v>568</v>
      </c>
      <c r="F10028" t="s">
        <v>14</v>
      </c>
      <c r="G10028" s="18">
        <v>263</v>
      </c>
      <c r="H10028" s="151" t="s">
        <v>563</v>
      </c>
      <c r="I10028" t="s">
        <v>17</v>
      </c>
    </row>
    <row r="10029" spans="1:9" x14ac:dyDescent="0.25">
      <c r="A10029">
        <v>1825</v>
      </c>
      <c r="B10029">
        <f>A10029+1</f>
        <v>1826</v>
      </c>
      <c r="C10029" t="s">
        <v>531</v>
      </c>
      <c r="D10029" t="s">
        <v>26</v>
      </c>
      <c r="E10029" s="208" t="s">
        <v>568</v>
      </c>
      <c r="F10029" t="s">
        <v>15</v>
      </c>
      <c r="G10029" s="18">
        <v>930</v>
      </c>
      <c r="H10029" s="151" t="s">
        <v>563</v>
      </c>
      <c r="I10029" t="s">
        <v>561</v>
      </c>
    </row>
    <row r="10030" spans="1:9" x14ac:dyDescent="0.25">
      <c r="A10030">
        <v>1825</v>
      </c>
      <c r="B10030">
        <f>A10030+1</f>
        <v>1826</v>
      </c>
      <c r="C10030" t="s">
        <v>531</v>
      </c>
      <c r="D10030" t="s">
        <v>26</v>
      </c>
      <c r="E10030" s="208" t="s">
        <v>107</v>
      </c>
      <c r="F10030" t="s">
        <v>15</v>
      </c>
      <c r="G10030" s="18">
        <v>5105433</v>
      </c>
      <c r="H10030" s="151" t="s">
        <v>563</v>
      </c>
      <c r="I10030" t="s">
        <v>561</v>
      </c>
    </row>
    <row r="10031" spans="1:9" x14ac:dyDescent="0.25">
      <c r="A10031">
        <v>1825</v>
      </c>
      <c r="B10031">
        <f>A10031+1</f>
        <v>1826</v>
      </c>
      <c r="C10031" t="s">
        <v>531</v>
      </c>
      <c r="D10031" t="s">
        <v>26</v>
      </c>
      <c r="E10031" s="208" t="s">
        <v>101</v>
      </c>
      <c r="F10031" t="s">
        <v>15</v>
      </c>
      <c r="G10031" s="18">
        <v>9148659</v>
      </c>
      <c r="H10031" s="151" t="s">
        <v>563</v>
      </c>
      <c r="I10031" t="s">
        <v>561</v>
      </c>
    </row>
    <row r="10032" spans="1:9" x14ac:dyDescent="0.25">
      <c r="A10032">
        <v>1825</v>
      </c>
      <c r="B10032">
        <f>A10032+1</f>
        <v>1826</v>
      </c>
      <c r="C10032" t="s">
        <v>531</v>
      </c>
      <c r="D10032" t="s">
        <v>26</v>
      </c>
      <c r="E10032" s="208" t="s">
        <v>75</v>
      </c>
      <c r="F10032" t="s">
        <v>15</v>
      </c>
      <c r="G10032" s="18">
        <v>4660205</v>
      </c>
      <c r="H10032" s="151" t="s">
        <v>563</v>
      </c>
      <c r="I10032" t="s">
        <v>561</v>
      </c>
    </row>
    <row r="10033" spans="1:9" x14ac:dyDescent="0.25">
      <c r="A10033">
        <v>1825</v>
      </c>
      <c r="B10033">
        <f>A10033+1</f>
        <v>1826</v>
      </c>
      <c r="C10033" t="s">
        <v>531</v>
      </c>
      <c r="D10033" t="s">
        <v>26</v>
      </c>
      <c r="E10033" s="208" t="s">
        <v>66</v>
      </c>
      <c r="F10033" t="s">
        <v>15</v>
      </c>
      <c r="G10033" s="18">
        <v>114980</v>
      </c>
      <c r="H10033" s="151" t="s">
        <v>563</v>
      </c>
      <c r="I10033" t="s">
        <v>561</v>
      </c>
    </row>
    <row r="10034" spans="1:9" x14ac:dyDescent="0.25">
      <c r="A10034">
        <v>1825</v>
      </c>
      <c r="B10034">
        <f>A10034+1</f>
        <v>1826</v>
      </c>
      <c r="C10034" t="s">
        <v>531</v>
      </c>
      <c r="D10034" t="s">
        <v>26</v>
      </c>
      <c r="E10034" s="208" t="s">
        <v>330</v>
      </c>
      <c r="F10034" t="s">
        <v>15</v>
      </c>
      <c r="G10034" s="18">
        <v>635</v>
      </c>
      <c r="H10034" s="151" t="s">
        <v>563</v>
      </c>
      <c r="I10034" t="s">
        <v>561</v>
      </c>
    </row>
    <row r="10035" spans="1:9" x14ac:dyDescent="0.25">
      <c r="A10035">
        <v>1825</v>
      </c>
      <c r="B10035">
        <f>A10035+1</f>
        <v>1826</v>
      </c>
      <c r="C10035" t="s">
        <v>531</v>
      </c>
      <c r="D10035" t="s">
        <v>26</v>
      </c>
      <c r="E10035" s="208" t="s">
        <v>331</v>
      </c>
      <c r="F10035" t="s">
        <v>15</v>
      </c>
      <c r="G10035" s="18">
        <v>258</v>
      </c>
      <c r="H10035" s="151" t="s">
        <v>563</v>
      </c>
      <c r="I10035" t="s">
        <v>561</v>
      </c>
    </row>
    <row r="10036" spans="1:9" x14ac:dyDescent="0.25">
      <c r="A10036">
        <v>1825</v>
      </c>
      <c r="B10036">
        <f>A10036+1</f>
        <v>1826</v>
      </c>
      <c r="C10036" t="s">
        <v>531</v>
      </c>
      <c r="D10036" t="s">
        <v>26</v>
      </c>
      <c r="E10036" s="208" t="s">
        <v>332</v>
      </c>
      <c r="F10036" t="s">
        <v>15</v>
      </c>
      <c r="G10036" s="18">
        <v>64</v>
      </c>
      <c r="H10036" s="151" t="s">
        <v>563</v>
      </c>
      <c r="I10036" t="s">
        <v>561</v>
      </c>
    </row>
    <row r="10037" spans="1:9" x14ac:dyDescent="0.25">
      <c r="A10037">
        <v>1825</v>
      </c>
      <c r="B10037">
        <f>A10037+1</f>
        <v>1826</v>
      </c>
      <c r="C10037" t="s">
        <v>531</v>
      </c>
      <c r="D10037" t="s">
        <v>26</v>
      </c>
      <c r="E10037" s="208" t="s">
        <v>333</v>
      </c>
      <c r="F10037" t="s">
        <v>15</v>
      </c>
      <c r="G10037" s="18">
        <v>116</v>
      </c>
      <c r="H10037" s="151" t="s">
        <v>563</v>
      </c>
      <c r="I10037" t="s">
        <v>561</v>
      </c>
    </row>
    <row r="10038" spans="1:9" x14ac:dyDescent="0.25">
      <c r="A10038">
        <v>1825</v>
      </c>
      <c r="B10038">
        <f>A10038+1</f>
        <v>1826</v>
      </c>
      <c r="C10038" t="s">
        <v>531</v>
      </c>
      <c r="D10038" t="s">
        <v>26</v>
      </c>
      <c r="E10038" s="208" t="s">
        <v>32</v>
      </c>
      <c r="F10038" t="s">
        <v>15</v>
      </c>
      <c r="G10038" s="18">
        <v>14</v>
      </c>
      <c r="H10038" s="151" t="s">
        <v>563</v>
      </c>
      <c r="I10038" t="s">
        <v>561</v>
      </c>
    </row>
    <row r="10039" spans="1:9" x14ac:dyDescent="0.25">
      <c r="A10039">
        <v>1825</v>
      </c>
      <c r="B10039">
        <f>A10039+1</f>
        <v>1826</v>
      </c>
      <c r="C10039" t="s">
        <v>531</v>
      </c>
      <c r="D10039" t="s">
        <v>26</v>
      </c>
      <c r="E10039" s="208" t="s">
        <v>31</v>
      </c>
      <c r="F10039" t="s">
        <v>15</v>
      </c>
      <c r="G10039" s="18">
        <v>334</v>
      </c>
      <c r="H10039" s="151" t="s">
        <v>563</v>
      </c>
      <c r="I10039" t="s">
        <v>561</v>
      </c>
    </row>
    <row r="10040" spans="1:9" x14ac:dyDescent="0.25">
      <c r="A10040">
        <v>1825</v>
      </c>
      <c r="B10040">
        <f>A10040+1</f>
        <v>1826</v>
      </c>
      <c r="C10040" t="s">
        <v>531</v>
      </c>
      <c r="D10040" t="s">
        <v>26</v>
      </c>
      <c r="E10040" s="208" t="s">
        <v>110</v>
      </c>
      <c r="F10040" t="s">
        <v>15</v>
      </c>
      <c r="G10040" s="18">
        <v>36370</v>
      </c>
      <c r="H10040" s="151" t="s">
        <v>563</v>
      </c>
      <c r="I10040" t="s">
        <v>561</v>
      </c>
    </row>
    <row r="10041" spans="1:9" x14ac:dyDescent="0.25">
      <c r="A10041">
        <v>1825</v>
      </c>
      <c r="B10041">
        <f>A10041+1</f>
        <v>1826</v>
      </c>
      <c r="C10041" t="s">
        <v>531</v>
      </c>
      <c r="D10041" t="s">
        <v>26</v>
      </c>
      <c r="E10041" s="208" t="s">
        <v>103</v>
      </c>
      <c r="F10041" t="s">
        <v>15</v>
      </c>
      <c r="G10041" s="18">
        <v>15582</v>
      </c>
      <c r="H10041" s="151" t="s">
        <v>563</v>
      </c>
      <c r="I10041" t="s">
        <v>561</v>
      </c>
    </row>
    <row r="10042" spans="1:9" x14ac:dyDescent="0.25">
      <c r="A10042">
        <v>1825</v>
      </c>
      <c r="B10042">
        <f>A10042+1</f>
        <v>1826</v>
      </c>
      <c r="C10042" t="s">
        <v>531</v>
      </c>
      <c r="D10042" t="s">
        <v>26</v>
      </c>
      <c r="E10042" s="208" t="s">
        <v>497</v>
      </c>
      <c r="F10042" t="s">
        <v>15</v>
      </c>
      <c r="G10042" s="18">
        <v>80108</v>
      </c>
      <c r="H10042" s="151" t="s">
        <v>563</v>
      </c>
      <c r="I10042" t="s">
        <v>561</v>
      </c>
    </row>
    <row r="10043" spans="1:9" x14ac:dyDescent="0.25">
      <c r="A10043">
        <v>1825</v>
      </c>
      <c r="B10043">
        <f>A10043+1</f>
        <v>1826</v>
      </c>
      <c r="C10043" t="s">
        <v>531</v>
      </c>
      <c r="D10043" t="s">
        <v>26</v>
      </c>
      <c r="E10043" s="208" t="s">
        <v>501</v>
      </c>
      <c r="F10043" t="s">
        <v>15</v>
      </c>
      <c r="G10043" s="18">
        <v>48566</v>
      </c>
      <c r="H10043" s="151" t="s">
        <v>563</v>
      </c>
      <c r="I10043" t="s">
        <v>561</v>
      </c>
    </row>
    <row r="10044" spans="1:9" x14ac:dyDescent="0.25">
      <c r="A10044">
        <v>1825</v>
      </c>
      <c r="B10044">
        <f>A10044+1</f>
        <v>1826</v>
      </c>
      <c r="C10044" t="s">
        <v>531</v>
      </c>
      <c r="D10044" t="s">
        <v>26</v>
      </c>
      <c r="E10044" s="208" t="s">
        <v>111</v>
      </c>
      <c r="F10044" t="s">
        <v>15</v>
      </c>
      <c r="G10044" s="18">
        <v>2003</v>
      </c>
      <c r="H10044" s="151" t="s">
        <v>563</v>
      </c>
      <c r="I10044" t="s">
        <v>561</v>
      </c>
    </row>
    <row r="10045" spans="1:9" x14ac:dyDescent="0.25">
      <c r="A10045">
        <v>1825</v>
      </c>
      <c r="B10045">
        <f>A10045+1</f>
        <v>1826</v>
      </c>
      <c r="C10045" t="s">
        <v>531</v>
      </c>
      <c r="D10045" t="s">
        <v>26</v>
      </c>
      <c r="E10045" s="208" t="s">
        <v>49</v>
      </c>
      <c r="F10045" t="s">
        <v>15</v>
      </c>
      <c r="G10045" s="18">
        <v>54728</v>
      </c>
      <c r="H10045" s="151" t="s">
        <v>563</v>
      </c>
      <c r="I10045" t="s">
        <v>561</v>
      </c>
    </row>
    <row r="10046" spans="1:9" x14ac:dyDescent="0.25">
      <c r="A10046">
        <v>1825</v>
      </c>
      <c r="B10046">
        <f>A10046+1</f>
        <v>1826</v>
      </c>
      <c r="C10046" t="s">
        <v>531</v>
      </c>
      <c r="D10046" t="s">
        <v>26</v>
      </c>
      <c r="E10046" s="208" t="s">
        <v>499</v>
      </c>
      <c r="F10046" t="s">
        <v>15</v>
      </c>
      <c r="G10046" s="18">
        <v>691</v>
      </c>
      <c r="H10046" s="151" t="s">
        <v>563</v>
      </c>
      <c r="I10046" t="s">
        <v>561</v>
      </c>
    </row>
    <row r="10047" spans="1:9" x14ac:dyDescent="0.25">
      <c r="A10047">
        <v>1825</v>
      </c>
      <c r="B10047">
        <f>A10047+1</f>
        <v>1826</v>
      </c>
      <c r="C10047" t="s">
        <v>531</v>
      </c>
      <c r="D10047" t="s">
        <v>26</v>
      </c>
      <c r="E10047" s="208" t="s">
        <v>500</v>
      </c>
      <c r="F10047" t="s">
        <v>15</v>
      </c>
      <c r="G10047" s="18">
        <v>61</v>
      </c>
      <c r="H10047" s="151" t="s">
        <v>563</v>
      </c>
      <c r="I10047" t="s">
        <v>561</v>
      </c>
    </row>
    <row r="10048" spans="1:9" x14ac:dyDescent="0.25">
      <c r="A10048">
        <v>1825</v>
      </c>
      <c r="B10048">
        <f>A10048+1</f>
        <v>1826</v>
      </c>
      <c r="C10048" t="s">
        <v>531</v>
      </c>
      <c r="D10048" t="s">
        <v>26</v>
      </c>
      <c r="E10048" s="208" t="s">
        <v>566</v>
      </c>
      <c r="F10048" t="s">
        <v>3</v>
      </c>
      <c r="G10048" s="18">
        <v>138</v>
      </c>
      <c r="H10048" t="s">
        <v>24</v>
      </c>
      <c r="I10048" t="s">
        <v>16</v>
      </c>
    </row>
    <row r="10049" spans="1:9" x14ac:dyDescent="0.25">
      <c r="A10049">
        <v>1825</v>
      </c>
      <c r="B10049">
        <f>A10049+1</f>
        <v>1826</v>
      </c>
      <c r="C10049" t="s">
        <v>531</v>
      </c>
      <c r="D10049" t="s">
        <v>26</v>
      </c>
      <c r="E10049" s="208" t="s">
        <v>566</v>
      </c>
      <c r="F10049" t="s">
        <v>6</v>
      </c>
      <c r="G10049" s="18">
        <v>0</v>
      </c>
      <c r="H10049" t="s">
        <v>25</v>
      </c>
      <c r="I10049" t="s">
        <v>16</v>
      </c>
    </row>
    <row r="10050" spans="1:9" x14ac:dyDescent="0.25">
      <c r="A10050">
        <v>1825</v>
      </c>
      <c r="B10050">
        <f>A10050+1</f>
        <v>1826</v>
      </c>
      <c r="C10050" t="s">
        <v>531</v>
      </c>
      <c r="D10050" t="s">
        <v>26</v>
      </c>
      <c r="E10050" s="208" t="s">
        <v>566</v>
      </c>
      <c r="F10050" t="s">
        <v>169</v>
      </c>
      <c r="G10050" s="18">
        <v>0</v>
      </c>
      <c r="H10050" t="s">
        <v>160</v>
      </c>
      <c r="I10050" t="s">
        <v>16</v>
      </c>
    </row>
    <row r="10051" spans="1:9" x14ac:dyDescent="0.25">
      <c r="A10051">
        <v>1825</v>
      </c>
      <c r="B10051">
        <f>A10051+1</f>
        <v>1826</v>
      </c>
      <c r="C10051" t="s">
        <v>531</v>
      </c>
      <c r="D10051" t="s">
        <v>26</v>
      </c>
      <c r="E10051" s="208" t="s">
        <v>566</v>
      </c>
      <c r="F10051" t="s">
        <v>4</v>
      </c>
      <c r="G10051" s="18">
        <v>0</v>
      </c>
      <c r="H10051" t="s">
        <v>23</v>
      </c>
      <c r="I10051" t="s">
        <v>16</v>
      </c>
    </row>
    <row r="10052" spans="1:9" x14ac:dyDescent="0.25">
      <c r="A10052">
        <v>1825</v>
      </c>
      <c r="B10052">
        <f>A10052+1</f>
        <v>1826</v>
      </c>
      <c r="C10052" t="s">
        <v>531</v>
      </c>
      <c r="D10052" t="s">
        <v>26</v>
      </c>
      <c r="E10052" s="208" t="s">
        <v>566</v>
      </c>
      <c r="F10052" t="s">
        <v>7</v>
      </c>
      <c r="G10052" s="18">
        <v>138</v>
      </c>
      <c r="H10052" s="151" t="s">
        <v>563</v>
      </c>
      <c r="I10052" t="s">
        <v>16</v>
      </c>
    </row>
    <row r="10053" spans="1:9" x14ac:dyDescent="0.25">
      <c r="A10053">
        <v>1825</v>
      </c>
      <c r="B10053">
        <f>A10053+1</f>
        <v>1826</v>
      </c>
      <c r="C10053" t="s">
        <v>531</v>
      </c>
      <c r="D10053" t="s">
        <v>26</v>
      </c>
      <c r="E10053" s="208" t="s">
        <v>566</v>
      </c>
      <c r="F10053" t="s">
        <v>10</v>
      </c>
      <c r="G10053" s="18">
        <v>35</v>
      </c>
      <c r="H10053" t="s">
        <v>24</v>
      </c>
      <c r="I10053" t="s">
        <v>17</v>
      </c>
    </row>
    <row r="10054" spans="1:9" x14ac:dyDescent="0.25">
      <c r="A10054">
        <v>1825</v>
      </c>
      <c r="B10054">
        <f>A10054+1</f>
        <v>1826</v>
      </c>
      <c r="C10054" t="s">
        <v>531</v>
      </c>
      <c r="D10054" t="s">
        <v>26</v>
      </c>
      <c r="E10054" s="208" t="s">
        <v>566</v>
      </c>
      <c r="F10054" t="s">
        <v>13</v>
      </c>
      <c r="G10054" s="18">
        <v>0</v>
      </c>
      <c r="H10054" t="s">
        <v>25</v>
      </c>
      <c r="I10054" t="s">
        <v>17</v>
      </c>
    </row>
    <row r="10055" spans="1:9" x14ac:dyDescent="0.25">
      <c r="A10055">
        <v>1825</v>
      </c>
      <c r="B10055">
        <f>A10055+1</f>
        <v>1826</v>
      </c>
      <c r="C10055" t="s">
        <v>531</v>
      </c>
      <c r="D10055" t="s">
        <v>26</v>
      </c>
      <c r="E10055" s="208" t="s">
        <v>566</v>
      </c>
      <c r="F10055" t="s">
        <v>164</v>
      </c>
      <c r="G10055" s="18">
        <v>0</v>
      </c>
      <c r="H10055" t="s">
        <v>160</v>
      </c>
      <c r="I10055" t="s">
        <v>17</v>
      </c>
    </row>
    <row r="10056" spans="1:9" x14ac:dyDescent="0.25">
      <c r="A10056">
        <v>1825</v>
      </c>
      <c r="B10056">
        <f>A10056+1</f>
        <v>1826</v>
      </c>
      <c r="C10056" t="s">
        <v>531</v>
      </c>
      <c r="D10056" t="s">
        <v>26</v>
      </c>
      <c r="E10056" s="208" t="s">
        <v>566</v>
      </c>
      <c r="F10056" t="s">
        <v>11</v>
      </c>
      <c r="G10056" s="18">
        <v>0</v>
      </c>
      <c r="H10056" t="s">
        <v>23</v>
      </c>
      <c r="I10056" t="s">
        <v>17</v>
      </c>
    </row>
    <row r="10057" spans="1:9" x14ac:dyDescent="0.25">
      <c r="A10057">
        <v>1825</v>
      </c>
      <c r="B10057">
        <f>A10057+1</f>
        <v>1826</v>
      </c>
      <c r="C10057" t="s">
        <v>531</v>
      </c>
      <c r="D10057" t="s">
        <v>26</v>
      </c>
      <c r="E10057" s="208" t="s">
        <v>566</v>
      </c>
      <c r="F10057" t="s">
        <v>14</v>
      </c>
      <c r="G10057" s="18">
        <v>35</v>
      </c>
      <c r="H10057" s="151" t="s">
        <v>563</v>
      </c>
      <c r="I10057" t="s">
        <v>17</v>
      </c>
    </row>
    <row r="10058" spans="1:9" x14ac:dyDescent="0.25">
      <c r="A10058">
        <v>1825</v>
      </c>
      <c r="B10058">
        <f>A10058+1</f>
        <v>1826</v>
      </c>
      <c r="C10058" t="s">
        <v>531</v>
      </c>
      <c r="D10058" t="s">
        <v>26</v>
      </c>
      <c r="E10058" s="208" t="s">
        <v>566</v>
      </c>
      <c r="F10058" t="s">
        <v>15</v>
      </c>
      <c r="G10058" s="18">
        <v>173</v>
      </c>
      <c r="H10058" s="151" t="s">
        <v>563</v>
      </c>
      <c r="I10058" t="s">
        <v>561</v>
      </c>
    </row>
    <row r="10059" spans="1:9" x14ac:dyDescent="0.25">
      <c r="A10059">
        <v>1826</v>
      </c>
      <c r="B10059" s="151">
        <v>1827</v>
      </c>
      <c r="C10059" s="151" t="s">
        <v>533</v>
      </c>
      <c r="D10059" s="151" t="s">
        <v>26</v>
      </c>
      <c r="E10059" s="151" t="s">
        <v>62</v>
      </c>
      <c r="F10059" t="s">
        <v>15</v>
      </c>
      <c r="G10059" s="18">
        <v>63229</v>
      </c>
      <c r="H10059" t="s">
        <v>24</v>
      </c>
      <c r="I10059" t="s">
        <v>16</v>
      </c>
    </row>
    <row r="10060" spans="1:9" x14ac:dyDescent="0.25">
      <c r="A10060">
        <v>1826</v>
      </c>
      <c r="B10060" s="151">
        <v>1827</v>
      </c>
      <c r="C10060" s="151" t="s">
        <v>533</v>
      </c>
      <c r="D10060" s="151" t="s">
        <v>26</v>
      </c>
      <c r="E10060" s="151" t="s">
        <v>40</v>
      </c>
      <c r="F10060" t="s">
        <v>15</v>
      </c>
      <c r="G10060" s="18">
        <v>830193</v>
      </c>
      <c r="H10060" t="s">
        <v>22</v>
      </c>
      <c r="I10060" t="s">
        <v>16</v>
      </c>
    </row>
    <row r="10061" spans="1:9" x14ac:dyDescent="0.25">
      <c r="A10061">
        <v>1826</v>
      </c>
      <c r="B10061" s="151">
        <v>1827</v>
      </c>
      <c r="C10061" s="151" t="s">
        <v>533</v>
      </c>
      <c r="D10061" s="151" t="s">
        <v>26</v>
      </c>
      <c r="E10061" s="151" t="s">
        <v>55</v>
      </c>
      <c r="F10061" t="s">
        <v>15</v>
      </c>
      <c r="G10061" s="18">
        <v>8935</v>
      </c>
      <c r="H10061" t="s">
        <v>25</v>
      </c>
      <c r="I10061" t="s">
        <v>16</v>
      </c>
    </row>
    <row r="10062" spans="1:9" x14ac:dyDescent="0.25">
      <c r="A10062">
        <v>1826</v>
      </c>
      <c r="B10062" s="151">
        <v>1827</v>
      </c>
      <c r="C10062" s="151" t="s">
        <v>533</v>
      </c>
      <c r="D10062" s="151" t="s">
        <v>26</v>
      </c>
      <c r="E10062" s="151" t="s">
        <v>98</v>
      </c>
      <c r="F10062" t="s">
        <v>15</v>
      </c>
      <c r="G10062" s="18">
        <v>1221034</v>
      </c>
      <c r="H10062" t="s">
        <v>160</v>
      </c>
      <c r="I10062" t="s">
        <v>16</v>
      </c>
    </row>
    <row r="10063" spans="1:9" x14ac:dyDescent="0.25">
      <c r="A10063">
        <v>1826</v>
      </c>
      <c r="B10063">
        <v>1827</v>
      </c>
      <c r="C10063" s="151" t="s">
        <v>533</v>
      </c>
      <c r="D10063" s="151" t="s">
        <v>26</v>
      </c>
      <c r="E10063" t="s">
        <v>53</v>
      </c>
      <c r="F10063" t="s">
        <v>15</v>
      </c>
      <c r="G10063" s="18">
        <v>39531</v>
      </c>
      <c r="H10063" s="151" t="s">
        <v>563</v>
      </c>
      <c r="I10063" t="s">
        <v>16</v>
      </c>
    </row>
    <row r="10064" spans="1:9" x14ac:dyDescent="0.25">
      <c r="A10064">
        <v>1826</v>
      </c>
      <c r="B10064">
        <v>1827</v>
      </c>
      <c r="C10064" s="151" t="s">
        <v>533</v>
      </c>
      <c r="D10064" s="151" t="s">
        <v>26</v>
      </c>
      <c r="E10064" t="s">
        <v>662</v>
      </c>
      <c r="F10064" t="s">
        <v>15</v>
      </c>
      <c r="G10064" s="18">
        <v>87213</v>
      </c>
      <c r="H10064" t="s">
        <v>24</v>
      </c>
      <c r="I10064" t="s">
        <v>17</v>
      </c>
    </row>
    <row r="10065" spans="1:9" x14ac:dyDescent="0.25">
      <c r="A10065">
        <v>1826</v>
      </c>
      <c r="B10065">
        <v>1827</v>
      </c>
      <c r="C10065" s="151" t="s">
        <v>533</v>
      </c>
      <c r="D10065" s="151" t="s">
        <v>26</v>
      </c>
      <c r="E10065" t="s">
        <v>663</v>
      </c>
      <c r="F10065" t="s">
        <v>15</v>
      </c>
      <c r="G10065" s="18">
        <v>66766</v>
      </c>
      <c r="H10065" t="s">
        <v>25</v>
      </c>
      <c r="I10065" t="s">
        <v>17</v>
      </c>
    </row>
    <row r="10066" spans="1:9" x14ac:dyDescent="0.25">
      <c r="A10066">
        <v>1826</v>
      </c>
      <c r="B10066">
        <v>1827</v>
      </c>
      <c r="C10066" s="151" t="s">
        <v>533</v>
      </c>
      <c r="D10066" s="151" t="s">
        <v>26</v>
      </c>
      <c r="E10066" t="s">
        <v>105</v>
      </c>
      <c r="F10066" t="s">
        <v>15</v>
      </c>
      <c r="G10066" s="18">
        <v>3629602</v>
      </c>
      <c r="H10066" t="s">
        <v>160</v>
      </c>
      <c r="I10066" t="s">
        <v>17</v>
      </c>
    </row>
    <row r="10067" spans="1:9" x14ac:dyDescent="0.25">
      <c r="A10067">
        <v>1826</v>
      </c>
      <c r="B10067">
        <v>1827</v>
      </c>
      <c r="C10067" s="151" t="s">
        <v>533</v>
      </c>
      <c r="D10067" s="151" t="s">
        <v>26</v>
      </c>
      <c r="E10067" t="s">
        <v>106</v>
      </c>
      <c r="F10067" t="s">
        <v>15</v>
      </c>
      <c r="G10067" s="18">
        <v>1807100</v>
      </c>
      <c r="H10067" s="151" t="s">
        <v>563</v>
      </c>
      <c r="I10067" t="s">
        <v>17</v>
      </c>
    </row>
    <row r="10068" spans="1:9" x14ac:dyDescent="0.25">
      <c r="A10068">
        <v>1826</v>
      </c>
      <c r="B10068">
        <v>1827</v>
      </c>
      <c r="C10068" s="151" t="s">
        <v>533</v>
      </c>
      <c r="D10068" s="151" t="s">
        <v>26</v>
      </c>
      <c r="E10068" t="s">
        <v>107</v>
      </c>
      <c r="F10068" t="s">
        <v>15</v>
      </c>
      <c r="G10068" s="18">
        <v>5436702</v>
      </c>
      <c r="H10068" s="151" t="s">
        <v>563</v>
      </c>
      <c r="I10068" t="s">
        <v>561</v>
      </c>
    </row>
    <row r="10069" spans="1:9" x14ac:dyDescent="0.25">
      <c r="A10069">
        <v>1826</v>
      </c>
      <c r="B10069">
        <v>1827</v>
      </c>
      <c r="C10069" s="151" t="s">
        <v>533</v>
      </c>
      <c r="D10069" s="151" t="s">
        <v>26</v>
      </c>
      <c r="E10069" t="s">
        <v>75</v>
      </c>
      <c r="F10069" t="s">
        <v>15</v>
      </c>
      <c r="G10069" s="18">
        <v>8630145</v>
      </c>
      <c r="H10069" t="s">
        <v>24</v>
      </c>
      <c r="I10069" t="s">
        <v>16</v>
      </c>
    </row>
    <row r="10070" spans="1:9" x14ac:dyDescent="0.25">
      <c r="A10070">
        <v>1826</v>
      </c>
      <c r="B10070">
        <v>1827</v>
      </c>
      <c r="C10070" s="151" t="s">
        <v>533</v>
      </c>
      <c r="D10070" s="151" t="s">
        <v>26</v>
      </c>
      <c r="E10070" t="s">
        <v>101</v>
      </c>
      <c r="F10070" t="s">
        <v>15</v>
      </c>
      <c r="G10070" s="18">
        <v>6578604</v>
      </c>
      <c r="H10070" t="s">
        <v>22</v>
      </c>
      <c r="I10070" t="s">
        <v>16</v>
      </c>
    </row>
    <row r="10071" spans="1:9" x14ac:dyDescent="0.25">
      <c r="A10071">
        <v>1826</v>
      </c>
      <c r="B10071">
        <v>1827</v>
      </c>
      <c r="C10071" s="151" t="s">
        <v>533</v>
      </c>
      <c r="D10071" s="151" t="s">
        <v>26</v>
      </c>
      <c r="E10071" t="s">
        <v>66</v>
      </c>
      <c r="F10071" t="s">
        <v>15</v>
      </c>
      <c r="G10071" s="18">
        <v>115010</v>
      </c>
      <c r="H10071" t="s">
        <v>25</v>
      </c>
      <c r="I10071" t="s">
        <v>16</v>
      </c>
    </row>
    <row r="10072" spans="1:9" x14ac:dyDescent="0.25">
      <c r="A10072">
        <v>1826</v>
      </c>
      <c r="B10072">
        <v>1827</v>
      </c>
      <c r="C10072" s="151" t="s">
        <v>533</v>
      </c>
      <c r="D10072" s="151" t="s">
        <v>26</v>
      </c>
      <c r="E10072" t="s">
        <v>330</v>
      </c>
      <c r="F10072" t="s">
        <v>15</v>
      </c>
      <c r="G10072" s="18">
        <v>386</v>
      </c>
      <c r="H10072" t="s">
        <v>160</v>
      </c>
      <c r="I10072" t="s">
        <v>16</v>
      </c>
    </row>
    <row r="10073" spans="1:9" x14ac:dyDescent="0.25">
      <c r="A10073">
        <v>1826</v>
      </c>
      <c r="B10073">
        <v>1827</v>
      </c>
      <c r="C10073" s="151" t="s">
        <v>533</v>
      </c>
      <c r="D10073" s="151" t="s">
        <v>26</v>
      </c>
      <c r="E10073" t="s">
        <v>331</v>
      </c>
      <c r="F10073" t="s">
        <v>15</v>
      </c>
      <c r="G10073" s="18">
        <v>315</v>
      </c>
      <c r="H10073" s="151" t="s">
        <v>563</v>
      </c>
      <c r="I10073" t="s">
        <v>16</v>
      </c>
    </row>
    <row r="10074" spans="1:9" x14ac:dyDescent="0.25">
      <c r="A10074">
        <v>1826</v>
      </c>
      <c r="B10074">
        <v>1827</v>
      </c>
      <c r="C10074" s="151" t="s">
        <v>533</v>
      </c>
      <c r="D10074" s="151" t="s">
        <v>26</v>
      </c>
      <c r="E10074" t="s">
        <v>332</v>
      </c>
      <c r="F10074" t="s">
        <v>15</v>
      </c>
      <c r="G10074" s="18">
        <v>48</v>
      </c>
      <c r="H10074" t="s">
        <v>24</v>
      </c>
      <c r="I10074" t="s">
        <v>17</v>
      </c>
    </row>
    <row r="10075" spans="1:9" x14ac:dyDescent="0.25">
      <c r="A10075">
        <v>1826</v>
      </c>
      <c r="B10075">
        <v>1827</v>
      </c>
      <c r="C10075" s="151" t="s">
        <v>533</v>
      </c>
      <c r="D10075" s="151" t="s">
        <v>26</v>
      </c>
      <c r="E10075" t="s">
        <v>333</v>
      </c>
      <c r="F10075" t="s">
        <v>15</v>
      </c>
      <c r="G10075" s="18">
        <v>54</v>
      </c>
      <c r="H10075" t="s">
        <v>25</v>
      </c>
      <c r="I10075" t="s">
        <v>17</v>
      </c>
    </row>
    <row r="10076" spans="1:9" x14ac:dyDescent="0.25">
      <c r="A10076">
        <v>1827</v>
      </c>
      <c r="B10076">
        <f>A10076+1</f>
        <v>1828</v>
      </c>
      <c r="C10076" t="s">
        <v>532</v>
      </c>
      <c r="D10076" t="s">
        <v>26</v>
      </c>
      <c r="E10076" s="208" t="s">
        <v>573</v>
      </c>
      <c r="F10076" t="s">
        <v>3</v>
      </c>
      <c r="G10076" s="18">
        <v>38710</v>
      </c>
      <c r="H10076" t="s">
        <v>160</v>
      </c>
      <c r="I10076" t="s">
        <v>17</v>
      </c>
    </row>
    <row r="10077" spans="1:9" x14ac:dyDescent="0.25">
      <c r="A10077">
        <v>1827</v>
      </c>
      <c r="B10077">
        <f>A10077+1</f>
        <v>1828</v>
      </c>
      <c r="C10077" t="s">
        <v>532</v>
      </c>
      <c r="D10077" t="s">
        <v>26</v>
      </c>
      <c r="E10077" s="208" t="s">
        <v>573</v>
      </c>
      <c r="F10077" t="s">
        <v>2</v>
      </c>
      <c r="G10077" s="18">
        <v>0</v>
      </c>
      <c r="H10077" s="151" t="s">
        <v>563</v>
      </c>
      <c r="I10077" t="s">
        <v>17</v>
      </c>
    </row>
    <row r="10078" spans="1:9" x14ac:dyDescent="0.25">
      <c r="A10078">
        <v>1827</v>
      </c>
      <c r="B10078">
        <f>A10078+1</f>
        <v>1828</v>
      </c>
      <c r="C10078" t="s">
        <v>532</v>
      </c>
      <c r="D10078" t="s">
        <v>26</v>
      </c>
      <c r="E10078" s="208" t="s">
        <v>573</v>
      </c>
      <c r="F10078" t="s">
        <v>6</v>
      </c>
      <c r="G10078" s="18">
        <v>0</v>
      </c>
      <c r="H10078" s="151" t="s">
        <v>563</v>
      </c>
      <c r="I10078" t="s">
        <v>561</v>
      </c>
    </row>
    <row r="10079" spans="1:9" x14ac:dyDescent="0.25">
      <c r="A10079">
        <v>1827</v>
      </c>
      <c r="B10079">
        <f>A10079+1</f>
        <v>1828</v>
      </c>
      <c r="C10079" t="s">
        <v>532</v>
      </c>
      <c r="D10079" t="s">
        <v>26</v>
      </c>
      <c r="E10079" s="208" t="s">
        <v>573</v>
      </c>
      <c r="F10079" t="s">
        <v>169</v>
      </c>
      <c r="G10079" s="18">
        <v>0</v>
      </c>
      <c r="H10079" t="s">
        <v>24</v>
      </c>
      <c r="I10079" t="s">
        <v>16</v>
      </c>
    </row>
    <row r="10080" spans="1:9" x14ac:dyDescent="0.25">
      <c r="A10080">
        <v>1827</v>
      </c>
      <c r="B10080">
        <f>A10080+1</f>
        <v>1828</v>
      </c>
      <c r="C10080" t="s">
        <v>532</v>
      </c>
      <c r="D10080" t="s">
        <v>26</v>
      </c>
      <c r="E10080" s="208" t="s">
        <v>573</v>
      </c>
      <c r="F10080" t="s">
        <v>7</v>
      </c>
      <c r="G10080" s="18">
        <v>38710</v>
      </c>
      <c r="H10080" t="s">
        <v>22</v>
      </c>
      <c r="I10080" t="s">
        <v>16</v>
      </c>
    </row>
    <row r="10081" spans="1:9" x14ac:dyDescent="0.25">
      <c r="A10081">
        <v>1827</v>
      </c>
      <c r="B10081">
        <f>A10081+1</f>
        <v>1828</v>
      </c>
      <c r="C10081" t="s">
        <v>532</v>
      </c>
      <c r="D10081" t="s">
        <v>26</v>
      </c>
      <c r="E10081" s="208" t="s">
        <v>573</v>
      </c>
      <c r="F10081" t="s">
        <v>10</v>
      </c>
      <c r="G10081" s="18">
        <v>346164</v>
      </c>
      <c r="H10081" t="s">
        <v>25</v>
      </c>
      <c r="I10081" t="s">
        <v>16</v>
      </c>
    </row>
    <row r="10082" spans="1:9" x14ac:dyDescent="0.25">
      <c r="A10082">
        <v>1827</v>
      </c>
      <c r="B10082">
        <f>A10082+1</f>
        <v>1828</v>
      </c>
      <c r="C10082" t="s">
        <v>532</v>
      </c>
      <c r="D10082" t="s">
        <v>26</v>
      </c>
      <c r="E10082" s="208" t="s">
        <v>573</v>
      </c>
      <c r="F10082" t="s">
        <v>13</v>
      </c>
      <c r="G10082" s="18">
        <v>0</v>
      </c>
      <c r="H10082" t="s">
        <v>160</v>
      </c>
      <c r="I10082" t="s">
        <v>16</v>
      </c>
    </row>
    <row r="10083" spans="1:9" x14ac:dyDescent="0.25">
      <c r="A10083">
        <v>1827</v>
      </c>
      <c r="B10083">
        <f>A10083+1</f>
        <v>1828</v>
      </c>
      <c r="C10083" t="s">
        <v>532</v>
      </c>
      <c r="D10083" t="s">
        <v>26</v>
      </c>
      <c r="E10083" s="208" t="s">
        <v>573</v>
      </c>
      <c r="F10083" t="s">
        <v>164</v>
      </c>
      <c r="G10083" s="18">
        <v>0</v>
      </c>
      <c r="H10083" t="s">
        <v>16</v>
      </c>
      <c r="I10083" t="s">
        <v>24</v>
      </c>
    </row>
    <row r="10084" spans="1:9" x14ac:dyDescent="0.25">
      <c r="A10084">
        <v>1827</v>
      </c>
      <c r="B10084">
        <f>A10084+1</f>
        <v>1828</v>
      </c>
      <c r="C10084" t="s">
        <v>532</v>
      </c>
      <c r="D10084" t="s">
        <v>26</v>
      </c>
      <c r="E10084" s="208" t="s">
        <v>573</v>
      </c>
      <c r="F10084" t="s">
        <v>14</v>
      </c>
      <c r="G10084" s="18">
        <v>346164</v>
      </c>
      <c r="H10084" t="s">
        <v>16</v>
      </c>
      <c r="I10084" t="s">
        <v>24</v>
      </c>
    </row>
    <row r="10085" spans="1:9" x14ac:dyDescent="0.25">
      <c r="A10085">
        <v>1827</v>
      </c>
      <c r="B10085">
        <f>A10085+1</f>
        <v>1828</v>
      </c>
      <c r="C10085" t="s">
        <v>532</v>
      </c>
      <c r="D10085" t="s">
        <v>26</v>
      </c>
      <c r="E10085" s="208" t="s">
        <v>573</v>
      </c>
      <c r="F10085" t="s">
        <v>15</v>
      </c>
      <c r="G10085" s="18">
        <v>384874</v>
      </c>
      <c r="H10085" t="s">
        <v>16</v>
      </c>
      <c r="I10085" t="s">
        <v>24</v>
      </c>
    </row>
    <row r="10086" spans="1:9" x14ac:dyDescent="0.25">
      <c r="A10086">
        <v>1827</v>
      </c>
      <c r="B10086">
        <f>A10086+1</f>
        <v>1828</v>
      </c>
      <c r="C10086" t="s">
        <v>532</v>
      </c>
      <c r="D10086" t="s">
        <v>26</v>
      </c>
      <c r="E10086" s="208" t="s">
        <v>567</v>
      </c>
      <c r="F10086" t="s">
        <v>3</v>
      </c>
      <c r="G10086" s="18">
        <v>26581</v>
      </c>
      <c r="H10086" t="s">
        <v>16</v>
      </c>
      <c r="I10086" t="s">
        <v>24</v>
      </c>
    </row>
    <row r="10087" spans="1:9" x14ac:dyDescent="0.25">
      <c r="A10087">
        <v>1827</v>
      </c>
      <c r="B10087">
        <f>A10087+1</f>
        <v>1828</v>
      </c>
      <c r="C10087" t="s">
        <v>532</v>
      </c>
      <c r="D10087" t="s">
        <v>26</v>
      </c>
      <c r="E10087" s="208" t="s">
        <v>567</v>
      </c>
      <c r="F10087" t="s">
        <v>2</v>
      </c>
      <c r="G10087" s="18">
        <v>0</v>
      </c>
      <c r="H10087" t="s">
        <v>16</v>
      </c>
      <c r="I10087" t="s">
        <v>24</v>
      </c>
    </row>
    <row r="10088" spans="1:9" x14ac:dyDescent="0.25">
      <c r="A10088">
        <v>1827</v>
      </c>
      <c r="B10088">
        <f>A10088+1</f>
        <v>1828</v>
      </c>
      <c r="C10088" t="s">
        <v>532</v>
      </c>
      <c r="D10088" t="s">
        <v>26</v>
      </c>
      <c r="E10088" s="208" t="s">
        <v>567</v>
      </c>
      <c r="F10088" t="s">
        <v>6</v>
      </c>
      <c r="G10088" s="18">
        <v>0</v>
      </c>
      <c r="H10088" t="s">
        <v>16</v>
      </c>
      <c r="I10088" t="s">
        <v>24</v>
      </c>
    </row>
    <row r="10089" spans="1:9" x14ac:dyDescent="0.25">
      <c r="A10089">
        <v>1827</v>
      </c>
      <c r="B10089">
        <f>A10089+1</f>
        <v>1828</v>
      </c>
      <c r="C10089" t="s">
        <v>532</v>
      </c>
      <c r="D10089" t="s">
        <v>26</v>
      </c>
      <c r="E10089" s="208" t="s">
        <v>567</v>
      </c>
      <c r="F10089" t="s">
        <v>169</v>
      </c>
      <c r="G10089" s="18">
        <v>17440</v>
      </c>
      <c r="H10089" t="s">
        <v>16</v>
      </c>
      <c r="I10089" t="s">
        <v>24</v>
      </c>
    </row>
    <row r="10090" spans="1:9" x14ac:dyDescent="0.25">
      <c r="A10090">
        <v>1827</v>
      </c>
      <c r="B10090">
        <f>A10090+1</f>
        <v>1828</v>
      </c>
      <c r="C10090" t="s">
        <v>532</v>
      </c>
      <c r="D10090" t="s">
        <v>26</v>
      </c>
      <c r="E10090" s="208" t="s">
        <v>567</v>
      </c>
      <c r="F10090" t="s">
        <v>7</v>
      </c>
      <c r="G10090" s="18">
        <v>44021</v>
      </c>
      <c r="H10090" t="s">
        <v>16</v>
      </c>
      <c r="I10090" t="s">
        <v>24</v>
      </c>
    </row>
    <row r="10091" spans="1:9" x14ac:dyDescent="0.25">
      <c r="A10091">
        <v>1827</v>
      </c>
      <c r="B10091">
        <f>A10091+1</f>
        <v>1828</v>
      </c>
      <c r="C10091" t="s">
        <v>532</v>
      </c>
      <c r="D10091" t="s">
        <v>26</v>
      </c>
      <c r="E10091" s="208" t="s">
        <v>567</v>
      </c>
      <c r="F10091" t="s">
        <v>10</v>
      </c>
      <c r="G10091" s="18">
        <v>7541</v>
      </c>
      <c r="H10091" t="s">
        <v>16</v>
      </c>
      <c r="I10091" t="s">
        <v>24</v>
      </c>
    </row>
    <row r="10092" spans="1:9" x14ac:dyDescent="0.25">
      <c r="A10092">
        <v>1827</v>
      </c>
      <c r="B10092">
        <f>A10092+1</f>
        <v>1828</v>
      </c>
      <c r="C10092" t="s">
        <v>532</v>
      </c>
      <c r="D10092" t="s">
        <v>26</v>
      </c>
      <c r="E10092" s="208" t="s">
        <v>567</v>
      </c>
      <c r="F10092" t="s">
        <v>13</v>
      </c>
      <c r="G10092" s="18">
        <v>0</v>
      </c>
      <c r="H10092" t="s">
        <v>16</v>
      </c>
      <c r="I10092" t="s">
        <v>24</v>
      </c>
    </row>
    <row r="10093" spans="1:9" x14ac:dyDescent="0.25">
      <c r="A10093">
        <v>1827</v>
      </c>
      <c r="B10093">
        <f>A10093+1</f>
        <v>1828</v>
      </c>
      <c r="C10093" t="s">
        <v>532</v>
      </c>
      <c r="D10093" t="s">
        <v>26</v>
      </c>
      <c r="E10093" s="208" t="s">
        <v>567</v>
      </c>
      <c r="F10093" t="s">
        <v>164</v>
      </c>
      <c r="G10093" s="18">
        <v>41782</v>
      </c>
      <c r="H10093" t="s">
        <v>16</v>
      </c>
      <c r="I10093" t="s">
        <v>24</v>
      </c>
    </row>
    <row r="10094" spans="1:9" x14ac:dyDescent="0.25">
      <c r="A10094">
        <v>1827</v>
      </c>
      <c r="B10094">
        <f>A10094+1</f>
        <v>1828</v>
      </c>
      <c r="C10094" t="s">
        <v>532</v>
      </c>
      <c r="D10094" t="s">
        <v>26</v>
      </c>
      <c r="E10094" s="208" t="s">
        <v>567</v>
      </c>
      <c r="F10094" t="s">
        <v>14</v>
      </c>
      <c r="G10094" s="18">
        <v>49323</v>
      </c>
      <c r="H10094" t="s">
        <v>16</v>
      </c>
      <c r="I10094" t="s">
        <v>24</v>
      </c>
    </row>
    <row r="10095" spans="1:9" x14ac:dyDescent="0.25">
      <c r="A10095">
        <v>1827</v>
      </c>
      <c r="B10095">
        <f>A10095+1</f>
        <v>1828</v>
      </c>
      <c r="C10095" t="s">
        <v>532</v>
      </c>
      <c r="D10095" t="s">
        <v>26</v>
      </c>
      <c r="E10095" s="208" t="s">
        <v>567</v>
      </c>
      <c r="F10095" t="s">
        <v>15</v>
      </c>
      <c r="G10095" s="18">
        <v>93344</v>
      </c>
      <c r="H10095" t="s">
        <v>16</v>
      </c>
      <c r="I10095" t="s">
        <v>24</v>
      </c>
    </row>
    <row r="10096" spans="1:9" x14ac:dyDescent="0.25">
      <c r="A10096">
        <v>1827</v>
      </c>
      <c r="B10096">
        <f>A10096+1</f>
        <v>1828</v>
      </c>
      <c r="C10096" t="s">
        <v>532</v>
      </c>
      <c r="D10096" t="s">
        <v>26</v>
      </c>
      <c r="E10096" s="208" t="s">
        <v>568</v>
      </c>
      <c r="F10096" t="s">
        <v>3</v>
      </c>
      <c r="G10096" s="18">
        <v>836</v>
      </c>
      <c r="H10096" t="s">
        <v>16</v>
      </c>
      <c r="I10096" t="s">
        <v>24</v>
      </c>
    </row>
    <row r="10097" spans="1:9" x14ac:dyDescent="0.25">
      <c r="A10097">
        <v>1827</v>
      </c>
      <c r="B10097">
        <f>A10097+1</f>
        <v>1828</v>
      </c>
      <c r="C10097" t="s">
        <v>532</v>
      </c>
      <c r="D10097" t="s">
        <v>26</v>
      </c>
      <c r="E10097" s="208" t="s">
        <v>568</v>
      </c>
      <c r="F10097" t="s">
        <v>2</v>
      </c>
      <c r="G10097" s="18">
        <v>0</v>
      </c>
      <c r="H10097" t="s">
        <v>16</v>
      </c>
      <c r="I10097" t="s">
        <v>24</v>
      </c>
    </row>
    <row r="10098" spans="1:9" x14ac:dyDescent="0.25">
      <c r="A10098">
        <v>1827</v>
      </c>
      <c r="B10098">
        <f>A10098+1</f>
        <v>1828</v>
      </c>
      <c r="C10098" t="s">
        <v>532</v>
      </c>
      <c r="D10098" t="s">
        <v>26</v>
      </c>
      <c r="E10098" s="208" t="s">
        <v>568</v>
      </c>
      <c r="F10098" t="s">
        <v>6</v>
      </c>
      <c r="G10098" s="18">
        <v>0</v>
      </c>
      <c r="H10098" t="s">
        <v>16</v>
      </c>
      <c r="I10098" t="s">
        <v>24</v>
      </c>
    </row>
    <row r="10099" spans="1:9" x14ac:dyDescent="0.25">
      <c r="A10099">
        <v>1827</v>
      </c>
      <c r="B10099">
        <f>A10099+1</f>
        <v>1828</v>
      </c>
      <c r="C10099" t="s">
        <v>532</v>
      </c>
      <c r="D10099" t="s">
        <v>26</v>
      </c>
      <c r="E10099" s="208" t="s">
        <v>568</v>
      </c>
      <c r="F10099" t="s">
        <v>169</v>
      </c>
      <c r="G10099" s="18">
        <v>0</v>
      </c>
      <c r="H10099" t="s">
        <v>16</v>
      </c>
      <c r="I10099" t="s">
        <v>24</v>
      </c>
    </row>
    <row r="10100" spans="1:9" x14ac:dyDescent="0.25">
      <c r="A10100">
        <v>1827</v>
      </c>
      <c r="B10100">
        <f>A10100+1</f>
        <v>1828</v>
      </c>
      <c r="C10100" t="s">
        <v>532</v>
      </c>
      <c r="D10100" t="s">
        <v>27</v>
      </c>
      <c r="E10100" s="208" t="s">
        <v>155</v>
      </c>
      <c r="F10100" t="s">
        <v>3</v>
      </c>
      <c r="G10100" s="18">
        <v>136</v>
      </c>
      <c r="H10100" t="s">
        <v>16</v>
      </c>
      <c r="I10100" t="s">
        <v>24</v>
      </c>
    </row>
    <row r="10101" spans="1:9" x14ac:dyDescent="0.25">
      <c r="A10101">
        <v>1827</v>
      </c>
      <c r="B10101">
        <f>A10101+1</f>
        <v>1828</v>
      </c>
      <c r="C10101" t="s">
        <v>532</v>
      </c>
      <c r="D10101" t="s">
        <v>27</v>
      </c>
      <c r="E10101" s="208" t="s">
        <v>156</v>
      </c>
      <c r="F10101" t="s">
        <v>3</v>
      </c>
      <c r="G10101" s="18">
        <v>81</v>
      </c>
      <c r="H10101" t="s">
        <v>16</v>
      </c>
      <c r="I10101" t="s">
        <v>24</v>
      </c>
    </row>
    <row r="10102" spans="1:9" x14ac:dyDescent="0.25">
      <c r="A10102">
        <v>1827</v>
      </c>
      <c r="B10102">
        <f>A10102+1</f>
        <v>1828</v>
      </c>
      <c r="C10102" t="s">
        <v>532</v>
      </c>
      <c r="D10102" t="s">
        <v>27</v>
      </c>
      <c r="E10102" s="208" t="s">
        <v>154</v>
      </c>
      <c r="F10102" t="s">
        <v>3</v>
      </c>
      <c r="G10102" s="18">
        <v>579</v>
      </c>
      <c r="H10102" t="s">
        <v>16</v>
      </c>
      <c r="I10102" t="s">
        <v>24</v>
      </c>
    </row>
    <row r="10103" spans="1:9" x14ac:dyDescent="0.25">
      <c r="A10103">
        <v>1827</v>
      </c>
      <c r="B10103">
        <f>A10103+1</f>
        <v>1828</v>
      </c>
      <c r="C10103" t="s">
        <v>532</v>
      </c>
      <c r="D10103" t="s">
        <v>27</v>
      </c>
      <c r="E10103" s="208" t="s">
        <v>150</v>
      </c>
      <c r="F10103" t="s">
        <v>3</v>
      </c>
      <c r="G10103" s="18">
        <v>871</v>
      </c>
      <c r="H10103" t="s">
        <v>16</v>
      </c>
      <c r="I10103" t="s">
        <v>24</v>
      </c>
    </row>
    <row r="10104" spans="1:9" x14ac:dyDescent="0.25">
      <c r="A10104">
        <v>1827</v>
      </c>
      <c r="B10104">
        <f>A10104+1</f>
        <v>1828</v>
      </c>
      <c r="C10104" t="s">
        <v>532</v>
      </c>
      <c r="D10104" t="s">
        <v>27</v>
      </c>
      <c r="E10104" s="208" t="s">
        <v>148</v>
      </c>
      <c r="F10104" t="s">
        <v>3</v>
      </c>
      <c r="G10104" s="18">
        <v>69</v>
      </c>
      <c r="H10104" t="s">
        <v>16</v>
      </c>
      <c r="I10104" t="s">
        <v>24</v>
      </c>
    </row>
    <row r="10105" spans="1:9" x14ac:dyDescent="0.25">
      <c r="A10105">
        <v>1827</v>
      </c>
      <c r="B10105">
        <f>A10105+1</f>
        <v>1828</v>
      </c>
      <c r="C10105" t="s">
        <v>532</v>
      </c>
      <c r="D10105" t="s">
        <v>27</v>
      </c>
      <c r="E10105" s="208" t="s">
        <v>147</v>
      </c>
      <c r="F10105" t="s">
        <v>3</v>
      </c>
      <c r="G10105" s="18">
        <v>87</v>
      </c>
      <c r="H10105" t="s">
        <v>16</v>
      </c>
      <c r="I10105" t="s">
        <v>24</v>
      </c>
    </row>
    <row r="10106" spans="1:9" x14ac:dyDescent="0.25">
      <c r="A10106">
        <v>1827</v>
      </c>
      <c r="B10106">
        <f>A10106+1</f>
        <v>1828</v>
      </c>
      <c r="C10106" t="s">
        <v>532</v>
      </c>
      <c r="D10106" t="s">
        <v>27</v>
      </c>
      <c r="E10106" s="208" t="s">
        <v>139</v>
      </c>
      <c r="F10106" t="s">
        <v>3</v>
      </c>
      <c r="G10106" s="18">
        <v>11</v>
      </c>
      <c r="H10106" t="s">
        <v>16</v>
      </c>
      <c r="I10106" t="s">
        <v>24</v>
      </c>
    </row>
    <row r="10107" spans="1:9" x14ac:dyDescent="0.25">
      <c r="A10107">
        <v>1827</v>
      </c>
      <c r="B10107">
        <f>A10107+1</f>
        <v>1828</v>
      </c>
      <c r="C10107" t="s">
        <v>532</v>
      </c>
      <c r="D10107" t="s">
        <v>27</v>
      </c>
      <c r="E10107" s="208" t="s">
        <v>131</v>
      </c>
      <c r="F10107" t="s">
        <v>3</v>
      </c>
      <c r="G10107" s="18">
        <v>6</v>
      </c>
      <c r="H10107" t="s">
        <v>16</v>
      </c>
      <c r="I10107" t="s">
        <v>24</v>
      </c>
    </row>
    <row r="10108" spans="1:9" x14ac:dyDescent="0.25">
      <c r="A10108">
        <v>1827</v>
      </c>
      <c r="B10108">
        <f>A10108+1</f>
        <v>1828</v>
      </c>
      <c r="C10108" t="s">
        <v>532</v>
      </c>
      <c r="D10108" t="s">
        <v>27</v>
      </c>
      <c r="E10108" s="208" t="s">
        <v>130</v>
      </c>
      <c r="F10108" t="s">
        <v>3</v>
      </c>
      <c r="G10108" s="18">
        <v>0</v>
      </c>
      <c r="H10108" t="s">
        <v>24</v>
      </c>
      <c r="I10108" t="s">
        <v>16</v>
      </c>
    </row>
    <row r="10109" spans="1:9" x14ac:dyDescent="0.25">
      <c r="A10109">
        <v>1827</v>
      </c>
      <c r="B10109">
        <f>A10109+1</f>
        <v>1828</v>
      </c>
      <c r="C10109" t="s">
        <v>532</v>
      </c>
      <c r="D10109" t="s">
        <v>27</v>
      </c>
      <c r="E10109" s="208" t="s">
        <v>124</v>
      </c>
      <c r="F10109" t="s">
        <v>3</v>
      </c>
      <c r="G10109" s="18">
        <v>150145</v>
      </c>
      <c r="H10109" t="s">
        <v>24</v>
      </c>
      <c r="I10109" t="s">
        <v>16</v>
      </c>
    </row>
    <row r="10110" spans="1:9" x14ac:dyDescent="0.25">
      <c r="A10110">
        <v>1827</v>
      </c>
      <c r="B10110">
        <f>A10110+1</f>
        <v>1828</v>
      </c>
      <c r="C10110" t="s">
        <v>532</v>
      </c>
      <c r="D10110" t="s">
        <v>27</v>
      </c>
      <c r="E10110" s="208" t="s">
        <v>145</v>
      </c>
      <c r="F10110" t="s">
        <v>3</v>
      </c>
      <c r="G10110" s="18">
        <v>19793</v>
      </c>
      <c r="H10110" t="s">
        <v>24</v>
      </c>
      <c r="I10110" t="s">
        <v>16</v>
      </c>
    </row>
    <row r="10111" spans="1:9" x14ac:dyDescent="0.25">
      <c r="A10111">
        <v>1827</v>
      </c>
      <c r="B10111">
        <f>A10111+1</f>
        <v>1828</v>
      </c>
      <c r="C10111" t="s">
        <v>532</v>
      </c>
      <c r="D10111" t="s">
        <v>27</v>
      </c>
      <c r="E10111" s="208" t="s">
        <v>114</v>
      </c>
      <c r="F10111" t="s">
        <v>3</v>
      </c>
      <c r="G10111" s="18">
        <v>0</v>
      </c>
      <c r="H10111" t="s">
        <v>24</v>
      </c>
      <c r="I10111" t="s">
        <v>16</v>
      </c>
    </row>
    <row r="10112" spans="1:9" x14ac:dyDescent="0.25">
      <c r="A10112">
        <v>1827</v>
      </c>
      <c r="B10112">
        <f>A10112+1</f>
        <v>1828</v>
      </c>
      <c r="C10112" t="s">
        <v>532</v>
      </c>
      <c r="D10112" t="s">
        <v>27</v>
      </c>
      <c r="E10112" s="208" t="s">
        <v>116</v>
      </c>
      <c r="F10112" t="s">
        <v>3</v>
      </c>
      <c r="G10112" s="18">
        <v>6</v>
      </c>
      <c r="H10112" t="s">
        <v>24</v>
      </c>
      <c r="I10112" t="s">
        <v>16</v>
      </c>
    </row>
    <row r="10113" spans="1:9" x14ac:dyDescent="0.25">
      <c r="A10113">
        <v>1827</v>
      </c>
      <c r="B10113">
        <f>A10113+1</f>
        <v>1828</v>
      </c>
      <c r="C10113" t="s">
        <v>532</v>
      </c>
      <c r="D10113" t="s">
        <v>27</v>
      </c>
      <c r="E10113" s="208" t="s">
        <v>137</v>
      </c>
      <c r="F10113" t="s">
        <v>3</v>
      </c>
      <c r="G10113" s="18">
        <v>0</v>
      </c>
      <c r="H10113" t="s">
        <v>24</v>
      </c>
      <c r="I10113" t="s">
        <v>16</v>
      </c>
    </row>
    <row r="10114" spans="1:9" x14ac:dyDescent="0.25">
      <c r="A10114">
        <v>1827</v>
      </c>
      <c r="B10114">
        <f>A10114+1</f>
        <v>1828</v>
      </c>
      <c r="C10114" t="s">
        <v>532</v>
      </c>
      <c r="D10114" t="s">
        <v>27</v>
      </c>
      <c r="E10114" s="208" t="s">
        <v>157</v>
      </c>
      <c r="F10114" t="s">
        <v>3</v>
      </c>
      <c r="G10114" s="18">
        <v>5</v>
      </c>
      <c r="H10114" s="151" t="s">
        <v>563</v>
      </c>
      <c r="I10114" t="s">
        <v>16</v>
      </c>
    </row>
    <row r="10115" spans="1:9" x14ac:dyDescent="0.25">
      <c r="A10115">
        <v>1827</v>
      </c>
      <c r="B10115">
        <f>A10115+1</f>
        <v>1828</v>
      </c>
      <c r="C10115" t="s">
        <v>532</v>
      </c>
      <c r="D10115" t="s">
        <v>27</v>
      </c>
      <c r="E10115" s="208" t="s">
        <v>127</v>
      </c>
      <c r="F10115" t="s">
        <v>3</v>
      </c>
      <c r="G10115" s="18">
        <v>5</v>
      </c>
      <c r="H10115" t="s">
        <v>24</v>
      </c>
      <c r="I10115" t="s">
        <v>17</v>
      </c>
    </row>
    <row r="10116" spans="1:9" x14ac:dyDescent="0.25">
      <c r="A10116">
        <v>1827</v>
      </c>
      <c r="B10116">
        <f>A10116+1</f>
        <v>1828</v>
      </c>
      <c r="C10116" t="s">
        <v>532</v>
      </c>
      <c r="D10116" t="s">
        <v>27</v>
      </c>
      <c r="E10116" s="208" t="s">
        <v>133</v>
      </c>
      <c r="F10116" t="s">
        <v>3</v>
      </c>
      <c r="G10116" s="18">
        <v>0</v>
      </c>
      <c r="H10116" t="s">
        <v>25</v>
      </c>
      <c r="I10116" t="s">
        <v>17</v>
      </c>
    </row>
    <row r="10117" spans="1:9" x14ac:dyDescent="0.25">
      <c r="A10117">
        <v>1827</v>
      </c>
      <c r="B10117">
        <f>A10117+1</f>
        <v>1828</v>
      </c>
      <c r="C10117" t="s">
        <v>532</v>
      </c>
      <c r="D10117" t="s">
        <v>27</v>
      </c>
      <c r="E10117" s="208" t="s">
        <v>74</v>
      </c>
      <c r="F10117" t="s">
        <v>3</v>
      </c>
      <c r="G10117" s="18">
        <v>12</v>
      </c>
      <c r="H10117" t="s">
        <v>160</v>
      </c>
      <c r="I10117" t="s">
        <v>17</v>
      </c>
    </row>
    <row r="10118" spans="1:9" x14ac:dyDescent="0.25">
      <c r="A10118">
        <v>1827</v>
      </c>
      <c r="B10118">
        <f>A10118+1</f>
        <v>1828</v>
      </c>
      <c r="C10118" t="s">
        <v>532</v>
      </c>
      <c r="D10118" t="s">
        <v>27</v>
      </c>
      <c r="E10118" s="208" t="s">
        <v>129</v>
      </c>
      <c r="F10118" t="s">
        <v>3</v>
      </c>
      <c r="G10118" s="18">
        <v>0</v>
      </c>
      <c r="H10118" t="s">
        <v>24</v>
      </c>
      <c r="I10118" t="s">
        <v>16</v>
      </c>
    </row>
    <row r="10119" spans="1:9" x14ac:dyDescent="0.25">
      <c r="A10119">
        <v>1827</v>
      </c>
      <c r="B10119">
        <f>A10119+1</f>
        <v>1828</v>
      </c>
      <c r="C10119" t="s">
        <v>532</v>
      </c>
      <c r="D10119" t="s">
        <v>27</v>
      </c>
      <c r="E10119" s="208" t="s">
        <v>141</v>
      </c>
      <c r="F10119" t="s">
        <v>3</v>
      </c>
      <c r="G10119" s="18">
        <v>0</v>
      </c>
      <c r="H10119" t="s">
        <v>24</v>
      </c>
      <c r="I10119" t="s">
        <v>16</v>
      </c>
    </row>
    <row r="10120" spans="1:9" x14ac:dyDescent="0.25">
      <c r="A10120">
        <v>1827</v>
      </c>
      <c r="B10120">
        <f>A10120+1</f>
        <v>1828</v>
      </c>
      <c r="C10120" t="s">
        <v>532</v>
      </c>
      <c r="D10120" t="s">
        <v>27</v>
      </c>
      <c r="E10120" s="208" t="s">
        <v>135</v>
      </c>
      <c r="F10120" t="s">
        <v>3</v>
      </c>
      <c r="G10120" s="18">
        <v>0</v>
      </c>
      <c r="H10120" t="s">
        <v>24</v>
      </c>
      <c r="I10120" t="s">
        <v>16</v>
      </c>
    </row>
    <row r="10121" spans="1:9" x14ac:dyDescent="0.25">
      <c r="A10121">
        <v>1827</v>
      </c>
      <c r="B10121">
        <f>A10121+1</f>
        <v>1828</v>
      </c>
      <c r="C10121" t="s">
        <v>532</v>
      </c>
      <c r="D10121" t="s">
        <v>27</v>
      </c>
      <c r="E10121" s="208" t="s">
        <v>128</v>
      </c>
      <c r="F10121" t="s">
        <v>3</v>
      </c>
      <c r="G10121" s="18">
        <v>0</v>
      </c>
      <c r="H10121" t="s">
        <v>24</v>
      </c>
      <c r="I10121" t="s">
        <v>16</v>
      </c>
    </row>
    <row r="10122" spans="1:9" x14ac:dyDescent="0.25">
      <c r="A10122">
        <v>1827</v>
      </c>
      <c r="B10122">
        <f>A10122+1</f>
        <v>1828</v>
      </c>
      <c r="C10122" t="s">
        <v>532</v>
      </c>
      <c r="D10122" t="s">
        <v>27</v>
      </c>
      <c r="E10122" s="208" t="s">
        <v>138</v>
      </c>
      <c r="F10122" t="s">
        <v>3</v>
      </c>
      <c r="G10122" s="18">
        <v>135</v>
      </c>
      <c r="H10122" t="s">
        <v>24</v>
      </c>
      <c r="I10122" t="s">
        <v>16</v>
      </c>
    </row>
    <row r="10123" spans="1:9" x14ac:dyDescent="0.25">
      <c r="A10123">
        <v>1827</v>
      </c>
      <c r="B10123">
        <f>A10123+1</f>
        <v>1828</v>
      </c>
      <c r="C10123" t="s">
        <v>532</v>
      </c>
      <c r="D10123" t="s">
        <v>27</v>
      </c>
      <c r="E10123" s="208" t="s">
        <v>118</v>
      </c>
      <c r="F10123" t="s">
        <v>3</v>
      </c>
      <c r="G10123" s="18">
        <v>0</v>
      </c>
      <c r="H10123" t="s">
        <v>24</v>
      </c>
      <c r="I10123" t="s">
        <v>16</v>
      </c>
    </row>
    <row r="10124" spans="1:9" x14ac:dyDescent="0.25">
      <c r="A10124">
        <v>1827</v>
      </c>
      <c r="B10124">
        <f>A10124+1</f>
        <v>1828</v>
      </c>
      <c r="C10124" t="s">
        <v>532</v>
      </c>
      <c r="D10124" t="s">
        <v>27</v>
      </c>
      <c r="E10124" s="208" t="s">
        <v>134</v>
      </c>
      <c r="F10124" t="s">
        <v>3</v>
      </c>
      <c r="G10124" s="18">
        <v>0</v>
      </c>
      <c r="H10124" t="s">
        <v>24</v>
      </c>
      <c r="I10124" t="s">
        <v>16</v>
      </c>
    </row>
    <row r="10125" spans="1:9" x14ac:dyDescent="0.25">
      <c r="A10125">
        <v>1827</v>
      </c>
      <c r="B10125">
        <f>A10125+1</f>
        <v>1828</v>
      </c>
      <c r="C10125" t="s">
        <v>532</v>
      </c>
      <c r="D10125" t="s">
        <v>26</v>
      </c>
      <c r="E10125" s="208" t="s">
        <v>62</v>
      </c>
      <c r="F10125" t="s">
        <v>3</v>
      </c>
      <c r="G10125" s="18">
        <v>5857</v>
      </c>
      <c r="H10125" t="s">
        <v>24</v>
      </c>
      <c r="I10125" t="s">
        <v>16</v>
      </c>
    </row>
    <row r="10126" spans="1:9" x14ac:dyDescent="0.25">
      <c r="A10126">
        <v>1827</v>
      </c>
      <c r="B10126">
        <f>A10126+1</f>
        <v>1828</v>
      </c>
      <c r="C10126" t="s">
        <v>532</v>
      </c>
      <c r="D10126" t="s">
        <v>26</v>
      </c>
      <c r="E10126" s="208" t="s">
        <v>55</v>
      </c>
      <c r="F10126" t="s">
        <v>3</v>
      </c>
      <c r="G10126" s="18">
        <v>3082</v>
      </c>
      <c r="H10126" t="s">
        <v>16</v>
      </c>
      <c r="I10126" t="s">
        <v>22</v>
      </c>
    </row>
    <row r="10127" spans="1:9" x14ac:dyDescent="0.25">
      <c r="A10127">
        <v>1827</v>
      </c>
      <c r="B10127">
        <f>A10127+1</f>
        <v>1828</v>
      </c>
      <c r="C10127" t="s">
        <v>532</v>
      </c>
      <c r="D10127" t="s">
        <v>26</v>
      </c>
      <c r="E10127" s="208" t="s">
        <v>35</v>
      </c>
      <c r="F10127" t="s">
        <v>3</v>
      </c>
      <c r="G10127" s="18">
        <v>0</v>
      </c>
      <c r="H10127" t="s">
        <v>16</v>
      </c>
      <c r="I10127" t="s">
        <v>22</v>
      </c>
    </row>
    <row r="10128" spans="1:9" x14ac:dyDescent="0.25">
      <c r="A10128">
        <v>1827</v>
      </c>
      <c r="B10128">
        <f>A10128+1</f>
        <v>1828</v>
      </c>
      <c r="C10128" t="s">
        <v>532</v>
      </c>
      <c r="D10128" t="s">
        <v>26</v>
      </c>
      <c r="E10128" s="208" t="s">
        <v>40</v>
      </c>
      <c r="F10128" t="s">
        <v>3</v>
      </c>
      <c r="G10128" s="18">
        <v>57651</v>
      </c>
      <c r="H10128" t="s">
        <v>16</v>
      </c>
      <c r="I10128" t="s">
        <v>22</v>
      </c>
    </row>
    <row r="10129" spans="1:9" x14ac:dyDescent="0.25">
      <c r="A10129">
        <v>1827</v>
      </c>
      <c r="B10129">
        <f>A10129+1</f>
        <v>1828</v>
      </c>
      <c r="C10129" t="s">
        <v>532</v>
      </c>
      <c r="D10129" t="s">
        <v>26</v>
      </c>
      <c r="E10129" s="208" t="s">
        <v>98</v>
      </c>
      <c r="F10129" t="s">
        <v>3</v>
      </c>
      <c r="G10129" s="18">
        <v>38513</v>
      </c>
      <c r="H10129" t="s">
        <v>16</v>
      </c>
      <c r="I10129" t="s">
        <v>22</v>
      </c>
    </row>
    <row r="10130" spans="1:9" x14ac:dyDescent="0.25">
      <c r="A10130">
        <v>1827</v>
      </c>
      <c r="B10130">
        <f>A10130+1</f>
        <v>1828</v>
      </c>
      <c r="C10130" t="s">
        <v>532</v>
      </c>
      <c r="D10130" t="s">
        <v>26</v>
      </c>
      <c r="E10130" s="208" t="s">
        <v>435</v>
      </c>
      <c r="F10130" t="s">
        <v>3</v>
      </c>
      <c r="G10130" s="18">
        <v>5824</v>
      </c>
      <c r="H10130" t="s">
        <v>16</v>
      </c>
      <c r="I10130" t="s">
        <v>22</v>
      </c>
    </row>
    <row r="10131" spans="1:9" x14ac:dyDescent="0.25">
      <c r="A10131">
        <v>1827</v>
      </c>
      <c r="B10131">
        <f>A10131+1</f>
        <v>1828</v>
      </c>
      <c r="C10131" t="s">
        <v>532</v>
      </c>
      <c r="D10131" t="s">
        <v>26</v>
      </c>
      <c r="E10131" s="208" t="s">
        <v>568</v>
      </c>
      <c r="F10131" t="s">
        <v>7</v>
      </c>
      <c r="G10131" s="18">
        <v>836</v>
      </c>
      <c r="H10131" t="s">
        <v>16</v>
      </c>
      <c r="I10131" t="s">
        <v>22</v>
      </c>
    </row>
    <row r="10132" spans="1:9" x14ac:dyDescent="0.25">
      <c r="A10132">
        <v>1827</v>
      </c>
      <c r="B10132">
        <f>A10132+1</f>
        <v>1828</v>
      </c>
      <c r="C10132" t="s">
        <v>532</v>
      </c>
      <c r="D10132" t="s">
        <v>26</v>
      </c>
      <c r="E10132" s="208" t="s">
        <v>568</v>
      </c>
      <c r="F10132" t="s">
        <v>10</v>
      </c>
      <c r="G10132" s="18">
        <v>766</v>
      </c>
      <c r="H10132" t="s">
        <v>16</v>
      </c>
      <c r="I10132" t="s">
        <v>22</v>
      </c>
    </row>
    <row r="10133" spans="1:9" x14ac:dyDescent="0.25">
      <c r="A10133">
        <v>1827</v>
      </c>
      <c r="B10133">
        <f>A10133+1</f>
        <v>1828</v>
      </c>
      <c r="C10133" t="s">
        <v>532</v>
      </c>
      <c r="D10133" t="s">
        <v>26</v>
      </c>
      <c r="E10133" s="208" t="s">
        <v>568</v>
      </c>
      <c r="F10133" t="s">
        <v>13</v>
      </c>
      <c r="G10133" s="18">
        <v>0</v>
      </c>
      <c r="H10133" t="s">
        <v>16</v>
      </c>
      <c r="I10133" t="s">
        <v>22</v>
      </c>
    </row>
    <row r="10134" spans="1:9" x14ac:dyDescent="0.25">
      <c r="A10134">
        <v>1827</v>
      </c>
      <c r="B10134">
        <f>A10134+1</f>
        <v>1828</v>
      </c>
      <c r="C10134" t="s">
        <v>532</v>
      </c>
      <c r="D10134" t="s">
        <v>26</v>
      </c>
      <c r="E10134" s="208" t="s">
        <v>568</v>
      </c>
      <c r="F10134" t="s">
        <v>164</v>
      </c>
      <c r="G10134" s="18">
        <v>0</v>
      </c>
      <c r="H10134" t="s">
        <v>16</v>
      </c>
      <c r="I10134" t="s">
        <v>22</v>
      </c>
    </row>
    <row r="10135" spans="1:9" x14ac:dyDescent="0.25">
      <c r="A10135">
        <v>1827</v>
      </c>
      <c r="B10135">
        <f>A10135+1</f>
        <v>1828</v>
      </c>
      <c r="C10135" t="s">
        <v>532</v>
      </c>
      <c r="D10135" t="s">
        <v>26</v>
      </c>
      <c r="E10135" s="208" t="s">
        <v>107</v>
      </c>
      <c r="F10135" t="s">
        <v>3</v>
      </c>
      <c r="G10135" s="18">
        <v>720868</v>
      </c>
      <c r="H10135" t="s">
        <v>16</v>
      </c>
      <c r="I10135" t="s">
        <v>22</v>
      </c>
    </row>
    <row r="10136" spans="1:9" x14ac:dyDescent="0.25">
      <c r="A10136">
        <v>1827</v>
      </c>
      <c r="B10136">
        <f>A10136+1</f>
        <v>1828</v>
      </c>
      <c r="C10136" t="s">
        <v>532</v>
      </c>
      <c r="D10136" t="s">
        <v>26</v>
      </c>
      <c r="E10136" s="208" t="s">
        <v>101</v>
      </c>
      <c r="F10136" t="s">
        <v>3</v>
      </c>
      <c r="G10136" s="18">
        <v>1480405</v>
      </c>
      <c r="H10136" t="s">
        <v>16</v>
      </c>
      <c r="I10136" t="s">
        <v>22</v>
      </c>
    </row>
    <row r="10137" spans="1:9" x14ac:dyDescent="0.25">
      <c r="A10137">
        <v>1827</v>
      </c>
      <c r="B10137">
        <f>A10137+1</f>
        <v>1828</v>
      </c>
      <c r="C10137" t="s">
        <v>532</v>
      </c>
      <c r="D10137" t="s">
        <v>26</v>
      </c>
      <c r="E10137" s="208" t="s">
        <v>75</v>
      </c>
      <c r="F10137" t="s">
        <v>3</v>
      </c>
      <c r="G10137" s="18">
        <v>1073922</v>
      </c>
      <c r="H10137" t="s">
        <v>16</v>
      </c>
      <c r="I10137" t="s">
        <v>22</v>
      </c>
    </row>
    <row r="10138" spans="1:9" x14ac:dyDescent="0.25">
      <c r="A10138">
        <v>1827</v>
      </c>
      <c r="B10138">
        <f>A10138+1</f>
        <v>1828</v>
      </c>
      <c r="C10138" t="s">
        <v>532</v>
      </c>
      <c r="D10138" t="s">
        <v>26</v>
      </c>
      <c r="E10138" s="208" t="s">
        <v>66</v>
      </c>
      <c r="F10138" t="s">
        <v>3</v>
      </c>
      <c r="G10138" s="18">
        <v>57000</v>
      </c>
      <c r="H10138" t="s">
        <v>16</v>
      </c>
      <c r="I10138" t="s">
        <v>22</v>
      </c>
    </row>
    <row r="10139" spans="1:9" x14ac:dyDescent="0.25">
      <c r="A10139">
        <v>1827</v>
      </c>
      <c r="B10139">
        <f>A10139+1</f>
        <v>1828</v>
      </c>
      <c r="C10139" t="s">
        <v>532</v>
      </c>
      <c r="D10139" t="s">
        <v>26</v>
      </c>
      <c r="E10139" s="208" t="s">
        <v>330</v>
      </c>
      <c r="F10139" t="s">
        <v>3</v>
      </c>
      <c r="G10139" s="18">
        <v>76</v>
      </c>
      <c r="H10139" t="s">
        <v>16</v>
      </c>
      <c r="I10139" t="s">
        <v>22</v>
      </c>
    </row>
    <row r="10140" spans="1:9" x14ac:dyDescent="0.25">
      <c r="A10140">
        <v>1827</v>
      </c>
      <c r="B10140">
        <f>A10140+1</f>
        <v>1828</v>
      </c>
      <c r="C10140" t="s">
        <v>532</v>
      </c>
      <c r="D10140" t="s">
        <v>26</v>
      </c>
      <c r="E10140" s="208" t="s">
        <v>331</v>
      </c>
      <c r="F10140" t="s">
        <v>3</v>
      </c>
      <c r="G10140" s="18">
        <v>0</v>
      </c>
      <c r="H10140" t="s">
        <v>16</v>
      </c>
      <c r="I10140" t="s">
        <v>22</v>
      </c>
    </row>
    <row r="10141" spans="1:9" x14ac:dyDescent="0.25">
      <c r="A10141">
        <v>1827</v>
      </c>
      <c r="B10141">
        <f>A10141+1</f>
        <v>1828</v>
      </c>
      <c r="C10141" t="s">
        <v>532</v>
      </c>
      <c r="D10141" t="s">
        <v>26</v>
      </c>
      <c r="E10141" s="208" t="s">
        <v>333</v>
      </c>
      <c r="F10141" t="s">
        <v>3</v>
      </c>
      <c r="G10141" s="18">
        <v>0</v>
      </c>
      <c r="H10141" t="s">
        <v>16</v>
      </c>
      <c r="I10141" t="s">
        <v>22</v>
      </c>
    </row>
    <row r="10142" spans="1:9" x14ac:dyDescent="0.25">
      <c r="A10142">
        <v>1827</v>
      </c>
      <c r="B10142">
        <f>A10142+1</f>
        <v>1828</v>
      </c>
      <c r="C10142" t="s">
        <v>532</v>
      </c>
      <c r="D10142" t="s">
        <v>26</v>
      </c>
      <c r="E10142" s="208" t="s">
        <v>332</v>
      </c>
      <c r="F10142" t="s">
        <v>3</v>
      </c>
      <c r="G10142" s="18">
        <v>0</v>
      </c>
      <c r="H10142" t="s">
        <v>16</v>
      </c>
      <c r="I10142" t="s">
        <v>22</v>
      </c>
    </row>
    <row r="10143" spans="1:9" x14ac:dyDescent="0.25">
      <c r="A10143">
        <v>1827</v>
      </c>
      <c r="B10143">
        <f>A10143+1</f>
        <v>1828</v>
      </c>
      <c r="C10143" t="s">
        <v>532</v>
      </c>
      <c r="D10143" t="s">
        <v>27</v>
      </c>
      <c r="E10143" s="208" t="s">
        <v>155</v>
      </c>
      <c r="F10143" t="s">
        <v>2</v>
      </c>
      <c r="G10143" s="18">
        <v>246</v>
      </c>
      <c r="H10143" t="s">
        <v>16</v>
      </c>
      <c r="I10143" t="s">
        <v>22</v>
      </c>
    </row>
    <row r="10144" spans="1:9" x14ac:dyDescent="0.25">
      <c r="A10144">
        <v>1827</v>
      </c>
      <c r="B10144">
        <f>A10144+1</f>
        <v>1828</v>
      </c>
      <c r="C10144" t="s">
        <v>532</v>
      </c>
      <c r="D10144" t="s">
        <v>27</v>
      </c>
      <c r="E10144" s="208" t="s">
        <v>156</v>
      </c>
      <c r="F10144" t="s">
        <v>2</v>
      </c>
      <c r="G10144" s="18">
        <v>93</v>
      </c>
      <c r="H10144" t="s">
        <v>16</v>
      </c>
      <c r="I10144" t="s">
        <v>22</v>
      </c>
    </row>
    <row r="10145" spans="1:9" x14ac:dyDescent="0.25">
      <c r="A10145">
        <v>1827</v>
      </c>
      <c r="B10145">
        <f>A10145+1</f>
        <v>1828</v>
      </c>
      <c r="C10145" t="s">
        <v>532</v>
      </c>
      <c r="D10145" t="s">
        <v>27</v>
      </c>
      <c r="E10145" s="208" t="s">
        <v>154</v>
      </c>
      <c r="F10145" t="s">
        <v>2</v>
      </c>
      <c r="G10145" s="18">
        <v>13</v>
      </c>
      <c r="H10145" t="s">
        <v>16</v>
      </c>
      <c r="I10145" t="s">
        <v>22</v>
      </c>
    </row>
    <row r="10146" spans="1:9" x14ac:dyDescent="0.25">
      <c r="A10146">
        <v>1827</v>
      </c>
      <c r="B10146">
        <f>A10146+1</f>
        <v>1828</v>
      </c>
      <c r="C10146" t="s">
        <v>532</v>
      </c>
      <c r="D10146" t="s">
        <v>27</v>
      </c>
      <c r="E10146" s="208" t="s">
        <v>150</v>
      </c>
      <c r="F10146" t="s">
        <v>2</v>
      </c>
      <c r="G10146" s="18">
        <v>635</v>
      </c>
      <c r="H10146" t="s">
        <v>16</v>
      </c>
      <c r="I10146" t="s">
        <v>22</v>
      </c>
    </row>
    <row r="10147" spans="1:9" x14ac:dyDescent="0.25">
      <c r="A10147">
        <v>1827</v>
      </c>
      <c r="B10147">
        <f>A10147+1</f>
        <v>1828</v>
      </c>
      <c r="C10147" t="s">
        <v>532</v>
      </c>
      <c r="D10147" t="s">
        <v>27</v>
      </c>
      <c r="E10147" s="208" t="s">
        <v>148</v>
      </c>
      <c r="F10147" t="s">
        <v>2</v>
      </c>
      <c r="G10147" s="18">
        <v>109</v>
      </c>
      <c r="H10147" t="s">
        <v>16</v>
      </c>
      <c r="I10147" t="s">
        <v>22</v>
      </c>
    </row>
    <row r="10148" spans="1:9" x14ac:dyDescent="0.25">
      <c r="A10148">
        <v>1827</v>
      </c>
      <c r="B10148">
        <f>A10148+1</f>
        <v>1828</v>
      </c>
      <c r="C10148" t="s">
        <v>532</v>
      </c>
      <c r="D10148" t="s">
        <v>27</v>
      </c>
      <c r="E10148" s="208" t="s">
        <v>147</v>
      </c>
      <c r="F10148" t="s">
        <v>2</v>
      </c>
      <c r="G10148" s="18">
        <v>0</v>
      </c>
      <c r="H10148" t="s">
        <v>16</v>
      </c>
      <c r="I10148" t="s">
        <v>22</v>
      </c>
    </row>
    <row r="10149" spans="1:9" x14ac:dyDescent="0.25">
      <c r="A10149">
        <v>1827</v>
      </c>
      <c r="B10149">
        <f>A10149+1</f>
        <v>1828</v>
      </c>
      <c r="C10149" t="s">
        <v>532</v>
      </c>
      <c r="D10149" t="s">
        <v>27</v>
      </c>
      <c r="E10149" s="208" t="s">
        <v>139</v>
      </c>
      <c r="F10149" t="s">
        <v>2</v>
      </c>
      <c r="G10149" s="18">
        <v>0</v>
      </c>
      <c r="H10149" t="s">
        <v>16</v>
      </c>
      <c r="I10149" t="s">
        <v>22</v>
      </c>
    </row>
    <row r="10150" spans="1:9" x14ac:dyDescent="0.25">
      <c r="A10150">
        <v>1827</v>
      </c>
      <c r="B10150">
        <f>A10150+1</f>
        <v>1828</v>
      </c>
      <c r="C10150" t="s">
        <v>532</v>
      </c>
      <c r="D10150" t="s">
        <v>27</v>
      </c>
      <c r="E10150" s="208" t="s">
        <v>131</v>
      </c>
      <c r="F10150" t="s">
        <v>2</v>
      </c>
      <c r="G10150" s="18">
        <v>0</v>
      </c>
      <c r="H10150" t="s">
        <v>16</v>
      </c>
      <c r="I10150" t="s">
        <v>22</v>
      </c>
    </row>
    <row r="10151" spans="1:9" x14ac:dyDescent="0.25">
      <c r="A10151">
        <v>1827</v>
      </c>
      <c r="B10151">
        <f>A10151+1</f>
        <v>1828</v>
      </c>
      <c r="C10151" t="s">
        <v>532</v>
      </c>
      <c r="D10151" t="s">
        <v>27</v>
      </c>
      <c r="E10151" s="208" t="s">
        <v>130</v>
      </c>
      <c r="F10151" t="s">
        <v>2</v>
      </c>
      <c r="G10151" s="18">
        <v>0</v>
      </c>
      <c r="H10151" t="s">
        <v>22</v>
      </c>
      <c r="I10151" t="s">
        <v>16</v>
      </c>
    </row>
    <row r="10152" spans="1:9" x14ac:dyDescent="0.25">
      <c r="A10152">
        <v>1827</v>
      </c>
      <c r="B10152">
        <f>A10152+1</f>
        <v>1828</v>
      </c>
      <c r="C10152" t="s">
        <v>532</v>
      </c>
      <c r="D10152" t="s">
        <v>27</v>
      </c>
      <c r="E10152" s="208" t="s">
        <v>124</v>
      </c>
      <c r="F10152" t="s">
        <v>2</v>
      </c>
      <c r="G10152" s="18">
        <v>196090</v>
      </c>
      <c r="H10152" t="s">
        <v>22</v>
      </c>
      <c r="I10152" t="s">
        <v>16</v>
      </c>
    </row>
    <row r="10153" spans="1:9" x14ac:dyDescent="0.25">
      <c r="A10153">
        <v>1827</v>
      </c>
      <c r="B10153">
        <f>A10153+1</f>
        <v>1828</v>
      </c>
      <c r="C10153" t="s">
        <v>532</v>
      </c>
      <c r="D10153" t="s">
        <v>27</v>
      </c>
      <c r="E10153" s="208" t="s">
        <v>145</v>
      </c>
      <c r="F10153" t="s">
        <v>2</v>
      </c>
      <c r="G10153" s="18">
        <v>59946</v>
      </c>
      <c r="H10153" t="s">
        <v>22</v>
      </c>
      <c r="I10153" t="s">
        <v>16</v>
      </c>
    </row>
    <row r="10154" spans="1:9" x14ac:dyDescent="0.25">
      <c r="A10154">
        <v>1827</v>
      </c>
      <c r="B10154">
        <f>A10154+1</f>
        <v>1828</v>
      </c>
      <c r="C10154" t="s">
        <v>532</v>
      </c>
      <c r="D10154" t="s">
        <v>27</v>
      </c>
      <c r="E10154" s="208" t="s">
        <v>114</v>
      </c>
      <c r="F10154" t="s">
        <v>2</v>
      </c>
      <c r="G10154" s="18">
        <v>0</v>
      </c>
      <c r="H10154" t="s">
        <v>22</v>
      </c>
      <c r="I10154" t="s">
        <v>16</v>
      </c>
    </row>
    <row r="10155" spans="1:9" x14ac:dyDescent="0.25">
      <c r="A10155">
        <v>1827</v>
      </c>
      <c r="B10155">
        <f>A10155+1</f>
        <v>1828</v>
      </c>
      <c r="C10155" t="s">
        <v>532</v>
      </c>
      <c r="D10155" t="s">
        <v>27</v>
      </c>
      <c r="E10155" s="208" t="s">
        <v>116</v>
      </c>
      <c r="F10155" t="s">
        <v>2</v>
      </c>
      <c r="G10155" s="18">
        <v>0</v>
      </c>
      <c r="H10155" t="s">
        <v>22</v>
      </c>
      <c r="I10155" t="s">
        <v>16</v>
      </c>
    </row>
    <row r="10156" spans="1:9" x14ac:dyDescent="0.25">
      <c r="A10156">
        <v>1827</v>
      </c>
      <c r="B10156">
        <f>A10156+1</f>
        <v>1828</v>
      </c>
      <c r="C10156" t="s">
        <v>532</v>
      </c>
      <c r="D10156" t="s">
        <v>27</v>
      </c>
      <c r="E10156" s="208" t="s">
        <v>137</v>
      </c>
      <c r="F10156" t="s">
        <v>2</v>
      </c>
      <c r="G10156" s="18">
        <v>0</v>
      </c>
      <c r="H10156" t="s">
        <v>22</v>
      </c>
      <c r="I10156" t="s">
        <v>16</v>
      </c>
    </row>
    <row r="10157" spans="1:9" x14ac:dyDescent="0.25">
      <c r="A10157">
        <v>1827</v>
      </c>
      <c r="B10157">
        <f>A10157+1</f>
        <v>1828</v>
      </c>
      <c r="C10157" t="s">
        <v>532</v>
      </c>
      <c r="D10157" t="s">
        <v>27</v>
      </c>
      <c r="E10157" s="208" t="s">
        <v>157</v>
      </c>
      <c r="F10157" t="s">
        <v>2</v>
      </c>
      <c r="G10157" s="18">
        <v>0</v>
      </c>
      <c r="H10157" s="151" t="s">
        <v>563</v>
      </c>
      <c r="I10157" t="s">
        <v>17</v>
      </c>
    </row>
    <row r="10158" spans="1:9" x14ac:dyDescent="0.25">
      <c r="A10158">
        <v>1827</v>
      </c>
      <c r="B10158">
        <f>A10158+1</f>
        <v>1828</v>
      </c>
      <c r="C10158" t="s">
        <v>532</v>
      </c>
      <c r="D10158" t="s">
        <v>27</v>
      </c>
      <c r="E10158" s="208" t="s">
        <v>127</v>
      </c>
      <c r="F10158" t="s">
        <v>2</v>
      </c>
      <c r="G10158" s="18">
        <v>0</v>
      </c>
      <c r="H10158" s="151" t="s">
        <v>563</v>
      </c>
      <c r="I10158" t="s">
        <v>561</v>
      </c>
    </row>
    <row r="10159" spans="1:9" x14ac:dyDescent="0.25">
      <c r="A10159">
        <v>1827</v>
      </c>
      <c r="B10159">
        <f>A10159+1</f>
        <v>1828</v>
      </c>
      <c r="C10159" t="s">
        <v>532</v>
      </c>
      <c r="D10159" t="s">
        <v>27</v>
      </c>
      <c r="E10159" s="208" t="s">
        <v>133</v>
      </c>
      <c r="F10159" t="s">
        <v>2</v>
      </c>
      <c r="G10159" s="18">
        <v>0</v>
      </c>
      <c r="H10159" t="s">
        <v>22</v>
      </c>
      <c r="I10159" t="s">
        <v>16</v>
      </c>
    </row>
    <row r="10160" spans="1:9" x14ac:dyDescent="0.25">
      <c r="A10160">
        <v>1827</v>
      </c>
      <c r="B10160">
        <f>A10160+1</f>
        <v>1828</v>
      </c>
      <c r="C10160" t="s">
        <v>532</v>
      </c>
      <c r="D10160" t="s">
        <v>27</v>
      </c>
      <c r="E10160" s="208" t="s">
        <v>74</v>
      </c>
      <c r="F10160" t="s">
        <v>2</v>
      </c>
      <c r="G10160" s="18">
        <v>90</v>
      </c>
      <c r="H10160" t="s">
        <v>22</v>
      </c>
      <c r="I10160" t="s">
        <v>16</v>
      </c>
    </row>
    <row r="10161" spans="1:9" x14ac:dyDescent="0.25">
      <c r="A10161">
        <v>1827</v>
      </c>
      <c r="B10161">
        <f>A10161+1</f>
        <v>1828</v>
      </c>
      <c r="C10161" t="s">
        <v>532</v>
      </c>
      <c r="D10161" t="s">
        <v>27</v>
      </c>
      <c r="E10161" s="208" t="s">
        <v>129</v>
      </c>
      <c r="F10161" t="s">
        <v>2</v>
      </c>
      <c r="G10161" s="18">
        <v>33</v>
      </c>
      <c r="H10161" t="s">
        <v>22</v>
      </c>
      <c r="I10161" t="s">
        <v>16</v>
      </c>
    </row>
    <row r="10162" spans="1:9" x14ac:dyDescent="0.25">
      <c r="A10162">
        <v>1827</v>
      </c>
      <c r="B10162">
        <f>A10162+1</f>
        <v>1828</v>
      </c>
      <c r="C10162" t="s">
        <v>532</v>
      </c>
      <c r="D10162" t="s">
        <v>27</v>
      </c>
      <c r="E10162" s="208" t="s">
        <v>141</v>
      </c>
      <c r="F10162" t="s">
        <v>2</v>
      </c>
      <c r="G10162" s="18">
        <v>0</v>
      </c>
      <c r="H10162" t="s">
        <v>22</v>
      </c>
      <c r="I10162" t="s">
        <v>16</v>
      </c>
    </row>
    <row r="10163" spans="1:9" x14ac:dyDescent="0.25">
      <c r="A10163">
        <v>1827</v>
      </c>
      <c r="B10163">
        <f>A10163+1</f>
        <v>1828</v>
      </c>
      <c r="C10163" t="s">
        <v>532</v>
      </c>
      <c r="D10163" t="s">
        <v>27</v>
      </c>
      <c r="E10163" s="208" t="s">
        <v>135</v>
      </c>
      <c r="F10163" t="s">
        <v>2</v>
      </c>
      <c r="G10163" s="18">
        <v>0</v>
      </c>
      <c r="H10163" t="s">
        <v>22</v>
      </c>
      <c r="I10163" t="s">
        <v>16</v>
      </c>
    </row>
    <row r="10164" spans="1:9" x14ac:dyDescent="0.25">
      <c r="A10164">
        <v>1827</v>
      </c>
      <c r="B10164">
        <f>A10164+1</f>
        <v>1828</v>
      </c>
      <c r="C10164" t="s">
        <v>532</v>
      </c>
      <c r="D10164" t="s">
        <v>27</v>
      </c>
      <c r="E10164" s="208" t="s">
        <v>128</v>
      </c>
      <c r="F10164" t="s">
        <v>2</v>
      </c>
      <c r="G10164" s="18">
        <v>0</v>
      </c>
      <c r="H10164" t="s">
        <v>22</v>
      </c>
      <c r="I10164" t="s">
        <v>16</v>
      </c>
    </row>
    <row r="10165" spans="1:9" x14ac:dyDescent="0.25">
      <c r="A10165">
        <v>1827</v>
      </c>
      <c r="B10165">
        <f>A10165+1</f>
        <v>1828</v>
      </c>
      <c r="C10165" t="s">
        <v>532</v>
      </c>
      <c r="D10165" t="s">
        <v>27</v>
      </c>
      <c r="E10165" s="208" t="s">
        <v>138</v>
      </c>
      <c r="F10165" t="s">
        <v>2</v>
      </c>
      <c r="G10165" s="18">
        <v>0</v>
      </c>
      <c r="H10165" t="s">
        <v>22</v>
      </c>
      <c r="I10165" t="s">
        <v>16</v>
      </c>
    </row>
    <row r="10166" spans="1:9" x14ac:dyDescent="0.25">
      <c r="A10166">
        <v>1827</v>
      </c>
      <c r="B10166">
        <f>A10166+1</f>
        <v>1828</v>
      </c>
      <c r="C10166" t="s">
        <v>532</v>
      </c>
      <c r="D10166" t="s">
        <v>27</v>
      </c>
      <c r="E10166" s="208" t="s">
        <v>118</v>
      </c>
      <c r="F10166" t="s">
        <v>2</v>
      </c>
      <c r="G10166" s="18">
        <v>0</v>
      </c>
      <c r="H10166" t="s">
        <v>22</v>
      </c>
      <c r="I10166" t="s">
        <v>16</v>
      </c>
    </row>
    <row r="10167" spans="1:9" x14ac:dyDescent="0.25">
      <c r="A10167">
        <v>1827</v>
      </c>
      <c r="B10167">
        <f>A10167+1</f>
        <v>1828</v>
      </c>
      <c r="C10167" t="s">
        <v>532</v>
      </c>
      <c r="D10167" t="s">
        <v>27</v>
      </c>
      <c r="E10167" s="208" t="s">
        <v>134</v>
      </c>
      <c r="F10167" t="s">
        <v>2</v>
      </c>
      <c r="G10167" s="18">
        <v>0</v>
      </c>
      <c r="H10167" t="s">
        <v>22</v>
      </c>
      <c r="I10167" t="s">
        <v>16</v>
      </c>
    </row>
    <row r="10168" spans="1:9" x14ac:dyDescent="0.25">
      <c r="A10168">
        <v>1827</v>
      </c>
      <c r="B10168">
        <f>A10168+1</f>
        <v>1828</v>
      </c>
      <c r="C10168" t="s">
        <v>532</v>
      </c>
      <c r="D10168" t="s">
        <v>26</v>
      </c>
      <c r="E10168" s="208" t="s">
        <v>62</v>
      </c>
      <c r="F10168" t="s">
        <v>2</v>
      </c>
      <c r="G10168" s="18">
        <v>3172</v>
      </c>
      <c r="H10168" t="s">
        <v>22</v>
      </c>
      <c r="I10168" t="s">
        <v>16</v>
      </c>
    </row>
    <row r="10169" spans="1:9" x14ac:dyDescent="0.25">
      <c r="A10169">
        <v>1827</v>
      </c>
      <c r="B10169">
        <f>A10169+1</f>
        <v>1828</v>
      </c>
      <c r="C10169" t="s">
        <v>532</v>
      </c>
      <c r="D10169" t="s">
        <v>26</v>
      </c>
      <c r="E10169" s="208" t="s">
        <v>55</v>
      </c>
      <c r="F10169" t="s">
        <v>2</v>
      </c>
      <c r="G10169" s="18">
        <v>0</v>
      </c>
      <c r="H10169" t="s">
        <v>16</v>
      </c>
      <c r="I10169" t="s">
        <v>25</v>
      </c>
    </row>
    <row r="10170" spans="1:9" x14ac:dyDescent="0.25">
      <c r="A10170">
        <v>1827</v>
      </c>
      <c r="B10170">
        <f>A10170+1</f>
        <v>1828</v>
      </c>
      <c r="C10170" t="s">
        <v>532</v>
      </c>
      <c r="D10170" t="s">
        <v>26</v>
      </c>
      <c r="E10170" s="208" t="s">
        <v>35</v>
      </c>
      <c r="F10170" t="s">
        <v>2</v>
      </c>
      <c r="G10170" s="18">
        <v>0</v>
      </c>
      <c r="H10170" t="s">
        <v>16</v>
      </c>
      <c r="I10170" t="s">
        <v>25</v>
      </c>
    </row>
    <row r="10171" spans="1:9" x14ac:dyDescent="0.25">
      <c r="A10171">
        <v>1827</v>
      </c>
      <c r="B10171">
        <f>A10171+1</f>
        <v>1828</v>
      </c>
      <c r="C10171" t="s">
        <v>532</v>
      </c>
      <c r="D10171" t="s">
        <v>26</v>
      </c>
      <c r="E10171" s="208" t="s">
        <v>40</v>
      </c>
      <c r="F10171" t="s">
        <v>2</v>
      </c>
      <c r="G10171" s="18">
        <v>90293</v>
      </c>
      <c r="H10171" t="s">
        <v>16</v>
      </c>
      <c r="I10171" t="s">
        <v>25</v>
      </c>
    </row>
    <row r="10172" spans="1:9" x14ac:dyDescent="0.25">
      <c r="A10172">
        <v>1827</v>
      </c>
      <c r="B10172">
        <f>A10172+1</f>
        <v>1828</v>
      </c>
      <c r="C10172" t="s">
        <v>532</v>
      </c>
      <c r="D10172" t="s">
        <v>26</v>
      </c>
      <c r="E10172" s="208" t="s">
        <v>98</v>
      </c>
      <c r="F10172" t="s">
        <v>2</v>
      </c>
      <c r="G10172" s="18">
        <v>0</v>
      </c>
      <c r="H10172" t="s">
        <v>16</v>
      </c>
      <c r="I10172" t="s">
        <v>25</v>
      </c>
    </row>
    <row r="10173" spans="1:9" x14ac:dyDescent="0.25">
      <c r="A10173">
        <v>1827</v>
      </c>
      <c r="B10173">
        <f>A10173+1</f>
        <v>1828</v>
      </c>
      <c r="C10173" t="s">
        <v>532</v>
      </c>
      <c r="D10173" t="s">
        <v>26</v>
      </c>
      <c r="E10173" s="208" t="s">
        <v>435</v>
      </c>
      <c r="F10173" t="s">
        <v>2</v>
      </c>
      <c r="G10173" s="18">
        <v>0</v>
      </c>
      <c r="H10173" t="s">
        <v>16</v>
      </c>
      <c r="I10173" t="s">
        <v>25</v>
      </c>
    </row>
    <row r="10174" spans="1:9" x14ac:dyDescent="0.25">
      <c r="A10174">
        <v>1827</v>
      </c>
      <c r="B10174">
        <f>A10174+1</f>
        <v>1828</v>
      </c>
      <c r="C10174" t="s">
        <v>532</v>
      </c>
      <c r="D10174" t="s">
        <v>26</v>
      </c>
      <c r="E10174" s="208" t="s">
        <v>568</v>
      </c>
      <c r="F10174" t="s">
        <v>14</v>
      </c>
      <c r="G10174" s="18">
        <v>766</v>
      </c>
      <c r="H10174" t="s">
        <v>16</v>
      </c>
      <c r="I10174" t="s">
        <v>25</v>
      </c>
    </row>
    <row r="10175" spans="1:9" x14ac:dyDescent="0.25">
      <c r="A10175">
        <v>1827</v>
      </c>
      <c r="B10175">
        <f>A10175+1</f>
        <v>1828</v>
      </c>
      <c r="C10175" t="s">
        <v>532</v>
      </c>
      <c r="D10175" t="s">
        <v>26</v>
      </c>
      <c r="E10175" s="208" t="s">
        <v>568</v>
      </c>
      <c r="F10175" t="s">
        <v>15</v>
      </c>
      <c r="G10175" s="18">
        <v>1602</v>
      </c>
      <c r="H10175" t="s">
        <v>16</v>
      </c>
      <c r="I10175" t="s">
        <v>25</v>
      </c>
    </row>
    <row r="10176" spans="1:9" x14ac:dyDescent="0.25">
      <c r="A10176">
        <v>1827</v>
      </c>
      <c r="B10176">
        <f>A10176+1</f>
        <v>1828</v>
      </c>
      <c r="C10176" t="s">
        <v>532</v>
      </c>
      <c r="D10176" t="s">
        <v>26</v>
      </c>
      <c r="E10176" s="208" t="s">
        <v>107</v>
      </c>
      <c r="F10176" t="s">
        <v>2</v>
      </c>
      <c r="G10176" s="18">
        <v>43846</v>
      </c>
      <c r="H10176" t="s">
        <v>16</v>
      </c>
      <c r="I10176" t="s">
        <v>25</v>
      </c>
    </row>
    <row r="10177" spans="1:9" x14ac:dyDescent="0.25">
      <c r="A10177">
        <v>1827</v>
      </c>
      <c r="B10177">
        <f>A10177+1</f>
        <v>1828</v>
      </c>
      <c r="C10177" t="s">
        <v>532</v>
      </c>
      <c r="D10177" t="s">
        <v>26</v>
      </c>
      <c r="E10177" s="208" t="s">
        <v>101</v>
      </c>
      <c r="F10177" t="s">
        <v>2</v>
      </c>
      <c r="G10177" s="18">
        <v>0</v>
      </c>
      <c r="H10177" t="s">
        <v>16</v>
      </c>
      <c r="I10177" t="s">
        <v>25</v>
      </c>
    </row>
    <row r="10178" spans="1:9" x14ac:dyDescent="0.25">
      <c r="A10178">
        <v>1827</v>
      </c>
      <c r="B10178">
        <f>A10178+1</f>
        <v>1828</v>
      </c>
      <c r="C10178" t="s">
        <v>532</v>
      </c>
      <c r="D10178" t="s">
        <v>26</v>
      </c>
      <c r="E10178" s="208" t="s">
        <v>75</v>
      </c>
      <c r="F10178" t="s">
        <v>2</v>
      </c>
      <c r="G10178" s="18">
        <v>0</v>
      </c>
      <c r="H10178" t="s">
        <v>16</v>
      </c>
      <c r="I10178" t="s">
        <v>25</v>
      </c>
    </row>
    <row r="10179" spans="1:9" x14ac:dyDescent="0.25">
      <c r="A10179">
        <v>1827</v>
      </c>
      <c r="B10179">
        <f>A10179+1</f>
        <v>1828</v>
      </c>
      <c r="C10179" t="s">
        <v>532</v>
      </c>
      <c r="D10179" t="s">
        <v>26</v>
      </c>
      <c r="E10179" s="208" t="s">
        <v>66</v>
      </c>
      <c r="F10179" t="s">
        <v>2</v>
      </c>
      <c r="G10179" s="18">
        <v>0</v>
      </c>
      <c r="H10179" t="s">
        <v>16</v>
      </c>
      <c r="I10179" t="s">
        <v>25</v>
      </c>
    </row>
    <row r="10180" spans="1:9" x14ac:dyDescent="0.25">
      <c r="A10180">
        <v>1827</v>
      </c>
      <c r="B10180">
        <f>A10180+1</f>
        <v>1828</v>
      </c>
      <c r="C10180" t="s">
        <v>532</v>
      </c>
      <c r="D10180" t="s">
        <v>26</v>
      </c>
      <c r="E10180" s="208" t="s">
        <v>330</v>
      </c>
      <c r="F10180" t="s">
        <v>2</v>
      </c>
      <c r="G10180" s="18">
        <v>0</v>
      </c>
      <c r="H10180" t="s">
        <v>16</v>
      </c>
      <c r="I10180" t="s">
        <v>25</v>
      </c>
    </row>
    <row r="10181" spans="1:9" x14ac:dyDescent="0.25">
      <c r="A10181">
        <v>1827</v>
      </c>
      <c r="B10181">
        <f>A10181+1</f>
        <v>1828</v>
      </c>
      <c r="C10181" t="s">
        <v>532</v>
      </c>
      <c r="D10181" t="s">
        <v>26</v>
      </c>
      <c r="E10181" s="208" t="s">
        <v>331</v>
      </c>
      <c r="F10181" t="s">
        <v>2</v>
      </c>
      <c r="G10181" s="18">
        <v>0</v>
      </c>
      <c r="H10181" t="s">
        <v>16</v>
      </c>
      <c r="I10181" t="s">
        <v>25</v>
      </c>
    </row>
    <row r="10182" spans="1:9" x14ac:dyDescent="0.25">
      <c r="A10182">
        <v>1827</v>
      </c>
      <c r="B10182">
        <f>A10182+1</f>
        <v>1828</v>
      </c>
      <c r="C10182" t="s">
        <v>532</v>
      </c>
      <c r="D10182" t="s">
        <v>26</v>
      </c>
      <c r="E10182" s="208" t="s">
        <v>333</v>
      </c>
      <c r="F10182" t="s">
        <v>2</v>
      </c>
      <c r="G10182" s="18">
        <v>0</v>
      </c>
      <c r="H10182" t="s">
        <v>16</v>
      </c>
      <c r="I10182" t="s">
        <v>25</v>
      </c>
    </row>
    <row r="10183" spans="1:9" x14ac:dyDescent="0.25">
      <c r="A10183">
        <v>1827</v>
      </c>
      <c r="B10183">
        <f>A10183+1</f>
        <v>1828</v>
      </c>
      <c r="C10183" t="s">
        <v>532</v>
      </c>
      <c r="D10183" t="s">
        <v>26</v>
      </c>
      <c r="E10183" s="208" t="s">
        <v>332</v>
      </c>
      <c r="F10183" t="s">
        <v>2</v>
      </c>
      <c r="G10183" s="18">
        <v>0</v>
      </c>
      <c r="H10183" t="s">
        <v>16</v>
      </c>
      <c r="I10183" t="s">
        <v>25</v>
      </c>
    </row>
    <row r="10184" spans="1:9" x14ac:dyDescent="0.25">
      <c r="A10184">
        <v>1827</v>
      </c>
      <c r="B10184">
        <f>A10184+1</f>
        <v>1828</v>
      </c>
      <c r="C10184" t="s">
        <v>532</v>
      </c>
      <c r="D10184" t="s">
        <v>26</v>
      </c>
      <c r="E10184" s="208" t="s">
        <v>113</v>
      </c>
      <c r="F10184" t="s">
        <v>2</v>
      </c>
      <c r="G10184" s="18">
        <v>236</v>
      </c>
      <c r="H10184" t="s">
        <v>16</v>
      </c>
      <c r="I10184" t="s">
        <v>25</v>
      </c>
    </row>
    <row r="10185" spans="1:9" x14ac:dyDescent="0.25">
      <c r="A10185">
        <v>1827</v>
      </c>
      <c r="B10185">
        <f>A10185+1</f>
        <v>1828</v>
      </c>
      <c r="C10185" t="s">
        <v>532</v>
      </c>
      <c r="D10185" t="s">
        <v>26</v>
      </c>
      <c r="E10185" s="208" t="s">
        <v>112</v>
      </c>
      <c r="F10185" t="s">
        <v>2</v>
      </c>
      <c r="G10185" s="18">
        <v>176</v>
      </c>
      <c r="H10185" t="s">
        <v>16</v>
      </c>
      <c r="I10185" t="s">
        <v>25</v>
      </c>
    </row>
    <row r="10186" spans="1:9" x14ac:dyDescent="0.25">
      <c r="A10186">
        <v>1827</v>
      </c>
      <c r="B10186">
        <f>A10186+1</f>
        <v>1828</v>
      </c>
      <c r="C10186" t="s">
        <v>532</v>
      </c>
      <c r="D10186" t="s">
        <v>27</v>
      </c>
      <c r="E10186" s="208" t="s">
        <v>155</v>
      </c>
      <c r="F10186" t="s">
        <v>6</v>
      </c>
      <c r="G10186" s="18">
        <v>0</v>
      </c>
      <c r="H10186" t="s">
        <v>16</v>
      </c>
      <c r="I10186" t="s">
        <v>25</v>
      </c>
    </row>
    <row r="10187" spans="1:9" x14ac:dyDescent="0.25">
      <c r="A10187">
        <v>1827</v>
      </c>
      <c r="B10187">
        <f>A10187+1</f>
        <v>1828</v>
      </c>
      <c r="C10187" t="s">
        <v>532</v>
      </c>
      <c r="D10187" t="s">
        <v>27</v>
      </c>
      <c r="E10187" s="208" t="s">
        <v>156</v>
      </c>
      <c r="F10187" t="s">
        <v>6</v>
      </c>
      <c r="G10187" s="18">
        <v>0</v>
      </c>
      <c r="H10187" t="s">
        <v>16</v>
      </c>
      <c r="I10187" t="s">
        <v>25</v>
      </c>
    </row>
    <row r="10188" spans="1:9" x14ac:dyDescent="0.25">
      <c r="A10188">
        <v>1827</v>
      </c>
      <c r="B10188">
        <f>A10188+1</f>
        <v>1828</v>
      </c>
      <c r="C10188" t="s">
        <v>532</v>
      </c>
      <c r="D10188" t="s">
        <v>27</v>
      </c>
      <c r="E10188" s="208" t="s">
        <v>154</v>
      </c>
      <c r="F10188" t="s">
        <v>6</v>
      </c>
      <c r="G10188" s="18">
        <v>30</v>
      </c>
      <c r="H10188" t="s">
        <v>16</v>
      </c>
      <c r="I10188" t="s">
        <v>25</v>
      </c>
    </row>
    <row r="10189" spans="1:9" x14ac:dyDescent="0.25">
      <c r="A10189">
        <v>1827</v>
      </c>
      <c r="B10189">
        <f>A10189+1</f>
        <v>1828</v>
      </c>
      <c r="C10189" t="s">
        <v>532</v>
      </c>
      <c r="D10189" t="s">
        <v>27</v>
      </c>
      <c r="E10189" s="208" t="s">
        <v>150</v>
      </c>
      <c r="F10189" t="s">
        <v>6</v>
      </c>
      <c r="G10189" s="18">
        <v>334</v>
      </c>
      <c r="H10189" t="s">
        <v>16</v>
      </c>
      <c r="I10189" t="s">
        <v>25</v>
      </c>
    </row>
    <row r="10190" spans="1:9" x14ac:dyDescent="0.25">
      <c r="A10190">
        <v>1827</v>
      </c>
      <c r="B10190">
        <f>A10190+1</f>
        <v>1828</v>
      </c>
      <c r="C10190" t="s">
        <v>532</v>
      </c>
      <c r="D10190" t="s">
        <v>27</v>
      </c>
      <c r="E10190" s="208" t="s">
        <v>148</v>
      </c>
      <c r="F10190" t="s">
        <v>6</v>
      </c>
      <c r="G10190" s="18">
        <v>33</v>
      </c>
      <c r="H10190" t="s">
        <v>16</v>
      </c>
      <c r="I10190" t="s">
        <v>25</v>
      </c>
    </row>
    <row r="10191" spans="1:9" x14ac:dyDescent="0.25">
      <c r="A10191">
        <v>1827</v>
      </c>
      <c r="B10191">
        <f>A10191+1</f>
        <v>1828</v>
      </c>
      <c r="C10191" t="s">
        <v>532</v>
      </c>
      <c r="D10191" t="s">
        <v>27</v>
      </c>
      <c r="E10191" s="208" t="s">
        <v>147</v>
      </c>
      <c r="F10191" t="s">
        <v>6</v>
      </c>
      <c r="G10191" s="18">
        <v>1107</v>
      </c>
      <c r="H10191" t="s">
        <v>16</v>
      </c>
      <c r="I10191" t="s">
        <v>25</v>
      </c>
    </row>
    <row r="10192" spans="1:9" x14ac:dyDescent="0.25">
      <c r="A10192">
        <v>1827</v>
      </c>
      <c r="B10192">
        <f>A10192+1</f>
        <v>1828</v>
      </c>
      <c r="C10192" t="s">
        <v>532</v>
      </c>
      <c r="D10192" t="s">
        <v>27</v>
      </c>
      <c r="E10192" s="208" t="s">
        <v>139</v>
      </c>
      <c r="F10192" t="s">
        <v>6</v>
      </c>
      <c r="G10192" s="18">
        <v>0</v>
      </c>
      <c r="H10192" t="s">
        <v>16</v>
      </c>
      <c r="I10192" t="s">
        <v>25</v>
      </c>
    </row>
    <row r="10193" spans="1:9" x14ac:dyDescent="0.25">
      <c r="A10193">
        <v>1827</v>
      </c>
      <c r="B10193">
        <f>A10193+1</f>
        <v>1828</v>
      </c>
      <c r="C10193" t="s">
        <v>532</v>
      </c>
      <c r="D10193" t="s">
        <v>27</v>
      </c>
      <c r="E10193" s="208" t="s">
        <v>131</v>
      </c>
      <c r="F10193" t="s">
        <v>6</v>
      </c>
      <c r="G10193" s="18">
        <v>0</v>
      </c>
      <c r="H10193" t="s">
        <v>16</v>
      </c>
      <c r="I10193" t="s">
        <v>25</v>
      </c>
    </row>
    <row r="10194" spans="1:9" x14ac:dyDescent="0.25">
      <c r="A10194">
        <v>1827</v>
      </c>
      <c r="B10194">
        <f>A10194+1</f>
        <v>1828</v>
      </c>
      <c r="C10194" t="s">
        <v>532</v>
      </c>
      <c r="D10194" t="s">
        <v>27</v>
      </c>
      <c r="E10194" s="208" t="s">
        <v>130</v>
      </c>
      <c r="F10194" t="s">
        <v>6</v>
      </c>
      <c r="G10194" s="18">
        <v>0</v>
      </c>
      <c r="H10194" t="s">
        <v>25</v>
      </c>
      <c r="I10194" t="s">
        <v>16</v>
      </c>
    </row>
    <row r="10195" spans="1:9" x14ac:dyDescent="0.25">
      <c r="A10195">
        <v>1827</v>
      </c>
      <c r="B10195">
        <f>A10195+1</f>
        <v>1828</v>
      </c>
      <c r="C10195" t="s">
        <v>532</v>
      </c>
      <c r="D10195" t="s">
        <v>27</v>
      </c>
      <c r="E10195" s="208" t="s">
        <v>124</v>
      </c>
      <c r="F10195" t="s">
        <v>6</v>
      </c>
      <c r="G10195" s="18">
        <v>259413</v>
      </c>
      <c r="H10195" t="s">
        <v>25</v>
      </c>
      <c r="I10195" t="s">
        <v>16</v>
      </c>
    </row>
    <row r="10196" spans="1:9" x14ac:dyDescent="0.25">
      <c r="A10196">
        <v>1827</v>
      </c>
      <c r="B10196">
        <f>A10196+1</f>
        <v>1828</v>
      </c>
      <c r="C10196" t="s">
        <v>532</v>
      </c>
      <c r="D10196" t="s">
        <v>27</v>
      </c>
      <c r="E10196" s="208" t="s">
        <v>145</v>
      </c>
      <c r="F10196" t="s">
        <v>6</v>
      </c>
      <c r="G10196" s="18">
        <v>180219</v>
      </c>
      <c r="H10196" t="s">
        <v>25</v>
      </c>
      <c r="I10196" t="s">
        <v>16</v>
      </c>
    </row>
    <row r="10197" spans="1:9" x14ac:dyDescent="0.25">
      <c r="A10197">
        <v>1827</v>
      </c>
      <c r="B10197">
        <f>A10197+1</f>
        <v>1828</v>
      </c>
      <c r="C10197" t="s">
        <v>532</v>
      </c>
      <c r="D10197" t="s">
        <v>27</v>
      </c>
      <c r="E10197" s="208" t="s">
        <v>114</v>
      </c>
      <c r="F10197" t="s">
        <v>6</v>
      </c>
      <c r="G10197" s="18">
        <v>18</v>
      </c>
      <c r="H10197" t="s">
        <v>25</v>
      </c>
      <c r="I10197" t="s">
        <v>16</v>
      </c>
    </row>
    <row r="10198" spans="1:9" x14ac:dyDescent="0.25">
      <c r="A10198">
        <v>1827</v>
      </c>
      <c r="B10198">
        <f>A10198+1</f>
        <v>1828</v>
      </c>
      <c r="C10198" t="s">
        <v>532</v>
      </c>
      <c r="D10198" t="s">
        <v>27</v>
      </c>
      <c r="E10198" s="208" t="s">
        <v>116</v>
      </c>
      <c r="F10198" t="s">
        <v>6</v>
      </c>
      <c r="G10198" s="18">
        <v>0</v>
      </c>
      <c r="H10198" t="s">
        <v>25</v>
      </c>
      <c r="I10198" t="s">
        <v>16</v>
      </c>
    </row>
    <row r="10199" spans="1:9" x14ac:dyDescent="0.25">
      <c r="A10199">
        <v>1827</v>
      </c>
      <c r="B10199">
        <f>A10199+1</f>
        <v>1828</v>
      </c>
      <c r="C10199" t="s">
        <v>532</v>
      </c>
      <c r="D10199" t="s">
        <v>27</v>
      </c>
      <c r="E10199" s="208" t="s">
        <v>137</v>
      </c>
      <c r="F10199" t="s">
        <v>6</v>
      </c>
      <c r="G10199" s="18">
        <v>40</v>
      </c>
      <c r="H10199" t="s">
        <v>25</v>
      </c>
      <c r="I10199" t="s">
        <v>16</v>
      </c>
    </row>
    <row r="10200" spans="1:9" x14ac:dyDescent="0.25">
      <c r="A10200">
        <v>1827</v>
      </c>
      <c r="B10200">
        <f>A10200+1</f>
        <v>1828</v>
      </c>
      <c r="C10200" t="s">
        <v>532</v>
      </c>
      <c r="D10200" t="s">
        <v>27</v>
      </c>
      <c r="E10200" s="208" t="s">
        <v>157</v>
      </c>
      <c r="F10200" t="s">
        <v>6</v>
      </c>
      <c r="G10200" s="18">
        <v>0</v>
      </c>
      <c r="H10200" t="s">
        <v>25</v>
      </c>
      <c r="I10200" t="s">
        <v>16</v>
      </c>
    </row>
    <row r="10201" spans="1:9" x14ac:dyDescent="0.25">
      <c r="A10201">
        <v>1827</v>
      </c>
      <c r="B10201">
        <f>A10201+1</f>
        <v>1828</v>
      </c>
      <c r="C10201" t="s">
        <v>532</v>
      </c>
      <c r="D10201" t="s">
        <v>27</v>
      </c>
      <c r="E10201" s="208" t="s">
        <v>127</v>
      </c>
      <c r="F10201" t="s">
        <v>6</v>
      </c>
      <c r="G10201" s="18">
        <v>0</v>
      </c>
      <c r="H10201" t="s">
        <v>25</v>
      </c>
      <c r="I10201" t="s">
        <v>16</v>
      </c>
    </row>
    <row r="10202" spans="1:9" x14ac:dyDescent="0.25">
      <c r="A10202">
        <v>1827</v>
      </c>
      <c r="B10202">
        <f>A10202+1</f>
        <v>1828</v>
      </c>
      <c r="C10202" t="s">
        <v>532</v>
      </c>
      <c r="D10202" t="s">
        <v>27</v>
      </c>
      <c r="E10202" s="208" t="s">
        <v>133</v>
      </c>
      <c r="F10202" t="s">
        <v>6</v>
      </c>
      <c r="G10202" s="18">
        <v>0</v>
      </c>
      <c r="H10202" t="s">
        <v>25</v>
      </c>
      <c r="I10202" t="s">
        <v>16</v>
      </c>
    </row>
    <row r="10203" spans="1:9" x14ac:dyDescent="0.25">
      <c r="A10203">
        <v>1827</v>
      </c>
      <c r="B10203">
        <f>A10203+1</f>
        <v>1828</v>
      </c>
      <c r="C10203" t="s">
        <v>532</v>
      </c>
      <c r="D10203" t="s">
        <v>27</v>
      </c>
      <c r="E10203" s="208" t="s">
        <v>74</v>
      </c>
      <c r="F10203" t="s">
        <v>6</v>
      </c>
      <c r="G10203" s="18">
        <v>0</v>
      </c>
      <c r="H10203" t="s">
        <v>25</v>
      </c>
      <c r="I10203" t="s">
        <v>16</v>
      </c>
    </row>
    <row r="10204" spans="1:9" x14ac:dyDescent="0.25">
      <c r="A10204">
        <v>1827</v>
      </c>
      <c r="B10204">
        <f>A10204+1</f>
        <v>1828</v>
      </c>
      <c r="C10204" t="s">
        <v>532</v>
      </c>
      <c r="D10204" t="s">
        <v>27</v>
      </c>
      <c r="E10204" s="208" t="s">
        <v>129</v>
      </c>
      <c r="F10204" t="s">
        <v>6</v>
      </c>
      <c r="G10204" s="18">
        <v>0</v>
      </c>
      <c r="H10204" t="s">
        <v>25</v>
      </c>
      <c r="I10204" t="s">
        <v>16</v>
      </c>
    </row>
    <row r="10205" spans="1:9" x14ac:dyDescent="0.25">
      <c r="A10205">
        <v>1827</v>
      </c>
      <c r="B10205">
        <f>A10205+1</f>
        <v>1828</v>
      </c>
      <c r="C10205" t="s">
        <v>532</v>
      </c>
      <c r="D10205" t="s">
        <v>27</v>
      </c>
      <c r="E10205" s="208" t="s">
        <v>141</v>
      </c>
      <c r="F10205" t="s">
        <v>6</v>
      </c>
      <c r="G10205" s="18">
        <v>0</v>
      </c>
      <c r="H10205" t="s">
        <v>25</v>
      </c>
      <c r="I10205" t="s">
        <v>16</v>
      </c>
    </row>
    <row r="10206" spans="1:9" x14ac:dyDescent="0.25">
      <c r="A10206">
        <v>1827</v>
      </c>
      <c r="B10206">
        <f>A10206+1</f>
        <v>1828</v>
      </c>
      <c r="C10206" t="s">
        <v>532</v>
      </c>
      <c r="D10206" t="s">
        <v>27</v>
      </c>
      <c r="E10206" s="208" t="s">
        <v>135</v>
      </c>
      <c r="F10206" t="s">
        <v>6</v>
      </c>
      <c r="G10206" s="18">
        <v>0</v>
      </c>
      <c r="H10206" t="s">
        <v>25</v>
      </c>
      <c r="I10206" t="s">
        <v>16</v>
      </c>
    </row>
    <row r="10207" spans="1:9" x14ac:dyDescent="0.25">
      <c r="A10207">
        <v>1827</v>
      </c>
      <c r="B10207">
        <f>A10207+1</f>
        <v>1828</v>
      </c>
      <c r="C10207" t="s">
        <v>532</v>
      </c>
      <c r="D10207" t="s">
        <v>27</v>
      </c>
      <c r="E10207" s="208" t="s">
        <v>128</v>
      </c>
      <c r="F10207" t="s">
        <v>6</v>
      </c>
      <c r="G10207" s="18">
        <v>0</v>
      </c>
      <c r="H10207" t="s">
        <v>25</v>
      </c>
      <c r="I10207" t="s">
        <v>16</v>
      </c>
    </row>
    <row r="10208" spans="1:9" x14ac:dyDescent="0.25">
      <c r="A10208">
        <v>1827</v>
      </c>
      <c r="B10208">
        <f>A10208+1</f>
        <v>1828</v>
      </c>
      <c r="C10208" t="s">
        <v>532</v>
      </c>
      <c r="D10208" t="s">
        <v>27</v>
      </c>
      <c r="E10208" s="208" t="s">
        <v>138</v>
      </c>
      <c r="F10208" t="s">
        <v>6</v>
      </c>
      <c r="G10208" s="18">
        <v>0</v>
      </c>
      <c r="H10208" t="s">
        <v>16</v>
      </c>
      <c r="I10208" t="s">
        <v>18</v>
      </c>
    </row>
    <row r="10209" spans="1:9" x14ac:dyDescent="0.25">
      <c r="A10209">
        <v>1827</v>
      </c>
      <c r="B10209">
        <f>A10209+1</f>
        <v>1828</v>
      </c>
      <c r="C10209" t="s">
        <v>532</v>
      </c>
      <c r="D10209" t="s">
        <v>27</v>
      </c>
      <c r="E10209" s="208" t="s">
        <v>118</v>
      </c>
      <c r="F10209" t="s">
        <v>6</v>
      </c>
      <c r="G10209" s="18">
        <v>0</v>
      </c>
      <c r="H10209" t="s">
        <v>16</v>
      </c>
      <c r="I10209" t="s">
        <v>18</v>
      </c>
    </row>
    <row r="10210" spans="1:9" x14ac:dyDescent="0.25">
      <c r="A10210">
        <v>1827</v>
      </c>
      <c r="B10210">
        <f>A10210+1</f>
        <v>1828</v>
      </c>
      <c r="C10210" t="s">
        <v>532</v>
      </c>
      <c r="D10210" t="s">
        <v>27</v>
      </c>
      <c r="E10210" s="208" t="s">
        <v>134</v>
      </c>
      <c r="F10210" t="s">
        <v>6</v>
      </c>
      <c r="G10210" s="18">
        <v>0</v>
      </c>
      <c r="H10210" t="s">
        <v>16</v>
      </c>
      <c r="I10210" t="s">
        <v>18</v>
      </c>
    </row>
    <row r="10211" spans="1:9" x14ac:dyDescent="0.25">
      <c r="A10211">
        <v>1827</v>
      </c>
      <c r="B10211">
        <f>A10211+1</f>
        <v>1828</v>
      </c>
      <c r="C10211" t="s">
        <v>532</v>
      </c>
      <c r="D10211" t="s">
        <v>26</v>
      </c>
      <c r="E10211" s="208" t="s">
        <v>62</v>
      </c>
      <c r="F10211" t="s">
        <v>6</v>
      </c>
      <c r="G10211" s="18">
        <v>26820</v>
      </c>
      <c r="H10211" t="s">
        <v>16</v>
      </c>
      <c r="I10211" t="s">
        <v>18</v>
      </c>
    </row>
    <row r="10212" spans="1:9" x14ac:dyDescent="0.25">
      <c r="A10212">
        <v>1827</v>
      </c>
      <c r="B10212">
        <f>A10212+1</f>
        <v>1828</v>
      </c>
      <c r="C10212" t="s">
        <v>532</v>
      </c>
      <c r="D10212" t="s">
        <v>26</v>
      </c>
      <c r="E10212" s="208" t="s">
        <v>55</v>
      </c>
      <c r="F10212" t="s">
        <v>6</v>
      </c>
      <c r="G10212" s="18">
        <v>7377</v>
      </c>
      <c r="H10212" t="s">
        <v>16</v>
      </c>
      <c r="I10212" t="s">
        <v>18</v>
      </c>
    </row>
    <row r="10213" spans="1:9" x14ac:dyDescent="0.25">
      <c r="A10213">
        <v>1827</v>
      </c>
      <c r="B10213">
        <f>A10213+1</f>
        <v>1828</v>
      </c>
      <c r="C10213" t="s">
        <v>532</v>
      </c>
      <c r="D10213" t="s">
        <v>26</v>
      </c>
      <c r="E10213" s="208" t="s">
        <v>35</v>
      </c>
      <c r="F10213" t="s">
        <v>6</v>
      </c>
      <c r="G10213" s="18">
        <v>0</v>
      </c>
      <c r="H10213" t="s">
        <v>16</v>
      </c>
      <c r="I10213" t="s">
        <v>18</v>
      </c>
    </row>
    <row r="10214" spans="1:9" x14ac:dyDescent="0.25">
      <c r="A10214">
        <v>1827</v>
      </c>
      <c r="B10214">
        <f>A10214+1</f>
        <v>1828</v>
      </c>
      <c r="C10214" t="s">
        <v>532</v>
      </c>
      <c r="D10214" t="s">
        <v>26</v>
      </c>
      <c r="E10214" s="208" t="s">
        <v>40</v>
      </c>
      <c r="F10214" t="s">
        <v>6</v>
      </c>
      <c r="G10214" s="18">
        <v>170575</v>
      </c>
      <c r="H10214" t="s">
        <v>16</v>
      </c>
      <c r="I10214" t="s">
        <v>18</v>
      </c>
    </row>
    <row r="10215" spans="1:9" x14ac:dyDescent="0.25">
      <c r="A10215">
        <v>1827</v>
      </c>
      <c r="B10215">
        <f>A10215+1</f>
        <v>1828</v>
      </c>
      <c r="C10215" t="s">
        <v>532</v>
      </c>
      <c r="D10215" t="s">
        <v>26</v>
      </c>
      <c r="E10215" s="208" t="s">
        <v>98</v>
      </c>
      <c r="F10215" t="s">
        <v>6</v>
      </c>
      <c r="G10215" s="18">
        <v>899746</v>
      </c>
      <c r="H10215" t="s">
        <v>16</v>
      </c>
      <c r="I10215" t="s">
        <v>18</v>
      </c>
    </row>
    <row r="10216" spans="1:9" x14ac:dyDescent="0.25">
      <c r="A10216">
        <v>1827</v>
      </c>
      <c r="B10216">
        <f>A10216+1</f>
        <v>1828</v>
      </c>
      <c r="C10216" t="s">
        <v>532</v>
      </c>
      <c r="D10216" t="s">
        <v>26</v>
      </c>
      <c r="E10216" s="208" t="s">
        <v>435</v>
      </c>
      <c r="F10216" t="s">
        <v>6</v>
      </c>
      <c r="G10216" s="18">
        <v>23666</v>
      </c>
      <c r="H10216" t="s">
        <v>16</v>
      </c>
      <c r="I10216" t="s">
        <v>18</v>
      </c>
    </row>
    <row r="10217" spans="1:9" x14ac:dyDescent="0.25">
      <c r="A10217">
        <v>1827</v>
      </c>
      <c r="B10217">
        <f>A10217+1</f>
        <v>1828</v>
      </c>
      <c r="C10217" t="s">
        <v>532</v>
      </c>
      <c r="D10217" t="s">
        <v>26</v>
      </c>
      <c r="E10217" s="208" t="s">
        <v>107</v>
      </c>
      <c r="F10217" t="s">
        <v>6</v>
      </c>
      <c r="G10217" s="18">
        <v>1011543</v>
      </c>
      <c r="H10217" t="s">
        <v>16</v>
      </c>
      <c r="I10217" t="s">
        <v>18</v>
      </c>
    </row>
    <row r="10218" spans="1:9" x14ac:dyDescent="0.25">
      <c r="A10218">
        <v>1827</v>
      </c>
      <c r="B10218">
        <f>A10218+1</f>
        <v>1828</v>
      </c>
      <c r="C10218" t="s">
        <v>532</v>
      </c>
      <c r="D10218" t="s">
        <v>26</v>
      </c>
      <c r="E10218" s="208" t="s">
        <v>101</v>
      </c>
      <c r="F10218" t="s">
        <v>6</v>
      </c>
      <c r="G10218" s="18">
        <v>1626557</v>
      </c>
      <c r="H10218" t="s">
        <v>16</v>
      </c>
      <c r="I10218" t="s">
        <v>18</v>
      </c>
    </row>
    <row r="10219" spans="1:9" x14ac:dyDescent="0.25">
      <c r="A10219">
        <v>1827</v>
      </c>
      <c r="B10219">
        <f>A10219+1</f>
        <v>1828</v>
      </c>
      <c r="C10219" t="s">
        <v>532</v>
      </c>
      <c r="D10219" t="s">
        <v>26</v>
      </c>
      <c r="E10219" s="208" t="s">
        <v>75</v>
      </c>
      <c r="F10219" t="s">
        <v>6</v>
      </c>
      <c r="G10219" s="18">
        <v>639681</v>
      </c>
      <c r="H10219" t="s">
        <v>16</v>
      </c>
      <c r="I10219" t="s">
        <v>18</v>
      </c>
    </row>
    <row r="10220" spans="1:9" x14ac:dyDescent="0.25">
      <c r="A10220">
        <v>1827</v>
      </c>
      <c r="B10220">
        <f>A10220+1</f>
        <v>1828</v>
      </c>
      <c r="C10220" t="s">
        <v>532</v>
      </c>
      <c r="D10220" t="s">
        <v>26</v>
      </c>
      <c r="E10220" s="208" t="s">
        <v>66</v>
      </c>
      <c r="F10220" t="s">
        <v>6</v>
      </c>
      <c r="G10220" s="18">
        <v>0</v>
      </c>
      <c r="H10220" t="s">
        <v>16</v>
      </c>
      <c r="I10220" t="s">
        <v>18</v>
      </c>
    </row>
    <row r="10221" spans="1:9" x14ac:dyDescent="0.25">
      <c r="A10221">
        <v>1827</v>
      </c>
      <c r="B10221">
        <f>A10221+1</f>
        <v>1828</v>
      </c>
      <c r="C10221" t="s">
        <v>532</v>
      </c>
      <c r="D10221" t="s">
        <v>26</v>
      </c>
      <c r="E10221" s="208" t="s">
        <v>330</v>
      </c>
      <c r="F10221" t="s">
        <v>6</v>
      </c>
      <c r="G10221" s="18">
        <v>78</v>
      </c>
      <c r="H10221" t="s">
        <v>16</v>
      </c>
      <c r="I10221" t="s">
        <v>18</v>
      </c>
    </row>
    <row r="10222" spans="1:9" x14ac:dyDescent="0.25">
      <c r="A10222">
        <v>1827</v>
      </c>
      <c r="B10222">
        <f>A10222+1</f>
        <v>1828</v>
      </c>
      <c r="C10222" t="s">
        <v>532</v>
      </c>
      <c r="D10222" t="s">
        <v>26</v>
      </c>
      <c r="E10222" s="208" t="s">
        <v>331</v>
      </c>
      <c r="F10222" t="s">
        <v>6</v>
      </c>
      <c r="G10222" s="18">
        <v>36</v>
      </c>
      <c r="H10222" t="s">
        <v>16</v>
      </c>
      <c r="I10222" t="s">
        <v>18</v>
      </c>
    </row>
    <row r="10223" spans="1:9" x14ac:dyDescent="0.25">
      <c r="A10223">
        <v>1827</v>
      </c>
      <c r="B10223">
        <f>A10223+1</f>
        <v>1828</v>
      </c>
      <c r="C10223" t="s">
        <v>532</v>
      </c>
      <c r="D10223" t="s">
        <v>26</v>
      </c>
      <c r="E10223" s="208" t="s">
        <v>333</v>
      </c>
      <c r="F10223" t="s">
        <v>6</v>
      </c>
      <c r="G10223" s="18">
        <v>8</v>
      </c>
      <c r="H10223" t="s">
        <v>16</v>
      </c>
      <c r="I10223" t="s">
        <v>18</v>
      </c>
    </row>
    <row r="10224" spans="1:9" x14ac:dyDescent="0.25">
      <c r="A10224">
        <v>1827</v>
      </c>
      <c r="B10224">
        <f>A10224+1</f>
        <v>1828</v>
      </c>
      <c r="C10224" t="s">
        <v>532</v>
      </c>
      <c r="D10224" t="s">
        <v>26</v>
      </c>
      <c r="E10224" s="208" t="s">
        <v>332</v>
      </c>
      <c r="F10224" t="s">
        <v>6</v>
      </c>
      <c r="G10224" s="18">
        <v>107</v>
      </c>
      <c r="H10224" t="s">
        <v>16</v>
      </c>
      <c r="I10224" t="s">
        <v>18</v>
      </c>
    </row>
    <row r="10225" spans="1:9" x14ac:dyDescent="0.25">
      <c r="A10225">
        <v>1827</v>
      </c>
      <c r="B10225">
        <f>A10225+1</f>
        <v>1828</v>
      </c>
      <c r="C10225" t="s">
        <v>532</v>
      </c>
      <c r="D10225" t="s">
        <v>27</v>
      </c>
      <c r="E10225" s="208" t="s">
        <v>155</v>
      </c>
      <c r="F10225" t="s">
        <v>0</v>
      </c>
      <c r="G10225" s="18">
        <v>12998</v>
      </c>
      <c r="H10225" t="s">
        <v>16</v>
      </c>
      <c r="I10225" t="s">
        <v>18</v>
      </c>
    </row>
    <row r="10226" spans="1:9" x14ac:dyDescent="0.25">
      <c r="A10226">
        <v>1827</v>
      </c>
      <c r="B10226">
        <f>A10226+1</f>
        <v>1828</v>
      </c>
      <c r="C10226" t="s">
        <v>532</v>
      </c>
      <c r="D10226" t="s">
        <v>27</v>
      </c>
      <c r="E10226" s="208" t="s">
        <v>156</v>
      </c>
      <c r="F10226" t="s">
        <v>0</v>
      </c>
      <c r="G10226" s="18">
        <v>1200</v>
      </c>
      <c r="H10226" t="s">
        <v>16</v>
      </c>
      <c r="I10226" t="s">
        <v>18</v>
      </c>
    </row>
    <row r="10227" spans="1:9" x14ac:dyDescent="0.25">
      <c r="A10227">
        <v>1827</v>
      </c>
      <c r="B10227">
        <f>A10227+1</f>
        <v>1828</v>
      </c>
      <c r="C10227" t="s">
        <v>532</v>
      </c>
      <c r="D10227" t="s">
        <v>27</v>
      </c>
      <c r="E10227" s="208" t="s">
        <v>154</v>
      </c>
      <c r="F10227" t="s">
        <v>0</v>
      </c>
      <c r="G10227" s="18">
        <v>733</v>
      </c>
      <c r="H10227" t="s">
        <v>16</v>
      </c>
      <c r="I10227" t="s">
        <v>18</v>
      </c>
    </row>
    <row r="10228" spans="1:9" x14ac:dyDescent="0.25">
      <c r="A10228">
        <v>1827</v>
      </c>
      <c r="B10228">
        <f>A10228+1</f>
        <v>1828</v>
      </c>
      <c r="C10228" t="s">
        <v>532</v>
      </c>
      <c r="D10228" t="s">
        <v>27</v>
      </c>
      <c r="E10228" s="208" t="s">
        <v>150</v>
      </c>
      <c r="F10228" t="s">
        <v>0</v>
      </c>
      <c r="G10228" s="18">
        <v>6295</v>
      </c>
      <c r="H10228" t="s">
        <v>16</v>
      </c>
      <c r="I10228" t="s">
        <v>18</v>
      </c>
    </row>
    <row r="10229" spans="1:9" x14ac:dyDescent="0.25">
      <c r="A10229">
        <v>1827</v>
      </c>
      <c r="B10229">
        <f>A10229+1</f>
        <v>1828</v>
      </c>
      <c r="C10229" t="s">
        <v>532</v>
      </c>
      <c r="D10229" t="s">
        <v>27</v>
      </c>
      <c r="E10229" s="208" t="s">
        <v>148</v>
      </c>
      <c r="F10229" t="s">
        <v>0</v>
      </c>
      <c r="G10229" s="18">
        <v>871</v>
      </c>
      <c r="H10229" t="s">
        <v>16</v>
      </c>
      <c r="I10229" t="s">
        <v>18</v>
      </c>
    </row>
    <row r="10230" spans="1:9" x14ac:dyDescent="0.25">
      <c r="A10230">
        <v>1827</v>
      </c>
      <c r="B10230">
        <f>A10230+1</f>
        <v>1828</v>
      </c>
      <c r="C10230" t="s">
        <v>532</v>
      </c>
      <c r="D10230" t="s">
        <v>27</v>
      </c>
      <c r="E10230" s="208" t="s">
        <v>147</v>
      </c>
      <c r="F10230" t="s">
        <v>0</v>
      </c>
      <c r="G10230" s="18">
        <v>122</v>
      </c>
      <c r="H10230" t="s">
        <v>16</v>
      </c>
      <c r="I10230" t="s">
        <v>18</v>
      </c>
    </row>
    <row r="10231" spans="1:9" x14ac:dyDescent="0.25">
      <c r="A10231">
        <v>1827</v>
      </c>
      <c r="B10231">
        <f>A10231+1</f>
        <v>1828</v>
      </c>
      <c r="C10231" t="s">
        <v>532</v>
      </c>
      <c r="D10231" t="s">
        <v>27</v>
      </c>
      <c r="E10231" s="208" t="s">
        <v>139</v>
      </c>
      <c r="F10231" t="s">
        <v>0</v>
      </c>
      <c r="G10231" s="18">
        <v>56</v>
      </c>
      <c r="H10231" t="s">
        <v>16</v>
      </c>
      <c r="I10231" t="s">
        <v>18</v>
      </c>
    </row>
    <row r="10232" spans="1:9" x14ac:dyDescent="0.25">
      <c r="A10232">
        <v>1827</v>
      </c>
      <c r="B10232">
        <f>A10232+1</f>
        <v>1828</v>
      </c>
      <c r="C10232" t="s">
        <v>532</v>
      </c>
      <c r="D10232" t="s">
        <v>27</v>
      </c>
      <c r="E10232" s="208" t="s">
        <v>131</v>
      </c>
      <c r="F10232" t="s">
        <v>0</v>
      </c>
      <c r="G10232" s="18">
        <v>165</v>
      </c>
      <c r="H10232" t="s">
        <v>16</v>
      </c>
      <c r="I10232" t="s">
        <v>18</v>
      </c>
    </row>
    <row r="10233" spans="1:9" x14ac:dyDescent="0.25">
      <c r="A10233">
        <v>1827</v>
      </c>
      <c r="B10233">
        <f>A10233+1</f>
        <v>1828</v>
      </c>
      <c r="C10233" t="s">
        <v>532</v>
      </c>
      <c r="D10233" t="s">
        <v>27</v>
      </c>
      <c r="E10233" s="208" t="s">
        <v>130</v>
      </c>
      <c r="F10233" t="s">
        <v>0</v>
      </c>
      <c r="G10233" s="18">
        <v>34</v>
      </c>
      <c r="H10233" t="s">
        <v>18</v>
      </c>
      <c r="I10233" t="s">
        <v>16</v>
      </c>
    </row>
    <row r="10234" spans="1:9" x14ac:dyDescent="0.25">
      <c r="A10234">
        <v>1827</v>
      </c>
      <c r="B10234">
        <f>A10234+1</f>
        <v>1828</v>
      </c>
      <c r="C10234" t="s">
        <v>532</v>
      </c>
      <c r="D10234" t="s">
        <v>27</v>
      </c>
      <c r="E10234" s="208" t="s">
        <v>124</v>
      </c>
      <c r="F10234" t="s">
        <v>0</v>
      </c>
      <c r="G10234" s="18">
        <v>6202685</v>
      </c>
      <c r="H10234" t="s">
        <v>18</v>
      </c>
      <c r="I10234" t="s">
        <v>16</v>
      </c>
    </row>
    <row r="10235" spans="1:9" x14ac:dyDescent="0.25">
      <c r="A10235">
        <v>1827</v>
      </c>
      <c r="B10235">
        <f>A10235+1</f>
        <v>1828</v>
      </c>
      <c r="C10235" t="s">
        <v>532</v>
      </c>
      <c r="D10235" t="s">
        <v>27</v>
      </c>
      <c r="E10235" s="208" t="s">
        <v>145</v>
      </c>
      <c r="F10235" t="s">
        <v>0</v>
      </c>
      <c r="G10235" s="18">
        <v>117545</v>
      </c>
      <c r="H10235" t="s">
        <v>160</v>
      </c>
      <c r="I10235" t="s">
        <v>16</v>
      </c>
    </row>
    <row r="10236" spans="1:9" x14ac:dyDescent="0.25">
      <c r="A10236">
        <v>1827</v>
      </c>
      <c r="B10236">
        <f>A10236+1</f>
        <v>1828</v>
      </c>
      <c r="C10236" t="s">
        <v>532</v>
      </c>
      <c r="D10236" t="s">
        <v>27</v>
      </c>
      <c r="E10236" s="208" t="s">
        <v>114</v>
      </c>
      <c r="F10236" t="s">
        <v>0</v>
      </c>
      <c r="G10236" s="18">
        <v>152</v>
      </c>
      <c r="H10236" t="s">
        <v>160</v>
      </c>
      <c r="I10236" t="s">
        <v>16</v>
      </c>
    </row>
    <row r="10237" spans="1:9" x14ac:dyDescent="0.25">
      <c r="A10237">
        <v>1827</v>
      </c>
      <c r="B10237">
        <f>A10237+1</f>
        <v>1828</v>
      </c>
      <c r="C10237" t="s">
        <v>532</v>
      </c>
      <c r="D10237" t="s">
        <v>27</v>
      </c>
      <c r="E10237" s="208" t="s">
        <v>116</v>
      </c>
      <c r="F10237" t="s">
        <v>0</v>
      </c>
      <c r="G10237" s="18">
        <v>482</v>
      </c>
      <c r="H10237" t="s">
        <v>160</v>
      </c>
      <c r="I10237" t="s">
        <v>16</v>
      </c>
    </row>
    <row r="10238" spans="1:9" x14ac:dyDescent="0.25">
      <c r="A10238">
        <v>1827</v>
      </c>
      <c r="B10238">
        <f>A10238+1</f>
        <v>1828</v>
      </c>
      <c r="C10238" t="s">
        <v>532</v>
      </c>
      <c r="D10238" t="s">
        <v>27</v>
      </c>
      <c r="E10238" s="208" t="s">
        <v>137</v>
      </c>
      <c r="F10238" t="s">
        <v>0</v>
      </c>
      <c r="G10238" s="18">
        <v>1</v>
      </c>
      <c r="H10238" t="s">
        <v>160</v>
      </c>
      <c r="I10238" t="s">
        <v>16</v>
      </c>
    </row>
    <row r="10239" spans="1:9" x14ac:dyDescent="0.25">
      <c r="A10239">
        <v>1827</v>
      </c>
      <c r="B10239">
        <f>A10239+1</f>
        <v>1828</v>
      </c>
      <c r="C10239" t="s">
        <v>532</v>
      </c>
      <c r="D10239" t="s">
        <v>27</v>
      </c>
      <c r="E10239" s="208" t="s">
        <v>157</v>
      </c>
      <c r="F10239" t="s">
        <v>0</v>
      </c>
      <c r="G10239" s="18">
        <v>594</v>
      </c>
      <c r="H10239" t="s">
        <v>160</v>
      </c>
      <c r="I10239" t="s">
        <v>16</v>
      </c>
    </row>
    <row r="10240" spans="1:9" x14ac:dyDescent="0.25">
      <c r="A10240">
        <v>1827</v>
      </c>
      <c r="B10240">
        <f>A10240+1</f>
        <v>1828</v>
      </c>
      <c r="C10240" t="s">
        <v>532</v>
      </c>
      <c r="D10240" t="s">
        <v>27</v>
      </c>
      <c r="E10240" s="208" t="s">
        <v>127</v>
      </c>
      <c r="F10240" t="s">
        <v>0</v>
      </c>
      <c r="G10240" s="18">
        <v>239</v>
      </c>
      <c r="H10240" t="s">
        <v>160</v>
      </c>
      <c r="I10240" t="s">
        <v>16</v>
      </c>
    </row>
    <row r="10241" spans="1:9" x14ac:dyDescent="0.25">
      <c r="A10241">
        <v>1827</v>
      </c>
      <c r="B10241">
        <f>A10241+1</f>
        <v>1828</v>
      </c>
      <c r="C10241" t="s">
        <v>532</v>
      </c>
      <c r="D10241" t="s">
        <v>27</v>
      </c>
      <c r="E10241" s="208" t="s">
        <v>133</v>
      </c>
      <c r="F10241" t="s">
        <v>0</v>
      </c>
      <c r="G10241" s="18">
        <v>10086</v>
      </c>
      <c r="H10241" t="s">
        <v>160</v>
      </c>
      <c r="I10241" t="s">
        <v>16</v>
      </c>
    </row>
    <row r="10242" spans="1:9" x14ac:dyDescent="0.25">
      <c r="A10242">
        <v>1827</v>
      </c>
      <c r="B10242">
        <f>A10242+1</f>
        <v>1828</v>
      </c>
      <c r="C10242" t="s">
        <v>532</v>
      </c>
      <c r="D10242" t="s">
        <v>27</v>
      </c>
      <c r="E10242" s="208" t="s">
        <v>74</v>
      </c>
      <c r="F10242" t="s">
        <v>0</v>
      </c>
      <c r="G10242" s="18">
        <v>1351</v>
      </c>
      <c r="H10242" t="s">
        <v>160</v>
      </c>
      <c r="I10242" t="s">
        <v>16</v>
      </c>
    </row>
    <row r="10243" spans="1:9" x14ac:dyDescent="0.25">
      <c r="A10243">
        <v>1827</v>
      </c>
      <c r="B10243">
        <f>A10243+1</f>
        <v>1828</v>
      </c>
      <c r="C10243" t="s">
        <v>532</v>
      </c>
      <c r="D10243" t="s">
        <v>27</v>
      </c>
      <c r="E10243" s="208" t="s">
        <v>129</v>
      </c>
      <c r="F10243" t="s">
        <v>0</v>
      </c>
      <c r="G10243" s="18">
        <v>254</v>
      </c>
      <c r="H10243" t="s">
        <v>160</v>
      </c>
      <c r="I10243" t="s">
        <v>16</v>
      </c>
    </row>
    <row r="10244" spans="1:9" x14ac:dyDescent="0.25">
      <c r="A10244">
        <v>1827</v>
      </c>
      <c r="B10244">
        <f>A10244+1</f>
        <v>1828</v>
      </c>
      <c r="C10244" t="s">
        <v>532</v>
      </c>
      <c r="D10244" t="s">
        <v>27</v>
      </c>
      <c r="E10244" s="208" t="s">
        <v>141</v>
      </c>
      <c r="F10244" t="s">
        <v>0</v>
      </c>
      <c r="G10244" s="18">
        <v>303</v>
      </c>
      <c r="H10244" t="s">
        <v>160</v>
      </c>
      <c r="I10244" t="s">
        <v>16</v>
      </c>
    </row>
    <row r="10245" spans="1:9" x14ac:dyDescent="0.25">
      <c r="A10245">
        <v>1827</v>
      </c>
      <c r="B10245">
        <f>A10245+1</f>
        <v>1828</v>
      </c>
      <c r="C10245" t="s">
        <v>532</v>
      </c>
      <c r="D10245" t="s">
        <v>27</v>
      </c>
      <c r="E10245" s="208" t="s">
        <v>135</v>
      </c>
      <c r="F10245" t="s">
        <v>0</v>
      </c>
      <c r="G10245" s="18">
        <v>298</v>
      </c>
      <c r="H10245" t="s">
        <v>160</v>
      </c>
      <c r="I10245" t="s">
        <v>16</v>
      </c>
    </row>
    <row r="10246" spans="1:9" x14ac:dyDescent="0.25">
      <c r="A10246">
        <v>1827</v>
      </c>
      <c r="B10246">
        <f>A10246+1</f>
        <v>1828</v>
      </c>
      <c r="C10246" t="s">
        <v>532</v>
      </c>
      <c r="D10246" t="s">
        <v>27</v>
      </c>
      <c r="E10246" s="208" t="s">
        <v>128</v>
      </c>
      <c r="F10246" t="s">
        <v>0</v>
      </c>
      <c r="G10246" s="18">
        <v>218</v>
      </c>
      <c r="H10246" t="s">
        <v>160</v>
      </c>
      <c r="I10246" t="s">
        <v>16</v>
      </c>
    </row>
    <row r="10247" spans="1:9" x14ac:dyDescent="0.25">
      <c r="A10247">
        <v>1827</v>
      </c>
      <c r="B10247">
        <f>A10247+1</f>
        <v>1828</v>
      </c>
      <c r="C10247" t="s">
        <v>532</v>
      </c>
      <c r="D10247" t="s">
        <v>27</v>
      </c>
      <c r="E10247" s="208" t="s">
        <v>138</v>
      </c>
      <c r="F10247" t="s">
        <v>0</v>
      </c>
      <c r="G10247" s="18">
        <v>190</v>
      </c>
      <c r="H10247" t="s">
        <v>160</v>
      </c>
      <c r="I10247" t="s">
        <v>16</v>
      </c>
    </row>
    <row r="10248" spans="1:9" x14ac:dyDescent="0.25">
      <c r="A10248">
        <v>1827</v>
      </c>
      <c r="B10248">
        <f>A10248+1</f>
        <v>1828</v>
      </c>
      <c r="C10248" t="s">
        <v>532</v>
      </c>
      <c r="D10248" t="s">
        <v>27</v>
      </c>
      <c r="E10248" s="208" t="s">
        <v>118</v>
      </c>
      <c r="F10248" t="s">
        <v>0</v>
      </c>
      <c r="G10248" s="18">
        <v>44</v>
      </c>
      <c r="H10248" t="s">
        <v>160</v>
      </c>
      <c r="I10248" t="s">
        <v>16</v>
      </c>
    </row>
    <row r="10249" spans="1:9" x14ac:dyDescent="0.25">
      <c r="A10249">
        <v>1827</v>
      </c>
      <c r="B10249">
        <f>A10249+1</f>
        <v>1828</v>
      </c>
      <c r="C10249" t="s">
        <v>532</v>
      </c>
      <c r="D10249" t="s">
        <v>27</v>
      </c>
      <c r="E10249" s="208" t="s">
        <v>134</v>
      </c>
      <c r="F10249" t="s">
        <v>0</v>
      </c>
      <c r="G10249" s="18">
        <v>2553</v>
      </c>
      <c r="H10249" t="s">
        <v>16</v>
      </c>
      <c r="I10249" t="s">
        <v>21</v>
      </c>
    </row>
    <row r="10250" spans="1:9" x14ac:dyDescent="0.25">
      <c r="A10250">
        <v>1827</v>
      </c>
      <c r="B10250">
        <f>A10250+1</f>
        <v>1828</v>
      </c>
      <c r="C10250" t="s">
        <v>532</v>
      </c>
      <c r="D10250" t="s">
        <v>26</v>
      </c>
      <c r="E10250" s="208" t="s">
        <v>113</v>
      </c>
      <c r="F10250" t="s">
        <v>0</v>
      </c>
      <c r="G10250" s="18">
        <v>88</v>
      </c>
      <c r="H10250" t="s">
        <v>16</v>
      </c>
      <c r="I10250" t="s">
        <v>21</v>
      </c>
    </row>
    <row r="10251" spans="1:9" x14ac:dyDescent="0.25">
      <c r="A10251">
        <v>1827</v>
      </c>
      <c r="B10251">
        <f>A10251+1</f>
        <v>1828</v>
      </c>
      <c r="C10251" t="s">
        <v>532</v>
      </c>
      <c r="D10251" t="s">
        <v>26</v>
      </c>
      <c r="E10251" s="208" t="s">
        <v>112</v>
      </c>
      <c r="F10251" t="s">
        <v>0</v>
      </c>
      <c r="G10251" s="18">
        <v>86</v>
      </c>
      <c r="H10251" t="s">
        <v>16</v>
      </c>
      <c r="I10251" t="s">
        <v>21</v>
      </c>
    </row>
    <row r="10252" spans="1:9" x14ac:dyDescent="0.25">
      <c r="A10252">
        <v>1827</v>
      </c>
      <c r="B10252">
        <f>A10252+1</f>
        <v>1828</v>
      </c>
      <c r="C10252" t="s">
        <v>532</v>
      </c>
      <c r="D10252" t="s">
        <v>26</v>
      </c>
      <c r="E10252" s="208" t="s">
        <v>62</v>
      </c>
      <c r="F10252" t="s">
        <v>169</v>
      </c>
      <c r="G10252" s="18">
        <v>13851</v>
      </c>
      <c r="H10252" t="s">
        <v>16</v>
      </c>
      <c r="I10252" t="s">
        <v>21</v>
      </c>
    </row>
    <row r="10253" spans="1:9" x14ac:dyDescent="0.25">
      <c r="A10253">
        <v>1827</v>
      </c>
      <c r="B10253">
        <f>A10253+1</f>
        <v>1828</v>
      </c>
      <c r="C10253" t="s">
        <v>532</v>
      </c>
      <c r="D10253" t="s">
        <v>26</v>
      </c>
      <c r="E10253" s="208" t="s">
        <v>55</v>
      </c>
      <c r="F10253" t="s">
        <v>169</v>
      </c>
      <c r="G10253" s="18">
        <v>79</v>
      </c>
      <c r="H10253" t="s">
        <v>16</v>
      </c>
      <c r="I10253" t="s">
        <v>21</v>
      </c>
    </row>
    <row r="10254" spans="1:9" x14ac:dyDescent="0.25">
      <c r="A10254">
        <v>1827</v>
      </c>
      <c r="B10254">
        <f>A10254+1</f>
        <v>1828</v>
      </c>
      <c r="C10254" t="s">
        <v>532</v>
      </c>
      <c r="D10254" t="s">
        <v>26</v>
      </c>
      <c r="E10254" s="208" t="s">
        <v>35</v>
      </c>
      <c r="F10254" t="s">
        <v>169</v>
      </c>
      <c r="G10254" s="18">
        <v>1351</v>
      </c>
      <c r="H10254" t="s">
        <v>16</v>
      </c>
      <c r="I10254" t="s">
        <v>21</v>
      </c>
    </row>
    <row r="10255" spans="1:9" x14ac:dyDescent="0.25">
      <c r="A10255">
        <v>1827</v>
      </c>
      <c r="B10255">
        <f>A10255+1</f>
        <v>1828</v>
      </c>
      <c r="C10255" t="s">
        <v>532</v>
      </c>
      <c r="D10255" t="s">
        <v>26</v>
      </c>
      <c r="E10255" s="208" t="s">
        <v>40</v>
      </c>
      <c r="F10255" t="s">
        <v>169</v>
      </c>
      <c r="G10255" s="18">
        <v>147168</v>
      </c>
      <c r="H10255" t="s">
        <v>16</v>
      </c>
      <c r="I10255" t="s">
        <v>21</v>
      </c>
    </row>
    <row r="10256" spans="1:9" x14ac:dyDescent="0.25">
      <c r="A10256">
        <v>1827</v>
      </c>
      <c r="B10256">
        <f>A10256+1</f>
        <v>1828</v>
      </c>
      <c r="C10256" t="s">
        <v>532</v>
      </c>
      <c r="D10256" t="s">
        <v>26</v>
      </c>
      <c r="E10256" s="208" t="s">
        <v>98</v>
      </c>
      <c r="F10256" t="s">
        <v>169</v>
      </c>
      <c r="G10256" s="18">
        <v>625529</v>
      </c>
      <c r="H10256" t="s">
        <v>16</v>
      </c>
      <c r="I10256" t="s">
        <v>21</v>
      </c>
    </row>
    <row r="10257" spans="1:9" x14ac:dyDescent="0.25">
      <c r="A10257">
        <v>1827</v>
      </c>
      <c r="B10257">
        <f>A10257+1</f>
        <v>1828</v>
      </c>
      <c r="C10257" t="s">
        <v>532</v>
      </c>
      <c r="D10257" t="s">
        <v>26</v>
      </c>
      <c r="E10257" s="208" t="s">
        <v>435</v>
      </c>
      <c r="F10257" t="s">
        <v>169</v>
      </c>
      <c r="G10257" s="18">
        <v>5952</v>
      </c>
      <c r="H10257" t="s">
        <v>16</v>
      </c>
      <c r="I10257" t="s">
        <v>21</v>
      </c>
    </row>
    <row r="10258" spans="1:9" x14ac:dyDescent="0.25">
      <c r="A10258">
        <v>1827</v>
      </c>
      <c r="B10258">
        <f>A10258+1</f>
        <v>1828</v>
      </c>
      <c r="C10258" t="s">
        <v>532</v>
      </c>
      <c r="D10258" t="s">
        <v>26</v>
      </c>
      <c r="E10258" s="208" t="s">
        <v>107</v>
      </c>
      <c r="F10258" t="s">
        <v>169</v>
      </c>
      <c r="G10258" s="18">
        <v>40650</v>
      </c>
      <c r="H10258" t="s">
        <v>16</v>
      </c>
      <c r="I10258" t="s">
        <v>21</v>
      </c>
    </row>
    <row r="10259" spans="1:9" x14ac:dyDescent="0.25">
      <c r="A10259">
        <v>1827</v>
      </c>
      <c r="B10259">
        <f>A10259+1</f>
        <v>1828</v>
      </c>
      <c r="C10259" t="s">
        <v>532</v>
      </c>
      <c r="D10259" t="s">
        <v>26</v>
      </c>
      <c r="E10259" s="208" t="s">
        <v>101</v>
      </c>
      <c r="F10259" t="s">
        <v>169</v>
      </c>
      <c r="G10259" s="18">
        <v>0</v>
      </c>
      <c r="H10259" t="s">
        <v>16</v>
      </c>
      <c r="I10259" t="s">
        <v>21</v>
      </c>
    </row>
    <row r="10260" spans="1:9" x14ac:dyDescent="0.25">
      <c r="A10260">
        <v>1827</v>
      </c>
      <c r="B10260">
        <f>A10260+1</f>
        <v>1828</v>
      </c>
      <c r="C10260" t="s">
        <v>532</v>
      </c>
      <c r="D10260" t="s">
        <v>26</v>
      </c>
      <c r="E10260" s="208" t="s">
        <v>75</v>
      </c>
      <c r="F10260" t="s">
        <v>169</v>
      </c>
      <c r="G10260" s="18">
        <v>161860</v>
      </c>
      <c r="H10260" t="s">
        <v>16</v>
      </c>
      <c r="I10260" t="s">
        <v>21</v>
      </c>
    </row>
    <row r="10261" spans="1:9" x14ac:dyDescent="0.25">
      <c r="A10261">
        <v>1827</v>
      </c>
      <c r="B10261">
        <f>A10261+1</f>
        <v>1828</v>
      </c>
      <c r="C10261" t="s">
        <v>532</v>
      </c>
      <c r="D10261" t="s">
        <v>26</v>
      </c>
      <c r="E10261" s="208" t="s">
        <v>66</v>
      </c>
      <c r="F10261" t="s">
        <v>169</v>
      </c>
      <c r="G10261" s="18">
        <v>14151</v>
      </c>
      <c r="H10261" t="s">
        <v>16</v>
      </c>
      <c r="I10261" t="s">
        <v>21</v>
      </c>
    </row>
    <row r="10262" spans="1:9" x14ac:dyDescent="0.25">
      <c r="A10262">
        <v>1827</v>
      </c>
      <c r="B10262">
        <f>A10262+1</f>
        <v>1828</v>
      </c>
      <c r="C10262" t="s">
        <v>532</v>
      </c>
      <c r="D10262" t="s">
        <v>26</v>
      </c>
      <c r="E10262" s="208" t="s">
        <v>330</v>
      </c>
      <c r="F10262" t="s">
        <v>169</v>
      </c>
      <c r="G10262" s="18">
        <v>0</v>
      </c>
      <c r="H10262" t="s">
        <v>16</v>
      </c>
      <c r="I10262" t="s">
        <v>21</v>
      </c>
    </row>
    <row r="10263" spans="1:9" x14ac:dyDescent="0.25">
      <c r="A10263">
        <v>1827</v>
      </c>
      <c r="B10263">
        <f>A10263+1</f>
        <v>1828</v>
      </c>
      <c r="C10263" t="s">
        <v>532</v>
      </c>
      <c r="D10263" t="s">
        <v>26</v>
      </c>
      <c r="E10263" s="208" t="s">
        <v>331</v>
      </c>
      <c r="F10263" t="s">
        <v>169</v>
      </c>
      <c r="G10263" s="18">
        <v>0</v>
      </c>
      <c r="H10263" t="s">
        <v>16</v>
      </c>
      <c r="I10263" t="s">
        <v>21</v>
      </c>
    </row>
    <row r="10264" spans="1:9" x14ac:dyDescent="0.25">
      <c r="A10264">
        <v>1827</v>
      </c>
      <c r="B10264">
        <f>A10264+1</f>
        <v>1828</v>
      </c>
      <c r="C10264" t="s">
        <v>532</v>
      </c>
      <c r="D10264" t="s">
        <v>26</v>
      </c>
      <c r="E10264" s="208" t="s">
        <v>333</v>
      </c>
      <c r="F10264" t="s">
        <v>169</v>
      </c>
      <c r="G10264" s="18">
        <v>0</v>
      </c>
      <c r="H10264" t="s">
        <v>16</v>
      </c>
      <c r="I10264" t="s">
        <v>21</v>
      </c>
    </row>
    <row r="10265" spans="1:9" x14ac:dyDescent="0.25">
      <c r="A10265">
        <v>1827</v>
      </c>
      <c r="B10265">
        <f>A10265+1</f>
        <v>1828</v>
      </c>
      <c r="C10265" t="s">
        <v>532</v>
      </c>
      <c r="D10265" t="s">
        <v>26</v>
      </c>
      <c r="E10265" s="208" t="s">
        <v>332</v>
      </c>
      <c r="F10265" t="s">
        <v>169</v>
      </c>
      <c r="G10265" s="18">
        <v>0</v>
      </c>
      <c r="H10265" t="s">
        <v>16</v>
      </c>
      <c r="I10265" t="s">
        <v>21</v>
      </c>
    </row>
    <row r="10266" spans="1:9" x14ac:dyDescent="0.25">
      <c r="A10266">
        <v>1827</v>
      </c>
      <c r="B10266">
        <f>A10266+1</f>
        <v>1828</v>
      </c>
      <c r="C10266" t="s">
        <v>532</v>
      </c>
      <c r="D10266" t="s">
        <v>27</v>
      </c>
      <c r="E10266" s="208" t="s">
        <v>155</v>
      </c>
      <c r="F10266" t="s">
        <v>1</v>
      </c>
      <c r="G10266" s="18">
        <v>293</v>
      </c>
      <c r="H10266" t="s">
        <v>16</v>
      </c>
      <c r="I10266" t="s">
        <v>21</v>
      </c>
    </row>
    <row r="10267" spans="1:9" x14ac:dyDescent="0.25">
      <c r="A10267">
        <v>1827</v>
      </c>
      <c r="B10267">
        <f>A10267+1</f>
        <v>1828</v>
      </c>
      <c r="C10267" t="s">
        <v>532</v>
      </c>
      <c r="D10267" t="s">
        <v>27</v>
      </c>
      <c r="E10267" s="208" t="s">
        <v>156</v>
      </c>
      <c r="F10267" t="s">
        <v>1</v>
      </c>
      <c r="G10267" s="18">
        <v>44</v>
      </c>
      <c r="H10267" t="s">
        <v>16</v>
      </c>
      <c r="I10267" t="s">
        <v>21</v>
      </c>
    </row>
    <row r="10268" spans="1:9" x14ac:dyDescent="0.25">
      <c r="A10268">
        <v>1827</v>
      </c>
      <c r="B10268">
        <f>A10268+1</f>
        <v>1828</v>
      </c>
      <c r="C10268" t="s">
        <v>532</v>
      </c>
      <c r="D10268" t="s">
        <v>27</v>
      </c>
      <c r="E10268" s="208" t="s">
        <v>154</v>
      </c>
      <c r="F10268" t="s">
        <v>1</v>
      </c>
      <c r="G10268" s="18">
        <v>27</v>
      </c>
      <c r="H10268" t="s">
        <v>16</v>
      </c>
      <c r="I10268" t="s">
        <v>21</v>
      </c>
    </row>
    <row r="10269" spans="1:9" x14ac:dyDescent="0.25">
      <c r="A10269">
        <v>1827</v>
      </c>
      <c r="B10269">
        <f>A10269+1</f>
        <v>1828</v>
      </c>
      <c r="C10269" t="s">
        <v>532</v>
      </c>
      <c r="D10269" t="s">
        <v>27</v>
      </c>
      <c r="E10269" s="208" t="s">
        <v>150</v>
      </c>
      <c r="F10269" t="s">
        <v>1</v>
      </c>
      <c r="G10269" s="18">
        <v>54</v>
      </c>
      <c r="H10269" t="s">
        <v>16</v>
      </c>
      <c r="I10269" t="s">
        <v>21</v>
      </c>
    </row>
    <row r="10270" spans="1:9" x14ac:dyDescent="0.25">
      <c r="A10270">
        <v>1827</v>
      </c>
      <c r="B10270">
        <f>A10270+1</f>
        <v>1828</v>
      </c>
      <c r="C10270" t="s">
        <v>532</v>
      </c>
      <c r="D10270" t="s">
        <v>27</v>
      </c>
      <c r="E10270" s="208" t="s">
        <v>148</v>
      </c>
      <c r="F10270" t="s">
        <v>1</v>
      </c>
      <c r="G10270" s="18">
        <v>331</v>
      </c>
      <c r="H10270" t="s">
        <v>16</v>
      </c>
      <c r="I10270" t="s">
        <v>21</v>
      </c>
    </row>
    <row r="10271" spans="1:9" x14ac:dyDescent="0.25">
      <c r="A10271">
        <v>1827</v>
      </c>
      <c r="B10271">
        <f>A10271+1</f>
        <v>1828</v>
      </c>
      <c r="C10271" t="s">
        <v>532</v>
      </c>
      <c r="D10271" t="s">
        <v>27</v>
      </c>
      <c r="E10271" s="208" t="s">
        <v>147</v>
      </c>
      <c r="F10271" t="s">
        <v>1</v>
      </c>
      <c r="G10271" s="18">
        <v>4</v>
      </c>
      <c r="H10271" t="s">
        <v>16</v>
      </c>
      <c r="I10271" t="s">
        <v>21</v>
      </c>
    </row>
    <row r="10272" spans="1:9" x14ac:dyDescent="0.25">
      <c r="A10272">
        <v>1827</v>
      </c>
      <c r="B10272">
        <f>A10272+1</f>
        <v>1828</v>
      </c>
      <c r="C10272" t="s">
        <v>532</v>
      </c>
      <c r="D10272" t="s">
        <v>27</v>
      </c>
      <c r="E10272" s="208" t="s">
        <v>139</v>
      </c>
      <c r="F10272" t="s">
        <v>1</v>
      </c>
      <c r="G10272" s="18">
        <v>0</v>
      </c>
      <c r="H10272" t="s">
        <v>16</v>
      </c>
      <c r="I10272" t="s">
        <v>21</v>
      </c>
    </row>
    <row r="10273" spans="1:9" x14ac:dyDescent="0.25">
      <c r="A10273">
        <v>1827</v>
      </c>
      <c r="B10273">
        <f>A10273+1</f>
        <v>1828</v>
      </c>
      <c r="C10273" t="s">
        <v>532</v>
      </c>
      <c r="D10273" t="s">
        <v>27</v>
      </c>
      <c r="E10273" s="208" t="s">
        <v>131</v>
      </c>
      <c r="F10273" t="s">
        <v>1</v>
      </c>
      <c r="G10273" s="18">
        <v>20</v>
      </c>
      <c r="H10273" t="s">
        <v>16</v>
      </c>
      <c r="I10273" t="s">
        <v>21</v>
      </c>
    </row>
    <row r="10274" spans="1:9" x14ac:dyDescent="0.25">
      <c r="A10274">
        <v>1827</v>
      </c>
      <c r="B10274">
        <f>A10274+1</f>
        <v>1828</v>
      </c>
      <c r="C10274" t="s">
        <v>532</v>
      </c>
      <c r="D10274" t="s">
        <v>27</v>
      </c>
      <c r="E10274" s="208" t="s">
        <v>130</v>
      </c>
      <c r="F10274" t="s">
        <v>1</v>
      </c>
      <c r="G10274" s="18">
        <v>0</v>
      </c>
      <c r="H10274" t="s">
        <v>16</v>
      </c>
      <c r="I10274" s="151" t="s">
        <v>562</v>
      </c>
    </row>
    <row r="10275" spans="1:9" x14ac:dyDescent="0.25">
      <c r="A10275">
        <v>1827</v>
      </c>
      <c r="B10275">
        <f>A10275+1</f>
        <v>1828</v>
      </c>
      <c r="C10275" t="s">
        <v>532</v>
      </c>
      <c r="D10275" t="s">
        <v>27</v>
      </c>
      <c r="E10275" s="208" t="s">
        <v>124</v>
      </c>
      <c r="F10275" t="s">
        <v>1</v>
      </c>
      <c r="G10275" s="18">
        <v>80853</v>
      </c>
      <c r="H10275" t="s">
        <v>16</v>
      </c>
      <c r="I10275" s="151" t="s">
        <v>562</v>
      </c>
    </row>
    <row r="10276" spans="1:9" x14ac:dyDescent="0.25">
      <c r="A10276">
        <v>1827</v>
      </c>
      <c r="B10276">
        <f>A10276+1</f>
        <v>1828</v>
      </c>
      <c r="C10276" t="s">
        <v>532</v>
      </c>
      <c r="D10276" t="s">
        <v>27</v>
      </c>
      <c r="E10276" s="208" t="s">
        <v>145</v>
      </c>
      <c r="F10276" t="s">
        <v>1</v>
      </c>
      <c r="G10276" s="18">
        <v>0</v>
      </c>
      <c r="H10276" t="s">
        <v>16</v>
      </c>
      <c r="I10276" s="151" t="s">
        <v>562</v>
      </c>
    </row>
    <row r="10277" spans="1:9" x14ac:dyDescent="0.25">
      <c r="A10277">
        <v>1827</v>
      </c>
      <c r="B10277">
        <f>A10277+1</f>
        <v>1828</v>
      </c>
      <c r="C10277" t="s">
        <v>532</v>
      </c>
      <c r="D10277" t="s">
        <v>27</v>
      </c>
      <c r="E10277" s="208" t="s">
        <v>114</v>
      </c>
      <c r="F10277" t="s">
        <v>1</v>
      </c>
      <c r="G10277" s="18">
        <v>0</v>
      </c>
      <c r="H10277" t="s">
        <v>16</v>
      </c>
      <c r="I10277" s="151" t="s">
        <v>562</v>
      </c>
    </row>
    <row r="10278" spans="1:9" x14ac:dyDescent="0.25">
      <c r="A10278">
        <v>1827</v>
      </c>
      <c r="B10278">
        <f>A10278+1</f>
        <v>1828</v>
      </c>
      <c r="C10278" t="s">
        <v>532</v>
      </c>
      <c r="D10278" t="s">
        <v>27</v>
      </c>
      <c r="E10278" s="208" t="s">
        <v>116</v>
      </c>
      <c r="F10278" t="s">
        <v>1</v>
      </c>
      <c r="G10278" s="18">
        <v>0</v>
      </c>
      <c r="H10278" t="s">
        <v>16</v>
      </c>
      <c r="I10278" s="151" t="s">
        <v>562</v>
      </c>
    </row>
    <row r="10279" spans="1:9" x14ac:dyDescent="0.25">
      <c r="A10279">
        <v>1827</v>
      </c>
      <c r="B10279">
        <f>A10279+1</f>
        <v>1828</v>
      </c>
      <c r="C10279" t="s">
        <v>532</v>
      </c>
      <c r="D10279" t="s">
        <v>27</v>
      </c>
      <c r="E10279" s="208" t="s">
        <v>137</v>
      </c>
      <c r="F10279" t="s">
        <v>1</v>
      </c>
      <c r="G10279" s="18">
        <v>0</v>
      </c>
      <c r="H10279" t="s">
        <v>16</v>
      </c>
      <c r="I10279" s="151" t="s">
        <v>562</v>
      </c>
    </row>
    <row r="10280" spans="1:9" x14ac:dyDescent="0.25">
      <c r="A10280">
        <v>1827</v>
      </c>
      <c r="B10280">
        <f>A10280+1</f>
        <v>1828</v>
      </c>
      <c r="C10280" t="s">
        <v>532</v>
      </c>
      <c r="D10280" t="s">
        <v>27</v>
      </c>
      <c r="E10280" s="208" t="s">
        <v>157</v>
      </c>
      <c r="F10280" t="s">
        <v>1</v>
      </c>
      <c r="G10280" s="18">
        <v>26</v>
      </c>
      <c r="H10280" t="s">
        <v>16</v>
      </c>
      <c r="I10280" s="151" t="s">
        <v>562</v>
      </c>
    </row>
    <row r="10281" spans="1:9" x14ac:dyDescent="0.25">
      <c r="A10281">
        <v>1827</v>
      </c>
      <c r="B10281">
        <f>A10281+1</f>
        <v>1828</v>
      </c>
      <c r="C10281" t="s">
        <v>532</v>
      </c>
      <c r="D10281" t="s">
        <v>27</v>
      </c>
      <c r="E10281" s="208" t="s">
        <v>127</v>
      </c>
      <c r="F10281" t="s">
        <v>1</v>
      </c>
      <c r="G10281" s="18">
        <v>0</v>
      </c>
      <c r="H10281" t="s">
        <v>16</v>
      </c>
      <c r="I10281" s="151" t="s">
        <v>562</v>
      </c>
    </row>
    <row r="10282" spans="1:9" x14ac:dyDescent="0.25">
      <c r="A10282">
        <v>1827</v>
      </c>
      <c r="B10282">
        <f>A10282+1</f>
        <v>1828</v>
      </c>
      <c r="C10282" t="s">
        <v>532</v>
      </c>
      <c r="D10282" t="s">
        <v>27</v>
      </c>
      <c r="E10282" s="208" t="s">
        <v>133</v>
      </c>
      <c r="F10282" t="s">
        <v>1</v>
      </c>
      <c r="G10282" s="18">
        <v>251</v>
      </c>
      <c r="H10282" t="s">
        <v>16</v>
      </c>
      <c r="I10282" s="151" t="s">
        <v>562</v>
      </c>
    </row>
    <row r="10283" spans="1:9" x14ac:dyDescent="0.25">
      <c r="A10283">
        <v>1827</v>
      </c>
      <c r="B10283">
        <f>A10283+1</f>
        <v>1828</v>
      </c>
      <c r="C10283" t="s">
        <v>532</v>
      </c>
      <c r="D10283" t="s">
        <v>27</v>
      </c>
      <c r="E10283" s="208" t="s">
        <v>74</v>
      </c>
      <c r="F10283" t="s">
        <v>1</v>
      </c>
      <c r="G10283" s="18">
        <v>122</v>
      </c>
      <c r="H10283" t="s">
        <v>16</v>
      </c>
      <c r="I10283" s="151" t="s">
        <v>562</v>
      </c>
    </row>
    <row r="10284" spans="1:9" x14ac:dyDescent="0.25">
      <c r="A10284">
        <v>1827</v>
      </c>
      <c r="B10284">
        <f>A10284+1</f>
        <v>1828</v>
      </c>
      <c r="C10284" t="s">
        <v>532</v>
      </c>
      <c r="D10284" t="s">
        <v>27</v>
      </c>
      <c r="E10284" s="208" t="s">
        <v>129</v>
      </c>
      <c r="F10284" t="s">
        <v>1</v>
      </c>
      <c r="G10284" s="18">
        <v>8</v>
      </c>
      <c r="H10284" t="s">
        <v>16</v>
      </c>
      <c r="I10284" s="151" t="s">
        <v>562</v>
      </c>
    </row>
    <row r="10285" spans="1:9" x14ac:dyDescent="0.25">
      <c r="A10285">
        <v>1827</v>
      </c>
      <c r="B10285">
        <f>A10285+1</f>
        <v>1828</v>
      </c>
      <c r="C10285" t="s">
        <v>532</v>
      </c>
      <c r="D10285" t="s">
        <v>27</v>
      </c>
      <c r="E10285" s="208" t="s">
        <v>141</v>
      </c>
      <c r="F10285" t="s">
        <v>1</v>
      </c>
      <c r="G10285" s="18">
        <v>22</v>
      </c>
      <c r="H10285" t="s">
        <v>16</v>
      </c>
      <c r="I10285" s="151" t="s">
        <v>562</v>
      </c>
    </row>
    <row r="10286" spans="1:9" x14ac:dyDescent="0.25">
      <c r="A10286">
        <v>1827</v>
      </c>
      <c r="B10286">
        <f>A10286+1</f>
        <v>1828</v>
      </c>
      <c r="C10286" t="s">
        <v>532</v>
      </c>
      <c r="D10286" t="s">
        <v>27</v>
      </c>
      <c r="E10286" s="208" t="s">
        <v>135</v>
      </c>
      <c r="F10286" t="s">
        <v>1</v>
      </c>
      <c r="G10286" s="18">
        <v>0</v>
      </c>
      <c r="H10286" t="s">
        <v>16</v>
      </c>
      <c r="I10286" s="151" t="s">
        <v>562</v>
      </c>
    </row>
    <row r="10287" spans="1:9" x14ac:dyDescent="0.25">
      <c r="A10287">
        <v>1827</v>
      </c>
      <c r="B10287">
        <f>A10287+1</f>
        <v>1828</v>
      </c>
      <c r="C10287" t="s">
        <v>532</v>
      </c>
      <c r="D10287" t="s">
        <v>27</v>
      </c>
      <c r="E10287" s="208" t="s">
        <v>128</v>
      </c>
      <c r="F10287" t="s">
        <v>1</v>
      </c>
      <c r="G10287" s="18">
        <v>0</v>
      </c>
      <c r="H10287" t="s">
        <v>16</v>
      </c>
      <c r="I10287" s="151" t="s">
        <v>562</v>
      </c>
    </row>
    <row r="10288" spans="1:9" x14ac:dyDescent="0.25">
      <c r="A10288">
        <v>1827</v>
      </c>
      <c r="B10288">
        <f>A10288+1</f>
        <v>1828</v>
      </c>
      <c r="C10288" t="s">
        <v>532</v>
      </c>
      <c r="D10288" t="s">
        <v>27</v>
      </c>
      <c r="E10288" s="208" t="s">
        <v>138</v>
      </c>
      <c r="F10288" t="s">
        <v>1</v>
      </c>
      <c r="G10288" s="18">
        <v>0</v>
      </c>
      <c r="H10288" t="s">
        <v>16</v>
      </c>
      <c r="I10288" s="151" t="s">
        <v>562</v>
      </c>
    </row>
    <row r="10289" spans="1:9" x14ac:dyDescent="0.25">
      <c r="A10289">
        <v>1827</v>
      </c>
      <c r="B10289">
        <f>A10289+1</f>
        <v>1828</v>
      </c>
      <c r="C10289" t="s">
        <v>532</v>
      </c>
      <c r="D10289" t="s">
        <v>27</v>
      </c>
      <c r="E10289" s="208" t="s">
        <v>118</v>
      </c>
      <c r="F10289" t="s">
        <v>1</v>
      </c>
      <c r="G10289" s="18">
        <v>0</v>
      </c>
      <c r="H10289" t="s">
        <v>16</v>
      </c>
      <c r="I10289" s="151" t="s">
        <v>562</v>
      </c>
    </row>
    <row r="10290" spans="1:9" x14ac:dyDescent="0.25">
      <c r="A10290">
        <v>1827</v>
      </c>
      <c r="B10290">
        <f>A10290+1</f>
        <v>1828</v>
      </c>
      <c r="C10290" t="s">
        <v>532</v>
      </c>
      <c r="D10290" t="s">
        <v>27</v>
      </c>
      <c r="E10290" s="208" t="s">
        <v>134</v>
      </c>
      <c r="F10290" t="s">
        <v>1</v>
      </c>
      <c r="G10290" s="18">
        <v>39</v>
      </c>
      <c r="H10290" t="s">
        <v>16</v>
      </c>
      <c r="I10290" s="151" t="s">
        <v>562</v>
      </c>
    </row>
    <row r="10291" spans="1:9" x14ac:dyDescent="0.25">
      <c r="A10291">
        <v>1827</v>
      </c>
      <c r="B10291">
        <f>A10291+1</f>
        <v>1828</v>
      </c>
      <c r="C10291" t="s">
        <v>532</v>
      </c>
      <c r="D10291" t="s">
        <v>27</v>
      </c>
      <c r="E10291" s="208" t="s">
        <v>155</v>
      </c>
      <c r="F10291" t="s">
        <v>7</v>
      </c>
      <c r="G10291" s="18">
        <v>13673</v>
      </c>
      <c r="H10291" t="s">
        <v>16</v>
      </c>
      <c r="I10291" s="151" t="s">
        <v>562</v>
      </c>
    </row>
    <row r="10292" spans="1:9" x14ac:dyDescent="0.25">
      <c r="A10292">
        <v>1827</v>
      </c>
      <c r="B10292">
        <f>A10292+1</f>
        <v>1828</v>
      </c>
      <c r="C10292" t="s">
        <v>532</v>
      </c>
      <c r="D10292" t="s">
        <v>27</v>
      </c>
      <c r="E10292" s="208" t="s">
        <v>156</v>
      </c>
      <c r="F10292" t="s">
        <v>7</v>
      </c>
      <c r="G10292" s="18">
        <v>1418</v>
      </c>
      <c r="H10292" t="s">
        <v>16</v>
      </c>
      <c r="I10292" s="151" t="s">
        <v>562</v>
      </c>
    </row>
    <row r="10293" spans="1:9" x14ac:dyDescent="0.25">
      <c r="A10293">
        <v>1827</v>
      </c>
      <c r="B10293">
        <f>A10293+1</f>
        <v>1828</v>
      </c>
      <c r="C10293" t="s">
        <v>532</v>
      </c>
      <c r="D10293" t="s">
        <v>27</v>
      </c>
      <c r="E10293" s="208" t="s">
        <v>154</v>
      </c>
      <c r="F10293" t="s">
        <v>7</v>
      </c>
      <c r="G10293" s="18">
        <v>1382</v>
      </c>
      <c r="H10293" t="s">
        <v>16</v>
      </c>
      <c r="I10293" s="151" t="s">
        <v>562</v>
      </c>
    </row>
    <row r="10294" spans="1:9" x14ac:dyDescent="0.25">
      <c r="A10294">
        <v>1827</v>
      </c>
      <c r="B10294">
        <f>A10294+1</f>
        <v>1828</v>
      </c>
      <c r="C10294" t="s">
        <v>532</v>
      </c>
      <c r="D10294" t="s">
        <v>27</v>
      </c>
      <c r="E10294" s="208" t="s">
        <v>150</v>
      </c>
      <c r="F10294" t="s">
        <v>7</v>
      </c>
      <c r="G10294" s="18">
        <v>8189</v>
      </c>
      <c r="H10294" t="s">
        <v>16</v>
      </c>
      <c r="I10294" s="151" t="s">
        <v>562</v>
      </c>
    </row>
    <row r="10295" spans="1:9" x14ac:dyDescent="0.25">
      <c r="A10295">
        <v>1827</v>
      </c>
      <c r="B10295">
        <f>A10295+1</f>
        <v>1828</v>
      </c>
      <c r="C10295" t="s">
        <v>532</v>
      </c>
      <c r="D10295" t="s">
        <v>27</v>
      </c>
      <c r="E10295" s="208" t="s">
        <v>148</v>
      </c>
      <c r="F10295" t="s">
        <v>7</v>
      </c>
      <c r="G10295" s="18">
        <v>1413</v>
      </c>
      <c r="H10295" t="s">
        <v>16</v>
      </c>
      <c r="I10295" s="151" t="s">
        <v>562</v>
      </c>
    </row>
    <row r="10296" spans="1:9" x14ac:dyDescent="0.25">
      <c r="A10296">
        <v>1827</v>
      </c>
      <c r="B10296">
        <f>A10296+1</f>
        <v>1828</v>
      </c>
      <c r="C10296" t="s">
        <v>532</v>
      </c>
      <c r="D10296" t="s">
        <v>27</v>
      </c>
      <c r="E10296" s="208" t="s">
        <v>147</v>
      </c>
      <c r="F10296" t="s">
        <v>7</v>
      </c>
      <c r="G10296" s="18">
        <v>1320</v>
      </c>
      <c r="H10296" t="s">
        <v>16</v>
      </c>
      <c r="I10296" s="151" t="s">
        <v>562</v>
      </c>
    </row>
    <row r="10297" spans="1:9" x14ac:dyDescent="0.25">
      <c r="A10297">
        <v>1827</v>
      </c>
      <c r="B10297">
        <f>A10297+1</f>
        <v>1828</v>
      </c>
      <c r="C10297" t="s">
        <v>532</v>
      </c>
      <c r="D10297" t="s">
        <v>27</v>
      </c>
      <c r="E10297" s="208" t="s">
        <v>139</v>
      </c>
      <c r="F10297" t="s">
        <v>7</v>
      </c>
      <c r="G10297" s="18">
        <v>67</v>
      </c>
      <c r="H10297" t="s">
        <v>16</v>
      </c>
      <c r="I10297" s="151" t="s">
        <v>562</v>
      </c>
    </row>
    <row r="10298" spans="1:9" x14ac:dyDescent="0.25">
      <c r="A10298">
        <v>1827</v>
      </c>
      <c r="B10298">
        <f>A10298+1</f>
        <v>1828</v>
      </c>
      <c r="C10298" t="s">
        <v>532</v>
      </c>
      <c r="D10298" t="s">
        <v>27</v>
      </c>
      <c r="E10298" s="208" t="s">
        <v>131</v>
      </c>
      <c r="F10298" t="s">
        <v>7</v>
      </c>
      <c r="G10298" s="18">
        <v>191</v>
      </c>
      <c r="H10298" t="s">
        <v>16</v>
      </c>
      <c r="I10298" s="151" t="s">
        <v>562</v>
      </c>
    </row>
    <row r="10299" spans="1:9" x14ac:dyDescent="0.25">
      <c r="A10299">
        <v>1827</v>
      </c>
      <c r="B10299">
        <f>A10299+1</f>
        <v>1828</v>
      </c>
      <c r="C10299" t="s">
        <v>532</v>
      </c>
      <c r="D10299" t="s">
        <v>27</v>
      </c>
      <c r="E10299" s="208" t="s">
        <v>130</v>
      </c>
      <c r="F10299" t="s">
        <v>7</v>
      </c>
      <c r="G10299" s="18">
        <v>34</v>
      </c>
      <c r="H10299" s="151" t="s">
        <v>563</v>
      </c>
      <c r="I10299" t="s">
        <v>16</v>
      </c>
    </row>
    <row r="10300" spans="1:9" x14ac:dyDescent="0.25">
      <c r="A10300">
        <v>1827</v>
      </c>
      <c r="B10300">
        <f>A10300+1</f>
        <v>1828</v>
      </c>
      <c r="C10300" t="s">
        <v>532</v>
      </c>
      <c r="D10300" t="s">
        <v>27</v>
      </c>
      <c r="E10300" s="208" t="s">
        <v>124</v>
      </c>
      <c r="F10300" t="s">
        <v>7</v>
      </c>
      <c r="G10300" s="18">
        <v>6889186</v>
      </c>
      <c r="H10300" s="151" t="s">
        <v>563</v>
      </c>
      <c r="I10300" t="s">
        <v>16</v>
      </c>
    </row>
    <row r="10301" spans="1:9" x14ac:dyDescent="0.25">
      <c r="A10301">
        <v>1827</v>
      </c>
      <c r="B10301">
        <f>A10301+1</f>
        <v>1828</v>
      </c>
      <c r="C10301" t="s">
        <v>532</v>
      </c>
      <c r="D10301" t="s">
        <v>27</v>
      </c>
      <c r="E10301" s="208" t="s">
        <v>145</v>
      </c>
      <c r="F10301" t="s">
        <v>7</v>
      </c>
      <c r="G10301" s="18">
        <v>377503</v>
      </c>
      <c r="H10301" s="151" t="s">
        <v>563</v>
      </c>
      <c r="I10301" t="s">
        <v>16</v>
      </c>
    </row>
    <row r="10302" spans="1:9" x14ac:dyDescent="0.25">
      <c r="A10302">
        <v>1827</v>
      </c>
      <c r="B10302">
        <f>A10302+1</f>
        <v>1828</v>
      </c>
      <c r="C10302" t="s">
        <v>532</v>
      </c>
      <c r="D10302" t="s">
        <v>27</v>
      </c>
      <c r="E10302" s="208" t="s">
        <v>114</v>
      </c>
      <c r="F10302" t="s">
        <v>7</v>
      </c>
      <c r="G10302" s="18">
        <v>170</v>
      </c>
      <c r="H10302" s="151" t="s">
        <v>563</v>
      </c>
      <c r="I10302" t="s">
        <v>16</v>
      </c>
    </row>
    <row r="10303" spans="1:9" x14ac:dyDescent="0.25">
      <c r="A10303">
        <v>1827</v>
      </c>
      <c r="B10303">
        <f>A10303+1</f>
        <v>1828</v>
      </c>
      <c r="C10303" t="s">
        <v>532</v>
      </c>
      <c r="D10303" t="s">
        <v>27</v>
      </c>
      <c r="E10303" s="208" t="s">
        <v>116</v>
      </c>
      <c r="F10303" t="s">
        <v>7</v>
      </c>
      <c r="G10303" s="18">
        <v>488</v>
      </c>
      <c r="H10303" s="151" t="s">
        <v>563</v>
      </c>
      <c r="I10303" t="s">
        <v>16</v>
      </c>
    </row>
    <row r="10304" spans="1:9" x14ac:dyDescent="0.25">
      <c r="A10304">
        <v>1827</v>
      </c>
      <c r="B10304">
        <f>A10304+1</f>
        <v>1828</v>
      </c>
      <c r="C10304" t="s">
        <v>532</v>
      </c>
      <c r="D10304" t="s">
        <v>27</v>
      </c>
      <c r="E10304" s="208" t="s">
        <v>137</v>
      </c>
      <c r="F10304" t="s">
        <v>7</v>
      </c>
      <c r="G10304" s="18">
        <v>41</v>
      </c>
      <c r="H10304" s="151" t="s">
        <v>563</v>
      </c>
      <c r="I10304" t="s">
        <v>16</v>
      </c>
    </row>
    <row r="10305" spans="1:9" x14ac:dyDescent="0.25">
      <c r="A10305">
        <v>1827</v>
      </c>
      <c r="B10305">
        <f>A10305+1</f>
        <v>1828</v>
      </c>
      <c r="C10305" t="s">
        <v>532</v>
      </c>
      <c r="D10305" t="s">
        <v>27</v>
      </c>
      <c r="E10305" s="208" t="s">
        <v>157</v>
      </c>
      <c r="F10305" t="s">
        <v>7</v>
      </c>
      <c r="G10305" s="18">
        <v>625</v>
      </c>
      <c r="H10305" s="151" t="s">
        <v>563</v>
      </c>
      <c r="I10305" t="s">
        <v>16</v>
      </c>
    </row>
    <row r="10306" spans="1:9" x14ac:dyDescent="0.25">
      <c r="A10306">
        <v>1827</v>
      </c>
      <c r="B10306">
        <f>A10306+1</f>
        <v>1828</v>
      </c>
      <c r="C10306" t="s">
        <v>532</v>
      </c>
      <c r="D10306" t="s">
        <v>27</v>
      </c>
      <c r="E10306" s="208" t="s">
        <v>127</v>
      </c>
      <c r="F10306" t="s">
        <v>7</v>
      </c>
      <c r="G10306" s="18">
        <v>244</v>
      </c>
      <c r="H10306" s="151" t="s">
        <v>563</v>
      </c>
      <c r="I10306" t="s">
        <v>16</v>
      </c>
    </row>
    <row r="10307" spans="1:9" x14ac:dyDescent="0.25">
      <c r="A10307">
        <v>1827</v>
      </c>
      <c r="B10307">
        <f>A10307+1</f>
        <v>1828</v>
      </c>
      <c r="C10307" t="s">
        <v>532</v>
      </c>
      <c r="D10307" t="s">
        <v>27</v>
      </c>
      <c r="E10307" s="208" t="s">
        <v>133</v>
      </c>
      <c r="F10307" t="s">
        <v>7</v>
      </c>
      <c r="G10307" s="18">
        <v>10337</v>
      </c>
      <c r="H10307" s="151" t="s">
        <v>563</v>
      </c>
      <c r="I10307" t="s">
        <v>16</v>
      </c>
    </row>
    <row r="10308" spans="1:9" x14ac:dyDescent="0.25">
      <c r="A10308">
        <v>1827</v>
      </c>
      <c r="B10308">
        <f>A10308+1</f>
        <v>1828</v>
      </c>
      <c r="C10308" t="s">
        <v>532</v>
      </c>
      <c r="D10308" t="s">
        <v>27</v>
      </c>
      <c r="E10308" s="208" t="s">
        <v>74</v>
      </c>
      <c r="F10308" t="s">
        <v>7</v>
      </c>
      <c r="G10308" s="18">
        <v>1575</v>
      </c>
      <c r="H10308" s="151" t="s">
        <v>563</v>
      </c>
      <c r="I10308" t="s">
        <v>16</v>
      </c>
    </row>
    <row r="10309" spans="1:9" x14ac:dyDescent="0.25">
      <c r="A10309">
        <v>1827</v>
      </c>
      <c r="B10309">
        <f>A10309+1</f>
        <v>1828</v>
      </c>
      <c r="C10309" t="s">
        <v>532</v>
      </c>
      <c r="D10309" t="s">
        <v>27</v>
      </c>
      <c r="E10309" s="208" t="s">
        <v>129</v>
      </c>
      <c r="F10309" t="s">
        <v>7</v>
      </c>
      <c r="G10309" s="18">
        <v>295</v>
      </c>
      <c r="H10309" s="151" t="s">
        <v>563</v>
      </c>
      <c r="I10309" t="s">
        <v>16</v>
      </c>
    </row>
    <row r="10310" spans="1:9" x14ac:dyDescent="0.25">
      <c r="A10310">
        <v>1827</v>
      </c>
      <c r="B10310">
        <f>A10310+1</f>
        <v>1828</v>
      </c>
      <c r="C10310" t="s">
        <v>532</v>
      </c>
      <c r="D10310" t="s">
        <v>27</v>
      </c>
      <c r="E10310" s="208" t="s">
        <v>141</v>
      </c>
      <c r="F10310" t="s">
        <v>7</v>
      </c>
      <c r="G10310" s="18">
        <v>325</v>
      </c>
      <c r="H10310" s="151" t="s">
        <v>563</v>
      </c>
      <c r="I10310" t="s">
        <v>16</v>
      </c>
    </row>
    <row r="10311" spans="1:9" x14ac:dyDescent="0.25">
      <c r="A10311">
        <v>1827</v>
      </c>
      <c r="B10311">
        <f>A10311+1</f>
        <v>1828</v>
      </c>
      <c r="C10311" t="s">
        <v>532</v>
      </c>
      <c r="D10311" t="s">
        <v>27</v>
      </c>
      <c r="E10311" s="208" t="s">
        <v>135</v>
      </c>
      <c r="F10311" t="s">
        <v>7</v>
      </c>
      <c r="G10311" s="18">
        <v>298</v>
      </c>
      <c r="H10311" s="151" t="s">
        <v>563</v>
      </c>
      <c r="I10311" t="s">
        <v>16</v>
      </c>
    </row>
    <row r="10312" spans="1:9" x14ac:dyDescent="0.25">
      <c r="A10312">
        <v>1827</v>
      </c>
      <c r="B10312">
        <f>A10312+1</f>
        <v>1828</v>
      </c>
      <c r="C10312" t="s">
        <v>532</v>
      </c>
      <c r="D10312" t="s">
        <v>27</v>
      </c>
      <c r="E10312" s="208" t="s">
        <v>128</v>
      </c>
      <c r="F10312" t="s">
        <v>7</v>
      </c>
      <c r="G10312" s="18">
        <v>218</v>
      </c>
      <c r="H10312" s="151" t="s">
        <v>563</v>
      </c>
      <c r="I10312" t="s">
        <v>16</v>
      </c>
    </row>
    <row r="10313" spans="1:9" x14ac:dyDescent="0.25">
      <c r="A10313">
        <v>1827</v>
      </c>
      <c r="B10313">
        <f>A10313+1</f>
        <v>1828</v>
      </c>
      <c r="C10313" t="s">
        <v>532</v>
      </c>
      <c r="D10313" t="s">
        <v>27</v>
      </c>
      <c r="E10313" s="208" t="s">
        <v>138</v>
      </c>
      <c r="F10313" t="s">
        <v>7</v>
      </c>
      <c r="G10313" s="18">
        <v>325</v>
      </c>
      <c r="H10313" s="151" t="s">
        <v>563</v>
      </c>
      <c r="I10313" t="s">
        <v>16</v>
      </c>
    </row>
    <row r="10314" spans="1:9" x14ac:dyDescent="0.25">
      <c r="A10314">
        <v>1827</v>
      </c>
      <c r="B10314">
        <f>A10314+1</f>
        <v>1828</v>
      </c>
      <c r="C10314" t="s">
        <v>532</v>
      </c>
      <c r="D10314" t="s">
        <v>27</v>
      </c>
      <c r="E10314" s="208" t="s">
        <v>118</v>
      </c>
      <c r="F10314" t="s">
        <v>7</v>
      </c>
      <c r="G10314" s="18">
        <v>44</v>
      </c>
      <c r="H10314" s="151" t="s">
        <v>563</v>
      </c>
      <c r="I10314" t="s">
        <v>16</v>
      </c>
    </row>
    <row r="10315" spans="1:9" x14ac:dyDescent="0.25">
      <c r="A10315">
        <v>1827</v>
      </c>
      <c r="B10315">
        <f>A10315+1</f>
        <v>1828</v>
      </c>
      <c r="C10315" t="s">
        <v>532</v>
      </c>
      <c r="D10315" t="s">
        <v>27</v>
      </c>
      <c r="E10315" s="208" t="s">
        <v>134</v>
      </c>
      <c r="F10315" t="s">
        <v>7</v>
      </c>
      <c r="G10315" s="18">
        <v>2592</v>
      </c>
      <c r="H10315" t="s">
        <v>17</v>
      </c>
      <c r="I10315" t="s">
        <v>24</v>
      </c>
    </row>
    <row r="10316" spans="1:9" x14ac:dyDescent="0.25">
      <c r="A10316">
        <v>1827</v>
      </c>
      <c r="B10316">
        <f>A10316+1</f>
        <v>1828</v>
      </c>
      <c r="C10316" t="s">
        <v>532</v>
      </c>
      <c r="D10316" t="s">
        <v>26</v>
      </c>
      <c r="E10316" s="208" t="s">
        <v>62</v>
      </c>
      <c r="F10316" t="s">
        <v>7</v>
      </c>
      <c r="G10316" s="18">
        <v>49700</v>
      </c>
      <c r="H10316" t="s">
        <v>17</v>
      </c>
      <c r="I10316" t="s">
        <v>24</v>
      </c>
    </row>
    <row r="10317" spans="1:9" x14ac:dyDescent="0.25">
      <c r="A10317">
        <v>1827</v>
      </c>
      <c r="B10317">
        <f>A10317+1</f>
        <v>1828</v>
      </c>
      <c r="C10317" t="s">
        <v>532</v>
      </c>
      <c r="D10317" t="s">
        <v>26</v>
      </c>
      <c r="E10317" s="208" t="s">
        <v>55</v>
      </c>
      <c r="F10317" t="s">
        <v>7</v>
      </c>
      <c r="G10317" s="18">
        <v>10538</v>
      </c>
      <c r="H10317" t="s">
        <v>17</v>
      </c>
      <c r="I10317" t="s">
        <v>24</v>
      </c>
    </row>
    <row r="10318" spans="1:9" x14ac:dyDescent="0.25">
      <c r="A10318">
        <v>1827</v>
      </c>
      <c r="B10318">
        <f>A10318+1</f>
        <v>1828</v>
      </c>
      <c r="C10318" t="s">
        <v>532</v>
      </c>
      <c r="D10318" t="s">
        <v>26</v>
      </c>
      <c r="E10318" s="208" t="s">
        <v>35</v>
      </c>
      <c r="F10318" t="s">
        <v>7</v>
      </c>
      <c r="G10318" s="18">
        <v>1351</v>
      </c>
      <c r="H10318" t="s">
        <v>17</v>
      </c>
      <c r="I10318" t="s">
        <v>24</v>
      </c>
    </row>
    <row r="10319" spans="1:9" x14ac:dyDescent="0.25">
      <c r="A10319">
        <v>1827</v>
      </c>
      <c r="B10319">
        <f>A10319+1</f>
        <v>1828</v>
      </c>
      <c r="C10319" t="s">
        <v>532</v>
      </c>
      <c r="D10319" t="s">
        <v>26</v>
      </c>
      <c r="E10319" s="208" t="s">
        <v>40</v>
      </c>
      <c r="F10319" t="s">
        <v>7</v>
      </c>
      <c r="G10319" s="18">
        <v>465687</v>
      </c>
      <c r="H10319" t="s">
        <v>17</v>
      </c>
      <c r="I10319" t="s">
        <v>24</v>
      </c>
    </row>
    <row r="10320" spans="1:9" x14ac:dyDescent="0.25">
      <c r="A10320">
        <v>1827</v>
      </c>
      <c r="B10320">
        <f>A10320+1</f>
        <v>1828</v>
      </c>
      <c r="C10320" t="s">
        <v>532</v>
      </c>
      <c r="D10320" t="s">
        <v>26</v>
      </c>
      <c r="E10320" s="208" t="s">
        <v>98</v>
      </c>
      <c r="F10320" t="s">
        <v>7</v>
      </c>
      <c r="G10320" s="18">
        <v>1563788</v>
      </c>
      <c r="H10320" t="s">
        <v>17</v>
      </c>
      <c r="I10320" t="s">
        <v>24</v>
      </c>
    </row>
    <row r="10321" spans="1:9" x14ac:dyDescent="0.25">
      <c r="A10321">
        <v>1827</v>
      </c>
      <c r="B10321">
        <f>A10321+1</f>
        <v>1828</v>
      </c>
      <c r="C10321" t="s">
        <v>532</v>
      </c>
      <c r="D10321" t="s">
        <v>26</v>
      </c>
      <c r="E10321" s="208" t="s">
        <v>435</v>
      </c>
      <c r="F10321" t="s">
        <v>7</v>
      </c>
      <c r="G10321" s="18">
        <v>35442</v>
      </c>
      <c r="H10321" t="s">
        <v>17</v>
      </c>
      <c r="I10321" t="s">
        <v>24</v>
      </c>
    </row>
    <row r="10322" spans="1:9" x14ac:dyDescent="0.25">
      <c r="A10322">
        <v>1827</v>
      </c>
      <c r="B10322">
        <f>A10322+1</f>
        <v>1828</v>
      </c>
      <c r="C10322" t="s">
        <v>532</v>
      </c>
      <c r="D10322" t="s">
        <v>26</v>
      </c>
      <c r="E10322" s="208" t="s">
        <v>107</v>
      </c>
      <c r="F10322" t="s">
        <v>7</v>
      </c>
      <c r="G10322" s="18">
        <v>1816907</v>
      </c>
      <c r="H10322" t="s">
        <v>17</v>
      </c>
      <c r="I10322" t="s">
        <v>24</v>
      </c>
    </row>
    <row r="10323" spans="1:9" x14ac:dyDescent="0.25">
      <c r="A10323">
        <v>1827</v>
      </c>
      <c r="B10323">
        <f>A10323+1</f>
        <v>1828</v>
      </c>
      <c r="C10323" t="s">
        <v>532</v>
      </c>
      <c r="D10323" t="s">
        <v>26</v>
      </c>
      <c r="E10323" s="208" t="s">
        <v>101</v>
      </c>
      <c r="F10323" t="s">
        <v>7</v>
      </c>
      <c r="G10323" s="18">
        <v>3106962</v>
      </c>
      <c r="H10323" t="s">
        <v>17</v>
      </c>
      <c r="I10323" t="s">
        <v>24</v>
      </c>
    </row>
    <row r="10324" spans="1:9" x14ac:dyDescent="0.25">
      <c r="A10324">
        <v>1827</v>
      </c>
      <c r="B10324">
        <f>A10324+1</f>
        <v>1828</v>
      </c>
      <c r="C10324" t="s">
        <v>532</v>
      </c>
      <c r="D10324" t="s">
        <v>26</v>
      </c>
      <c r="E10324" s="208" t="s">
        <v>75</v>
      </c>
      <c r="F10324" t="s">
        <v>7</v>
      </c>
      <c r="G10324" s="18">
        <v>1875463</v>
      </c>
      <c r="H10324" t="s">
        <v>17</v>
      </c>
      <c r="I10324" t="s">
        <v>24</v>
      </c>
    </row>
    <row r="10325" spans="1:9" x14ac:dyDescent="0.25">
      <c r="A10325">
        <v>1827</v>
      </c>
      <c r="B10325">
        <f>A10325+1</f>
        <v>1828</v>
      </c>
      <c r="C10325" t="s">
        <v>532</v>
      </c>
      <c r="D10325" t="s">
        <v>26</v>
      </c>
      <c r="E10325" s="208" t="s">
        <v>66</v>
      </c>
      <c r="F10325" t="s">
        <v>7</v>
      </c>
      <c r="G10325" s="18">
        <v>71151</v>
      </c>
      <c r="H10325" t="s">
        <v>17</v>
      </c>
      <c r="I10325" t="s">
        <v>24</v>
      </c>
    </row>
    <row r="10326" spans="1:9" x14ac:dyDescent="0.25">
      <c r="A10326">
        <v>1827</v>
      </c>
      <c r="B10326">
        <f>A10326+1</f>
        <v>1828</v>
      </c>
      <c r="C10326" t="s">
        <v>532</v>
      </c>
      <c r="D10326" t="s">
        <v>26</v>
      </c>
      <c r="E10326" s="208" t="s">
        <v>330</v>
      </c>
      <c r="F10326" t="s">
        <v>7</v>
      </c>
      <c r="G10326" s="18">
        <v>154</v>
      </c>
      <c r="H10326" t="s">
        <v>17</v>
      </c>
      <c r="I10326" t="s">
        <v>24</v>
      </c>
    </row>
    <row r="10327" spans="1:9" x14ac:dyDescent="0.25">
      <c r="A10327">
        <v>1827</v>
      </c>
      <c r="B10327">
        <f>A10327+1</f>
        <v>1828</v>
      </c>
      <c r="C10327" t="s">
        <v>532</v>
      </c>
      <c r="D10327" t="s">
        <v>26</v>
      </c>
      <c r="E10327" s="208" t="s">
        <v>331</v>
      </c>
      <c r="F10327" t="s">
        <v>7</v>
      </c>
      <c r="G10327" s="18">
        <v>36</v>
      </c>
      <c r="H10327" t="s">
        <v>17</v>
      </c>
      <c r="I10327" t="s">
        <v>24</v>
      </c>
    </row>
    <row r="10328" spans="1:9" x14ac:dyDescent="0.25">
      <c r="A10328">
        <v>1827</v>
      </c>
      <c r="B10328">
        <f>A10328+1</f>
        <v>1828</v>
      </c>
      <c r="C10328" t="s">
        <v>532</v>
      </c>
      <c r="D10328" t="s">
        <v>26</v>
      </c>
      <c r="E10328" s="208" t="s">
        <v>333</v>
      </c>
      <c r="F10328" t="s">
        <v>7</v>
      </c>
      <c r="G10328" s="18">
        <v>8</v>
      </c>
      <c r="H10328" t="s">
        <v>17</v>
      </c>
      <c r="I10328" t="s">
        <v>24</v>
      </c>
    </row>
    <row r="10329" spans="1:9" x14ac:dyDescent="0.25">
      <c r="A10329">
        <v>1827</v>
      </c>
      <c r="B10329">
        <f>A10329+1</f>
        <v>1828</v>
      </c>
      <c r="C10329" t="s">
        <v>532</v>
      </c>
      <c r="D10329" t="s">
        <v>26</v>
      </c>
      <c r="E10329" s="208" t="s">
        <v>332</v>
      </c>
      <c r="F10329" t="s">
        <v>7</v>
      </c>
      <c r="G10329" s="18">
        <v>107</v>
      </c>
      <c r="H10329" t="s">
        <v>17</v>
      </c>
      <c r="I10329" t="s">
        <v>24</v>
      </c>
    </row>
    <row r="10330" spans="1:9" x14ac:dyDescent="0.25">
      <c r="A10330">
        <v>1827</v>
      </c>
      <c r="B10330">
        <f>A10330+1</f>
        <v>1828</v>
      </c>
      <c r="C10330" t="s">
        <v>532</v>
      </c>
      <c r="D10330" t="s">
        <v>26</v>
      </c>
      <c r="E10330" s="208" t="s">
        <v>113</v>
      </c>
      <c r="F10330" t="s">
        <v>7</v>
      </c>
      <c r="G10330" s="18">
        <v>324</v>
      </c>
      <c r="H10330" t="s">
        <v>17</v>
      </c>
      <c r="I10330" t="s">
        <v>24</v>
      </c>
    </row>
    <row r="10331" spans="1:9" x14ac:dyDescent="0.25">
      <c r="A10331">
        <v>1827</v>
      </c>
      <c r="B10331">
        <f>A10331+1</f>
        <v>1828</v>
      </c>
      <c r="C10331" t="s">
        <v>532</v>
      </c>
      <c r="D10331" t="s">
        <v>26</v>
      </c>
      <c r="E10331" s="208" t="s">
        <v>112</v>
      </c>
      <c r="F10331" t="s">
        <v>7</v>
      </c>
      <c r="G10331" s="18">
        <v>262</v>
      </c>
      <c r="H10331" t="s">
        <v>17</v>
      </c>
      <c r="I10331" t="s">
        <v>24</v>
      </c>
    </row>
    <row r="10332" spans="1:9" x14ac:dyDescent="0.25">
      <c r="A10332">
        <v>1827</v>
      </c>
      <c r="B10332">
        <f>A10332+1</f>
        <v>1828</v>
      </c>
      <c r="C10332" t="s">
        <v>532</v>
      </c>
      <c r="D10332" t="s">
        <v>27</v>
      </c>
      <c r="E10332" s="208" t="s">
        <v>155</v>
      </c>
      <c r="F10332" t="s">
        <v>10</v>
      </c>
      <c r="G10332" s="18">
        <v>308</v>
      </c>
      <c r="H10332" t="s">
        <v>17</v>
      </c>
      <c r="I10332" t="s">
        <v>24</v>
      </c>
    </row>
    <row r="10333" spans="1:9" x14ac:dyDescent="0.25">
      <c r="A10333">
        <v>1827</v>
      </c>
      <c r="B10333">
        <f>A10333+1</f>
        <v>1828</v>
      </c>
      <c r="C10333" t="s">
        <v>532</v>
      </c>
      <c r="D10333" t="s">
        <v>27</v>
      </c>
      <c r="E10333" s="208" t="s">
        <v>156</v>
      </c>
      <c r="F10333" t="s">
        <v>10</v>
      </c>
      <c r="G10333" s="18">
        <v>144</v>
      </c>
      <c r="H10333" t="s">
        <v>17</v>
      </c>
      <c r="I10333" t="s">
        <v>24</v>
      </c>
    </row>
    <row r="10334" spans="1:9" x14ac:dyDescent="0.25">
      <c r="A10334">
        <v>1827</v>
      </c>
      <c r="B10334">
        <f>A10334+1</f>
        <v>1828</v>
      </c>
      <c r="C10334" t="s">
        <v>532</v>
      </c>
      <c r="D10334" t="s">
        <v>27</v>
      </c>
      <c r="E10334" s="208" t="s">
        <v>154</v>
      </c>
      <c r="F10334" t="s">
        <v>10</v>
      </c>
      <c r="G10334" s="18">
        <v>264</v>
      </c>
      <c r="H10334" t="s">
        <v>17</v>
      </c>
      <c r="I10334" t="s">
        <v>24</v>
      </c>
    </row>
    <row r="10335" spans="1:9" x14ac:dyDescent="0.25">
      <c r="A10335">
        <v>1827</v>
      </c>
      <c r="B10335">
        <f>A10335+1</f>
        <v>1828</v>
      </c>
      <c r="C10335" t="s">
        <v>532</v>
      </c>
      <c r="D10335" t="s">
        <v>27</v>
      </c>
      <c r="E10335" s="208" t="s">
        <v>150</v>
      </c>
      <c r="F10335" t="s">
        <v>10</v>
      </c>
      <c r="G10335" s="18">
        <v>2519</v>
      </c>
      <c r="H10335" t="s">
        <v>17</v>
      </c>
      <c r="I10335" t="s">
        <v>24</v>
      </c>
    </row>
    <row r="10336" spans="1:9" x14ac:dyDescent="0.25">
      <c r="A10336">
        <v>1827</v>
      </c>
      <c r="B10336">
        <f>A10336+1</f>
        <v>1828</v>
      </c>
      <c r="C10336" t="s">
        <v>532</v>
      </c>
      <c r="D10336" t="s">
        <v>27</v>
      </c>
      <c r="E10336" s="208" t="s">
        <v>148</v>
      </c>
      <c r="F10336" t="s">
        <v>10</v>
      </c>
      <c r="G10336" s="18">
        <v>79</v>
      </c>
      <c r="H10336" t="s">
        <v>17</v>
      </c>
      <c r="I10336" t="s">
        <v>24</v>
      </c>
    </row>
    <row r="10337" spans="1:9" x14ac:dyDescent="0.25">
      <c r="A10337">
        <v>1827</v>
      </c>
      <c r="B10337">
        <f>A10337+1</f>
        <v>1828</v>
      </c>
      <c r="C10337" t="s">
        <v>532</v>
      </c>
      <c r="D10337" t="s">
        <v>27</v>
      </c>
      <c r="E10337" s="208" t="s">
        <v>147</v>
      </c>
      <c r="F10337" t="s">
        <v>10</v>
      </c>
      <c r="G10337" s="18">
        <v>0</v>
      </c>
      <c r="H10337" t="s">
        <v>17</v>
      </c>
      <c r="I10337" t="s">
        <v>24</v>
      </c>
    </row>
    <row r="10338" spans="1:9" x14ac:dyDescent="0.25">
      <c r="A10338">
        <v>1827</v>
      </c>
      <c r="B10338">
        <f>A10338+1</f>
        <v>1828</v>
      </c>
      <c r="C10338" t="s">
        <v>532</v>
      </c>
      <c r="D10338" t="s">
        <v>27</v>
      </c>
      <c r="E10338" s="208" t="s">
        <v>139</v>
      </c>
      <c r="F10338" t="s">
        <v>10</v>
      </c>
      <c r="G10338" s="18">
        <v>84</v>
      </c>
      <c r="H10338" t="s">
        <v>17</v>
      </c>
      <c r="I10338" t="s">
        <v>24</v>
      </c>
    </row>
    <row r="10339" spans="1:9" x14ac:dyDescent="0.25">
      <c r="A10339">
        <v>1827</v>
      </c>
      <c r="B10339">
        <f>A10339+1</f>
        <v>1828</v>
      </c>
      <c r="C10339" t="s">
        <v>532</v>
      </c>
      <c r="D10339" t="s">
        <v>27</v>
      </c>
      <c r="E10339" s="208" t="s">
        <v>131</v>
      </c>
      <c r="F10339" t="s">
        <v>10</v>
      </c>
      <c r="G10339" s="18">
        <v>0</v>
      </c>
      <c r="H10339" t="s">
        <v>17</v>
      </c>
      <c r="I10339" t="s">
        <v>24</v>
      </c>
    </row>
    <row r="10340" spans="1:9" x14ac:dyDescent="0.25">
      <c r="A10340">
        <v>1827</v>
      </c>
      <c r="B10340">
        <f>A10340+1</f>
        <v>1828</v>
      </c>
      <c r="C10340" t="s">
        <v>532</v>
      </c>
      <c r="D10340" t="s">
        <v>27</v>
      </c>
      <c r="E10340" s="208" t="s">
        <v>130</v>
      </c>
      <c r="F10340" t="s">
        <v>10</v>
      </c>
      <c r="G10340" s="18">
        <v>0</v>
      </c>
      <c r="H10340" t="s">
        <v>24</v>
      </c>
      <c r="I10340" t="s">
        <v>17</v>
      </c>
    </row>
    <row r="10341" spans="1:9" x14ac:dyDescent="0.25">
      <c r="A10341">
        <v>1827</v>
      </c>
      <c r="B10341">
        <f>A10341+1</f>
        <v>1828</v>
      </c>
      <c r="C10341" t="s">
        <v>532</v>
      </c>
      <c r="D10341" t="s">
        <v>27</v>
      </c>
      <c r="E10341" s="208" t="s">
        <v>124</v>
      </c>
      <c r="F10341" t="s">
        <v>10</v>
      </c>
      <c r="G10341" s="18">
        <v>303510</v>
      </c>
      <c r="H10341" t="s">
        <v>24</v>
      </c>
      <c r="I10341" t="s">
        <v>17</v>
      </c>
    </row>
    <row r="10342" spans="1:9" x14ac:dyDescent="0.25">
      <c r="A10342">
        <v>1827</v>
      </c>
      <c r="B10342">
        <f>A10342+1</f>
        <v>1828</v>
      </c>
      <c r="C10342" t="s">
        <v>532</v>
      </c>
      <c r="D10342" t="s">
        <v>27</v>
      </c>
      <c r="E10342" s="208" t="s">
        <v>145</v>
      </c>
      <c r="F10342" t="s">
        <v>10</v>
      </c>
      <c r="G10342" s="18">
        <v>3859</v>
      </c>
      <c r="H10342" t="s">
        <v>24</v>
      </c>
      <c r="I10342" t="s">
        <v>17</v>
      </c>
    </row>
    <row r="10343" spans="1:9" x14ac:dyDescent="0.25">
      <c r="A10343">
        <v>1827</v>
      </c>
      <c r="B10343">
        <f>A10343+1</f>
        <v>1828</v>
      </c>
      <c r="C10343" t="s">
        <v>532</v>
      </c>
      <c r="D10343" t="s">
        <v>27</v>
      </c>
      <c r="E10343" s="208" t="s">
        <v>114</v>
      </c>
      <c r="F10343" t="s">
        <v>10</v>
      </c>
      <c r="G10343" s="18">
        <v>4</v>
      </c>
      <c r="H10343" t="s">
        <v>24</v>
      </c>
      <c r="I10343" t="s">
        <v>17</v>
      </c>
    </row>
    <row r="10344" spans="1:9" x14ac:dyDescent="0.25">
      <c r="A10344">
        <v>1827</v>
      </c>
      <c r="B10344">
        <f>A10344+1</f>
        <v>1828</v>
      </c>
      <c r="C10344" t="s">
        <v>532</v>
      </c>
      <c r="D10344" t="s">
        <v>27</v>
      </c>
      <c r="E10344" s="208" t="s">
        <v>116</v>
      </c>
      <c r="F10344" t="s">
        <v>10</v>
      </c>
      <c r="G10344" s="18">
        <v>0</v>
      </c>
      <c r="H10344" t="s">
        <v>24</v>
      </c>
      <c r="I10344" t="s">
        <v>17</v>
      </c>
    </row>
    <row r="10345" spans="1:9" x14ac:dyDescent="0.25">
      <c r="A10345">
        <v>1827</v>
      </c>
      <c r="B10345">
        <f>A10345+1</f>
        <v>1828</v>
      </c>
      <c r="C10345" t="s">
        <v>532</v>
      </c>
      <c r="D10345" t="s">
        <v>27</v>
      </c>
      <c r="E10345" s="208" t="s">
        <v>137</v>
      </c>
      <c r="F10345" t="s">
        <v>10</v>
      </c>
      <c r="G10345" s="18">
        <v>71</v>
      </c>
      <c r="H10345" t="s">
        <v>24</v>
      </c>
      <c r="I10345" t="s">
        <v>17</v>
      </c>
    </row>
    <row r="10346" spans="1:9" x14ac:dyDescent="0.25">
      <c r="A10346">
        <v>1827</v>
      </c>
      <c r="B10346">
        <f>A10346+1</f>
        <v>1828</v>
      </c>
      <c r="C10346" t="s">
        <v>532</v>
      </c>
      <c r="D10346" t="s">
        <v>27</v>
      </c>
      <c r="E10346" s="208" t="s">
        <v>157</v>
      </c>
      <c r="F10346" t="s">
        <v>10</v>
      </c>
      <c r="G10346" s="18">
        <v>0</v>
      </c>
      <c r="H10346" t="s">
        <v>24</v>
      </c>
      <c r="I10346" t="s">
        <v>17</v>
      </c>
    </row>
    <row r="10347" spans="1:9" x14ac:dyDescent="0.25">
      <c r="A10347">
        <v>1827</v>
      </c>
      <c r="B10347">
        <f>A10347+1</f>
        <v>1828</v>
      </c>
      <c r="C10347" t="s">
        <v>532</v>
      </c>
      <c r="D10347" t="s">
        <v>27</v>
      </c>
      <c r="E10347" s="208" t="s">
        <v>127</v>
      </c>
      <c r="F10347" t="s">
        <v>10</v>
      </c>
      <c r="G10347" s="18">
        <v>0</v>
      </c>
      <c r="H10347" t="s">
        <v>24</v>
      </c>
      <c r="I10347" t="s">
        <v>17</v>
      </c>
    </row>
    <row r="10348" spans="1:9" x14ac:dyDescent="0.25">
      <c r="A10348">
        <v>1827</v>
      </c>
      <c r="B10348">
        <f>A10348+1</f>
        <v>1828</v>
      </c>
      <c r="C10348" t="s">
        <v>532</v>
      </c>
      <c r="D10348" t="s">
        <v>27</v>
      </c>
      <c r="E10348" s="208" t="s">
        <v>133</v>
      </c>
      <c r="F10348" t="s">
        <v>10</v>
      </c>
      <c r="G10348" s="18">
        <v>654</v>
      </c>
      <c r="H10348" t="s">
        <v>24</v>
      </c>
      <c r="I10348" t="s">
        <v>17</v>
      </c>
    </row>
    <row r="10349" spans="1:9" x14ac:dyDescent="0.25">
      <c r="A10349">
        <v>1827</v>
      </c>
      <c r="B10349">
        <f>A10349+1</f>
        <v>1828</v>
      </c>
      <c r="C10349" t="s">
        <v>532</v>
      </c>
      <c r="D10349" t="s">
        <v>27</v>
      </c>
      <c r="E10349" s="208" t="s">
        <v>74</v>
      </c>
      <c r="F10349" t="s">
        <v>10</v>
      </c>
      <c r="G10349" s="18">
        <v>30</v>
      </c>
      <c r="H10349" t="s">
        <v>24</v>
      </c>
      <c r="I10349" t="s">
        <v>17</v>
      </c>
    </row>
    <row r="10350" spans="1:9" x14ac:dyDescent="0.25">
      <c r="A10350">
        <v>1827</v>
      </c>
      <c r="B10350">
        <f>A10350+1</f>
        <v>1828</v>
      </c>
      <c r="C10350" t="s">
        <v>532</v>
      </c>
      <c r="D10350" t="s">
        <v>27</v>
      </c>
      <c r="E10350" s="208" t="s">
        <v>129</v>
      </c>
      <c r="F10350" t="s">
        <v>10</v>
      </c>
      <c r="G10350" s="18">
        <v>1</v>
      </c>
      <c r="H10350" t="s">
        <v>24</v>
      </c>
      <c r="I10350" t="s">
        <v>17</v>
      </c>
    </row>
    <row r="10351" spans="1:9" x14ac:dyDescent="0.25">
      <c r="A10351">
        <v>1827</v>
      </c>
      <c r="B10351">
        <f>A10351+1</f>
        <v>1828</v>
      </c>
      <c r="C10351" t="s">
        <v>532</v>
      </c>
      <c r="D10351" t="s">
        <v>27</v>
      </c>
      <c r="E10351" s="208" t="s">
        <v>141</v>
      </c>
      <c r="F10351" t="s">
        <v>10</v>
      </c>
      <c r="G10351" s="18">
        <v>0</v>
      </c>
      <c r="H10351" t="s">
        <v>24</v>
      </c>
      <c r="I10351" t="s">
        <v>17</v>
      </c>
    </row>
    <row r="10352" spans="1:9" x14ac:dyDescent="0.25">
      <c r="A10352">
        <v>1827</v>
      </c>
      <c r="B10352">
        <f>A10352+1</f>
        <v>1828</v>
      </c>
      <c r="C10352" t="s">
        <v>532</v>
      </c>
      <c r="D10352" t="s">
        <v>27</v>
      </c>
      <c r="E10352" s="208" t="s">
        <v>135</v>
      </c>
      <c r="F10352" t="s">
        <v>10</v>
      </c>
      <c r="G10352" s="18">
        <v>67</v>
      </c>
      <c r="H10352" t="s">
        <v>24</v>
      </c>
      <c r="I10352" t="s">
        <v>17</v>
      </c>
    </row>
    <row r="10353" spans="1:9" x14ac:dyDescent="0.25">
      <c r="A10353">
        <v>1827</v>
      </c>
      <c r="B10353">
        <f>A10353+1</f>
        <v>1828</v>
      </c>
      <c r="C10353" t="s">
        <v>532</v>
      </c>
      <c r="D10353" t="s">
        <v>27</v>
      </c>
      <c r="E10353" s="208" t="s">
        <v>128</v>
      </c>
      <c r="F10353" t="s">
        <v>10</v>
      </c>
      <c r="G10353" s="18">
        <v>0</v>
      </c>
      <c r="H10353" t="s">
        <v>24</v>
      </c>
      <c r="I10353" t="s">
        <v>17</v>
      </c>
    </row>
    <row r="10354" spans="1:9" x14ac:dyDescent="0.25">
      <c r="A10354">
        <v>1827</v>
      </c>
      <c r="B10354">
        <f>A10354+1</f>
        <v>1828</v>
      </c>
      <c r="C10354" t="s">
        <v>532</v>
      </c>
      <c r="D10354" t="s">
        <v>27</v>
      </c>
      <c r="E10354" s="208" t="s">
        <v>138</v>
      </c>
      <c r="F10354" t="s">
        <v>10</v>
      </c>
      <c r="G10354" s="18">
        <v>114</v>
      </c>
      <c r="H10354" t="s">
        <v>22</v>
      </c>
      <c r="I10354" t="s">
        <v>17</v>
      </c>
    </row>
    <row r="10355" spans="1:9" x14ac:dyDescent="0.25">
      <c r="A10355">
        <v>1827</v>
      </c>
      <c r="B10355">
        <f>A10355+1</f>
        <v>1828</v>
      </c>
      <c r="C10355" t="s">
        <v>532</v>
      </c>
      <c r="D10355" t="s">
        <v>27</v>
      </c>
      <c r="E10355" s="208" t="s">
        <v>118</v>
      </c>
      <c r="F10355" t="s">
        <v>10</v>
      </c>
      <c r="G10355" s="18">
        <v>1035</v>
      </c>
      <c r="H10355" t="s">
        <v>22</v>
      </c>
      <c r="I10355" t="s">
        <v>17</v>
      </c>
    </row>
    <row r="10356" spans="1:9" x14ac:dyDescent="0.25">
      <c r="A10356">
        <v>1827</v>
      </c>
      <c r="B10356">
        <f>A10356+1</f>
        <v>1828</v>
      </c>
      <c r="C10356" t="s">
        <v>532</v>
      </c>
      <c r="D10356" t="s">
        <v>27</v>
      </c>
      <c r="E10356" s="208" t="s">
        <v>134</v>
      </c>
      <c r="F10356" t="s">
        <v>10</v>
      </c>
      <c r="G10356" s="18">
        <v>0</v>
      </c>
      <c r="H10356" t="s">
        <v>17</v>
      </c>
      <c r="I10356" t="s">
        <v>25</v>
      </c>
    </row>
    <row r="10357" spans="1:9" x14ac:dyDescent="0.25">
      <c r="A10357">
        <v>1827</v>
      </c>
      <c r="B10357">
        <f>A10357+1</f>
        <v>1828</v>
      </c>
      <c r="C10357" t="s">
        <v>532</v>
      </c>
      <c r="D10357" t="s">
        <v>26</v>
      </c>
      <c r="E10357" s="208" t="s">
        <v>62</v>
      </c>
      <c r="F10357" t="s">
        <v>10</v>
      </c>
      <c r="G10357" s="18">
        <v>3108</v>
      </c>
      <c r="H10357" t="s">
        <v>17</v>
      </c>
      <c r="I10357" t="s">
        <v>25</v>
      </c>
    </row>
    <row r="10358" spans="1:9" x14ac:dyDescent="0.25">
      <c r="A10358">
        <v>1827</v>
      </c>
      <c r="B10358">
        <f>A10358+1</f>
        <v>1828</v>
      </c>
      <c r="C10358" t="s">
        <v>532</v>
      </c>
      <c r="D10358" t="s">
        <v>26</v>
      </c>
      <c r="E10358" s="208" t="s">
        <v>55</v>
      </c>
      <c r="F10358" t="s">
        <v>10</v>
      </c>
      <c r="G10358" s="18">
        <v>1686</v>
      </c>
      <c r="H10358" t="s">
        <v>17</v>
      </c>
      <c r="I10358" t="s">
        <v>25</v>
      </c>
    </row>
    <row r="10359" spans="1:9" x14ac:dyDescent="0.25">
      <c r="A10359">
        <v>1827</v>
      </c>
      <c r="B10359">
        <f>A10359+1</f>
        <v>1828</v>
      </c>
      <c r="C10359" t="s">
        <v>532</v>
      </c>
      <c r="D10359" t="s">
        <v>26</v>
      </c>
      <c r="E10359" s="208" t="s">
        <v>35</v>
      </c>
      <c r="F10359" t="s">
        <v>10</v>
      </c>
      <c r="G10359" s="18">
        <v>0</v>
      </c>
      <c r="H10359" t="s">
        <v>17</v>
      </c>
      <c r="I10359" t="s">
        <v>25</v>
      </c>
    </row>
    <row r="10360" spans="1:9" x14ac:dyDescent="0.25">
      <c r="A10360">
        <v>1827</v>
      </c>
      <c r="B10360">
        <f>A10360+1</f>
        <v>1828</v>
      </c>
      <c r="C10360" t="s">
        <v>532</v>
      </c>
      <c r="D10360" t="s">
        <v>26</v>
      </c>
      <c r="E10360" s="208" t="s">
        <v>40</v>
      </c>
      <c r="F10360" t="s">
        <v>10</v>
      </c>
      <c r="G10360" s="18">
        <v>17001</v>
      </c>
      <c r="H10360" t="s">
        <v>17</v>
      </c>
      <c r="I10360" t="s">
        <v>25</v>
      </c>
    </row>
    <row r="10361" spans="1:9" x14ac:dyDescent="0.25">
      <c r="A10361">
        <v>1827</v>
      </c>
      <c r="B10361">
        <f>A10361+1</f>
        <v>1828</v>
      </c>
      <c r="C10361" t="s">
        <v>532</v>
      </c>
      <c r="D10361" t="s">
        <v>26</v>
      </c>
      <c r="E10361" s="208" t="s">
        <v>98</v>
      </c>
      <c r="F10361" t="s">
        <v>10</v>
      </c>
      <c r="G10361" s="18">
        <v>10860</v>
      </c>
      <c r="H10361" t="s">
        <v>17</v>
      </c>
      <c r="I10361" t="s">
        <v>25</v>
      </c>
    </row>
    <row r="10362" spans="1:9" x14ac:dyDescent="0.25">
      <c r="A10362">
        <v>1827</v>
      </c>
      <c r="B10362">
        <f>A10362+1</f>
        <v>1828</v>
      </c>
      <c r="C10362" t="s">
        <v>532</v>
      </c>
      <c r="D10362" t="s">
        <v>26</v>
      </c>
      <c r="E10362" s="208" t="s">
        <v>435</v>
      </c>
      <c r="F10362" t="s">
        <v>10</v>
      </c>
      <c r="G10362" s="18">
        <v>1989</v>
      </c>
      <c r="H10362" t="s">
        <v>17</v>
      </c>
      <c r="I10362" t="s">
        <v>25</v>
      </c>
    </row>
    <row r="10363" spans="1:9" x14ac:dyDescent="0.25">
      <c r="A10363">
        <v>1827</v>
      </c>
      <c r="B10363">
        <f>A10363+1</f>
        <v>1828</v>
      </c>
      <c r="C10363" t="s">
        <v>532</v>
      </c>
      <c r="D10363" t="s">
        <v>26</v>
      </c>
      <c r="E10363" s="208" t="s">
        <v>107</v>
      </c>
      <c r="F10363" t="s">
        <v>10</v>
      </c>
      <c r="G10363" s="18">
        <v>2458469</v>
      </c>
      <c r="H10363" t="s">
        <v>17</v>
      </c>
      <c r="I10363" t="s">
        <v>25</v>
      </c>
    </row>
    <row r="10364" spans="1:9" x14ac:dyDescent="0.25">
      <c r="A10364">
        <v>1827</v>
      </c>
      <c r="B10364">
        <f>A10364+1</f>
        <v>1828</v>
      </c>
      <c r="C10364" t="s">
        <v>532</v>
      </c>
      <c r="D10364" t="s">
        <v>26</v>
      </c>
      <c r="E10364" s="208" t="s">
        <v>101</v>
      </c>
      <c r="F10364" t="s">
        <v>10</v>
      </c>
      <c r="G10364" s="18">
        <v>1393515</v>
      </c>
      <c r="H10364" t="s">
        <v>17</v>
      </c>
      <c r="I10364" t="s">
        <v>25</v>
      </c>
    </row>
    <row r="10365" spans="1:9" x14ac:dyDescent="0.25">
      <c r="A10365">
        <v>1827</v>
      </c>
      <c r="B10365">
        <f>A10365+1</f>
        <v>1828</v>
      </c>
      <c r="C10365" t="s">
        <v>532</v>
      </c>
      <c r="D10365" t="s">
        <v>26</v>
      </c>
      <c r="E10365" s="208" t="s">
        <v>75</v>
      </c>
      <c r="F10365" t="s">
        <v>10</v>
      </c>
      <c r="G10365" s="18">
        <v>1961594</v>
      </c>
      <c r="H10365" t="s">
        <v>17</v>
      </c>
      <c r="I10365" t="s">
        <v>25</v>
      </c>
    </row>
    <row r="10366" spans="1:9" x14ac:dyDescent="0.25">
      <c r="A10366">
        <v>1827</v>
      </c>
      <c r="B10366">
        <f>A10366+1</f>
        <v>1828</v>
      </c>
      <c r="C10366" t="s">
        <v>532</v>
      </c>
      <c r="D10366" t="s">
        <v>26</v>
      </c>
      <c r="E10366" s="208" t="s">
        <v>66</v>
      </c>
      <c r="F10366" t="s">
        <v>10</v>
      </c>
      <c r="G10366" s="18">
        <v>3000</v>
      </c>
      <c r="H10366" t="s">
        <v>17</v>
      </c>
      <c r="I10366" t="s">
        <v>25</v>
      </c>
    </row>
    <row r="10367" spans="1:9" x14ac:dyDescent="0.25">
      <c r="A10367">
        <v>1827</v>
      </c>
      <c r="B10367">
        <f>A10367+1</f>
        <v>1828</v>
      </c>
      <c r="C10367" t="s">
        <v>532</v>
      </c>
      <c r="D10367" t="s">
        <v>26</v>
      </c>
      <c r="E10367" s="208" t="s">
        <v>330</v>
      </c>
      <c r="F10367" t="s">
        <v>10</v>
      </c>
      <c r="G10367" s="18">
        <v>6</v>
      </c>
      <c r="H10367" t="s">
        <v>17</v>
      </c>
      <c r="I10367" t="s">
        <v>25</v>
      </c>
    </row>
    <row r="10368" spans="1:9" x14ac:dyDescent="0.25">
      <c r="A10368">
        <v>1827</v>
      </c>
      <c r="B10368">
        <f>A10368+1</f>
        <v>1828</v>
      </c>
      <c r="C10368" t="s">
        <v>532</v>
      </c>
      <c r="D10368" t="s">
        <v>26</v>
      </c>
      <c r="E10368" s="208" t="s">
        <v>331</v>
      </c>
      <c r="F10368" t="s">
        <v>10</v>
      </c>
      <c r="G10368" s="18">
        <v>0</v>
      </c>
      <c r="H10368" t="s">
        <v>17</v>
      </c>
      <c r="I10368" t="s">
        <v>25</v>
      </c>
    </row>
    <row r="10369" spans="1:9" x14ac:dyDescent="0.25">
      <c r="A10369">
        <v>1827</v>
      </c>
      <c r="B10369">
        <f>A10369+1</f>
        <v>1828</v>
      </c>
      <c r="C10369" t="s">
        <v>532</v>
      </c>
      <c r="D10369" t="s">
        <v>26</v>
      </c>
      <c r="E10369" s="208" t="s">
        <v>333</v>
      </c>
      <c r="F10369" t="s">
        <v>10</v>
      </c>
      <c r="G10369" s="18">
        <v>0</v>
      </c>
      <c r="H10369" t="s">
        <v>17</v>
      </c>
      <c r="I10369" t="s">
        <v>25</v>
      </c>
    </row>
    <row r="10370" spans="1:9" x14ac:dyDescent="0.25">
      <c r="A10370">
        <v>1827</v>
      </c>
      <c r="B10370">
        <f>A10370+1</f>
        <v>1828</v>
      </c>
      <c r="C10370" t="s">
        <v>532</v>
      </c>
      <c r="D10370" t="s">
        <v>26</v>
      </c>
      <c r="E10370" s="208" t="s">
        <v>332</v>
      </c>
      <c r="F10370" t="s">
        <v>10</v>
      </c>
      <c r="G10370" s="18">
        <v>0</v>
      </c>
      <c r="H10370" t="s">
        <v>17</v>
      </c>
      <c r="I10370" t="s">
        <v>25</v>
      </c>
    </row>
    <row r="10371" spans="1:9" x14ac:dyDescent="0.25">
      <c r="A10371">
        <v>1827</v>
      </c>
      <c r="B10371">
        <f>A10371+1</f>
        <v>1828</v>
      </c>
      <c r="C10371" t="s">
        <v>532</v>
      </c>
      <c r="D10371" t="s">
        <v>26</v>
      </c>
      <c r="E10371" s="208" t="s">
        <v>113</v>
      </c>
      <c r="F10371" t="s">
        <v>486</v>
      </c>
      <c r="G10371" s="18">
        <v>91</v>
      </c>
      <c r="H10371" t="s">
        <v>17</v>
      </c>
      <c r="I10371" t="s">
        <v>25</v>
      </c>
    </row>
    <row r="10372" spans="1:9" x14ac:dyDescent="0.25">
      <c r="A10372">
        <v>1827</v>
      </c>
      <c r="B10372">
        <f>A10372+1</f>
        <v>1828</v>
      </c>
      <c r="C10372" t="s">
        <v>532</v>
      </c>
      <c r="D10372" t="s">
        <v>26</v>
      </c>
      <c r="E10372" s="208" t="s">
        <v>112</v>
      </c>
      <c r="F10372" t="s">
        <v>486</v>
      </c>
      <c r="G10372" s="18">
        <v>171</v>
      </c>
      <c r="H10372" t="s">
        <v>17</v>
      </c>
      <c r="I10372" t="s">
        <v>25</v>
      </c>
    </row>
    <row r="10373" spans="1:9" x14ac:dyDescent="0.25">
      <c r="A10373">
        <v>1827</v>
      </c>
      <c r="B10373">
        <f>A10373+1</f>
        <v>1828</v>
      </c>
      <c r="C10373" t="s">
        <v>532</v>
      </c>
      <c r="D10373" t="s">
        <v>27</v>
      </c>
      <c r="E10373" s="208" t="s">
        <v>155</v>
      </c>
      <c r="F10373" t="s">
        <v>13</v>
      </c>
      <c r="G10373" s="18">
        <v>0</v>
      </c>
      <c r="H10373" t="s">
        <v>17</v>
      </c>
      <c r="I10373" t="s">
        <v>25</v>
      </c>
    </row>
    <row r="10374" spans="1:9" x14ac:dyDescent="0.25">
      <c r="A10374">
        <v>1827</v>
      </c>
      <c r="B10374">
        <f>A10374+1</f>
        <v>1828</v>
      </c>
      <c r="C10374" t="s">
        <v>532</v>
      </c>
      <c r="D10374" t="s">
        <v>27</v>
      </c>
      <c r="E10374" s="208" t="s">
        <v>156</v>
      </c>
      <c r="F10374" t="s">
        <v>13</v>
      </c>
      <c r="G10374" s="18">
        <v>17</v>
      </c>
      <c r="H10374" t="s">
        <v>17</v>
      </c>
      <c r="I10374" t="s">
        <v>25</v>
      </c>
    </row>
    <row r="10375" spans="1:9" x14ac:dyDescent="0.25">
      <c r="A10375">
        <v>1827</v>
      </c>
      <c r="B10375">
        <f>A10375+1</f>
        <v>1828</v>
      </c>
      <c r="C10375" t="s">
        <v>532</v>
      </c>
      <c r="D10375" t="s">
        <v>27</v>
      </c>
      <c r="E10375" s="208" t="s">
        <v>154</v>
      </c>
      <c r="F10375" t="s">
        <v>13</v>
      </c>
      <c r="G10375" s="18">
        <v>0</v>
      </c>
      <c r="H10375" t="s">
        <v>17</v>
      </c>
      <c r="I10375" t="s">
        <v>25</v>
      </c>
    </row>
    <row r="10376" spans="1:9" x14ac:dyDescent="0.25">
      <c r="A10376">
        <v>1827</v>
      </c>
      <c r="B10376">
        <f>A10376+1</f>
        <v>1828</v>
      </c>
      <c r="C10376" t="s">
        <v>532</v>
      </c>
      <c r="D10376" t="s">
        <v>27</v>
      </c>
      <c r="E10376" s="208" t="s">
        <v>150</v>
      </c>
      <c r="F10376" t="s">
        <v>13</v>
      </c>
      <c r="G10376" s="18">
        <v>2116</v>
      </c>
      <c r="H10376" t="s">
        <v>17</v>
      </c>
      <c r="I10376" t="s">
        <v>25</v>
      </c>
    </row>
    <row r="10377" spans="1:9" x14ac:dyDescent="0.25">
      <c r="A10377">
        <v>1827</v>
      </c>
      <c r="B10377">
        <f>A10377+1</f>
        <v>1828</v>
      </c>
      <c r="C10377" t="s">
        <v>532</v>
      </c>
      <c r="D10377" t="s">
        <v>27</v>
      </c>
      <c r="E10377" s="208" t="s">
        <v>148</v>
      </c>
      <c r="F10377" t="s">
        <v>13</v>
      </c>
      <c r="G10377" s="18">
        <v>18</v>
      </c>
      <c r="H10377" t="s">
        <v>17</v>
      </c>
      <c r="I10377" t="s">
        <v>25</v>
      </c>
    </row>
    <row r="10378" spans="1:9" x14ac:dyDescent="0.25">
      <c r="A10378">
        <v>1827</v>
      </c>
      <c r="B10378">
        <f>A10378+1</f>
        <v>1828</v>
      </c>
      <c r="C10378" t="s">
        <v>532</v>
      </c>
      <c r="D10378" t="s">
        <v>27</v>
      </c>
      <c r="E10378" s="208" t="s">
        <v>147</v>
      </c>
      <c r="F10378" t="s">
        <v>13</v>
      </c>
      <c r="G10378" s="18">
        <v>36</v>
      </c>
      <c r="H10378" t="s">
        <v>17</v>
      </c>
      <c r="I10378" t="s">
        <v>25</v>
      </c>
    </row>
    <row r="10379" spans="1:9" x14ac:dyDescent="0.25">
      <c r="A10379">
        <v>1827</v>
      </c>
      <c r="B10379">
        <f>A10379+1</f>
        <v>1828</v>
      </c>
      <c r="C10379" t="s">
        <v>532</v>
      </c>
      <c r="D10379" t="s">
        <v>27</v>
      </c>
      <c r="E10379" s="208" t="s">
        <v>139</v>
      </c>
      <c r="F10379" t="s">
        <v>13</v>
      </c>
      <c r="G10379" s="18">
        <v>5</v>
      </c>
      <c r="H10379" t="s">
        <v>17</v>
      </c>
      <c r="I10379" t="s">
        <v>25</v>
      </c>
    </row>
    <row r="10380" spans="1:9" x14ac:dyDescent="0.25">
      <c r="A10380">
        <v>1827</v>
      </c>
      <c r="B10380">
        <f>A10380+1</f>
        <v>1828</v>
      </c>
      <c r="C10380" t="s">
        <v>532</v>
      </c>
      <c r="D10380" t="s">
        <v>27</v>
      </c>
      <c r="E10380" s="208" t="s">
        <v>131</v>
      </c>
      <c r="F10380" t="s">
        <v>13</v>
      </c>
      <c r="G10380" s="18">
        <v>0</v>
      </c>
      <c r="H10380" t="s">
        <v>25</v>
      </c>
      <c r="I10380" t="s">
        <v>17</v>
      </c>
    </row>
    <row r="10381" spans="1:9" x14ac:dyDescent="0.25">
      <c r="A10381">
        <v>1827</v>
      </c>
      <c r="B10381">
        <f>A10381+1</f>
        <v>1828</v>
      </c>
      <c r="C10381" t="s">
        <v>532</v>
      </c>
      <c r="D10381" t="s">
        <v>27</v>
      </c>
      <c r="E10381" s="208" t="s">
        <v>130</v>
      </c>
      <c r="F10381" t="s">
        <v>13</v>
      </c>
      <c r="G10381" s="18">
        <v>0</v>
      </c>
      <c r="H10381" t="s">
        <v>25</v>
      </c>
      <c r="I10381" t="s">
        <v>17</v>
      </c>
    </row>
    <row r="10382" spans="1:9" x14ac:dyDescent="0.25">
      <c r="A10382">
        <v>1827</v>
      </c>
      <c r="B10382">
        <f>A10382+1</f>
        <v>1828</v>
      </c>
      <c r="C10382" t="s">
        <v>532</v>
      </c>
      <c r="D10382" t="s">
        <v>27</v>
      </c>
      <c r="E10382" s="208" t="s">
        <v>124</v>
      </c>
      <c r="F10382" t="s">
        <v>13</v>
      </c>
      <c r="G10382" s="18">
        <v>13986</v>
      </c>
      <c r="H10382" t="s">
        <v>25</v>
      </c>
      <c r="I10382" t="s">
        <v>17</v>
      </c>
    </row>
    <row r="10383" spans="1:9" x14ac:dyDescent="0.25">
      <c r="A10383">
        <v>1827</v>
      </c>
      <c r="B10383">
        <f>A10383+1</f>
        <v>1828</v>
      </c>
      <c r="C10383" t="s">
        <v>532</v>
      </c>
      <c r="D10383" t="s">
        <v>27</v>
      </c>
      <c r="E10383" s="208" t="s">
        <v>145</v>
      </c>
      <c r="F10383" t="s">
        <v>13</v>
      </c>
      <c r="G10383" s="18">
        <v>495574</v>
      </c>
      <c r="H10383" t="s">
        <v>25</v>
      </c>
      <c r="I10383" t="s">
        <v>17</v>
      </c>
    </row>
    <row r="10384" spans="1:9" x14ac:dyDescent="0.25">
      <c r="A10384">
        <v>1827</v>
      </c>
      <c r="B10384">
        <f>A10384+1</f>
        <v>1828</v>
      </c>
      <c r="C10384" t="s">
        <v>532</v>
      </c>
      <c r="D10384" t="s">
        <v>27</v>
      </c>
      <c r="E10384" s="208" t="s">
        <v>116</v>
      </c>
      <c r="F10384" t="s">
        <v>13</v>
      </c>
      <c r="G10384" s="18">
        <v>0</v>
      </c>
      <c r="H10384" t="s">
        <v>25</v>
      </c>
      <c r="I10384" t="s">
        <v>17</v>
      </c>
    </row>
    <row r="10385" spans="1:9" x14ac:dyDescent="0.25">
      <c r="A10385">
        <v>1827</v>
      </c>
      <c r="B10385">
        <f>A10385+1</f>
        <v>1828</v>
      </c>
      <c r="C10385" t="s">
        <v>532</v>
      </c>
      <c r="D10385" t="s">
        <v>27</v>
      </c>
      <c r="E10385" s="208" t="s">
        <v>137</v>
      </c>
      <c r="F10385" t="s">
        <v>13</v>
      </c>
      <c r="G10385" s="18">
        <v>73</v>
      </c>
      <c r="H10385" t="s">
        <v>25</v>
      </c>
      <c r="I10385" t="s">
        <v>17</v>
      </c>
    </row>
    <row r="10386" spans="1:9" x14ac:dyDescent="0.25">
      <c r="A10386">
        <v>1827</v>
      </c>
      <c r="B10386">
        <f>A10386+1</f>
        <v>1828</v>
      </c>
      <c r="C10386" t="s">
        <v>532</v>
      </c>
      <c r="D10386" t="s">
        <v>27</v>
      </c>
      <c r="E10386" s="208" t="s">
        <v>157</v>
      </c>
      <c r="F10386" t="s">
        <v>13</v>
      </c>
      <c r="G10386" s="18">
        <v>1</v>
      </c>
      <c r="H10386" t="s">
        <v>25</v>
      </c>
      <c r="I10386" t="s">
        <v>17</v>
      </c>
    </row>
    <row r="10387" spans="1:9" x14ac:dyDescent="0.25">
      <c r="A10387">
        <v>1827</v>
      </c>
      <c r="B10387">
        <f>A10387+1</f>
        <v>1828</v>
      </c>
      <c r="C10387" t="s">
        <v>532</v>
      </c>
      <c r="D10387" t="s">
        <v>27</v>
      </c>
      <c r="E10387" s="208" t="s">
        <v>127</v>
      </c>
      <c r="F10387" t="s">
        <v>13</v>
      </c>
      <c r="G10387" s="18">
        <v>0</v>
      </c>
      <c r="H10387" t="s">
        <v>25</v>
      </c>
      <c r="I10387" t="s">
        <v>17</v>
      </c>
    </row>
    <row r="10388" spans="1:9" x14ac:dyDescent="0.25">
      <c r="A10388">
        <v>1827</v>
      </c>
      <c r="B10388">
        <f>A10388+1</f>
        <v>1828</v>
      </c>
      <c r="C10388" t="s">
        <v>532</v>
      </c>
      <c r="D10388" t="s">
        <v>27</v>
      </c>
      <c r="E10388" s="208" t="s">
        <v>133</v>
      </c>
      <c r="F10388" t="s">
        <v>13</v>
      </c>
      <c r="G10388" s="18">
        <v>0</v>
      </c>
      <c r="H10388" t="s">
        <v>25</v>
      </c>
      <c r="I10388" t="s">
        <v>17</v>
      </c>
    </row>
    <row r="10389" spans="1:9" x14ac:dyDescent="0.25">
      <c r="A10389">
        <v>1827</v>
      </c>
      <c r="B10389">
        <f>A10389+1</f>
        <v>1828</v>
      </c>
      <c r="C10389" t="s">
        <v>532</v>
      </c>
      <c r="D10389" t="s">
        <v>27</v>
      </c>
      <c r="E10389" s="208" t="s">
        <v>74</v>
      </c>
      <c r="F10389" t="s">
        <v>13</v>
      </c>
      <c r="G10389" s="18">
        <v>0</v>
      </c>
      <c r="H10389" t="s">
        <v>25</v>
      </c>
      <c r="I10389" t="s">
        <v>17</v>
      </c>
    </row>
    <row r="10390" spans="1:9" x14ac:dyDescent="0.25">
      <c r="A10390">
        <v>1827</v>
      </c>
      <c r="B10390">
        <f>A10390+1</f>
        <v>1828</v>
      </c>
      <c r="C10390" t="s">
        <v>532</v>
      </c>
      <c r="D10390" t="s">
        <v>27</v>
      </c>
      <c r="E10390" s="208" t="s">
        <v>129</v>
      </c>
      <c r="F10390" t="s">
        <v>13</v>
      </c>
      <c r="G10390" s="18">
        <v>0</v>
      </c>
      <c r="H10390" t="s">
        <v>25</v>
      </c>
      <c r="I10390" t="s">
        <v>17</v>
      </c>
    </row>
    <row r="10391" spans="1:9" x14ac:dyDescent="0.25">
      <c r="A10391">
        <v>1827</v>
      </c>
      <c r="B10391">
        <f>A10391+1</f>
        <v>1828</v>
      </c>
      <c r="C10391" t="s">
        <v>532</v>
      </c>
      <c r="D10391" t="s">
        <v>27</v>
      </c>
      <c r="E10391" s="208" t="s">
        <v>141</v>
      </c>
      <c r="F10391" t="s">
        <v>13</v>
      </c>
      <c r="G10391" s="18">
        <v>0</v>
      </c>
      <c r="H10391" t="s">
        <v>25</v>
      </c>
      <c r="I10391" t="s">
        <v>17</v>
      </c>
    </row>
    <row r="10392" spans="1:9" x14ac:dyDescent="0.25">
      <c r="A10392">
        <v>1827</v>
      </c>
      <c r="B10392">
        <f>A10392+1</f>
        <v>1828</v>
      </c>
      <c r="C10392" t="s">
        <v>532</v>
      </c>
      <c r="D10392" t="s">
        <v>27</v>
      </c>
      <c r="E10392" s="208" t="s">
        <v>135</v>
      </c>
      <c r="F10392" t="s">
        <v>13</v>
      </c>
      <c r="G10392" s="18">
        <v>0</v>
      </c>
      <c r="H10392" t="s">
        <v>25</v>
      </c>
      <c r="I10392" t="s">
        <v>17</v>
      </c>
    </row>
    <row r="10393" spans="1:9" x14ac:dyDescent="0.25">
      <c r="A10393">
        <v>1827</v>
      </c>
      <c r="B10393">
        <f>A10393+1</f>
        <v>1828</v>
      </c>
      <c r="C10393" t="s">
        <v>532</v>
      </c>
      <c r="D10393" t="s">
        <v>27</v>
      </c>
      <c r="E10393" s="208" t="s">
        <v>128</v>
      </c>
      <c r="F10393" t="s">
        <v>13</v>
      </c>
      <c r="G10393" s="18">
        <v>0</v>
      </c>
      <c r="H10393" t="s">
        <v>25</v>
      </c>
      <c r="I10393" t="s">
        <v>17</v>
      </c>
    </row>
    <row r="10394" spans="1:9" x14ac:dyDescent="0.25">
      <c r="A10394">
        <v>1827</v>
      </c>
      <c r="B10394">
        <f>A10394+1</f>
        <v>1828</v>
      </c>
      <c r="C10394" t="s">
        <v>532</v>
      </c>
      <c r="D10394" t="s">
        <v>27</v>
      </c>
      <c r="E10394" s="208" t="s">
        <v>138</v>
      </c>
      <c r="F10394" t="s">
        <v>13</v>
      </c>
      <c r="G10394" s="18">
        <v>0</v>
      </c>
      <c r="H10394" t="s">
        <v>17</v>
      </c>
      <c r="I10394" t="s">
        <v>18</v>
      </c>
    </row>
    <row r="10395" spans="1:9" x14ac:dyDescent="0.25">
      <c r="A10395">
        <v>1827</v>
      </c>
      <c r="B10395">
        <f>A10395+1</f>
        <v>1828</v>
      </c>
      <c r="C10395" t="s">
        <v>532</v>
      </c>
      <c r="D10395" t="s">
        <v>27</v>
      </c>
      <c r="E10395" s="208" t="s">
        <v>118</v>
      </c>
      <c r="F10395" t="s">
        <v>13</v>
      </c>
      <c r="G10395" s="18">
        <v>0</v>
      </c>
      <c r="H10395" t="s">
        <v>17</v>
      </c>
      <c r="I10395" t="s">
        <v>18</v>
      </c>
    </row>
    <row r="10396" spans="1:9" x14ac:dyDescent="0.25">
      <c r="A10396">
        <v>1827</v>
      </c>
      <c r="B10396">
        <f>A10396+1</f>
        <v>1828</v>
      </c>
      <c r="C10396" t="s">
        <v>532</v>
      </c>
      <c r="D10396" t="s">
        <v>27</v>
      </c>
      <c r="E10396" s="208" t="s">
        <v>134</v>
      </c>
      <c r="F10396" t="s">
        <v>13</v>
      </c>
      <c r="G10396" s="18">
        <v>0</v>
      </c>
      <c r="H10396" t="s">
        <v>17</v>
      </c>
      <c r="I10396" t="s">
        <v>18</v>
      </c>
    </row>
    <row r="10397" spans="1:9" x14ac:dyDescent="0.25">
      <c r="A10397">
        <v>1827</v>
      </c>
      <c r="B10397">
        <f>A10397+1</f>
        <v>1828</v>
      </c>
      <c r="C10397" t="s">
        <v>532</v>
      </c>
      <c r="D10397" t="s">
        <v>26</v>
      </c>
      <c r="E10397" s="208" t="s">
        <v>62</v>
      </c>
      <c r="F10397" t="s">
        <v>13</v>
      </c>
      <c r="G10397" s="18">
        <v>3959.5</v>
      </c>
      <c r="H10397" t="s">
        <v>17</v>
      </c>
      <c r="I10397" t="s">
        <v>18</v>
      </c>
    </row>
    <row r="10398" spans="1:9" x14ac:dyDescent="0.25">
      <c r="A10398">
        <v>1827</v>
      </c>
      <c r="B10398">
        <f>A10398+1</f>
        <v>1828</v>
      </c>
      <c r="C10398" t="s">
        <v>532</v>
      </c>
      <c r="D10398" t="s">
        <v>26</v>
      </c>
      <c r="E10398" s="208" t="s">
        <v>55</v>
      </c>
      <c r="F10398" t="s">
        <v>13</v>
      </c>
      <c r="G10398" s="18">
        <v>2640</v>
      </c>
      <c r="H10398" t="s">
        <v>17</v>
      </c>
      <c r="I10398" t="s">
        <v>18</v>
      </c>
    </row>
    <row r="10399" spans="1:9" x14ac:dyDescent="0.25">
      <c r="A10399">
        <v>1827</v>
      </c>
      <c r="B10399">
        <f>A10399+1</f>
        <v>1828</v>
      </c>
      <c r="C10399" t="s">
        <v>532</v>
      </c>
      <c r="D10399" t="s">
        <v>26</v>
      </c>
      <c r="E10399" s="208" t="s">
        <v>35</v>
      </c>
      <c r="F10399" t="s">
        <v>13</v>
      </c>
      <c r="G10399" s="18">
        <v>0</v>
      </c>
      <c r="H10399" t="s">
        <v>17</v>
      </c>
      <c r="I10399" t="s">
        <v>18</v>
      </c>
    </row>
    <row r="10400" spans="1:9" x14ac:dyDescent="0.25">
      <c r="A10400">
        <v>1827</v>
      </c>
      <c r="B10400">
        <f>A10400+1</f>
        <v>1828</v>
      </c>
      <c r="C10400" t="s">
        <v>532</v>
      </c>
      <c r="D10400" t="s">
        <v>26</v>
      </c>
      <c r="E10400" s="208" t="s">
        <v>40</v>
      </c>
      <c r="F10400" t="s">
        <v>13</v>
      </c>
      <c r="G10400" s="18">
        <v>18486</v>
      </c>
      <c r="H10400" t="s">
        <v>17</v>
      </c>
      <c r="I10400" t="s">
        <v>18</v>
      </c>
    </row>
    <row r="10401" spans="1:9" x14ac:dyDescent="0.25">
      <c r="A10401">
        <v>1827</v>
      </c>
      <c r="B10401">
        <f>A10401+1</f>
        <v>1828</v>
      </c>
      <c r="C10401" t="s">
        <v>532</v>
      </c>
      <c r="D10401" t="s">
        <v>26</v>
      </c>
      <c r="E10401" s="208" t="s">
        <v>98</v>
      </c>
      <c r="F10401" t="s">
        <v>13</v>
      </c>
      <c r="G10401" s="18">
        <v>67929</v>
      </c>
      <c r="H10401" t="s">
        <v>17</v>
      </c>
      <c r="I10401" t="s">
        <v>18</v>
      </c>
    </row>
    <row r="10402" spans="1:9" x14ac:dyDescent="0.25">
      <c r="A10402">
        <v>1827</v>
      </c>
      <c r="B10402">
        <f>A10402+1</f>
        <v>1828</v>
      </c>
      <c r="C10402" t="s">
        <v>532</v>
      </c>
      <c r="D10402" t="s">
        <v>26</v>
      </c>
      <c r="E10402" s="208" t="s">
        <v>435</v>
      </c>
      <c r="F10402" t="s">
        <v>13</v>
      </c>
      <c r="G10402" s="18">
        <v>3279</v>
      </c>
      <c r="H10402" t="s">
        <v>17</v>
      </c>
      <c r="I10402" t="s">
        <v>18</v>
      </c>
    </row>
    <row r="10403" spans="1:9" x14ac:dyDescent="0.25">
      <c r="A10403">
        <v>1827</v>
      </c>
      <c r="B10403">
        <f>A10403+1</f>
        <v>1828</v>
      </c>
      <c r="C10403" t="s">
        <v>532</v>
      </c>
      <c r="D10403" t="s">
        <v>26</v>
      </c>
      <c r="E10403" s="208" t="s">
        <v>107</v>
      </c>
      <c r="F10403" t="s">
        <v>13</v>
      </c>
      <c r="G10403" s="18">
        <v>1548824</v>
      </c>
      <c r="H10403" t="s">
        <v>17</v>
      </c>
      <c r="I10403" t="s">
        <v>18</v>
      </c>
    </row>
    <row r="10404" spans="1:9" x14ac:dyDescent="0.25">
      <c r="A10404">
        <v>1827</v>
      </c>
      <c r="B10404">
        <f>A10404+1</f>
        <v>1828</v>
      </c>
      <c r="C10404" t="s">
        <v>532</v>
      </c>
      <c r="D10404" t="s">
        <v>26</v>
      </c>
      <c r="E10404" s="208" t="s">
        <v>101</v>
      </c>
      <c r="F10404" t="s">
        <v>13</v>
      </c>
      <c r="G10404" s="18">
        <v>1051657</v>
      </c>
      <c r="H10404" t="s">
        <v>17</v>
      </c>
      <c r="I10404" t="s">
        <v>18</v>
      </c>
    </row>
    <row r="10405" spans="1:9" x14ac:dyDescent="0.25">
      <c r="A10405">
        <v>1827</v>
      </c>
      <c r="B10405">
        <f>A10405+1</f>
        <v>1828</v>
      </c>
      <c r="C10405" t="s">
        <v>532</v>
      </c>
      <c r="D10405" t="s">
        <v>26</v>
      </c>
      <c r="E10405" s="208" t="s">
        <v>75</v>
      </c>
      <c r="F10405" t="s">
        <v>13</v>
      </c>
      <c r="G10405" s="18">
        <v>340133</v>
      </c>
      <c r="H10405" t="s">
        <v>17</v>
      </c>
      <c r="I10405" t="s">
        <v>18</v>
      </c>
    </row>
    <row r="10406" spans="1:9" x14ac:dyDescent="0.25">
      <c r="A10406">
        <v>1827</v>
      </c>
      <c r="B10406">
        <f>A10406+1</f>
        <v>1828</v>
      </c>
      <c r="C10406" t="s">
        <v>532</v>
      </c>
      <c r="D10406" t="s">
        <v>26</v>
      </c>
      <c r="E10406" s="208" t="s">
        <v>66</v>
      </c>
      <c r="F10406" t="s">
        <v>13</v>
      </c>
      <c r="G10406" s="18">
        <v>0</v>
      </c>
      <c r="H10406" t="s">
        <v>17</v>
      </c>
      <c r="I10406" t="s">
        <v>18</v>
      </c>
    </row>
    <row r="10407" spans="1:9" x14ac:dyDescent="0.25">
      <c r="A10407">
        <v>1827</v>
      </c>
      <c r="B10407">
        <f>A10407+1</f>
        <v>1828</v>
      </c>
      <c r="C10407" t="s">
        <v>532</v>
      </c>
      <c r="D10407" t="s">
        <v>26</v>
      </c>
      <c r="E10407" s="208" t="s">
        <v>330</v>
      </c>
      <c r="F10407" t="s">
        <v>13</v>
      </c>
      <c r="G10407" s="18">
        <v>627</v>
      </c>
      <c r="H10407" t="s">
        <v>17</v>
      </c>
      <c r="I10407" t="s">
        <v>18</v>
      </c>
    </row>
    <row r="10408" spans="1:9" x14ac:dyDescent="0.25">
      <c r="A10408">
        <v>1827</v>
      </c>
      <c r="B10408">
        <f>A10408+1</f>
        <v>1828</v>
      </c>
      <c r="C10408" t="s">
        <v>532</v>
      </c>
      <c r="D10408" t="s">
        <v>26</v>
      </c>
      <c r="E10408" s="208" t="s">
        <v>331</v>
      </c>
      <c r="F10408" t="s">
        <v>13</v>
      </c>
      <c r="G10408" s="18">
        <v>407</v>
      </c>
      <c r="H10408" t="s">
        <v>17</v>
      </c>
      <c r="I10408" t="s">
        <v>18</v>
      </c>
    </row>
    <row r="10409" spans="1:9" x14ac:dyDescent="0.25">
      <c r="A10409">
        <v>1827</v>
      </c>
      <c r="B10409">
        <f>A10409+1</f>
        <v>1828</v>
      </c>
      <c r="C10409" t="s">
        <v>532</v>
      </c>
      <c r="D10409" t="s">
        <v>26</v>
      </c>
      <c r="E10409" s="208" t="s">
        <v>333</v>
      </c>
      <c r="F10409" t="s">
        <v>13</v>
      </c>
      <c r="G10409" s="18">
        <v>0</v>
      </c>
      <c r="H10409" t="s">
        <v>17</v>
      </c>
      <c r="I10409" t="s">
        <v>18</v>
      </c>
    </row>
    <row r="10410" spans="1:9" x14ac:dyDescent="0.25">
      <c r="A10410">
        <v>1827</v>
      </c>
      <c r="B10410">
        <f>A10410+1</f>
        <v>1828</v>
      </c>
      <c r="C10410" t="s">
        <v>532</v>
      </c>
      <c r="D10410" t="s">
        <v>26</v>
      </c>
      <c r="E10410" s="208" t="s">
        <v>332</v>
      </c>
      <c r="F10410" t="s">
        <v>13</v>
      </c>
      <c r="G10410" s="18">
        <v>0</v>
      </c>
      <c r="H10410" t="s">
        <v>17</v>
      </c>
      <c r="I10410" t="s">
        <v>18</v>
      </c>
    </row>
    <row r="10411" spans="1:9" x14ac:dyDescent="0.25">
      <c r="A10411">
        <v>1827</v>
      </c>
      <c r="B10411">
        <f>A10411+1</f>
        <v>1828</v>
      </c>
      <c r="C10411" t="s">
        <v>532</v>
      </c>
      <c r="D10411" t="s">
        <v>27</v>
      </c>
      <c r="E10411" s="208" t="s">
        <v>155</v>
      </c>
      <c r="F10411" t="s">
        <v>8</v>
      </c>
      <c r="G10411" s="18">
        <v>67702</v>
      </c>
      <c r="H10411" t="s">
        <v>17</v>
      </c>
      <c r="I10411" t="s">
        <v>18</v>
      </c>
    </row>
    <row r="10412" spans="1:9" x14ac:dyDescent="0.25">
      <c r="A10412">
        <v>1827</v>
      </c>
      <c r="B10412">
        <f>A10412+1</f>
        <v>1828</v>
      </c>
      <c r="C10412" t="s">
        <v>532</v>
      </c>
      <c r="D10412" t="s">
        <v>27</v>
      </c>
      <c r="E10412" s="208" t="s">
        <v>156</v>
      </c>
      <c r="F10412" t="s">
        <v>8</v>
      </c>
      <c r="G10412" s="18">
        <v>7094</v>
      </c>
      <c r="H10412" t="s">
        <v>17</v>
      </c>
      <c r="I10412" t="s">
        <v>18</v>
      </c>
    </row>
    <row r="10413" spans="1:9" x14ac:dyDescent="0.25">
      <c r="A10413">
        <v>1827</v>
      </c>
      <c r="B10413">
        <f>A10413+1</f>
        <v>1828</v>
      </c>
      <c r="C10413" t="s">
        <v>532</v>
      </c>
      <c r="D10413" t="s">
        <v>27</v>
      </c>
      <c r="E10413" s="208" t="s">
        <v>154</v>
      </c>
      <c r="F10413" t="s">
        <v>8</v>
      </c>
      <c r="G10413" s="18">
        <v>1164</v>
      </c>
      <c r="H10413" t="s">
        <v>17</v>
      </c>
      <c r="I10413" t="s">
        <v>18</v>
      </c>
    </row>
    <row r="10414" spans="1:9" x14ac:dyDescent="0.25">
      <c r="A10414">
        <v>1827</v>
      </c>
      <c r="B10414">
        <f>A10414+1</f>
        <v>1828</v>
      </c>
      <c r="C10414" t="s">
        <v>532</v>
      </c>
      <c r="D10414" t="s">
        <v>27</v>
      </c>
      <c r="E10414" s="208" t="s">
        <v>150</v>
      </c>
      <c r="F10414" t="s">
        <v>8</v>
      </c>
      <c r="G10414" s="18">
        <v>20843</v>
      </c>
      <c r="H10414" t="s">
        <v>17</v>
      </c>
      <c r="I10414" t="s">
        <v>18</v>
      </c>
    </row>
    <row r="10415" spans="1:9" x14ac:dyDescent="0.25">
      <c r="A10415">
        <v>1827</v>
      </c>
      <c r="B10415">
        <f>A10415+1</f>
        <v>1828</v>
      </c>
      <c r="C10415" t="s">
        <v>532</v>
      </c>
      <c r="D10415" t="s">
        <v>27</v>
      </c>
      <c r="E10415" s="208" t="s">
        <v>148</v>
      </c>
      <c r="F10415" t="s">
        <v>8</v>
      </c>
      <c r="G10415" s="18">
        <v>1723</v>
      </c>
      <c r="H10415" t="s">
        <v>17</v>
      </c>
      <c r="I10415" t="s">
        <v>18</v>
      </c>
    </row>
    <row r="10416" spans="1:9" x14ac:dyDescent="0.25">
      <c r="A10416">
        <v>1827</v>
      </c>
      <c r="B10416">
        <f>A10416+1</f>
        <v>1828</v>
      </c>
      <c r="C10416" t="s">
        <v>532</v>
      </c>
      <c r="D10416" t="s">
        <v>27</v>
      </c>
      <c r="E10416" s="208" t="s">
        <v>147</v>
      </c>
      <c r="F10416" t="s">
        <v>8</v>
      </c>
      <c r="G10416" s="18">
        <v>69</v>
      </c>
      <c r="H10416" t="s">
        <v>17</v>
      </c>
      <c r="I10416" t="s">
        <v>18</v>
      </c>
    </row>
    <row r="10417" spans="1:9" x14ac:dyDescent="0.25">
      <c r="A10417">
        <v>1827</v>
      </c>
      <c r="B10417">
        <f>A10417+1</f>
        <v>1828</v>
      </c>
      <c r="C10417" t="s">
        <v>532</v>
      </c>
      <c r="D10417" t="s">
        <v>27</v>
      </c>
      <c r="E10417" s="208" t="s">
        <v>139</v>
      </c>
      <c r="F10417" t="s">
        <v>8</v>
      </c>
      <c r="G10417" s="18">
        <v>127</v>
      </c>
      <c r="H10417" t="s">
        <v>17</v>
      </c>
      <c r="I10417" t="s">
        <v>18</v>
      </c>
    </row>
    <row r="10418" spans="1:9" x14ac:dyDescent="0.25">
      <c r="A10418">
        <v>1827</v>
      </c>
      <c r="B10418">
        <f>A10418+1</f>
        <v>1828</v>
      </c>
      <c r="C10418" t="s">
        <v>532</v>
      </c>
      <c r="D10418" t="s">
        <v>27</v>
      </c>
      <c r="E10418" s="208" t="s">
        <v>131</v>
      </c>
      <c r="F10418" t="s">
        <v>8</v>
      </c>
      <c r="G10418" s="18">
        <v>1751</v>
      </c>
      <c r="H10418" t="s">
        <v>17</v>
      </c>
      <c r="I10418" t="s">
        <v>18</v>
      </c>
    </row>
    <row r="10419" spans="1:9" x14ac:dyDescent="0.25">
      <c r="A10419">
        <v>1827</v>
      </c>
      <c r="B10419">
        <f>A10419+1</f>
        <v>1828</v>
      </c>
      <c r="C10419" t="s">
        <v>532</v>
      </c>
      <c r="D10419" t="s">
        <v>27</v>
      </c>
      <c r="E10419" s="208" t="s">
        <v>130</v>
      </c>
      <c r="F10419" t="s">
        <v>8</v>
      </c>
      <c r="G10419" s="18">
        <v>378</v>
      </c>
      <c r="H10419" t="s">
        <v>18</v>
      </c>
      <c r="I10419" t="s">
        <v>17</v>
      </c>
    </row>
    <row r="10420" spans="1:9" x14ac:dyDescent="0.25">
      <c r="A10420">
        <v>1827</v>
      </c>
      <c r="B10420">
        <f>A10420+1</f>
        <v>1828</v>
      </c>
      <c r="C10420" t="s">
        <v>532</v>
      </c>
      <c r="D10420" t="s">
        <v>27</v>
      </c>
      <c r="E10420" s="208" t="s">
        <v>124</v>
      </c>
      <c r="F10420" t="s">
        <v>8</v>
      </c>
      <c r="G10420" s="18">
        <v>10041261</v>
      </c>
      <c r="H10420" t="s">
        <v>18</v>
      </c>
      <c r="I10420" t="s">
        <v>17</v>
      </c>
    </row>
    <row r="10421" spans="1:9" x14ac:dyDescent="0.25">
      <c r="A10421">
        <v>1827</v>
      </c>
      <c r="B10421">
        <f>A10421+1</f>
        <v>1828</v>
      </c>
      <c r="C10421" t="s">
        <v>532</v>
      </c>
      <c r="D10421" t="s">
        <v>27</v>
      </c>
      <c r="E10421" s="208" t="s">
        <v>145</v>
      </c>
      <c r="F10421" t="s">
        <v>8</v>
      </c>
      <c r="G10421" s="18">
        <v>1596117</v>
      </c>
      <c r="H10421" t="s">
        <v>160</v>
      </c>
      <c r="I10421" t="s">
        <v>17</v>
      </c>
    </row>
    <row r="10422" spans="1:9" x14ac:dyDescent="0.25">
      <c r="A10422">
        <v>1827</v>
      </c>
      <c r="B10422">
        <f>A10422+1</f>
        <v>1828</v>
      </c>
      <c r="C10422" t="s">
        <v>532</v>
      </c>
      <c r="D10422" t="s">
        <v>27</v>
      </c>
      <c r="E10422" s="208" t="s">
        <v>114</v>
      </c>
      <c r="F10422" t="s">
        <v>8</v>
      </c>
      <c r="G10422" s="18">
        <v>923</v>
      </c>
      <c r="H10422" t="s">
        <v>160</v>
      </c>
      <c r="I10422" t="s">
        <v>17</v>
      </c>
    </row>
    <row r="10423" spans="1:9" x14ac:dyDescent="0.25">
      <c r="A10423">
        <v>1827</v>
      </c>
      <c r="B10423">
        <f>A10423+1</f>
        <v>1828</v>
      </c>
      <c r="C10423" t="s">
        <v>532</v>
      </c>
      <c r="D10423" t="s">
        <v>27</v>
      </c>
      <c r="E10423" s="208" t="s">
        <v>116</v>
      </c>
      <c r="F10423" t="s">
        <v>8</v>
      </c>
      <c r="G10423" s="18">
        <v>1877</v>
      </c>
      <c r="H10423" t="s">
        <v>160</v>
      </c>
      <c r="I10423" t="s">
        <v>17</v>
      </c>
    </row>
    <row r="10424" spans="1:9" x14ac:dyDescent="0.25">
      <c r="A10424">
        <v>1827</v>
      </c>
      <c r="B10424">
        <f>A10424+1</f>
        <v>1828</v>
      </c>
      <c r="C10424" t="s">
        <v>532</v>
      </c>
      <c r="D10424" t="s">
        <v>27</v>
      </c>
      <c r="E10424" s="208" t="s">
        <v>137</v>
      </c>
      <c r="F10424" t="s">
        <v>8</v>
      </c>
      <c r="G10424" s="18">
        <v>74</v>
      </c>
      <c r="H10424" t="s">
        <v>160</v>
      </c>
      <c r="I10424" t="s">
        <v>17</v>
      </c>
    </row>
    <row r="10425" spans="1:9" x14ac:dyDescent="0.25">
      <c r="A10425">
        <v>1827</v>
      </c>
      <c r="B10425">
        <f>A10425+1</f>
        <v>1828</v>
      </c>
      <c r="C10425" t="s">
        <v>532</v>
      </c>
      <c r="D10425" t="s">
        <v>27</v>
      </c>
      <c r="E10425" s="208" t="s">
        <v>157</v>
      </c>
      <c r="F10425" t="s">
        <v>8</v>
      </c>
      <c r="G10425" s="18">
        <v>143</v>
      </c>
      <c r="H10425" t="s">
        <v>160</v>
      </c>
      <c r="I10425" t="s">
        <v>17</v>
      </c>
    </row>
    <row r="10426" spans="1:9" x14ac:dyDescent="0.25">
      <c r="A10426">
        <v>1827</v>
      </c>
      <c r="B10426">
        <f>A10426+1</f>
        <v>1828</v>
      </c>
      <c r="C10426" t="s">
        <v>532</v>
      </c>
      <c r="D10426" t="s">
        <v>27</v>
      </c>
      <c r="E10426" s="208" t="s">
        <v>127</v>
      </c>
      <c r="F10426" t="s">
        <v>8</v>
      </c>
      <c r="G10426" s="18">
        <v>9</v>
      </c>
      <c r="H10426" t="s">
        <v>160</v>
      </c>
      <c r="I10426" t="s">
        <v>17</v>
      </c>
    </row>
    <row r="10427" spans="1:9" x14ac:dyDescent="0.25">
      <c r="A10427">
        <v>1827</v>
      </c>
      <c r="B10427">
        <f>A10427+1</f>
        <v>1828</v>
      </c>
      <c r="C10427" t="s">
        <v>532</v>
      </c>
      <c r="D10427" t="s">
        <v>27</v>
      </c>
      <c r="E10427" s="208" t="s">
        <v>133</v>
      </c>
      <c r="F10427" t="s">
        <v>8</v>
      </c>
      <c r="G10427" s="18">
        <v>2560</v>
      </c>
      <c r="H10427" t="s">
        <v>160</v>
      </c>
      <c r="I10427" t="s">
        <v>17</v>
      </c>
    </row>
    <row r="10428" spans="1:9" x14ac:dyDescent="0.25">
      <c r="A10428">
        <v>1827</v>
      </c>
      <c r="B10428">
        <f>A10428+1</f>
        <v>1828</v>
      </c>
      <c r="C10428" t="s">
        <v>532</v>
      </c>
      <c r="D10428" t="s">
        <v>27</v>
      </c>
      <c r="E10428" s="208" t="s">
        <v>74</v>
      </c>
      <c r="F10428" t="s">
        <v>8</v>
      </c>
      <c r="G10428" s="18">
        <v>3201</v>
      </c>
      <c r="H10428" t="s">
        <v>160</v>
      </c>
      <c r="I10428" t="s">
        <v>17</v>
      </c>
    </row>
    <row r="10429" spans="1:9" x14ac:dyDescent="0.25">
      <c r="A10429">
        <v>1827</v>
      </c>
      <c r="B10429">
        <f>A10429+1</f>
        <v>1828</v>
      </c>
      <c r="C10429" t="s">
        <v>532</v>
      </c>
      <c r="D10429" t="s">
        <v>27</v>
      </c>
      <c r="E10429" s="208" t="s">
        <v>129</v>
      </c>
      <c r="F10429" t="s">
        <v>8</v>
      </c>
      <c r="G10429" s="18">
        <v>827</v>
      </c>
      <c r="H10429" t="s">
        <v>160</v>
      </c>
      <c r="I10429" t="s">
        <v>17</v>
      </c>
    </row>
    <row r="10430" spans="1:9" x14ac:dyDescent="0.25">
      <c r="A10430">
        <v>1827</v>
      </c>
      <c r="B10430">
        <f>A10430+1</f>
        <v>1828</v>
      </c>
      <c r="C10430" t="s">
        <v>532</v>
      </c>
      <c r="D10430" t="s">
        <v>27</v>
      </c>
      <c r="E10430" s="208" t="s">
        <v>141</v>
      </c>
      <c r="F10430" t="s">
        <v>8</v>
      </c>
      <c r="G10430" s="18">
        <v>61</v>
      </c>
      <c r="H10430" t="s">
        <v>160</v>
      </c>
      <c r="I10430" t="s">
        <v>17</v>
      </c>
    </row>
    <row r="10431" spans="1:9" x14ac:dyDescent="0.25">
      <c r="A10431">
        <v>1827</v>
      </c>
      <c r="B10431">
        <f>A10431+1</f>
        <v>1828</v>
      </c>
      <c r="C10431" t="s">
        <v>532</v>
      </c>
      <c r="D10431" t="s">
        <v>27</v>
      </c>
      <c r="E10431" s="208" t="s">
        <v>135</v>
      </c>
      <c r="F10431" t="s">
        <v>8</v>
      </c>
      <c r="G10431" s="18">
        <v>183</v>
      </c>
      <c r="H10431" t="s">
        <v>160</v>
      </c>
      <c r="I10431" t="s">
        <v>17</v>
      </c>
    </row>
    <row r="10432" spans="1:9" x14ac:dyDescent="0.25">
      <c r="A10432">
        <v>1827</v>
      </c>
      <c r="B10432">
        <f>A10432+1</f>
        <v>1828</v>
      </c>
      <c r="C10432" t="s">
        <v>532</v>
      </c>
      <c r="D10432" t="s">
        <v>27</v>
      </c>
      <c r="E10432" s="208" t="s">
        <v>128</v>
      </c>
      <c r="F10432" t="s">
        <v>8</v>
      </c>
      <c r="G10432" s="18">
        <v>249</v>
      </c>
      <c r="H10432" t="s">
        <v>160</v>
      </c>
      <c r="I10432" t="s">
        <v>17</v>
      </c>
    </row>
    <row r="10433" spans="1:9" x14ac:dyDescent="0.25">
      <c r="A10433">
        <v>1827</v>
      </c>
      <c r="B10433">
        <f>A10433+1</f>
        <v>1828</v>
      </c>
      <c r="C10433" t="s">
        <v>532</v>
      </c>
      <c r="D10433" t="s">
        <v>27</v>
      </c>
      <c r="E10433" s="208" t="s">
        <v>138</v>
      </c>
      <c r="F10433" t="s">
        <v>8</v>
      </c>
      <c r="G10433" s="18">
        <v>1492</v>
      </c>
      <c r="H10433" t="s">
        <v>160</v>
      </c>
      <c r="I10433" t="s">
        <v>17</v>
      </c>
    </row>
    <row r="10434" spans="1:9" x14ac:dyDescent="0.25">
      <c r="A10434">
        <v>1827</v>
      </c>
      <c r="B10434">
        <f>A10434+1</f>
        <v>1828</v>
      </c>
      <c r="C10434" t="s">
        <v>532</v>
      </c>
      <c r="D10434" t="s">
        <v>27</v>
      </c>
      <c r="E10434" s="208" t="s">
        <v>118</v>
      </c>
      <c r="F10434" t="s">
        <v>8</v>
      </c>
      <c r="G10434" s="18">
        <v>4</v>
      </c>
      <c r="H10434" t="s">
        <v>160</v>
      </c>
      <c r="I10434" t="s">
        <v>17</v>
      </c>
    </row>
    <row r="10435" spans="1:9" x14ac:dyDescent="0.25">
      <c r="A10435">
        <v>1827</v>
      </c>
      <c r="B10435">
        <f>A10435+1</f>
        <v>1828</v>
      </c>
      <c r="C10435" t="s">
        <v>532</v>
      </c>
      <c r="D10435" t="s">
        <v>27</v>
      </c>
      <c r="E10435" s="208" t="s">
        <v>134</v>
      </c>
      <c r="F10435" t="s">
        <v>8</v>
      </c>
      <c r="G10435" s="18">
        <v>11826</v>
      </c>
      <c r="H10435" t="s">
        <v>17</v>
      </c>
      <c r="I10435" t="s">
        <v>21</v>
      </c>
    </row>
    <row r="10436" spans="1:9" x14ac:dyDescent="0.25">
      <c r="A10436">
        <v>1827</v>
      </c>
      <c r="B10436">
        <f>A10436+1</f>
        <v>1828</v>
      </c>
      <c r="C10436" t="s">
        <v>532</v>
      </c>
      <c r="D10436" t="s">
        <v>26</v>
      </c>
      <c r="E10436" s="208" t="s">
        <v>113</v>
      </c>
      <c r="F10436" t="s">
        <v>8</v>
      </c>
      <c r="G10436" s="18">
        <v>47</v>
      </c>
      <c r="H10436" t="s">
        <v>17</v>
      </c>
      <c r="I10436" t="s">
        <v>21</v>
      </c>
    </row>
    <row r="10437" spans="1:9" x14ac:dyDescent="0.25">
      <c r="A10437">
        <v>1827</v>
      </c>
      <c r="B10437">
        <f>A10437+1</f>
        <v>1828</v>
      </c>
      <c r="C10437" t="s">
        <v>532</v>
      </c>
      <c r="D10437" t="s">
        <v>26</v>
      </c>
      <c r="E10437" s="208" t="s">
        <v>112</v>
      </c>
      <c r="F10437" t="s">
        <v>8</v>
      </c>
      <c r="G10437" s="18">
        <v>278</v>
      </c>
      <c r="H10437" t="s">
        <v>17</v>
      </c>
      <c r="I10437" t="s">
        <v>21</v>
      </c>
    </row>
    <row r="10438" spans="1:9" x14ac:dyDescent="0.25">
      <c r="A10438">
        <v>1827</v>
      </c>
      <c r="B10438">
        <f>A10438+1</f>
        <v>1828</v>
      </c>
      <c r="C10438" t="s">
        <v>532</v>
      </c>
      <c r="D10438" t="s">
        <v>26</v>
      </c>
      <c r="E10438" s="208" t="s">
        <v>62</v>
      </c>
      <c r="F10438" t="s">
        <v>164</v>
      </c>
      <c r="G10438" s="18">
        <v>1399</v>
      </c>
      <c r="H10438" t="s">
        <v>17</v>
      </c>
      <c r="I10438" t="s">
        <v>21</v>
      </c>
    </row>
    <row r="10439" spans="1:9" x14ac:dyDescent="0.25">
      <c r="A10439">
        <v>1827</v>
      </c>
      <c r="B10439">
        <f>A10439+1</f>
        <v>1828</v>
      </c>
      <c r="C10439" t="s">
        <v>532</v>
      </c>
      <c r="D10439" t="s">
        <v>26</v>
      </c>
      <c r="E10439" s="208" t="s">
        <v>55</v>
      </c>
      <c r="F10439" t="s">
        <v>164</v>
      </c>
      <c r="G10439" s="18">
        <v>10</v>
      </c>
      <c r="H10439" t="s">
        <v>17</v>
      </c>
      <c r="I10439" t="s">
        <v>21</v>
      </c>
    </row>
    <row r="10440" spans="1:9" x14ac:dyDescent="0.25">
      <c r="A10440">
        <v>1827</v>
      </c>
      <c r="B10440">
        <f>A10440+1</f>
        <v>1828</v>
      </c>
      <c r="C10440" t="s">
        <v>532</v>
      </c>
      <c r="D10440" t="s">
        <v>26</v>
      </c>
      <c r="E10440" s="208" t="s">
        <v>35</v>
      </c>
      <c r="F10440" t="s">
        <v>164</v>
      </c>
      <c r="G10440" s="18">
        <v>0</v>
      </c>
      <c r="H10440" t="s">
        <v>17</v>
      </c>
      <c r="I10440" t="s">
        <v>21</v>
      </c>
    </row>
    <row r="10441" spans="1:9" x14ac:dyDescent="0.25">
      <c r="A10441">
        <v>1827</v>
      </c>
      <c r="B10441">
        <f>A10441+1</f>
        <v>1828</v>
      </c>
      <c r="C10441" t="s">
        <v>532</v>
      </c>
      <c r="D10441" t="s">
        <v>26</v>
      </c>
      <c r="E10441" s="208" t="s">
        <v>40</v>
      </c>
      <c r="F10441" t="s">
        <v>164</v>
      </c>
      <c r="G10441" s="18">
        <v>7701</v>
      </c>
      <c r="H10441" t="s">
        <v>17</v>
      </c>
      <c r="I10441" t="s">
        <v>21</v>
      </c>
    </row>
    <row r="10442" spans="1:9" x14ac:dyDescent="0.25">
      <c r="A10442">
        <v>1827</v>
      </c>
      <c r="B10442">
        <f>A10442+1</f>
        <v>1828</v>
      </c>
      <c r="C10442" t="s">
        <v>532</v>
      </c>
      <c r="D10442" t="s">
        <v>26</v>
      </c>
      <c r="E10442" s="208" t="s">
        <v>98</v>
      </c>
      <c r="F10442" t="s">
        <v>164</v>
      </c>
      <c r="G10442" s="18">
        <v>166779</v>
      </c>
      <c r="H10442" t="s">
        <v>17</v>
      </c>
      <c r="I10442" t="s">
        <v>21</v>
      </c>
    </row>
    <row r="10443" spans="1:9" x14ac:dyDescent="0.25">
      <c r="A10443">
        <v>1827</v>
      </c>
      <c r="B10443">
        <f>A10443+1</f>
        <v>1828</v>
      </c>
      <c r="C10443" t="s">
        <v>532</v>
      </c>
      <c r="D10443" t="s">
        <v>26</v>
      </c>
      <c r="E10443" s="208" t="s">
        <v>435</v>
      </c>
      <c r="F10443" t="s">
        <v>164</v>
      </c>
      <c r="G10443" s="18">
        <v>566</v>
      </c>
      <c r="H10443" t="s">
        <v>17</v>
      </c>
      <c r="I10443" t="s">
        <v>21</v>
      </c>
    </row>
    <row r="10444" spans="1:9" x14ac:dyDescent="0.25">
      <c r="A10444">
        <v>1827</v>
      </c>
      <c r="B10444">
        <f>A10444+1</f>
        <v>1828</v>
      </c>
      <c r="C10444" t="s">
        <v>532</v>
      </c>
      <c r="D10444" t="s">
        <v>26</v>
      </c>
      <c r="E10444" s="208" t="s">
        <v>107</v>
      </c>
      <c r="F10444" t="s">
        <v>164</v>
      </c>
      <c r="G10444" s="18">
        <v>120858</v>
      </c>
      <c r="H10444" t="s">
        <v>17</v>
      </c>
      <c r="I10444" t="s">
        <v>21</v>
      </c>
    </row>
    <row r="10445" spans="1:9" x14ac:dyDescent="0.25">
      <c r="A10445">
        <v>1827</v>
      </c>
      <c r="B10445">
        <f>A10445+1</f>
        <v>1828</v>
      </c>
      <c r="C10445" t="s">
        <v>532</v>
      </c>
      <c r="D10445" t="s">
        <v>26</v>
      </c>
      <c r="E10445" s="208" t="s">
        <v>101</v>
      </c>
      <c r="F10445" t="s">
        <v>164</v>
      </c>
      <c r="G10445" s="18">
        <v>0</v>
      </c>
      <c r="H10445" t="s">
        <v>17</v>
      </c>
      <c r="I10445" t="s">
        <v>21</v>
      </c>
    </row>
    <row r="10446" spans="1:9" x14ac:dyDescent="0.25">
      <c r="A10446">
        <v>1827</v>
      </c>
      <c r="B10446">
        <f>A10446+1</f>
        <v>1828</v>
      </c>
      <c r="C10446" t="s">
        <v>532</v>
      </c>
      <c r="D10446" t="s">
        <v>26</v>
      </c>
      <c r="E10446" s="208" t="s">
        <v>75</v>
      </c>
      <c r="F10446" t="s">
        <v>164</v>
      </c>
      <c r="G10446" s="18">
        <v>300017</v>
      </c>
      <c r="H10446" t="s">
        <v>17</v>
      </c>
      <c r="I10446" t="s">
        <v>21</v>
      </c>
    </row>
    <row r="10447" spans="1:9" x14ac:dyDescent="0.25">
      <c r="A10447">
        <v>1827</v>
      </c>
      <c r="B10447">
        <f>A10447+1</f>
        <v>1828</v>
      </c>
      <c r="C10447" t="s">
        <v>532</v>
      </c>
      <c r="D10447" t="s">
        <v>26</v>
      </c>
      <c r="E10447" s="208" t="s">
        <v>66</v>
      </c>
      <c r="F10447" t="s">
        <v>164</v>
      </c>
      <c r="G10447" s="18">
        <v>26940</v>
      </c>
      <c r="H10447" t="s">
        <v>17</v>
      </c>
      <c r="I10447" t="s">
        <v>21</v>
      </c>
    </row>
    <row r="10448" spans="1:9" x14ac:dyDescent="0.25">
      <c r="A10448">
        <v>1827</v>
      </c>
      <c r="B10448">
        <f>A10448+1</f>
        <v>1828</v>
      </c>
      <c r="C10448" t="s">
        <v>532</v>
      </c>
      <c r="D10448" t="s">
        <v>26</v>
      </c>
      <c r="E10448" s="208" t="s">
        <v>330</v>
      </c>
      <c r="F10448" t="s">
        <v>164</v>
      </c>
      <c r="G10448" s="18">
        <v>0</v>
      </c>
      <c r="H10448" t="s">
        <v>17</v>
      </c>
      <c r="I10448" t="s">
        <v>21</v>
      </c>
    </row>
    <row r="10449" spans="1:9" x14ac:dyDescent="0.25">
      <c r="A10449">
        <v>1827</v>
      </c>
      <c r="B10449">
        <f>A10449+1</f>
        <v>1828</v>
      </c>
      <c r="C10449" t="s">
        <v>532</v>
      </c>
      <c r="D10449" t="s">
        <v>26</v>
      </c>
      <c r="E10449" s="208" t="s">
        <v>331</v>
      </c>
      <c r="F10449" t="s">
        <v>164</v>
      </c>
      <c r="G10449" s="18">
        <v>0</v>
      </c>
      <c r="H10449" t="s">
        <v>17</v>
      </c>
      <c r="I10449" t="s">
        <v>21</v>
      </c>
    </row>
    <row r="10450" spans="1:9" x14ac:dyDescent="0.25">
      <c r="A10450">
        <v>1827</v>
      </c>
      <c r="B10450">
        <f>A10450+1</f>
        <v>1828</v>
      </c>
      <c r="C10450" t="s">
        <v>532</v>
      </c>
      <c r="D10450" t="s">
        <v>26</v>
      </c>
      <c r="E10450" s="208" t="s">
        <v>333</v>
      </c>
      <c r="F10450" t="s">
        <v>164</v>
      </c>
      <c r="G10450" s="18">
        <v>0</v>
      </c>
      <c r="H10450" t="s">
        <v>17</v>
      </c>
      <c r="I10450" t="s">
        <v>21</v>
      </c>
    </row>
    <row r="10451" spans="1:9" x14ac:dyDescent="0.25">
      <c r="A10451">
        <v>1827</v>
      </c>
      <c r="B10451">
        <f>A10451+1</f>
        <v>1828</v>
      </c>
      <c r="C10451" t="s">
        <v>532</v>
      </c>
      <c r="D10451" t="s">
        <v>26</v>
      </c>
      <c r="E10451" s="208" t="s">
        <v>332</v>
      </c>
      <c r="F10451" t="s">
        <v>164</v>
      </c>
      <c r="G10451" s="18">
        <v>0</v>
      </c>
      <c r="H10451" t="s">
        <v>17</v>
      </c>
      <c r="I10451" t="s">
        <v>21</v>
      </c>
    </row>
    <row r="10452" spans="1:9" x14ac:dyDescent="0.25">
      <c r="A10452">
        <v>1827</v>
      </c>
      <c r="B10452">
        <f>A10452+1</f>
        <v>1828</v>
      </c>
      <c r="C10452" t="s">
        <v>532</v>
      </c>
      <c r="D10452" t="s">
        <v>27</v>
      </c>
      <c r="E10452" s="208" t="s">
        <v>155</v>
      </c>
      <c r="F10452" t="s">
        <v>9</v>
      </c>
      <c r="G10452" s="18">
        <v>225</v>
      </c>
      <c r="H10452" t="s">
        <v>17</v>
      </c>
      <c r="I10452" t="s">
        <v>21</v>
      </c>
    </row>
    <row r="10453" spans="1:9" x14ac:dyDescent="0.25">
      <c r="A10453">
        <v>1827</v>
      </c>
      <c r="B10453">
        <f>A10453+1</f>
        <v>1828</v>
      </c>
      <c r="C10453" t="s">
        <v>532</v>
      </c>
      <c r="D10453" t="s">
        <v>27</v>
      </c>
      <c r="E10453" s="208" t="s">
        <v>156</v>
      </c>
      <c r="F10453" t="s">
        <v>9</v>
      </c>
      <c r="G10453" s="18">
        <v>51</v>
      </c>
      <c r="H10453" t="s">
        <v>17</v>
      </c>
      <c r="I10453" t="s">
        <v>21</v>
      </c>
    </row>
    <row r="10454" spans="1:9" x14ac:dyDescent="0.25">
      <c r="A10454">
        <v>1827</v>
      </c>
      <c r="B10454">
        <f>A10454+1</f>
        <v>1828</v>
      </c>
      <c r="C10454" t="s">
        <v>532</v>
      </c>
      <c r="D10454" t="s">
        <v>27</v>
      </c>
      <c r="E10454" s="208" t="s">
        <v>154</v>
      </c>
      <c r="F10454" t="s">
        <v>9</v>
      </c>
      <c r="G10454" s="18">
        <v>0</v>
      </c>
      <c r="H10454" t="s">
        <v>17</v>
      </c>
      <c r="I10454" t="s">
        <v>21</v>
      </c>
    </row>
    <row r="10455" spans="1:9" x14ac:dyDescent="0.25">
      <c r="A10455">
        <v>1827</v>
      </c>
      <c r="B10455">
        <f>A10455+1</f>
        <v>1828</v>
      </c>
      <c r="C10455" t="s">
        <v>532</v>
      </c>
      <c r="D10455" t="s">
        <v>27</v>
      </c>
      <c r="E10455" s="208" t="s">
        <v>150</v>
      </c>
      <c r="F10455" t="s">
        <v>9</v>
      </c>
      <c r="G10455" s="18">
        <v>50</v>
      </c>
      <c r="H10455" t="s">
        <v>17</v>
      </c>
      <c r="I10455" t="s">
        <v>21</v>
      </c>
    </row>
    <row r="10456" spans="1:9" x14ac:dyDescent="0.25">
      <c r="A10456">
        <v>1827</v>
      </c>
      <c r="B10456">
        <f>A10456+1</f>
        <v>1828</v>
      </c>
      <c r="C10456" t="s">
        <v>532</v>
      </c>
      <c r="D10456" t="s">
        <v>27</v>
      </c>
      <c r="E10456" s="208" t="s">
        <v>148</v>
      </c>
      <c r="F10456" t="s">
        <v>9</v>
      </c>
      <c r="G10456" s="18">
        <v>20</v>
      </c>
      <c r="H10456" t="s">
        <v>17</v>
      </c>
      <c r="I10456" t="s">
        <v>21</v>
      </c>
    </row>
    <row r="10457" spans="1:9" x14ac:dyDescent="0.25">
      <c r="A10457">
        <v>1827</v>
      </c>
      <c r="B10457">
        <f>A10457+1</f>
        <v>1828</v>
      </c>
      <c r="C10457" t="s">
        <v>532</v>
      </c>
      <c r="D10457" t="s">
        <v>27</v>
      </c>
      <c r="E10457" s="208" t="s">
        <v>147</v>
      </c>
      <c r="F10457" t="s">
        <v>9</v>
      </c>
      <c r="G10457" s="18">
        <v>0</v>
      </c>
      <c r="H10457" t="s">
        <v>17</v>
      </c>
      <c r="I10457" t="s">
        <v>21</v>
      </c>
    </row>
    <row r="10458" spans="1:9" x14ac:dyDescent="0.25">
      <c r="A10458">
        <v>1827</v>
      </c>
      <c r="B10458">
        <f>A10458+1</f>
        <v>1828</v>
      </c>
      <c r="C10458" t="s">
        <v>532</v>
      </c>
      <c r="D10458" t="s">
        <v>27</v>
      </c>
      <c r="E10458" s="208" t="s">
        <v>139</v>
      </c>
      <c r="F10458" t="s">
        <v>9</v>
      </c>
      <c r="G10458" s="18">
        <v>0</v>
      </c>
      <c r="H10458" t="s">
        <v>17</v>
      </c>
      <c r="I10458" t="s">
        <v>21</v>
      </c>
    </row>
    <row r="10459" spans="1:9" x14ac:dyDescent="0.25">
      <c r="A10459">
        <v>1827</v>
      </c>
      <c r="B10459">
        <f>A10459+1</f>
        <v>1828</v>
      </c>
      <c r="C10459" t="s">
        <v>532</v>
      </c>
      <c r="D10459" t="s">
        <v>27</v>
      </c>
      <c r="E10459" s="208" t="s">
        <v>131</v>
      </c>
      <c r="F10459" t="s">
        <v>9</v>
      </c>
      <c r="G10459" s="18">
        <v>0</v>
      </c>
      <c r="H10459" t="s">
        <v>17</v>
      </c>
      <c r="I10459" t="s">
        <v>21</v>
      </c>
    </row>
    <row r="10460" spans="1:9" x14ac:dyDescent="0.25">
      <c r="A10460">
        <v>1827</v>
      </c>
      <c r="B10460">
        <f>A10460+1</f>
        <v>1828</v>
      </c>
      <c r="C10460" t="s">
        <v>532</v>
      </c>
      <c r="D10460" t="s">
        <v>27</v>
      </c>
      <c r="E10460" s="208" t="s">
        <v>130</v>
      </c>
      <c r="F10460" t="s">
        <v>9</v>
      </c>
      <c r="G10460" s="18">
        <v>0</v>
      </c>
      <c r="H10460" t="s">
        <v>17</v>
      </c>
      <c r="I10460" s="151" t="s">
        <v>562</v>
      </c>
    </row>
    <row r="10461" spans="1:9" x14ac:dyDescent="0.25">
      <c r="A10461">
        <v>1827</v>
      </c>
      <c r="B10461">
        <f>A10461+1</f>
        <v>1828</v>
      </c>
      <c r="C10461" t="s">
        <v>532</v>
      </c>
      <c r="D10461" t="s">
        <v>27</v>
      </c>
      <c r="E10461" s="208" t="s">
        <v>124</v>
      </c>
      <c r="F10461" t="s">
        <v>9</v>
      </c>
      <c r="G10461" s="18">
        <v>0</v>
      </c>
      <c r="H10461" t="s">
        <v>17</v>
      </c>
      <c r="I10461" s="151" t="s">
        <v>562</v>
      </c>
    </row>
    <row r="10462" spans="1:9" x14ac:dyDescent="0.25">
      <c r="A10462">
        <v>1827</v>
      </c>
      <c r="B10462">
        <f>A10462+1</f>
        <v>1828</v>
      </c>
      <c r="C10462" t="s">
        <v>532</v>
      </c>
      <c r="D10462" t="s">
        <v>27</v>
      </c>
      <c r="E10462" s="208" t="s">
        <v>145</v>
      </c>
      <c r="F10462" t="s">
        <v>9</v>
      </c>
      <c r="G10462" s="18">
        <v>0</v>
      </c>
      <c r="H10462" t="s">
        <v>17</v>
      </c>
      <c r="I10462" s="151" t="s">
        <v>562</v>
      </c>
    </row>
    <row r="10463" spans="1:9" x14ac:dyDescent="0.25">
      <c r="A10463">
        <v>1827</v>
      </c>
      <c r="B10463">
        <f>A10463+1</f>
        <v>1828</v>
      </c>
      <c r="C10463" t="s">
        <v>532</v>
      </c>
      <c r="D10463" t="s">
        <v>27</v>
      </c>
      <c r="E10463" s="208" t="s">
        <v>114</v>
      </c>
      <c r="F10463" t="s">
        <v>9</v>
      </c>
      <c r="G10463" s="18">
        <v>0</v>
      </c>
      <c r="H10463" t="s">
        <v>17</v>
      </c>
      <c r="I10463" s="151" t="s">
        <v>562</v>
      </c>
    </row>
    <row r="10464" spans="1:9" x14ac:dyDescent="0.25">
      <c r="A10464">
        <v>1827</v>
      </c>
      <c r="B10464">
        <f>A10464+1</f>
        <v>1828</v>
      </c>
      <c r="C10464" t="s">
        <v>532</v>
      </c>
      <c r="D10464" t="s">
        <v>27</v>
      </c>
      <c r="E10464" s="208" t="s">
        <v>116</v>
      </c>
      <c r="F10464" t="s">
        <v>9</v>
      </c>
      <c r="G10464" s="18">
        <v>0</v>
      </c>
      <c r="H10464" t="s">
        <v>17</v>
      </c>
      <c r="I10464" s="151" t="s">
        <v>562</v>
      </c>
    </row>
    <row r="10465" spans="1:9" x14ac:dyDescent="0.25">
      <c r="A10465">
        <v>1827</v>
      </c>
      <c r="B10465">
        <f>A10465+1</f>
        <v>1828</v>
      </c>
      <c r="C10465" t="s">
        <v>532</v>
      </c>
      <c r="D10465" t="s">
        <v>27</v>
      </c>
      <c r="E10465" s="208" t="s">
        <v>137</v>
      </c>
      <c r="F10465" t="s">
        <v>9</v>
      </c>
      <c r="G10465" s="18">
        <v>0</v>
      </c>
      <c r="H10465" t="s">
        <v>17</v>
      </c>
      <c r="I10465" s="151" t="s">
        <v>562</v>
      </c>
    </row>
    <row r="10466" spans="1:9" x14ac:dyDescent="0.25">
      <c r="A10466">
        <v>1827</v>
      </c>
      <c r="B10466">
        <f>A10466+1</f>
        <v>1828</v>
      </c>
      <c r="C10466" t="s">
        <v>532</v>
      </c>
      <c r="D10466" t="s">
        <v>27</v>
      </c>
      <c r="E10466" s="208" t="s">
        <v>157</v>
      </c>
      <c r="F10466" t="s">
        <v>9</v>
      </c>
      <c r="G10466" s="18">
        <v>6</v>
      </c>
      <c r="H10466" t="s">
        <v>17</v>
      </c>
      <c r="I10466" s="151" t="s">
        <v>562</v>
      </c>
    </row>
    <row r="10467" spans="1:9" x14ac:dyDescent="0.25">
      <c r="A10467">
        <v>1827</v>
      </c>
      <c r="B10467">
        <f>A10467+1</f>
        <v>1828</v>
      </c>
      <c r="C10467" t="s">
        <v>532</v>
      </c>
      <c r="D10467" t="s">
        <v>27</v>
      </c>
      <c r="E10467" s="208" t="s">
        <v>127</v>
      </c>
      <c r="F10467" t="s">
        <v>9</v>
      </c>
      <c r="G10467" s="18">
        <v>0</v>
      </c>
      <c r="H10467" t="s">
        <v>17</v>
      </c>
      <c r="I10467" s="151" t="s">
        <v>562</v>
      </c>
    </row>
    <row r="10468" spans="1:9" x14ac:dyDescent="0.25">
      <c r="A10468">
        <v>1827</v>
      </c>
      <c r="B10468">
        <f>A10468+1</f>
        <v>1828</v>
      </c>
      <c r="C10468" t="s">
        <v>532</v>
      </c>
      <c r="D10468" t="s">
        <v>27</v>
      </c>
      <c r="E10468" s="208" t="s">
        <v>133</v>
      </c>
      <c r="F10468" t="s">
        <v>9</v>
      </c>
      <c r="G10468" s="18">
        <v>0</v>
      </c>
      <c r="H10468" t="s">
        <v>17</v>
      </c>
      <c r="I10468" s="151" t="s">
        <v>562</v>
      </c>
    </row>
    <row r="10469" spans="1:9" x14ac:dyDescent="0.25">
      <c r="A10469">
        <v>1827</v>
      </c>
      <c r="B10469">
        <f>A10469+1</f>
        <v>1828</v>
      </c>
      <c r="C10469" t="s">
        <v>532</v>
      </c>
      <c r="D10469" t="s">
        <v>27</v>
      </c>
      <c r="E10469" s="208" t="s">
        <v>74</v>
      </c>
      <c r="F10469" t="s">
        <v>9</v>
      </c>
      <c r="G10469" s="18">
        <v>101</v>
      </c>
      <c r="H10469" t="s">
        <v>17</v>
      </c>
      <c r="I10469" s="151" t="s">
        <v>562</v>
      </c>
    </row>
    <row r="10470" spans="1:9" x14ac:dyDescent="0.25">
      <c r="A10470">
        <v>1827</v>
      </c>
      <c r="B10470">
        <f>A10470+1</f>
        <v>1828</v>
      </c>
      <c r="C10470" t="s">
        <v>532</v>
      </c>
      <c r="D10470" t="s">
        <v>27</v>
      </c>
      <c r="E10470" s="208" t="s">
        <v>129</v>
      </c>
      <c r="F10470" t="s">
        <v>9</v>
      </c>
      <c r="G10470" s="18">
        <v>0</v>
      </c>
      <c r="H10470" t="s">
        <v>17</v>
      </c>
      <c r="I10470" s="151" t="s">
        <v>562</v>
      </c>
    </row>
    <row r="10471" spans="1:9" x14ac:dyDescent="0.25">
      <c r="A10471">
        <v>1827</v>
      </c>
      <c r="B10471">
        <f>A10471+1</f>
        <v>1828</v>
      </c>
      <c r="C10471" t="s">
        <v>532</v>
      </c>
      <c r="D10471" t="s">
        <v>27</v>
      </c>
      <c r="E10471" s="208" t="s">
        <v>141</v>
      </c>
      <c r="F10471" t="s">
        <v>9</v>
      </c>
      <c r="G10471" s="18">
        <v>0</v>
      </c>
      <c r="H10471" t="s">
        <v>17</v>
      </c>
      <c r="I10471" s="151" t="s">
        <v>562</v>
      </c>
    </row>
    <row r="10472" spans="1:9" x14ac:dyDescent="0.25">
      <c r="A10472">
        <v>1827</v>
      </c>
      <c r="B10472">
        <f>A10472+1</f>
        <v>1828</v>
      </c>
      <c r="C10472" t="s">
        <v>532</v>
      </c>
      <c r="D10472" t="s">
        <v>27</v>
      </c>
      <c r="E10472" s="208" t="s">
        <v>135</v>
      </c>
      <c r="F10472" t="s">
        <v>9</v>
      </c>
      <c r="G10472" s="18">
        <v>0</v>
      </c>
      <c r="H10472" t="s">
        <v>17</v>
      </c>
      <c r="I10472" s="151" t="s">
        <v>562</v>
      </c>
    </row>
    <row r="10473" spans="1:9" x14ac:dyDescent="0.25">
      <c r="A10473">
        <v>1827</v>
      </c>
      <c r="B10473">
        <f>A10473+1</f>
        <v>1828</v>
      </c>
      <c r="C10473" t="s">
        <v>532</v>
      </c>
      <c r="D10473" t="s">
        <v>27</v>
      </c>
      <c r="E10473" s="208" t="s">
        <v>128</v>
      </c>
      <c r="F10473" t="s">
        <v>9</v>
      </c>
      <c r="G10473" s="18">
        <v>0</v>
      </c>
      <c r="H10473" t="s">
        <v>17</v>
      </c>
      <c r="I10473" s="151" t="s">
        <v>562</v>
      </c>
    </row>
    <row r="10474" spans="1:9" x14ac:dyDescent="0.25">
      <c r="A10474">
        <v>1827</v>
      </c>
      <c r="B10474">
        <f>A10474+1</f>
        <v>1828</v>
      </c>
      <c r="C10474" t="s">
        <v>532</v>
      </c>
      <c r="D10474" t="s">
        <v>27</v>
      </c>
      <c r="E10474" s="208" t="s">
        <v>138</v>
      </c>
      <c r="F10474" t="s">
        <v>9</v>
      </c>
      <c r="G10474" s="18">
        <v>0</v>
      </c>
      <c r="H10474" t="s">
        <v>17</v>
      </c>
      <c r="I10474" s="151" t="s">
        <v>562</v>
      </c>
    </row>
    <row r="10475" spans="1:9" x14ac:dyDescent="0.25">
      <c r="A10475">
        <v>1827</v>
      </c>
      <c r="B10475">
        <f>A10475+1</f>
        <v>1828</v>
      </c>
      <c r="C10475" t="s">
        <v>532</v>
      </c>
      <c r="D10475" t="s">
        <v>27</v>
      </c>
      <c r="E10475" s="208" t="s">
        <v>118</v>
      </c>
      <c r="F10475" t="s">
        <v>9</v>
      </c>
      <c r="G10475" s="18">
        <v>0</v>
      </c>
      <c r="H10475" t="s">
        <v>17</v>
      </c>
      <c r="I10475" s="151" t="s">
        <v>562</v>
      </c>
    </row>
    <row r="10476" spans="1:9" x14ac:dyDescent="0.25">
      <c r="A10476">
        <v>1827</v>
      </c>
      <c r="B10476">
        <f>A10476+1</f>
        <v>1828</v>
      </c>
      <c r="C10476" t="s">
        <v>532</v>
      </c>
      <c r="D10476" t="s">
        <v>27</v>
      </c>
      <c r="E10476" s="208" t="s">
        <v>134</v>
      </c>
      <c r="F10476" t="s">
        <v>9</v>
      </c>
      <c r="G10476" s="18">
        <v>50</v>
      </c>
      <c r="H10476" t="s">
        <v>17</v>
      </c>
      <c r="I10476" s="151" t="s">
        <v>562</v>
      </c>
    </row>
    <row r="10477" spans="1:9" x14ac:dyDescent="0.25">
      <c r="A10477">
        <v>1827</v>
      </c>
      <c r="B10477">
        <f>A10477+1</f>
        <v>1828</v>
      </c>
      <c r="C10477" t="s">
        <v>532</v>
      </c>
      <c r="D10477" t="s">
        <v>27</v>
      </c>
      <c r="E10477" s="208" t="s">
        <v>155</v>
      </c>
      <c r="F10477" t="s">
        <v>14</v>
      </c>
      <c r="G10477" s="18">
        <v>68235</v>
      </c>
      <c r="H10477" t="s">
        <v>17</v>
      </c>
      <c r="I10477" s="151" t="s">
        <v>562</v>
      </c>
    </row>
    <row r="10478" spans="1:9" x14ac:dyDescent="0.25">
      <c r="A10478">
        <v>1827</v>
      </c>
      <c r="B10478">
        <f>A10478+1</f>
        <v>1828</v>
      </c>
      <c r="C10478" t="s">
        <v>532</v>
      </c>
      <c r="D10478" t="s">
        <v>27</v>
      </c>
      <c r="E10478" s="208" t="s">
        <v>156</v>
      </c>
      <c r="F10478" t="s">
        <v>14</v>
      </c>
      <c r="G10478" s="18">
        <v>7306</v>
      </c>
      <c r="H10478" t="s">
        <v>17</v>
      </c>
      <c r="I10478" s="151" t="s">
        <v>562</v>
      </c>
    </row>
    <row r="10479" spans="1:9" x14ac:dyDescent="0.25">
      <c r="A10479">
        <v>1827</v>
      </c>
      <c r="B10479">
        <f>A10479+1</f>
        <v>1828</v>
      </c>
      <c r="C10479" t="s">
        <v>532</v>
      </c>
      <c r="D10479" t="s">
        <v>27</v>
      </c>
      <c r="E10479" s="208" t="s">
        <v>154</v>
      </c>
      <c r="F10479" t="s">
        <v>14</v>
      </c>
      <c r="G10479" s="18">
        <v>1428</v>
      </c>
      <c r="H10479" t="s">
        <v>17</v>
      </c>
      <c r="I10479" s="151" t="s">
        <v>562</v>
      </c>
    </row>
    <row r="10480" spans="1:9" x14ac:dyDescent="0.25">
      <c r="A10480">
        <v>1827</v>
      </c>
      <c r="B10480">
        <f>A10480+1</f>
        <v>1828</v>
      </c>
      <c r="C10480" t="s">
        <v>532</v>
      </c>
      <c r="D10480" t="s">
        <v>27</v>
      </c>
      <c r="E10480" s="208" t="s">
        <v>150</v>
      </c>
      <c r="F10480" t="s">
        <v>14</v>
      </c>
      <c r="G10480" s="18">
        <v>25528</v>
      </c>
      <c r="H10480" t="s">
        <v>17</v>
      </c>
      <c r="I10480" s="151" t="s">
        <v>562</v>
      </c>
    </row>
    <row r="10481" spans="1:9" x14ac:dyDescent="0.25">
      <c r="A10481">
        <v>1827</v>
      </c>
      <c r="B10481">
        <f>A10481+1</f>
        <v>1828</v>
      </c>
      <c r="C10481" t="s">
        <v>532</v>
      </c>
      <c r="D10481" t="s">
        <v>27</v>
      </c>
      <c r="E10481" s="208" t="s">
        <v>148</v>
      </c>
      <c r="F10481" t="s">
        <v>14</v>
      </c>
      <c r="G10481" s="18">
        <v>1840</v>
      </c>
      <c r="H10481" t="s">
        <v>17</v>
      </c>
      <c r="I10481" s="151" t="s">
        <v>562</v>
      </c>
    </row>
    <row r="10482" spans="1:9" x14ac:dyDescent="0.25">
      <c r="A10482">
        <v>1827</v>
      </c>
      <c r="B10482">
        <f>A10482+1</f>
        <v>1828</v>
      </c>
      <c r="C10482" t="s">
        <v>532</v>
      </c>
      <c r="D10482" t="s">
        <v>27</v>
      </c>
      <c r="E10482" s="208" t="s">
        <v>147</v>
      </c>
      <c r="F10482" t="s">
        <v>14</v>
      </c>
      <c r="G10482" s="18">
        <v>105</v>
      </c>
      <c r="H10482" t="s">
        <v>17</v>
      </c>
      <c r="I10482" s="151" t="s">
        <v>562</v>
      </c>
    </row>
    <row r="10483" spans="1:9" x14ac:dyDescent="0.25">
      <c r="A10483">
        <v>1827</v>
      </c>
      <c r="B10483">
        <f>A10483+1</f>
        <v>1828</v>
      </c>
      <c r="C10483" t="s">
        <v>532</v>
      </c>
      <c r="D10483" t="s">
        <v>27</v>
      </c>
      <c r="E10483" s="208" t="s">
        <v>139</v>
      </c>
      <c r="F10483" t="s">
        <v>14</v>
      </c>
      <c r="G10483" s="18">
        <v>216</v>
      </c>
      <c r="H10483" t="s">
        <v>17</v>
      </c>
      <c r="I10483" s="151" t="s">
        <v>562</v>
      </c>
    </row>
    <row r="10484" spans="1:9" x14ac:dyDescent="0.25">
      <c r="A10484">
        <v>1827</v>
      </c>
      <c r="B10484">
        <f>A10484+1</f>
        <v>1828</v>
      </c>
      <c r="C10484" t="s">
        <v>532</v>
      </c>
      <c r="D10484" t="s">
        <v>27</v>
      </c>
      <c r="E10484" s="208" t="s">
        <v>131</v>
      </c>
      <c r="F10484" t="s">
        <v>14</v>
      </c>
      <c r="G10484" s="18">
        <v>1751</v>
      </c>
      <c r="H10484" t="s">
        <v>17</v>
      </c>
      <c r="I10484" s="151" t="s">
        <v>562</v>
      </c>
    </row>
    <row r="10485" spans="1:9" x14ac:dyDescent="0.25">
      <c r="A10485">
        <v>1827</v>
      </c>
      <c r="B10485">
        <f>A10485+1</f>
        <v>1828</v>
      </c>
      <c r="C10485" t="s">
        <v>532</v>
      </c>
      <c r="D10485" t="s">
        <v>27</v>
      </c>
      <c r="E10485" s="208" t="s">
        <v>130</v>
      </c>
      <c r="F10485" t="s">
        <v>14</v>
      </c>
      <c r="G10485" s="18">
        <v>378</v>
      </c>
      <c r="H10485" s="151" t="s">
        <v>563</v>
      </c>
      <c r="I10485" t="s">
        <v>17</v>
      </c>
    </row>
    <row r="10486" spans="1:9" x14ac:dyDescent="0.25">
      <c r="A10486">
        <v>1827</v>
      </c>
      <c r="B10486">
        <f>A10486+1</f>
        <v>1828</v>
      </c>
      <c r="C10486" t="s">
        <v>532</v>
      </c>
      <c r="D10486" t="s">
        <v>27</v>
      </c>
      <c r="E10486" s="208" t="s">
        <v>124</v>
      </c>
      <c r="F10486" t="s">
        <v>14</v>
      </c>
      <c r="G10486" s="18">
        <v>10358757</v>
      </c>
      <c r="H10486" s="151" t="s">
        <v>563</v>
      </c>
      <c r="I10486" t="s">
        <v>17</v>
      </c>
    </row>
    <row r="10487" spans="1:9" x14ac:dyDescent="0.25">
      <c r="A10487">
        <v>1827</v>
      </c>
      <c r="B10487">
        <f>A10487+1</f>
        <v>1828</v>
      </c>
      <c r="C10487" t="s">
        <v>532</v>
      </c>
      <c r="D10487" t="s">
        <v>27</v>
      </c>
      <c r="E10487" s="208" t="s">
        <v>145</v>
      </c>
      <c r="F10487" t="s">
        <v>14</v>
      </c>
      <c r="G10487" s="18">
        <v>2095550</v>
      </c>
      <c r="H10487" s="151" t="s">
        <v>563</v>
      </c>
      <c r="I10487" t="s">
        <v>17</v>
      </c>
    </row>
    <row r="10488" spans="1:9" x14ac:dyDescent="0.25">
      <c r="A10488">
        <v>1827</v>
      </c>
      <c r="B10488">
        <f>A10488+1</f>
        <v>1828</v>
      </c>
      <c r="C10488" t="s">
        <v>532</v>
      </c>
      <c r="D10488" t="s">
        <v>27</v>
      </c>
      <c r="E10488" s="208" t="s">
        <v>114</v>
      </c>
      <c r="F10488" t="s">
        <v>14</v>
      </c>
      <c r="G10488" s="18">
        <v>927</v>
      </c>
      <c r="H10488" s="151" t="s">
        <v>563</v>
      </c>
      <c r="I10488" t="s">
        <v>17</v>
      </c>
    </row>
    <row r="10489" spans="1:9" x14ac:dyDescent="0.25">
      <c r="A10489">
        <v>1827</v>
      </c>
      <c r="B10489">
        <f>A10489+1</f>
        <v>1828</v>
      </c>
      <c r="C10489" t="s">
        <v>532</v>
      </c>
      <c r="D10489" t="s">
        <v>27</v>
      </c>
      <c r="E10489" s="208" t="s">
        <v>116</v>
      </c>
      <c r="F10489" t="s">
        <v>14</v>
      </c>
      <c r="G10489" s="18">
        <v>1877</v>
      </c>
      <c r="H10489" s="151" t="s">
        <v>563</v>
      </c>
      <c r="I10489" t="s">
        <v>17</v>
      </c>
    </row>
    <row r="10490" spans="1:9" x14ac:dyDescent="0.25">
      <c r="A10490">
        <v>1827</v>
      </c>
      <c r="B10490">
        <f>A10490+1</f>
        <v>1828</v>
      </c>
      <c r="C10490" t="s">
        <v>532</v>
      </c>
      <c r="D10490" t="s">
        <v>27</v>
      </c>
      <c r="E10490" s="208" t="s">
        <v>137</v>
      </c>
      <c r="F10490" t="s">
        <v>14</v>
      </c>
      <c r="G10490" s="18">
        <v>218</v>
      </c>
      <c r="H10490" s="151" t="s">
        <v>563</v>
      </c>
      <c r="I10490" t="s">
        <v>17</v>
      </c>
    </row>
    <row r="10491" spans="1:9" x14ac:dyDescent="0.25">
      <c r="A10491">
        <v>1827</v>
      </c>
      <c r="B10491">
        <f>A10491+1</f>
        <v>1828</v>
      </c>
      <c r="C10491" t="s">
        <v>532</v>
      </c>
      <c r="D10491" t="s">
        <v>27</v>
      </c>
      <c r="E10491" s="208" t="s">
        <v>157</v>
      </c>
      <c r="F10491" t="s">
        <v>14</v>
      </c>
      <c r="G10491" s="18">
        <v>150</v>
      </c>
      <c r="H10491" s="151" t="s">
        <v>563</v>
      </c>
      <c r="I10491" t="s">
        <v>17</v>
      </c>
    </row>
    <row r="10492" spans="1:9" x14ac:dyDescent="0.25">
      <c r="A10492">
        <v>1827</v>
      </c>
      <c r="B10492">
        <f>A10492+1</f>
        <v>1828</v>
      </c>
      <c r="C10492" t="s">
        <v>532</v>
      </c>
      <c r="D10492" t="s">
        <v>27</v>
      </c>
      <c r="E10492" s="208" t="s">
        <v>127</v>
      </c>
      <c r="F10492" t="s">
        <v>14</v>
      </c>
      <c r="G10492" s="18">
        <v>9</v>
      </c>
      <c r="H10492" s="151" t="s">
        <v>563</v>
      </c>
      <c r="I10492" t="s">
        <v>17</v>
      </c>
    </row>
    <row r="10493" spans="1:9" x14ac:dyDescent="0.25">
      <c r="A10493">
        <v>1827</v>
      </c>
      <c r="B10493">
        <f>A10493+1</f>
        <v>1828</v>
      </c>
      <c r="C10493" t="s">
        <v>532</v>
      </c>
      <c r="D10493" t="s">
        <v>27</v>
      </c>
      <c r="E10493" s="208" t="s">
        <v>133</v>
      </c>
      <c r="F10493" t="s">
        <v>14</v>
      </c>
      <c r="G10493" s="18">
        <v>3214</v>
      </c>
      <c r="H10493" s="151" t="s">
        <v>563</v>
      </c>
      <c r="I10493" t="s">
        <v>17</v>
      </c>
    </row>
    <row r="10494" spans="1:9" x14ac:dyDescent="0.25">
      <c r="A10494">
        <v>1827</v>
      </c>
      <c r="B10494">
        <f>A10494+1</f>
        <v>1828</v>
      </c>
      <c r="C10494" t="s">
        <v>532</v>
      </c>
      <c r="D10494" t="s">
        <v>27</v>
      </c>
      <c r="E10494" s="208" t="s">
        <v>74</v>
      </c>
      <c r="F10494" t="s">
        <v>14</v>
      </c>
      <c r="G10494" s="18">
        <v>3332</v>
      </c>
      <c r="H10494" s="151" t="s">
        <v>563</v>
      </c>
      <c r="I10494" t="s">
        <v>17</v>
      </c>
    </row>
    <row r="10495" spans="1:9" x14ac:dyDescent="0.25">
      <c r="A10495">
        <v>1827</v>
      </c>
      <c r="B10495">
        <f>A10495+1</f>
        <v>1828</v>
      </c>
      <c r="C10495" t="s">
        <v>532</v>
      </c>
      <c r="D10495" t="s">
        <v>27</v>
      </c>
      <c r="E10495" s="208" t="s">
        <v>129</v>
      </c>
      <c r="F10495" t="s">
        <v>14</v>
      </c>
      <c r="G10495" s="18">
        <v>828</v>
      </c>
      <c r="H10495" s="151" t="s">
        <v>563</v>
      </c>
      <c r="I10495" t="s">
        <v>17</v>
      </c>
    </row>
    <row r="10496" spans="1:9" x14ac:dyDescent="0.25">
      <c r="A10496">
        <v>1827</v>
      </c>
      <c r="B10496">
        <f>A10496+1</f>
        <v>1828</v>
      </c>
      <c r="C10496" t="s">
        <v>532</v>
      </c>
      <c r="D10496" t="s">
        <v>27</v>
      </c>
      <c r="E10496" s="208" t="s">
        <v>141</v>
      </c>
      <c r="F10496" t="s">
        <v>14</v>
      </c>
      <c r="G10496" s="18">
        <v>61</v>
      </c>
      <c r="H10496" s="151" t="s">
        <v>563</v>
      </c>
      <c r="I10496" t="s">
        <v>17</v>
      </c>
    </row>
    <row r="10497" spans="1:9" x14ac:dyDescent="0.25">
      <c r="A10497">
        <v>1827</v>
      </c>
      <c r="B10497">
        <f>A10497+1</f>
        <v>1828</v>
      </c>
      <c r="C10497" t="s">
        <v>532</v>
      </c>
      <c r="D10497" t="s">
        <v>27</v>
      </c>
      <c r="E10497" s="208" t="s">
        <v>135</v>
      </c>
      <c r="F10497" t="s">
        <v>14</v>
      </c>
      <c r="G10497" s="18">
        <v>250</v>
      </c>
      <c r="H10497" s="151" t="s">
        <v>563</v>
      </c>
      <c r="I10497" t="s">
        <v>17</v>
      </c>
    </row>
    <row r="10498" spans="1:9" x14ac:dyDescent="0.25">
      <c r="A10498">
        <v>1827</v>
      </c>
      <c r="B10498">
        <f>A10498+1</f>
        <v>1828</v>
      </c>
      <c r="C10498" t="s">
        <v>532</v>
      </c>
      <c r="D10498" t="s">
        <v>27</v>
      </c>
      <c r="E10498" s="208" t="s">
        <v>128</v>
      </c>
      <c r="F10498" t="s">
        <v>14</v>
      </c>
      <c r="G10498" s="18">
        <v>249</v>
      </c>
      <c r="H10498" s="151" t="s">
        <v>563</v>
      </c>
      <c r="I10498" t="s">
        <v>17</v>
      </c>
    </row>
    <row r="10499" spans="1:9" x14ac:dyDescent="0.25">
      <c r="A10499">
        <v>1827</v>
      </c>
      <c r="B10499">
        <f>A10499+1</f>
        <v>1828</v>
      </c>
      <c r="C10499" t="s">
        <v>532</v>
      </c>
      <c r="D10499" t="s">
        <v>27</v>
      </c>
      <c r="E10499" s="208" t="s">
        <v>138</v>
      </c>
      <c r="F10499" t="s">
        <v>14</v>
      </c>
      <c r="G10499" s="18">
        <v>1606</v>
      </c>
      <c r="H10499" s="151" t="s">
        <v>563</v>
      </c>
      <c r="I10499" t="s">
        <v>17</v>
      </c>
    </row>
    <row r="10500" spans="1:9" x14ac:dyDescent="0.25">
      <c r="A10500">
        <v>1827</v>
      </c>
      <c r="B10500">
        <f>A10500+1</f>
        <v>1828</v>
      </c>
      <c r="C10500" t="s">
        <v>532</v>
      </c>
      <c r="D10500" t="s">
        <v>27</v>
      </c>
      <c r="E10500" s="208" t="s">
        <v>118</v>
      </c>
      <c r="F10500" t="s">
        <v>14</v>
      </c>
      <c r="G10500" s="18">
        <v>1039</v>
      </c>
      <c r="H10500" s="151" t="s">
        <v>563</v>
      </c>
      <c r="I10500" t="s">
        <v>17</v>
      </c>
    </row>
    <row r="10501" spans="1:9" x14ac:dyDescent="0.25">
      <c r="A10501">
        <v>1827</v>
      </c>
      <c r="B10501">
        <f>A10501+1</f>
        <v>1828</v>
      </c>
      <c r="C10501" t="s">
        <v>532</v>
      </c>
      <c r="D10501" t="s">
        <v>27</v>
      </c>
      <c r="E10501" s="208" t="s">
        <v>134</v>
      </c>
      <c r="F10501" t="s">
        <v>14</v>
      </c>
      <c r="G10501" s="18">
        <v>11876</v>
      </c>
      <c r="H10501" t="s">
        <v>561</v>
      </c>
      <c r="I10501" s="151" t="s">
        <v>562</v>
      </c>
    </row>
    <row r="10502" spans="1:9" x14ac:dyDescent="0.25">
      <c r="A10502">
        <v>1827</v>
      </c>
      <c r="B10502">
        <f>A10502+1</f>
        <v>1828</v>
      </c>
      <c r="C10502" t="s">
        <v>532</v>
      </c>
      <c r="D10502" t="s">
        <v>26</v>
      </c>
      <c r="E10502" s="208" t="s">
        <v>62</v>
      </c>
      <c r="F10502" t="s">
        <v>14</v>
      </c>
      <c r="G10502" s="18">
        <v>8466.5</v>
      </c>
      <c r="H10502" t="s">
        <v>561</v>
      </c>
      <c r="I10502" s="151" t="s">
        <v>562</v>
      </c>
    </row>
    <row r="10503" spans="1:9" x14ac:dyDescent="0.25">
      <c r="A10503">
        <v>1827</v>
      </c>
      <c r="B10503">
        <f>A10503+1</f>
        <v>1828</v>
      </c>
      <c r="C10503" t="s">
        <v>532</v>
      </c>
      <c r="D10503" t="s">
        <v>26</v>
      </c>
      <c r="E10503" s="208" t="s">
        <v>55</v>
      </c>
      <c r="F10503" t="s">
        <v>14</v>
      </c>
      <c r="G10503" s="18">
        <v>4336</v>
      </c>
      <c r="H10503" t="s">
        <v>561</v>
      </c>
      <c r="I10503" s="151" t="s">
        <v>562</v>
      </c>
    </row>
    <row r="10504" spans="1:9" x14ac:dyDescent="0.25">
      <c r="A10504">
        <v>1827</v>
      </c>
      <c r="B10504">
        <f>A10504+1</f>
        <v>1828</v>
      </c>
      <c r="C10504" t="s">
        <v>532</v>
      </c>
      <c r="D10504" t="s">
        <v>26</v>
      </c>
      <c r="E10504" s="208" t="s">
        <v>35</v>
      </c>
      <c r="F10504" t="s">
        <v>14</v>
      </c>
      <c r="G10504" s="18">
        <v>0</v>
      </c>
      <c r="H10504" t="s">
        <v>561</v>
      </c>
      <c r="I10504" s="151" t="s">
        <v>562</v>
      </c>
    </row>
    <row r="10505" spans="1:9" x14ac:dyDescent="0.25">
      <c r="A10505">
        <v>1827</v>
      </c>
      <c r="B10505">
        <f>A10505+1</f>
        <v>1828</v>
      </c>
      <c r="C10505" t="s">
        <v>532</v>
      </c>
      <c r="D10505" t="s">
        <v>26</v>
      </c>
      <c r="E10505" s="208" t="s">
        <v>40</v>
      </c>
      <c r="F10505" t="s">
        <v>14</v>
      </c>
      <c r="G10505" s="18">
        <v>43188</v>
      </c>
      <c r="H10505" t="s">
        <v>561</v>
      </c>
      <c r="I10505" s="151" t="s">
        <v>562</v>
      </c>
    </row>
    <row r="10506" spans="1:9" x14ac:dyDescent="0.25">
      <c r="A10506">
        <v>1827</v>
      </c>
      <c r="B10506">
        <f>A10506+1</f>
        <v>1828</v>
      </c>
      <c r="C10506" t="s">
        <v>532</v>
      </c>
      <c r="D10506" t="s">
        <v>26</v>
      </c>
      <c r="E10506" s="208" t="s">
        <v>98</v>
      </c>
      <c r="F10506" t="s">
        <v>14</v>
      </c>
      <c r="G10506" s="18">
        <v>245568</v>
      </c>
      <c r="H10506" t="s">
        <v>561</v>
      </c>
      <c r="I10506" s="151" t="s">
        <v>562</v>
      </c>
    </row>
    <row r="10507" spans="1:9" x14ac:dyDescent="0.25">
      <c r="A10507">
        <v>1827</v>
      </c>
      <c r="B10507">
        <f>A10507+1</f>
        <v>1828</v>
      </c>
      <c r="C10507" t="s">
        <v>532</v>
      </c>
      <c r="D10507" t="s">
        <v>26</v>
      </c>
      <c r="E10507" s="208" t="s">
        <v>435</v>
      </c>
      <c r="F10507" t="s">
        <v>14</v>
      </c>
      <c r="G10507" s="18">
        <v>5834</v>
      </c>
      <c r="H10507" t="s">
        <v>561</v>
      </c>
      <c r="I10507" s="151" t="s">
        <v>562</v>
      </c>
    </row>
    <row r="10508" spans="1:9" x14ac:dyDescent="0.25">
      <c r="A10508">
        <v>1827</v>
      </c>
      <c r="B10508">
        <f>A10508+1</f>
        <v>1828</v>
      </c>
      <c r="C10508" t="s">
        <v>532</v>
      </c>
      <c r="D10508" t="s">
        <v>26</v>
      </c>
      <c r="E10508" s="208" t="s">
        <v>107</v>
      </c>
      <c r="F10508" t="s">
        <v>14</v>
      </c>
      <c r="G10508" s="18">
        <v>4128151</v>
      </c>
      <c r="H10508" t="s">
        <v>561</v>
      </c>
      <c r="I10508" s="151" t="s">
        <v>562</v>
      </c>
    </row>
    <row r="10509" spans="1:9" x14ac:dyDescent="0.25">
      <c r="A10509">
        <v>1827</v>
      </c>
      <c r="B10509">
        <f>A10509+1</f>
        <v>1828</v>
      </c>
      <c r="C10509" t="s">
        <v>532</v>
      </c>
      <c r="D10509" t="s">
        <v>26</v>
      </c>
      <c r="E10509" s="208" t="s">
        <v>101</v>
      </c>
      <c r="F10509" t="s">
        <v>14</v>
      </c>
      <c r="G10509" s="18">
        <v>2445172</v>
      </c>
      <c r="H10509" t="s">
        <v>561</v>
      </c>
      <c r="I10509" s="151" t="s">
        <v>562</v>
      </c>
    </row>
    <row r="10510" spans="1:9" x14ac:dyDescent="0.25">
      <c r="A10510">
        <v>1827</v>
      </c>
      <c r="B10510">
        <f>A10510+1</f>
        <v>1828</v>
      </c>
      <c r="C10510" t="s">
        <v>532</v>
      </c>
      <c r="D10510" t="s">
        <v>26</v>
      </c>
      <c r="E10510" s="208" t="s">
        <v>75</v>
      </c>
      <c r="F10510" t="s">
        <v>14</v>
      </c>
      <c r="G10510" s="18">
        <v>2601744</v>
      </c>
      <c r="H10510" t="s">
        <v>561</v>
      </c>
      <c r="I10510" s="151" t="s">
        <v>562</v>
      </c>
    </row>
    <row r="10511" spans="1:9" x14ac:dyDescent="0.25">
      <c r="A10511">
        <v>1827</v>
      </c>
      <c r="B10511">
        <f>A10511+1</f>
        <v>1828</v>
      </c>
      <c r="C10511" t="s">
        <v>532</v>
      </c>
      <c r="D10511" t="s">
        <v>26</v>
      </c>
      <c r="E10511" s="208" t="s">
        <v>66</v>
      </c>
      <c r="F10511" t="s">
        <v>14</v>
      </c>
      <c r="G10511" s="18">
        <v>29940</v>
      </c>
      <c r="H10511" t="s">
        <v>561</v>
      </c>
      <c r="I10511" s="151" t="s">
        <v>562</v>
      </c>
    </row>
    <row r="10512" spans="1:9" x14ac:dyDescent="0.25">
      <c r="A10512">
        <v>1827</v>
      </c>
      <c r="B10512">
        <f>A10512+1</f>
        <v>1828</v>
      </c>
      <c r="C10512" t="s">
        <v>532</v>
      </c>
      <c r="D10512" t="s">
        <v>26</v>
      </c>
      <c r="E10512" s="208" t="s">
        <v>330</v>
      </c>
      <c r="F10512" t="s">
        <v>14</v>
      </c>
      <c r="G10512" s="18">
        <v>633</v>
      </c>
      <c r="H10512" t="s">
        <v>561</v>
      </c>
      <c r="I10512" s="151" t="s">
        <v>562</v>
      </c>
    </row>
    <row r="10513" spans="1:9" x14ac:dyDescent="0.25">
      <c r="A10513">
        <v>1827</v>
      </c>
      <c r="B10513">
        <f>A10513+1</f>
        <v>1828</v>
      </c>
      <c r="C10513" t="s">
        <v>532</v>
      </c>
      <c r="D10513" t="s">
        <v>26</v>
      </c>
      <c r="E10513" s="208" t="s">
        <v>331</v>
      </c>
      <c r="F10513" t="s">
        <v>14</v>
      </c>
      <c r="G10513" s="18">
        <v>407</v>
      </c>
      <c r="H10513" t="s">
        <v>561</v>
      </c>
      <c r="I10513" s="151" t="s">
        <v>562</v>
      </c>
    </row>
    <row r="10514" spans="1:9" x14ac:dyDescent="0.25">
      <c r="A10514">
        <v>1827</v>
      </c>
      <c r="B10514">
        <f>A10514+1</f>
        <v>1828</v>
      </c>
      <c r="C10514" t="s">
        <v>532</v>
      </c>
      <c r="D10514" t="s">
        <v>26</v>
      </c>
      <c r="E10514" s="208" t="s">
        <v>333</v>
      </c>
      <c r="F10514" t="s">
        <v>14</v>
      </c>
      <c r="G10514" s="18">
        <v>0</v>
      </c>
      <c r="H10514" t="s">
        <v>561</v>
      </c>
      <c r="I10514" s="151" t="s">
        <v>562</v>
      </c>
    </row>
    <row r="10515" spans="1:9" x14ac:dyDescent="0.25">
      <c r="A10515">
        <v>1827</v>
      </c>
      <c r="B10515">
        <f>A10515+1</f>
        <v>1828</v>
      </c>
      <c r="C10515" t="s">
        <v>532</v>
      </c>
      <c r="D10515" t="s">
        <v>26</v>
      </c>
      <c r="E10515" s="208" t="s">
        <v>332</v>
      </c>
      <c r="F10515" t="s">
        <v>14</v>
      </c>
      <c r="G10515" s="18">
        <v>0</v>
      </c>
      <c r="H10515" t="s">
        <v>561</v>
      </c>
      <c r="I10515" s="151" t="s">
        <v>562</v>
      </c>
    </row>
    <row r="10516" spans="1:9" x14ac:dyDescent="0.25">
      <c r="A10516">
        <v>1827</v>
      </c>
      <c r="B10516">
        <f>A10516+1</f>
        <v>1828</v>
      </c>
      <c r="C10516" t="s">
        <v>532</v>
      </c>
      <c r="D10516" t="s">
        <v>26</v>
      </c>
      <c r="E10516" s="208" t="s">
        <v>113</v>
      </c>
      <c r="F10516" t="s">
        <v>14</v>
      </c>
      <c r="G10516" s="18">
        <v>138</v>
      </c>
      <c r="H10516" t="s">
        <v>561</v>
      </c>
      <c r="I10516" s="151" t="s">
        <v>562</v>
      </c>
    </row>
    <row r="10517" spans="1:9" x14ac:dyDescent="0.25">
      <c r="A10517">
        <v>1827</v>
      </c>
      <c r="B10517">
        <f>A10517+1</f>
        <v>1828</v>
      </c>
      <c r="C10517" t="s">
        <v>532</v>
      </c>
      <c r="D10517" t="s">
        <v>26</v>
      </c>
      <c r="E10517" s="208" t="s">
        <v>112</v>
      </c>
      <c r="F10517" t="s">
        <v>14</v>
      </c>
      <c r="G10517" s="18">
        <v>449</v>
      </c>
      <c r="H10517" t="s">
        <v>561</v>
      </c>
      <c r="I10517" s="151" t="s">
        <v>562</v>
      </c>
    </row>
    <row r="10518" spans="1:9" x14ac:dyDescent="0.25">
      <c r="A10518">
        <v>1827</v>
      </c>
      <c r="B10518">
        <f>A10518+1</f>
        <v>1828</v>
      </c>
      <c r="C10518" t="s">
        <v>532</v>
      </c>
      <c r="D10518" t="s">
        <v>27</v>
      </c>
      <c r="E10518" s="208" t="s">
        <v>155</v>
      </c>
      <c r="F10518" t="s">
        <v>15</v>
      </c>
      <c r="G10518" s="18">
        <v>81908</v>
      </c>
      <c r="H10518" t="s">
        <v>561</v>
      </c>
      <c r="I10518" s="151" t="s">
        <v>562</v>
      </c>
    </row>
    <row r="10519" spans="1:9" x14ac:dyDescent="0.25">
      <c r="A10519">
        <v>1827</v>
      </c>
      <c r="B10519">
        <f>A10519+1</f>
        <v>1828</v>
      </c>
      <c r="C10519" t="s">
        <v>532</v>
      </c>
      <c r="D10519" t="s">
        <v>27</v>
      </c>
      <c r="E10519" s="208" t="s">
        <v>156</v>
      </c>
      <c r="F10519" t="s">
        <v>15</v>
      </c>
      <c r="G10519" s="18">
        <v>8724</v>
      </c>
      <c r="H10519" t="s">
        <v>561</v>
      </c>
      <c r="I10519" s="151" t="s">
        <v>562</v>
      </c>
    </row>
    <row r="10520" spans="1:9" x14ac:dyDescent="0.25">
      <c r="A10520">
        <v>1827</v>
      </c>
      <c r="B10520">
        <f>A10520+1</f>
        <v>1828</v>
      </c>
      <c r="C10520" t="s">
        <v>532</v>
      </c>
      <c r="D10520" t="s">
        <v>27</v>
      </c>
      <c r="E10520" s="208" t="s">
        <v>154</v>
      </c>
      <c r="F10520" t="s">
        <v>15</v>
      </c>
      <c r="G10520" s="18">
        <v>2810</v>
      </c>
      <c r="H10520" t="s">
        <v>561</v>
      </c>
      <c r="I10520" s="151" t="s">
        <v>562</v>
      </c>
    </row>
    <row r="10521" spans="1:9" x14ac:dyDescent="0.25">
      <c r="A10521">
        <v>1827</v>
      </c>
      <c r="B10521">
        <f>A10521+1</f>
        <v>1828</v>
      </c>
      <c r="C10521" t="s">
        <v>532</v>
      </c>
      <c r="D10521" t="s">
        <v>27</v>
      </c>
      <c r="E10521" s="208" t="s">
        <v>150</v>
      </c>
      <c r="F10521" t="s">
        <v>15</v>
      </c>
      <c r="G10521" s="18">
        <v>33717</v>
      </c>
      <c r="H10521" t="s">
        <v>561</v>
      </c>
      <c r="I10521" s="151" t="s">
        <v>562</v>
      </c>
    </row>
    <row r="10522" spans="1:9" x14ac:dyDescent="0.25">
      <c r="A10522">
        <v>1827</v>
      </c>
      <c r="B10522">
        <f>A10522+1</f>
        <v>1828</v>
      </c>
      <c r="C10522" t="s">
        <v>532</v>
      </c>
      <c r="D10522" t="s">
        <v>27</v>
      </c>
      <c r="E10522" s="208" t="s">
        <v>148</v>
      </c>
      <c r="F10522" t="s">
        <v>15</v>
      </c>
      <c r="G10522" s="18">
        <v>3253</v>
      </c>
      <c r="H10522" t="s">
        <v>561</v>
      </c>
      <c r="I10522" s="151" t="s">
        <v>562</v>
      </c>
    </row>
    <row r="10523" spans="1:9" x14ac:dyDescent="0.25">
      <c r="A10523">
        <v>1827</v>
      </c>
      <c r="B10523">
        <f>A10523+1</f>
        <v>1828</v>
      </c>
      <c r="C10523" t="s">
        <v>532</v>
      </c>
      <c r="D10523" t="s">
        <v>27</v>
      </c>
      <c r="E10523" s="208" t="s">
        <v>147</v>
      </c>
      <c r="F10523" t="s">
        <v>15</v>
      </c>
      <c r="G10523" s="18">
        <v>1425</v>
      </c>
      <c r="H10523" t="s">
        <v>561</v>
      </c>
      <c r="I10523" s="151" t="s">
        <v>562</v>
      </c>
    </row>
    <row r="10524" spans="1:9" x14ac:dyDescent="0.25">
      <c r="A10524">
        <v>1827</v>
      </c>
      <c r="B10524">
        <f>A10524+1</f>
        <v>1828</v>
      </c>
      <c r="C10524" t="s">
        <v>532</v>
      </c>
      <c r="D10524" t="s">
        <v>27</v>
      </c>
      <c r="E10524" s="208" t="s">
        <v>139</v>
      </c>
      <c r="F10524" t="s">
        <v>15</v>
      </c>
      <c r="G10524" s="18">
        <v>283</v>
      </c>
      <c r="H10524" t="s">
        <v>561</v>
      </c>
      <c r="I10524" s="151" t="s">
        <v>562</v>
      </c>
    </row>
    <row r="10525" spans="1:9" x14ac:dyDescent="0.25">
      <c r="A10525">
        <v>1827</v>
      </c>
      <c r="B10525">
        <f>A10525+1</f>
        <v>1828</v>
      </c>
      <c r="C10525" t="s">
        <v>532</v>
      </c>
      <c r="D10525" t="s">
        <v>27</v>
      </c>
      <c r="E10525" s="208" t="s">
        <v>131</v>
      </c>
      <c r="F10525" t="s">
        <v>15</v>
      </c>
      <c r="G10525" s="18">
        <v>1942</v>
      </c>
      <c r="H10525" t="s">
        <v>561</v>
      </c>
      <c r="I10525" s="151" t="s">
        <v>562</v>
      </c>
    </row>
    <row r="10526" spans="1:9" x14ac:dyDescent="0.25">
      <c r="A10526">
        <v>1827</v>
      </c>
      <c r="B10526">
        <f>A10526+1</f>
        <v>1828</v>
      </c>
      <c r="C10526" t="s">
        <v>532</v>
      </c>
      <c r="D10526" t="s">
        <v>27</v>
      </c>
      <c r="E10526" s="208" t="s">
        <v>130</v>
      </c>
      <c r="F10526" t="s">
        <v>15</v>
      </c>
      <c r="G10526" s="18">
        <v>412</v>
      </c>
      <c r="H10526" s="151" t="s">
        <v>563</v>
      </c>
      <c r="I10526" t="s">
        <v>561</v>
      </c>
    </row>
    <row r="10527" spans="1:9" x14ac:dyDescent="0.25">
      <c r="A10527">
        <v>1827</v>
      </c>
      <c r="B10527">
        <f>A10527+1</f>
        <v>1828</v>
      </c>
      <c r="C10527" t="s">
        <v>532</v>
      </c>
      <c r="D10527" t="s">
        <v>27</v>
      </c>
      <c r="E10527" s="208" t="s">
        <v>124</v>
      </c>
      <c r="F10527" t="s">
        <v>15</v>
      </c>
      <c r="G10527" s="18">
        <v>17247943</v>
      </c>
      <c r="H10527" s="151" t="s">
        <v>563</v>
      </c>
      <c r="I10527" t="s">
        <v>561</v>
      </c>
    </row>
    <row r="10528" spans="1:9" x14ac:dyDescent="0.25">
      <c r="A10528">
        <v>1827</v>
      </c>
      <c r="B10528">
        <f>A10528+1</f>
        <v>1828</v>
      </c>
      <c r="C10528" t="s">
        <v>532</v>
      </c>
      <c r="D10528" t="s">
        <v>27</v>
      </c>
      <c r="E10528" s="208" t="s">
        <v>145</v>
      </c>
      <c r="F10528" t="s">
        <v>15</v>
      </c>
      <c r="G10528" s="18">
        <v>2473053</v>
      </c>
      <c r="H10528" s="151" t="s">
        <v>563</v>
      </c>
      <c r="I10528" t="s">
        <v>561</v>
      </c>
    </row>
    <row r="10529" spans="1:9" x14ac:dyDescent="0.25">
      <c r="A10529">
        <v>1827</v>
      </c>
      <c r="B10529">
        <f>A10529+1</f>
        <v>1828</v>
      </c>
      <c r="C10529" t="s">
        <v>532</v>
      </c>
      <c r="D10529" t="s">
        <v>27</v>
      </c>
      <c r="E10529" s="208" t="s">
        <v>114</v>
      </c>
      <c r="F10529" t="s">
        <v>15</v>
      </c>
      <c r="G10529" s="18">
        <v>1097</v>
      </c>
      <c r="H10529" s="151" t="s">
        <v>563</v>
      </c>
      <c r="I10529" t="s">
        <v>561</v>
      </c>
    </row>
    <row r="10530" spans="1:9" x14ac:dyDescent="0.25">
      <c r="A10530">
        <v>1827</v>
      </c>
      <c r="B10530">
        <f>A10530+1</f>
        <v>1828</v>
      </c>
      <c r="C10530" t="s">
        <v>532</v>
      </c>
      <c r="D10530" t="s">
        <v>27</v>
      </c>
      <c r="E10530" s="208" t="s">
        <v>116</v>
      </c>
      <c r="F10530" t="s">
        <v>15</v>
      </c>
      <c r="G10530" s="18">
        <v>2365</v>
      </c>
      <c r="H10530" s="151" t="s">
        <v>563</v>
      </c>
      <c r="I10530" t="s">
        <v>561</v>
      </c>
    </row>
    <row r="10531" spans="1:9" x14ac:dyDescent="0.25">
      <c r="A10531">
        <v>1827</v>
      </c>
      <c r="B10531">
        <f>A10531+1</f>
        <v>1828</v>
      </c>
      <c r="C10531" t="s">
        <v>532</v>
      </c>
      <c r="D10531" t="s">
        <v>27</v>
      </c>
      <c r="E10531" s="208" t="s">
        <v>137</v>
      </c>
      <c r="F10531" t="s">
        <v>15</v>
      </c>
      <c r="G10531" s="18">
        <v>259</v>
      </c>
      <c r="H10531" s="151" t="s">
        <v>563</v>
      </c>
      <c r="I10531" t="s">
        <v>561</v>
      </c>
    </row>
    <row r="10532" spans="1:9" x14ac:dyDescent="0.25">
      <c r="A10532">
        <v>1827</v>
      </c>
      <c r="B10532">
        <f>A10532+1</f>
        <v>1828</v>
      </c>
      <c r="C10532" t="s">
        <v>532</v>
      </c>
      <c r="D10532" t="s">
        <v>27</v>
      </c>
      <c r="E10532" s="208" t="s">
        <v>157</v>
      </c>
      <c r="F10532" t="s">
        <v>15</v>
      </c>
      <c r="G10532" s="18">
        <v>775</v>
      </c>
      <c r="H10532" s="151" t="s">
        <v>563</v>
      </c>
      <c r="I10532" t="s">
        <v>561</v>
      </c>
    </row>
    <row r="10533" spans="1:9" x14ac:dyDescent="0.25">
      <c r="A10533">
        <v>1827</v>
      </c>
      <c r="B10533">
        <f>A10533+1</f>
        <v>1828</v>
      </c>
      <c r="C10533" t="s">
        <v>532</v>
      </c>
      <c r="D10533" t="s">
        <v>27</v>
      </c>
      <c r="E10533" s="208" t="s">
        <v>127</v>
      </c>
      <c r="F10533" t="s">
        <v>15</v>
      </c>
      <c r="G10533" s="18">
        <v>253</v>
      </c>
      <c r="H10533" s="151" t="s">
        <v>563</v>
      </c>
      <c r="I10533" t="s">
        <v>561</v>
      </c>
    </row>
    <row r="10534" spans="1:9" x14ac:dyDescent="0.25">
      <c r="A10534">
        <v>1827</v>
      </c>
      <c r="B10534">
        <f>A10534+1</f>
        <v>1828</v>
      </c>
      <c r="C10534" t="s">
        <v>532</v>
      </c>
      <c r="D10534" t="s">
        <v>27</v>
      </c>
      <c r="E10534" s="208" t="s">
        <v>133</v>
      </c>
      <c r="F10534" t="s">
        <v>15</v>
      </c>
      <c r="G10534" s="18">
        <v>13551</v>
      </c>
      <c r="H10534" s="151" t="s">
        <v>563</v>
      </c>
      <c r="I10534" t="s">
        <v>561</v>
      </c>
    </row>
    <row r="10535" spans="1:9" x14ac:dyDescent="0.25">
      <c r="A10535">
        <v>1827</v>
      </c>
      <c r="B10535">
        <f>A10535+1</f>
        <v>1828</v>
      </c>
      <c r="C10535" t="s">
        <v>532</v>
      </c>
      <c r="D10535" t="s">
        <v>27</v>
      </c>
      <c r="E10535" s="208" t="s">
        <v>74</v>
      </c>
      <c r="F10535" t="s">
        <v>15</v>
      </c>
      <c r="G10535" s="18">
        <v>4907</v>
      </c>
      <c r="H10535" s="151" t="s">
        <v>563</v>
      </c>
      <c r="I10535" t="s">
        <v>561</v>
      </c>
    </row>
    <row r="10536" spans="1:9" x14ac:dyDescent="0.25">
      <c r="A10536">
        <v>1827</v>
      </c>
      <c r="B10536">
        <f>A10536+1</f>
        <v>1828</v>
      </c>
      <c r="C10536" t="s">
        <v>532</v>
      </c>
      <c r="D10536" t="s">
        <v>27</v>
      </c>
      <c r="E10536" s="208" t="s">
        <v>129</v>
      </c>
      <c r="F10536" t="s">
        <v>15</v>
      </c>
      <c r="G10536" s="18">
        <v>1123</v>
      </c>
      <c r="H10536" s="151" t="s">
        <v>563</v>
      </c>
      <c r="I10536" t="s">
        <v>561</v>
      </c>
    </row>
    <row r="10537" spans="1:9" x14ac:dyDescent="0.25">
      <c r="A10537">
        <v>1827</v>
      </c>
      <c r="B10537">
        <f>A10537+1</f>
        <v>1828</v>
      </c>
      <c r="C10537" t="s">
        <v>532</v>
      </c>
      <c r="D10537" t="s">
        <v>27</v>
      </c>
      <c r="E10537" s="208" t="s">
        <v>141</v>
      </c>
      <c r="F10537" t="s">
        <v>15</v>
      </c>
      <c r="G10537" s="18">
        <v>386</v>
      </c>
      <c r="H10537" s="151" t="s">
        <v>563</v>
      </c>
      <c r="I10537" t="s">
        <v>561</v>
      </c>
    </row>
    <row r="10538" spans="1:9" x14ac:dyDescent="0.25">
      <c r="A10538">
        <v>1827</v>
      </c>
      <c r="B10538">
        <f>A10538+1</f>
        <v>1828</v>
      </c>
      <c r="C10538" t="s">
        <v>532</v>
      </c>
      <c r="D10538" t="s">
        <v>27</v>
      </c>
      <c r="E10538" s="208" t="s">
        <v>135</v>
      </c>
      <c r="F10538" t="s">
        <v>15</v>
      </c>
      <c r="G10538" s="18">
        <v>548</v>
      </c>
      <c r="H10538" s="151" t="s">
        <v>563</v>
      </c>
      <c r="I10538" t="s">
        <v>561</v>
      </c>
    </row>
    <row r="10539" spans="1:9" x14ac:dyDescent="0.25">
      <c r="A10539">
        <v>1827</v>
      </c>
      <c r="B10539">
        <f>A10539+1</f>
        <v>1828</v>
      </c>
      <c r="C10539" t="s">
        <v>532</v>
      </c>
      <c r="D10539" t="s">
        <v>27</v>
      </c>
      <c r="E10539" s="208" t="s">
        <v>128</v>
      </c>
      <c r="F10539" t="s">
        <v>15</v>
      </c>
      <c r="G10539" s="18">
        <v>467</v>
      </c>
      <c r="H10539" s="151" t="s">
        <v>563</v>
      </c>
      <c r="I10539" t="s">
        <v>561</v>
      </c>
    </row>
    <row r="10540" spans="1:9" x14ac:dyDescent="0.25">
      <c r="A10540">
        <v>1827</v>
      </c>
      <c r="B10540">
        <f>A10540+1</f>
        <v>1828</v>
      </c>
      <c r="C10540" t="s">
        <v>532</v>
      </c>
      <c r="D10540" t="s">
        <v>27</v>
      </c>
      <c r="E10540" s="208" t="s">
        <v>138</v>
      </c>
      <c r="F10540" t="s">
        <v>15</v>
      </c>
      <c r="G10540" s="18">
        <v>1931</v>
      </c>
      <c r="H10540" s="151" t="s">
        <v>563</v>
      </c>
      <c r="I10540" t="s">
        <v>561</v>
      </c>
    </row>
    <row r="10541" spans="1:9" x14ac:dyDescent="0.25">
      <c r="A10541">
        <v>1827</v>
      </c>
      <c r="B10541">
        <f>A10541+1</f>
        <v>1828</v>
      </c>
      <c r="C10541" t="s">
        <v>532</v>
      </c>
      <c r="D10541" t="s">
        <v>27</v>
      </c>
      <c r="E10541" s="208" t="s">
        <v>118</v>
      </c>
      <c r="F10541" t="s">
        <v>15</v>
      </c>
      <c r="G10541" s="18">
        <v>1083</v>
      </c>
      <c r="H10541" s="151" t="s">
        <v>563</v>
      </c>
      <c r="I10541" t="s">
        <v>561</v>
      </c>
    </row>
    <row r="10542" spans="1:9" x14ac:dyDescent="0.25">
      <c r="A10542">
        <v>1827</v>
      </c>
      <c r="B10542">
        <f>A10542+1</f>
        <v>1828</v>
      </c>
      <c r="C10542" t="s">
        <v>532</v>
      </c>
      <c r="D10542" t="s">
        <v>27</v>
      </c>
      <c r="E10542" s="208" t="s">
        <v>134</v>
      </c>
      <c r="F10542" t="s">
        <v>15</v>
      </c>
      <c r="G10542" s="18">
        <v>14468</v>
      </c>
      <c r="H10542" t="s">
        <v>24</v>
      </c>
      <c r="I10542" t="s">
        <v>16</v>
      </c>
    </row>
    <row r="10543" spans="1:9" x14ac:dyDescent="0.25">
      <c r="A10543">
        <v>1827</v>
      </c>
      <c r="B10543">
        <f>A10543+1</f>
        <v>1828</v>
      </c>
      <c r="C10543" t="s">
        <v>532</v>
      </c>
      <c r="D10543" t="s">
        <v>26</v>
      </c>
      <c r="E10543" s="208" t="s">
        <v>62</v>
      </c>
      <c r="F10543" t="s">
        <v>15</v>
      </c>
      <c r="G10543" s="18">
        <v>58166.5</v>
      </c>
      <c r="H10543" t="s">
        <v>22</v>
      </c>
      <c r="I10543" t="s">
        <v>16</v>
      </c>
    </row>
    <row r="10544" spans="1:9" x14ac:dyDescent="0.25">
      <c r="A10544">
        <v>1827</v>
      </c>
      <c r="B10544">
        <f>A10544+1</f>
        <v>1828</v>
      </c>
      <c r="C10544" t="s">
        <v>532</v>
      </c>
      <c r="D10544" t="s">
        <v>26</v>
      </c>
      <c r="E10544" s="208" t="s">
        <v>55</v>
      </c>
      <c r="F10544" t="s">
        <v>15</v>
      </c>
      <c r="G10544" s="18">
        <v>14874</v>
      </c>
      <c r="H10544" t="s">
        <v>25</v>
      </c>
      <c r="I10544" t="s">
        <v>16</v>
      </c>
    </row>
    <row r="10545" spans="1:9" x14ac:dyDescent="0.25">
      <c r="A10545">
        <v>1827</v>
      </c>
      <c r="B10545">
        <f>A10545+1</f>
        <v>1828</v>
      </c>
      <c r="C10545" t="s">
        <v>532</v>
      </c>
      <c r="D10545" t="s">
        <v>26</v>
      </c>
      <c r="E10545" s="208" t="s">
        <v>35</v>
      </c>
      <c r="F10545" t="s">
        <v>15</v>
      </c>
      <c r="G10545" s="18">
        <v>1351</v>
      </c>
      <c r="H10545" t="s">
        <v>160</v>
      </c>
      <c r="I10545" t="s">
        <v>16</v>
      </c>
    </row>
    <row r="10546" spans="1:9" x14ac:dyDescent="0.25">
      <c r="A10546">
        <v>1827</v>
      </c>
      <c r="B10546">
        <f>A10546+1</f>
        <v>1828</v>
      </c>
      <c r="C10546" t="s">
        <v>532</v>
      </c>
      <c r="D10546" t="s">
        <v>26</v>
      </c>
      <c r="E10546" s="208" t="s">
        <v>40</v>
      </c>
      <c r="F10546" t="s">
        <v>15</v>
      </c>
      <c r="G10546" s="18">
        <v>508875</v>
      </c>
      <c r="H10546" s="151" t="s">
        <v>563</v>
      </c>
      <c r="I10546" t="s">
        <v>16</v>
      </c>
    </row>
    <row r="10547" spans="1:9" x14ac:dyDescent="0.25">
      <c r="A10547">
        <v>1827</v>
      </c>
      <c r="B10547">
        <f>A10547+1</f>
        <v>1828</v>
      </c>
      <c r="C10547" t="s">
        <v>532</v>
      </c>
      <c r="D10547" t="s">
        <v>26</v>
      </c>
      <c r="E10547" s="208" t="s">
        <v>98</v>
      </c>
      <c r="F10547" t="s">
        <v>15</v>
      </c>
      <c r="G10547" s="18">
        <v>1809356</v>
      </c>
      <c r="H10547" t="s">
        <v>24</v>
      </c>
      <c r="I10547" t="s">
        <v>17</v>
      </c>
    </row>
    <row r="10548" spans="1:9" x14ac:dyDescent="0.25">
      <c r="A10548">
        <v>1827</v>
      </c>
      <c r="B10548">
        <f>A10548+1</f>
        <v>1828</v>
      </c>
      <c r="C10548" t="s">
        <v>532</v>
      </c>
      <c r="D10548" t="s">
        <v>26</v>
      </c>
      <c r="E10548" s="208" t="s">
        <v>435</v>
      </c>
      <c r="F10548" t="s">
        <v>15</v>
      </c>
      <c r="G10548" s="18">
        <v>41276</v>
      </c>
      <c r="H10548" t="s">
        <v>25</v>
      </c>
      <c r="I10548" t="s">
        <v>17</v>
      </c>
    </row>
    <row r="10549" spans="1:9" x14ac:dyDescent="0.25">
      <c r="A10549">
        <v>1827</v>
      </c>
      <c r="B10549">
        <f>A10549+1</f>
        <v>1828</v>
      </c>
      <c r="C10549" t="s">
        <v>532</v>
      </c>
      <c r="D10549" t="s">
        <v>26</v>
      </c>
      <c r="E10549" s="208" t="s">
        <v>107</v>
      </c>
      <c r="F10549" t="s">
        <v>15</v>
      </c>
      <c r="G10549" s="18">
        <v>5945058</v>
      </c>
      <c r="H10549" t="s">
        <v>160</v>
      </c>
      <c r="I10549" t="s">
        <v>17</v>
      </c>
    </row>
    <row r="10550" spans="1:9" x14ac:dyDescent="0.25">
      <c r="A10550">
        <v>1827</v>
      </c>
      <c r="B10550">
        <f>A10550+1</f>
        <v>1828</v>
      </c>
      <c r="C10550" t="s">
        <v>532</v>
      </c>
      <c r="D10550" t="s">
        <v>26</v>
      </c>
      <c r="E10550" s="208" t="s">
        <v>101</v>
      </c>
      <c r="F10550" t="s">
        <v>15</v>
      </c>
      <c r="G10550" s="18">
        <v>5552134</v>
      </c>
      <c r="H10550" s="151" t="s">
        <v>563</v>
      </c>
      <c r="I10550" t="s">
        <v>17</v>
      </c>
    </row>
    <row r="10551" spans="1:9" x14ac:dyDescent="0.25">
      <c r="A10551">
        <v>1827</v>
      </c>
      <c r="B10551">
        <f>A10551+1</f>
        <v>1828</v>
      </c>
      <c r="C10551" t="s">
        <v>532</v>
      </c>
      <c r="D10551" t="s">
        <v>26</v>
      </c>
      <c r="E10551" s="208" t="s">
        <v>75</v>
      </c>
      <c r="F10551" t="s">
        <v>15</v>
      </c>
      <c r="G10551" s="18">
        <v>4477207</v>
      </c>
      <c r="H10551" s="151" t="s">
        <v>563</v>
      </c>
      <c r="I10551" t="s">
        <v>561</v>
      </c>
    </row>
    <row r="10552" spans="1:9" x14ac:dyDescent="0.25">
      <c r="A10552">
        <v>1827</v>
      </c>
      <c r="B10552">
        <f>A10552+1</f>
        <v>1828</v>
      </c>
      <c r="C10552" t="s">
        <v>532</v>
      </c>
      <c r="D10552" t="s">
        <v>26</v>
      </c>
      <c r="E10552" s="208" t="s">
        <v>66</v>
      </c>
      <c r="F10552" t="s">
        <v>15</v>
      </c>
      <c r="G10552" s="18">
        <v>101091</v>
      </c>
      <c r="H10552" t="s">
        <v>24</v>
      </c>
      <c r="I10552" t="s">
        <v>16</v>
      </c>
    </row>
    <row r="10553" spans="1:9" x14ac:dyDescent="0.25">
      <c r="A10553">
        <v>1827</v>
      </c>
      <c r="B10553">
        <f>A10553+1</f>
        <v>1828</v>
      </c>
      <c r="C10553" t="s">
        <v>532</v>
      </c>
      <c r="D10553" t="s">
        <v>26</v>
      </c>
      <c r="E10553" s="208" t="s">
        <v>330</v>
      </c>
      <c r="F10553" t="s">
        <v>15</v>
      </c>
      <c r="G10553" s="18">
        <v>787</v>
      </c>
      <c r="H10553" s="151" t="s">
        <v>563</v>
      </c>
      <c r="I10553" t="s">
        <v>16</v>
      </c>
    </row>
    <row r="10554" spans="1:9" x14ac:dyDescent="0.25">
      <c r="A10554">
        <v>1827</v>
      </c>
      <c r="B10554">
        <f>A10554+1</f>
        <v>1828</v>
      </c>
      <c r="C10554" t="s">
        <v>532</v>
      </c>
      <c r="D10554" t="s">
        <v>26</v>
      </c>
      <c r="E10554" s="208" t="s">
        <v>331</v>
      </c>
      <c r="F10554" t="s">
        <v>15</v>
      </c>
      <c r="G10554" s="18">
        <v>443</v>
      </c>
      <c r="H10554" t="s">
        <v>24</v>
      </c>
      <c r="I10554" t="s">
        <v>17</v>
      </c>
    </row>
    <row r="10555" spans="1:9" x14ac:dyDescent="0.25">
      <c r="A10555">
        <v>1827</v>
      </c>
      <c r="B10555">
        <f>A10555+1</f>
        <v>1828</v>
      </c>
      <c r="C10555" t="s">
        <v>532</v>
      </c>
      <c r="D10555" t="s">
        <v>26</v>
      </c>
      <c r="E10555" s="208" t="s">
        <v>333</v>
      </c>
      <c r="F10555" t="s">
        <v>15</v>
      </c>
      <c r="G10555" s="18">
        <v>8</v>
      </c>
      <c r="H10555" s="151" t="s">
        <v>563</v>
      </c>
      <c r="I10555" t="s">
        <v>17</v>
      </c>
    </row>
    <row r="10556" spans="1:9" x14ac:dyDescent="0.25">
      <c r="A10556">
        <v>1827</v>
      </c>
      <c r="B10556">
        <f>A10556+1</f>
        <v>1828</v>
      </c>
      <c r="C10556" t="s">
        <v>532</v>
      </c>
      <c r="D10556" t="s">
        <v>26</v>
      </c>
      <c r="E10556" s="208" t="s">
        <v>332</v>
      </c>
      <c r="F10556" t="s">
        <v>15</v>
      </c>
      <c r="G10556" s="18">
        <v>107</v>
      </c>
      <c r="H10556" s="151" t="s">
        <v>563</v>
      </c>
      <c r="I10556" t="s">
        <v>561</v>
      </c>
    </row>
    <row r="10557" spans="1:9" x14ac:dyDescent="0.25">
      <c r="A10557">
        <v>1827</v>
      </c>
      <c r="B10557">
        <f>A10557+1</f>
        <v>1828</v>
      </c>
      <c r="C10557" t="s">
        <v>532</v>
      </c>
      <c r="D10557" t="s">
        <v>26</v>
      </c>
      <c r="E10557" s="208" t="s">
        <v>113</v>
      </c>
      <c r="F10557" t="s">
        <v>15</v>
      </c>
      <c r="G10557" s="18">
        <v>462</v>
      </c>
      <c r="H10557" t="s">
        <v>24</v>
      </c>
      <c r="I10557" t="s">
        <v>16</v>
      </c>
    </row>
    <row r="10558" spans="1:9" x14ac:dyDescent="0.25">
      <c r="A10558">
        <v>1827</v>
      </c>
      <c r="B10558">
        <f>A10558+1</f>
        <v>1828</v>
      </c>
      <c r="C10558" t="s">
        <v>532</v>
      </c>
      <c r="D10558" t="s">
        <v>26</v>
      </c>
      <c r="E10558" s="208" t="s">
        <v>112</v>
      </c>
      <c r="F10558" t="s">
        <v>15</v>
      </c>
      <c r="G10558" s="18">
        <v>711</v>
      </c>
      <c r="H10558" t="s">
        <v>160</v>
      </c>
      <c r="I10558" t="s">
        <v>16</v>
      </c>
    </row>
    <row r="10559" spans="1:9" x14ac:dyDescent="0.25">
      <c r="A10559">
        <v>1827</v>
      </c>
      <c r="B10559">
        <f>A10559+1</f>
        <v>1828</v>
      </c>
      <c r="C10559" t="s">
        <v>532</v>
      </c>
      <c r="D10559" t="s">
        <v>26</v>
      </c>
      <c r="E10559" s="208" t="s">
        <v>566</v>
      </c>
      <c r="F10559" t="s">
        <v>3</v>
      </c>
      <c r="G10559" s="18">
        <v>219</v>
      </c>
      <c r="H10559" s="151" t="s">
        <v>563</v>
      </c>
      <c r="I10559" t="s">
        <v>16</v>
      </c>
    </row>
    <row r="10560" spans="1:9" x14ac:dyDescent="0.25">
      <c r="A10560">
        <v>1827</v>
      </c>
      <c r="B10560">
        <f>A10560+1</f>
        <v>1828</v>
      </c>
      <c r="C10560" t="s">
        <v>532</v>
      </c>
      <c r="D10560" t="s">
        <v>26</v>
      </c>
      <c r="E10560" s="208" t="s">
        <v>566</v>
      </c>
      <c r="F10560" t="s">
        <v>2</v>
      </c>
      <c r="G10560" s="18">
        <v>0</v>
      </c>
      <c r="H10560" t="s">
        <v>24</v>
      </c>
      <c r="I10560" t="s">
        <v>17</v>
      </c>
    </row>
    <row r="10561" spans="1:9" x14ac:dyDescent="0.25">
      <c r="A10561">
        <v>1827</v>
      </c>
      <c r="B10561">
        <f>A10561+1</f>
        <v>1828</v>
      </c>
      <c r="C10561" t="s">
        <v>532</v>
      </c>
      <c r="D10561" t="s">
        <v>26</v>
      </c>
      <c r="E10561" s="208" t="s">
        <v>566</v>
      </c>
      <c r="F10561" t="s">
        <v>6</v>
      </c>
      <c r="G10561" s="18">
        <v>0</v>
      </c>
      <c r="H10561" t="s">
        <v>160</v>
      </c>
      <c r="I10561" t="s">
        <v>17</v>
      </c>
    </row>
    <row r="10562" spans="1:9" x14ac:dyDescent="0.25">
      <c r="A10562">
        <v>1827</v>
      </c>
      <c r="B10562">
        <f>A10562+1</f>
        <v>1828</v>
      </c>
      <c r="C10562" t="s">
        <v>532</v>
      </c>
      <c r="D10562" t="s">
        <v>26</v>
      </c>
      <c r="E10562" s="208" t="s">
        <v>566</v>
      </c>
      <c r="F10562" t="s">
        <v>169</v>
      </c>
      <c r="G10562" s="18">
        <v>0</v>
      </c>
      <c r="H10562" s="151" t="s">
        <v>563</v>
      </c>
      <c r="I10562" t="s">
        <v>17</v>
      </c>
    </row>
    <row r="10563" spans="1:9" x14ac:dyDescent="0.25">
      <c r="A10563">
        <v>1827</v>
      </c>
      <c r="B10563">
        <f>A10563+1</f>
        <v>1828</v>
      </c>
      <c r="C10563" t="s">
        <v>532</v>
      </c>
      <c r="D10563" t="s">
        <v>26</v>
      </c>
      <c r="E10563" s="208" t="s">
        <v>566</v>
      </c>
      <c r="F10563" t="s">
        <v>7</v>
      </c>
      <c r="G10563" s="18">
        <v>219</v>
      </c>
      <c r="H10563" s="151" t="s">
        <v>563</v>
      </c>
      <c r="I10563" t="s">
        <v>561</v>
      </c>
    </row>
    <row r="10564" spans="1:9" x14ac:dyDescent="0.25">
      <c r="A10564">
        <v>1827</v>
      </c>
      <c r="B10564">
        <f>A10564+1</f>
        <v>1828</v>
      </c>
      <c r="C10564" t="s">
        <v>532</v>
      </c>
      <c r="D10564" t="s">
        <v>26</v>
      </c>
      <c r="E10564" s="208" t="s">
        <v>566</v>
      </c>
      <c r="F10564" t="s">
        <v>10</v>
      </c>
      <c r="G10564" s="18">
        <v>0</v>
      </c>
      <c r="H10564" t="s">
        <v>24</v>
      </c>
      <c r="I10564" t="s">
        <v>16</v>
      </c>
    </row>
    <row r="10565" spans="1:9" x14ac:dyDescent="0.25">
      <c r="A10565">
        <v>1827</v>
      </c>
      <c r="B10565">
        <f>A10565+1</f>
        <v>1828</v>
      </c>
      <c r="C10565" t="s">
        <v>532</v>
      </c>
      <c r="D10565" t="s">
        <v>26</v>
      </c>
      <c r="E10565" s="208" t="s">
        <v>566</v>
      </c>
      <c r="F10565" t="s">
        <v>13</v>
      </c>
      <c r="G10565" s="18">
        <v>0</v>
      </c>
      <c r="H10565" s="151" t="s">
        <v>563</v>
      </c>
      <c r="I10565" t="s">
        <v>16</v>
      </c>
    </row>
    <row r="10566" spans="1:9" x14ac:dyDescent="0.25">
      <c r="A10566">
        <v>1827</v>
      </c>
      <c r="B10566">
        <f>A10566+1</f>
        <v>1828</v>
      </c>
      <c r="C10566" t="s">
        <v>532</v>
      </c>
      <c r="D10566" t="s">
        <v>26</v>
      </c>
      <c r="E10566" s="208" t="s">
        <v>566</v>
      </c>
      <c r="F10566" t="s">
        <v>164</v>
      </c>
      <c r="G10566" s="18">
        <v>0</v>
      </c>
      <c r="H10566" t="s">
        <v>24</v>
      </c>
      <c r="I10566" t="s">
        <v>17</v>
      </c>
    </row>
    <row r="10567" spans="1:9" x14ac:dyDescent="0.25">
      <c r="A10567">
        <v>1827</v>
      </c>
      <c r="B10567">
        <f>A10567+1</f>
        <v>1828</v>
      </c>
      <c r="C10567" t="s">
        <v>532</v>
      </c>
      <c r="D10567" t="s">
        <v>26</v>
      </c>
      <c r="E10567" s="208" t="s">
        <v>566</v>
      </c>
      <c r="F10567" t="s">
        <v>14</v>
      </c>
      <c r="G10567" s="18">
        <v>0</v>
      </c>
      <c r="H10567" s="151" t="s">
        <v>563</v>
      </c>
      <c r="I10567" t="s">
        <v>17</v>
      </c>
    </row>
    <row r="10568" spans="1:9" x14ac:dyDescent="0.25">
      <c r="A10568">
        <v>1827</v>
      </c>
      <c r="B10568">
        <f>A10568+1</f>
        <v>1828</v>
      </c>
      <c r="C10568" t="s">
        <v>532</v>
      </c>
      <c r="D10568" t="s">
        <v>26</v>
      </c>
      <c r="E10568" s="208" t="s">
        <v>566</v>
      </c>
      <c r="F10568" t="s">
        <v>15</v>
      </c>
      <c r="G10568" s="18">
        <v>219</v>
      </c>
      <c r="H10568" s="151" t="s">
        <v>563</v>
      </c>
      <c r="I10568" t="s">
        <v>561</v>
      </c>
    </row>
    <row r="10569" spans="1:9" x14ac:dyDescent="0.25">
      <c r="A10569">
        <v>1828</v>
      </c>
      <c r="B10569">
        <f>A10569+1</f>
        <v>1829</v>
      </c>
      <c r="C10569" t="s">
        <v>534</v>
      </c>
      <c r="D10569" t="s">
        <v>26</v>
      </c>
      <c r="E10569" s="208" t="s">
        <v>573</v>
      </c>
      <c r="F10569" t="s">
        <v>3</v>
      </c>
      <c r="G10569" s="18">
        <v>77490</v>
      </c>
      <c r="H10569" t="s">
        <v>16</v>
      </c>
      <c r="I10569" t="s">
        <v>24</v>
      </c>
    </row>
    <row r="10570" spans="1:9" x14ac:dyDescent="0.25">
      <c r="A10570">
        <v>1828</v>
      </c>
      <c r="B10570">
        <f>A10570+1</f>
        <v>1829</v>
      </c>
      <c r="C10570" t="s">
        <v>534</v>
      </c>
      <c r="D10570" t="s">
        <v>26</v>
      </c>
      <c r="E10570" s="208" t="s">
        <v>573</v>
      </c>
      <c r="F10570" t="s">
        <v>7</v>
      </c>
      <c r="G10570" s="18">
        <v>77490</v>
      </c>
      <c r="H10570" t="s">
        <v>16</v>
      </c>
      <c r="I10570" t="s">
        <v>24</v>
      </c>
    </row>
    <row r="10571" spans="1:9" x14ac:dyDescent="0.25">
      <c r="A10571">
        <v>1828</v>
      </c>
      <c r="B10571">
        <f>A10571+1</f>
        <v>1829</v>
      </c>
      <c r="C10571" t="s">
        <v>534</v>
      </c>
      <c r="D10571" t="s">
        <v>26</v>
      </c>
      <c r="E10571" s="208" t="s">
        <v>573</v>
      </c>
      <c r="F10571" t="s">
        <v>10</v>
      </c>
      <c r="G10571" s="18">
        <v>1377839</v>
      </c>
      <c r="H10571" t="s">
        <v>16</v>
      </c>
      <c r="I10571" t="s">
        <v>24</v>
      </c>
    </row>
    <row r="10572" spans="1:9" x14ac:dyDescent="0.25">
      <c r="A10572">
        <v>1828</v>
      </c>
      <c r="B10572">
        <f>A10572+1</f>
        <v>1829</v>
      </c>
      <c r="C10572" t="s">
        <v>534</v>
      </c>
      <c r="D10572" t="s">
        <v>26</v>
      </c>
      <c r="E10572" s="208" t="s">
        <v>573</v>
      </c>
      <c r="F10572" t="s">
        <v>14</v>
      </c>
      <c r="G10572" s="18">
        <v>1377839</v>
      </c>
      <c r="H10572" t="s">
        <v>16</v>
      </c>
      <c r="I10572" t="s">
        <v>24</v>
      </c>
    </row>
    <row r="10573" spans="1:9" x14ac:dyDescent="0.25">
      <c r="A10573">
        <v>1828</v>
      </c>
      <c r="B10573">
        <f>A10573+1</f>
        <v>1829</v>
      </c>
      <c r="C10573" t="s">
        <v>534</v>
      </c>
      <c r="D10573" t="s">
        <v>26</v>
      </c>
      <c r="E10573" s="208" t="s">
        <v>573</v>
      </c>
      <c r="F10573" t="s">
        <v>15</v>
      </c>
      <c r="G10573" s="18">
        <v>1455329</v>
      </c>
      <c r="H10573" t="s">
        <v>16</v>
      </c>
      <c r="I10573" t="s">
        <v>24</v>
      </c>
    </row>
    <row r="10574" spans="1:9" x14ac:dyDescent="0.25">
      <c r="A10574">
        <v>1828</v>
      </c>
      <c r="B10574">
        <f>A10574+1</f>
        <v>1829</v>
      </c>
      <c r="C10574" t="s">
        <v>534</v>
      </c>
      <c r="D10574" t="s">
        <v>26</v>
      </c>
      <c r="E10574" s="208" t="s">
        <v>567</v>
      </c>
      <c r="F10574" t="s">
        <v>3</v>
      </c>
      <c r="G10574" s="18">
        <v>21783</v>
      </c>
      <c r="H10574" t="s">
        <v>16</v>
      </c>
      <c r="I10574" t="s">
        <v>24</v>
      </c>
    </row>
    <row r="10575" spans="1:9" x14ac:dyDescent="0.25">
      <c r="A10575">
        <v>1828</v>
      </c>
      <c r="B10575">
        <f>A10575+1</f>
        <v>1829</v>
      </c>
      <c r="C10575" t="s">
        <v>534</v>
      </c>
      <c r="D10575" t="s">
        <v>26</v>
      </c>
      <c r="E10575" s="208" t="s">
        <v>567</v>
      </c>
      <c r="F10575" t="s">
        <v>169</v>
      </c>
      <c r="G10575" s="18">
        <v>12670</v>
      </c>
      <c r="H10575" t="s">
        <v>16</v>
      </c>
      <c r="I10575" t="s">
        <v>24</v>
      </c>
    </row>
    <row r="10576" spans="1:9" x14ac:dyDescent="0.25">
      <c r="A10576">
        <v>1828</v>
      </c>
      <c r="B10576">
        <f>A10576+1</f>
        <v>1829</v>
      </c>
      <c r="C10576" t="s">
        <v>534</v>
      </c>
      <c r="D10576" t="s">
        <v>26</v>
      </c>
      <c r="E10576" s="208" t="s">
        <v>567</v>
      </c>
      <c r="F10576" t="s">
        <v>7</v>
      </c>
      <c r="G10576" s="18">
        <v>34453</v>
      </c>
      <c r="H10576" t="s">
        <v>16</v>
      </c>
      <c r="I10576" t="s">
        <v>24</v>
      </c>
    </row>
    <row r="10577" spans="1:9" x14ac:dyDescent="0.25">
      <c r="A10577">
        <v>1828</v>
      </c>
      <c r="B10577">
        <f>A10577+1</f>
        <v>1829</v>
      </c>
      <c r="C10577" t="s">
        <v>534</v>
      </c>
      <c r="D10577" t="s">
        <v>26</v>
      </c>
      <c r="E10577" s="208" t="s">
        <v>567</v>
      </c>
      <c r="F10577" t="s">
        <v>10</v>
      </c>
      <c r="G10577" s="18">
        <v>4884</v>
      </c>
      <c r="H10577" t="s">
        <v>16</v>
      </c>
      <c r="I10577" t="s">
        <v>24</v>
      </c>
    </row>
    <row r="10578" spans="1:9" x14ac:dyDescent="0.25">
      <c r="A10578">
        <v>1828</v>
      </c>
      <c r="B10578">
        <f>A10578+1</f>
        <v>1829</v>
      </c>
      <c r="C10578" t="s">
        <v>534</v>
      </c>
      <c r="D10578" t="s">
        <v>26</v>
      </c>
      <c r="E10578" s="208" t="s">
        <v>567</v>
      </c>
      <c r="F10578" t="s">
        <v>164</v>
      </c>
      <c r="G10578" s="18">
        <v>33804</v>
      </c>
      <c r="H10578" t="s">
        <v>16</v>
      </c>
      <c r="I10578" t="s">
        <v>24</v>
      </c>
    </row>
    <row r="10579" spans="1:9" x14ac:dyDescent="0.25">
      <c r="A10579">
        <v>1828</v>
      </c>
      <c r="B10579">
        <f>A10579+1</f>
        <v>1829</v>
      </c>
      <c r="C10579" t="s">
        <v>534</v>
      </c>
      <c r="D10579" t="s">
        <v>26</v>
      </c>
      <c r="E10579" s="208" t="s">
        <v>567</v>
      </c>
      <c r="F10579" t="s">
        <v>14</v>
      </c>
      <c r="G10579" s="18">
        <v>38688</v>
      </c>
      <c r="H10579" t="s">
        <v>16</v>
      </c>
      <c r="I10579" t="s">
        <v>24</v>
      </c>
    </row>
    <row r="10580" spans="1:9" x14ac:dyDescent="0.25">
      <c r="A10580">
        <v>1828</v>
      </c>
      <c r="B10580">
        <f>A10580+1</f>
        <v>1829</v>
      </c>
      <c r="C10580" t="s">
        <v>534</v>
      </c>
      <c r="D10580" t="s">
        <v>26</v>
      </c>
      <c r="E10580" s="208" t="s">
        <v>567</v>
      </c>
      <c r="F10580" t="s">
        <v>15</v>
      </c>
      <c r="G10580" s="18">
        <v>73141</v>
      </c>
      <c r="H10580" t="s">
        <v>16</v>
      </c>
      <c r="I10580" t="s">
        <v>24</v>
      </c>
    </row>
    <row r="10581" spans="1:9" x14ac:dyDescent="0.25">
      <c r="A10581">
        <v>1828</v>
      </c>
      <c r="B10581">
        <f>A10581+1</f>
        <v>1829</v>
      </c>
      <c r="C10581" t="s">
        <v>534</v>
      </c>
      <c r="D10581" t="s">
        <v>26</v>
      </c>
      <c r="E10581" s="208" t="s">
        <v>568</v>
      </c>
      <c r="F10581" t="s">
        <v>3</v>
      </c>
      <c r="G10581" s="18">
        <v>1731</v>
      </c>
      <c r="H10581" t="s">
        <v>16</v>
      </c>
      <c r="I10581" t="s">
        <v>24</v>
      </c>
    </row>
    <row r="10582" spans="1:9" x14ac:dyDescent="0.25">
      <c r="A10582">
        <v>1828</v>
      </c>
      <c r="B10582">
        <f>A10582+1</f>
        <v>1829</v>
      </c>
      <c r="C10582" t="s">
        <v>534</v>
      </c>
      <c r="D10582" t="s">
        <v>26</v>
      </c>
      <c r="E10582" s="208" t="s">
        <v>568</v>
      </c>
      <c r="F10582" t="s">
        <v>7</v>
      </c>
      <c r="G10582" s="18">
        <v>1731</v>
      </c>
      <c r="H10582" t="s">
        <v>16</v>
      </c>
      <c r="I10582" t="s">
        <v>24</v>
      </c>
    </row>
    <row r="10583" spans="1:9" x14ac:dyDescent="0.25">
      <c r="A10583">
        <v>1828</v>
      </c>
      <c r="B10583">
        <f>A10583+1</f>
        <v>1829</v>
      </c>
      <c r="C10583" t="s">
        <v>534</v>
      </c>
      <c r="D10583" t="s">
        <v>26</v>
      </c>
      <c r="E10583" s="208" t="s">
        <v>568</v>
      </c>
      <c r="F10583" t="s">
        <v>10</v>
      </c>
      <c r="G10583" s="18">
        <v>841</v>
      </c>
      <c r="H10583" t="s">
        <v>16</v>
      </c>
      <c r="I10583" t="s">
        <v>24</v>
      </c>
    </row>
    <row r="10584" spans="1:9" x14ac:dyDescent="0.25">
      <c r="A10584">
        <v>1828</v>
      </c>
      <c r="B10584">
        <f>A10584+1</f>
        <v>1829</v>
      </c>
      <c r="C10584" t="s">
        <v>534</v>
      </c>
      <c r="D10584" t="s">
        <v>26</v>
      </c>
      <c r="E10584" s="208" t="s">
        <v>568</v>
      </c>
      <c r="F10584" t="s">
        <v>14</v>
      </c>
      <c r="G10584" s="18">
        <v>841</v>
      </c>
      <c r="H10584" t="s">
        <v>16</v>
      </c>
      <c r="I10584" t="s">
        <v>24</v>
      </c>
    </row>
    <row r="10585" spans="1:9" x14ac:dyDescent="0.25">
      <c r="A10585">
        <v>1828</v>
      </c>
      <c r="B10585">
        <f>A10585+1</f>
        <v>1829</v>
      </c>
      <c r="C10585" t="s">
        <v>534</v>
      </c>
      <c r="D10585" t="s">
        <v>26</v>
      </c>
      <c r="E10585" s="208" t="s">
        <v>568</v>
      </c>
      <c r="F10585" t="s">
        <v>15</v>
      </c>
      <c r="G10585" s="18">
        <v>2572</v>
      </c>
      <c r="H10585" t="s">
        <v>16</v>
      </c>
      <c r="I10585" t="s">
        <v>24</v>
      </c>
    </row>
    <row r="10586" spans="1:9" x14ac:dyDescent="0.25">
      <c r="A10586">
        <v>1828</v>
      </c>
      <c r="B10586">
        <f>A10586+1</f>
        <v>1829</v>
      </c>
      <c r="C10586" t="s">
        <v>534</v>
      </c>
      <c r="D10586" t="s">
        <v>27</v>
      </c>
      <c r="E10586" s="208" t="s">
        <v>155</v>
      </c>
      <c r="F10586" t="s">
        <v>3</v>
      </c>
      <c r="G10586" s="18">
        <v>287</v>
      </c>
      <c r="H10586" t="s">
        <v>16</v>
      </c>
      <c r="I10586" t="s">
        <v>24</v>
      </c>
    </row>
    <row r="10587" spans="1:9" x14ac:dyDescent="0.25">
      <c r="A10587">
        <v>1828</v>
      </c>
      <c r="B10587">
        <f>A10587+1</f>
        <v>1829</v>
      </c>
      <c r="C10587" t="s">
        <v>534</v>
      </c>
      <c r="D10587" t="s">
        <v>27</v>
      </c>
      <c r="E10587" s="208" t="s">
        <v>156</v>
      </c>
      <c r="F10587" t="s">
        <v>3</v>
      </c>
      <c r="G10587" s="18">
        <v>136</v>
      </c>
      <c r="H10587" t="s">
        <v>16</v>
      </c>
      <c r="I10587" t="s">
        <v>24</v>
      </c>
    </row>
    <row r="10588" spans="1:9" x14ac:dyDescent="0.25">
      <c r="A10588">
        <v>1828</v>
      </c>
      <c r="B10588">
        <f>A10588+1</f>
        <v>1829</v>
      </c>
      <c r="C10588" t="s">
        <v>534</v>
      </c>
      <c r="D10588" t="s">
        <v>27</v>
      </c>
      <c r="E10588" s="208" t="s">
        <v>154</v>
      </c>
      <c r="F10588" t="s">
        <v>3</v>
      </c>
      <c r="G10588" s="18">
        <v>677.5</v>
      </c>
      <c r="H10588" t="s">
        <v>16</v>
      </c>
      <c r="I10588" t="s">
        <v>24</v>
      </c>
    </row>
    <row r="10589" spans="1:9" x14ac:dyDescent="0.25">
      <c r="A10589">
        <v>1828</v>
      </c>
      <c r="B10589">
        <f>A10589+1</f>
        <v>1829</v>
      </c>
      <c r="C10589" t="s">
        <v>534</v>
      </c>
      <c r="D10589" t="s">
        <v>27</v>
      </c>
      <c r="E10589" s="208" t="s">
        <v>150</v>
      </c>
      <c r="F10589" t="s">
        <v>3</v>
      </c>
      <c r="G10589" s="18">
        <v>1263</v>
      </c>
      <c r="H10589" t="s">
        <v>16</v>
      </c>
      <c r="I10589" t="s">
        <v>24</v>
      </c>
    </row>
    <row r="10590" spans="1:9" x14ac:dyDescent="0.25">
      <c r="A10590">
        <v>1828</v>
      </c>
      <c r="B10590">
        <f>A10590+1</f>
        <v>1829</v>
      </c>
      <c r="C10590" t="s">
        <v>534</v>
      </c>
      <c r="D10590" t="s">
        <v>27</v>
      </c>
      <c r="E10590" s="208" t="s">
        <v>148</v>
      </c>
      <c r="F10590" t="s">
        <v>3</v>
      </c>
      <c r="G10590" s="18">
        <v>56</v>
      </c>
      <c r="H10590" t="s">
        <v>16</v>
      </c>
      <c r="I10590" t="s">
        <v>24</v>
      </c>
    </row>
    <row r="10591" spans="1:9" x14ac:dyDescent="0.25">
      <c r="A10591">
        <v>1828</v>
      </c>
      <c r="B10591">
        <f>A10591+1</f>
        <v>1829</v>
      </c>
      <c r="C10591" t="s">
        <v>534</v>
      </c>
      <c r="D10591" t="s">
        <v>27</v>
      </c>
      <c r="E10591" s="208" t="s">
        <v>147</v>
      </c>
      <c r="F10591" t="s">
        <v>3</v>
      </c>
      <c r="G10591" s="18">
        <v>206</v>
      </c>
      <c r="H10591" t="s">
        <v>16</v>
      </c>
      <c r="I10591" t="s">
        <v>24</v>
      </c>
    </row>
    <row r="10592" spans="1:9" x14ac:dyDescent="0.25">
      <c r="A10592">
        <v>1828</v>
      </c>
      <c r="B10592">
        <f>A10592+1</f>
        <v>1829</v>
      </c>
      <c r="C10592" t="s">
        <v>534</v>
      </c>
      <c r="D10592" t="s">
        <v>27</v>
      </c>
      <c r="E10592" s="208" t="s">
        <v>139</v>
      </c>
      <c r="F10592" t="s">
        <v>3</v>
      </c>
      <c r="G10592" s="18">
        <v>6</v>
      </c>
      <c r="H10592" s="151" t="s">
        <v>16</v>
      </c>
      <c r="I10592" s="151" t="s">
        <v>24</v>
      </c>
    </row>
    <row r="10593" spans="1:9" x14ac:dyDescent="0.25">
      <c r="A10593">
        <v>1828</v>
      </c>
      <c r="B10593">
        <f>A10593+1</f>
        <v>1829</v>
      </c>
      <c r="C10593" t="s">
        <v>534</v>
      </c>
      <c r="D10593" t="s">
        <v>27</v>
      </c>
      <c r="E10593" s="208" t="s">
        <v>131</v>
      </c>
      <c r="F10593" t="s">
        <v>3</v>
      </c>
      <c r="G10593" s="18">
        <v>17</v>
      </c>
      <c r="H10593" s="151" t="s">
        <v>16</v>
      </c>
      <c r="I10593" s="151" t="s">
        <v>24</v>
      </c>
    </row>
    <row r="10594" spans="1:9" x14ac:dyDescent="0.25">
      <c r="A10594">
        <v>1828</v>
      </c>
      <c r="B10594">
        <f>A10594+1</f>
        <v>1829</v>
      </c>
      <c r="C10594" t="s">
        <v>534</v>
      </c>
      <c r="D10594" t="s">
        <v>27</v>
      </c>
      <c r="E10594" s="208" t="s">
        <v>130</v>
      </c>
      <c r="F10594" t="s">
        <v>3</v>
      </c>
      <c r="G10594" s="18">
        <v>1</v>
      </c>
      <c r="H10594" t="s">
        <v>24</v>
      </c>
      <c r="I10594" t="s">
        <v>16</v>
      </c>
    </row>
    <row r="10595" spans="1:9" x14ac:dyDescent="0.25">
      <c r="A10595">
        <v>1828</v>
      </c>
      <c r="B10595">
        <f>A10595+1</f>
        <v>1829</v>
      </c>
      <c r="C10595" t="s">
        <v>534</v>
      </c>
      <c r="D10595" t="s">
        <v>27</v>
      </c>
      <c r="E10595" s="208" t="s">
        <v>124</v>
      </c>
      <c r="F10595" t="s">
        <v>3</v>
      </c>
      <c r="G10595" s="18">
        <v>109849</v>
      </c>
      <c r="H10595" t="s">
        <v>24</v>
      </c>
      <c r="I10595" t="s">
        <v>16</v>
      </c>
    </row>
    <row r="10596" spans="1:9" x14ac:dyDescent="0.25">
      <c r="A10596">
        <v>1828</v>
      </c>
      <c r="B10596">
        <f>A10596+1</f>
        <v>1829</v>
      </c>
      <c r="C10596" t="s">
        <v>534</v>
      </c>
      <c r="D10596" t="s">
        <v>27</v>
      </c>
      <c r="E10596" s="208" t="s">
        <v>145</v>
      </c>
      <c r="F10596" t="s">
        <v>3</v>
      </c>
      <c r="G10596" s="18">
        <v>13159</v>
      </c>
      <c r="H10596" t="s">
        <v>24</v>
      </c>
      <c r="I10596" t="s">
        <v>16</v>
      </c>
    </row>
    <row r="10597" spans="1:9" x14ac:dyDescent="0.25">
      <c r="A10597">
        <v>1828</v>
      </c>
      <c r="B10597">
        <f>A10597+1</f>
        <v>1829</v>
      </c>
      <c r="C10597" t="s">
        <v>534</v>
      </c>
      <c r="D10597" t="s">
        <v>27</v>
      </c>
      <c r="E10597" s="208" t="s">
        <v>114</v>
      </c>
      <c r="F10597" t="s">
        <v>3</v>
      </c>
      <c r="G10597" s="18">
        <v>0</v>
      </c>
      <c r="H10597" t="s">
        <v>24</v>
      </c>
      <c r="I10597" t="s">
        <v>16</v>
      </c>
    </row>
    <row r="10598" spans="1:9" x14ac:dyDescent="0.25">
      <c r="A10598">
        <v>1828</v>
      </c>
      <c r="B10598">
        <f>A10598+1</f>
        <v>1829</v>
      </c>
      <c r="C10598" t="s">
        <v>534</v>
      </c>
      <c r="D10598" t="s">
        <v>27</v>
      </c>
      <c r="E10598" s="208" t="s">
        <v>116</v>
      </c>
      <c r="F10598" t="s">
        <v>3</v>
      </c>
      <c r="G10598" s="18">
        <v>5</v>
      </c>
      <c r="H10598" t="s">
        <v>24</v>
      </c>
      <c r="I10598" t="s">
        <v>16</v>
      </c>
    </row>
    <row r="10599" spans="1:9" x14ac:dyDescent="0.25">
      <c r="A10599">
        <v>1828</v>
      </c>
      <c r="B10599">
        <f>A10599+1</f>
        <v>1829</v>
      </c>
      <c r="C10599" t="s">
        <v>534</v>
      </c>
      <c r="D10599" t="s">
        <v>27</v>
      </c>
      <c r="E10599" s="208" t="s">
        <v>137</v>
      </c>
      <c r="F10599" t="s">
        <v>3</v>
      </c>
      <c r="G10599" s="18">
        <v>17</v>
      </c>
      <c r="H10599" t="s">
        <v>24</v>
      </c>
      <c r="I10599" t="s">
        <v>16</v>
      </c>
    </row>
    <row r="10600" spans="1:9" x14ac:dyDescent="0.25">
      <c r="A10600">
        <v>1828</v>
      </c>
      <c r="B10600">
        <f>A10600+1</f>
        <v>1829</v>
      </c>
      <c r="C10600" t="s">
        <v>534</v>
      </c>
      <c r="D10600" t="s">
        <v>27</v>
      </c>
      <c r="E10600" s="208" t="s">
        <v>157</v>
      </c>
      <c r="F10600" t="s">
        <v>3</v>
      </c>
      <c r="G10600" s="18">
        <v>16</v>
      </c>
      <c r="H10600" t="s">
        <v>24</v>
      </c>
      <c r="I10600" t="s">
        <v>16</v>
      </c>
    </row>
    <row r="10601" spans="1:9" x14ac:dyDescent="0.25">
      <c r="A10601">
        <v>1828</v>
      </c>
      <c r="B10601">
        <f>A10601+1</f>
        <v>1829</v>
      </c>
      <c r="C10601" t="s">
        <v>534</v>
      </c>
      <c r="D10601" t="s">
        <v>27</v>
      </c>
      <c r="E10601" s="208" t="s">
        <v>127</v>
      </c>
      <c r="F10601" t="s">
        <v>3</v>
      </c>
      <c r="G10601" s="18">
        <v>14</v>
      </c>
      <c r="H10601" t="s">
        <v>24</v>
      </c>
      <c r="I10601" t="s">
        <v>16</v>
      </c>
    </row>
    <row r="10602" spans="1:9" x14ac:dyDescent="0.25">
      <c r="A10602">
        <v>1828</v>
      </c>
      <c r="B10602">
        <f>A10602+1</f>
        <v>1829</v>
      </c>
      <c r="C10602" t="s">
        <v>534</v>
      </c>
      <c r="D10602" t="s">
        <v>27</v>
      </c>
      <c r="E10602" s="208" t="s">
        <v>133</v>
      </c>
      <c r="F10602" t="s">
        <v>3</v>
      </c>
      <c r="G10602" s="18">
        <v>100</v>
      </c>
      <c r="H10602" t="s">
        <v>24</v>
      </c>
      <c r="I10602" t="s">
        <v>16</v>
      </c>
    </row>
    <row r="10603" spans="1:9" x14ac:dyDescent="0.25">
      <c r="A10603">
        <v>1828</v>
      </c>
      <c r="B10603">
        <f>A10603+1</f>
        <v>1829</v>
      </c>
      <c r="C10603" t="s">
        <v>534</v>
      </c>
      <c r="D10603" t="s">
        <v>27</v>
      </c>
      <c r="E10603" s="208" t="s">
        <v>74</v>
      </c>
      <c r="F10603" t="s">
        <v>3</v>
      </c>
      <c r="G10603" s="18">
        <v>0.5</v>
      </c>
      <c r="H10603" t="s">
        <v>24</v>
      </c>
      <c r="I10603" t="s">
        <v>16</v>
      </c>
    </row>
    <row r="10604" spans="1:9" x14ac:dyDescent="0.25">
      <c r="A10604">
        <v>1828</v>
      </c>
      <c r="B10604">
        <f>A10604+1</f>
        <v>1829</v>
      </c>
      <c r="C10604" t="s">
        <v>534</v>
      </c>
      <c r="D10604" t="s">
        <v>27</v>
      </c>
      <c r="E10604" s="208" t="s">
        <v>129</v>
      </c>
      <c r="F10604" t="s">
        <v>3</v>
      </c>
      <c r="G10604" s="18">
        <v>1</v>
      </c>
      <c r="H10604" t="s">
        <v>16</v>
      </c>
      <c r="I10604" t="s">
        <v>22</v>
      </c>
    </row>
    <row r="10605" spans="1:9" x14ac:dyDescent="0.25">
      <c r="A10605">
        <v>1828</v>
      </c>
      <c r="B10605">
        <f>A10605+1</f>
        <v>1829</v>
      </c>
      <c r="C10605" t="s">
        <v>534</v>
      </c>
      <c r="D10605" t="s">
        <v>27</v>
      </c>
      <c r="E10605" s="208" t="s">
        <v>141</v>
      </c>
      <c r="F10605" t="s">
        <v>3</v>
      </c>
      <c r="G10605" s="18">
        <v>0</v>
      </c>
      <c r="H10605" t="s">
        <v>16</v>
      </c>
      <c r="I10605" t="s">
        <v>22</v>
      </c>
    </row>
    <row r="10606" spans="1:9" x14ac:dyDescent="0.25">
      <c r="A10606">
        <v>1828</v>
      </c>
      <c r="B10606">
        <f>A10606+1</f>
        <v>1829</v>
      </c>
      <c r="C10606" t="s">
        <v>534</v>
      </c>
      <c r="D10606" t="s">
        <v>27</v>
      </c>
      <c r="E10606" s="208" t="s">
        <v>135</v>
      </c>
      <c r="F10606" t="s">
        <v>3</v>
      </c>
      <c r="G10606" s="18">
        <v>0</v>
      </c>
      <c r="H10606" t="s">
        <v>16</v>
      </c>
      <c r="I10606" t="s">
        <v>22</v>
      </c>
    </row>
    <row r="10607" spans="1:9" x14ac:dyDescent="0.25">
      <c r="A10607">
        <v>1828</v>
      </c>
      <c r="B10607">
        <f>A10607+1</f>
        <v>1829</v>
      </c>
      <c r="C10607" t="s">
        <v>534</v>
      </c>
      <c r="D10607" t="s">
        <v>27</v>
      </c>
      <c r="E10607" s="208" t="s">
        <v>128</v>
      </c>
      <c r="F10607" t="s">
        <v>3</v>
      </c>
      <c r="G10607" s="18">
        <v>0</v>
      </c>
      <c r="H10607" t="s">
        <v>16</v>
      </c>
      <c r="I10607" t="s">
        <v>22</v>
      </c>
    </row>
    <row r="10608" spans="1:9" x14ac:dyDescent="0.25">
      <c r="A10608">
        <v>1828</v>
      </c>
      <c r="B10608">
        <f>A10608+1</f>
        <v>1829</v>
      </c>
      <c r="C10608" t="s">
        <v>534</v>
      </c>
      <c r="D10608" t="s">
        <v>27</v>
      </c>
      <c r="E10608" s="208" t="s">
        <v>138</v>
      </c>
      <c r="F10608" t="s">
        <v>3</v>
      </c>
      <c r="G10608" s="18">
        <v>101</v>
      </c>
      <c r="H10608" t="s">
        <v>16</v>
      </c>
      <c r="I10608" t="s">
        <v>22</v>
      </c>
    </row>
    <row r="10609" spans="1:9" x14ac:dyDescent="0.25">
      <c r="A10609" s="151">
        <v>1828</v>
      </c>
      <c r="B10609" s="151">
        <f>A10609+1</f>
        <v>1829</v>
      </c>
      <c r="C10609" s="151" t="s">
        <v>534</v>
      </c>
      <c r="D10609" s="151" t="s">
        <v>27</v>
      </c>
      <c r="E10609" s="208" t="s">
        <v>118</v>
      </c>
      <c r="F10609" s="151" t="s">
        <v>3</v>
      </c>
      <c r="G10609" s="152">
        <v>0</v>
      </c>
      <c r="H10609" t="s">
        <v>16</v>
      </c>
      <c r="I10609" t="s">
        <v>22</v>
      </c>
    </row>
    <row r="10610" spans="1:9" x14ac:dyDescent="0.25">
      <c r="A10610" s="151">
        <v>1828</v>
      </c>
      <c r="B10610" s="151">
        <f>A10610+1</f>
        <v>1829</v>
      </c>
      <c r="C10610" s="151" t="s">
        <v>534</v>
      </c>
      <c r="D10610" s="151" t="s">
        <v>27</v>
      </c>
      <c r="E10610" s="208" t="s">
        <v>134</v>
      </c>
      <c r="F10610" s="151" t="s">
        <v>3</v>
      </c>
      <c r="G10610" s="152">
        <v>0</v>
      </c>
      <c r="H10610" t="s">
        <v>16</v>
      </c>
      <c r="I10610" t="s">
        <v>22</v>
      </c>
    </row>
    <row r="10611" spans="1:9" x14ac:dyDescent="0.25">
      <c r="A10611">
        <v>1828</v>
      </c>
      <c r="B10611">
        <f>A10611+1</f>
        <v>1829</v>
      </c>
      <c r="C10611" t="s">
        <v>534</v>
      </c>
      <c r="D10611" t="s">
        <v>26</v>
      </c>
      <c r="E10611" s="208" t="s">
        <v>62</v>
      </c>
      <c r="F10611" t="s">
        <v>3</v>
      </c>
      <c r="G10611" s="18">
        <v>4447</v>
      </c>
      <c r="H10611" t="s">
        <v>16</v>
      </c>
      <c r="I10611" t="s">
        <v>22</v>
      </c>
    </row>
    <row r="10612" spans="1:9" x14ac:dyDescent="0.25">
      <c r="A10612">
        <v>1828</v>
      </c>
      <c r="B10612">
        <f>A10612+1</f>
        <v>1829</v>
      </c>
      <c r="C10612" t="s">
        <v>534</v>
      </c>
      <c r="D10612" t="s">
        <v>26</v>
      </c>
      <c r="E10612" s="208" t="s">
        <v>55</v>
      </c>
      <c r="F10612" t="s">
        <v>3</v>
      </c>
      <c r="G10612" s="18">
        <v>2701</v>
      </c>
      <c r="H10612" t="s">
        <v>16</v>
      </c>
      <c r="I10612" t="s">
        <v>22</v>
      </c>
    </row>
    <row r="10613" spans="1:9" x14ac:dyDescent="0.25">
      <c r="A10613">
        <v>1828</v>
      </c>
      <c r="B10613">
        <f>A10613+1</f>
        <v>1829</v>
      </c>
      <c r="C10613" t="s">
        <v>534</v>
      </c>
      <c r="D10613" t="s">
        <v>26</v>
      </c>
      <c r="E10613" s="208" t="s">
        <v>40</v>
      </c>
      <c r="F10613" t="s">
        <v>3</v>
      </c>
      <c r="G10613" s="18">
        <v>23695</v>
      </c>
      <c r="H10613" t="s">
        <v>16</v>
      </c>
      <c r="I10613" t="s">
        <v>22</v>
      </c>
    </row>
    <row r="10614" spans="1:9" x14ac:dyDescent="0.25">
      <c r="A10614">
        <v>1828</v>
      </c>
      <c r="B10614">
        <f>A10614+1</f>
        <v>1829</v>
      </c>
      <c r="C10614" t="s">
        <v>534</v>
      </c>
      <c r="D10614" t="s">
        <v>26</v>
      </c>
      <c r="E10614" s="208" t="s">
        <v>98</v>
      </c>
      <c r="F10614" t="s">
        <v>3</v>
      </c>
      <c r="G10614" s="18">
        <v>33367</v>
      </c>
      <c r="H10614" t="s">
        <v>16</v>
      </c>
      <c r="I10614" t="s">
        <v>22</v>
      </c>
    </row>
    <row r="10615" spans="1:9" x14ac:dyDescent="0.25">
      <c r="A10615">
        <v>1828</v>
      </c>
      <c r="B10615">
        <f>A10615+1</f>
        <v>1829</v>
      </c>
      <c r="C10615" t="s">
        <v>534</v>
      </c>
      <c r="D10615" t="s">
        <v>26</v>
      </c>
      <c r="E10615" s="208" t="s">
        <v>435</v>
      </c>
      <c r="F10615" t="s">
        <v>3</v>
      </c>
      <c r="G10615" s="18">
        <v>732</v>
      </c>
      <c r="H10615" t="s">
        <v>16</v>
      </c>
      <c r="I10615" t="s">
        <v>22</v>
      </c>
    </row>
    <row r="10616" spans="1:9" x14ac:dyDescent="0.25">
      <c r="A10616">
        <v>1828</v>
      </c>
      <c r="B10616">
        <f>A10616+1</f>
        <v>1829</v>
      </c>
      <c r="C10616" t="s">
        <v>534</v>
      </c>
      <c r="D10616" t="s">
        <v>26</v>
      </c>
      <c r="E10616" s="208" t="s">
        <v>107</v>
      </c>
      <c r="F10616" t="s">
        <v>3</v>
      </c>
      <c r="G10616" s="18">
        <v>1260868</v>
      </c>
      <c r="H10616" t="s">
        <v>16</v>
      </c>
      <c r="I10616" t="s">
        <v>22</v>
      </c>
    </row>
    <row r="10617" spans="1:9" x14ac:dyDescent="0.25">
      <c r="A10617">
        <v>1828</v>
      </c>
      <c r="B10617">
        <f>A10617+1</f>
        <v>1829</v>
      </c>
      <c r="C10617" t="s">
        <v>534</v>
      </c>
      <c r="D10617" t="s">
        <v>26</v>
      </c>
      <c r="E10617" s="208" t="s">
        <v>101</v>
      </c>
      <c r="F10617" t="s">
        <v>3</v>
      </c>
      <c r="G10617" s="18">
        <v>2088435</v>
      </c>
      <c r="H10617" t="s">
        <v>16</v>
      </c>
      <c r="I10617" t="s">
        <v>22</v>
      </c>
    </row>
    <row r="10618" spans="1:9" x14ac:dyDescent="0.25">
      <c r="A10618">
        <v>1828</v>
      </c>
      <c r="B10618">
        <f>A10618+1</f>
        <v>1829</v>
      </c>
      <c r="C10618" t="s">
        <v>534</v>
      </c>
      <c r="D10618" t="s">
        <v>26</v>
      </c>
      <c r="E10618" s="208" t="s">
        <v>75</v>
      </c>
      <c r="F10618" t="s">
        <v>3</v>
      </c>
      <c r="G10618" s="18">
        <v>1977468</v>
      </c>
      <c r="H10618" t="s">
        <v>16</v>
      </c>
      <c r="I10618" t="s">
        <v>22</v>
      </c>
    </row>
    <row r="10619" spans="1:9" x14ac:dyDescent="0.25">
      <c r="A10619">
        <v>1828</v>
      </c>
      <c r="B10619">
        <f>A10619+1</f>
        <v>1829</v>
      </c>
      <c r="C10619" t="s">
        <v>534</v>
      </c>
      <c r="D10619" t="s">
        <v>26</v>
      </c>
      <c r="E10619" s="208" t="s">
        <v>66</v>
      </c>
      <c r="F10619" t="s">
        <v>3</v>
      </c>
      <c r="G10619" s="18">
        <v>92000</v>
      </c>
      <c r="H10619" t="s">
        <v>16</v>
      </c>
      <c r="I10619" t="s">
        <v>22</v>
      </c>
    </row>
    <row r="10620" spans="1:9" x14ac:dyDescent="0.25">
      <c r="A10620">
        <v>1828</v>
      </c>
      <c r="B10620">
        <f>A10620+1</f>
        <v>1829</v>
      </c>
      <c r="C10620" t="s">
        <v>534</v>
      </c>
      <c r="D10620" t="s">
        <v>26</v>
      </c>
      <c r="E10620" s="208" t="s">
        <v>330</v>
      </c>
      <c r="F10620" t="s">
        <v>3</v>
      </c>
      <c r="G10620" s="18">
        <v>47</v>
      </c>
      <c r="H10620" t="s">
        <v>16</v>
      </c>
      <c r="I10620" t="s">
        <v>22</v>
      </c>
    </row>
    <row r="10621" spans="1:9" x14ac:dyDescent="0.25">
      <c r="A10621">
        <v>1828</v>
      </c>
      <c r="B10621">
        <f>A10621+1</f>
        <v>1829</v>
      </c>
      <c r="C10621" t="s">
        <v>534</v>
      </c>
      <c r="D10621" t="s">
        <v>27</v>
      </c>
      <c r="E10621" s="208" t="s">
        <v>155</v>
      </c>
      <c r="F10621" t="s">
        <v>2</v>
      </c>
      <c r="G10621" s="18">
        <v>0</v>
      </c>
      <c r="H10621" t="s">
        <v>16</v>
      </c>
      <c r="I10621" t="s">
        <v>22</v>
      </c>
    </row>
    <row r="10622" spans="1:9" x14ac:dyDescent="0.25">
      <c r="A10622">
        <v>1828</v>
      </c>
      <c r="B10622">
        <f>A10622+1</f>
        <v>1829</v>
      </c>
      <c r="C10622" t="s">
        <v>534</v>
      </c>
      <c r="D10622" t="s">
        <v>27</v>
      </c>
      <c r="E10622" s="208" t="s">
        <v>156</v>
      </c>
      <c r="F10622" t="s">
        <v>2</v>
      </c>
      <c r="G10622" s="18">
        <v>0</v>
      </c>
      <c r="H10622" t="s">
        <v>16</v>
      </c>
      <c r="I10622" t="s">
        <v>22</v>
      </c>
    </row>
    <row r="10623" spans="1:9" x14ac:dyDescent="0.25">
      <c r="A10623">
        <v>1828</v>
      </c>
      <c r="B10623">
        <f>A10623+1</f>
        <v>1829</v>
      </c>
      <c r="C10623" t="s">
        <v>534</v>
      </c>
      <c r="D10623" t="s">
        <v>27</v>
      </c>
      <c r="E10623" s="208" t="s">
        <v>154</v>
      </c>
      <c r="F10623" t="s">
        <v>2</v>
      </c>
      <c r="G10623" s="18">
        <v>0</v>
      </c>
      <c r="H10623" t="s">
        <v>16</v>
      </c>
      <c r="I10623" t="s">
        <v>22</v>
      </c>
    </row>
    <row r="10624" spans="1:9" x14ac:dyDescent="0.25">
      <c r="A10624">
        <v>1828</v>
      </c>
      <c r="B10624">
        <f>A10624+1</f>
        <v>1829</v>
      </c>
      <c r="C10624" t="s">
        <v>534</v>
      </c>
      <c r="D10624" t="s">
        <v>27</v>
      </c>
      <c r="E10624" s="208" t="s">
        <v>150</v>
      </c>
      <c r="F10624" t="s">
        <v>2</v>
      </c>
      <c r="G10624" s="18">
        <v>554</v>
      </c>
      <c r="H10624" t="s">
        <v>16</v>
      </c>
      <c r="I10624" t="s">
        <v>22</v>
      </c>
    </row>
    <row r="10625" spans="1:9" x14ac:dyDescent="0.25">
      <c r="A10625">
        <v>1828</v>
      </c>
      <c r="B10625">
        <f>A10625+1</f>
        <v>1829</v>
      </c>
      <c r="C10625" t="s">
        <v>534</v>
      </c>
      <c r="D10625" t="s">
        <v>27</v>
      </c>
      <c r="E10625" s="208" t="s">
        <v>148</v>
      </c>
      <c r="F10625" t="s">
        <v>2</v>
      </c>
      <c r="G10625" s="18">
        <v>11</v>
      </c>
      <c r="H10625" t="s">
        <v>16</v>
      </c>
      <c r="I10625" t="s">
        <v>22</v>
      </c>
    </row>
    <row r="10626" spans="1:9" x14ac:dyDescent="0.25">
      <c r="A10626">
        <v>1828</v>
      </c>
      <c r="B10626">
        <f>A10626+1</f>
        <v>1829</v>
      </c>
      <c r="C10626" t="s">
        <v>534</v>
      </c>
      <c r="D10626" t="s">
        <v>27</v>
      </c>
      <c r="E10626" s="208" t="s">
        <v>147</v>
      </c>
      <c r="F10626" t="s">
        <v>2</v>
      </c>
      <c r="G10626" s="18">
        <v>0</v>
      </c>
      <c r="H10626" t="s">
        <v>16</v>
      </c>
      <c r="I10626" t="s">
        <v>22</v>
      </c>
    </row>
    <row r="10627" spans="1:9" x14ac:dyDescent="0.25">
      <c r="A10627">
        <v>1828</v>
      </c>
      <c r="B10627">
        <f>A10627+1</f>
        <v>1829</v>
      </c>
      <c r="C10627" t="s">
        <v>534</v>
      </c>
      <c r="D10627" t="s">
        <v>27</v>
      </c>
      <c r="E10627" s="208" t="s">
        <v>139</v>
      </c>
      <c r="F10627" t="s">
        <v>2</v>
      </c>
      <c r="G10627" s="18">
        <v>0</v>
      </c>
      <c r="H10627" s="151" t="s">
        <v>16</v>
      </c>
      <c r="I10627" s="151" t="s">
        <v>22</v>
      </c>
    </row>
    <row r="10628" spans="1:9" x14ac:dyDescent="0.25">
      <c r="A10628">
        <v>1828</v>
      </c>
      <c r="B10628">
        <f>A10628+1</f>
        <v>1829</v>
      </c>
      <c r="C10628" t="s">
        <v>534</v>
      </c>
      <c r="D10628" t="s">
        <v>27</v>
      </c>
      <c r="E10628" s="208" t="s">
        <v>131</v>
      </c>
      <c r="F10628" t="s">
        <v>2</v>
      </c>
      <c r="G10628" s="18">
        <v>0</v>
      </c>
      <c r="H10628" s="151" t="s">
        <v>16</v>
      </c>
      <c r="I10628" s="151" t="s">
        <v>22</v>
      </c>
    </row>
    <row r="10629" spans="1:9" x14ac:dyDescent="0.25">
      <c r="A10629">
        <v>1828</v>
      </c>
      <c r="B10629">
        <f>A10629+1</f>
        <v>1829</v>
      </c>
      <c r="C10629" t="s">
        <v>534</v>
      </c>
      <c r="D10629" t="s">
        <v>27</v>
      </c>
      <c r="E10629" s="208" t="s">
        <v>130</v>
      </c>
      <c r="F10629" t="s">
        <v>2</v>
      </c>
      <c r="G10629" s="18">
        <v>0</v>
      </c>
      <c r="H10629" t="s">
        <v>22</v>
      </c>
      <c r="I10629" t="s">
        <v>16</v>
      </c>
    </row>
    <row r="10630" spans="1:9" x14ac:dyDescent="0.25">
      <c r="A10630">
        <v>1828</v>
      </c>
      <c r="B10630">
        <f>A10630+1</f>
        <v>1829</v>
      </c>
      <c r="C10630" t="s">
        <v>534</v>
      </c>
      <c r="D10630" t="s">
        <v>27</v>
      </c>
      <c r="E10630" s="208" t="s">
        <v>124</v>
      </c>
      <c r="F10630" t="s">
        <v>2</v>
      </c>
      <c r="G10630" s="18">
        <v>0</v>
      </c>
      <c r="H10630" t="s">
        <v>22</v>
      </c>
      <c r="I10630" t="s">
        <v>16</v>
      </c>
    </row>
    <row r="10631" spans="1:9" x14ac:dyDescent="0.25">
      <c r="A10631">
        <v>1828</v>
      </c>
      <c r="B10631">
        <f>A10631+1</f>
        <v>1829</v>
      </c>
      <c r="C10631" t="s">
        <v>534</v>
      </c>
      <c r="D10631" t="s">
        <v>27</v>
      </c>
      <c r="E10631" s="208" t="s">
        <v>145</v>
      </c>
      <c r="F10631" t="s">
        <v>2</v>
      </c>
      <c r="G10631" s="18">
        <v>25363</v>
      </c>
      <c r="H10631" t="s">
        <v>22</v>
      </c>
      <c r="I10631" t="s">
        <v>16</v>
      </c>
    </row>
    <row r="10632" spans="1:9" x14ac:dyDescent="0.25">
      <c r="A10632">
        <v>1828</v>
      </c>
      <c r="B10632">
        <f>A10632+1</f>
        <v>1829</v>
      </c>
      <c r="C10632" t="s">
        <v>534</v>
      </c>
      <c r="D10632" t="s">
        <v>27</v>
      </c>
      <c r="E10632" s="208" t="s">
        <v>114</v>
      </c>
      <c r="F10632" t="s">
        <v>2</v>
      </c>
      <c r="G10632" s="18">
        <v>0</v>
      </c>
      <c r="H10632" t="s">
        <v>22</v>
      </c>
      <c r="I10632" t="s">
        <v>16</v>
      </c>
    </row>
    <row r="10633" spans="1:9" x14ac:dyDescent="0.25">
      <c r="A10633">
        <v>1828</v>
      </c>
      <c r="B10633">
        <f>A10633+1</f>
        <v>1829</v>
      </c>
      <c r="C10633" t="s">
        <v>534</v>
      </c>
      <c r="D10633" t="s">
        <v>27</v>
      </c>
      <c r="E10633" s="208" t="s">
        <v>116</v>
      </c>
      <c r="F10633" t="s">
        <v>2</v>
      </c>
      <c r="G10633" s="18">
        <v>0</v>
      </c>
      <c r="H10633" t="s">
        <v>22</v>
      </c>
      <c r="I10633" t="s">
        <v>16</v>
      </c>
    </row>
    <row r="10634" spans="1:9" x14ac:dyDescent="0.25">
      <c r="A10634">
        <v>1828</v>
      </c>
      <c r="B10634">
        <f>A10634+1</f>
        <v>1829</v>
      </c>
      <c r="C10634" t="s">
        <v>534</v>
      </c>
      <c r="D10634" t="s">
        <v>27</v>
      </c>
      <c r="E10634" s="208" t="s">
        <v>137</v>
      </c>
      <c r="F10634" t="s">
        <v>2</v>
      </c>
      <c r="G10634" s="18">
        <v>0</v>
      </c>
      <c r="H10634" t="s">
        <v>16</v>
      </c>
      <c r="I10634" t="s">
        <v>25</v>
      </c>
    </row>
    <row r="10635" spans="1:9" x14ac:dyDescent="0.25">
      <c r="A10635">
        <v>1828</v>
      </c>
      <c r="B10635">
        <f>A10635+1</f>
        <v>1829</v>
      </c>
      <c r="C10635" t="s">
        <v>534</v>
      </c>
      <c r="D10635" t="s">
        <v>27</v>
      </c>
      <c r="E10635" s="208" t="s">
        <v>157</v>
      </c>
      <c r="F10635" t="s">
        <v>2</v>
      </c>
      <c r="G10635" s="18">
        <v>0</v>
      </c>
      <c r="H10635" t="s">
        <v>16</v>
      </c>
      <c r="I10635" t="s">
        <v>25</v>
      </c>
    </row>
    <row r="10636" spans="1:9" x14ac:dyDescent="0.25">
      <c r="A10636">
        <v>1828</v>
      </c>
      <c r="B10636">
        <f>A10636+1</f>
        <v>1829</v>
      </c>
      <c r="C10636" t="s">
        <v>534</v>
      </c>
      <c r="D10636" t="s">
        <v>27</v>
      </c>
      <c r="E10636" s="208" t="s">
        <v>127</v>
      </c>
      <c r="F10636" t="s">
        <v>2</v>
      </c>
      <c r="G10636" s="18">
        <v>0</v>
      </c>
      <c r="H10636" t="s">
        <v>16</v>
      </c>
      <c r="I10636" t="s">
        <v>25</v>
      </c>
    </row>
    <row r="10637" spans="1:9" x14ac:dyDescent="0.25">
      <c r="A10637">
        <v>1828</v>
      </c>
      <c r="B10637">
        <f>A10637+1</f>
        <v>1829</v>
      </c>
      <c r="C10637" t="s">
        <v>534</v>
      </c>
      <c r="D10637" t="s">
        <v>27</v>
      </c>
      <c r="E10637" s="208" t="s">
        <v>133</v>
      </c>
      <c r="F10637" t="s">
        <v>2</v>
      </c>
      <c r="G10637" s="18">
        <v>0</v>
      </c>
      <c r="H10637" t="s">
        <v>16</v>
      </c>
      <c r="I10637" t="s">
        <v>25</v>
      </c>
    </row>
    <row r="10638" spans="1:9" x14ac:dyDescent="0.25">
      <c r="A10638">
        <v>1828</v>
      </c>
      <c r="B10638">
        <f>A10638+1</f>
        <v>1829</v>
      </c>
      <c r="C10638" t="s">
        <v>534</v>
      </c>
      <c r="D10638" t="s">
        <v>27</v>
      </c>
      <c r="E10638" s="208" t="s">
        <v>74</v>
      </c>
      <c r="F10638" t="s">
        <v>2</v>
      </c>
      <c r="G10638" s="18">
        <v>115</v>
      </c>
      <c r="H10638" t="s">
        <v>16</v>
      </c>
      <c r="I10638" t="s">
        <v>25</v>
      </c>
    </row>
    <row r="10639" spans="1:9" x14ac:dyDescent="0.25">
      <c r="A10639">
        <v>1828</v>
      </c>
      <c r="B10639">
        <f>A10639+1</f>
        <v>1829</v>
      </c>
      <c r="C10639" t="s">
        <v>534</v>
      </c>
      <c r="D10639" t="s">
        <v>27</v>
      </c>
      <c r="E10639" s="208" t="s">
        <v>129</v>
      </c>
      <c r="F10639" t="s">
        <v>2</v>
      </c>
      <c r="G10639" s="18">
        <v>135.5</v>
      </c>
      <c r="H10639" t="s">
        <v>16</v>
      </c>
      <c r="I10639" t="s">
        <v>25</v>
      </c>
    </row>
    <row r="10640" spans="1:9" x14ac:dyDescent="0.25">
      <c r="A10640">
        <v>1828</v>
      </c>
      <c r="B10640">
        <f>A10640+1</f>
        <v>1829</v>
      </c>
      <c r="C10640" t="s">
        <v>534</v>
      </c>
      <c r="D10640" t="s">
        <v>27</v>
      </c>
      <c r="E10640" s="208" t="s">
        <v>141</v>
      </c>
      <c r="F10640" t="s">
        <v>2</v>
      </c>
      <c r="G10640" s="18">
        <v>0</v>
      </c>
      <c r="H10640" t="s">
        <v>16</v>
      </c>
      <c r="I10640" t="s">
        <v>25</v>
      </c>
    </row>
    <row r="10641" spans="1:9" x14ac:dyDescent="0.25">
      <c r="A10641">
        <v>1828</v>
      </c>
      <c r="B10641">
        <f>A10641+1</f>
        <v>1829</v>
      </c>
      <c r="C10641" t="s">
        <v>534</v>
      </c>
      <c r="D10641" t="s">
        <v>27</v>
      </c>
      <c r="E10641" s="208" t="s">
        <v>135</v>
      </c>
      <c r="F10641" t="s">
        <v>2</v>
      </c>
      <c r="G10641" s="18">
        <v>0</v>
      </c>
      <c r="H10641" t="s">
        <v>16</v>
      </c>
      <c r="I10641" t="s">
        <v>25</v>
      </c>
    </row>
    <row r="10642" spans="1:9" x14ac:dyDescent="0.25">
      <c r="A10642">
        <v>1828</v>
      </c>
      <c r="B10642">
        <f>A10642+1</f>
        <v>1829</v>
      </c>
      <c r="C10642" t="s">
        <v>534</v>
      </c>
      <c r="D10642" t="s">
        <v>27</v>
      </c>
      <c r="E10642" s="208" t="s">
        <v>128</v>
      </c>
      <c r="F10642" t="s">
        <v>2</v>
      </c>
      <c r="G10642" s="18">
        <v>0</v>
      </c>
      <c r="H10642" t="s">
        <v>16</v>
      </c>
      <c r="I10642" t="s">
        <v>25</v>
      </c>
    </row>
    <row r="10643" spans="1:9" x14ac:dyDescent="0.25">
      <c r="A10643">
        <v>1828</v>
      </c>
      <c r="B10643">
        <f>A10643+1</f>
        <v>1829</v>
      </c>
      <c r="C10643" t="s">
        <v>534</v>
      </c>
      <c r="D10643" t="s">
        <v>27</v>
      </c>
      <c r="E10643" s="208" t="s">
        <v>138</v>
      </c>
      <c r="F10643" t="s">
        <v>2</v>
      </c>
      <c r="G10643" s="18">
        <v>2</v>
      </c>
      <c r="H10643" t="s">
        <v>16</v>
      </c>
      <c r="I10643" t="s">
        <v>25</v>
      </c>
    </row>
    <row r="10644" spans="1:9" x14ac:dyDescent="0.25">
      <c r="A10644" s="151">
        <v>1828</v>
      </c>
      <c r="B10644" s="151">
        <f>A10644+1</f>
        <v>1829</v>
      </c>
      <c r="C10644" s="151" t="s">
        <v>534</v>
      </c>
      <c r="D10644" s="151" t="s">
        <v>27</v>
      </c>
      <c r="E10644" s="208" t="s">
        <v>118</v>
      </c>
      <c r="F10644" s="151" t="s">
        <v>2</v>
      </c>
      <c r="G10644" s="152">
        <v>0</v>
      </c>
      <c r="H10644" t="s">
        <v>16</v>
      </c>
      <c r="I10644" t="s">
        <v>25</v>
      </c>
    </row>
    <row r="10645" spans="1:9" x14ac:dyDescent="0.25">
      <c r="A10645" s="151">
        <v>1828</v>
      </c>
      <c r="B10645" s="151">
        <f>A10645+1</f>
        <v>1829</v>
      </c>
      <c r="C10645" s="151" t="s">
        <v>534</v>
      </c>
      <c r="D10645" s="151" t="s">
        <v>27</v>
      </c>
      <c r="E10645" s="208" t="s">
        <v>134</v>
      </c>
      <c r="F10645" s="151" t="s">
        <v>2</v>
      </c>
      <c r="G10645" s="152">
        <v>0</v>
      </c>
      <c r="H10645" t="s">
        <v>16</v>
      </c>
      <c r="I10645" t="s">
        <v>25</v>
      </c>
    </row>
    <row r="10646" spans="1:9" x14ac:dyDescent="0.25">
      <c r="A10646">
        <v>1828</v>
      </c>
      <c r="B10646">
        <f>A10646+1</f>
        <v>1829</v>
      </c>
      <c r="C10646" t="s">
        <v>534</v>
      </c>
      <c r="D10646" t="s">
        <v>26</v>
      </c>
      <c r="E10646" s="208" t="s">
        <v>62</v>
      </c>
      <c r="F10646" t="s">
        <v>2</v>
      </c>
      <c r="G10646" s="18">
        <v>1346</v>
      </c>
      <c r="H10646" t="s">
        <v>16</v>
      </c>
      <c r="I10646" t="s">
        <v>25</v>
      </c>
    </row>
    <row r="10647" spans="1:9" x14ac:dyDescent="0.25">
      <c r="A10647">
        <v>1828</v>
      </c>
      <c r="B10647">
        <f>A10647+1</f>
        <v>1829</v>
      </c>
      <c r="C10647" t="s">
        <v>534</v>
      </c>
      <c r="D10647" t="s">
        <v>26</v>
      </c>
      <c r="E10647" s="208" t="s">
        <v>40</v>
      </c>
      <c r="F10647" t="s">
        <v>2</v>
      </c>
      <c r="G10647" s="18">
        <v>0</v>
      </c>
      <c r="H10647" t="s">
        <v>16</v>
      </c>
      <c r="I10647" t="s">
        <v>25</v>
      </c>
    </row>
    <row r="10648" spans="1:9" x14ac:dyDescent="0.25">
      <c r="A10648">
        <v>1828</v>
      </c>
      <c r="B10648">
        <f>A10648+1</f>
        <v>1829</v>
      </c>
      <c r="C10648" t="s">
        <v>534</v>
      </c>
      <c r="D10648" t="s">
        <v>26</v>
      </c>
      <c r="E10648" s="208" t="s">
        <v>435</v>
      </c>
      <c r="F10648" t="s">
        <v>2</v>
      </c>
      <c r="G10648" s="18">
        <v>593</v>
      </c>
      <c r="H10648" t="s">
        <v>16</v>
      </c>
      <c r="I10648" t="s">
        <v>25</v>
      </c>
    </row>
    <row r="10649" spans="1:9" x14ac:dyDescent="0.25">
      <c r="A10649">
        <v>1828</v>
      </c>
      <c r="B10649">
        <f>A10649+1</f>
        <v>1829</v>
      </c>
      <c r="C10649" t="s">
        <v>534</v>
      </c>
      <c r="D10649" t="s">
        <v>26</v>
      </c>
      <c r="E10649" s="208" t="s">
        <v>107</v>
      </c>
      <c r="F10649" t="s">
        <v>2</v>
      </c>
      <c r="G10649" s="18">
        <v>10260</v>
      </c>
      <c r="H10649" t="s">
        <v>16</v>
      </c>
      <c r="I10649" t="s">
        <v>25</v>
      </c>
    </row>
    <row r="10650" spans="1:9" x14ac:dyDescent="0.25">
      <c r="A10650">
        <v>1828</v>
      </c>
      <c r="B10650">
        <f>A10650+1</f>
        <v>1829</v>
      </c>
      <c r="C10650" t="s">
        <v>534</v>
      </c>
      <c r="D10650" t="s">
        <v>26</v>
      </c>
      <c r="E10650" s="208" t="s">
        <v>330</v>
      </c>
      <c r="F10650" t="s">
        <v>2</v>
      </c>
      <c r="G10650" s="18">
        <v>34</v>
      </c>
      <c r="H10650" t="s">
        <v>16</v>
      </c>
      <c r="I10650" t="s">
        <v>25</v>
      </c>
    </row>
    <row r="10651" spans="1:9" x14ac:dyDescent="0.25">
      <c r="A10651">
        <v>1828</v>
      </c>
      <c r="B10651">
        <f>A10651+1</f>
        <v>1829</v>
      </c>
      <c r="C10651" t="s">
        <v>534</v>
      </c>
      <c r="D10651" t="s">
        <v>27</v>
      </c>
      <c r="E10651" s="208" t="s">
        <v>155</v>
      </c>
      <c r="F10651" t="s">
        <v>6</v>
      </c>
      <c r="G10651" s="18">
        <v>0</v>
      </c>
      <c r="H10651" t="s">
        <v>16</v>
      </c>
      <c r="I10651" t="s">
        <v>25</v>
      </c>
    </row>
    <row r="10652" spans="1:9" x14ac:dyDescent="0.25">
      <c r="A10652">
        <v>1828</v>
      </c>
      <c r="B10652">
        <f>A10652+1</f>
        <v>1829</v>
      </c>
      <c r="C10652" t="s">
        <v>534</v>
      </c>
      <c r="D10652" t="s">
        <v>27</v>
      </c>
      <c r="E10652" s="208" t="s">
        <v>156</v>
      </c>
      <c r="F10652" t="s">
        <v>6</v>
      </c>
      <c r="G10652" s="18">
        <v>0</v>
      </c>
      <c r="H10652" t="s">
        <v>16</v>
      </c>
      <c r="I10652" t="s">
        <v>25</v>
      </c>
    </row>
    <row r="10653" spans="1:9" x14ac:dyDescent="0.25">
      <c r="A10653">
        <v>1828</v>
      </c>
      <c r="B10653">
        <f>A10653+1</f>
        <v>1829</v>
      </c>
      <c r="C10653" t="s">
        <v>534</v>
      </c>
      <c r="D10653" t="s">
        <v>27</v>
      </c>
      <c r="E10653" s="208" t="s">
        <v>154</v>
      </c>
      <c r="F10653" t="s">
        <v>6</v>
      </c>
      <c r="G10653" s="18">
        <v>4</v>
      </c>
      <c r="H10653" t="s">
        <v>16</v>
      </c>
      <c r="I10653" t="s">
        <v>25</v>
      </c>
    </row>
    <row r="10654" spans="1:9" x14ac:dyDescent="0.25">
      <c r="A10654">
        <v>1828</v>
      </c>
      <c r="B10654">
        <f>A10654+1</f>
        <v>1829</v>
      </c>
      <c r="C10654" t="s">
        <v>534</v>
      </c>
      <c r="D10654" t="s">
        <v>27</v>
      </c>
      <c r="E10654" s="208" t="s">
        <v>150</v>
      </c>
      <c r="F10654" t="s">
        <v>6</v>
      </c>
      <c r="G10654" s="18">
        <v>102</v>
      </c>
      <c r="H10654" t="s">
        <v>16</v>
      </c>
      <c r="I10654" t="s">
        <v>25</v>
      </c>
    </row>
    <row r="10655" spans="1:9" x14ac:dyDescent="0.25">
      <c r="A10655">
        <v>1828</v>
      </c>
      <c r="B10655">
        <f>A10655+1</f>
        <v>1829</v>
      </c>
      <c r="C10655" t="s">
        <v>534</v>
      </c>
      <c r="D10655" t="s">
        <v>27</v>
      </c>
      <c r="E10655" s="208" t="s">
        <v>148</v>
      </c>
      <c r="F10655" t="s">
        <v>6</v>
      </c>
      <c r="G10655" s="18">
        <v>17</v>
      </c>
      <c r="H10655" t="s">
        <v>16</v>
      </c>
      <c r="I10655" t="s">
        <v>25</v>
      </c>
    </row>
    <row r="10656" spans="1:9" x14ac:dyDescent="0.25">
      <c r="A10656">
        <v>1828</v>
      </c>
      <c r="B10656">
        <f>A10656+1</f>
        <v>1829</v>
      </c>
      <c r="C10656" t="s">
        <v>534</v>
      </c>
      <c r="D10656" t="s">
        <v>27</v>
      </c>
      <c r="E10656" s="208" t="s">
        <v>147</v>
      </c>
      <c r="F10656" t="s">
        <v>6</v>
      </c>
      <c r="G10656" s="18">
        <v>327</v>
      </c>
      <c r="H10656" t="s">
        <v>16</v>
      </c>
      <c r="I10656" t="s">
        <v>25</v>
      </c>
    </row>
    <row r="10657" spans="1:9" x14ac:dyDescent="0.25">
      <c r="A10657">
        <v>1828</v>
      </c>
      <c r="B10657">
        <f>A10657+1</f>
        <v>1829</v>
      </c>
      <c r="C10657" t="s">
        <v>534</v>
      </c>
      <c r="D10657" t="s">
        <v>27</v>
      </c>
      <c r="E10657" s="208" t="s">
        <v>139</v>
      </c>
      <c r="F10657" t="s">
        <v>6</v>
      </c>
      <c r="G10657" s="18">
        <v>0</v>
      </c>
      <c r="H10657" s="151" t="s">
        <v>16</v>
      </c>
      <c r="I10657" s="151" t="s">
        <v>25</v>
      </c>
    </row>
    <row r="10658" spans="1:9" x14ac:dyDescent="0.25">
      <c r="A10658">
        <v>1828</v>
      </c>
      <c r="B10658">
        <f>A10658+1</f>
        <v>1829</v>
      </c>
      <c r="C10658" t="s">
        <v>534</v>
      </c>
      <c r="D10658" t="s">
        <v>27</v>
      </c>
      <c r="E10658" s="208" t="s">
        <v>131</v>
      </c>
      <c r="F10658" t="s">
        <v>6</v>
      </c>
      <c r="G10658" s="18">
        <v>0</v>
      </c>
      <c r="H10658" s="151" t="s">
        <v>16</v>
      </c>
      <c r="I10658" s="151" t="s">
        <v>25</v>
      </c>
    </row>
    <row r="10659" spans="1:9" x14ac:dyDescent="0.25">
      <c r="A10659">
        <v>1828</v>
      </c>
      <c r="B10659">
        <f>A10659+1</f>
        <v>1829</v>
      </c>
      <c r="C10659" t="s">
        <v>534</v>
      </c>
      <c r="D10659" t="s">
        <v>27</v>
      </c>
      <c r="E10659" s="208" t="s">
        <v>130</v>
      </c>
      <c r="F10659" t="s">
        <v>6</v>
      </c>
      <c r="G10659" s="18">
        <v>0</v>
      </c>
      <c r="H10659" t="s">
        <v>25</v>
      </c>
      <c r="I10659" t="s">
        <v>16</v>
      </c>
    </row>
    <row r="10660" spans="1:9" x14ac:dyDescent="0.25">
      <c r="A10660">
        <v>1828</v>
      </c>
      <c r="B10660">
        <f>A10660+1</f>
        <v>1829</v>
      </c>
      <c r="C10660" t="s">
        <v>534</v>
      </c>
      <c r="D10660" t="s">
        <v>27</v>
      </c>
      <c r="E10660" s="208" t="s">
        <v>124</v>
      </c>
      <c r="F10660" t="s">
        <v>6</v>
      </c>
      <c r="G10660" s="18">
        <v>150993</v>
      </c>
      <c r="H10660" t="s">
        <v>25</v>
      </c>
      <c r="I10660" t="s">
        <v>16</v>
      </c>
    </row>
    <row r="10661" spans="1:9" x14ac:dyDescent="0.25">
      <c r="A10661">
        <v>1828</v>
      </c>
      <c r="B10661">
        <f>A10661+1</f>
        <v>1829</v>
      </c>
      <c r="C10661" t="s">
        <v>534</v>
      </c>
      <c r="D10661" t="s">
        <v>27</v>
      </c>
      <c r="E10661" s="208" t="s">
        <v>145</v>
      </c>
      <c r="F10661" t="s">
        <v>6</v>
      </c>
      <c r="G10661" s="18">
        <v>344847</v>
      </c>
      <c r="H10661" t="s">
        <v>25</v>
      </c>
      <c r="I10661" t="s">
        <v>16</v>
      </c>
    </row>
    <row r="10662" spans="1:9" x14ac:dyDescent="0.25">
      <c r="A10662">
        <v>1828</v>
      </c>
      <c r="B10662">
        <f>A10662+1</f>
        <v>1829</v>
      </c>
      <c r="C10662" t="s">
        <v>534</v>
      </c>
      <c r="D10662" t="s">
        <v>27</v>
      </c>
      <c r="E10662" s="208" t="s">
        <v>114</v>
      </c>
      <c r="F10662" t="s">
        <v>6</v>
      </c>
      <c r="G10662" s="18">
        <v>32</v>
      </c>
      <c r="H10662" t="s">
        <v>25</v>
      </c>
      <c r="I10662" t="s">
        <v>16</v>
      </c>
    </row>
    <row r="10663" spans="1:9" x14ac:dyDescent="0.25">
      <c r="A10663">
        <v>1828</v>
      </c>
      <c r="B10663">
        <f>A10663+1</f>
        <v>1829</v>
      </c>
      <c r="C10663" t="s">
        <v>534</v>
      </c>
      <c r="D10663" t="s">
        <v>27</v>
      </c>
      <c r="E10663" s="208" t="s">
        <v>116</v>
      </c>
      <c r="F10663" t="s">
        <v>6</v>
      </c>
      <c r="G10663" s="18">
        <v>0</v>
      </c>
      <c r="H10663" t="s">
        <v>25</v>
      </c>
      <c r="I10663" t="s">
        <v>16</v>
      </c>
    </row>
    <row r="10664" spans="1:9" x14ac:dyDescent="0.25">
      <c r="A10664">
        <v>1828</v>
      </c>
      <c r="B10664">
        <f>A10664+1</f>
        <v>1829</v>
      </c>
      <c r="C10664" t="s">
        <v>534</v>
      </c>
      <c r="D10664" t="s">
        <v>27</v>
      </c>
      <c r="E10664" s="208" t="s">
        <v>137</v>
      </c>
      <c r="F10664" t="s">
        <v>6</v>
      </c>
      <c r="G10664" s="18">
        <v>0</v>
      </c>
      <c r="H10664" t="s">
        <v>25</v>
      </c>
      <c r="I10664" t="s">
        <v>16</v>
      </c>
    </row>
    <row r="10665" spans="1:9" x14ac:dyDescent="0.25">
      <c r="A10665">
        <v>1828</v>
      </c>
      <c r="B10665">
        <f>A10665+1</f>
        <v>1829</v>
      </c>
      <c r="C10665" t="s">
        <v>534</v>
      </c>
      <c r="D10665" t="s">
        <v>27</v>
      </c>
      <c r="E10665" s="208" t="s">
        <v>157</v>
      </c>
      <c r="F10665" t="s">
        <v>6</v>
      </c>
      <c r="G10665" s="18">
        <v>20</v>
      </c>
      <c r="H10665" t="s">
        <v>25</v>
      </c>
      <c r="I10665" t="s">
        <v>16</v>
      </c>
    </row>
    <row r="10666" spans="1:9" x14ac:dyDescent="0.25">
      <c r="A10666">
        <v>1828</v>
      </c>
      <c r="B10666">
        <f>A10666+1</f>
        <v>1829</v>
      </c>
      <c r="C10666" t="s">
        <v>534</v>
      </c>
      <c r="D10666" t="s">
        <v>27</v>
      </c>
      <c r="E10666" s="208" t="s">
        <v>127</v>
      </c>
      <c r="F10666" t="s">
        <v>6</v>
      </c>
      <c r="G10666" s="18">
        <v>0</v>
      </c>
      <c r="H10666" t="s">
        <v>25</v>
      </c>
      <c r="I10666" t="s">
        <v>16</v>
      </c>
    </row>
    <row r="10667" spans="1:9" x14ac:dyDescent="0.25">
      <c r="A10667">
        <v>1828</v>
      </c>
      <c r="B10667">
        <f>A10667+1</f>
        <v>1829</v>
      </c>
      <c r="C10667" t="s">
        <v>534</v>
      </c>
      <c r="D10667" t="s">
        <v>27</v>
      </c>
      <c r="E10667" s="208" t="s">
        <v>133</v>
      </c>
      <c r="F10667" t="s">
        <v>6</v>
      </c>
      <c r="G10667" s="18">
        <v>0</v>
      </c>
      <c r="H10667" t="s">
        <v>25</v>
      </c>
      <c r="I10667" t="s">
        <v>16</v>
      </c>
    </row>
    <row r="10668" spans="1:9" x14ac:dyDescent="0.25">
      <c r="A10668">
        <v>1828</v>
      </c>
      <c r="B10668">
        <f>A10668+1</f>
        <v>1829</v>
      </c>
      <c r="C10668" t="s">
        <v>534</v>
      </c>
      <c r="D10668" t="s">
        <v>27</v>
      </c>
      <c r="E10668" s="208" t="s">
        <v>74</v>
      </c>
      <c r="F10668" t="s">
        <v>6</v>
      </c>
      <c r="G10668" s="18">
        <v>0</v>
      </c>
      <c r="H10668" t="s">
        <v>25</v>
      </c>
      <c r="I10668" t="s">
        <v>16</v>
      </c>
    </row>
    <row r="10669" spans="1:9" x14ac:dyDescent="0.25">
      <c r="A10669">
        <v>1828</v>
      </c>
      <c r="B10669">
        <f>A10669+1</f>
        <v>1829</v>
      </c>
      <c r="C10669" t="s">
        <v>534</v>
      </c>
      <c r="D10669" t="s">
        <v>27</v>
      </c>
      <c r="E10669" s="208" t="s">
        <v>129</v>
      </c>
      <c r="F10669" t="s">
        <v>6</v>
      </c>
      <c r="G10669" s="18">
        <v>0</v>
      </c>
      <c r="H10669" t="s">
        <v>25</v>
      </c>
      <c r="I10669" t="s">
        <v>16</v>
      </c>
    </row>
    <row r="10670" spans="1:9" x14ac:dyDescent="0.25">
      <c r="A10670">
        <v>1828</v>
      </c>
      <c r="B10670">
        <f>A10670+1</f>
        <v>1829</v>
      </c>
      <c r="C10670" t="s">
        <v>534</v>
      </c>
      <c r="D10670" t="s">
        <v>27</v>
      </c>
      <c r="E10670" s="208" t="s">
        <v>141</v>
      </c>
      <c r="F10670" t="s">
        <v>6</v>
      </c>
      <c r="G10670" s="18">
        <v>0</v>
      </c>
      <c r="H10670" t="s">
        <v>25</v>
      </c>
      <c r="I10670" t="s">
        <v>16</v>
      </c>
    </row>
    <row r="10671" spans="1:9" x14ac:dyDescent="0.25">
      <c r="A10671">
        <v>1828</v>
      </c>
      <c r="B10671">
        <f>A10671+1</f>
        <v>1829</v>
      </c>
      <c r="C10671" t="s">
        <v>534</v>
      </c>
      <c r="D10671" t="s">
        <v>27</v>
      </c>
      <c r="E10671" s="208" t="s">
        <v>135</v>
      </c>
      <c r="F10671" t="s">
        <v>6</v>
      </c>
      <c r="G10671" s="18">
        <v>0</v>
      </c>
      <c r="H10671" t="s">
        <v>16</v>
      </c>
      <c r="I10671" t="s">
        <v>18</v>
      </c>
    </row>
    <row r="10672" spans="1:9" x14ac:dyDescent="0.25">
      <c r="A10672">
        <v>1828</v>
      </c>
      <c r="B10672">
        <f>A10672+1</f>
        <v>1829</v>
      </c>
      <c r="C10672" t="s">
        <v>534</v>
      </c>
      <c r="D10672" t="s">
        <v>27</v>
      </c>
      <c r="E10672" s="208" t="s">
        <v>128</v>
      </c>
      <c r="F10672" t="s">
        <v>6</v>
      </c>
      <c r="G10672" s="18">
        <v>0</v>
      </c>
      <c r="H10672" t="s">
        <v>16</v>
      </c>
      <c r="I10672" t="s">
        <v>18</v>
      </c>
    </row>
    <row r="10673" spans="1:9" x14ac:dyDescent="0.25">
      <c r="A10673">
        <v>1828</v>
      </c>
      <c r="B10673">
        <f>A10673+1</f>
        <v>1829</v>
      </c>
      <c r="C10673" t="s">
        <v>534</v>
      </c>
      <c r="D10673" t="s">
        <v>27</v>
      </c>
      <c r="E10673" s="208" t="s">
        <v>138</v>
      </c>
      <c r="F10673" t="s">
        <v>6</v>
      </c>
      <c r="G10673" s="18">
        <v>0</v>
      </c>
      <c r="H10673" t="s">
        <v>16</v>
      </c>
      <c r="I10673" t="s">
        <v>18</v>
      </c>
    </row>
    <row r="10674" spans="1:9" x14ac:dyDescent="0.25">
      <c r="A10674" s="151">
        <v>1828</v>
      </c>
      <c r="B10674" s="151">
        <f>A10674+1</f>
        <v>1829</v>
      </c>
      <c r="C10674" s="151" t="s">
        <v>534</v>
      </c>
      <c r="D10674" s="151" t="s">
        <v>27</v>
      </c>
      <c r="E10674" s="208" t="s">
        <v>118</v>
      </c>
      <c r="F10674" s="151" t="s">
        <v>6</v>
      </c>
      <c r="G10674" s="152">
        <v>0</v>
      </c>
      <c r="H10674" t="s">
        <v>16</v>
      </c>
      <c r="I10674" t="s">
        <v>18</v>
      </c>
    </row>
    <row r="10675" spans="1:9" x14ac:dyDescent="0.25">
      <c r="A10675" s="151">
        <v>1828</v>
      </c>
      <c r="B10675" s="151">
        <f>A10675+1</f>
        <v>1829</v>
      </c>
      <c r="C10675" s="151" t="s">
        <v>534</v>
      </c>
      <c r="D10675" s="151" t="s">
        <v>27</v>
      </c>
      <c r="E10675" s="208" t="s">
        <v>134</v>
      </c>
      <c r="F10675" s="151" t="s">
        <v>6</v>
      </c>
      <c r="G10675" s="152">
        <v>0</v>
      </c>
      <c r="H10675" t="s">
        <v>16</v>
      </c>
      <c r="I10675" t="s">
        <v>18</v>
      </c>
    </row>
    <row r="10676" spans="1:9" x14ac:dyDescent="0.25">
      <c r="A10676">
        <v>1828</v>
      </c>
      <c r="B10676">
        <f>A10676+1</f>
        <v>1829</v>
      </c>
      <c r="C10676" t="s">
        <v>534</v>
      </c>
      <c r="D10676" t="s">
        <v>26</v>
      </c>
      <c r="E10676" s="208" t="s">
        <v>62</v>
      </c>
      <c r="F10676" t="s">
        <v>6</v>
      </c>
      <c r="G10676" s="18">
        <v>24498.5</v>
      </c>
      <c r="H10676" t="s">
        <v>16</v>
      </c>
      <c r="I10676" t="s">
        <v>18</v>
      </c>
    </row>
    <row r="10677" spans="1:9" x14ac:dyDescent="0.25">
      <c r="A10677">
        <v>1828</v>
      </c>
      <c r="B10677">
        <f>A10677+1</f>
        <v>1829</v>
      </c>
      <c r="C10677" t="s">
        <v>534</v>
      </c>
      <c r="D10677" t="s">
        <v>26</v>
      </c>
      <c r="E10677" s="208" t="s">
        <v>55</v>
      </c>
      <c r="F10677" t="s">
        <v>6</v>
      </c>
      <c r="G10677" s="18">
        <v>5567</v>
      </c>
      <c r="H10677" t="s">
        <v>16</v>
      </c>
      <c r="I10677" t="s">
        <v>18</v>
      </c>
    </row>
    <row r="10678" spans="1:9" x14ac:dyDescent="0.25">
      <c r="A10678">
        <v>1828</v>
      </c>
      <c r="B10678">
        <f>A10678+1</f>
        <v>1829</v>
      </c>
      <c r="C10678" t="s">
        <v>534</v>
      </c>
      <c r="D10678" t="s">
        <v>26</v>
      </c>
      <c r="E10678" s="208" t="s">
        <v>40</v>
      </c>
      <c r="F10678" t="s">
        <v>6</v>
      </c>
      <c r="G10678" s="18">
        <v>75038</v>
      </c>
      <c r="H10678" t="s">
        <v>16</v>
      </c>
      <c r="I10678" t="s">
        <v>18</v>
      </c>
    </row>
    <row r="10679" spans="1:9" x14ac:dyDescent="0.25">
      <c r="A10679">
        <v>1828</v>
      </c>
      <c r="B10679">
        <f>A10679+1</f>
        <v>1829</v>
      </c>
      <c r="C10679" t="s">
        <v>534</v>
      </c>
      <c r="D10679" t="s">
        <v>26</v>
      </c>
      <c r="E10679" s="208" t="s">
        <v>98</v>
      </c>
      <c r="F10679" t="s">
        <v>6</v>
      </c>
      <c r="G10679" s="18">
        <v>446316</v>
      </c>
      <c r="H10679" t="s">
        <v>16</v>
      </c>
      <c r="I10679" t="s">
        <v>18</v>
      </c>
    </row>
    <row r="10680" spans="1:9" x14ac:dyDescent="0.25">
      <c r="A10680">
        <v>1828</v>
      </c>
      <c r="B10680">
        <f>A10680+1</f>
        <v>1829</v>
      </c>
      <c r="C10680" t="s">
        <v>534</v>
      </c>
      <c r="D10680" t="s">
        <v>26</v>
      </c>
      <c r="E10680" s="208" t="s">
        <v>435</v>
      </c>
      <c r="F10680" t="s">
        <v>6</v>
      </c>
      <c r="G10680" s="18">
        <v>14278</v>
      </c>
      <c r="H10680" t="s">
        <v>16</v>
      </c>
      <c r="I10680" t="s">
        <v>18</v>
      </c>
    </row>
    <row r="10681" spans="1:9" x14ac:dyDescent="0.25">
      <c r="A10681">
        <v>1828</v>
      </c>
      <c r="B10681">
        <f>A10681+1</f>
        <v>1829</v>
      </c>
      <c r="C10681" t="s">
        <v>534</v>
      </c>
      <c r="D10681" t="s">
        <v>26</v>
      </c>
      <c r="E10681" s="208" t="s">
        <v>107</v>
      </c>
      <c r="F10681" t="s">
        <v>6</v>
      </c>
      <c r="G10681" s="18">
        <v>1327516</v>
      </c>
      <c r="H10681" t="s">
        <v>16</v>
      </c>
      <c r="I10681" t="s">
        <v>18</v>
      </c>
    </row>
    <row r="10682" spans="1:9" x14ac:dyDescent="0.25">
      <c r="A10682">
        <v>1828</v>
      </c>
      <c r="B10682">
        <f>A10682+1</f>
        <v>1829</v>
      </c>
      <c r="C10682" t="s">
        <v>534</v>
      </c>
      <c r="D10682" t="s">
        <v>26</v>
      </c>
      <c r="E10682" s="208" t="s">
        <v>101</v>
      </c>
      <c r="F10682" t="s">
        <v>6</v>
      </c>
      <c r="G10682" s="18">
        <v>1531979</v>
      </c>
      <c r="H10682" t="s">
        <v>16</v>
      </c>
      <c r="I10682" t="s">
        <v>18</v>
      </c>
    </row>
    <row r="10683" spans="1:9" x14ac:dyDescent="0.25">
      <c r="A10683">
        <v>1828</v>
      </c>
      <c r="B10683">
        <f>A10683+1</f>
        <v>1829</v>
      </c>
      <c r="C10683" t="s">
        <v>534</v>
      </c>
      <c r="D10683" t="s">
        <v>26</v>
      </c>
      <c r="E10683" s="208" t="s">
        <v>75</v>
      </c>
      <c r="F10683" t="s">
        <v>6</v>
      </c>
      <c r="G10683" s="18">
        <v>560097</v>
      </c>
      <c r="H10683" t="s">
        <v>16</v>
      </c>
      <c r="I10683" t="s">
        <v>18</v>
      </c>
    </row>
    <row r="10684" spans="1:9" x14ac:dyDescent="0.25">
      <c r="A10684">
        <v>1828</v>
      </c>
      <c r="B10684">
        <f>A10684+1</f>
        <v>1829</v>
      </c>
      <c r="C10684" t="s">
        <v>534</v>
      </c>
      <c r="D10684" t="s">
        <v>26</v>
      </c>
      <c r="E10684" s="208" t="s">
        <v>330</v>
      </c>
      <c r="F10684" t="s">
        <v>6</v>
      </c>
      <c r="G10684" s="18">
        <v>212</v>
      </c>
      <c r="H10684" t="s">
        <v>16</v>
      </c>
      <c r="I10684" t="s">
        <v>18</v>
      </c>
    </row>
    <row r="10685" spans="1:9" x14ac:dyDescent="0.25">
      <c r="A10685">
        <v>1828</v>
      </c>
      <c r="B10685">
        <f>A10685+1</f>
        <v>1829</v>
      </c>
      <c r="C10685" t="s">
        <v>534</v>
      </c>
      <c r="D10685" t="s">
        <v>26</v>
      </c>
      <c r="E10685" s="208" t="s">
        <v>331</v>
      </c>
      <c r="F10685" t="s">
        <v>6</v>
      </c>
      <c r="G10685" s="18">
        <v>348</v>
      </c>
      <c r="H10685" t="s">
        <v>16</v>
      </c>
      <c r="I10685" t="s">
        <v>18</v>
      </c>
    </row>
    <row r="10686" spans="1:9" x14ac:dyDescent="0.25">
      <c r="A10686">
        <v>1828</v>
      </c>
      <c r="B10686">
        <f>A10686+1</f>
        <v>1829</v>
      </c>
      <c r="C10686" t="s">
        <v>534</v>
      </c>
      <c r="D10686" t="s">
        <v>26</v>
      </c>
      <c r="E10686" s="208" t="s">
        <v>332</v>
      </c>
      <c r="F10686" t="s">
        <v>6</v>
      </c>
      <c r="G10686" s="18">
        <v>325</v>
      </c>
      <c r="H10686" t="s">
        <v>16</v>
      </c>
      <c r="I10686" t="s">
        <v>18</v>
      </c>
    </row>
    <row r="10687" spans="1:9" x14ac:dyDescent="0.25">
      <c r="A10687">
        <v>1828</v>
      </c>
      <c r="B10687">
        <f>A10687+1</f>
        <v>1829</v>
      </c>
      <c r="C10687" t="s">
        <v>534</v>
      </c>
      <c r="D10687" t="s">
        <v>26</v>
      </c>
      <c r="E10687" s="208" t="s">
        <v>333</v>
      </c>
      <c r="F10687" t="s">
        <v>6</v>
      </c>
      <c r="G10687" s="18">
        <v>287</v>
      </c>
      <c r="H10687" t="s">
        <v>16</v>
      </c>
      <c r="I10687" t="s">
        <v>18</v>
      </c>
    </row>
    <row r="10688" spans="1:9" x14ac:dyDescent="0.25">
      <c r="A10688">
        <v>1828</v>
      </c>
      <c r="B10688">
        <f>A10688+1</f>
        <v>1829</v>
      </c>
      <c r="C10688" t="s">
        <v>534</v>
      </c>
      <c r="D10688" t="s">
        <v>27</v>
      </c>
      <c r="E10688" s="208" t="s">
        <v>155</v>
      </c>
      <c r="F10688" t="s">
        <v>0</v>
      </c>
      <c r="G10688" s="18">
        <v>19714</v>
      </c>
      <c r="H10688" t="s">
        <v>16</v>
      </c>
      <c r="I10688" t="s">
        <v>18</v>
      </c>
    </row>
    <row r="10689" spans="1:9" x14ac:dyDescent="0.25">
      <c r="A10689">
        <v>1828</v>
      </c>
      <c r="B10689">
        <f>A10689+1</f>
        <v>1829</v>
      </c>
      <c r="C10689" t="s">
        <v>534</v>
      </c>
      <c r="D10689" t="s">
        <v>27</v>
      </c>
      <c r="E10689" s="208" t="s">
        <v>156</v>
      </c>
      <c r="F10689" t="s">
        <v>0</v>
      </c>
      <c r="G10689" s="18">
        <v>968</v>
      </c>
      <c r="H10689" t="s">
        <v>16</v>
      </c>
      <c r="I10689" t="s">
        <v>18</v>
      </c>
    </row>
    <row r="10690" spans="1:9" x14ac:dyDescent="0.25">
      <c r="A10690">
        <v>1828</v>
      </c>
      <c r="B10690">
        <f>A10690+1</f>
        <v>1829</v>
      </c>
      <c r="C10690" t="s">
        <v>534</v>
      </c>
      <c r="D10690" t="s">
        <v>27</v>
      </c>
      <c r="E10690" s="208" t="s">
        <v>154</v>
      </c>
      <c r="F10690" t="s">
        <v>0</v>
      </c>
      <c r="G10690" s="18">
        <v>883.5</v>
      </c>
      <c r="H10690" t="s">
        <v>16</v>
      </c>
      <c r="I10690" t="s">
        <v>18</v>
      </c>
    </row>
    <row r="10691" spans="1:9" x14ac:dyDescent="0.25">
      <c r="A10691">
        <v>1828</v>
      </c>
      <c r="B10691">
        <f>A10691+1</f>
        <v>1829</v>
      </c>
      <c r="C10691" t="s">
        <v>534</v>
      </c>
      <c r="D10691" t="s">
        <v>27</v>
      </c>
      <c r="E10691" s="208" t="s">
        <v>150</v>
      </c>
      <c r="F10691" t="s">
        <v>0</v>
      </c>
      <c r="G10691" s="18">
        <v>5505</v>
      </c>
      <c r="H10691" t="s">
        <v>16</v>
      </c>
      <c r="I10691" t="s">
        <v>18</v>
      </c>
    </row>
    <row r="10692" spans="1:9" x14ac:dyDescent="0.25">
      <c r="A10692">
        <v>1828</v>
      </c>
      <c r="B10692">
        <f>A10692+1</f>
        <v>1829</v>
      </c>
      <c r="C10692" t="s">
        <v>534</v>
      </c>
      <c r="D10692" t="s">
        <v>27</v>
      </c>
      <c r="E10692" s="208" t="s">
        <v>148</v>
      </c>
      <c r="F10692" t="s">
        <v>0</v>
      </c>
      <c r="G10692" s="18">
        <v>434</v>
      </c>
      <c r="H10692" t="s">
        <v>16</v>
      </c>
      <c r="I10692" t="s">
        <v>18</v>
      </c>
    </row>
    <row r="10693" spans="1:9" x14ac:dyDescent="0.25">
      <c r="A10693">
        <v>1828</v>
      </c>
      <c r="B10693">
        <f>A10693+1</f>
        <v>1829</v>
      </c>
      <c r="C10693" t="s">
        <v>534</v>
      </c>
      <c r="D10693" t="s">
        <v>27</v>
      </c>
      <c r="E10693" s="208" t="s">
        <v>147</v>
      </c>
      <c r="F10693" t="s">
        <v>0</v>
      </c>
      <c r="G10693" s="18">
        <v>71</v>
      </c>
      <c r="H10693" t="s">
        <v>16</v>
      </c>
      <c r="I10693" t="s">
        <v>18</v>
      </c>
    </row>
    <row r="10694" spans="1:9" x14ac:dyDescent="0.25">
      <c r="A10694">
        <v>1828</v>
      </c>
      <c r="B10694">
        <f>A10694+1</f>
        <v>1829</v>
      </c>
      <c r="C10694" t="s">
        <v>534</v>
      </c>
      <c r="D10694" t="s">
        <v>27</v>
      </c>
      <c r="E10694" s="208" t="s">
        <v>139</v>
      </c>
      <c r="F10694" t="s">
        <v>0</v>
      </c>
      <c r="G10694" s="18">
        <v>100</v>
      </c>
      <c r="H10694" s="151" t="s">
        <v>16</v>
      </c>
      <c r="I10694" s="151" t="s">
        <v>18</v>
      </c>
    </row>
    <row r="10695" spans="1:9" x14ac:dyDescent="0.25">
      <c r="A10695">
        <v>1828</v>
      </c>
      <c r="B10695">
        <f>A10695+1</f>
        <v>1829</v>
      </c>
      <c r="C10695" t="s">
        <v>534</v>
      </c>
      <c r="D10695" t="s">
        <v>27</v>
      </c>
      <c r="E10695" s="208" t="s">
        <v>131</v>
      </c>
      <c r="F10695" t="s">
        <v>0</v>
      </c>
      <c r="G10695" s="18">
        <v>142</v>
      </c>
      <c r="H10695" s="151" t="s">
        <v>16</v>
      </c>
      <c r="I10695" s="151" t="s">
        <v>18</v>
      </c>
    </row>
    <row r="10696" spans="1:9" x14ac:dyDescent="0.25">
      <c r="A10696">
        <v>1828</v>
      </c>
      <c r="B10696">
        <f>A10696+1</f>
        <v>1829</v>
      </c>
      <c r="C10696" t="s">
        <v>534</v>
      </c>
      <c r="D10696" t="s">
        <v>27</v>
      </c>
      <c r="E10696" s="208" t="s">
        <v>130</v>
      </c>
      <c r="F10696" t="s">
        <v>0</v>
      </c>
      <c r="G10696" s="18">
        <v>3</v>
      </c>
      <c r="H10696" t="s">
        <v>160</v>
      </c>
      <c r="I10696" t="s">
        <v>16</v>
      </c>
    </row>
    <row r="10697" spans="1:9" x14ac:dyDescent="0.25">
      <c r="A10697">
        <v>1828</v>
      </c>
      <c r="B10697">
        <f>A10697+1</f>
        <v>1829</v>
      </c>
      <c r="C10697" t="s">
        <v>534</v>
      </c>
      <c r="D10697" t="s">
        <v>27</v>
      </c>
      <c r="E10697" s="208" t="s">
        <v>124</v>
      </c>
      <c r="F10697" t="s">
        <v>0</v>
      </c>
      <c r="G10697" s="18">
        <v>9601120</v>
      </c>
      <c r="H10697" t="s">
        <v>160</v>
      </c>
      <c r="I10697" t="s">
        <v>16</v>
      </c>
    </row>
    <row r="10698" spans="1:9" x14ac:dyDescent="0.25">
      <c r="A10698">
        <v>1828</v>
      </c>
      <c r="B10698">
        <f>A10698+1</f>
        <v>1829</v>
      </c>
      <c r="C10698" t="s">
        <v>534</v>
      </c>
      <c r="D10698" t="s">
        <v>27</v>
      </c>
      <c r="E10698" s="208" t="s">
        <v>145</v>
      </c>
      <c r="F10698" t="s">
        <v>0</v>
      </c>
      <c r="G10698" s="18">
        <v>363162</v>
      </c>
      <c r="H10698" t="s">
        <v>160</v>
      </c>
      <c r="I10698" t="s">
        <v>16</v>
      </c>
    </row>
    <row r="10699" spans="1:9" x14ac:dyDescent="0.25">
      <c r="A10699">
        <v>1828</v>
      </c>
      <c r="B10699">
        <f>A10699+1</f>
        <v>1829</v>
      </c>
      <c r="C10699" t="s">
        <v>534</v>
      </c>
      <c r="D10699" t="s">
        <v>27</v>
      </c>
      <c r="E10699" s="208" t="s">
        <v>114</v>
      </c>
      <c r="F10699" t="s">
        <v>0</v>
      </c>
      <c r="G10699" s="18">
        <v>70</v>
      </c>
      <c r="H10699" t="s">
        <v>160</v>
      </c>
      <c r="I10699" t="s">
        <v>16</v>
      </c>
    </row>
    <row r="10700" spans="1:9" x14ac:dyDescent="0.25">
      <c r="A10700">
        <v>1828</v>
      </c>
      <c r="B10700">
        <f>A10700+1</f>
        <v>1829</v>
      </c>
      <c r="C10700" t="s">
        <v>534</v>
      </c>
      <c r="D10700" t="s">
        <v>27</v>
      </c>
      <c r="E10700" s="208" t="s">
        <v>116</v>
      </c>
      <c r="F10700" t="s">
        <v>0</v>
      </c>
      <c r="G10700" s="18">
        <v>1237</v>
      </c>
      <c r="H10700" t="s">
        <v>160</v>
      </c>
      <c r="I10700" t="s">
        <v>16</v>
      </c>
    </row>
    <row r="10701" spans="1:9" x14ac:dyDescent="0.25">
      <c r="A10701">
        <v>1828</v>
      </c>
      <c r="B10701">
        <f>A10701+1</f>
        <v>1829</v>
      </c>
      <c r="C10701" t="s">
        <v>534</v>
      </c>
      <c r="D10701" t="s">
        <v>27</v>
      </c>
      <c r="E10701" s="208" t="s">
        <v>137</v>
      </c>
      <c r="F10701" t="s">
        <v>0</v>
      </c>
      <c r="G10701" s="18">
        <v>4</v>
      </c>
      <c r="H10701" t="s">
        <v>160</v>
      </c>
      <c r="I10701" t="s">
        <v>16</v>
      </c>
    </row>
    <row r="10702" spans="1:9" x14ac:dyDescent="0.25">
      <c r="A10702">
        <v>1828</v>
      </c>
      <c r="B10702">
        <f>A10702+1</f>
        <v>1829</v>
      </c>
      <c r="C10702" t="s">
        <v>534</v>
      </c>
      <c r="D10702" t="s">
        <v>27</v>
      </c>
      <c r="E10702" s="208" t="s">
        <v>157</v>
      </c>
      <c r="F10702" t="s">
        <v>0</v>
      </c>
      <c r="G10702" s="18">
        <v>602</v>
      </c>
      <c r="H10702" t="s">
        <v>160</v>
      </c>
      <c r="I10702" t="s">
        <v>16</v>
      </c>
    </row>
    <row r="10703" spans="1:9" x14ac:dyDescent="0.25">
      <c r="A10703">
        <v>1828</v>
      </c>
      <c r="B10703">
        <f>A10703+1</f>
        <v>1829</v>
      </c>
      <c r="C10703" t="s">
        <v>534</v>
      </c>
      <c r="D10703" t="s">
        <v>27</v>
      </c>
      <c r="E10703" s="208" t="s">
        <v>127</v>
      </c>
      <c r="F10703" t="s">
        <v>0</v>
      </c>
      <c r="G10703" s="18">
        <v>187</v>
      </c>
      <c r="H10703" t="s">
        <v>160</v>
      </c>
      <c r="I10703" t="s">
        <v>16</v>
      </c>
    </row>
    <row r="10704" spans="1:9" x14ac:dyDescent="0.25">
      <c r="A10704">
        <v>1828</v>
      </c>
      <c r="B10704">
        <f>A10704+1</f>
        <v>1829</v>
      </c>
      <c r="C10704" t="s">
        <v>534</v>
      </c>
      <c r="D10704" t="s">
        <v>27</v>
      </c>
      <c r="E10704" s="208" t="s">
        <v>133</v>
      </c>
      <c r="F10704" t="s">
        <v>0</v>
      </c>
      <c r="G10704" s="18">
        <v>2817</v>
      </c>
      <c r="H10704" t="s">
        <v>16</v>
      </c>
      <c r="I10704" t="s">
        <v>21</v>
      </c>
    </row>
    <row r="10705" spans="1:9" x14ac:dyDescent="0.25">
      <c r="A10705">
        <v>1828</v>
      </c>
      <c r="B10705">
        <f>A10705+1</f>
        <v>1829</v>
      </c>
      <c r="C10705" t="s">
        <v>534</v>
      </c>
      <c r="D10705" t="s">
        <v>27</v>
      </c>
      <c r="E10705" s="208" t="s">
        <v>74</v>
      </c>
      <c r="F10705" t="s">
        <v>0</v>
      </c>
      <c r="G10705" s="18">
        <v>2186</v>
      </c>
      <c r="H10705" t="s">
        <v>16</v>
      </c>
      <c r="I10705" t="s">
        <v>21</v>
      </c>
    </row>
    <row r="10706" spans="1:9" x14ac:dyDescent="0.25">
      <c r="A10706">
        <v>1828</v>
      </c>
      <c r="B10706">
        <f>A10706+1</f>
        <v>1829</v>
      </c>
      <c r="C10706" t="s">
        <v>534</v>
      </c>
      <c r="D10706" t="s">
        <v>27</v>
      </c>
      <c r="E10706" s="208" t="s">
        <v>129</v>
      </c>
      <c r="F10706" t="s">
        <v>0</v>
      </c>
      <c r="G10706" s="18">
        <v>442</v>
      </c>
      <c r="H10706" t="s">
        <v>16</v>
      </c>
      <c r="I10706" t="s">
        <v>21</v>
      </c>
    </row>
    <row r="10707" spans="1:9" x14ac:dyDescent="0.25">
      <c r="A10707">
        <v>1828</v>
      </c>
      <c r="B10707">
        <f>A10707+1</f>
        <v>1829</v>
      </c>
      <c r="C10707" t="s">
        <v>534</v>
      </c>
      <c r="D10707" t="s">
        <v>27</v>
      </c>
      <c r="E10707" s="208" t="s">
        <v>141</v>
      </c>
      <c r="F10707" t="s">
        <v>0</v>
      </c>
      <c r="G10707" s="18">
        <v>232</v>
      </c>
      <c r="H10707" t="s">
        <v>16</v>
      </c>
      <c r="I10707" t="s">
        <v>21</v>
      </c>
    </row>
    <row r="10708" spans="1:9" x14ac:dyDescent="0.25">
      <c r="A10708">
        <v>1828</v>
      </c>
      <c r="B10708">
        <f>A10708+1</f>
        <v>1829</v>
      </c>
      <c r="C10708" t="s">
        <v>534</v>
      </c>
      <c r="D10708" t="s">
        <v>27</v>
      </c>
      <c r="E10708" s="208" t="s">
        <v>135</v>
      </c>
      <c r="F10708" t="s">
        <v>0</v>
      </c>
      <c r="G10708" s="18">
        <v>129.5</v>
      </c>
      <c r="H10708" t="s">
        <v>16</v>
      </c>
      <c r="I10708" t="s">
        <v>21</v>
      </c>
    </row>
    <row r="10709" spans="1:9" x14ac:dyDescent="0.25">
      <c r="A10709">
        <v>1828</v>
      </c>
      <c r="B10709">
        <f>A10709+1</f>
        <v>1829</v>
      </c>
      <c r="C10709" t="s">
        <v>534</v>
      </c>
      <c r="D10709" t="s">
        <v>27</v>
      </c>
      <c r="E10709" s="208" t="s">
        <v>128</v>
      </c>
      <c r="F10709" t="s">
        <v>0</v>
      </c>
      <c r="G10709" s="18">
        <v>169</v>
      </c>
      <c r="H10709" t="s">
        <v>16</v>
      </c>
      <c r="I10709" t="s">
        <v>21</v>
      </c>
    </row>
    <row r="10710" spans="1:9" x14ac:dyDescent="0.25">
      <c r="A10710">
        <v>1828</v>
      </c>
      <c r="B10710">
        <f>A10710+1</f>
        <v>1829</v>
      </c>
      <c r="C10710" t="s">
        <v>534</v>
      </c>
      <c r="D10710" t="s">
        <v>27</v>
      </c>
      <c r="E10710" s="208" t="s">
        <v>138</v>
      </c>
      <c r="F10710" t="s">
        <v>0</v>
      </c>
      <c r="G10710" s="18">
        <v>1635</v>
      </c>
      <c r="H10710" t="s">
        <v>16</v>
      </c>
      <c r="I10710" t="s">
        <v>21</v>
      </c>
    </row>
    <row r="10711" spans="1:9" x14ac:dyDescent="0.25">
      <c r="A10711" s="151">
        <v>1828</v>
      </c>
      <c r="B10711" s="151">
        <f>A10711+1</f>
        <v>1829</v>
      </c>
      <c r="C10711" s="151" t="s">
        <v>534</v>
      </c>
      <c r="D10711" s="151" t="s">
        <v>27</v>
      </c>
      <c r="E10711" s="208" t="s">
        <v>118</v>
      </c>
      <c r="F10711" s="151" t="s">
        <v>0</v>
      </c>
      <c r="G10711" s="152">
        <v>1654</v>
      </c>
      <c r="H10711" t="s">
        <v>16</v>
      </c>
      <c r="I10711" t="s">
        <v>21</v>
      </c>
    </row>
    <row r="10712" spans="1:9" x14ac:dyDescent="0.25">
      <c r="A10712" s="151">
        <v>1828</v>
      </c>
      <c r="B10712" s="151">
        <f>A10712+1</f>
        <v>1829</v>
      </c>
      <c r="C10712" s="151" t="s">
        <v>534</v>
      </c>
      <c r="D10712" s="151" t="s">
        <v>27</v>
      </c>
      <c r="E10712" s="208" t="s">
        <v>134</v>
      </c>
      <c r="F10712" s="151" t="s">
        <v>0</v>
      </c>
      <c r="G10712" s="152">
        <v>7292</v>
      </c>
      <c r="H10712" t="s">
        <v>16</v>
      </c>
      <c r="I10712" t="s">
        <v>21</v>
      </c>
    </row>
    <row r="10713" spans="1:9" x14ac:dyDescent="0.25">
      <c r="A10713">
        <v>1828</v>
      </c>
      <c r="B10713">
        <f>A10713+1</f>
        <v>1829</v>
      </c>
      <c r="C10713" t="s">
        <v>534</v>
      </c>
      <c r="D10713" t="s">
        <v>26</v>
      </c>
      <c r="E10713" s="208" t="s">
        <v>62</v>
      </c>
      <c r="F10713" t="s">
        <v>169</v>
      </c>
      <c r="G10713" s="18">
        <v>3316</v>
      </c>
      <c r="H10713" t="s">
        <v>16</v>
      </c>
      <c r="I10713" t="s">
        <v>21</v>
      </c>
    </row>
    <row r="10714" spans="1:9" x14ac:dyDescent="0.25">
      <c r="A10714">
        <v>1828</v>
      </c>
      <c r="B10714">
        <f>A10714+1</f>
        <v>1829</v>
      </c>
      <c r="C10714" t="s">
        <v>534</v>
      </c>
      <c r="D10714" t="s">
        <v>26</v>
      </c>
      <c r="E10714" s="208" t="s">
        <v>40</v>
      </c>
      <c r="F10714" t="s">
        <v>169</v>
      </c>
      <c r="G10714" s="18">
        <v>6822</v>
      </c>
      <c r="H10714" t="s">
        <v>16</v>
      </c>
      <c r="I10714" t="s">
        <v>21</v>
      </c>
    </row>
    <row r="10715" spans="1:9" x14ac:dyDescent="0.25">
      <c r="A10715">
        <v>1828</v>
      </c>
      <c r="B10715">
        <f>A10715+1</f>
        <v>1829</v>
      </c>
      <c r="C10715" t="s">
        <v>534</v>
      </c>
      <c r="D10715" t="s">
        <v>26</v>
      </c>
      <c r="E10715" s="208" t="s">
        <v>98</v>
      </c>
      <c r="F10715" t="s">
        <v>169</v>
      </c>
      <c r="G10715" s="18">
        <v>136392</v>
      </c>
      <c r="H10715" t="s">
        <v>16</v>
      </c>
      <c r="I10715" t="s">
        <v>21</v>
      </c>
    </row>
    <row r="10716" spans="1:9" x14ac:dyDescent="0.25">
      <c r="A10716">
        <v>1828</v>
      </c>
      <c r="B10716">
        <f>A10716+1</f>
        <v>1829</v>
      </c>
      <c r="C10716" t="s">
        <v>534</v>
      </c>
      <c r="D10716" t="s">
        <v>26</v>
      </c>
      <c r="E10716" s="208" t="s">
        <v>435</v>
      </c>
      <c r="F10716" t="s">
        <v>169</v>
      </c>
      <c r="G10716" s="18">
        <v>4770</v>
      </c>
      <c r="H10716" t="s">
        <v>16</v>
      </c>
      <c r="I10716" t="s">
        <v>21</v>
      </c>
    </row>
    <row r="10717" spans="1:9" x14ac:dyDescent="0.25">
      <c r="A10717">
        <v>1828</v>
      </c>
      <c r="B10717">
        <f>A10717+1</f>
        <v>1829</v>
      </c>
      <c r="C10717" t="s">
        <v>534</v>
      </c>
      <c r="D10717" t="s">
        <v>26</v>
      </c>
      <c r="E10717" s="208" t="s">
        <v>107</v>
      </c>
      <c r="F10717" t="s">
        <v>169</v>
      </c>
      <c r="G10717" s="18">
        <v>27223</v>
      </c>
      <c r="H10717" t="s">
        <v>16</v>
      </c>
      <c r="I10717" t="s">
        <v>21</v>
      </c>
    </row>
    <row r="10718" spans="1:9" x14ac:dyDescent="0.25">
      <c r="A10718">
        <v>1828</v>
      </c>
      <c r="B10718">
        <f>A10718+1</f>
        <v>1829</v>
      </c>
      <c r="C10718" t="s">
        <v>534</v>
      </c>
      <c r="D10718" t="s">
        <v>26</v>
      </c>
      <c r="E10718" s="208" t="s">
        <v>75</v>
      </c>
      <c r="F10718" t="s">
        <v>169</v>
      </c>
      <c r="G10718" s="18">
        <v>101632</v>
      </c>
      <c r="H10718" t="s">
        <v>16</v>
      </c>
      <c r="I10718" t="s">
        <v>21</v>
      </c>
    </row>
    <row r="10719" spans="1:9" x14ac:dyDescent="0.25">
      <c r="A10719">
        <v>1828</v>
      </c>
      <c r="B10719">
        <f>A10719+1</f>
        <v>1829</v>
      </c>
      <c r="C10719" t="s">
        <v>534</v>
      </c>
      <c r="D10719" t="s">
        <v>26</v>
      </c>
      <c r="E10719" s="208" t="s">
        <v>66</v>
      </c>
      <c r="F10719" t="s">
        <v>169</v>
      </c>
      <c r="G10719" s="18">
        <v>15868</v>
      </c>
      <c r="H10719" t="s">
        <v>16</v>
      </c>
      <c r="I10719" t="s">
        <v>21</v>
      </c>
    </row>
    <row r="10720" spans="1:9" x14ac:dyDescent="0.25">
      <c r="A10720">
        <v>1828</v>
      </c>
      <c r="B10720">
        <f>A10720+1</f>
        <v>1829</v>
      </c>
      <c r="C10720" t="s">
        <v>534</v>
      </c>
      <c r="D10720" t="s">
        <v>26</v>
      </c>
      <c r="E10720" s="208" t="s">
        <v>330</v>
      </c>
      <c r="F10720" t="s">
        <v>169</v>
      </c>
      <c r="G10720" s="18">
        <v>3</v>
      </c>
      <c r="H10720" t="s">
        <v>16</v>
      </c>
      <c r="I10720" t="s">
        <v>21</v>
      </c>
    </row>
    <row r="10721" spans="1:9" x14ac:dyDescent="0.25">
      <c r="A10721">
        <v>1828</v>
      </c>
      <c r="B10721">
        <f>A10721+1</f>
        <v>1829</v>
      </c>
      <c r="C10721" t="s">
        <v>534</v>
      </c>
      <c r="D10721" t="s">
        <v>27</v>
      </c>
      <c r="E10721" s="208" t="s">
        <v>155</v>
      </c>
      <c r="F10721" t="s">
        <v>1</v>
      </c>
      <c r="G10721" s="18">
        <v>271</v>
      </c>
      <c r="H10721" t="s">
        <v>16</v>
      </c>
      <c r="I10721" t="s">
        <v>21</v>
      </c>
    </row>
    <row r="10722" spans="1:9" x14ac:dyDescent="0.25">
      <c r="A10722">
        <v>1828</v>
      </c>
      <c r="B10722">
        <f>A10722+1</f>
        <v>1829</v>
      </c>
      <c r="C10722" t="s">
        <v>534</v>
      </c>
      <c r="D10722" t="s">
        <v>27</v>
      </c>
      <c r="E10722" s="208" t="s">
        <v>156</v>
      </c>
      <c r="F10722" t="s">
        <v>1</v>
      </c>
      <c r="G10722" s="18">
        <v>270</v>
      </c>
      <c r="H10722" t="s">
        <v>16</v>
      </c>
      <c r="I10722" t="s">
        <v>21</v>
      </c>
    </row>
    <row r="10723" spans="1:9" x14ac:dyDescent="0.25">
      <c r="A10723">
        <v>1828</v>
      </c>
      <c r="B10723">
        <f>A10723+1</f>
        <v>1829</v>
      </c>
      <c r="C10723" t="s">
        <v>534</v>
      </c>
      <c r="D10723" t="s">
        <v>27</v>
      </c>
      <c r="E10723" s="208" t="s">
        <v>154</v>
      </c>
      <c r="F10723" t="s">
        <v>1</v>
      </c>
      <c r="G10723" s="18">
        <v>71</v>
      </c>
      <c r="H10723" t="s">
        <v>16</v>
      </c>
      <c r="I10723" t="s">
        <v>21</v>
      </c>
    </row>
    <row r="10724" spans="1:9" x14ac:dyDescent="0.25">
      <c r="A10724">
        <v>1828</v>
      </c>
      <c r="B10724">
        <f>A10724+1</f>
        <v>1829</v>
      </c>
      <c r="C10724" t="s">
        <v>534</v>
      </c>
      <c r="D10724" t="s">
        <v>27</v>
      </c>
      <c r="E10724" s="208" t="s">
        <v>150</v>
      </c>
      <c r="F10724" t="s">
        <v>1</v>
      </c>
      <c r="G10724" s="18">
        <v>269</v>
      </c>
      <c r="H10724" t="s">
        <v>16</v>
      </c>
      <c r="I10724" t="s">
        <v>21</v>
      </c>
    </row>
    <row r="10725" spans="1:9" x14ac:dyDescent="0.25">
      <c r="A10725">
        <v>1828</v>
      </c>
      <c r="B10725">
        <f>A10725+1</f>
        <v>1829</v>
      </c>
      <c r="C10725" t="s">
        <v>534</v>
      </c>
      <c r="D10725" t="s">
        <v>27</v>
      </c>
      <c r="E10725" s="208" t="s">
        <v>148</v>
      </c>
      <c r="F10725" t="s">
        <v>1</v>
      </c>
      <c r="G10725" s="18">
        <v>64</v>
      </c>
      <c r="H10725" t="s">
        <v>16</v>
      </c>
      <c r="I10725" t="s">
        <v>21</v>
      </c>
    </row>
    <row r="10726" spans="1:9" x14ac:dyDescent="0.25">
      <c r="A10726">
        <v>1828</v>
      </c>
      <c r="B10726">
        <f>A10726+1</f>
        <v>1829</v>
      </c>
      <c r="C10726" t="s">
        <v>534</v>
      </c>
      <c r="D10726" t="s">
        <v>27</v>
      </c>
      <c r="E10726" s="208" t="s">
        <v>147</v>
      </c>
      <c r="F10726" t="s">
        <v>1</v>
      </c>
      <c r="G10726" s="18">
        <v>1</v>
      </c>
      <c r="H10726" t="s">
        <v>16</v>
      </c>
      <c r="I10726" t="s">
        <v>21</v>
      </c>
    </row>
    <row r="10727" spans="1:9" x14ac:dyDescent="0.25">
      <c r="A10727">
        <v>1828</v>
      </c>
      <c r="B10727">
        <f>A10727+1</f>
        <v>1829</v>
      </c>
      <c r="C10727" t="s">
        <v>534</v>
      </c>
      <c r="D10727" t="s">
        <v>27</v>
      </c>
      <c r="E10727" s="208" t="s">
        <v>139</v>
      </c>
      <c r="F10727" t="s">
        <v>1</v>
      </c>
      <c r="G10727" s="18">
        <v>0</v>
      </c>
      <c r="H10727" s="151" t="s">
        <v>16</v>
      </c>
      <c r="I10727" s="151" t="s">
        <v>21</v>
      </c>
    </row>
    <row r="10728" spans="1:9" x14ac:dyDescent="0.25">
      <c r="A10728">
        <v>1828</v>
      </c>
      <c r="B10728">
        <f>A10728+1</f>
        <v>1829</v>
      </c>
      <c r="C10728" t="s">
        <v>534</v>
      </c>
      <c r="D10728" t="s">
        <v>27</v>
      </c>
      <c r="E10728" s="208" t="s">
        <v>131</v>
      </c>
      <c r="F10728" t="s">
        <v>1</v>
      </c>
      <c r="G10728" s="18">
        <v>0</v>
      </c>
      <c r="H10728" s="151" t="s">
        <v>16</v>
      </c>
      <c r="I10728" s="151" t="s">
        <v>21</v>
      </c>
    </row>
    <row r="10729" spans="1:9" x14ac:dyDescent="0.25">
      <c r="A10729">
        <v>1828</v>
      </c>
      <c r="B10729">
        <f>A10729+1</f>
        <v>1829</v>
      </c>
      <c r="C10729" t="s">
        <v>534</v>
      </c>
      <c r="D10729" t="s">
        <v>27</v>
      </c>
      <c r="E10729" s="208" t="s">
        <v>130</v>
      </c>
      <c r="F10729" t="s">
        <v>1</v>
      </c>
      <c r="G10729" s="18">
        <v>0</v>
      </c>
      <c r="H10729" t="s">
        <v>16</v>
      </c>
      <c r="I10729" s="151" t="s">
        <v>562</v>
      </c>
    </row>
    <row r="10730" spans="1:9" x14ac:dyDescent="0.25">
      <c r="A10730">
        <v>1828</v>
      </c>
      <c r="B10730">
        <f>A10730+1</f>
        <v>1829</v>
      </c>
      <c r="C10730" t="s">
        <v>534</v>
      </c>
      <c r="D10730" t="s">
        <v>27</v>
      </c>
      <c r="E10730" s="208" t="s">
        <v>124</v>
      </c>
      <c r="F10730" t="s">
        <v>1</v>
      </c>
      <c r="G10730" s="18">
        <v>440238</v>
      </c>
      <c r="H10730" t="s">
        <v>16</v>
      </c>
      <c r="I10730" s="151" t="s">
        <v>562</v>
      </c>
    </row>
    <row r="10731" spans="1:9" x14ac:dyDescent="0.25">
      <c r="A10731">
        <v>1828</v>
      </c>
      <c r="B10731">
        <f>A10731+1</f>
        <v>1829</v>
      </c>
      <c r="C10731" t="s">
        <v>534</v>
      </c>
      <c r="D10731" t="s">
        <v>27</v>
      </c>
      <c r="E10731" s="208" t="s">
        <v>145</v>
      </c>
      <c r="F10731" t="s">
        <v>1</v>
      </c>
      <c r="G10731" s="18">
        <v>132140</v>
      </c>
      <c r="H10731" t="s">
        <v>16</v>
      </c>
      <c r="I10731" s="151" t="s">
        <v>562</v>
      </c>
    </row>
    <row r="10732" spans="1:9" x14ac:dyDescent="0.25">
      <c r="A10732">
        <v>1828</v>
      </c>
      <c r="B10732">
        <f>A10732+1</f>
        <v>1829</v>
      </c>
      <c r="C10732" t="s">
        <v>534</v>
      </c>
      <c r="D10732" t="s">
        <v>27</v>
      </c>
      <c r="E10732" s="208" t="s">
        <v>114</v>
      </c>
      <c r="F10732" t="s">
        <v>1</v>
      </c>
      <c r="G10732" s="18">
        <v>4</v>
      </c>
      <c r="H10732" t="s">
        <v>16</v>
      </c>
      <c r="I10732" s="151" t="s">
        <v>562</v>
      </c>
    </row>
    <row r="10733" spans="1:9" x14ac:dyDescent="0.25">
      <c r="A10733">
        <v>1828</v>
      </c>
      <c r="B10733">
        <f>A10733+1</f>
        <v>1829</v>
      </c>
      <c r="C10733" t="s">
        <v>534</v>
      </c>
      <c r="D10733" t="s">
        <v>27</v>
      </c>
      <c r="E10733" s="208" t="s">
        <v>116</v>
      </c>
      <c r="F10733" t="s">
        <v>1</v>
      </c>
      <c r="G10733" s="18">
        <v>0</v>
      </c>
      <c r="H10733" t="s">
        <v>16</v>
      </c>
      <c r="I10733" s="151" t="s">
        <v>562</v>
      </c>
    </row>
    <row r="10734" spans="1:9" x14ac:dyDescent="0.25">
      <c r="A10734">
        <v>1828</v>
      </c>
      <c r="B10734">
        <f>A10734+1</f>
        <v>1829</v>
      </c>
      <c r="C10734" t="s">
        <v>534</v>
      </c>
      <c r="D10734" t="s">
        <v>27</v>
      </c>
      <c r="E10734" s="208" t="s">
        <v>137</v>
      </c>
      <c r="F10734" t="s">
        <v>1</v>
      </c>
      <c r="G10734" s="18">
        <v>0</v>
      </c>
      <c r="H10734" t="s">
        <v>16</v>
      </c>
      <c r="I10734" s="151" t="s">
        <v>562</v>
      </c>
    </row>
    <row r="10735" spans="1:9" x14ac:dyDescent="0.25">
      <c r="A10735">
        <v>1828</v>
      </c>
      <c r="B10735">
        <f>A10735+1</f>
        <v>1829</v>
      </c>
      <c r="C10735" t="s">
        <v>534</v>
      </c>
      <c r="D10735" t="s">
        <v>27</v>
      </c>
      <c r="E10735" s="208" t="s">
        <v>157</v>
      </c>
      <c r="F10735" t="s">
        <v>1</v>
      </c>
      <c r="G10735" s="18">
        <v>1</v>
      </c>
      <c r="H10735" t="s">
        <v>16</v>
      </c>
      <c r="I10735" s="151" t="s">
        <v>562</v>
      </c>
    </row>
    <row r="10736" spans="1:9" x14ac:dyDescent="0.25">
      <c r="A10736">
        <v>1828</v>
      </c>
      <c r="B10736">
        <f>A10736+1</f>
        <v>1829</v>
      </c>
      <c r="C10736" t="s">
        <v>534</v>
      </c>
      <c r="D10736" t="s">
        <v>27</v>
      </c>
      <c r="E10736" s="208" t="s">
        <v>127</v>
      </c>
      <c r="F10736" t="s">
        <v>1</v>
      </c>
      <c r="G10736" s="18">
        <v>0</v>
      </c>
      <c r="H10736" t="s">
        <v>16</v>
      </c>
      <c r="I10736" s="151" t="s">
        <v>562</v>
      </c>
    </row>
    <row r="10737" spans="1:9" x14ac:dyDescent="0.25">
      <c r="A10737">
        <v>1828</v>
      </c>
      <c r="B10737">
        <f>A10737+1</f>
        <v>1829</v>
      </c>
      <c r="C10737" t="s">
        <v>534</v>
      </c>
      <c r="D10737" t="s">
        <v>27</v>
      </c>
      <c r="E10737" s="208" t="s">
        <v>133</v>
      </c>
      <c r="F10737" t="s">
        <v>1</v>
      </c>
      <c r="G10737" s="18">
        <v>0</v>
      </c>
      <c r="H10737" t="s">
        <v>16</v>
      </c>
      <c r="I10737" s="151" t="s">
        <v>562</v>
      </c>
    </row>
    <row r="10738" spans="1:9" x14ac:dyDescent="0.25">
      <c r="A10738">
        <v>1828</v>
      </c>
      <c r="B10738">
        <f>A10738+1</f>
        <v>1829</v>
      </c>
      <c r="C10738" t="s">
        <v>534</v>
      </c>
      <c r="D10738" t="s">
        <v>27</v>
      </c>
      <c r="E10738" s="208" t="s">
        <v>74</v>
      </c>
      <c r="F10738" t="s">
        <v>1</v>
      </c>
      <c r="G10738" s="18">
        <v>96</v>
      </c>
      <c r="H10738" t="s">
        <v>16</v>
      </c>
      <c r="I10738" s="151" t="s">
        <v>562</v>
      </c>
    </row>
    <row r="10739" spans="1:9" x14ac:dyDescent="0.25">
      <c r="A10739">
        <v>1828</v>
      </c>
      <c r="B10739">
        <f>A10739+1</f>
        <v>1829</v>
      </c>
      <c r="C10739" t="s">
        <v>534</v>
      </c>
      <c r="D10739" t="s">
        <v>27</v>
      </c>
      <c r="E10739" s="208" t="s">
        <v>129</v>
      </c>
      <c r="F10739" t="s">
        <v>1</v>
      </c>
      <c r="G10739" s="18">
        <v>0</v>
      </c>
      <c r="H10739" t="s">
        <v>16</v>
      </c>
      <c r="I10739" s="151" t="s">
        <v>562</v>
      </c>
    </row>
    <row r="10740" spans="1:9" x14ac:dyDescent="0.25">
      <c r="A10740">
        <v>1828</v>
      </c>
      <c r="B10740">
        <f>A10740+1</f>
        <v>1829</v>
      </c>
      <c r="C10740" t="s">
        <v>534</v>
      </c>
      <c r="D10740" t="s">
        <v>27</v>
      </c>
      <c r="E10740" s="208" t="s">
        <v>141</v>
      </c>
      <c r="F10740" t="s">
        <v>1</v>
      </c>
      <c r="G10740" s="18">
        <v>0</v>
      </c>
      <c r="H10740" t="s">
        <v>16</v>
      </c>
      <c r="I10740" s="151" t="s">
        <v>562</v>
      </c>
    </row>
    <row r="10741" spans="1:9" x14ac:dyDescent="0.25">
      <c r="A10741">
        <v>1828</v>
      </c>
      <c r="B10741">
        <f>A10741+1</f>
        <v>1829</v>
      </c>
      <c r="C10741" t="s">
        <v>534</v>
      </c>
      <c r="D10741" t="s">
        <v>27</v>
      </c>
      <c r="E10741" s="208" t="s">
        <v>135</v>
      </c>
      <c r="F10741" t="s">
        <v>1</v>
      </c>
      <c r="G10741" s="18">
        <v>0</v>
      </c>
      <c r="H10741" t="s">
        <v>16</v>
      </c>
      <c r="I10741" s="151" t="s">
        <v>562</v>
      </c>
    </row>
    <row r="10742" spans="1:9" x14ac:dyDescent="0.25">
      <c r="A10742">
        <v>1828</v>
      </c>
      <c r="B10742">
        <f>A10742+1</f>
        <v>1829</v>
      </c>
      <c r="C10742" t="s">
        <v>534</v>
      </c>
      <c r="D10742" t="s">
        <v>27</v>
      </c>
      <c r="E10742" s="208" t="s">
        <v>128</v>
      </c>
      <c r="F10742" t="s">
        <v>1</v>
      </c>
      <c r="G10742" s="18">
        <v>0</v>
      </c>
      <c r="H10742" t="s">
        <v>16</v>
      </c>
      <c r="I10742" s="151" t="s">
        <v>562</v>
      </c>
    </row>
    <row r="10743" spans="1:9" x14ac:dyDescent="0.25">
      <c r="A10743">
        <v>1828</v>
      </c>
      <c r="B10743">
        <f>A10743+1</f>
        <v>1829</v>
      </c>
      <c r="C10743" t="s">
        <v>534</v>
      </c>
      <c r="D10743" t="s">
        <v>27</v>
      </c>
      <c r="E10743" s="208" t="s">
        <v>138</v>
      </c>
      <c r="F10743" t="s">
        <v>1</v>
      </c>
      <c r="G10743" s="18">
        <v>0</v>
      </c>
      <c r="H10743" t="s">
        <v>16</v>
      </c>
      <c r="I10743" s="151" t="s">
        <v>562</v>
      </c>
    </row>
    <row r="10744" spans="1:9" x14ac:dyDescent="0.25">
      <c r="A10744" s="151">
        <v>1828</v>
      </c>
      <c r="B10744" s="151">
        <f>A10744+1</f>
        <v>1829</v>
      </c>
      <c r="C10744" s="151" t="s">
        <v>534</v>
      </c>
      <c r="D10744" s="151" t="s">
        <v>27</v>
      </c>
      <c r="E10744" s="208" t="s">
        <v>118</v>
      </c>
      <c r="F10744" s="151" t="s">
        <v>1</v>
      </c>
      <c r="G10744" s="152">
        <v>0</v>
      </c>
      <c r="H10744" t="s">
        <v>16</v>
      </c>
      <c r="I10744" s="151" t="s">
        <v>562</v>
      </c>
    </row>
    <row r="10745" spans="1:9" x14ac:dyDescent="0.25">
      <c r="A10745" s="151">
        <v>1828</v>
      </c>
      <c r="B10745" s="151">
        <f>A10745+1</f>
        <v>1829</v>
      </c>
      <c r="C10745" s="151" t="s">
        <v>534</v>
      </c>
      <c r="D10745" s="151" t="s">
        <v>27</v>
      </c>
      <c r="E10745" s="208" t="s">
        <v>134</v>
      </c>
      <c r="F10745" s="151" t="s">
        <v>1</v>
      </c>
      <c r="G10745" s="152">
        <v>0</v>
      </c>
      <c r="H10745" t="s">
        <v>16</v>
      </c>
      <c r="I10745" s="151" t="s">
        <v>562</v>
      </c>
    </row>
    <row r="10746" spans="1:9" x14ac:dyDescent="0.25">
      <c r="A10746">
        <v>1828</v>
      </c>
      <c r="B10746">
        <f>A10746+1</f>
        <v>1829</v>
      </c>
      <c r="C10746" t="s">
        <v>534</v>
      </c>
      <c r="D10746" t="s">
        <v>27</v>
      </c>
      <c r="E10746" s="208" t="s">
        <v>155</v>
      </c>
      <c r="F10746" t="s">
        <v>7</v>
      </c>
      <c r="G10746" s="18">
        <v>20272</v>
      </c>
      <c r="H10746" t="s">
        <v>16</v>
      </c>
      <c r="I10746" s="151" t="s">
        <v>562</v>
      </c>
    </row>
    <row r="10747" spans="1:9" x14ac:dyDescent="0.25">
      <c r="A10747">
        <v>1828</v>
      </c>
      <c r="B10747">
        <f>A10747+1</f>
        <v>1829</v>
      </c>
      <c r="C10747" t="s">
        <v>534</v>
      </c>
      <c r="D10747" t="s">
        <v>27</v>
      </c>
      <c r="E10747" s="208" t="s">
        <v>156</v>
      </c>
      <c r="F10747" t="s">
        <v>7</v>
      </c>
      <c r="G10747" s="18">
        <v>1374</v>
      </c>
      <c r="H10747" t="s">
        <v>16</v>
      </c>
      <c r="I10747" s="151" t="s">
        <v>562</v>
      </c>
    </row>
    <row r="10748" spans="1:9" x14ac:dyDescent="0.25">
      <c r="A10748">
        <v>1828</v>
      </c>
      <c r="B10748">
        <f>A10748+1</f>
        <v>1829</v>
      </c>
      <c r="C10748" t="s">
        <v>534</v>
      </c>
      <c r="D10748" t="s">
        <v>27</v>
      </c>
      <c r="E10748" s="208" t="s">
        <v>154</v>
      </c>
      <c r="F10748" t="s">
        <v>7</v>
      </c>
      <c r="G10748" s="18">
        <v>1636</v>
      </c>
      <c r="H10748" t="s">
        <v>16</v>
      </c>
      <c r="I10748" s="151" t="s">
        <v>562</v>
      </c>
    </row>
    <row r="10749" spans="1:9" x14ac:dyDescent="0.25">
      <c r="A10749">
        <v>1828</v>
      </c>
      <c r="B10749">
        <f>A10749+1</f>
        <v>1829</v>
      </c>
      <c r="C10749" t="s">
        <v>534</v>
      </c>
      <c r="D10749" t="s">
        <v>27</v>
      </c>
      <c r="E10749" s="208" t="s">
        <v>150</v>
      </c>
      <c r="F10749" t="s">
        <v>7</v>
      </c>
      <c r="G10749" s="18">
        <v>7693</v>
      </c>
      <c r="H10749" t="s">
        <v>16</v>
      </c>
      <c r="I10749" s="151" t="s">
        <v>562</v>
      </c>
    </row>
    <row r="10750" spans="1:9" x14ac:dyDescent="0.25">
      <c r="A10750">
        <v>1828</v>
      </c>
      <c r="B10750">
        <f>A10750+1</f>
        <v>1829</v>
      </c>
      <c r="C10750" t="s">
        <v>534</v>
      </c>
      <c r="D10750" t="s">
        <v>27</v>
      </c>
      <c r="E10750" s="208" t="s">
        <v>148</v>
      </c>
      <c r="F10750" t="s">
        <v>7</v>
      </c>
      <c r="G10750" s="18">
        <v>582</v>
      </c>
      <c r="H10750" t="s">
        <v>16</v>
      </c>
      <c r="I10750" s="151" t="s">
        <v>562</v>
      </c>
    </row>
    <row r="10751" spans="1:9" x14ac:dyDescent="0.25">
      <c r="A10751">
        <v>1828</v>
      </c>
      <c r="B10751">
        <f>A10751+1</f>
        <v>1829</v>
      </c>
      <c r="C10751" t="s">
        <v>534</v>
      </c>
      <c r="D10751" t="s">
        <v>27</v>
      </c>
      <c r="E10751" s="208" t="s">
        <v>147</v>
      </c>
      <c r="F10751" t="s">
        <v>7</v>
      </c>
      <c r="G10751" s="18">
        <v>605</v>
      </c>
      <c r="H10751" t="s">
        <v>16</v>
      </c>
      <c r="I10751" s="151" t="s">
        <v>562</v>
      </c>
    </row>
    <row r="10752" spans="1:9" x14ac:dyDescent="0.25">
      <c r="A10752">
        <v>1828</v>
      </c>
      <c r="B10752">
        <f>A10752+1</f>
        <v>1829</v>
      </c>
      <c r="C10752" t="s">
        <v>534</v>
      </c>
      <c r="D10752" t="s">
        <v>27</v>
      </c>
      <c r="E10752" s="208" t="s">
        <v>139</v>
      </c>
      <c r="F10752" t="s">
        <v>7</v>
      </c>
      <c r="G10752" s="18">
        <v>106</v>
      </c>
      <c r="H10752" s="151" t="s">
        <v>16</v>
      </c>
      <c r="I10752" s="151" t="s">
        <v>562</v>
      </c>
    </row>
    <row r="10753" spans="1:9" x14ac:dyDescent="0.25">
      <c r="A10753">
        <v>1828</v>
      </c>
      <c r="B10753">
        <f>A10753+1</f>
        <v>1829</v>
      </c>
      <c r="C10753" t="s">
        <v>534</v>
      </c>
      <c r="D10753" t="s">
        <v>27</v>
      </c>
      <c r="E10753" s="208" t="s">
        <v>131</v>
      </c>
      <c r="F10753" t="s">
        <v>7</v>
      </c>
      <c r="G10753" s="18">
        <v>159</v>
      </c>
      <c r="H10753" s="151" t="s">
        <v>16</v>
      </c>
      <c r="I10753" s="151" t="s">
        <v>562</v>
      </c>
    </row>
    <row r="10754" spans="1:9" x14ac:dyDescent="0.25">
      <c r="A10754">
        <v>1828</v>
      </c>
      <c r="B10754">
        <f>A10754+1</f>
        <v>1829</v>
      </c>
      <c r="C10754" t="s">
        <v>534</v>
      </c>
      <c r="D10754" t="s">
        <v>27</v>
      </c>
      <c r="E10754" s="208" t="s">
        <v>130</v>
      </c>
      <c r="F10754" t="s">
        <v>7</v>
      </c>
      <c r="G10754" s="18">
        <v>4</v>
      </c>
      <c r="H10754" s="151" t="s">
        <v>563</v>
      </c>
      <c r="I10754" t="s">
        <v>16</v>
      </c>
    </row>
    <row r="10755" spans="1:9" x14ac:dyDescent="0.25">
      <c r="A10755">
        <v>1828</v>
      </c>
      <c r="B10755">
        <f>A10755+1</f>
        <v>1829</v>
      </c>
      <c r="C10755" t="s">
        <v>534</v>
      </c>
      <c r="D10755" t="s">
        <v>27</v>
      </c>
      <c r="E10755" s="208" t="s">
        <v>124</v>
      </c>
      <c r="F10755" t="s">
        <v>7</v>
      </c>
      <c r="G10755" s="18">
        <v>10302200</v>
      </c>
      <c r="H10755" s="151" t="s">
        <v>563</v>
      </c>
      <c r="I10755" t="s">
        <v>16</v>
      </c>
    </row>
    <row r="10756" spans="1:9" x14ac:dyDescent="0.25">
      <c r="A10756">
        <v>1828</v>
      </c>
      <c r="B10756">
        <f>A10756+1</f>
        <v>1829</v>
      </c>
      <c r="C10756" t="s">
        <v>534</v>
      </c>
      <c r="D10756" t="s">
        <v>27</v>
      </c>
      <c r="E10756" s="208" t="s">
        <v>145</v>
      </c>
      <c r="F10756" t="s">
        <v>7</v>
      </c>
      <c r="G10756" s="18">
        <v>878671</v>
      </c>
      <c r="H10756" s="151" t="s">
        <v>563</v>
      </c>
      <c r="I10756" t="s">
        <v>16</v>
      </c>
    </row>
    <row r="10757" spans="1:9" x14ac:dyDescent="0.25">
      <c r="A10757">
        <v>1828</v>
      </c>
      <c r="B10757">
        <f>A10757+1</f>
        <v>1829</v>
      </c>
      <c r="C10757" t="s">
        <v>534</v>
      </c>
      <c r="D10757" t="s">
        <v>27</v>
      </c>
      <c r="E10757" s="208" t="s">
        <v>114</v>
      </c>
      <c r="F10757" t="s">
        <v>7</v>
      </c>
      <c r="G10757" s="18">
        <v>106</v>
      </c>
      <c r="H10757" s="151" t="s">
        <v>563</v>
      </c>
      <c r="I10757" t="s">
        <v>16</v>
      </c>
    </row>
    <row r="10758" spans="1:9" x14ac:dyDescent="0.25">
      <c r="A10758">
        <v>1828</v>
      </c>
      <c r="B10758">
        <f>A10758+1</f>
        <v>1829</v>
      </c>
      <c r="C10758" t="s">
        <v>534</v>
      </c>
      <c r="D10758" t="s">
        <v>27</v>
      </c>
      <c r="E10758" s="208" t="s">
        <v>116</v>
      </c>
      <c r="F10758" t="s">
        <v>7</v>
      </c>
      <c r="G10758" s="18">
        <v>1242</v>
      </c>
      <c r="H10758" s="151" t="s">
        <v>563</v>
      </c>
      <c r="I10758" t="s">
        <v>16</v>
      </c>
    </row>
    <row r="10759" spans="1:9" x14ac:dyDescent="0.25">
      <c r="A10759">
        <v>1828</v>
      </c>
      <c r="B10759">
        <f>A10759+1</f>
        <v>1829</v>
      </c>
      <c r="C10759" t="s">
        <v>534</v>
      </c>
      <c r="D10759" t="s">
        <v>27</v>
      </c>
      <c r="E10759" s="208" t="s">
        <v>137</v>
      </c>
      <c r="F10759" t="s">
        <v>7</v>
      </c>
      <c r="G10759" s="18">
        <v>21</v>
      </c>
      <c r="H10759" s="151" t="s">
        <v>563</v>
      </c>
      <c r="I10759" t="s">
        <v>16</v>
      </c>
    </row>
    <row r="10760" spans="1:9" x14ac:dyDescent="0.25">
      <c r="A10760">
        <v>1828</v>
      </c>
      <c r="B10760">
        <f>A10760+1</f>
        <v>1829</v>
      </c>
      <c r="C10760" t="s">
        <v>534</v>
      </c>
      <c r="D10760" t="s">
        <v>27</v>
      </c>
      <c r="E10760" s="208" t="s">
        <v>157</v>
      </c>
      <c r="F10760" t="s">
        <v>7</v>
      </c>
      <c r="G10760" s="18">
        <v>639</v>
      </c>
      <c r="H10760" s="151" t="s">
        <v>563</v>
      </c>
      <c r="I10760" t="s">
        <v>16</v>
      </c>
    </row>
    <row r="10761" spans="1:9" x14ac:dyDescent="0.25">
      <c r="A10761">
        <v>1828</v>
      </c>
      <c r="B10761">
        <f>A10761+1</f>
        <v>1829</v>
      </c>
      <c r="C10761" t="s">
        <v>534</v>
      </c>
      <c r="D10761" t="s">
        <v>27</v>
      </c>
      <c r="E10761" s="208" t="s">
        <v>127</v>
      </c>
      <c r="F10761" t="s">
        <v>7</v>
      </c>
      <c r="G10761" s="18">
        <v>201</v>
      </c>
      <c r="H10761" s="151" t="s">
        <v>563</v>
      </c>
      <c r="I10761" t="s">
        <v>16</v>
      </c>
    </row>
    <row r="10762" spans="1:9" x14ac:dyDescent="0.25">
      <c r="A10762">
        <v>1828</v>
      </c>
      <c r="B10762">
        <f>A10762+1</f>
        <v>1829</v>
      </c>
      <c r="C10762" t="s">
        <v>534</v>
      </c>
      <c r="D10762" t="s">
        <v>27</v>
      </c>
      <c r="E10762" s="208" t="s">
        <v>133</v>
      </c>
      <c r="F10762" t="s">
        <v>7</v>
      </c>
      <c r="G10762" s="18">
        <v>2917</v>
      </c>
      <c r="H10762" s="151" t="s">
        <v>563</v>
      </c>
      <c r="I10762" t="s">
        <v>16</v>
      </c>
    </row>
    <row r="10763" spans="1:9" x14ac:dyDescent="0.25">
      <c r="A10763">
        <v>1828</v>
      </c>
      <c r="B10763">
        <f>A10763+1</f>
        <v>1829</v>
      </c>
      <c r="C10763" t="s">
        <v>534</v>
      </c>
      <c r="D10763" t="s">
        <v>27</v>
      </c>
      <c r="E10763" s="208" t="s">
        <v>74</v>
      </c>
      <c r="F10763" t="s">
        <v>7</v>
      </c>
      <c r="G10763" s="18">
        <v>2397.5</v>
      </c>
      <c r="H10763" s="151" t="s">
        <v>563</v>
      </c>
      <c r="I10763" t="s">
        <v>16</v>
      </c>
    </row>
    <row r="10764" spans="1:9" x14ac:dyDescent="0.25">
      <c r="A10764">
        <v>1828</v>
      </c>
      <c r="B10764">
        <f>A10764+1</f>
        <v>1829</v>
      </c>
      <c r="C10764" t="s">
        <v>534</v>
      </c>
      <c r="D10764" t="s">
        <v>27</v>
      </c>
      <c r="E10764" s="208" t="s">
        <v>129</v>
      </c>
      <c r="F10764" t="s">
        <v>7</v>
      </c>
      <c r="G10764" s="18">
        <v>578.5</v>
      </c>
      <c r="H10764" s="151" t="s">
        <v>563</v>
      </c>
      <c r="I10764" t="s">
        <v>16</v>
      </c>
    </row>
    <row r="10765" spans="1:9" x14ac:dyDescent="0.25">
      <c r="A10765">
        <v>1828</v>
      </c>
      <c r="B10765">
        <f>A10765+1</f>
        <v>1829</v>
      </c>
      <c r="C10765" t="s">
        <v>534</v>
      </c>
      <c r="D10765" t="s">
        <v>27</v>
      </c>
      <c r="E10765" s="208" t="s">
        <v>141</v>
      </c>
      <c r="F10765" t="s">
        <v>7</v>
      </c>
      <c r="G10765" s="18">
        <v>232</v>
      </c>
      <c r="H10765" s="151" t="s">
        <v>563</v>
      </c>
      <c r="I10765" t="s">
        <v>16</v>
      </c>
    </row>
    <row r="10766" spans="1:9" x14ac:dyDescent="0.25">
      <c r="A10766">
        <v>1828</v>
      </c>
      <c r="B10766">
        <f>A10766+1</f>
        <v>1829</v>
      </c>
      <c r="C10766" t="s">
        <v>534</v>
      </c>
      <c r="D10766" t="s">
        <v>27</v>
      </c>
      <c r="E10766" s="208" t="s">
        <v>135</v>
      </c>
      <c r="F10766" t="s">
        <v>7</v>
      </c>
      <c r="G10766" s="18">
        <v>129.5</v>
      </c>
      <c r="H10766" s="151" t="s">
        <v>563</v>
      </c>
      <c r="I10766" t="s">
        <v>16</v>
      </c>
    </row>
    <row r="10767" spans="1:9" x14ac:dyDescent="0.25">
      <c r="A10767">
        <v>1828</v>
      </c>
      <c r="B10767">
        <f>A10767+1</f>
        <v>1829</v>
      </c>
      <c r="C10767" t="s">
        <v>534</v>
      </c>
      <c r="D10767" t="s">
        <v>27</v>
      </c>
      <c r="E10767" s="208" t="s">
        <v>128</v>
      </c>
      <c r="F10767" t="s">
        <v>7</v>
      </c>
      <c r="G10767" s="18">
        <v>169</v>
      </c>
      <c r="H10767" t="s">
        <v>17</v>
      </c>
      <c r="I10767" t="s">
        <v>24</v>
      </c>
    </row>
    <row r="10768" spans="1:9" x14ac:dyDescent="0.25">
      <c r="A10768">
        <v>1828</v>
      </c>
      <c r="B10768">
        <f>A10768+1</f>
        <v>1829</v>
      </c>
      <c r="C10768" t="s">
        <v>534</v>
      </c>
      <c r="D10768" t="s">
        <v>27</v>
      </c>
      <c r="E10768" s="208" t="s">
        <v>138</v>
      </c>
      <c r="F10768" t="s">
        <v>7</v>
      </c>
      <c r="G10768" s="18">
        <v>1738</v>
      </c>
      <c r="H10768" t="s">
        <v>17</v>
      </c>
      <c r="I10768" t="s">
        <v>24</v>
      </c>
    </row>
    <row r="10769" spans="1:9" x14ac:dyDescent="0.25">
      <c r="A10769" s="151">
        <v>1828</v>
      </c>
      <c r="B10769" s="151">
        <f>A10769+1</f>
        <v>1829</v>
      </c>
      <c r="C10769" s="151" t="s">
        <v>534</v>
      </c>
      <c r="D10769" s="151" t="s">
        <v>27</v>
      </c>
      <c r="E10769" s="208" t="s">
        <v>118</v>
      </c>
      <c r="F10769" s="151" t="s">
        <v>7</v>
      </c>
      <c r="G10769" s="152">
        <v>1654</v>
      </c>
      <c r="H10769" t="s">
        <v>17</v>
      </c>
      <c r="I10769" t="s">
        <v>24</v>
      </c>
    </row>
    <row r="10770" spans="1:9" x14ac:dyDescent="0.25">
      <c r="A10770" s="151">
        <v>1828</v>
      </c>
      <c r="B10770" s="151">
        <f>A10770+1</f>
        <v>1829</v>
      </c>
      <c r="C10770" s="151" t="s">
        <v>534</v>
      </c>
      <c r="D10770" s="151" t="s">
        <v>27</v>
      </c>
      <c r="E10770" s="208" t="s">
        <v>134</v>
      </c>
      <c r="F10770" s="151" t="s">
        <v>7</v>
      </c>
      <c r="G10770" s="152">
        <v>7292</v>
      </c>
      <c r="H10770" t="s">
        <v>17</v>
      </c>
      <c r="I10770" t="s">
        <v>24</v>
      </c>
    </row>
    <row r="10771" spans="1:9" x14ac:dyDescent="0.25">
      <c r="A10771">
        <v>1828</v>
      </c>
      <c r="B10771">
        <f>A10771+1</f>
        <v>1829</v>
      </c>
      <c r="C10771" t="s">
        <v>534</v>
      </c>
      <c r="D10771" t="s">
        <v>26</v>
      </c>
      <c r="E10771" s="208" t="s">
        <v>62</v>
      </c>
      <c r="F10771" t="s">
        <v>7</v>
      </c>
      <c r="G10771" s="18">
        <v>33607.5</v>
      </c>
      <c r="H10771" t="s">
        <v>17</v>
      </c>
      <c r="I10771" t="s">
        <v>24</v>
      </c>
    </row>
    <row r="10772" spans="1:9" x14ac:dyDescent="0.25">
      <c r="A10772">
        <v>1828</v>
      </c>
      <c r="B10772">
        <f>A10772+1</f>
        <v>1829</v>
      </c>
      <c r="C10772" t="s">
        <v>534</v>
      </c>
      <c r="D10772" t="s">
        <v>26</v>
      </c>
      <c r="E10772" s="208" t="s">
        <v>55</v>
      </c>
      <c r="F10772" t="s">
        <v>7</v>
      </c>
      <c r="G10772" s="18">
        <v>8268</v>
      </c>
      <c r="H10772" t="s">
        <v>17</v>
      </c>
      <c r="I10772" t="s">
        <v>24</v>
      </c>
    </row>
    <row r="10773" spans="1:9" x14ac:dyDescent="0.25">
      <c r="A10773">
        <v>1828</v>
      </c>
      <c r="B10773">
        <f>A10773+1</f>
        <v>1829</v>
      </c>
      <c r="C10773" t="s">
        <v>534</v>
      </c>
      <c r="D10773" t="s">
        <v>26</v>
      </c>
      <c r="E10773" s="208" t="s">
        <v>40</v>
      </c>
      <c r="F10773" t="s">
        <v>7</v>
      </c>
      <c r="G10773" s="18">
        <v>105555</v>
      </c>
      <c r="H10773" t="s">
        <v>17</v>
      </c>
      <c r="I10773" t="s">
        <v>24</v>
      </c>
    </row>
    <row r="10774" spans="1:9" x14ac:dyDescent="0.25">
      <c r="A10774">
        <v>1828</v>
      </c>
      <c r="B10774">
        <f>A10774+1</f>
        <v>1829</v>
      </c>
      <c r="C10774" t="s">
        <v>534</v>
      </c>
      <c r="D10774" t="s">
        <v>26</v>
      </c>
      <c r="E10774" s="208" t="s">
        <v>98</v>
      </c>
      <c r="F10774" t="s">
        <v>7</v>
      </c>
      <c r="G10774" s="18">
        <v>616075</v>
      </c>
      <c r="H10774" t="s">
        <v>17</v>
      </c>
      <c r="I10774" t="s">
        <v>24</v>
      </c>
    </row>
    <row r="10775" spans="1:9" x14ac:dyDescent="0.25">
      <c r="A10775">
        <v>1828</v>
      </c>
      <c r="B10775">
        <f>A10775+1</f>
        <v>1829</v>
      </c>
      <c r="C10775" t="s">
        <v>534</v>
      </c>
      <c r="D10775" t="s">
        <v>26</v>
      </c>
      <c r="E10775" s="208" t="s">
        <v>435</v>
      </c>
      <c r="F10775" t="s">
        <v>7</v>
      </c>
      <c r="G10775" s="18">
        <v>20373</v>
      </c>
      <c r="H10775" t="s">
        <v>17</v>
      </c>
      <c r="I10775" t="s">
        <v>24</v>
      </c>
    </row>
    <row r="10776" spans="1:9" x14ac:dyDescent="0.25">
      <c r="A10776">
        <v>1828</v>
      </c>
      <c r="B10776">
        <f>A10776+1</f>
        <v>1829</v>
      </c>
      <c r="C10776" t="s">
        <v>534</v>
      </c>
      <c r="D10776" t="s">
        <v>26</v>
      </c>
      <c r="E10776" s="208" t="s">
        <v>107</v>
      </c>
      <c r="F10776" t="s">
        <v>7</v>
      </c>
      <c r="G10776" s="18">
        <v>2625867</v>
      </c>
      <c r="H10776" t="s">
        <v>17</v>
      </c>
      <c r="I10776" t="s">
        <v>24</v>
      </c>
    </row>
    <row r="10777" spans="1:9" x14ac:dyDescent="0.25">
      <c r="A10777">
        <v>1828</v>
      </c>
      <c r="B10777">
        <f>A10777+1</f>
        <v>1829</v>
      </c>
      <c r="C10777" t="s">
        <v>534</v>
      </c>
      <c r="D10777" t="s">
        <v>26</v>
      </c>
      <c r="E10777" s="208" t="s">
        <v>101</v>
      </c>
      <c r="F10777" t="s">
        <v>7</v>
      </c>
      <c r="G10777" s="18">
        <v>3620414</v>
      </c>
      <c r="H10777" t="s">
        <v>17</v>
      </c>
      <c r="I10777" t="s">
        <v>24</v>
      </c>
    </row>
    <row r="10778" spans="1:9" x14ac:dyDescent="0.25">
      <c r="A10778">
        <v>1828</v>
      </c>
      <c r="B10778">
        <f>A10778+1</f>
        <v>1829</v>
      </c>
      <c r="C10778" t="s">
        <v>534</v>
      </c>
      <c r="D10778" t="s">
        <v>26</v>
      </c>
      <c r="E10778" s="208" t="s">
        <v>75</v>
      </c>
      <c r="F10778" t="s">
        <v>7</v>
      </c>
      <c r="G10778" s="18">
        <v>2639197</v>
      </c>
      <c r="H10778" t="s">
        <v>17</v>
      </c>
      <c r="I10778" t="s">
        <v>24</v>
      </c>
    </row>
    <row r="10779" spans="1:9" x14ac:dyDescent="0.25">
      <c r="A10779">
        <v>1828</v>
      </c>
      <c r="B10779">
        <f>A10779+1</f>
        <v>1829</v>
      </c>
      <c r="C10779" t="s">
        <v>534</v>
      </c>
      <c r="D10779" t="s">
        <v>26</v>
      </c>
      <c r="E10779" s="208" t="s">
        <v>66</v>
      </c>
      <c r="F10779" t="s">
        <v>7</v>
      </c>
      <c r="G10779" s="18">
        <v>107868</v>
      </c>
      <c r="H10779" t="s">
        <v>17</v>
      </c>
      <c r="I10779" t="s">
        <v>24</v>
      </c>
    </row>
    <row r="10780" spans="1:9" x14ac:dyDescent="0.25">
      <c r="A10780">
        <v>1828</v>
      </c>
      <c r="B10780">
        <f>A10780+1</f>
        <v>1829</v>
      </c>
      <c r="C10780" t="s">
        <v>534</v>
      </c>
      <c r="D10780" t="s">
        <v>26</v>
      </c>
      <c r="E10780" s="208" t="s">
        <v>330</v>
      </c>
      <c r="F10780" t="s">
        <v>7</v>
      </c>
      <c r="G10780" s="18">
        <v>296</v>
      </c>
      <c r="H10780" t="s">
        <v>17</v>
      </c>
      <c r="I10780" t="s">
        <v>24</v>
      </c>
    </row>
    <row r="10781" spans="1:9" x14ac:dyDescent="0.25">
      <c r="A10781">
        <v>1828</v>
      </c>
      <c r="B10781">
        <f>A10781+1</f>
        <v>1829</v>
      </c>
      <c r="C10781" t="s">
        <v>534</v>
      </c>
      <c r="D10781" t="s">
        <v>26</v>
      </c>
      <c r="E10781" s="208" t="s">
        <v>331</v>
      </c>
      <c r="F10781" t="s">
        <v>7</v>
      </c>
      <c r="G10781" s="18">
        <v>348</v>
      </c>
      <c r="H10781" t="s">
        <v>17</v>
      </c>
      <c r="I10781" t="s">
        <v>24</v>
      </c>
    </row>
    <row r="10782" spans="1:9" x14ac:dyDescent="0.25">
      <c r="A10782">
        <v>1828</v>
      </c>
      <c r="B10782">
        <f>A10782+1</f>
        <v>1829</v>
      </c>
      <c r="C10782" t="s">
        <v>534</v>
      </c>
      <c r="D10782" t="s">
        <v>26</v>
      </c>
      <c r="E10782" s="208" t="s">
        <v>332</v>
      </c>
      <c r="F10782" t="s">
        <v>7</v>
      </c>
      <c r="G10782" s="18">
        <v>325</v>
      </c>
      <c r="H10782" t="s">
        <v>17</v>
      </c>
      <c r="I10782" t="s">
        <v>24</v>
      </c>
    </row>
    <row r="10783" spans="1:9" x14ac:dyDescent="0.25">
      <c r="A10783">
        <v>1828</v>
      </c>
      <c r="B10783">
        <f>A10783+1</f>
        <v>1829</v>
      </c>
      <c r="C10783" t="s">
        <v>534</v>
      </c>
      <c r="D10783" t="s">
        <v>26</v>
      </c>
      <c r="E10783" s="208" t="s">
        <v>333</v>
      </c>
      <c r="F10783" t="s">
        <v>7</v>
      </c>
      <c r="G10783" s="18">
        <v>287</v>
      </c>
      <c r="H10783" t="s">
        <v>17</v>
      </c>
      <c r="I10783" t="s">
        <v>24</v>
      </c>
    </row>
    <row r="10784" spans="1:9" x14ac:dyDescent="0.25">
      <c r="A10784">
        <v>1828</v>
      </c>
      <c r="B10784">
        <f>A10784+1</f>
        <v>1829</v>
      </c>
      <c r="C10784" t="s">
        <v>534</v>
      </c>
      <c r="D10784" t="s">
        <v>27</v>
      </c>
      <c r="E10784" s="208" t="s">
        <v>155</v>
      </c>
      <c r="F10784" t="s">
        <v>10</v>
      </c>
      <c r="G10784" s="18">
        <v>574</v>
      </c>
      <c r="H10784" t="s">
        <v>17</v>
      </c>
      <c r="I10784" t="s">
        <v>24</v>
      </c>
    </row>
    <row r="10785" spans="1:9" x14ac:dyDescent="0.25">
      <c r="A10785">
        <v>1828</v>
      </c>
      <c r="B10785">
        <f>A10785+1</f>
        <v>1829</v>
      </c>
      <c r="C10785" t="s">
        <v>534</v>
      </c>
      <c r="D10785" t="s">
        <v>27</v>
      </c>
      <c r="E10785" s="208" t="s">
        <v>156</v>
      </c>
      <c r="F10785" t="s">
        <v>10</v>
      </c>
      <c r="G10785" s="18">
        <v>572</v>
      </c>
      <c r="H10785" t="s">
        <v>17</v>
      </c>
      <c r="I10785" t="s">
        <v>24</v>
      </c>
    </row>
    <row r="10786" spans="1:9" x14ac:dyDescent="0.25">
      <c r="A10786">
        <v>1828</v>
      </c>
      <c r="B10786">
        <f>A10786+1</f>
        <v>1829</v>
      </c>
      <c r="C10786" t="s">
        <v>534</v>
      </c>
      <c r="D10786" t="s">
        <v>27</v>
      </c>
      <c r="E10786" s="208" t="s">
        <v>154</v>
      </c>
      <c r="F10786" t="s">
        <v>10</v>
      </c>
      <c r="G10786" s="18">
        <v>527</v>
      </c>
      <c r="H10786" t="s">
        <v>17</v>
      </c>
      <c r="I10786" t="s">
        <v>24</v>
      </c>
    </row>
    <row r="10787" spans="1:9" x14ac:dyDescent="0.25">
      <c r="A10787">
        <v>1828</v>
      </c>
      <c r="B10787">
        <f>A10787+1</f>
        <v>1829</v>
      </c>
      <c r="C10787" t="s">
        <v>534</v>
      </c>
      <c r="D10787" t="s">
        <v>27</v>
      </c>
      <c r="E10787" s="208" t="s">
        <v>150</v>
      </c>
      <c r="F10787" t="s">
        <v>10</v>
      </c>
      <c r="G10787" s="18">
        <v>3345</v>
      </c>
      <c r="H10787" t="s">
        <v>17</v>
      </c>
      <c r="I10787" t="s">
        <v>24</v>
      </c>
    </row>
    <row r="10788" spans="1:9" x14ac:dyDescent="0.25">
      <c r="A10788">
        <v>1828</v>
      </c>
      <c r="B10788">
        <f>A10788+1</f>
        <v>1829</v>
      </c>
      <c r="C10788" t="s">
        <v>534</v>
      </c>
      <c r="D10788" t="s">
        <v>27</v>
      </c>
      <c r="E10788" s="208" t="s">
        <v>148</v>
      </c>
      <c r="F10788" t="s">
        <v>10</v>
      </c>
      <c r="G10788" s="18">
        <v>110</v>
      </c>
      <c r="H10788" t="s">
        <v>17</v>
      </c>
      <c r="I10788" t="s">
        <v>24</v>
      </c>
    </row>
    <row r="10789" spans="1:9" x14ac:dyDescent="0.25">
      <c r="A10789">
        <v>1828</v>
      </c>
      <c r="B10789">
        <f>A10789+1</f>
        <v>1829</v>
      </c>
      <c r="C10789" t="s">
        <v>534</v>
      </c>
      <c r="D10789" t="s">
        <v>27</v>
      </c>
      <c r="E10789" s="208" t="s">
        <v>147</v>
      </c>
      <c r="F10789" t="s">
        <v>10</v>
      </c>
      <c r="G10789" s="18">
        <v>0</v>
      </c>
      <c r="H10789" t="s">
        <v>17</v>
      </c>
      <c r="I10789" t="s">
        <v>24</v>
      </c>
    </row>
    <row r="10790" spans="1:9" x14ac:dyDescent="0.25">
      <c r="A10790">
        <v>1828</v>
      </c>
      <c r="B10790">
        <f>A10790+1</f>
        <v>1829</v>
      </c>
      <c r="C10790" t="s">
        <v>534</v>
      </c>
      <c r="D10790" t="s">
        <v>27</v>
      </c>
      <c r="E10790" s="208" t="s">
        <v>139</v>
      </c>
      <c r="F10790" t="s">
        <v>10</v>
      </c>
      <c r="G10790" s="18">
        <v>47</v>
      </c>
      <c r="H10790" s="151" t="s">
        <v>17</v>
      </c>
      <c r="I10790" s="151" t="s">
        <v>24</v>
      </c>
    </row>
    <row r="10791" spans="1:9" x14ac:dyDescent="0.25">
      <c r="A10791">
        <v>1828</v>
      </c>
      <c r="B10791">
        <f>A10791+1</f>
        <v>1829</v>
      </c>
      <c r="C10791" t="s">
        <v>534</v>
      </c>
      <c r="D10791" t="s">
        <v>27</v>
      </c>
      <c r="E10791" s="208" t="s">
        <v>131</v>
      </c>
      <c r="F10791" t="s">
        <v>10</v>
      </c>
      <c r="G10791" s="18">
        <v>12</v>
      </c>
      <c r="H10791" s="151" t="s">
        <v>17</v>
      </c>
      <c r="I10791" s="151" t="s">
        <v>24</v>
      </c>
    </row>
    <row r="10792" spans="1:9" x14ac:dyDescent="0.25">
      <c r="A10792">
        <v>1828</v>
      </c>
      <c r="B10792">
        <f>A10792+1</f>
        <v>1829</v>
      </c>
      <c r="C10792" t="s">
        <v>534</v>
      </c>
      <c r="D10792" t="s">
        <v>27</v>
      </c>
      <c r="E10792" s="208" t="s">
        <v>130</v>
      </c>
      <c r="F10792" t="s">
        <v>10</v>
      </c>
      <c r="G10792" s="18">
        <v>8</v>
      </c>
      <c r="H10792" t="s">
        <v>24</v>
      </c>
      <c r="I10792" t="s">
        <v>17</v>
      </c>
    </row>
    <row r="10793" spans="1:9" x14ac:dyDescent="0.25">
      <c r="A10793">
        <v>1828</v>
      </c>
      <c r="B10793">
        <f>A10793+1</f>
        <v>1829</v>
      </c>
      <c r="C10793" t="s">
        <v>534</v>
      </c>
      <c r="D10793" t="s">
        <v>27</v>
      </c>
      <c r="E10793" s="208" t="s">
        <v>124</v>
      </c>
      <c r="F10793" t="s">
        <v>10</v>
      </c>
      <c r="G10793" s="18">
        <v>13455</v>
      </c>
      <c r="H10793" t="s">
        <v>24</v>
      </c>
      <c r="I10793" t="s">
        <v>17</v>
      </c>
    </row>
    <row r="10794" spans="1:9" x14ac:dyDescent="0.25">
      <c r="A10794">
        <v>1828</v>
      </c>
      <c r="B10794">
        <f>A10794+1</f>
        <v>1829</v>
      </c>
      <c r="C10794" t="s">
        <v>534</v>
      </c>
      <c r="D10794" t="s">
        <v>27</v>
      </c>
      <c r="E10794" s="208" t="s">
        <v>145</v>
      </c>
      <c r="F10794" t="s">
        <v>10</v>
      </c>
      <c r="G10794" s="18">
        <v>117670</v>
      </c>
      <c r="H10794" t="s">
        <v>24</v>
      </c>
      <c r="I10794" t="s">
        <v>17</v>
      </c>
    </row>
    <row r="10795" spans="1:9" x14ac:dyDescent="0.25">
      <c r="A10795">
        <v>1828</v>
      </c>
      <c r="B10795">
        <f>A10795+1</f>
        <v>1829</v>
      </c>
      <c r="C10795" t="s">
        <v>534</v>
      </c>
      <c r="D10795" t="s">
        <v>27</v>
      </c>
      <c r="E10795" s="208" t="s">
        <v>114</v>
      </c>
      <c r="F10795" t="s">
        <v>10</v>
      </c>
      <c r="G10795" s="18">
        <v>0</v>
      </c>
      <c r="H10795" t="s">
        <v>24</v>
      </c>
      <c r="I10795" t="s">
        <v>17</v>
      </c>
    </row>
    <row r="10796" spans="1:9" x14ac:dyDescent="0.25">
      <c r="A10796">
        <v>1828</v>
      </c>
      <c r="B10796">
        <f>A10796+1</f>
        <v>1829</v>
      </c>
      <c r="C10796" t="s">
        <v>534</v>
      </c>
      <c r="D10796" t="s">
        <v>27</v>
      </c>
      <c r="E10796" s="208" t="s">
        <v>116</v>
      </c>
      <c r="F10796" t="s">
        <v>10</v>
      </c>
      <c r="G10796" s="18">
        <v>33</v>
      </c>
      <c r="H10796" t="s">
        <v>24</v>
      </c>
      <c r="I10796" t="s">
        <v>17</v>
      </c>
    </row>
    <row r="10797" spans="1:9" x14ac:dyDescent="0.25">
      <c r="A10797">
        <v>1828</v>
      </c>
      <c r="B10797">
        <f>A10797+1</f>
        <v>1829</v>
      </c>
      <c r="C10797" t="s">
        <v>534</v>
      </c>
      <c r="D10797" t="s">
        <v>27</v>
      </c>
      <c r="E10797" s="208" t="s">
        <v>137</v>
      </c>
      <c r="F10797" t="s">
        <v>10</v>
      </c>
      <c r="G10797" s="18">
        <v>77</v>
      </c>
      <c r="H10797" t="s">
        <v>24</v>
      </c>
      <c r="I10797" t="s">
        <v>17</v>
      </c>
    </row>
    <row r="10798" spans="1:9" x14ac:dyDescent="0.25">
      <c r="A10798">
        <v>1828</v>
      </c>
      <c r="B10798">
        <f>A10798+1</f>
        <v>1829</v>
      </c>
      <c r="C10798" t="s">
        <v>534</v>
      </c>
      <c r="D10798" t="s">
        <v>27</v>
      </c>
      <c r="E10798" s="208" t="s">
        <v>157</v>
      </c>
      <c r="F10798" t="s">
        <v>10</v>
      </c>
      <c r="G10798" s="18">
        <v>4</v>
      </c>
      <c r="H10798" t="s">
        <v>24</v>
      </c>
      <c r="I10798" t="s">
        <v>17</v>
      </c>
    </row>
    <row r="10799" spans="1:9" x14ac:dyDescent="0.25">
      <c r="A10799">
        <v>1828</v>
      </c>
      <c r="B10799">
        <f>A10799+1</f>
        <v>1829</v>
      </c>
      <c r="C10799" t="s">
        <v>534</v>
      </c>
      <c r="D10799" t="s">
        <v>27</v>
      </c>
      <c r="E10799" s="208" t="s">
        <v>127</v>
      </c>
      <c r="F10799" t="s">
        <v>10</v>
      </c>
      <c r="G10799" s="18">
        <v>0</v>
      </c>
      <c r="H10799" t="s">
        <v>24</v>
      </c>
      <c r="I10799" t="s">
        <v>17</v>
      </c>
    </row>
    <row r="10800" spans="1:9" x14ac:dyDescent="0.25">
      <c r="A10800">
        <v>1828</v>
      </c>
      <c r="B10800">
        <f>A10800+1</f>
        <v>1829</v>
      </c>
      <c r="C10800" t="s">
        <v>534</v>
      </c>
      <c r="D10800" t="s">
        <v>27</v>
      </c>
      <c r="E10800" s="208" t="s">
        <v>133</v>
      </c>
      <c r="F10800" t="s">
        <v>10</v>
      </c>
      <c r="G10800" s="18">
        <v>419</v>
      </c>
      <c r="H10800" t="s">
        <v>24</v>
      </c>
      <c r="I10800" t="s">
        <v>17</v>
      </c>
    </row>
    <row r="10801" spans="1:9" x14ac:dyDescent="0.25">
      <c r="A10801">
        <v>1828</v>
      </c>
      <c r="B10801">
        <f>A10801+1</f>
        <v>1829</v>
      </c>
      <c r="C10801" t="s">
        <v>534</v>
      </c>
      <c r="D10801" t="s">
        <v>27</v>
      </c>
      <c r="E10801" s="208" t="s">
        <v>74</v>
      </c>
      <c r="F10801" t="s">
        <v>10</v>
      </c>
      <c r="G10801" s="18">
        <v>27</v>
      </c>
      <c r="H10801" t="s">
        <v>24</v>
      </c>
      <c r="I10801" t="s">
        <v>17</v>
      </c>
    </row>
    <row r="10802" spans="1:9" x14ac:dyDescent="0.25">
      <c r="A10802">
        <v>1828</v>
      </c>
      <c r="B10802">
        <f>A10802+1</f>
        <v>1829</v>
      </c>
      <c r="C10802" t="s">
        <v>534</v>
      </c>
      <c r="D10802" t="s">
        <v>27</v>
      </c>
      <c r="E10802" s="208" t="s">
        <v>129</v>
      </c>
      <c r="F10802" t="s">
        <v>10</v>
      </c>
      <c r="G10802" s="18">
        <v>0</v>
      </c>
      <c r="H10802" t="s">
        <v>17</v>
      </c>
      <c r="I10802" t="s">
        <v>25</v>
      </c>
    </row>
    <row r="10803" spans="1:9" x14ac:dyDescent="0.25">
      <c r="A10803">
        <v>1828</v>
      </c>
      <c r="B10803">
        <f>A10803+1</f>
        <v>1829</v>
      </c>
      <c r="C10803" t="s">
        <v>534</v>
      </c>
      <c r="D10803" t="s">
        <v>27</v>
      </c>
      <c r="E10803" s="208" t="s">
        <v>141</v>
      </c>
      <c r="F10803" t="s">
        <v>10</v>
      </c>
      <c r="G10803" s="18">
        <v>0</v>
      </c>
      <c r="H10803" t="s">
        <v>17</v>
      </c>
      <c r="I10803" t="s">
        <v>25</v>
      </c>
    </row>
    <row r="10804" spans="1:9" x14ac:dyDescent="0.25">
      <c r="A10804">
        <v>1828</v>
      </c>
      <c r="B10804">
        <f>A10804+1</f>
        <v>1829</v>
      </c>
      <c r="C10804" t="s">
        <v>534</v>
      </c>
      <c r="D10804" t="s">
        <v>27</v>
      </c>
      <c r="E10804" s="208" t="s">
        <v>135</v>
      </c>
      <c r="F10804" t="s">
        <v>10</v>
      </c>
      <c r="G10804" s="18">
        <v>18</v>
      </c>
      <c r="H10804" t="s">
        <v>17</v>
      </c>
      <c r="I10804" t="s">
        <v>25</v>
      </c>
    </row>
    <row r="10805" spans="1:9" x14ac:dyDescent="0.25">
      <c r="A10805">
        <v>1828</v>
      </c>
      <c r="B10805">
        <f>A10805+1</f>
        <v>1829</v>
      </c>
      <c r="C10805" t="s">
        <v>534</v>
      </c>
      <c r="D10805" t="s">
        <v>27</v>
      </c>
      <c r="E10805" s="208" t="s">
        <v>128</v>
      </c>
      <c r="F10805" t="s">
        <v>10</v>
      </c>
      <c r="G10805" s="18">
        <v>0</v>
      </c>
      <c r="H10805" t="s">
        <v>17</v>
      </c>
      <c r="I10805" t="s">
        <v>25</v>
      </c>
    </row>
    <row r="10806" spans="1:9" x14ac:dyDescent="0.25">
      <c r="A10806">
        <v>1828</v>
      </c>
      <c r="B10806">
        <f>A10806+1</f>
        <v>1829</v>
      </c>
      <c r="C10806" t="s">
        <v>534</v>
      </c>
      <c r="D10806" t="s">
        <v>27</v>
      </c>
      <c r="E10806" s="208" t="s">
        <v>138</v>
      </c>
      <c r="F10806" t="s">
        <v>10</v>
      </c>
      <c r="G10806" s="18">
        <v>157</v>
      </c>
      <c r="H10806" t="s">
        <v>17</v>
      </c>
      <c r="I10806" t="s">
        <v>25</v>
      </c>
    </row>
    <row r="10807" spans="1:9" x14ac:dyDescent="0.25">
      <c r="A10807" s="151">
        <v>1828</v>
      </c>
      <c r="B10807" s="151">
        <f>A10807+1</f>
        <v>1829</v>
      </c>
      <c r="C10807" s="151" t="s">
        <v>534</v>
      </c>
      <c r="D10807" s="151" t="s">
        <v>27</v>
      </c>
      <c r="E10807" s="208" t="s">
        <v>118</v>
      </c>
      <c r="F10807" s="151" t="s">
        <v>10</v>
      </c>
      <c r="G10807" s="152">
        <v>0</v>
      </c>
      <c r="H10807" t="s">
        <v>17</v>
      </c>
      <c r="I10807" t="s">
        <v>25</v>
      </c>
    </row>
    <row r="10808" spans="1:9" x14ac:dyDescent="0.25">
      <c r="A10808" s="151">
        <v>1828</v>
      </c>
      <c r="B10808" s="151">
        <f>A10808+1</f>
        <v>1829</v>
      </c>
      <c r="C10808" s="151" t="s">
        <v>534</v>
      </c>
      <c r="D10808" s="151" t="s">
        <v>27</v>
      </c>
      <c r="E10808" s="208" t="s">
        <v>134</v>
      </c>
      <c r="F10808" s="151" t="s">
        <v>10</v>
      </c>
      <c r="G10808" s="152">
        <v>0</v>
      </c>
      <c r="H10808" t="s">
        <v>17</v>
      </c>
      <c r="I10808" t="s">
        <v>25</v>
      </c>
    </row>
    <row r="10809" spans="1:9" x14ac:dyDescent="0.25">
      <c r="A10809">
        <v>1828</v>
      </c>
      <c r="B10809">
        <f>A10809+1</f>
        <v>1829</v>
      </c>
      <c r="C10809" t="s">
        <v>534</v>
      </c>
      <c r="D10809" t="s">
        <v>26</v>
      </c>
      <c r="E10809" s="208" t="s">
        <v>62</v>
      </c>
      <c r="F10809" t="s">
        <v>10</v>
      </c>
      <c r="G10809" s="18">
        <v>2682</v>
      </c>
      <c r="H10809" t="s">
        <v>17</v>
      </c>
      <c r="I10809" t="s">
        <v>25</v>
      </c>
    </row>
    <row r="10810" spans="1:9" x14ac:dyDescent="0.25">
      <c r="A10810">
        <v>1828</v>
      </c>
      <c r="B10810">
        <f>A10810+1</f>
        <v>1829</v>
      </c>
      <c r="C10810" t="s">
        <v>534</v>
      </c>
      <c r="D10810" t="s">
        <v>26</v>
      </c>
      <c r="E10810" s="208" t="s">
        <v>55</v>
      </c>
      <c r="F10810" t="s">
        <v>10</v>
      </c>
      <c r="G10810" s="18">
        <v>1090</v>
      </c>
      <c r="H10810" t="s">
        <v>17</v>
      </c>
      <c r="I10810" t="s">
        <v>25</v>
      </c>
    </row>
    <row r="10811" spans="1:9" x14ac:dyDescent="0.25">
      <c r="A10811">
        <v>1828</v>
      </c>
      <c r="B10811">
        <f>A10811+1</f>
        <v>1829</v>
      </c>
      <c r="C10811" t="s">
        <v>534</v>
      </c>
      <c r="D10811" t="s">
        <v>26</v>
      </c>
      <c r="E10811" s="208" t="s">
        <v>40</v>
      </c>
      <c r="F10811" t="s">
        <v>10</v>
      </c>
      <c r="G10811" s="18">
        <v>17781</v>
      </c>
      <c r="H10811" t="s">
        <v>17</v>
      </c>
      <c r="I10811" t="s">
        <v>25</v>
      </c>
    </row>
    <row r="10812" spans="1:9" x14ac:dyDescent="0.25">
      <c r="A10812">
        <v>1828</v>
      </c>
      <c r="B10812">
        <f>A10812+1</f>
        <v>1829</v>
      </c>
      <c r="C10812" t="s">
        <v>534</v>
      </c>
      <c r="D10812" t="s">
        <v>26</v>
      </c>
      <c r="E10812" s="208" t="s">
        <v>98</v>
      </c>
      <c r="F10812" t="s">
        <v>10</v>
      </c>
      <c r="G10812" s="18">
        <v>13984</v>
      </c>
      <c r="H10812" t="s">
        <v>17</v>
      </c>
      <c r="I10812" t="s">
        <v>25</v>
      </c>
    </row>
    <row r="10813" spans="1:9" x14ac:dyDescent="0.25">
      <c r="A10813">
        <v>1828</v>
      </c>
      <c r="B10813">
        <f>A10813+1</f>
        <v>1829</v>
      </c>
      <c r="C10813" t="s">
        <v>534</v>
      </c>
      <c r="D10813" t="s">
        <v>26</v>
      </c>
      <c r="E10813" s="208" t="s">
        <v>435</v>
      </c>
      <c r="F10813" t="s">
        <v>10</v>
      </c>
      <c r="G10813" s="18">
        <v>944</v>
      </c>
      <c r="H10813" t="s">
        <v>17</v>
      </c>
      <c r="I10813" t="s">
        <v>25</v>
      </c>
    </row>
    <row r="10814" spans="1:9" x14ac:dyDescent="0.25">
      <c r="A10814">
        <v>1828</v>
      </c>
      <c r="B10814">
        <f>A10814+1</f>
        <v>1829</v>
      </c>
      <c r="C10814" t="s">
        <v>534</v>
      </c>
      <c r="D10814" t="s">
        <v>26</v>
      </c>
      <c r="E10814" s="208" t="s">
        <v>107</v>
      </c>
      <c r="F10814" t="s">
        <v>10</v>
      </c>
      <c r="G10814" s="18">
        <v>1743374</v>
      </c>
      <c r="H10814" t="s">
        <v>17</v>
      </c>
      <c r="I10814" t="s">
        <v>25</v>
      </c>
    </row>
    <row r="10815" spans="1:9" x14ac:dyDescent="0.25">
      <c r="A10815">
        <v>1828</v>
      </c>
      <c r="B10815">
        <f>A10815+1</f>
        <v>1829</v>
      </c>
      <c r="C10815" t="s">
        <v>534</v>
      </c>
      <c r="D10815" t="s">
        <v>26</v>
      </c>
      <c r="E10815" s="208" t="s">
        <v>101</v>
      </c>
      <c r="F10815" t="s">
        <v>10</v>
      </c>
      <c r="G10815" s="18">
        <v>1753455</v>
      </c>
      <c r="H10815" t="s">
        <v>17</v>
      </c>
      <c r="I10815" t="s">
        <v>25</v>
      </c>
    </row>
    <row r="10816" spans="1:9" x14ac:dyDescent="0.25">
      <c r="A10816">
        <v>1828</v>
      </c>
      <c r="B10816">
        <f>A10816+1</f>
        <v>1829</v>
      </c>
      <c r="C10816" t="s">
        <v>534</v>
      </c>
      <c r="D10816" t="s">
        <v>26</v>
      </c>
      <c r="E10816" s="208" t="s">
        <v>75</v>
      </c>
      <c r="F10816" t="s">
        <v>10</v>
      </c>
      <c r="G10816" s="18">
        <v>2309301</v>
      </c>
      <c r="H10816" t="s">
        <v>17</v>
      </c>
      <c r="I10816" t="s">
        <v>25</v>
      </c>
    </row>
    <row r="10817" spans="1:9" x14ac:dyDescent="0.25">
      <c r="A10817">
        <v>1828</v>
      </c>
      <c r="B10817">
        <f>A10817+1</f>
        <v>1829</v>
      </c>
      <c r="C10817" t="s">
        <v>534</v>
      </c>
      <c r="D10817" t="s">
        <v>26</v>
      </c>
      <c r="E10817" s="208" t="s">
        <v>66</v>
      </c>
      <c r="F10817" t="s">
        <v>10</v>
      </c>
      <c r="G10817" s="18">
        <v>2000</v>
      </c>
      <c r="H10817" t="s">
        <v>17</v>
      </c>
      <c r="I10817" t="s">
        <v>25</v>
      </c>
    </row>
    <row r="10818" spans="1:9" x14ac:dyDescent="0.25">
      <c r="A10818">
        <v>1828</v>
      </c>
      <c r="B10818">
        <f>A10818+1</f>
        <v>1829</v>
      </c>
      <c r="C10818" t="s">
        <v>534</v>
      </c>
      <c r="D10818" t="s">
        <v>26</v>
      </c>
      <c r="E10818" s="208" t="s">
        <v>330</v>
      </c>
      <c r="F10818" t="s">
        <v>10</v>
      </c>
      <c r="G10818" s="18">
        <v>1</v>
      </c>
      <c r="H10818" t="s">
        <v>17</v>
      </c>
      <c r="I10818" t="s">
        <v>25</v>
      </c>
    </row>
    <row r="10819" spans="1:9" x14ac:dyDescent="0.25">
      <c r="A10819">
        <v>1828</v>
      </c>
      <c r="B10819">
        <f>A10819+1</f>
        <v>1829</v>
      </c>
      <c r="C10819" t="s">
        <v>534</v>
      </c>
      <c r="D10819" t="s">
        <v>27</v>
      </c>
      <c r="E10819" s="208" t="s">
        <v>155</v>
      </c>
      <c r="F10819" t="s">
        <v>13</v>
      </c>
      <c r="G10819" s="18">
        <v>0</v>
      </c>
      <c r="H10819" t="s">
        <v>17</v>
      </c>
      <c r="I10819" t="s">
        <v>25</v>
      </c>
    </row>
    <row r="10820" spans="1:9" x14ac:dyDescent="0.25">
      <c r="A10820">
        <v>1828</v>
      </c>
      <c r="B10820">
        <f>A10820+1</f>
        <v>1829</v>
      </c>
      <c r="C10820" t="s">
        <v>534</v>
      </c>
      <c r="D10820" t="s">
        <v>27</v>
      </c>
      <c r="E10820" s="208" t="s">
        <v>156</v>
      </c>
      <c r="F10820" t="s">
        <v>13</v>
      </c>
      <c r="G10820" s="18">
        <v>0</v>
      </c>
      <c r="H10820" t="s">
        <v>17</v>
      </c>
      <c r="I10820" t="s">
        <v>25</v>
      </c>
    </row>
    <row r="10821" spans="1:9" x14ac:dyDescent="0.25">
      <c r="A10821">
        <v>1828</v>
      </c>
      <c r="B10821">
        <f>A10821+1</f>
        <v>1829</v>
      </c>
      <c r="C10821" t="s">
        <v>534</v>
      </c>
      <c r="D10821" t="s">
        <v>27</v>
      </c>
      <c r="E10821" s="208" t="s">
        <v>154</v>
      </c>
      <c r="F10821" t="s">
        <v>13</v>
      </c>
      <c r="G10821" s="18">
        <v>5</v>
      </c>
      <c r="H10821" t="s">
        <v>17</v>
      </c>
      <c r="I10821" t="s">
        <v>25</v>
      </c>
    </row>
    <row r="10822" spans="1:9" x14ac:dyDescent="0.25">
      <c r="A10822">
        <v>1828</v>
      </c>
      <c r="B10822">
        <f>A10822+1</f>
        <v>1829</v>
      </c>
      <c r="C10822" t="s">
        <v>534</v>
      </c>
      <c r="D10822" t="s">
        <v>27</v>
      </c>
      <c r="E10822" s="208" t="s">
        <v>150</v>
      </c>
      <c r="F10822" t="s">
        <v>13</v>
      </c>
      <c r="G10822" s="18">
        <v>1400</v>
      </c>
      <c r="H10822" t="s">
        <v>17</v>
      </c>
      <c r="I10822" t="s">
        <v>25</v>
      </c>
    </row>
    <row r="10823" spans="1:9" x14ac:dyDescent="0.25">
      <c r="A10823">
        <v>1828</v>
      </c>
      <c r="B10823">
        <f>A10823+1</f>
        <v>1829</v>
      </c>
      <c r="C10823" t="s">
        <v>534</v>
      </c>
      <c r="D10823" t="s">
        <v>27</v>
      </c>
      <c r="E10823" s="208" t="s">
        <v>148</v>
      </c>
      <c r="F10823" t="s">
        <v>13</v>
      </c>
      <c r="G10823" s="18">
        <v>0</v>
      </c>
      <c r="H10823" t="s">
        <v>17</v>
      </c>
      <c r="I10823" t="s">
        <v>25</v>
      </c>
    </row>
    <row r="10824" spans="1:9" x14ac:dyDescent="0.25">
      <c r="A10824">
        <v>1828</v>
      </c>
      <c r="B10824">
        <f>A10824+1</f>
        <v>1829</v>
      </c>
      <c r="C10824" t="s">
        <v>534</v>
      </c>
      <c r="D10824" t="s">
        <v>27</v>
      </c>
      <c r="E10824" s="208" t="s">
        <v>147</v>
      </c>
      <c r="F10824" t="s">
        <v>13</v>
      </c>
      <c r="G10824" s="18">
        <v>0</v>
      </c>
      <c r="H10824" s="151" t="s">
        <v>17</v>
      </c>
      <c r="I10824" s="151" t="s">
        <v>25</v>
      </c>
    </row>
    <row r="10825" spans="1:9" x14ac:dyDescent="0.25">
      <c r="A10825">
        <v>1828</v>
      </c>
      <c r="B10825">
        <f>A10825+1</f>
        <v>1829</v>
      </c>
      <c r="C10825" t="s">
        <v>534</v>
      </c>
      <c r="D10825" t="s">
        <v>27</v>
      </c>
      <c r="E10825" s="208" t="s">
        <v>139</v>
      </c>
      <c r="F10825" t="s">
        <v>13</v>
      </c>
      <c r="G10825" s="18">
        <v>7</v>
      </c>
      <c r="H10825" s="151" t="s">
        <v>17</v>
      </c>
      <c r="I10825" s="151" t="s">
        <v>25</v>
      </c>
    </row>
    <row r="10826" spans="1:9" x14ac:dyDescent="0.25">
      <c r="A10826">
        <v>1828</v>
      </c>
      <c r="B10826">
        <f>A10826+1</f>
        <v>1829</v>
      </c>
      <c r="C10826" t="s">
        <v>534</v>
      </c>
      <c r="D10826" t="s">
        <v>27</v>
      </c>
      <c r="E10826" s="208" t="s">
        <v>131</v>
      </c>
      <c r="F10826" t="s">
        <v>13</v>
      </c>
      <c r="G10826" s="18">
        <v>0</v>
      </c>
      <c r="H10826" s="151" t="s">
        <v>17</v>
      </c>
      <c r="I10826" s="151" t="s">
        <v>25</v>
      </c>
    </row>
    <row r="10827" spans="1:9" x14ac:dyDescent="0.25">
      <c r="A10827">
        <v>1828</v>
      </c>
      <c r="B10827">
        <f>A10827+1</f>
        <v>1829</v>
      </c>
      <c r="C10827" t="s">
        <v>534</v>
      </c>
      <c r="D10827" t="s">
        <v>27</v>
      </c>
      <c r="E10827" s="208" t="s">
        <v>130</v>
      </c>
      <c r="F10827" t="s">
        <v>13</v>
      </c>
      <c r="G10827" s="18">
        <v>0</v>
      </c>
      <c r="H10827" t="s">
        <v>25</v>
      </c>
      <c r="I10827" t="s">
        <v>17</v>
      </c>
    </row>
    <row r="10828" spans="1:9" x14ac:dyDescent="0.25">
      <c r="A10828">
        <v>1828</v>
      </c>
      <c r="B10828">
        <f>A10828+1</f>
        <v>1829</v>
      </c>
      <c r="C10828" t="s">
        <v>534</v>
      </c>
      <c r="D10828" t="s">
        <v>27</v>
      </c>
      <c r="E10828" s="208" t="s">
        <v>124</v>
      </c>
      <c r="F10828" t="s">
        <v>13</v>
      </c>
      <c r="G10828" s="18">
        <v>100410</v>
      </c>
      <c r="H10828" t="s">
        <v>25</v>
      </c>
      <c r="I10828" t="s">
        <v>17</v>
      </c>
    </row>
    <row r="10829" spans="1:9" x14ac:dyDescent="0.25">
      <c r="A10829">
        <v>1828</v>
      </c>
      <c r="B10829">
        <f>A10829+1</f>
        <v>1829</v>
      </c>
      <c r="C10829" t="s">
        <v>534</v>
      </c>
      <c r="D10829" t="s">
        <v>27</v>
      </c>
      <c r="E10829" s="208" t="s">
        <v>145</v>
      </c>
      <c r="F10829" t="s">
        <v>13</v>
      </c>
      <c r="G10829" s="18">
        <v>593333</v>
      </c>
      <c r="H10829" t="s">
        <v>25</v>
      </c>
      <c r="I10829" t="s">
        <v>17</v>
      </c>
    </row>
    <row r="10830" spans="1:9" x14ac:dyDescent="0.25">
      <c r="A10830">
        <v>1828</v>
      </c>
      <c r="B10830">
        <f>A10830+1</f>
        <v>1829</v>
      </c>
      <c r="C10830" t="s">
        <v>534</v>
      </c>
      <c r="D10830" t="s">
        <v>27</v>
      </c>
      <c r="E10830" s="208" t="s">
        <v>114</v>
      </c>
      <c r="F10830" t="s">
        <v>13</v>
      </c>
      <c r="G10830" s="18">
        <v>0</v>
      </c>
      <c r="H10830" t="s">
        <v>25</v>
      </c>
      <c r="I10830" t="s">
        <v>17</v>
      </c>
    </row>
    <row r="10831" spans="1:9" x14ac:dyDescent="0.25">
      <c r="A10831">
        <v>1828</v>
      </c>
      <c r="B10831">
        <f>A10831+1</f>
        <v>1829</v>
      </c>
      <c r="C10831" t="s">
        <v>534</v>
      </c>
      <c r="D10831" t="s">
        <v>27</v>
      </c>
      <c r="E10831" s="208" t="s">
        <v>116</v>
      </c>
      <c r="F10831" t="s">
        <v>13</v>
      </c>
      <c r="G10831" s="18">
        <v>0</v>
      </c>
      <c r="H10831" t="s">
        <v>25</v>
      </c>
      <c r="I10831" t="s">
        <v>17</v>
      </c>
    </row>
    <row r="10832" spans="1:9" x14ac:dyDescent="0.25">
      <c r="A10832">
        <v>1828</v>
      </c>
      <c r="B10832">
        <f>A10832+1</f>
        <v>1829</v>
      </c>
      <c r="C10832" t="s">
        <v>534</v>
      </c>
      <c r="D10832" t="s">
        <v>27</v>
      </c>
      <c r="E10832" s="208" t="s">
        <v>137</v>
      </c>
      <c r="F10832" t="s">
        <v>13</v>
      </c>
      <c r="G10832" s="18">
        <v>42</v>
      </c>
      <c r="H10832" t="s">
        <v>25</v>
      </c>
      <c r="I10832" t="s">
        <v>17</v>
      </c>
    </row>
    <row r="10833" spans="1:9" x14ac:dyDescent="0.25">
      <c r="A10833">
        <v>1828</v>
      </c>
      <c r="B10833">
        <f>A10833+1</f>
        <v>1829</v>
      </c>
      <c r="C10833" t="s">
        <v>534</v>
      </c>
      <c r="D10833" t="s">
        <v>27</v>
      </c>
      <c r="E10833" s="208" t="s">
        <v>157</v>
      </c>
      <c r="F10833" t="s">
        <v>13</v>
      </c>
      <c r="G10833" s="18">
        <v>0</v>
      </c>
      <c r="H10833" t="s">
        <v>25</v>
      </c>
      <c r="I10833" t="s">
        <v>17</v>
      </c>
    </row>
    <row r="10834" spans="1:9" x14ac:dyDescent="0.25">
      <c r="A10834">
        <v>1828</v>
      </c>
      <c r="B10834">
        <f>A10834+1</f>
        <v>1829</v>
      </c>
      <c r="C10834" t="s">
        <v>534</v>
      </c>
      <c r="D10834" t="s">
        <v>27</v>
      </c>
      <c r="E10834" s="208" t="s">
        <v>127</v>
      </c>
      <c r="F10834" t="s">
        <v>13</v>
      </c>
      <c r="G10834" s="18">
        <v>0</v>
      </c>
      <c r="H10834" t="s">
        <v>25</v>
      </c>
      <c r="I10834" t="s">
        <v>17</v>
      </c>
    </row>
    <row r="10835" spans="1:9" x14ac:dyDescent="0.25">
      <c r="A10835">
        <v>1828</v>
      </c>
      <c r="B10835">
        <f>A10835+1</f>
        <v>1829</v>
      </c>
      <c r="C10835" t="s">
        <v>534</v>
      </c>
      <c r="D10835" t="s">
        <v>27</v>
      </c>
      <c r="E10835" s="208" t="s">
        <v>133</v>
      </c>
      <c r="F10835" t="s">
        <v>13</v>
      </c>
      <c r="G10835" s="18">
        <v>0</v>
      </c>
      <c r="H10835" t="s">
        <v>25</v>
      </c>
      <c r="I10835" t="s">
        <v>17</v>
      </c>
    </row>
    <row r="10836" spans="1:9" x14ac:dyDescent="0.25">
      <c r="A10836">
        <v>1828</v>
      </c>
      <c r="B10836">
        <f>A10836+1</f>
        <v>1829</v>
      </c>
      <c r="C10836" t="s">
        <v>534</v>
      </c>
      <c r="D10836" t="s">
        <v>27</v>
      </c>
      <c r="E10836" s="208" t="s">
        <v>74</v>
      </c>
      <c r="F10836" t="s">
        <v>13</v>
      </c>
      <c r="G10836" s="18">
        <v>0</v>
      </c>
      <c r="H10836" t="s">
        <v>25</v>
      </c>
      <c r="I10836" t="s">
        <v>17</v>
      </c>
    </row>
    <row r="10837" spans="1:9" x14ac:dyDescent="0.25">
      <c r="A10837">
        <v>1828</v>
      </c>
      <c r="B10837">
        <f>A10837+1</f>
        <v>1829</v>
      </c>
      <c r="C10837" t="s">
        <v>534</v>
      </c>
      <c r="D10837" t="s">
        <v>27</v>
      </c>
      <c r="E10837" s="208" t="s">
        <v>129</v>
      </c>
      <c r="F10837" t="s">
        <v>13</v>
      </c>
      <c r="G10837" s="18">
        <v>0</v>
      </c>
      <c r="H10837" t="s">
        <v>25</v>
      </c>
      <c r="I10837" t="s">
        <v>17</v>
      </c>
    </row>
    <row r="10838" spans="1:9" x14ac:dyDescent="0.25">
      <c r="A10838">
        <v>1828</v>
      </c>
      <c r="B10838">
        <f>A10838+1</f>
        <v>1829</v>
      </c>
      <c r="C10838" t="s">
        <v>534</v>
      </c>
      <c r="D10838" t="s">
        <v>27</v>
      </c>
      <c r="E10838" s="208" t="s">
        <v>141</v>
      </c>
      <c r="F10838" t="s">
        <v>13</v>
      </c>
      <c r="G10838" s="18">
        <v>0</v>
      </c>
      <c r="H10838" t="s">
        <v>17</v>
      </c>
      <c r="I10838" t="s">
        <v>18</v>
      </c>
    </row>
    <row r="10839" spans="1:9" x14ac:dyDescent="0.25">
      <c r="A10839">
        <v>1828</v>
      </c>
      <c r="B10839">
        <f>A10839+1</f>
        <v>1829</v>
      </c>
      <c r="C10839" t="s">
        <v>534</v>
      </c>
      <c r="D10839" t="s">
        <v>27</v>
      </c>
      <c r="E10839" s="208" t="s">
        <v>135</v>
      </c>
      <c r="F10839" t="s">
        <v>13</v>
      </c>
      <c r="G10839" s="18">
        <v>0</v>
      </c>
      <c r="H10839" t="s">
        <v>17</v>
      </c>
      <c r="I10839" t="s">
        <v>18</v>
      </c>
    </row>
    <row r="10840" spans="1:9" x14ac:dyDescent="0.25">
      <c r="A10840">
        <v>1828</v>
      </c>
      <c r="B10840">
        <f>A10840+1</f>
        <v>1829</v>
      </c>
      <c r="C10840" t="s">
        <v>534</v>
      </c>
      <c r="D10840" t="s">
        <v>27</v>
      </c>
      <c r="E10840" s="208" t="s">
        <v>128</v>
      </c>
      <c r="F10840" t="s">
        <v>13</v>
      </c>
      <c r="G10840" s="18">
        <v>0</v>
      </c>
      <c r="H10840" t="s">
        <v>17</v>
      </c>
      <c r="I10840" t="s">
        <v>18</v>
      </c>
    </row>
    <row r="10841" spans="1:9" x14ac:dyDescent="0.25">
      <c r="A10841" s="151">
        <v>1828</v>
      </c>
      <c r="B10841" s="151">
        <f>A10841+1</f>
        <v>1829</v>
      </c>
      <c r="C10841" s="151" t="s">
        <v>534</v>
      </c>
      <c r="D10841" s="151" t="s">
        <v>27</v>
      </c>
      <c r="E10841" s="208" t="s">
        <v>138</v>
      </c>
      <c r="F10841" s="151" t="s">
        <v>13</v>
      </c>
      <c r="G10841" s="152">
        <v>0</v>
      </c>
      <c r="H10841" t="s">
        <v>17</v>
      </c>
      <c r="I10841" t="s">
        <v>18</v>
      </c>
    </row>
    <row r="10842" spans="1:9" x14ac:dyDescent="0.25">
      <c r="A10842" s="151">
        <v>1828</v>
      </c>
      <c r="B10842" s="151">
        <f>A10842+1</f>
        <v>1829</v>
      </c>
      <c r="C10842" s="151" t="s">
        <v>534</v>
      </c>
      <c r="D10842" s="151" t="s">
        <v>27</v>
      </c>
      <c r="E10842" s="208" t="s">
        <v>118</v>
      </c>
      <c r="F10842" s="151" t="s">
        <v>13</v>
      </c>
      <c r="G10842" s="152">
        <v>0</v>
      </c>
      <c r="H10842" t="s">
        <v>17</v>
      </c>
      <c r="I10842" t="s">
        <v>18</v>
      </c>
    </row>
    <row r="10843" spans="1:9" x14ac:dyDescent="0.25">
      <c r="A10843" s="151">
        <v>1828</v>
      </c>
      <c r="B10843" s="151">
        <f>A10843+1</f>
        <v>1829</v>
      </c>
      <c r="C10843" s="151" t="s">
        <v>534</v>
      </c>
      <c r="D10843" s="151" t="s">
        <v>27</v>
      </c>
      <c r="E10843" s="208" t="s">
        <v>134</v>
      </c>
      <c r="F10843" s="151" t="s">
        <v>13</v>
      </c>
      <c r="G10843" s="152">
        <v>0</v>
      </c>
      <c r="H10843" t="s">
        <v>17</v>
      </c>
      <c r="I10843" t="s">
        <v>18</v>
      </c>
    </row>
    <row r="10844" spans="1:9" x14ac:dyDescent="0.25">
      <c r="A10844">
        <v>1828</v>
      </c>
      <c r="B10844">
        <f>A10844+1</f>
        <v>1829</v>
      </c>
      <c r="C10844" t="s">
        <v>534</v>
      </c>
      <c r="D10844" t="s">
        <v>26</v>
      </c>
      <c r="E10844" s="208" t="s">
        <v>62</v>
      </c>
      <c r="F10844" t="s">
        <v>13</v>
      </c>
      <c r="G10844" s="18">
        <v>1289</v>
      </c>
      <c r="H10844" t="s">
        <v>17</v>
      </c>
      <c r="I10844" t="s">
        <v>18</v>
      </c>
    </row>
    <row r="10845" spans="1:9" x14ac:dyDescent="0.25">
      <c r="A10845">
        <v>1828</v>
      </c>
      <c r="B10845">
        <f>A10845+1</f>
        <v>1829</v>
      </c>
      <c r="C10845" t="s">
        <v>534</v>
      </c>
      <c r="D10845" t="s">
        <v>26</v>
      </c>
      <c r="E10845" s="208" t="s">
        <v>55</v>
      </c>
      <c r="F10845" t="s">
        <v>13</v>
      </c>
      <c r="G10845" s="18">
        <v>778</v>
      </c>
      <c r="H10845" t="s">
        <v>17</v>
      </c>
      <c r="I10845" t="s">
        <v>18</v>
      </c>
    </row>
    <row r="10846" spans="1:9" x14ac:dyDescent="0.25">
      <c r="A10846">
        <v>1828</v>
      </c>
      <c r="B10846">
        <f>A10846+1</f>
        <v>1829</v>
      </c>
      <c r="C10846" t="s">
        <v>534</v>
      </c>
      <c r="D10846" t="s">
        <v>26</v>
      </c>
      <c r="E10846" s="208" t="s">
        <v>40</v>
      </c>
      <c r="F10846" t="s">
        <v>13</v>
      </c>
      <c r="G10846" s="18">
        <v>9925</v>
      </c>
      <c r="H10846" t="s">
        <v>17</v>
      </c>
      <c r="I10846" t="s">
        <v>18</v>
      </c>
    </row>
    <row r="10847" spans="1:9" x14ac:dyDescent="0.25">
      <c r="A10847">
        <v>1828</v>
      </c>
      <c r="B10847">
        <f>A10847+1</f>
        <v>1829</v>
      </c>
      <c r="C10847" t="s">
        <v>534</v>
      </c>
      <c r="D10847" t="s">
        <v>26</v>
      </c>
      <c r="E10847" s="208" t="s">
        <v>98</v>
      </c>
      <c r="F10847" t="s">
        <v>13</v>
      </c>
      <c r="G10847" s="18">
        <v>25361</v>
      </c>
      <c r="H10847" t="s">
        <v>17</v>
      </c>
      <c r="I10847" t="s">
        <v>18</v>
      </c>
    </row>
    <row r="10848" spans="1:9" x14ac:dyDescent="0.25">
      <c r="A10848">
        <v>1828</v>
      </c>
      <c r="B10848">
        <f>A10848+1</f>
        <v>1829</v>
      </c>
      <c r="C10848" t="s">
        <v>534</v>
      </c>
      <c r="D10848" t="s">
        <v>26</v>
      </c>
      <c r="E10848" s="208" t="s">
        <v>435</v>
      </c>
      <c r="F10848" t="s">
        <v>13</v>
      </c>
      <c r="G10848" s="18">
        <v>1204</v>
      </c>
      <c r="H10848" t="s">
        <v>17</v>
      </c>
      <c r="I10848" t="s">
        <v>18</v>
      </c>
    </row>
    <row r="10849" spans="1:9" x14ac:dyDescent="0.25">
      <c r="A10849">
        <v>1828</v>
      </c>
      <c r="B10849">
        <f>A10849+1</f>
        <v>1829</v>
      </c>
      <c r="C10849" t="s">
        <v>534</v>
      </c>
      <c r="D10849" t="s">
        <v>26</v>
      </c>
      <c r="E10849" s="208" t="s">
        <v>107</v>
      </c>
      <c r="F10849" t="s">
        <v>13</v>
      </c>
      <c r="G10849" s="18">
        <v>1623795</v>
      </c>
      <c r="H10849" t="s">
        <v>17</v>
      </c>
      <c r="I10849" t="s">
        <v>18</v>
      </c>
    </row>
    <row r="10850" spans="1:9" x14ac:dyDescent="0.25">
      <c r="A10850">
        <v>1828</v>
      </c>
      <c r="B10850">
        <f>A10850+1</f>
        <v>1829</v>
      </c>
      <c r="C10850" t="s">
        <v>534</v>
      </c>
      <c r="D10850" t="s">
        <v>26</v>
      </c>
      <c r="E10850" s="208" t="s">
        <v>101</v>
      </c>
      <c r="F10850" t="s">
        <v>13</v>
      </c>
      <c r="G10850" s="18">
        <v>1250100</v>
      </c>
      <c r="H10850" t="s">
        <v>17</v>
      </c>
      <c r="I10850" t="s">
        <v>18</v>
      </c>
    </row>
    <row r="10851" spans="1:9" x14ac:dyDescent="0.25">
      <c r="A10851">
        <v>1828</v>
      </c>
      <c r="B10851">
        <f>A10851+1</f>
        <v>1829</v>
      </c>
      <c r="C10851" t="s">
        <v>534</v>
      </c>
      <c r="D10851" t="s">
        <v>26</v>
      </c>
      <c r="E10851" s="208" t="s">
        <v>75</v>
      </c>
      <c r="F10851" t="s">
        <v>13</v>
      </c>
      <c r="G10851" s="18">
        <v>672764</v>
      </c>
      <c r="H10851" t="s">
        <v>17</v>
      </c>
      <c r="I10851" t="s">
        <v>18</v>
      </c>
    </row>
    <row r="10852" spans="1:9" x14ac:dyDescent="0.25">
      <c r="A10852">
        <v>1828</v>
      </c>
      <c r="B10852">
        <f>A10852+1</f>
        <v>1829</v>
      </c>
      <c r="C10852" t="s">
        <v>534</v>
      </c>
      <c r="D10852" t="s">
        <v>26</v>
      </c>
      <c r="E10852" s="208" t="s">
        <v>330</v>
      </c>
      <c r="F10852" t="s">
        <v>13</v>
      </c>
      <c r="G10852" s="18">
        <v>1028</v>
      </c>
      <c r="H10852" t="s">
        <v>17</v>
      </c>
      <c r="I10852" t="s">
        <v>18</v>
      </c>
    </row>
    <row r="10853" spans="1:9" x14ac:dyDescent="0.25">
      <c r="A10853">
        <v>1828</v>
      </c>
      <c r="B10853">
        <f>A10853+1</f>
        <v>1829</v>
      </c>
      <c r="C10853" t="s">
        <v>534</v>
      </c>
      <c r="D10853" t="s">
        <v>26</v>
      </c>
      <c r="E10853" s="208" t="s">
        <v>331</v>
      </c>
      <c r="F10853" t="s">
        <v>13</v>
      </c>
      <c r="G10853" s="18">
        <v>1127</v>
      </c>
      <c r="H10853" t="s">
        <v>17</v>
      </c>
      <c r="I10853" t="s">
        <v>18</v>
      </c>
    </row>
    <row r="10854" spans="1:9" x14ac:dyDescent="0.25">
      <c r="A10854">
        <v>1828</v>
      </c>
      <c r="B10854">
        <f>A10854+1</f>
        <v>1829</v>
      </c>
      <c r="C10854" t="s">
        <v>534</v>
      </c>
      <c r="D10854" t="s">
        <v>26</v>
      </c>
      <c r="E10854" s="208" t="s">
        <v>333</v>
      </c>
      <c r="F10854" t="s">
        <v>13</v>
      </c>
      <c r="G10854" s="18">
        <v>802</v>
      </c>
      <c r="H10854" t="s">
        <v>17</v>
      </c>
      <c r="I10854" t="s">
        <v>18</v>
      </c>
    </row>
    <row r="10855" spans="1:9" x14ac:dyDescent="0.25">
      <c r="A10855">
        <v>1828</v>
      </c>
      <c r="B10855">
        <f>A10855+1</f>
        <v>1829</v>
      </c>
      <c r="C10855" t="s">
        <v>534</v>
      </c>
      <c r="D10855" t="s">
        <v>27</v>
      </c>
      <c r="E10855" s="208" t="s">
        <v>155</v>
      </c>
      <c r="F10855" t="s">
        <v>8</v>
      </c>
      <c r="G10855" s="18">
        <v>69474</v>
      </c>
      <c r="H10855" t="s">
        <v>17</v>
      </c>
      <c r="I10855" t="s">
        <v>18</v>
      </c>
    </row>
    <row r="10856" spans="1:9" x14ac:dyDescent="0.25">
      <c r="A10856">
        <v>1828</v>
      </c>
      <c r="B10856">
        <f>A10856+1</f>
        <v>1829</v>
      </c>
      <c r="C10856" t="s">
        <v>534</v>
      </c>
      <c r="D10856" t="s">
        <v>27</v>
      </c>
      <c r="E10856" s="208" t="s">
        <v>156</v>
      </c>
      <c r="F10856" t="s">
        <v>8</v>
      </c>
      <c r="G10856" s="18">
        <v>7513</v>
      </c>
      <c r="H10856" t="s">
        <v>17</v>
      </c>
      <c r="I10856" t="s">
        <v>18</v>
      </c>
    </row>
    <row r="10857" spans="1:9" x14ac:dyDescent="0.25">
      <c r="A10857">
        <v>1828</v>
      </c>
      <c r="B10857">
        <f>A10857+1</f>
        <v>1829</v>
      </c>
      <c r="C10857" t="s">
        <v>534</v>
      </c>
      <c r="D10857" t="s">
        <v>27</v>
      </c>
      <c r="E10857" s="208" t="s">
        <v>154</v>
      </c>
      <c r="F10857" t="s">
        <v>8</v>
      </c>
      <c r="G10857" s="18">
        <v>1220</v>
      </c>
      <c r="H10857" t="s">
        <v>17</v>
      </c>
      <c r="I10857" t="s">
        <v>18</v>
      </c>
    </row>
    <row r="10858" spans="1:9" x14ac:dyDescent="0.25">
      <c r="A10858">
        <v>1828</v>
      </c>
      <c r="B10858">
        <f>A10858+1</f>
        <v>1829</v>
      </c>
      <c r="C10858" t="s">
        <v>534</v>
      </c>
      <c r="D10858" t="s">
        <v>27</v>
      </c>
      <c r="E10858" s="208" t="s">
        <v>150</v>
      </c>
      <c r="F10858" t="s">
        <v>8</v>
      </c>
      <c r="G10858" s="18">
        <v>24120</v>
      </c>
      <c r="H10858" t="s">
        <v>17</v>
      </c>
      <c r="I10858" t="s">
        <v>18</v>
      </c>
    </row>
    <row r="10859" spans="1:9" x14ac:dyDescent="0.25">
      <c r="A10859">
        <v>1828</v>
      </c>
      <c r="B10859">
        <f>A10859+1</f>
        <v>1829</v>
      </c>
      <c r="C10859" t="s">
        <v>534</v>
      </c>
      <c r="D10859" t="s">
        <v>27</v>
      </c>
      <c r="E10859" s="208" t="s">
        <v>148</v>
      </c>
      <c r="F10859" t="s">
        <v>8</v>
      </c>
      <c r="G10859" s="18">
        <v>1741</v>
      </c>
      <c r="H10859" t="s">
        <v>17</v>
      </c>
      <c r="I10859" t="s">
        <v>18</v>
      </c>
    </row>
    <row r="10860" spans="1:9" x14ac:dyDescent="0.25">
      <c r="A10860">
        <v>1828</v>
      </c>
      <c r="B10860">
        <f>A10860+1</f>
        <v>1829</v>
      </c>
      <c r="C10860" t="s">
        <v>534</v>
      </c>
      <c r="D10860" t="s">
        <v>27</v>
      </c>
      <c r="E10860" s="208" t="s">
        <v>147</v>
      </c>
      <c r="F10860" t="s">
        <v>8</v>
      </c>
      <c r="G10860" s="18">
        <v>30</v>
      </c>
      <c r="H10860" t="s">
        <v>17</v>
      </c>
      <c r="I10860" t="s">
        <v>18</v>
      </c>
    </row>
    <row r="10861" spans="1:9" x14ac:dyDescent="0.25">
      <c r="A10861">
        <v>1828</v>
      </c>
      <c r="B10861">
        <f>A10861+1</f>
        <v>1829</v>
      </c>
      <c r="C10861" t="s">
        <v>534</v>
      </c>
      <c r="D10861" t="s">
        <v>27</v>
      </c>
      <c r="E10861" s="208" t="s">
        <v>139</v>
      </c>
      <c r="F10861" t="s">
        <v>8</v>
      </c>
      <c r="G10861" s="18">
        <v>7</v>
      </c>
      <c r="H10861" s="151" t="s">
        <v>17</v>
      </c>
      <c r="I10861" s="151" t="s">
        <v>18</v>
      </c>
    </row>
    <row r="10862" spans="1:9" x14ac:dyDescent="0.25">
      <c r="A10862">
        <v>1828</v>
      </c>
      <c r="B10862">
        <f>A10862+1</f>
        <v>1829</v>
      </c>
      <c r="C10862" t="s">
        <v>534</v>
      </c>
      <c r="D10862" t="s">
        <v>27</v>
      </c>
      <c r="E10862" s="208" t="s">
        <v>131</v>
      </c>
      <c r="F10862" t="s">
        <v>8</v>
      </c>
      <c r="G10862" s="18">
        <v>1162</v>
      </c>
      <c r="H10862" s="151" t="s">
        <v>17</v>
      </c>
      <c r="I10862" s="151" t="s">
        <v>18</v>
      </c>
    </row>
    <row r="10863" spans="1:9" x14ac:dyDescent="0.25">
      <c r="A10863">
        <v>1828</v>
      </c>
      <c r="B10863">
        <f>A10863+1</f>
        <v>1829</v>
      </c>
      <c r="C10863" t="s">
        <v>534</v>
      </c>
      <c r="D10863" t="s">
        <v>27</v>
      </c>
      <c r="E10863" s="208" t="s">
        <v>130</v>
      </c>
      <c r="F10863" t="s">
        <v>8</v>
      </c>
      <c r="G10863" s="18">
        <v>307</v>
      </c>
      <c r="H10863" t="s">
        <v>160</v>
      </c>
      <c r="I10863" t="s">
        <v>17</v>
      </c>
    </row>
    <row r="10864" spans="1:9" x14ac:dyDescent="0.25">
      <c r="A10864">
        <v>1828</v>
      </c>
      <c r="B10864">
        <f>A10864+1</f>
        <v>1829</v>
      </c>
      <c r="C10864" t="s">
        <v>534</v>
      </c>
      <c r="D10864" t="s">
        <v>27</v>
      </c>
      <c r="E10864" s="208" t="s">
        <v>124</v>
      </c>
      <c r="F10864" t="s">
        <v>8</v>
      </c>
      <c r="G10864" s="18">
        <v>8485823</v>
      </c>
      <c r="H10864" t="s">
        <v>160</v>
      </c>
      <c r="I10864" t="s">
        <v>17</v>
      </c>
    </row>
    <row r="10865" spans="1:9" x14ac:dyDescent="0.25">
      <c r="A10865">
        <v>1828</v>
      </c>
      <c r="B10865">
        <f>A10865+1</f>
        <v>1829</v>
      </c>
      <c r="C10865" t="s">
        <v>534</v>
      </c>
      <c r="D10865" t="s">
        <v>27</v>
      </c>
      <c r="E10865" s="208" t="s">
        <v>145</v>
      </c>
      <c r="F10865" t="s">
        <v>8</v>
      </c>
      <c r="G10865" s="18">
        <v>4472453</v>
      </c>
      <c r="H10865" t="s">
        <v>160</v>
      </c>
      <c r="I10865" t="s">
        <v>17</v>
      </c>
    </row>
    <row r="10866" spans="1:9" x14ac:dyDescent="0.25">
      <c r="A10866">
        <v>1828</v>
      </c>
      <c r="B10866">
        <f>A10866+1</f>
        <v>1829</v>
      </c>
      <c r="C10866" t="s">
        <v>534</v>
      </c>
      <c r="D10866" t="s">
        <v>27</v>
      </c>
      <c r="E10866" s="208" t="s">
        <v>114</v>
      </c>
      <c r="F10866" t="s">
        <v>8</v>
      </c>
      <c r="G10866" s="18">
        <v>78</v>
      </c>
      <c r="H10866" t="s">
        <v>160</v>
      </c>
      <c r="I10866" t="s">
        <v>17</v>
      </c>
    </row>
    <row r="10867" spans="1:9" x14ac:dyDescent="0.25">
      <c r="A10867">
        <v>1828</v>
      </c>
      <c r="B10867">
        <f>A10867+1</f>
        <v>1829</v>
      </c>
      <c r="C10867" t="s">
        <v>534</v>
      </c>
      <c r="D10867" t="s">
        <v>27</v>
      </c>
      <c r="E10867" s="208" t="s">
        <v>116</v>
      </c>
      <c r="F10867" t="s">
        <v>8</v>
      </c>
      <c r="G10867" s="18">
        <v>2821</v>
      </c>
      <c r="H10867" t="s">
        <v>160</v>
      </c>
      <c r="I10867" t="s">
        <v>17</v>
      </c>
    </row>
    <row r="10868" spans="1:9" x14ac:dyDescent="0.25">
      <c r="A10868">
        <v>1828</v>
      </c>
      <c r="B10868">
        <f>A10868+1</f>
        <v>1829</v>
      </c>
      <c r="C10868" t="s">
        <v>534</v>
      </c>
      <c r="D10868" t="s">
        <v>27</v>
      </c>
      <c r="E10868" s="208" t="s">
        <v>137</v>
      </c>
      <c r="F10868" t="s">
        <v>8</v>
      </c>
      <c r="G10868" s="18">
        <v>62</v>
      </c>
      <c r="H10868" t="s">
        <v>160</v>
      </c>
      <c r="I10868" t="s">
        <v>17</v>
      </c>
    </row>
    <row r="10869" spans="1:9" x14ac:dyDescent="0.25">
      <c r="A10869">
        <v>1828</v>
      </c>
      <c r="B10869">
        <f>A10869+1</f>
        <v>1829</v>
      </c>
      <c r="C10869" t="s">
        <v>534</v>
      </c>
      <c r="D10869" t="s">
        <v>27</v>
      </c>
      <c r="E10869" s="208" t="s">
        <v>157</v>
      </c>
      <c r="F10869" t="s">
        <v>8</v>
      </c>
      <c r="G10869" s="18">
        <v>72</v>
      </c>
      <c r="H10869" t="s">
        <v>160</v>
      </c>
      <c r="I10869" t="s">
        <v>17</v>
      </c>
    </row>
    <row r="10870" spans="1:9" x14ac:dyDescent="0.25">
      <c r="A10870">
        <v>1828</v>
      </c>
      <c r="B10870">
        <f>A10870+1</f>
        <v>1829</v>
      </c>
      <c r="C10870" t="s">
        <v>534</v>
      </c>
      <c r="D10870" t="s">
        <v>27</v>
      </c>
      <c r="E10870" s="208" t="s">
        <v>127</v>
      </c>
      <c r="F10870" t="s">
        <v>8</v>
      </c>
      <c r="G10870" s="18">
        <v>92</v>
      </c>
      <c r="H10870" t="s">
        <v>160</v>
      </c>
      <c r="I10870" t="s">
        <v>17</v>
      </c>
    </row>
    <row r="10871" spans="1:9" x14ac:dyDescent="0.25">
      <c r="A10871">
        <v>1828</v>
      </c>
      <c r="B10871">
        <f>A10871+1</f>
        <v>1829</v>
      </c>
      <c r="C10871" t="s">
        <v>534</v>
      </c>
      <c r="D10871" t="s">
        <v>27</v>
      </c>
      <c r="E10871" s="208" t="s">
        <v>133</v>
      </c>
      <c r="F10871" t="s">
        <v>8</v>
      </c>
      <c r="G10871" s="18">
        <v>6707</v>
      </c>
      <c r="H10871" t="s">
        <v>160</v>
      </c>
      <c r="I10871" t="s">
        <v>17</v>
      </c>
    </row>
    <row r="10872" spans="1:9" x14ac:dyDescent="0.25">
      <c r="A10872">
        <v>1828</v>
      </c>
      <c r="B10872">
        <f>A10872+1</f>
        <v>1829</v>
      </c>
      <c r="C10872" t="s">
        <v>534</v>
      </c>
      <c r="D10872" t="s">
        <v>27</v>
      </c>
      <c r="E10872" s="208" t="s">
        <v>74</v>
      </c>
      <c r="F10872" t="s">
        <v>8</v>
      </c>
      <c r="G10872" s="18">
        <v>4973.5</v>
      </c>
      <c r="H10872" t="s">
        <v>160</v>
      </c>
      <c r="I10872" t="s">
        <v>17</v>
      </c>
    </row>
    <row r="10873" spans="1:9" x14ac:dyDescent="0.25">
      <c r="A10873">
        <v>1828</v>
      </c>
      <c r="B10873">
        <f>A10873+1</f>
        <v>1829</v>
      </c>
      <c r="C10873" t="s">
        <v>534</v>
      </c>
      <c r="D10873" t="s">
        <v>27</v>
      </c>
      <c r="E10873" s="208" t="s">
        <v>129</v>
      </c>
      <c r="F10873" t="s">
        <v>8</v>
      </c>
      <c r="G10873" s="18">
        <v>1010.5</v>
      </c>
      <c r="H10873" t="s">
        <v>160</v>
      </c>
      <c r="I10873" t="s">
        <v>17</v>
      </c>
    </row>
    <row r="10874" spans="1:9" x14ac:dyDescent="0.25">
      <c r="A10874">
        <v>1828</v>
      </c>
      <c r="B10874">
        <f>A10874+1</f>
        <v>1829</v>
      </c>
      <c r="C10874" t="s">
        <v>534</v>
      </c>
      <c r="D10874" t="s">
        <v>27</v>
      </c>
      <c r="E10874" s="208" t="s">
        <v>141</v>
      </c>
      <c r="F10874" t="s">
        <v>8</v>
      </c>
      <c r="G10874" s="18">
        <v>96</v>
      </c>
      <c r="H10874" t="s">
        <v>160</v>
      </c>
      <c r="I10874" t="s">
        <v>17</v>
      </c>
    </row>
    <row r="10875" spans="1:9" x14ac:dyDescent="0.25">
      <c r="A10875">
        <v>1828</v>
      </c>
      <c r="B10875">
        <f>A10875+1</f>
        <v>1829</v>
      </c>
      <c r="C10875" t="s">
        <v>534</v>
      </c>
      <c r="D10875" t="s">
        <v>27</v>
      </c>
      <c r="E10875" s="208" t="s">
        <v>135</v>
      </c>
      <c r="F10875" t="s">
        <v>8</v>
      </c>
      <c r="G10875" s="18">
        <v>187.5</v>
      </c>
      <c r="H10875" t="s">
        <v>17</v>
      </c>
      <c r="I10875" t="s">
        <v>21</v>
      </c>
    </row>
    <row r="10876" spans="1:9" x14ac:dyDescent="0.25">
      <c r="A10876">
        <v>1828</v>
      </c>
      <c r="B10876">
        <f>A10876+1</f>
        <v>1829</v>
      </c>
      <c r="C10876" t="s">
        <v>534</v>
      </c>
      <c r="D10876" t="s">
        <v>27</v>
      </c>
      <c r="E10876" s="208" t="s">
        <v>128</v>
      </c>
      <c r="F10876" t="s">
        <v>8</v>
      </c>
      <c r="G10876" s="18">
        <v>75.5</v>
      </c>
      <c r="H10876" t="s">
        <v>17</v>
      </c>
      <c r="I10876" t="s">
        <v>21</v>
      </c>
    </row>
    <row r="10877" spans="1:9" x14ac:dyDescent="0.25">
      <c r="A10877">
        <v>1828</v>
      </c>
      <c r="B10877">
        <f>A10877+1</f>
        <v>1829</v>
      </c>
      <c r="C10877" t="s">
        <v>534</v>
      </c>
      <c r="D10877" t="s">
        <v>27</v>
      </c>
      <c r="E10877" s="208" t="s">
        <v>138</v>
      </c>
      <c r="F10877" t="s">
        <v>8</v>
      </c>
      <c r="G10877" s="18">
        <v>584</v>
      </c>
      <c r="H10877" t="s">
        <v>17</v>
      </c>
      <c r="I10877" t="s">
        <v>21</v>
      </c>
    </row>
    <row r="10878" spans="1:9" x14ac:dyDescent="0.25">
      <c r="A10878" s="151">
        <v>1828</v>
      </c>
      <c r="B10878" s="151">
        <f>A10878+1</f>
        <v>1829</v>
      </c>
      <c r="C10878" s="151" t="s">
        <v>534</v>
      </c>
      <c r="D10878" s="151" t="s">
        <v>27</v>
      </c>
      <c r="E10878" s="208" t="s">
        <v>118</v>
      </c>
      <c r="F10878" s="151" t="s">
        <v>8</v>
      </c>
      <c r="G10878" s="152">
        <v>96</v>
      </c>
      <c r="H10878" t="s">
        <v>17</v>
      </c>
      <c r="I10878" t="s">
        <v>21</v>
      </c>
    </row>
    <row r="10879" spans="1:9" x14ac:dyDescent="0.25">
      <c r="A10879" s="151">
        <v>1828</v>
      </c>
      <c r="B10879" s="151">
        <f>A10879+1</f>
        <v>1829</v>
      </c>
      <c r="C10879" s="151" t="s">
        <v>534</v>
      </c>
      <c r="D10879" s="151" t="s">
        <v>27</v>
      </c>
      <c r="E10879" s="208" t="s">
        <v>134</v>
      </c>
      <c r="F10879" s="151" t="s">
        <v>8</v>
      </c>
      <c r="G10879" s="152">
        <v>21908</v>
      </c>
      <c r="H10879" t="s">
        <v>17</v>
      </c>
      <c r="I10879" t="s">
        <v>21</v>
      </c>
    </row>
    <row r="10880" spans="1:9" x14ac:dyDescent="0.25">
      <c r="A10880">
        <v>1828</v>
      </c>
      <c r="B10880">
        <f>A10880+1</f>
        <v>1829</v>
      </c>
      <c r="C10880" t="s">
        <v>534</v>
      </c>
      <c r="D10880" t="s">
        <v>26</v>
      </c>
      <c r="E10880" s="208" t="s">
        <v>62</v>
      </c>
      <c r="F10880" t="s">
        <v>164</v>
      </c>
      <c r="G10880" s="18">
        <v>113</v>
      </c>
      <c r="H10880" t="s">
        <v>17</v>
      </c>
      <c r="I10880" t="s">
        <v>21</v>
      </c>
    </row>
    <row r="10881" spans="1:9" x14ac:dyDescent="0.25">
      <c r="A10881">
        <v>1828</v>
      </c>
      <c r="B10881">
        <f>A10881+1</f>
        <v>1829</v>
      </c>
      <c r="C10881" t="s">
        <v>534</v>
      </c>
      <c r="D10881" t="s">
        <v>26</v>
      </c>
      <c r="E10881" s="208" t="s">
        <v>55</v>
      </c>
      <c r="F10881" t="s">
        <v>164</v>
      </c>
      <c r="G10881" s="18">
        <v>128</v>
      </c>
      <c r="H10881" t="s">
        <v>17</v>
      </c>
      <c r="I10881" t="s">
        <v>21</v>
      </c>
    </row>
    <row r="10882" spans="1:9" x14ac:dyDescent="0.25">
      <c r="A10882">
        <v>1828</v>
      </c>
      <c r="B10882">
        <f>A10882+1</f>
        <v>1829</v>
      </c>
      <c r="C10882" t="s">
        <v>534</v>
      </c>
      <c r="D10882" t="s">
        <v>26</v>
      </c>
      <c r="E10882" s="208" t="s">
        <v>40</v>
      </c>
      <c r="F10882" t="s">
        <v>164</v>
      </c>
      <c r="G10882" s="18">
        <v>9768</v>
      </c>
      <c r="H10882" t="s">
        <v>17</v>
      </c>
      <c r="I10882" t="s">
        <v>21</v>
      </c>
    </row>
    <row r="10883" spans="1:9" x14ac:dyDescent="0.25">
      <c r="A10883">
        <v>1828</v>
      </c>
      <c r="B10883">
        <f>A10883+1</f>
        <v>1829</v>
      </c>
      <c r="C10883" t="s">
        <v>534</v>
      </c>
      <c r="D10883" t="s">
        <v>26</v>
      </c>
      <c r="E10883" s="208" t="s">
        <v>98</v>
      </c>
      <c r="F10883" t="s">
        <v>164</v>
      </c>
      <c r="G10883" s="18">
        <v>90579</v>
      </c>
      <c r="H10883" t="s">
        <v>17</v>
      </c>
      <c r="I10883" t="s">
        <v>21</v>
      </c>
    </row>
    <row r="10884" spans="1:9" x14ac:dyDescent="0.25">
      <c r="A10884">
        <v>1828</v>
      </c>
      <c r="B10884">
        <f>A10884+1</f>
        <v>1829</v>
      </c>
      <c r="C10884" t="s">
        <v>534</v>
      </c>
      <c r="D10884" t="s">
        <v>26</v>
      </c>
      <c r="E10884" s="208" t="s">
        <v>435</v>
      </c>
      <c r="F10884" t="s">
        <v>164</v>
      </c>
      <c r="G10884" s="18">
        <v>75</v>
      </c>
      <c r="H10884" t="s">
        <v>17</v>
      </c>
      <c r="I10884" t="s">
        <v>21</v>
      </c>
    </row>
    <row r="10885" spans="1:9" x14ac:dyDescent="0.25">
      <c r="A10885">
        <v>1828</v>
      </c>
      <c r="B10885">
        <f>A10885+1</f>
        <v>1829</v>
      </c>
      <c r="C10885" t="s">
        <v>534</v>
      </c>
      <c r="D10885" t="s">
        <v>26</v>
      </c>
      <c r="E10885" s="208" t="s">
        <v>107</v>
      </c>
      <c r="F10885" t="s">
        <v>164</v>
      </c>
      <c r="G10885" s="18">
        <v>24780</v>
      </c>
      <c r="H10885" t="s">
        <v>17</v>
      </c>
      <c r="I10885" t="s">
        <v>21</v>
      </c>
    </row>
    <row r="10886" spans="1:9" x14ac:dyDescent="0.25">
      <c r="A10886">
        <v>1828</v>
      </c>
      <c r="B10886">
        <f>A10886+1</f>
        <v>1829</v>
      </c>
      <c r="C10886" t="s">
        <v>534</v>
      </c>
      <c r="D10886" t="s">
        <v>26</v>
      </c>
      <c r="E10886" s="208" t="s">
        <v>75</v>
      </c>
      <c r="F10886" t="s">
        <v>164</v>
      </c>
      <c r="G10886" s="18">
        <v>211286</v>
      </c>
      <c r="H10886" t="s">
        <v>17</v>
      </c>
      <c r="I10886" t="s">
        <v>21</v>
      </c>
    </row>
    <row r="10887" spans="1:9" x14ac:dyDescent="0.25">
      <c r="A10887">
        <v>1828</v>
      </c>
      <c r="B10887">
        <f>A10887+1</f>
        <v>1829</v>
      </c>
      <c r="C10887" t="s">
        <v>534</v>
      </c>
      <c r="D10887" t="s">
        <v>26</v>
      </c>
      <c r="E10887" s="208" t="s">
        <v>66</v>
      </c>
      <c r="F10887" t="s">
        <v>164</v>
      </c>
      <c r="G10887" s="18">
        <v>9564</v>
      </c>
      <c r="H10887" t="s">
        <v>17</v>
      </c>
      <c r="I10887" t="s">
        <v>21</v>
      </c>
    </row>
    <row r="10888" spans="1:9" x14ac:dyDescent="0.25">
      <c r="A10888">
        <v>1828</v>
      </c>
      <c r="B10888">
        <f>A10888+1</f>
        <v>1829</v>
      </c>
      <c r="C10888" t="s">
        <v>534</v>
      </c>
      <c r="D10888" t="s">
        <v>26</v>
      </c>
      <c r="E10888" s="208" t="s">
        <v>330</v>
      </c>
      <c r="F10888" t="s">
        <v>164</v>
      </c>
      <c r="G10888" s="18">
        <v>1</v>
      </c>
      <c r="H10888" t="s">
        <v>17</v>
      </c>
      <c r="I10888" t="s">
        <v>21</v>
      </c>
    </row>
    <row r="10889" spans="1:9" x14ac:dyDescent="0.25">
      <c r="A10889">
        <v>1828</v>
      </c>
      <c r="B10889">
        <f>A10889+1</f>
        <v>1829</v>
      </c>
      <c r="C10889" t="s">
        <v>534</v>
      </c>
      <c r="D10889" t="s">
        <v>26</v>
      </c>
      <c r="E10889" s="208" t="s">
        <v>331</v>
      </c>
      <c r="F10889" t="s">
        <v>164</v>
      </c>
      <c r="G10889" s="18">
        <v>44</v>
      </c>
      <c r="H10889" t="s">
        <v>17</v>
      </c>
      <c r="I10889" t="s">
        <v>21</v>
      </c>
    </row>
    <row r="10890" spans="1:9" x14ac:dyDescent="0.25">
      <c r="A10890">
        <v>1828</v>
      </c>
      <c r="B10890">
        <f>A10890+1</f>
        <v>1829</v>
      </c>
      <c r="C10890" t="s">
        <v>534</v>
      </c>
      <c r="D10890" t="s">
        <v>26</v>
      </c>
      <c r="E10890" s="208" t="s">
        <v>332</v>
      </c>
      <c r="F10890" t="s">
        <v>164</v>
      </c>
      <c r="G10890" s="18">
        <v>22</v>
      </c>
      <c r="H10890" t="s">
        <v>17</v>
      </c>
      <c r="I10890" t="s">
        <v>21</v>
      </c>
    </row>
    <row r="10891" spans="1:9" x14ac:dyDescent="0.25">
      <c r="A10891">
        <v>1828</v>
      </c>
      <c r="B10891">
        <f>A10891+1</f>
        <v>1829</v>
      </c>
      <c r="C10891" t="s">
        <v>534</v>
      </c>
      <c r="D10891" t="s">
        <v>26</v>
      </c>
      <c r="E10891" s="208" t="s">
        <v>333</v>
      </c>
      <c r="F10891" t="s">
        <v>164</v>
      </c>
      <c r="G10891" s="18">
        <v>1</v>
      </c>
      <c r="H10891" t="s">
        <v>17</v>
      </c>
      <c r="I10891" t="s">
        <v>21</v>
      </c>
    </row>
    <row r="10892" spans="1:9" x14ac:dyDescent="0.25">
      <c r="A10892">
        <v>1828</v>
      </c>
      <c r="B10892">
        <f>A10892+1</f>
        <v>1829</v>
      </c>
      <c r="C10892" t="s">
        <v>534</v>
      </c>
      <c r="D10892" t="s">
        <v>27</v>
      </c>
      <c r="E10892" s="208" t="s">
        <v>155</v>
      </c>
      <c r="F10892" t="s">
        <v>9</v>
      </c>
      <c r="G10892" s="18">
        <v>830</v>
      </c>
      <c r="H10892" t="s">
        <v>17</v>
      </c>
      <c r="I10892" t="s">
        <v>21</v>
      </c>
    </row>
    <row r="10893" spans="1:9" x14ac:dyDescent="0.25">
      <c r="A10893">
        <v>1828</v>
      </c>
      <c r="B10893">
        <f>A10893+1</f>
        <v>1829</v>
      </c>
      <c r="C10893" t="s">
        <v>534</v>
      </c>
      <c r="D10893" t="s">
        <v>27</v>
      </c>
      <c r="E10893" s="208" t="s">
        <v>156</v>
      </c>
      <c r="F10893" t="s">
        <v>9</v>
      </c>
      <c r="G10893" s="18">
        <v>105</v>
      </c>
      <c r="H10893" t="s">
        <v>17</v>
      </c>
      <c r="I10893" t="s">
        <v>21</v>
      </c>
    </row>
    <row r="10894" spans="1:9" x14ac:dyDescent="0.25">
      <c r="A10894">
        <v>1828</v>
      </c>
      <c r="B10894">
        <f>A10894+1</f>
        <v>1829</v>
      </c>
      <c r="C10894" t="s">
        <v>534</v>
      </c>
      <c r="D10894" t="s">
        <v>27</v>
      </c>
      <c r="E10894" s="208" t="s">
        <v>154</v>
      </c>
      <c r="F10894" t="s">
        <v>9</v>
      </c>
      <c r="G10894" s="18">
        <v>4</v>
      </c>
      <c r="H10894" t="s">
        <v>17</v>
      </c>
      <c r="I10894" t="s">
        <v>21</v>
      </c>
    </row>
    <row r="10895" spans="1:9" x14ac:dyDescent="0.25">
      <c r="A10895">
        <v>1828</v>
      </c>
      <c r="B10895">
        <f>A10895+1</f>
        <v>1829</v>
      </c>
      <c r="C10895" t="s">
        <v>534</v>
      </c>
      <c r="D10895" t="s">
        <v>27</v>
      </c>
      <c r="E10895" s="208" t="s">
        <v>150</v>
      </c>
      <c r="F10895" t="s">
        <v>9</v>
      </c>
      <c r="G10895" s="18">
        <v>373</v>
      </c>
      <c r="H10895" t="s">
        <v>17</v>
      </c>
      <c r="I10895" t="s">
        <v>21</v>
      </c>
    </row>
    <row r="10896" spans="1:9" x14ac:dyDescent="0.25">
      <c r="A10896">
        <v>1828</v>
      </c>
      <c r="B10896">
        <f>A10896+1</f>
        <v>1829</v>
      </c>
      <c r="C10896" t="s">
        <v>534</v>
      </c>
      <c r="D10896" t="s">
        <v>27</v>
      </c>
      <c r="E10896" s="208" t="s">
        <v>148</v>
      </c>
      <c r="F10896" t="s">
        <v>9</v>
      </c>
      <c r="G10896" s="18">
        <v>87</v>
      </c>
      <c r="H10896" t="s">
        <v>17</v>
      </c>
      <c r="I10896" t="s">
        <v>21</v>
      </c>
    </row>
    <row r="10897" spans="1:9" x14ac:dyDescent="0.25">
      <c r="A10897">
        <v>1828</v>
      </c>
      <c r="B10897">
        <f>A10897+1</f>
        <v>1829</v>
      </c>
      <c r="C10897" t="s">
        <v>534</v>
      </c>
      <c r="D10897" t="s">
        <v>27</v>
      </c>
      <c r="E10897" s="208" t="s">
        <v>147</v>
      </c>
      <c r="F10897" t="s">
        <v>9</v>
      </c>
      <c r="G10897" s="18">
        <v>0</v>
      </c>
      <c r="H10897" t="s">
        <v>17</v>
      </c>
      <c r="I10897" t="s">
        <v>21</v>
      </c>
    </row>
    <row r="10898" spans="1:9" x14ac:dyDescent="0.25">
      <c r="A10898">
        <v>1828</v>
      </c>
      <c r="B10898">
        <f>A10898+1</f>
        <v>1829</v>
      </c>
      <c r="C10898" t="s">
        <v>534</v>
      </c>
      <c r="D10898" t="s">
        <v>27</v>
      </c>
      <c r="E10898" s="208" t="s">
        <v>139</v>
      </c>
      <c r="F10898" t="s">
        <v>9</v>
      </c>
      <c r="G10898" s="18">
        <v>0</v>
      </c>
      <c r="H10898" s="151" t="s">
        <v>17</v>
      </c>
      <c r="I10898" s="151" t="s">
        <v>21</v>
      </c>
    </row>
    <row r="10899" spans="1:9" x14ac:dyDescent="0.25">
      <c r="A10899">
        <v>1828</v>
      </c>
      <c r="B10899">
        <f>A10899+1</f>
        <v>1829</v>
      </c>
      <c r="C10899" t="s">
        <v>534</v>
      </c>
      <c r="D10899" t="s">
        <v>27</v>
      </c>
      <c r="E10899" s="208" t="s">
        <v>131</v>
      </c>
      <c r="F10899" t="s">
        <v>9</v>
      </c>
      <c r="G10899" s="18">
        <v>0</v>
      </c>
      <c r="H10899" s="151" t="s">
        <v>17</v>
      </c>
      <c r="I10899" s="151" t="s">
        <v>21</v>
      </c>
    </row>
    <row r="10900" spans="1:9" x14ac:dyDescent="0.25">
      <c r="A10900">
        <v>1828</v>
      </c>
      <c r="B10900">
        <f>A10900+1</f>
        <v>1829</v>
      </c>
      <c r="C10900" t="s">
        <v>534</v>
      </c>
      <c r="D10900" t="s">
        <v>27</v>
      </c>
      <c r="E10900" s="208" t="s">
        <v>130</v>
      </c>
      <c r="F10900" t="s">
        <v>9</v>
      </c>
      <c r="G10900" s="18">
        <v>0</v>
      </c>
      <c r="H10900" t="s">
        <v>17</v>
      </c>
      <c r="I10900" s="151" t="s">
        <v>562</v>
      </c>
    </row>
    <row r="10901" spans="1:9" x14ac:dyDescent="0.25">
      <c r="A10901">
        <v>1828</v>
      </c>
      <c r="B10901">
        <f>A10901+1</f>
        <v>1829</v>
      </c>
      <c r="C10901" t="s">
        <v>534</v>
      </c>
      <c r="D10901" t="s">
        <v>27</v>
      </c>
      <c r="E10901" s="208" t="s">
        <v>124</v>
      </c>
      <c r="F10901" t="s">
        <v>9</v>
      </c>
      <c r="G10901" s="18">
        <v>53864</v>
      </c>
      <c r="H10901" t="s">
        <v>17</v>
      </c>
      <c r="I10901" s="151" t="s">
        <v>562</v>
      </c>
    </row>
    <row r="10902" spans="1:9" x14ac:dyDescent="0.25">
      <c r="A10902">
        <v>1828</v>
      </c>
      <c r="B10902">
        <f>A10902+1</f>
        <v>1829</v>
      </c>
      <c r="C10902" t="s">
        <v>534</v>
      </c>
      <c r="D10902" t="s">
        <v>27</v>
      </c>
      <c r="E10902" s="208" t="s">
        <v>145</v>
      </c>
      <c r="F10902" t="s">
        <v>9</v>
      </c>
      <c r="G10902" s="18">
        <v>7000</v>
      </c>
      <c r="H10902" t="s">
        <v>17</v>
      </c>
      <c r="I10902" s="151" t="s">
        <v>562</v>
      </c>
    </row>
    <row r="10903" spans="1:9" x14ac:dyDescent="0.25">
      <c r="A10903">
        <v>1828</v>
      </c>
      <c r="B10903">
        <f>A10903+1</f>
        <v>1829</v>
      </c>
      <c r="C10903" t="s">
        <v>534</v>
      </c>
      <c r="D10903" t="s">
        <v>27</v>
      </c>
      <c r="E10903" s="208" t="s">
        <v>114</v>
      </c>
      <c r="F10903" t="s">
        <v>9</v>
      </c>
      <c r="G10903" s="18">
        <v>0</v>
      </c>
      <c r="H10903" t="s">
        <v>17</v>
      </c>
      <c r="I10903" s="151" t="s">
        <v>562</v>
      </c>
    </row>
    <row r="10904" spans="1:9" x14ac:dyDescent="0.25">
      <c r="A10904">
        <v>1828</v>
      </c>
      <c r="B10904">
        <f>A10904+1</f>
        <v>1829</v>
      </c>
      <c r="C10904" t="s">
        <v>534</v>
      </c>
      <c r="D10904" t="s">
        <v>27</v>
      </c>
      <c r="E10904" s="208" t="s">
        <v>116</v>
      </c>
      <c r="F10904" t="s">
        <v>9</v>
      </c>
      <c r="G10904" s="18">
        <v>2</v>
      </c>
      <c r="H10904" t="s">
        <v>17</v>
      </c>
      <c r="I10904" s="151" t="s">
        <v>562</v>
      </c>
    </row>
    <row r="10905" spans="1:9" x14ac:dyDescent="0.25">
      <c r="A10905">
        <v>1828</v>
      </c>
      <c r="B10905">
        <f>A10905+1</f>
        <v>1829</v>
      </c>
      <c r="C10905" t="s">
        <v>534</v>
      </c>
      <c r="D10905" t="s">
        <v>27</v>
      </c>
      <c r="E10905" s="208" t="s">
        <v>137</v>
      </c>
      <c r="F10905" t="s">
        <v>9</v>
      </c>
      <c r="G10905" s="18">
        <v>14</v>
      </c>
      <c r="H10905" t="s">
        <v>17</v>
      </c>
      <c r="I10905" s="151" t="s">
        <v>562</v>
      </c>
    </row>
    <row r="10906" spans="1:9" x14ac:dyDescent="0.25">
      <c r="A10906">
        <v>1828</v>
      </c>
      <c r="B10906">
        <f>A10906+1</f>
        <v>1829</v>
      </c>
      <c r="C10906" t="s">
        <v>534</v>
      </c>
      <c r="D10906" t="s">
        <v>27</v>
      </c>
      <c r="E10906" s="208" t="s">
        <v>157</v>
      </c>
      <c r="F10906" t="s">
        <v>9</v>
      </c>
      <c r="G10906" s="18">
        <v>0</v>
      </c>
      <c r="H10906" t="s">
        <v>17</v>
      </c>
      <c r="I10906" s="151" t="s">
        <v>562</v>
      </c>
    </row>
    <row r="10907" spans="1:9" x14ac:dyDescent="0.25">
      <c r="A10907">
        <v>1828</v>
      </c>
      <c r="B10907">
        <f>A10907+1</f>
        <v>1829</v>
      </c>
      <c r="C10907" t="s">
        <v>534</v>
      </c>
      <c r="D10907" t="s">
        <v>27</v>
      </c>
      <c r="E10907" s="208" t="s">
        <v>127</v>
      </c>
      <c r="F10907" t="s">
        <v>9</v>
      </c>
      <c r="G10907" s="18">
        <v>0</v>
      </c>
      <c r="H10907" t="s">
        <v>17</v>
      </c>
      <c r="I10907" s="151" t="s">
        <v>562</v>
      </c>
    </row>
    <row r="10908" spans="1:9" x14ac:dyDescent="0.25">
      <c r="A10908">
        <v>1828</v>
      </c>
      <c r="B10908">
        <f>A10908+1</f>
        <v>1829</v>
      </c>
      <c r="C10908" t="s">
        <v>534</v>
      </c>
      <c r="D10908" t="s">
        <v>27</v>
      </c>
      <c r="E10908" s="208" t="s">
        <v>133</v>
      </c>
      <c r="F10908" t="s">
        <v>9</v>
      </c>
      <c r="G10908" s="18">
        <v>358</v>
      </c>
      <c r="H10908" t="s">
        <v>17</v>
      </c>
      <c r="I10908" s="151" t="s">
        <v>562</v>
      </c>
    </row>
    <row r="10909" spans="1:9" x14ac:dyDescent="0.25">
      <c r="A10909">
        <v>1828</v>
      </c>
      <c r="B10909">
        <f>A10909+1</f>
        <v>1829</v>
      </c>
      <c r="C10909" t="s">
        <v>534</v>
      </c>
      <c r="D10909" t="s">
        <v>27</v>
      </c>
      <c r="E10909" s="208" t="s">
        <v>74</v>
      </c>
      <c r="F10909" t="s">
        <v>9</v>
      </c>
      <c r="G10909" s="18">
        <v>106</v>
      </c>
      <c r="H10909" t="s">
        <v>17</v>
      </c>
      <c r="I10909" s="151" t="s">
        <v>562</v>
      </c>
    </row>
    <row r="10910" spans="1:9" x14ac:dyDescent="0.25">
      <c r="A10910">
        <v>1828</v>
      </c>
      <c r="B10910">
        <f>A10910+1</f>
        <v>1829</v>
      </c>
      <c r="C10910" t="s">
        <v>534</v>
      </c>
      <c r="D10910" t="s">
        <v>27</v>
      </c>
      <c r="E10910" s="208" t="s">
        <v>129</v>
      </c>
      <c r="F10910" t="s">
        <v>9</v>
      </c>
      <c r="G10910" s="18">
        <v>0</v>
      </c>
      <c r="H10910" t="s">
        <v>17</v>
      </c>
      <c r="I10910" s="151" t="s">
        <v>562</v>
      </c>
    </row>
    <row r="10911" spans="1:9" x14ac:dyDescent="0.25">
      <c r="A10911">
        <v>1828</v>
      </c>
      <c r="B10911">
        <f>A10911+1</f>
        <v>1829</v>
      </c>
      <c r="C10911" t="s">
        <v>534</v>
      </c>
      <c r="D10911" t="s">
        <v>27</v>
      </c>
      <c r="E10911" s="208" t="s">
        <v>141</v>
      </c>
      <c r="F10911" t="s">
        <v>9</v>
      </c>
      <c r="G10911" s="18">
        <v>0</v>
      </c>
      <c r="H10911" t="s">
        <v>17</v>
      </c>
      <c r="I10911" s="151" t="s">
        <v>562</v>
      </c>
    </row>
    <row r="10912" spans="1:9" x14ac:dyDescent="0.25">
      <c r="A10912">
        <v>1828</v>
      </c>
      <c r="B10912">
        <f>A10912+1</f>
        <v>1829</v>
      </c>
      <c r="C10912" t="s">
        <v>534</v>
      </c>
      <c r="D10912" t="s">
        <v>27</v>
      </c>
      <c r="E10912" s="208" t="s">
        <v>135</v>
      </c>
      <c r="F10912" t="s">
        <v>9</v>
      </c>
      <c r="G10912" s="18">
        <v>2</v>
      </c>
      <c r="H10912" t="s">
        <v>17</v>
      </c>
      <c r="I10912" s="151" t="s">
        <v>562</v>
      </c>
    </row>
    <row r="10913" spans="1:9" x14ac:dyDescent="0.25">
      <c r="A10913">
        <v>1828</v>
      </c>
      <c r="B10913">
        <f>A10913+1</f>
        <v>1829</v>
      </c>
      <c r="C10913" t="s">
        <v>534</v>
      </c>
      <c r="D10913" t="s">
        <v>27</v>
      </c>
      <c r="E10913" s="208" t="s">
        <v>128</v>
      </c>
      <c r="F10913" t="s">
        <v>9</v>
      </c>
      <c r="G10913" s="18">
        <v>0</v>
      </c>
      <c r="H10913" t="s">
        <v>17</v>
      </c>
      <c r="I10913" s="151" t="s">
        <v>562</v>
      </c>
    </row>
    <row r="10914" spans="1:9" x14ac:dyDescent="0.25">
      <c r="A10914">
        <v>1828</v>
      </c>
      <c r="B10914">
        <f>A10914+1</f>
        <v>1829</v>
      </c>
      <c r="C10914" t="s">
        <v>534</v>
      </c>
      <c r="D10914" t="s">
        <v>27</v>
      </c>
      <c r="E10914" s="208" t="s">
        <v>138</v>
      </c>
      <c r="F10914" t="s">
        <v>9</v>
      </c>
      <c r="G10914" s="18">
        <v>0</v>
      </c>
      <c r="H10914" t="s">
        <v>17</v>
      </c>
      <c r="I10914" s="151" t="s">
        <v>562</v>
      </c>
    </row>
    <row r="10915" spans="1:9" x14ac:dyDescent="0.25">
      <c r="A10915" s="151">
        <v>1828</v>
      </c>
      <c r="B10915" s="151">
        <f>A10915+1</f>
        <v>1829</v>
      </c>
      <c r="C10915" s="151" t="s">
        <v>534</v>
      </c>
      <c r="D10915" s="151" t="s">
        <v>27</v>
      </c>
      <c r="E10915" s="208" t="s">
        <v>118</v>
      </c>
      <c r="F10915" s="151" t="s">
        <v>9</v>
      </c>
      <c r="G10915" s="152">
        <v>0</v>
      </c>
      <c r="H10915" t="s">
        <v>17</v>
      </c>
      <c r="I10915" s="151" t="s">
        <v>562</v>
      </c>
    </row>
    <row r="10916" spans="1:9" x14ac:dyDescent="0.25">
      <c r="A10916" s="151">
        <v>1828</v>
      </c>
      <c r="B10916" s="151">
        <f>A10916+1</f>
        <v>1829</v>
      </c>
      <c r="C10916" s="151" t="s">
        <v>534</v>
      </c>
      <c r="D10916" s="151" t="s">
        <v>27</v>
      </c>
      <c r="E10916" s="208" t="s">
        <v>134</v>
      </c>
      <c r="F10916" s="151" t="s">
        <v>9</v>
      </c>
      <c r="G10916" s="152">
        <v>124</v>
      </c>
      <c r="H10916" t="s">
        <v>17</v>
      </c>
      <c r="I10916" s="151" t="s">
        <v>562</v>
      </c>
    </row>
    <row r="10917" spans="1:9" x14ac:dyDescent="0.25">
      <c r="A10917">
        <v>1828</v>
      </c>
      <c r="B10917">
        <f>A10917+1</f>
        <v>1829</v>
      </c>
      <c r="C10917" t="s">
        <v>534</v>
      </c>
      <c r="D10917" t="s">
        <v>27</v>
      </c>
      <c r="E10917" s="208" t="s">
        <v>155</v>
      </c>
      <c r="F10917" t="s">
        <v>14</v>
      </c>
      <c r="G10917" s="18">
        <v>70878</v>
      </c>
      <c r="H10917" t="s">
        <v>17</v>
      </c>
      <c r="I10917" s="151" t="s">
        <v>562</v>
      </c>
    </row>
    <row r="10918" spans="1:9" x14ac:dyDescent="0.25">
      <c r="A10918">
        <v>1828</v>
      </c>
      <c r="B10918">
        <f>A10918+1</f>
        <v>1829</v>
      </c>
      <c r="C10918" t="s">
        <v>534</v>
      </c>
      <c r="D10918" t="s">
        <v>27</v>
      </c>
      <c r="E10918" s="208" t="s">
        <v>156</v>
      </c>
      <c r="F10918" t="s">
        <v>14</v>
      </c>
      <c r="G10918" s="18">
        <v>8190</v>
      </c>
      <c r="H10918" t="s">
        <v>17</v>
      </c>
      <c r="I10918" s="151" t="s">
        <v>562</v>
      </c>
    </row>
    <row r="10919" spans="1:9" x14ac:dyDescent="0.25">
      <c r="A10919">
        <v>1828</v>
      </c>
      <c r="B10919">
        <f>A10919+1</f>
        <v>1829</v>
      </c>
      <c r="C10919" t="s">
        <v>534</v>
      </c>
      <c r="D10919" t="s">
        <v>27</v>
      </c>
      <c r="E10919" s="208" t="s">
        <v>154</v>
      </c>
      <c r="F10919" t="s">
        <v>14</v>
      </c>
      <c r="G10919" s="18">
        <v>1756</v>
      </c>
      <c r="H10919" t="s">
        <v>17</v>
      </c>
      <c r="I10919" s="151" t="s">
        <v>562</v>
      </c>
    </row>
    <row r="10920" spans="1:9" x14ac:dyDescent="0.25">
      <c r="A10920">
        <v>1828</v>
      </c>
      <c r="B10920">
        <f>A10920+1</f>
        <v>1829</v>
      </c>
      <c r="C10920" t="s">
        <v>534</v>
      </c>
      <c r="D10920" t="s">
        <v>27</v>
      </c>
      <c r="E10920" s="208" t="s">
        <v>150</v>
      </c>
      <c r="F10920" t="s">
        <v>14</v>
      </c>
      <c r="G10920" s="18">
        <v>29238</v>
      </c>
      <c r="H10920" t="s">
        <v>17</v>
      </c>
      <c r="I10920" s="151" t="s">
        <v>562</v>
      </c>
    </row>
    <row r="10921" spans="1:9" x14ac:dyDescent="0.25">
      <c r="A10921">
        <v>1828</v>
      </c>
      <c r="B10921">
        <f>A10921+1</f>
        <v>1829</v>
      </c>
      <c r="C10921" t="s">
        <v>534</v>
      </c>
      <c r="D10921" t="s">
        <v>27</v>
      </c>
      <c r="E10921" s="208" t="s">
        <v>148</v>
      </c>
      <c r="F10921" t="s">
        <v>14</v>
      </c>
      <c r="G10921" s="18">
        <v>1938</v>
      </c>
      <c r="H10921" t="s">
        <v>17</v>
      </c>
      <c r="I10921" s="151" t="s">
        <v>562</v>
      </c>
    </row>
    <row r="10922" spans="1:9" x14ac:dyDescent="0.25">
      <c r="A10922">
        <v>1828</v>
      </c>
      <c r="B10922">
        <f>A10922+1</f>
        <v>1829</v>
      </c>
      <c r="C10922" t="s">
        <v>534</v>
      </c>
      <c r="D10922" t="s">
        <v>27</v>
      </c>
      <c r="E10922" s="208" t="s">
        <v>147</v>
      </c>
      <c r="F10922" t="s">
        <v>14</v>
      </c>
      <c r="G10922" s="18">
        <v>30</v>
      </c>
      <c r="H10922" s="151" t="s">
        <v>17</v>
      </c>
      <c r="I10922" s="151" t="s">
        <v>562</v>
      </c>
    </row>
    <row r="10923" spans="1:9" x14ac:dyDescent="0.25">
      <c r="A10923">
        <v>1828</v>
      </c>
      <c r="B10923">
        <f>A10923+1</f>
        <v>1829</v>
      </c>
      <c r="C10923" t="s">
        <v>534</v>
      </c>
      <c r="D10923" t="s">
        <v>27</v>
      </c>
      <c r="E10923" s="208" t="s">
        <v>139</v>
      </c>
      <c r="F10923" t="s">
        <v>14</v>
      </c>
      <c r="G10923" s="18">
        <v>61</v>
      </c>
      <c r="H10923" s="151" t="s">
        <v>17</v>
      </c>
      <c r="I10923" s="151" t="s">
        <v>562</v>
      </c>
    </row>
    <row r="10924" spans="1:9" x14ac:dyDescent="0.25">
      <c r="A10924">
        <v>1828</v>
      </c>
      <c r="B10924">
        <f>A10924+1</f>
        <v>1829</v>
      </c>
      <c r="C10924" t="s">
        <v>534</v>
      </c>
      <c r="D10924" t="s">
        <v>27</v>
      </c>
      <c r="E10924" s="208" t="s">
        <v>131</v>
      </c>
      <c r="F10924" t="s">
        <v>14</v>
      </c>
      <c r="G10924" s="18">
        <v>1174</v>
      </c>
      <c r="H10924" s="151" t="s">
        <v>17</v>
      </c>
      <c r="I10924" s="151" t="s">
        <v>562</v>
      </c>
    </row>
    <row r="10925" spans="1:9" x14ac:dyDescent="0.25">
      <c r="A10925">
        <v>1828</v>
      </c>
      <c r="B10925">
        <f>A10925+1</f>
        <v>1829</v>
      </c>
      <c r="C10925" t="s">
        <v>534</v>
      </c>
      <c r="D10925" t="s">
        <v>27</v>
      </c>
      <c r="E10925" s="208" t="s">
        <v>130</v>
      </c>
      <c r="F10925" t="s">
        <v>14</v>
      </c>
      <c r="G10925" s="18">
        <v>315</v>
      </c>
      <c r="H10925" s="151" t="s">
        <v>563</v>
      </c>
      <c r="I10925" t="s">
        <v>17</v>
      </c>
    </row>
    <row r="10926" spans="1:9" x14ac:dyDescent="0.25">
      <c r="A10926">
        <v>1828</v>
      </c>
      <c r="B10926">
        <f>A10926+1</f>
        <v>1829</v>
      </c>
      <c r="C10926" t="s">
        <v>534</v>
      </c>
      <c r="D10926" t="s">
        <v>27</v>
      </c>
      <c r="E10926" s="208" t="s">
        <v>124</v>
      </c>
      <c r="F10926" t="s">
        <v>14</v>
      </c>
      <c r="G10926" s="18">
        <v>8653552</v>
      </c>
      <c r="H10926" s="151" t="s">
        <v>563</v>
      </c>
      <c r="I10926" t="s">
        <v>17</v>
      </c>
    </row>
    <row r="10927" spans="1:9" x14ac:dyDescent="0.25">
      <c r="A10927">
        <v>1828</v>
      </c>
      <c r="B10927">
        <f>A10927+1</f>
        <v>1829</v>
      </c>
      <c r="C10927" t="s">
        <v>534</v>
      </c>
      <c r="D10927" t="s">
        <v>27</v>
      </c>
      <c r="E10927" s="208" t="s">
        <v>145</v>
      </c>
      <c r="F10927" t="s">
        <v>14</v>
      </c>
      <c r="G10927" s="18">
        <v>5190456</v>
      </c>
      <c r="H10927" s="151" t="s">
        <v>563</v>
      </c>
      <c r="I10927" t="s">
        <v>17</v>
      </c>
    </row>
    <row r="10928" spans="1:9" x14ac:dyDescent="0.25">
      <c r="A10928">
        <v>1828</v>
      </c>
      <c r="B10928">
        <f>A10928+1</f>
        <v>1829</v>
      </c>
      <c r="C10928" t="s">
        <v>534</v>
      </c>
      <c r="D10928" t="s">
        <v>27</v>
      </c>
      <c r="E10928" s="208" t="s">
        <v>114</v>
      </c>
      <c r="F10928" t="s">
        <v>14</v>
      </c>
      <c r="G10928" s="18">
        <v>78</v>
      </c>
      <c r="H10928" s="151" t="s">
        <v>563</v>
      </c>
      <c r="I10928" t="s">
        <v>17</v>
      </c>
    </row>
    <row r="10929" spans="1:9" x14ac:dyDescent="0.25">
      <c r="A10929">
        <v>1828</v>
      </c>
      <c r="B10929">
        <f>A10929+1</f>
        <v>1829</v>
      </c>
      <c r="C10929" t="s">
        <v>534</v>
      </c>
      <c r="D10929" t="s">
        <v>27</v>
      </c>
      <c r="E10929" s="208" t="s">
        <v>116</v>
      </c>
      <c r="F10929" t="s">
        <v>14</v>
      </c>
      <c r="G10929" s="18">
        <v>2856</v>
      </c>
      <c r="H10929" s="151" t="s">
        <v>563</v>
      </c>
      <c r="I10929" t="s">
        <v>17</v>
      </c>
    </row>
    <row r="10930" spans="1:9" x14ac:dyDescent="0.25">
      <c r="A10930">
        <v>1828</v>
      </c>
      <c r="B10930">
        <f>A10930+1</f>
        <v>1829</v>
      </c>
      <c r="C10930" t="s">
        <v>534</v>
      </c>
      <c r="D10930" t="s">
        <v>27</v>
      </c>
      <c r="E10930" s="208" t="s">
        <v>137</v>
      </c>
      <c r="F10930" t="s">
        <v>14</v>
      </c>
      <c r="G10930" s="18">
        <v>195</v>
      </c>
      <c r="H10930" s="151" t="s">
        <v>563</v>
      </c>
      <c r="I10930" t="s">
        <v>17</v>
      </c>
    </row>
    <row r="10931" spans="1:9" x14ac:dyDescent="0.25">
      <c r="A10931">
        <v>1828</v>
      </c>
      <c r="B10931">
        <f>A10931+1</f>
        <v>1829</v>
      </c>
      <c r="C10931" t="s">
        <v>534</v>
      </c>
      <c r="D10931" t="s">
        <v>27</v>
      </c>
      <c r="E10931" s="208" t="s">
        <v>157</v>
      </c>
      <c r="F10931" t="s">
        <v>14</v>
      </c>
      <c r="G10931" s="18">
        <v>76</v>
      </c>
      <c r="H10931" s="151" t="s">
        <v>563</v>
      </c>
      <c r="I10931" t="s">
        <v>17</v>
      </c>
    </row>
    <row r="10932" spans="1:9" x14ac:dyDescent="0.25">
      <c r="A10932">
        <v>1828</v>
      </c>
      <c r="B10932">
        <f>A10932+1</f>
        <v>1829</v>
      </c>
      <c r="C10932" t="s">
        <v>534</v>
      </c>
      <c r="D10932" t="s">
        <v>27</v>
      </c>
      <c r="E10932" s="208" t="s">
        <v>127</v>
      </c>
      <c r="F10932" t="s">
        <v>14</v>
      </c>
      <c r="G10932" s="18">
        <v>92</v>
      </c>
      <c r="H10932" s="151" t="s">
        <v>563</v>
      </c>
      <c r="I10932" t="s">
        <v>17</v>
      </c>
    </row>
    <row r="10933" spans="1:9" x14ac:dyDescent="0.25">
      <c r="A10933">
        <v>1828</v>
      </c>
      <c r="B10933">
        <f>A10933+1</f>
        <v>1829</v>
      </c>
      <c r="C10933" t="s">
        <v>534</v>
      </c>
      <c r="D10933" t="s">
        <v>27</v>
      </c>
      <c r="E10933" s="208" t="s">
        <v>133</v>
      </c>
      <c r="F10933" t="s">
        <v>14</v>
      </c>
      <c r="G10933" s="18">
        <v>7484</v>
      </c>
      <c r="H10933" s="151" t="s">
        <v>563</v>
      </c>
      <c r="I10933" t="s">
        <v>17</v>
      </c>
    </row>
    <row r="10934" spans="1:9" x14ac:dyDescent="0.25">
      <c r="A10934">
        <v>1828</v>
      </c>
      <c r="B10934">
        <f>A10934+1</f>
        <v>1829</v>
      </c>
      <c r="C10934" t="s">
        <v>534</v>
      </c>
      <c r="D10934" t="s">
        <v>27</v>
      </c>
      <c r="E10934" s="208" t="s">
        <v>74</v>
      </c>
      <c r="F10934" t="s">
        <v>14</v>
      </c>
      <c r="G10934" s="18">
        <v>5106.5</v>
      </c>
      <c r="H10934" s="151" t="s">
        <v>563</v>
      </c>
      <c r="I10934" t="s">
        <v>17</v>
      </c>
    </row>
    <row r="10935" spans="1:9" x14ac:dyDescent="0.25">
      <c r="A10935">
        <v>1828</v>
      </c>
      <c r="B10935">
        <f>A10935+1</f>
        <v>1829</v>
      </c>
      <c r="C10935" t="s">
        <v>534</v>
      </c>
      <c r="D10935" t="s">
        <v>27</v>
      </c>
      <c r="E10935" s="208" t="s">
        <v>129</v>
      </c>
      <c r="F10935" t="s">
        <v>14</v>
      </c>
      <c r="G10935" s="18">
        <v>1010.5</v>
      </c>
      <c r="H10935" s="151" t="s">
        <v>563</v>
      </c>
      <c r="I10935" t="s">
        <v>17</v>
      </c>
    </row>
    <row r="10936" spans="1:9" x14ac:dyDescent="0.25">
      <c r="A10936">
        <v>1828</v>
      </c>
      <c r="B10936">
        <f>A10936+1</f>
        <v>1829</v>
      </c>
      <c r="C10936" t="s">
        <v>534</v>
      </c>
      <c r="D10936" t="s">
        <v>27</v>
      </c>
      <c r="E10936" s="208" t="s">
        <v>141</v>
      </c>
      <c r="F10936" t="s">
        <v>14</v>
      </c>
      <c r="G10936" s="18">
        <v>96</v>
      </c>
      <c r="H10936" s="151" t="s">
        <v>563</v>
      </c>
      <c r="I10936" t="s">
        <v>17</v>
      </c>
    </row>
    <row r="10937" spans="1:9" x14ac:dyDescent="0.25">
      <c r="A10937">
        <v>1828</v>
      </c>
      <c r="B10937">
        <f>A10937+1</f>
        <v>1829</v>
      </c>
      <c r="C10937" t="s">
        <v>534</v>
      </c>
      <c r="D10937" t="s">
        <v>27</v>
      </c>
      <c r="E10937" s="208" t="s">
        <v>135</v>
      </c>
      <c r="F10937" t="s">
        <v>14</v>
      </c>
      <c r="G10937" s="18">
        <v>207.5</v>
      </c>
      <c r="H10937" s="151" t="s">
        <v>563</v>
      </c>
      <c r="I10937" t="s">
        <v>17</v>
      </c>
    </row>
    <row r="10938" spans="1:9" x14ac:dyDescent="0.25">
      <c r="A10938">
        <v>1828</v>
      </c>
      <c r="B10938">
        <f>A10938+1</f>
        <v>1829</v>
      </c>
      <c r="C10938" t="s">
        <v>534</v>
      </c>
      <c r="D10938" t="s">
        <v>27</v>
      </c>
      <c r="E10938" s="208" t="s">
        <v>128</v>
      </c>
      <c r="F10938" t="s">
        <v>14</v>
      </c>
      <c r="G10938" s="18">
        <v>75.5</v>
      </c>
      <c r="H10938" t="s">
        <v>561</v>
      </c>
      <c r="I10938" s="151" t="s">
        <v>562</v>
      </c>
    </row>
    <row r="10939" spans="1:9" x14ac:dyDescent="0.25">
      <c r="A10939" s="151">
        <v>1828</v>
      </c>
      <c r="B10939" s="151">
        <f>A10939+1</f>
        <v>1829</v>
      </c>
      <c r="C10939" s="151" t="s">
        <v>534</v>
      </c>
      <c r="D10939" s="151" t="s">
        <v>27</v>
      </c>
      <c r="E10939" s="208" t="s">
        <v>138</v>
      </c>
      <c r="F10939" s="151" t="s">
        <v>14</v>
      </c>
      <c r="G10939" s="152">
        <v>741</v>
      </c>
      <c r="H10939" t="s">
        <v>561</v>
      </c>
      <c r="I10939" s="151" t="s">
        <v>562</v>
      </c>
    </row>
    <row r="10940" spans="1:9" x14ac:dyDescent="0.25">
      <c r="A10940" s="151">
        <v>1828</v>
      </c>
      <c r="B10940" s="151">
        <f>A10940+1</f>
        <v>1829</v>
      </c>
      <c r="C10940" s="151" t="s">
        <v>534</v>
      </c>
      <c r="D10940" s="151" t="s">
        <v>27</v>
      </c>
      <c r="E10940" s="208" t="s">
        <v>118</v>
      </c>
      <c r="F10940" s="151" t="s">
        <v>14</v>
      </c>
      <c r="G10940" s="152">
        <v>96</v>
      </c>
      <c r="H10940" t="s">
        <v>561</v>
      </c>
      <c r="I10940" s="151" t="s">
        <v>562</v>
      </c>
    </row>
    <row r="10941" spans="1:9" x14ac:dyDescent="0.25">
      <c r="A10941" s="151">
        <v>1828</v>
      </c>
      <c r="B10941" s="151">
        <f>A10941+1</f>
        <v>1829</v>
      </c>
      <c r="C10941" s="151" t="s">
        <v>534</v>
      </c>
      <c r="D10941" s="151" t="s">
        <v>27</v>
      </c>
      <c r="E10941" s="208" t="s">
        <v>134</v>
      </c>
      <c r="F10941" s="151" t="s">
        <v>14</v>
      </c>
      <c r="G10941" s="152">
        <v>22032</v>
      </c>
      <c r="H10941" t="s">
        <v>561</v>
      </c>
      <c r="I10941" s="151" t="s">
        <v>562</v>
      </c>
    </row>
    <row r="10942" spans="1:9" x14ac:dyDescent="0.25">
      <c r="A10942">
        <v>1828</v>
      </c>
      <c r="B10942">
        <f>A10942+1</f>
        <v>1829</v>
      </c>
      <c r="C10942" t="s">
        <v>534</v>
      </c>
      <c r="D10942" t="s">
        <v>26</v>
      </c>
      <c r="E10942" s="208" t="s">
        <v>62</v>
      </c>
      <c r="F10942" t="s">
        <v>14</v>
      </c>
      <c r="G10942" s="18">
        <v>4084</v>
      </c>
      <c r="H10942" t="s">
        <v>561</v>
      </c>
      <c r="I10942" s="151" t="s">
        <v>562</v>
      </c>
    </row>
    <row r="10943" spans="1:9" x14ac:dyDescent="0.25">
      <c r="A10943">
        <v>1828</v>
      </c>
      <c r="B10943">
        <f>A10943+1</f>
        <v>1829</v>
      </c>
      <c r="C10943" t="s">
        <v>534</v>
      </c>
      <c r="D10943" t="s">
        <v>26</v>
      </c>
      <c r="E10943" s="208" t="s">
        <v>55</v>
      </c>
      <c r="F10943" t="s">
        <v>14</v>
      </c>
      <c r="G10943" s="18">
        <v>1996</v>
      </c>
      <c r="H10943" t="s">
        <v>561</v>
      </c>
      <c r="I10943" s="151" t="s">
        <v>562</v>
      </c>
    </row>
    <row r="10944" spans="1:9" x14ac:dyDescent="0.25">
      <c r="A10944">
        <v>1828</v>
      </c>
      <c r="B10944">
        <f>A10944+1</f>
        <v>1829</v>
      </c>
      <c r="C10944" t="s">
        <v>534</v>
      </c>
      <c r="D10944" t="s">
        <v>26</v>
      </c>
      <c r="E10944" s="208" t="s">
        <v>40</v>
      </c>
      <c r="F10944" t="s">
        <v>14</v>
      </c>
      <c r="G10944" s="18">
        <v>37474</v>
      </c>
      <c r="H10944" t="s">
        <v>561</v>
      </c>
      <c r="I10944" s="151" t="s">
        <v>562</v>
      </c>
    </row>
    <row r="10945" spans="1:9" x14ac:dyDescent="0.25">
      <c r="A10945">
        <v>1828</v>
      </c>
      <c r="B10945">
        <f>A10945+1</f>
        <v>1829</v>
      </c>
      <c r="C10945" t="s">
        <v>534</v>
      </c>
      <c r="D10945" t="s">
        <v>26</v>
      </c>
      <c r="E10945" s="208" t="s">
        <v>98</v>
      </c>
      <c r="F10945" t="s">
        <v>14</v>
      </c>
      <c r="G10945" s="18">
        <v>129924</v>
      </c>
      <c r="H10945" t="s">
        <v>561</v>
      </c>
      <c r="I10945" s="151" t="s">
        <v>562</v>
      </c>
    </row>
    <row r="10946" spans="1:9" x14ac:dyDescent="0.25">
      <c r="A10946">
        <v>1828</v>
      </c>
      <c r="B10946">
        <f>A10946+1</f>
        <v>1829</v>
      </c>
      <c r="C10946" t="s">
        <v>534</v>
      </c>
      <c r="D10946" t="s">
        <v>26</v>
      </c>
      <c r="E10946" s="208" t="s">
        <v>435</v>
      </c>
      <c r="F10946" t="s">
        <v>14</v>
      </c>
      <c r="G10946" s="18">
        <v>2223</v>
      </c>
      <c r="H10946" t="s">
        <v>561</v>
      </c>
      <c r="I10946" s="151" t="s">
        <v>562</v>
      </c>
    </row>
    <row r="10947" spans="1:9" x14ac:dyDescent="0.25">
      <c r="A10947">
        <v>1828</v>
      </c>
      <c r="B10947">
        <f>A10947+1</f>
        <v>1829</v>
      </c>
      <c r="C10947" t="s">
        <v>534</v>
      </c>
      <c r="D10947" t="s">
        <v>26</v>
      </c>
      <c r="E10947" s="208" t="s">
        <v>107</v>
      </c>
      <c r="F10947" t="s">
        <v>14</v>
      </c>
      <c r="G10947" s="18">
        <v>3391949</v>
      </c>
      <c r="H10947" t="s">
        <v>561</v>
      </c>
      <c r="I10947" s="151" t="s">
        <v>562</v>
      </c>
    </row>
    <row r="10948" spans="1:9" x14ac:dyDescent="0.25">
      <c r="A10948">
        <v>1828</v>
      </c>
      <c r="B10948">
        <f>A10948+1</f>
        <v>1829</v>
      </c>
      <c r="C10948" t="s">
        <v>534</v>
      </c>
      <c r="D10948" t="s">
        <v>26</v>
      </c>
      <c r="E10948" s="208" t="s">
        <v>101</v>
      </c>
      <c r="F10948" t="s">
        <v>14</v>
      </c>
      <c r="G10948" s="18">
        <v>3003555</v>
      </c>
      <c r="H10948" t="s">
        <v>561</v>
      </c>
      <c r="I10948" s="151" t="s">
        <v>562</v>
      </c>
    </row>
    <row r="10949" spans="1:9" x14ac:dyDescent="0.25">
      <c r="A10949">
        <v>1828</v>
      </c>
      <c r="B10949">
        <f>A10949+1</f>
        <v>1829</v>
      </c>
      <c r="C10949" t="s">
        <v>534</v>
      </c>
      <c r="D10949" t="s">
        <v>26</v>
      </c>
      <c r="E10949" s="208" t="s">
        <v>75</v>
      </c>
      <c r="F10949" t="s">
        <v>14</v>
      </c>
      <c r="G10949" s="18">
        <v>3193351</v>
      </c>
      <c r="H10949" t="s">
        <v>561</v>
      </c>
      <c r="I10949" s="151" t="s">
        <v>562</v>
      </c>
    </row>
    <row r="10950" spans="1:9" x14ac:dyDescent="0.25">
      <c r="A10950">
        <v>1828</v>
      </c>
      <c r="B10950">
        <f>A10950+1</f>
        <v>1829</v>
      </c>
      <c r="C10950" t="s">
        <v>534</v>
      </c>
      <c r="D10950" t="s">
        <v>26</v>
      </c>
      <c r="E10950" s="208" t="s">
        <v>66</v>
      </c>
      <c r="F10950" t="s">
        <v>14</v>
      </c>
      <c r="G10950" s="18">
        <v>11564</v>
      </c>
      <c r="H10950" t="s">
        <v>561</v>
      </c>
      <c r="I10950" s="151" t="s">
        <v>562</v>
      </c>
    </row>
    <row r="10951" spans="1:9" x14ac:dyDescent="0.25">
      <c r="A10951">
        <v>1828</v>
      </c>
      <c r="B10951">
        <f>A10951+1</f>
        <v>1829</v>
      </c>
      <c r="C10951" t="s">
        <v>534</v>
      </c>
      <c r="D10951" t="s">
        <v>26</v>
      </c>
      <c r="E10951" s="208" t="s">
        <v>330</v>
      </c>
      <c r="F10951" t="s">
        <v>14</v>
      </c>
      <c r="G10951" s="18">
        <v>1030</v>
      </c>
      <c r="H10951" t="s">
        <v>561</v>
      </c>
      <c r="I10951" s="151" t="s">
        <v>562</v>
      </c>
    </row>
    <row r="10952" spans="1:9" x14ac:dyDescent="0.25">
      <c r="A10952">
        <v>1828</v>
      </c>
      <c r="B10952">
        <f>A10952+1</f>
        <v>1829</v>
      </c>
      <c r="C10952" t="s">
        <v>534</v>
      </c>
      <c r="D10952" t="s">
        <v>26</v>
      </c>
      <c r="E10952" s="208" t="s">
        <v>331</v>
      </c>
      <c r="F10952" t="s">
        <v>14</v>
      </c>
      <c r="G10952" s="18">
        <v>1171</v>
      </c>
      <c r="H10952" t="s">
        <v>561</v>
      </c>
      <c r="I10952" s="151" t="s">
        <v>562</v>
      </c>
    </row>
    <row r="10953" spans="1:9" x14ac:dyDescent="0.25">
      <c r="A10953">
        <v>1828</v>
      </c>
      <c r="B10953">
        <f>A10953+1</f>
        <v>1829</v>
      </c>
      <c r="C10953" t="s">
        <v>534</v>
      </c>
      <c r="D10953" t="s">
        <v>26</v>
      </c>
      <c r="E10953" s="208" t="s">
        <v>332</v>
      </c>
      <c r="F10953" t="s">
        <v>14</v>
      </c>
      <c r="G10953" s="18">
        <v>22</v>
      </c>
      <c r="H10953" t="s">
        <v>561</v>
      </c>
      <c r="I10953" s="151" t="s">
        <v>562</v>
      </c>
    </row>
    <row r="10954" spans="1:9" x14ac:dyDescent="0.25">
      <c r="A10954">
        <v>1828</v>
      </c>
      <c r="B10954">
        <f>A10954+1</f>
        <v>1829</v>
      </c>
      <c r="C10954" t="s">
        <v>534</v>
      </c>
      <c r="D10954" t="s">
        <v>26</v>
      </c>
      <c r="E10954" s="208" t="s">
        <v>333</v>
      </c>
      <c r="F10954" t="s">
        <v>14</v>
      </c>
      <c r="G10954" s="18">
        <v>803</v>
      </c>
      <c r="H10954" t="s">
        <v>561</v>
      </c>
      <c r="I10954" s="151" t="s">
        <v>562</v>
      </c>
    </row>
    <row r="10955" spans="1:9" x14ac:dyDescent="0.25">
      <c r="A10955">
        <v>1828</v>
      </c>
      <c r="B10955">
        <f>A10955+1</f>
        <v>1829</v>
      </c>
      <c r="C10955" t="s">
        <v>534</v>
      </c>
      <c r="D10955" t="s">
        <v>27</v>
      </c>
      <c r="E10955" s="208" t="s">
        <v>155</v>
      </c>
      <c r="F10955" t="s">
        <v>15</v>
      </c>
      <c r="G10955" s="18">
        <v>91150</v>
      </c>
      <c r="H10955" t="s">
        <v>561</v>
      </c>
      <c r="I10955" s="151" t="s">
        <v>562</v>
      </c>
    </row>
    <row r="10956" spans="1:9" x14ac:dyDescent="0.25">
      <c r="A10956">
        <v>1828</v>
      </c>
      <c r="B10956">
        <f>A10956+1</f>
        <v>1829</v>
      </c>
      <c r="C10956" t="s">
        <v>534</v>
      </c>
      <c r="D10956" t="s">
        <v>27</v>
      </c>
      <c r="E10956" s="208" t="s">
        <v>156</v>
      </c>
      <c r="F10956" t="s">
        <v>15</v>
      </c>
      <c r="G10956" s="18">
        <v>9564</v>
      </c>
      <c r="H10956" t="s">
        <v>561</v>
      </c>
      <c r="I10956" s="151" t="s">
        <v>562</v>
      </c>
    </row>
    <row r="10957" spans="1:9" x14ac:dyDescent="0.25">
      <c r="A10957">
        <v>1828</v>
      </c>
      <c r="B10957">
        <f>A10957+1</f>
        <v>1829</v>
      </c>
      <c r="C10957" t="s">
        <v>534</v>
      </c>
      <c r="D10957" t="s">
        <v>27</v>
      </c>
      <c r="E10957" s="208" t="s">
        <v>154</v>
      </c>
      <c r="F10957" t="s">
        <v>15</v>
      </c>
      <c r="G10957" s="18">
        <v>3392</v>
      </c>
      <c r="H10957" t="s">
        <v>561</v>
      </c>
      <c r="I10957" s="151" t="s">
        <v>562</v>
      </c>
    </row>
    <row r="10958" spans="1:9" x14ac:dyDescent="0.25">
      <c r="A10958">
        <v>1828</v>
      </c>
      <c r="B10958">
        <f>A10958+1</f>
        <v>1829</v>
      </c>
      <c r="C10958" t="s">
        <v>534</v>
      </c>
      <c r="D10958" t="s">
        <v>27</v>
      </c>
      <c r="E10958" s="208" t="s">
        <v>150</v>
      </c>
      <c r="F10958" t="s">
        <v>15</v>
      </c>
      <c r="G10958" s="18">
        <v>36931</v>
      </c>
      <c r="H10958" t="s">
        <v>561</v>
      </c>
      <c r="I10958" s="151" t="s">
        <v>562</v>
      </c>
    </row>
    <row r="10959" spans="1:9" x14ac:dyDescent="0.25">
      <c r="A10959">
        <v>1828</v>
      </c>
      <c r="B10959">
        <f>A10959+1</f>
        <v>1829</v>
      </c>
      <c r="C10959" t="s">
        <v>534</v>
      </c>
      <c r="D10959" t="s">
        <v>27</v>
      </c>
      <c r="E10959" s="208" t="s">
        <v>148</v>
      </c>
      <c r="F10959" t="s">
        <v>15</v>
      </c>
      <c r="G10959" s="18">
        <v>2520</v>
      </c>
      <c r="H10959" t="s">
        <v>561</v>
      </c>
      <c r="I10959" s="151" t="s">
        <v>562</v>
      </c>
    </row>
    <row r="10960" spans="1:9" x14ac:dyDescent="0.25">
      <c r="A10960">
        <v>1828</v>
      </c>
      <c r="B10960">
        <f>A10960+1</f>
        <v>1829</v>
      </c>
      <c r="C10960" t="s">
        <v>534</v>
      </c>
      <c r="D10960" t="s">
        <v>27</v>
      </c>
      <c r="E10960" s="208" t="s">
        <v>147</v>
      </c>
      <c r="F10960" t="s">
        <v>15</v>
      </c>
      <c r="G10960" s="18">
        <v>635</v>
      </c>
      <c r="H10960" t="s">
        <v>561</v>
      </c>
      <c r="I10960" s="151" t="s">
        <v>562</v>
      </c>
    </row>
    <row r="10961" spans="1:9" x14ac:dyDescent="0.25">
      <c r="A10961">
        <v>1828</v>
      </c>
      <c r="B10961">
        <f>A10961+1</f>
        <v>1829</v>
      </c>
      <c r="C10961" t="s">
        <v>534</v>
      </c>
      <c r="D10961" t="s">
        <v>27</v>
      </c>
      <c r="E10961" s="208" t="s">
        <v>139</v>
      </c>
      <c r="F10961" t="s">
        <v>15</v>
      </c>
      <c r="G10961" s="18">
        <v>167</v>
      </c>
      <c r="H10961" t="s">
        <v>561</v>
      </c>
      <c r="I10961" s="151" t="s">
        <v>562</v>
      </c>
    </row>
    <row r="10962" spans="1:9" x14ac:dyDescent="0.25">
      <c r="A10962">
        <v>1828</v>
      </c>
      <c r="B10962">
        <f>A10962+1</f>
        <v>1829</v>
      </c>
      <c r="C10962" t="s">
        <v>534</v>
      </c>
      <c r="D10962" t="s">
        <v>27</v>
      </c>
      <c r="E10962" s="208" t="s">
        <v>131</v>
      </c>
      <c r="F10962" t="s">
        <v>15</v>
      </c>
      <c r="G10962" s="18">
        <v>1333</v>
      </c>
      <c r="H10962" t="s">
        <v>561</v>
      </c>
      <c r="I10962" s="151" t="s">
        <v>562</v>
      </c>
    </row>
    <row r="10963" spans="1:9" x14ac:dyDescent="0.25">
      <c r="A10963">
        <v>1828</v>
      </c>
      <c r="B10963">
        <f>A10963+1</f>
        <v>1829</v>
      </c>
      <c r="C10963" t="s">
        <v>534</v>
      </c>
      <c r="D10963" t="s">
        <v>27</v>
      </c>
      <c r="E10963" s="208" t="s">
        <v>130</v>
      </c>
      <c r="F10963" t="s">
        <v>15</v>
      </c>
      <c r="G10963" s="18">
        <v>319</v>
      </c>
      <c r="H10963" s="151" t="s">
        <v>563</v>
      </c>
      <c r="I10963" t="s">
        <v>561</v>
      </c>
    </row>
    <row r="10964" spans="1:9" x14ac:dyDescent="0.25">
      <c r="A10964">
        <v>1828</v>
      </c>
      <c r="B10964">
        <f>A10964+1</f>
        <v>1829</v>
      </c>
      <c r="C10964" t="s">
        <v>534</v>
      </c>
      <c r="D10964" t="s">
        <v>27</v>
      </c>
      <c r="E10964" s="208" t="s">
        <v>124</v>
      </c>
      <c r="F10964" t="s">
        <v>15</v>
      </c>
      <c r="G10964" s="18">
        <v>18955752</v>
      </c>
      <c r="H10964" s="151" t="s">
        <v>563</v>
      </c>
      <c r="I10964" t="s">
        <v>561</v>
      </c>
    </row>
    <row r="10965" spans="1:9" x14ac:dyDescent="0.25">
      <c r="A10965">
        <v>1828</v>
      </c>
      <c r="B10965">
        <f>A10965+1</f>
        <v>1829</v>
      </c>
      <c r="C10965" t="s">
        <v>534</v>
      </c>
      <c r="D10965" t="s">
        <v>27</v>
      </c>
      <c r="E10965" s="208" t="s">
        <v>145</v>
      </c>
      <c r="F10965" t="s">
        <v>15</v>
      </c>
      <c r="G10965" s="18">
        <v>6069127</v>
      </c>
      <c r="H10965" s="151" t="s">
        <v>563</v>
      </c>
      <c r="I10965" t="s">
        <v>561</v>
      </c>
    </row>
    <row r="10966" spans="1:9" x14ac:dyDescent="0.25">
      <c r="A10966">
        <v>1828</v>
      </c>
      <c r="B10966">
        <f>A10966+1</f>
        <v>1829</v>
      </c>
      <c r="C10966" t="s">
        <v>534</v>
      </c>
      <c r="D10966" t="s">
        <v>27</v>
      </c>
      <c r="E10966" s="208" t="s">
        <v>114</v>
      </c>
      <c r="F10966" t="s">
        <v>15</v>
      </c>
      <c r="G10966" s="18">
        <v>184</v>
      </c>
      <c r="H10966" s="151" t="s">
        <v>563</v>
      </c>
      <c r="I10966" t="s">
        <v>561</v>
      </c>
    </row>
    <row r="10967" spans="1:9" x14ac:dyDescent="0.25">
      <c r="A10967">
        <v>1828</v>
      </c>
      <c r="B10967">
        <f>A10967+1</f>
        <v>1829</v>
      </c>
      <c r="C10967" t="s">
        <v>534</v>
      </c>
      <c r="D10967" t="s">
        <v>27</v>
      </c>
      <c r="E10967" s="208" t="s">
        <v>116</v>
      </c>
      <c r="F10967" t="s">
        <v>15</v>
      </c>
      <c r="G10967" s="18">
        <v>4098</v>
      </c>
      <c r="H10967" s="151" t="s">
        <v>563</v>
      </c>
      <c r="I10967" t="s">
        <v>561</v>
      </c>
    </row>
    <row r="10968" spans="1:9" x14ac:dyDescent="0.25">
      <c r="A10968">
        <v>1828</v>
      </c>
      <c r="B10968">
        <f>A10968+1</f>
        <v>1829</v>
      </c>
      <c r="C10968" t="s">
        <v>534</v>
      </c>
      <c r="D10968" t="s">
        <v>27</v>
      </c>
      <c r="E10968" s="208" t="s">
        <v>137</v>
      </c>
      <c r="F10968" t="s">
        <v>15</v>
      </c>
      <c r="G10968" s="18">
        <v>216</v>
      </c>
      <c r="H10968" s="151" t="s">
        <v>563</v>
      </c>
      <c r="I10968" t="s">
        <v>561</v>
      </c>
    </row>
    <row r="10969" spans="1:9" x14ac:dyDescent="0.25">
      <c r="A10969">
        <v>1828</v>
      </c>
      <c r="B10969">
        <f>A10969+1</f>
        <v>1829</v>
      </c>
      <c r="C10969" t="s">
        <v>534</v>
      </c>
      <c r="D10969" t="s">
        <v>27</v>
      </c>
      <c r="E10969" s="208" t="s">
        <v>157</v>
      </c>
      <c r="F10969" t="s">
        <v>15</v>
      </c>
      <c r="G10969" s="18">
        <v>715</v>
      </c>
      <c r="H10969" s="151" t="s">
        <v>563</v>
      </c>
      <c r="I10969" t="s">
        <v>561</v>
      </c>
    </row>
    <row r="10970" spans="1:9" x14ac:dyDescent="0.25">
      <c r="A10970">
        <v>1828</v>
      </c>
      <c r="B10970">
        <f>A10970+1</f>
        <v>1829</v>
      </c>
      <c r="C10970" t="s">
        <v>534</v>
      </c>
      <c r="D10970" t="s">
        <v>27</v>
      </c>
      <c r="E10970" s="208" t="s">
        <v>127</v>
      </c>
      <c r="F10970" t="s">
        <v>15</v>
      </c>
      <c r="G10970" s="18">
        <v>293</v>
      </c>
      <c r="H10970" s="151" t="s">
        <v>563</v>
      </c>
      <c r="I10970" t="s">
        <v>561</v>
      </c>
    </row>
    <row r="10971" spans="1:9" x14ac:dyDescent="0.25">
      <c r="A10971">
        <v>1828</v>
      </c>
      <c r="B10971">
        <f>A10971+1</f>
        <v>1829</v>
      </c>
      <c r="C10971" t="s">
        <v>534</v>
      </c>
      <c r="D10971" t="s">
        <v>27</v>
      </c>
      <c r="E10971" s="208" t="s">
        <v>133</v>
      </c>
      <c r="F10971" t="s">
        <v>15</v>
      </c>
      <c r="G10971" s="18">
        <v>10401</v>
      </c>
      <c r="H10971" s="151" t="s">
        <v>563</v>
      </c>
      <c r="I10971" t="s">
        <v>561</v>
      </c>
    </row>
    <row r="10972" spans="1:9" x14ac:dyDescent="0.25">
      <c r="A10972">
        <v>1828</v>
      </c>
      <c r="B10972">
        <f>A10972+1</f>
        <v>1829</v>
      </c>
      <c r="C10972" t="s">
        <v>534</v>
      </c>
      <c r="D10972" t="s">
        <v>27</v>
      </c>
      <c r="E10972" s="208" t="s">
        <v>74</v>
      </c>
      <c r="F10972" t="s">
        <v>15</v>
      </c>
      <c r="G10972" s="18">
        <v>7504</v>
      </c>
      <c r="H10972" s="151" t="s">
        <v>563</v>
      </c>
      <c r="I10972" t="s">
        <v>561</v>
      </c>
    </row>
    <row r="10973" spans="1:9" x14ac:dyDescent="0.25">
      <c r="A10973">
        <v>1828</v>
      </c>
      <c r="B10973">
        <f>A10973+1</f>
        <v>1829</v>
      </c>
      <c r="C10973" t="s">
        <v>534</v>
      </c>
      <c r="D10973" t="s">
        <v>27</v>
      </c>
      <c r="E10973" s="208" t="s">
        <v>129</v>
      </c>
      <c r="F10973" t="s">
        <v>15</v>
      </c>
      <c r="G10973" s="18">
        <v>1589</v>
      </c>
      <c r="H10973" s="151" t="s">
        <v>563</v>
      </c>
      <c r="I10973" t="s">
        <v>561</v>
      </c>
    </row>
    <row r="10974" spans="1:9" x14ac:dyDescent="0.25">
      <c r="A10974">
        <v>1828</v>
      </c>
      <c r="B10974">
        <f>A10974+1</f>
        <v>1829</v>
      </c>
      <c r="C10974" t="s">
        <v>534</v>
      </c>
      <c r="D10974" t="s">
        <v>27</v>
      </c>
      <c r="E10974" s="208" t="s">
        <v>141</v>
      </c>
      <c r="F10974" t="s">
        <v>15</v>
      </c>
      <c r="G10974" s="18">
        <v>328</v>
      </c>
      <c r="H10974" s="151" t="s">
        <v>563</v>
      </c>
      <c r="I10974" t="s">
        <v>561</v>
      </c>
    </row>
    <row r="10975" spans="1:9" x14ac:dyDescent="0.25">
      <c r="A10975">
        <v>1828</v>
      </c>
      <c r="B10975">
        <f>A10975+1</f>
        <v>1829</v>
      </c>
      <c r="C10975" t="s">
        <v>534</v>
      </c>
      <c r="D10975" t="s">
        <v>27</v>
      </c>
      <c r="E10975" s="208" t="s">
        <v>135</v>
      </c>
      <c r="F10975" t="s">
        <v>15</v>
      </c>
      <c r="G10975" s="18">
        <v>337</v>
      </c>
      <c r="H10975" s="151" t="s">
        <v>563</v>
      </c>
      <c r="I10975" t="s">
        <v>561</v>
      </c>
    </row>
    <row r="10976" spans="1:9" x14ac:dyDescent="0.25">
      <c r="A10976">
        <v>1828</v>
      </c>
      <c r="B10976">
        <f>A10976+1</f>
        <v>1829</v>
      </c>
      <c r="C10976" t="s">
        <v>534</v>
      </c>
      <c r="D10976" t="s">
        <v>27</v>
      </c>
      <c r="E10976" s="208" t="s">
        <v>128</v>
      </c>
      <c r="F10976" t="s">
        <v>15</v>
      </c>
      <c r="G10976" s="18">
        <v>244.5</v>
      </c>
      <c r="H10976" t="s">
        <v>24</v>
      </c>
      <c r="I10976" t="s">
        <v>16</v>
      </c>
    </row>
    <row r="10977" spans="1:9" x14ac:dyDescent="0.25">
      <c r="A10977" s="151">
        <v>1828</v>
      </c>
      <c r="B10977" s="151">
        <f>A10977+1</f>
        <v>1829</v>
      </c>
      <c r="C10977" s="151" t="s">
        <v>534</v>
      </c>
      <c r="D10977" s="151" t="s">
        <v>27</v>
      </c>
      <c r="E10977" s="208" t="s">
        <v>138</v>
      </c>
      <c r="F10977" s="151" t="s">
        <v>15</v>
      </c>
      <c r="G10977" s="152">
        <v>2479</v>
      </c>
      <c r="H10977" s="151" t="s">
        <v>563</v>
      </c>
      <c r="I10977" t="s">
        <v>16</v>
      </c>
    </row>
    <row r="10978" spans="1:9" x14ac:dyDescent="0.25">
      <c r="A10978" s="151">
        <v>1828</v>
      </c>
      <c r="B10978" s="151">
        <f>A10978+1</f>
        <v>1829</v>
      </c>
      <c r="C10978" s="151" t="s">
        <v>534</v>
      </c>
      <c r="D10978" s="151" t="s">
        <v>27</v>
      </c>
      <c r="E10978" s="208" t="s">
        <v>118</v>
      </c>
      <c r="F10978" s="151" t="s">
        <v>15</v>
      </c>
      <c r="G10978" s="152">
        <v>1750</v>
      </c>
      <c r="H10978" t="s">
        <v>24</v>
      </c>
      <c r="I10978" t="s">
        <v>17</v>
      </c>
    </row>
    <row r="10979" spans="1:9" x14ac:dyDescent="0.25">
      <c r="A10979" s="151">
        <v>1828</v>
      </c>
      <c r="B10979" s="151">
        <f>A10979+1</f>
        <v>1829</v>
      </c>
      <c r="C10979" s="151" t="s">
        <v>534</v>
      </c>
      <c r="D10979" s="151" t="s">
        <v>27</v>
      </c>
      <c r="E10979" s="208" t="s">
        <v>134</v>
      </c>
      <c r="F10979" s="151" t="s">
        <v>15</v>
      </c>
      <c r="G10979" s="152">
        <v>29324</v>
      </c>
      <c r="H10979" s="151" t="s">
        <v>563</v>
      </c>
      <c r="I10979" t="s">
        <v>17</v>
      </c>
    </row>
    <row r="10980" spans="1:9" x14ac:dyDescent="0.25">
      <c r="A10980">
        <v>1828</v>
      </c>
      <c r="B10980">
        <f>A10980+1</f>
        <v>1829</v>
      </c>
      <c r="C10980" t="s">
        <v>534</v>
      </c>
      <c r="D10980" t="s">
        <v>26</v>
      </c>
      <c r="E10980" s="208" t="s">
        <v>62</v>
      </c>
      <c r="F10980" t="s">
        <v>15</v>
      </c>
      <c r="G10980" s="18">
        <v>37691.5</v>
      </c>
      <c r="H10980" s="151" t="s">
        <v>563</v>
      </c>
      <c r="I10980" t="s">
        <v>561</v>
      </c>
    </row>
    <row r="10981" spans="1:9" x14ac:dyDescent="0.25">
      <c r="A10981">
        <v>1828</v>
      </c>
      <c r="B10981">
        <f>A10981+1</f>
        <v>1829</v>
      </c>
      <c r="C10981" t="s">
        <v>534</v>
      </c>
      <c r="D10981" t="s">
        <v>26</v>
      </c>
      <c r="E10981" s="208" t="s">
        <v>55</v>
      </c>
      <c r="F10981" t="s">
        <v>15</v>
      </c>
      <c r="G10981" s="18">
        <v>10264</v>
      </c>
      <c r="H10981" s="151" t="s">
        <v>24</v>
      </c>
      <c r="I10981" s="151" t="s">
        <v>16</v>
      </c>
    </row>
    <row r="10982" spans="1:9" x14ac:dyDescent="0.25">
      <c r="A10982">
        <v>1828</v>
      </c>
      <c r="B10982">
        <f>A10982+1</f>
        <v>1829</v>
      </c>
      <c r="C10982" t="s">
        <v>534</v>
      </c>
      <c r="D10982" t="s">
        <v>26</v>
      </c>
      <c r="E10982" s="208" t="s">
        <v>40</v>
      </c>
      <c r="F10982" t="s">
        <v>15</v>
      </c>
      <c r="G10982" s="18">
        <v>143029</v>
      </c>
      <c r="H10982" s="151" t="s">
        <v>25</v>
      </c>
      <c r="I10982" s="151" t="s">
        <v>16</v>
      </c>
    </row>
    <row r="10983" spans="1:9" x14ac:dyDescent="0.25">
      <c r="A10983">
        <v>1828</v>
      </c>
      <c r="B10983">
        <f>A10983+1</f>
        <v>1829</v>
      </c>
      <c r="C10983" t="s">
        <v>534</v>
      </c>
      <c r="D10983" t="s">
        <v>26</v>
      </c>
      <c r="E10983" s="208" t="s">
        <v>98</v>
      </c>
      <c r="F10983" t="s">
        <v>15</v>
      </c>
      <c r="G10983" s="18">
        <v>745999</v>
      </c>
      <c r="H10983" s="151" t="s">
        <v>18</v>
      </c>
      <c r="I10983" s="151" t="s">
        <v>16</v>
      </c>
    </row>
    <row r="10984" spans="1:9" x14ac:dyDescent="0.25">
      <c r="A10984">
        <v>1828</v>
      </c>
      <c r="B10984">
        <f>A10984+1</f>
        <v>1829</v>
      </c>
      <c r="C10984" t="s">
        <v>534</v>
      </c>
      <c r="D10984" t="s">
        <v>26</v>
      </c>
      <c r="E10984" s="208" t="s">
        <v>435</v>
      </c>
      <c r="F10984" t="s">
        <v>15</v>
      </c>
      <c r="G10984" s="18">
        <v>22596</v>
      </c>
      <c r="H10984" s="151" t="s">
        <v>21</v>
      </c>
      <c r="I10984" s="151" t="s">
        <v>16</v>
      </c>
    </row>
    <row r="10985" spans="1:9" x14ac:dyDescent="0.25">
      <c r="A10985">
        <v>1828</v>
      </c>
      <c r="B10985">
        <f>A10985+1</f>
        <v>1829</v>
      </c>
      <c r="C10985" t="s">
        <v>534</v>
      </c>
      <c r="D10985" t="s">
        <v>26</v>
      </c>
      <c r="E10985" s="208" t="s">
        <v>107</v>
      </c>
      <c r="F10985" t="s">
        <v>15</v>
      </c>
      <c r="G10985" s="18">
        <v>6017816</v>
      </c>
      <c r="H10985" s="151" t="s">
        <v>23</v>
      </c>
      <c r="I10985" s="151" t="s">
        <v>16</v>
      </c>
    </row>
    <row r="10986" spans="1:9" x14ac:dyDescent="0.25">
      <c r="A10986">
        <v>1828</v>
      </c>
      <c r="B10986">
        <f>A10986+1</f>
        <v>1829</v>
      </c>
      <c r="C10986" t="s">
        <v>534</v>
      </c>
      <c r="D10986" t="s">
        <v>26</v>
      </c>
      <c r="E10986" s="208" t="s">
        <v>101</v>
      </c>
      <c r="F10986" t="s">
        <v>15</v>
      </c>
      <c r="G10986" s="18">
        <v>6623969</v>
      </c>
      <c r="H10986" s="151" t="s">
        <v>563</v>
      </c>
      <c r="I10986" s="151" t="s">
        <v>16</v>
      </c>
    </row>
    <row r="10987" spans="1:9" x14ac:dyDescent="0.25">
      <c r="A10987">
        <v>1828</v>
      </c>
      <c r="B10987">
        <f>A10987+1</f>
        <v>1829</v>
      </c>
      <c r="C10987" t="s">
        <v>534</v>
      </c>
      <c r="D10987" t="s">
        <v>26</v>
      </c>
      <c r="E10987" s="208" t="s">
        <v>75</v>
      </c>
      <c r="F10987" t="s">
        <v>15</v>
      </c>
      <c r="G10987" s="18">
        <v>5832548</v>
      </c>
      <c r="H10987" s="151" t="s">
        <v>24</v>
      </c>
      <c r="I10987" s="151" t="s">
        <v>17</v>
      </c>
    </row>
    <row r="10988" spans="1:9" x14ac:dyDescent="0.25">
      <c r="A10988">
        <v>1828</v>
      </c>
      <c r="B10988">
        <f>A10988+1</f>
        <v>1829</v>
      </c>
      <c r="C10988" t="s">
        <v>534</v>
      </c>
      <c r="D10988" t="s">
        <v>26</v>
      </c>
      <c r="E10988" s="208" t="s">
        <v>66</v>
      </c>
      <c r="F10988" t="s">
        <v>15</v>
      </c>
      <c r="G10988" s="18">
        <v>119432</v>
      </c>
      <c r="H10988" s="151" t="s">
        <v>25</v>
      </c>
      <c r="I10988" s="151" t="s">
        <v>17</v>
      </c>
    </row>
    <row r="10989" spans="1:9" x14ac:dyDescent="0.25">
      <c r="A10989">
        <v>1828</v>
      </c>
      <c r="B10989">
        <f>A10989+1</f>
        <v>1829</v>
      </c>
      <c r="C10989" t="s">
        <v>534</v>
      </c>
      <c r="D10989" t="s">
        <v>26</v>
      </c>
      <c r="E10989" s="208" t="s">
        <v>330</v>
      </c>
      <c r="F10989" t="s">
        <v>15</v>
      </c>
      <c r="G10989" s="18">
        <v>1326</v>
      </c>
      <c r="H10989" s="151" t="s">
        <v>18</v>
      </c>
      <c r="I10989" s="151" t="s">
        <v>17</v>
      </c>
    </row>
    <row r="10990" spans="1:9" x14ac:dyDescent="0.25">
      <c r="A10990">
        <v>1828</v>
      </c>
      <c r="B10990">
        <f>A10990+1</f>
        <v>1829</v>
      </c>
      <c r="C10990" t="s">
        <v>534</v>
      </c>
      <c r="D10990" t="s">
        <v>26</v>
      </c>
      <c r="E10990" s="208" t="s">
        <v>331</v>
      </c>
      <c r="F10990" t="s">
        <v>15</v>
      </c>
      <c r="G10990" s="18">
        <v>1519</v>
      </c>
      <c r="H10990" s="151" t="s">
        <v>21</v>
      </c>
      <c r="I10990" s="151" t="s">
        <v>17</v>
      </c>
    </row>
    <row r="10991" spans="1:9" x14ac:dyDescent="0.25">
      <c r="A10991">
        <v>1828</v>
      </c>
      <c r="B10991">
        <f>A10991+1</f>
        <v>1829</v>
      </c>
      <c r="C10991" t="s">
        <v>534</v>
      </c>
      <c r="D10991" t="s">
        <v>26</v>
      </c>
      <c r="E10991" s="208" t="s">
        <v>332</v>
      </c>
      <c r="F10991" t="s">
        <v>15</v>
      </c>
      <c r="G10991" s="18">
        <v>347</v>
      </c>
      <c r="H10991" s="151" t="s">
        <v>23</v>
      </c>
      <c r="I10991" s="151" t="s">
        <v>17</v>
      </c>
    </row>
    <row r="10992" spans="1:9" x14ac:dyDescent="0.25">
      <c r="A10992">
        <v>1828</v>
      </c>
      <c r="B10992">
        <f>A10992+1</f>
        <v>1829</v>
      </c>
      <c r="C10992" t="s">
        <v>534</v>
      </c>
      <c r="D10992" t="s">
        <v>26</v>
      </c>
      <c r="E10992" s="208" t="s">
        <v>333</v>
      </c>
      <c r="F10992" t="s">
        <v>15</v>
      </c>
      <c r="G10992" s="18">
        <v>1090</v>
      </c>
      <c r="H10992" s="151" t="s">
        <v>563</v>
      </c>
      <c r="I10992" s="151" t="s">
        <v>17</v>
      </c>
    </row>
    <row r="10993" spans="1:9" x14ac:dyDescent="0.25">
      <c r="A10993">
        <v>1828</v>
      </c>
      <c r="B10993">
        <f>A10993+1</f>
        <v>1829</v>
      </c>
      <c r="C10993" t="s">
        <v>534</v>
      </c>
      <c r="D10993" t="s">
        <v>26</v>
      </c>
      <c r="E10993" s="208" t="s">
        <v>566</v>
      </c>
      <c r="F10993" t="s">
        <v>3</v>
      </c>
      <c r="G10993" s="18">
        <v>120</v>
      </c>
      <c r="H10993" s="151" t="s">
        <v>563</v>
      </c>
      <c r="I10993" s="151" t="s">
        <v>561</v>
      </c>
    </row>
    <row r="10994" spans="1:9" x14ac:dyDescent="0.25">
      <c r="A10994">
        <v>1828</v>
      </c>
      <c r="B10994">
        <f>A10994+1</f>
        <v>1829</v>
      </c>
      <c r="C10994" t="s">
        <v>534</v>
      </c>
      <c r="D10994" t="s">
        <v>26</v>
      </c>
      <c r="E10994" s="208" t="s">
        <v>566</v>
      </c>
      <c r="F10994" t="s">
        <v>7</v>
      </c>
      <c r="G10994" s="18">
        <v>120</v>
      </c>
      <c r="H10994" s="151" t="s">
        <v>24</v>
      </c>
      <c r="I10994" s="151" t="s">
        <v>16</v>
      </c>
    </row>
    <row r="10995" spans="1:9" x14ac:dyDescent="0.25">
      <c r="A10995">
        <v>1828</v>
      </c>
      <c r="B10995">
        <f>A10995+1</f>
        <v>1829</v>
      </c>
      <c r="C10995" t="s">
        <v>534</v>
      </c>
      <c r="D10995" t="s">
        <v>26</v>
      </c>
      <c r="E10995" s="208" t="s">
        <v>566</v>
      </c>
      <c r="F10995" t="s">
        <v>10</v>
      </c>
      <c r="G10995" s="18">
        <v>16</v>
      </c>
      <c r="H10995" s="151" t="s">
        <v>25</v>
      </c>
      <c r="I10995" s="151" t="s">
        <v>16</v>
      </c>
    </row>
    <row r="10996" spans="1:9" x14ac:dyDescent="0.25">
      <c r="A10996">
        <v>1828</v>
      </c>
      <c r="B10996">
        <f>A10996+1</f>
        <v>1829</v>
      </c>
      <c r="C10996" t="s">
        <v>534</v>
      </c>
      <c r="D10996" t="s">
        <v>26</v>
      </c>
      <c r="E10996" s="208" t="s">
        <v>566</v>
      </c>
      <c r="F10996" t="s">
        <v>14</v>
      </c>
      <c r="G10996" s="18">
        <v>16</v>
      </c>
      <c r="H10996" s="151" t="s">
        <v>18</v>
      </c>
      <c r="I10996" s="151" t="s">
        <v>16</v>
      </c>
    </row>
    <row r="10997" spans="1:9" x14ac:dyDescent="0.25">
      <c r="A10997">
        <v>1828</v>
      </c>
      <c r="B10997">
        <f>A10997+1</f>
        <v>1829</v>
      </c>
      <c r="C10997" t="s">
        <v>534</v>
      </c>
      <c r="D10997" t="s">
        <v>26</v>
      </c>
      <c r="E10997" s="208" t="s">
        <v>566</v>
      </c>
      <c r="F10997" t="s">
        <v>15</v>
      </c>
      <c r="G10997" s="18">
        <v>136</v>
      </c>
      <c r="H10997" s="151" t="s">
        <v>21</v>
      </c>
      <c r="I10997" s="151" t="s">
        <v>16</v>
      </c>
    </row>
    <row r="10998" spans="1:9" x14ac:dyDescent="0.25">
      <c r="A10998" s="151">
        <v>1831</v>
      </c>
      <c r="B10998" s="151">
        <f>A10998+1</f>
        <v>1832</v>
      </c>
      <c r="C10998" s="151" t="s">
        <v>537</v>
      </c>
      <c r="D10998" s="151" t="s">
        <v>26</v>
      </c>
      <c r="E10998" s="208" t="s">
        <v>572</v>
      </c>
      <c r="F10998" s="151" t="s">
        <v>3</v>
      </c>
      <c r="G10998" s="152">
        <v>4186</v>
      </c>
      <c r="H10998" s="151" t="s">
        <v>23</v>
      </c>
      <c r="I10998" s="151" t="s">
        <v>16</v>
      </c>
    </row>
    <row r="10999" spans="1:9" x14ac:dyDescent="0.25">
      <c r="A10999" s="151">
        <v>1831</v>
      </c>
      <c r="B10999" s="151">
        <f>A10999+1</f>
        <v>1832</v>
      </c>
      <c r="C10999" s="151" t="s">
        <v>537</v>
      </c>
      <c r="D10999" s="151" t="s">
        <v>26</v>
      </c>
      <c r="E10999" s="208" t="s">
        <v>572</v>
      </c>
      <c r="F10999" s="151" t="s">
        <v>6</v>
      </c>
      <c r="G10999" s="152">
        <v>322</v>
      </c>
      <c r="H10999" s="151" t="s">
        <v>563</v>
      </c>
      <c r="I10999" s="151" t="s">
        <v>16</v>
      </c>
    </row>
    <row r="11000" spans="1:9" x14ac:dyDescent="0.25">
      <c r="A11000" s="151">
        <v>1831</v>
      </c>
      <c r="B11000" s="151">
        <f>A11000+1</f>
        <v>1832</v>
      </c>
      <c r="C11000" s="151" t="s">
        <v>537</v>
      </c>
      <c r="D11000" s="151" t="s">
        <v>26</v>
      </c>
      <c r="E11000" s="208" t="s">
        <v>572</v>
      </c>
      <c r="F11000" s="151" t="s">
        <v>0</v>
      </c>
      <c r="G11000" s="152">
        <v>30</v>
      </c>
      <c r="H11000" s="151" t="s">
        <v>24</v>
      </c>
      <c r="I11000" s="151" t="s">
        <v>17</v>
      </c>
    </row>
    <row r="11001" spans="1:9" x14ac:dyDescent="0.25">
      <c r="A11001" s="151">
        <v>1831</v>
      </c>
      <c r="B11001" s="151">
        <f>A11001+1</f>
        <v>1832</v>
      </c>
      <c r="C11001" s="151" t="s">
        <v>537</v>
      </c>
      <c r="D11001" s="151" t="s">
        <v>26</v>
      </c>
      <c r="E11001" s="208" t="s">
        <v>572</v>
      </c>
      <c r="F11001" s="151" t="s">
        <v>1</v>
      </c>
      <c r="G11001" s="152">
        <v>0</v>
      </c>
      <c r="H11001" s="151" t="s">
        <v>25</v>
      </c>
      <c r="I11001" s="151" t="s">
        <v>17</v>
      </c>
    </row>
    <row r="11002" spans="1:9" x14ac:dyDescent="0.25">
      <c r="A11002" s="151">
        <v>1831</v>
      </c>
      <c r="B11002" s="151">
        <f>A11002+1</f>
        <v>1832</v>
      </c>
      <c r="C11002" s="151" t="s">
        <v>537</v>
      </c>
      <c r="D11002" s="151" t="s">
        <v>26</v>
      </c>
      <c r="E11002" s="208" t="s">
        <v>572</v>
      </c>
      <c r="F11002" s="151" t="s">
        <v>4</v>
      </c>
      <c r="G11002" s="152">
        <v>0</v>
      </c>
      <c r="H11002" s="151" t="s">
        <v>18</v>
      </c>
      <c r="I11002" s="151" t="s">
        <v>17</v>
      </c>
    </row>
    <row r="11003" spans="1:9" x14ac:dyDescent="0.25">
      <c r="A11003" s="151">
        <v>1831</v>
      </c>
      <c r="B11003" s="151">
        <f>A11003+1</f>
        <v>1832</v>
      </c>
      <c r="C11003" s="151" t="s">
        <v>537</v>
      </c>
      <c r="D11003" s="151" t="s">
        <v>26</v>
      </c>
      <c r="E11003" s="208" t="s">
        <v>572</v>
      </c>
      <c r="F11003" s="151" t="s">
        <v>7</v>
      </c>
      <c r="G11003" s="152">
        <v>4538</v>
      </c>
      <c r="H11003" s="151" t="s">
        <v>21</v>
      </c>
      <c r="I11003" s="151" t="s">
        <v>17</v>
      </c>
    </row>
    <row r="11004" spans="1:9" x14ac:dyDescent="0.25">
      <c r="A11004" s="151">
        <v>1831</v>
      </c>
      <c r="B11004" s="151">
        <f>A11004+1</f>
        <v>1832</v>
      </c>
      <c r="C11004" s="151" t="s">
        <v>537</v>
      </c>
      <c r="D11004" s="151" t="s">
        <v>26</v>
      </c>
      <c r="E11004" s="208" t="s">
        <v>572</v>
      </c>
      <c r="F11004" s="151" t="s">
        <v>10</v>
      </c>
      <c r="G11004" s="152">
        <v>1089</v>
      </c>
      <c r="H11004" s="151" t="s">
        <v>23</v>
      </c>
      <c r="I11004" s="151" t="s">
        <v>17</v>
      </c>
    </row>
    <row r="11005" spans="1:9" x14ac:dyDescent="0.25">
      <c r="A11005" s="151">
        <v>1831</v>
      </c>
      <c r="B11005" s="151">
        <f>A11005+1</f>
        <v>1832</v>
      </c>
      <c r="C11005" s="151" t="s">
        <v>537</v>
      </c>
      <c r="D11005" s="151" t="s">
        <v>26</v>
      </c>
      <c r="E11005" s="208" t="s">
        <v>572</v>
      </c>
      <c r="F11005" s="151" t="s">
        <v>13</v>
      </c>
      <c r="G11005" s="152">
        <v>0</v>
      </c>
      <c r="H11005" s="151" t="s">
        <v>563</v>
      </c>
      <c r="I11005" s="151" t="s">
        <v>17</v>
      </c>
    </row>
    <row r="11006" spans="1:9" x14ac:dyDescent="0.25">
      <c r="A11006" s="151">
        <v>1831</v>
      </c>
      <c r="B11006" s="151">
        <f>A11006+1</f>
        <v>1832</v>
      </c>
      <c r="C11006" s="151" t="s">
        <v>537</v>
      </c>
      <c r="D11006" s="151" t="s">
        <v>26</v>
      </c>
      <c r="E11006" s="208" t="s">
        <v>572</v>
      </c>
      <c r="F11006" s="151" t="s">
        <v>8</v>
      </c>
      <c r="G11006" s="152">
        <v>0</v>
      </c>
      <c r="H11006" s="151" t="s">
        <v>563</v>
      </c>
      <c r="I11006" s="151" t="s">
        <v>561</v>
      </c>
    </row>
    <row r="11007" spans="1:9" x14ac:dyDescent="0.25">
      <c r="A11007" s="151">
        <v>1831</v>
      </c>
      <c r="B11007" s="151">
        <f>A11007+1</f>
        <v>1832</v>
      </c>
      <c r="C11007" s="151" t="s">
        <v>537</v>
      </c>
      <c r="D11007" s="151" t="s">
        <v>26</v>
      </c>
      <c r="E11007" s="208" t="s">
        <v>572</v>
      </c>
      <c r="F11007" s="151" t="s">
        <v>9</v>
      </c>
      <c r="G11007" s="152">
        <v>60</v>
      </c>
      <c r="H11007" s="151" t="s">
        <v>24</v>
      </c>
      <c r="I11007" s="151" t="s">
        <v>16</v>
      </c>
    </row>
    <row r="11008" spans="1:9" x14ac:dyDescent="0.25">
      <c r="A11008" s="151">
        <v>1831</v>
      </c>
      <c r="B11008" s="151">
        <f>A11008+1</f>
        <v>1832</v>
      </c>
      <c r="C11008" s="151" t="s">
        <v>537</v>
      </c>
      <c r="D11008" s="151" t="s">
        <v>26</v>
      </c>
      <c r="E11008" s="208" t="s">
        <v>572</v>
      </c>
      <c r="F11008" s="151" t="s">
        <v>11</v>
      </c>
      <c r="G11008" s="152">
        <v>0</v>
      </c>
      <c r="H11008" s="151" t="s">
        <v>25</v>
      </c>
      <c r="I11008" s="151" t="s">
        <v>16</v>
      </c>
    </row>
    <row r="11009" spans="1:9" x14ac:dyDescent="0.25">
      <c r="A11009" s="151">
        <v>1831</v>
      </c>
      <c r="B11009" s="151">
        <f>A11009+1</f>
        <v>1832</v>
      </c>
      <c r="C11009" s="151" t="s">
        <v>537</v>
      </c>
      <c r="D11009" s="151" t="s">
        <v>26</v>
      </c>
      <c r="E11009" s="208" t="s">
        <v>572</v>
      </c>
      <c r="F11009" s="151" t="s">
        <v>14</v>
      </c>
      <c r="G11009" s="152">
        <v>1149</v>
      </c>
      <c r="H11009" s="151" t="s">
        <v>18</v>
      </c>
      <c r="I11009" s="151" t="s">
        <v>16</v>
      </c>
    </row>
    <row r="11010" spans="1:9" x14ac:dyDescent="0.25">
      <c r="A11010" s="151">
        <v>1831</v>
      </c>
      <c r="B11010" s="151">
        <f>A11010+1</f>
        <v>1832</v>
      </c>
      <c r="C11010" s="151" t="s">
        <v>537</v>
      </c>
      <c r="D11010" s="151" t="s">
        <v>26</v>
      </c>
      <c r="E11010" s="208" t="s">
        <v>572</v>
      </c>
      <c r="F11010" s="151" t="s">
        <v>15</v>
      </c>
      <c r="G11010" s="152">
        <v>5687</v>
      </c>
      <c r="H11010" s="151" t="s">
        <v>21</v>
      </c>
      <c r="I11010" s="151" t="s">
        <v>16</v>
      </c>
    </row>
    <row r="11011" spans="1:9" x14ac:dyDescent="0.25">
      <c r="A11011" s="151">
        <v>1831</v>
      </c>
      <c r="B11011" s="151">
        <f>A11011+1</f>
        <v>1832</v>
      </c>
      <c r="C11011" s="151" t="s">
        <v>537</v>
      </c>
      <c r="D11011" s="151" t="s">
        <v>26</v>
      </c>
      <c r="E11011" s="208" t="s">
        <v>571</v>
      </c>
      <c r="F11011" s="151" t="s">
        <v>3</v>
      </c>
      <c r="G11011" s="152">
        <v>4017</v>
      </c>
      <c r="H11011" s="151" t="s">
        <v>23</v>
      </c>
      <c r="I11011" s="151" t="s">
        <v>16</v>
      </c>
    </row>
    <row r="11012" spans="1:9" x14ac:dyDescent="0.25">
      <c r="A11012" s="151">
        <v>1831</v>
      </c>
      <c r="B11012" s="151">
        <f>A11012+1</f>
        <v>1832</v>
      </c>
      <c r="C11012" s="151" t="s">
        <v>537</v>
      </c>
      <c r="D11012" s="151" t="s">
        <v>26</v>
      </c>
      <c r="E11012" s="208" t="s">
        <v>571</v>
      </c>
      <c r="F11012" s="151" t="s">
        <v>6</v>
      </c>
      <c r="G11012" s="152">
        <v>0</v>
      </c>
      <c r="H11012" s="151" t="s">
        <v>563</v>
      </c>
      <c r="I11012" s="151" t="s">
        <v>16</v>
      </c>
    </row>
    <row r="11013" spans="1:9" x14ac:dyDescent="0.25">
      <c r="A11013" s="151">
        <v>1831</v>
      </c>
      <c r="B11013" s="151">
        <f>A11013+1</f>
        <v>1832</v>
      </c>
      <c r="C11013" s="151" t="s">
        <v>537</v>
      </c>
      <c r="D11013" s="151" t="s">
        <v>26</v>
      </c>
      <c r="E11013" s="208" t="s">
        <v>571</v>
      </c>
      <c r="F11013" s="151" t="s">
        <v>0</v>
      </c>
      <c r="G11013" s="152">
        <v>457</v>
      </c>
      <c r="H11013" s="151" t="s">
        <v>24</v>
      </c>
      <c r="I11013" s="151" t="s">
        <v>17</v>
      </c>
    </row>
    <row r="11014" spans="1:9" x14ac:dyDescent="0.25">
      <c r="A11014" s="151">
        <v>1831</v>
      </c>
      <c r="B11014" s="151">
        <f>A11014+1</f>
        <v>1832</v>
      </c>
      <c r="C11014" s="151" t="s">
        <v>537</v>
      </c>
      <c r="D11014" s="151" t="s">
        <v>26</v>
      </c>
      <c r="E11014" s="208" t="s">
        <v>571</v>
      </c>
      <c r="F11014" s="151" t="s">
        <v>1</v>
      </c>
      <c r="G11014" s="152">
        <v>1</v>
      </c>
      <c r="H11014" s="151" t="s">
        <v>25</v>
      </c>
      <c r="I11014" s="151" t="s">
        <v>17</v>
      </c>
    </row>
    <row r="11015" spans="1:9" x14ac:dyDescent="0.25">
      <c r="A11015" s="151">
        <v>1831</v>
      </c>
      <c r="B11015" s="151">
        <f>A11015+1</f>
        <v>1832</v>
      </c>
      <c r="C11015" s="151" t="s">
        <v>537</v>
      </c>
      <c r="D11015" s="151" t="s">
        <v>26</v>
      </c>
      <c r="E11015" s="208" t="s">
        <v>571</v>
      </c>
      <c r="F11015" s="151" t="s">
        <v>4</v>
      </c>
      <c r="G11015" s="152">
        <v>128</v>
      </c>
      <c r="H11015" s="151" t="s">
        <v>18</v>
      </c>
      <c r="I11015" s="151" t="s">
        <v>17</v>
      </c>
    </row>
    <row r="11016" spans="1:9" x14ac:dyDescent="0.25">
      <c r="A11016" s="151">
        <v>1831</v>
      </c>
      <c r="B11016" s="151">
        <f>A11016+1</f>
        <v>1832</v>
      </c>
      <c r="C11016" s="151" t="s">
        <v>537</v>
      </c>
      <c r="D11016" s="151" t="s">
        <v>26</v>
      </c>
      <c r="E11016" s="208" t="s">
        <v>571</v>
      </c>
      <c r="F11016" s="151" t="s">
        <v>7</v>
      </c>
      <c r="G11016" s="152">
        <v>4603</v>
      </c>
      <c r="H11016" s="151" t="s">
        <v>21</v>
      </c>
      <c r="I11016" s="151" t="s">
        <v>17</v>
      </c>
    </row>
    <row r="11017" spans="1:9" x14ac:dyDescent="0.25">
      <c r="A11017" s="151">
        <v>1831</v>
      </c>
      <c r="B11017" s="151">
        <f>A11017+1</f>
        <v>1832</v>
      </c>
      <c r="C11017" s="151" t="s">
        <v>537</v>
      </c>
      <c r="D11017" s="151" t="s">
        <v>26</v>
      </c>
      <c r="E11017" s="208" t="s">
        <v>571</v>
      </c>
      <c r="F11017" s="151" t="s">
        <v>10</v>
      </c>
      <c r="G11017" s="152">
        <v>1038</v>
      </c>
      <c r="H11017" s="151" t="s">
        <v>23</v>
      </c>
      <c r="I11017" s="151" t="s">
        <v>17</v>
      </c>
    </row>
    <row r="11018" spans="1:9" x14ac:dyDescent="0.25">
      <c r="A11018" s="151">
        <v>1831</v>
      </c>
      <c r="B11018" s="151">
        <f>A11018+1</f>
        <v>1832</v>
      </c>
      <c r="C11018" s="151" t="s">
        <v>537</v>
      </c>
      <c r="D11018" s="151" t="s">
        <v>26</v>
      </c>
      <c r="E11018" s="208" t="s">
        <v>571</v>
      </c>
      <c r="F11018" s="151" t="s">
        <v>13</v>
      </c>
      <c r="G11018" s="152">
        <v>0</v>
      </c>
      <c r="H11018" s="151" t="s">
        <v>563</v>
      </c>
      <c r="I11018" s="151" t="s">
        <v>17</v>
      </c>
    </row>
    <row r="11019" spans="1:9" x14ac:dyDescent="0.25">
      <c r="A11019" s="151">
        <v>1831</v>
      </c>
      <c r="B11019" s="151">
        <f>A11019+1</f>
        <v>1832</v>
      </c>
      <c r="C11019" s="151" t="s">
        <v>537</v>
      </c>
      <c r="D11019" s="151" t="s">
        <v>26</v>
      </c>
      <c r="E11019" s="208" t="s">
        <v>571</v>
      </c>
      <c r="F11019" s="151" t="s">
        <v>8</v>
      </c>
      <c r="G11019" s="152">
        <v>4</v>
      </c>
      <c r="H11019" s="151" t="s">
        <v>563</v>
      </c>
      <c r="I11019" s="151" t="s">
        <v>561</v>
      </c>
    </row>
    <row r="11020" spans="1:9" x14ac:dyDescent="0.25">
      <c r="A11020" s="151">
        <v>1831</v>
      </c>
      <c r="B11020" s="151">
        <f>A11020+1</f>
        <v>1832</v>
      </c>
      <c r="C11020" s="151" t="s">
        <v>537</v>
      </c>
      <c r="D11020" s="151" t="s">
        <v>26</v>
      </c>
      <c r="E11020" s="208" t="s">
        <v>571</v>
      </c>
      <c r="F11020" s="151" t="s">
        <v>9</v>
      </c>
      <c r="G11020" s="152">
        <v>1</v>
      </c>
      <c r="H11020" s="151" t="s">
        <v>24</v>
      </c>
      <c r="I11020" s="151" t="s">
        <v>16</v>
      </c>
    </row>
    <row r="11021" spans="1:9" x14ac:dyDescent="0.25">
      <c r="A11021" s="151">
        <v>1831</v>
      </c>
      <c r="B11021" s="151">
        <f>A11021+1</f>
        <v>1832</v>
      </c>
      <c r="C11021" s="151" t="s">
        <v>537</v>
      </c>
      <c r="D11021" s="151" t="s">
        <v>26</v>
      </c>
      <c r="E11021" s="208" t="s">
        <v>571</v>
      </c>
      <c r="F11021" s="151" t="s">
        <v>11</v>
      </c>
      <c r="G11021" s="152">
        <v>0</v>
      </c>
      <c r="H11021" s="151" t="s">
        <v>25</v>
      </c>
      <c r="I11021" s="151" t="s">
        <v>16</v>
      </c>
    </row>
    <row r="11022" spans="1:9" x14ac:dyDescent="0.25">
      <c r="A11022" s="151">
        <v>1831</v>
      </c>
      <c r="B11022" s="151">
        <f>A11022+1</f>
        <v>1832</v>
      </c>
      <c r="C11022" s="151" t="s">
        <v>537</v>
      </c>
      <c r="D11022" s="151" t="s">
        <v>26</v>
      </c>
      <c r="E11022" s="208" t="s">
        <v>571</v>
      </c>
      <c r="F11022" s="151" t="s">
        <v>14</v>
      </c>
      <c r="G11022" s="152">
        <v>1043</v>
      </c>
      <c r="H11022" s="151" t="s">
        <v>18</v>
      </c>
      <c r="I11022" s="151" t="s">
        <v>16</v>
      </c>
    </row>
    <row r="11023" spans="1:9" x14ac:dyDescent="0.25">
      <c r="A11023" s="151">
        <v>1831</v>
      </c>
      <c r="B11023" s="151">
        <f>A11023+1</f>
        <v>1832</v>
      </c>
      <c r="C11023" s="151" t="s">
        <v>537</v>
      </c>
      <c r="D11023" s="151" t="s">
        <v>26</v>
      </c>
      <c r="E11023" s="208" t="s">
        <v>571</v>
      </c>
      <c r="F11023" s="151" t="s">
        <v>15</v>
      </c>
      <c r="G11023" s="152">
        <v>5646</v>
      </c>
      <c r="H11023" s="151" t="s">
        <v>21</v>
      </c>
      <c r="I11023" s="151" t="s">
        <v>16</v>
      </c>
    </row>
    <row r="11024" spans="1:9" x14ac:dyDescent="0.25">
      <c r="A11024" s="151">
        <v>1831</v>
      </c>
      <c r="B11024" s="151">
        <f>A11024+1</f>
        <v>1832</v>
      </c>
      <c r="C11024" s="151" t="s">
        <v>537</v>
      </c>
      <c r="D11024" s="151" t="s">
        <v>26</v>
      </c>
      <c r="E11024" s="208" t="s">
        <v>567</v>
      </c>
      <c r="F11024" s="151" t="s">
        <v>3</v>
      </c>
      <c r="G11024" s="152">
        <v>16185</v>
      </c>
      <c r="H11024" s="151" t="s">
        <v>23</v>
      </c>
      <c r="I11024" s="151" t="s">
        <v>16</v>
      </c>
    </row>
    <row r="11025" spans="1:9" x14ac:dyDescent="0.25">
      <c r="A11025" s="151">
        <v>1831</v>
      </c>
      <c r="B11025" s="151">
        <f>A11025+1</f>
        <v>1832</v>
      </c>
      <c r="C11025" s="151" t="s">
        <v>537</v>
      </c>
      <c r="D11025" s="151" t="s">
        <v>26</v>
      </c>
      <c r="E11025" s="208" t="s">
        <v>567</v>
      </c>
      <c r="F11025" s="151" t="s">
        <v>6</v>
      </c>
      <c r="G11025" s="152">
        <v>0</v>
      </c>
      <c r="H11025" s="151" t="s">
        <v>563</v>
      </c>
      <c r="I11025" s="151" t="s">
        <v>16</v>
      </c>
    </row>
    <row r="11026" spans="1:9" x14ac:dyDescent="0.25">
      <c r="A11026" s="151">
        <v>1831</v>
      </c>
      <c r="B11026" s="151">
        <f>A11026+1</f>
        <v>1832</v>
      </c>
      <c r="C11026" s="151" t="s">
        <v>537</v>
      </c>
      <c r="D11026" s="151" t="s">
        <v>26</v>
      </c>
      <c r="E11026" s="208" t="s">
        <v>567</v>
      </c>
      <c r="F11026" s="151" t="s">
        <v>0</v>
      </c>
      <c r="G11026" s="152">
        <v>8624</v>
      </c>
      <c r="H11026" s="151" t="s">
        <v>24</v>
      </c>
      <c r="I11026" s="151" t="s">
        <v>17</v>
      </c>
    </row>
    <row r="11027" spans="1:9" x14ac:dyDescent="0.25">
      <c r="A11027" s="151">
        <v>1831</v>
      </c>
      <c r="B11027" s="151">
        <f>A11027+1</f>
        <v>1832</v>
      </c>
      <c r="C11027" s="151" t="s">
        <v>537</v>
      </c>
      <c r="D11027" s="151" t="s">
        <v>26</v>
      </c>
      <c r="E11027" s="208" t="s">
        <v>567</v>
      </c>
      <c r="F11027" s="151" t="s">
        <v>1</v>
      </c>
      <c r="G11027" s="152">
        <v>251</v>
      </c>
      <c r="H11027" s="151" t="s">
        <v>25</v>
      </c>
      <c r="I11027" s="151" t="s">
        <v>17</v>
      </c>
    </row>
    <row r="11028" spans="1:9" x14ac:dyDescent="0.25">
      <c r="A11028" s="151">
        <v>1831</v>
      </c>
      <c r="B11028" s="151">
        <f>A11028+1</f>
        <v>1832</v>
      </c>
      <c r="C11028" s="151" t="s">
        <v>537</v>
      </c>
      <c r="D11028" s="151" t="s">
        <v>26</v>
      </c>
      <c r="E11028" s="208" t="s">
        <v>567</v>
      </c>
      <c r="F11028" s="151" t="s">
        <v>4</v>
      </c>
      <c r="G11028" s="152">
        <v>0</v>
      </c>
      <c r="H11028" s="151" t="s">
        <v>18</v>
      </c>
      <c r="I11028" s="151" t="s">
        <v>17</v>
      </c>
    </row>
    <row r="11029" spans="1:9" x14ac:dyDescent="0.25">
      <c r="A11029" s="151">
        <v>1831</v>
      </c>
      <c r="B11029" s="151">
        <f>A11029+1</f>
        <v>1832</v>
      </c>
      <c r="C11029" s="151" t="s">
        <v>537</v>
      </c>
      <c r="D11029" s="151" t="s">
        <v>26</v>
      </c>
      <c r="E11029" s="208" t="s">
        <v>567</v>
      </c>
      <c r="F11029" s="151" t="s">
        <v>7</v>
      </c>
      <c r="G11029" s="152">
        <v>25060</v>
      </c>
      <c r="H11029" s="151" t="s">
        <v>21</v>
      </c>
      <c r="I11029" s="151" t="s">
        <v>17</v>
      </c>
    </row>
    <row r="11030" spans="1:9" x14ac:dyDescent="0.25">
      <c r="A11030" s="151">
        <v>1831</v>
      </c>
      <c r="B11030" s="151">
        <f>A11030+1</f>
        <v>1832</v>
      </c>
      <c r="C11030" s="151" t="s">
        <v>537</v>
      </c>
      <c r="D11030" s="151" t="s">
        <v>26</v>
      </c>
      <c r="E11030" s="208" t="s">
        <v>567</v>
      </c>
      <c r="F11030" s="151" t="s">
        <v>10</v>
      </c>
      <c r="G11030" s="152">
        <v>1962</v>
      </c>
      <c r="H11030" s="151" t="s">
        <v>23</v>
      </c>
      <c r="I11030" s="151" t="s">
        <v>17</v>
      </c>
    </row>
    <row r="11031" spans="1:9" x14ac:dyDescent="0.25">
      <c r="A11031" s="151">
        <v>1831</v>
      </c>
      <c r="B11031" s="151">
        <f>A11031+1</f>
        <v>1832</v>
      </c>
      <c r="C11031" s="151" t="s">
        <v>537</v>
      </c>
      <c r="D11031" s="151" t="s">
        <v>26</v>
      </c>
      <c r="E11031" s="208" t="s">
        <v>567</v>
      </c>
      <c r="F11031" s="151" t="s">
        <v>13</v>
      </c>
      <c r="G11031" s="152">
        <v>0</v>
      </c>
      <c r="H11031" s="151" t="s">
        <v>563</v>
      </c>
      <c r="I11031" s="151" t="s">
        <v>17</v>
      </c>
    </row>
    <row r="11032" spans="1:9" x14ac:dyDescent="0.25">
      <c r="A11032" s="151">
        <v>1831</v>
      </c>
      <c r="B11032" s="151">
        <f>A11032+1</f>
        <v>1832</v>
      </c>
      <c r="C11032" s="151" t="s">
        <v>537</v>
      </c>
      <c r="D11032" s="151" t="s">
        <v>26</v>
      </c>
      <c r="E11032" s="208" t="s">
        <v>567</v>
      </c>
      <c r="F11032" s="151" t="s">
        <v>8</v>
      </c>
      <c r="G11032" s="152">
        <v>46229</v>
      </c>
      <c r="H11032" s="151" t="s">
        <v>563</v>
      </c>
      <c r="I11032" s="151" t="s">
        <v>561</v>
      </c>
    </row>
    <row r="11033" spans="1:9" x14ac:dyDescent="0.25">
      <c r="A11033" s="151">
        <v>1831</v>
      </c>
      <c r="B11033" s="151">
        <f>A11033+1</f>
        <v>1832</v>
      </c>
      <c r="C11033" s="151" t="s">
        <v>537</v>
      </c>
      <c r="D11033" s="151" t="s">
        <v>26</v>
      </c>
      <c r="E11033" s="208" t="s">
        <v>567</v>
      </c>
      <c r="F11033" s="151" t="s">
        <v>9</v>
      </c>
      <c r="G11033" s="152">
        <v>0</v>
      </c>
      <c r="H11033" s="151" t="s">
        <v>16</v>
      </c>
      <c r="I11033" s="151" t="s">
        <v>24</v>
      </c>
    </row>
    <row r="11034" spans="1:9" x14ac:dyDescent="0.25">
      <c r="A11034" s="151">
        <v>1831</v>
      </c>
      <c r="B11034" s="151">
        <f>A11034+1</f>
        <v>1832</v>
      </c>
      <c r="C11034" s="151" t="s">
        <v>537</v>
      </c>
      <c r="D11034" s="151" t="s">
        <v>26</v>
      </c>
      <c r="E11034" s="208" t="s">
        <v>567</v>
      </c>
      <c r="F11034" s="151" t="s">
        <v>11</v>
      </c>
      <c r="G11034" s="152">
        <v>0</v>
      </c>
      <c r="H11034" s="151" t="s">
        <v>16</v>
      </c>
      <c r="I11034" s="151" t="s">
        <v>24</v>
      </c>
    </row>
    <row r="11035" spans="1:9" x14ac:dyDescent="0.25">
      <c r="A11035" s="151">
        <v>1831</v>
      </c>
      <c r="B11035" s="151">
        <f>A11035+1</f>
        <v>1832</v>
      </c>
      <c r="C11035" s="151" t="s">
        <v>537</v>
      </c>
      <c r="D11035" s="151" t="s">
        <v>26</v>
      </c>
      <c r="E11035" s="208" t="s">
        <v>567</v>
      </c>
      <c r="F11035" s="151" t="s">
        <v>14</v>
      </c>
      <c r="G11035" s="152">
        <v>48191</v>
      </c>
      <c r="H11035" s="151" t="s">
        <v>16</v>
      </c>
      <c r="I11035" s="151" t="s">
        <v>24</v>
      </c>
    </row>
    <row r="11036" spans="1:9" x14ac:dyDescent="0.25">
      <c r="A11036" s="151">
        <v>1831</v>
      </c>
      <c r="B11036" s="151">
        <f>A11036+1</f>
        <v>1832</v>
      </c>
      <c r="C11036" s="151" t="s">
        <v>537</v>
      </c>
      <c r="D11036" s="151" t="s">
        <v>26</v>
      </c>
      <c r="E11036" s="208" t="s">
        <v>567</v>
      </c>
      <c r="F11036" s="151" t="s">
        <v>15</v>
      </c>
      <c r="G11036" s="152">
        <v>73251</v>
      </c>
      <c r="H11036" s="151" t="s">
        <v>16</v>
      </c>
      <c r="I11036" s="151" t="s">
        <v>24</v>
      </c>
    </row>
    <row r="11037" spans="1:9" x14ac:dyDescent="0.25">
      <c r="A11037" s="151">
        <v>1831</v>
      </c>
      <c r="B11037" s="151">
        <f>A11037+1</f>
        <v>1832</v>
      </c>
      <c r="C11037" s="151" t="s">
        <v>537</v>
      </c>
      <c r="D11037" s="151" t="s">
        <v>26</v>
      </c>
      <c r="E11037" s="208" t="s">
        <v>568</v>
      </c>
      <c r="F11037" s="151" t="s">
        <v>3</v>
      </c>
      <c r="G11037" s="152">
        <v>559</v>
      </c>
      <c r="H11037" s="151" t="s">
        <v>16</v>
      </c>
      <c r="I11037" s="151" t="s">
        <v>24</v>
      </c>
    </row>
    <row r="11038" spans="1:9" x14ac:dyDescent="0.25">
      <c r="A11038" s="151">
        <v>1831</v>
      </c>
      <c r="B11038" s="151">
        <f>A11038+1</f>
        <v>1832</v>
      </c>
      <c r="C11038" s="151" t="s">
        <v>537</v>
      </c>
      <c r="D11038" s="151" t="s">
        <v>26</v>
      </c>
      <c r="E11038" s="208" t="s">
        <v>568</v>
      </c>
      <c r="F11038" s="151" t="s">
        <v>6</v>
      </c>
      <c r="G11038" s="152">
        <v>0</v>
      </c>
      <c r="H11038" s="151" t="s">
        <v>16</v>
      </c>
      <c r="I11038" s="151" t="s">
        <v>24</v>
      </c>
    </row>
    <row r="11039" spans="1:9" x14ac:dyDescent="0.25">
      <c r="A11039" s="151">
        <v>1831</v>
      </c>
      <c r="B11039" s="151">
        <f>A11039+1</f>
        <v>1832</v>
      </c>
      <c r="C11039" s="151" t="s">
        <v>537</v>
      </c>
      <c r="D11039" s="151" t="s">
        <v>26</v>
      </c>
      <c r="E11039" s="208" t="s">
        <v>568</v>
      </c>
      <c r="F11039" s="151" t="s">
        <v>0</v>
      </c>
      <c r="G11039" s="152">
        <v>128</v>
      </c>
      <c r="H11039" s="151" t="s">
        <v>16</v>
      </c>
      <c r="I11039" s="151" t="s">
        <v>24</v>
      </c>
    </row>
    <row r="11040" spans="1:9" x14ac:dyDescent="0.25">
      <c r="A11040" s="151">
        <v>1831</v>
      </c>
      <c r="B11040" s="151">
        <f>A11040+1</f>
        <v>1832</v>
      </c>
      <c r="C11040" s="151" t="s">
        <v>537</v>
      </c>
      <c r="D11040" s="151" t="s">
        <v>26</v>
      </c>
      <c r="E11040" s="208" t="s">
        <v>568</v>
      </c>
      <c r="F11040" s="151" t="s">
        <v>1</v>
      </c>
      <c r="G11040" s="152">
        <v>0</v>
      </c>
      <c r="H11040" s="151" t="s">
        <v>16</v>
      </c>
      <c r="I11040" s="151" t="s">
        <v>24</v>
      </c>
    </row>
    <row r="11041" spans="1:9" x14ac:dyDescent="0.25">
      <c r="A11041" s="151">
        <v>1831</v>
      </c>
      <c r="B11041" s="151">
        <f>A11041+1</f>
        <v>1832</v>
      </c>
      <c r="C11041" s="151" t="s">
        <v>537</v>
      </c>
      <c r="D11041" s="151" t="s">
        <v>26</v>
      </c>
      <c r="E11041" s="208" t="s">
        <v>568</v>
      </c>
      <c r="F11041" s="151" t="s">
        <v>4</v>
      </c>
      <c r="G11041" s="152">
        <v>0</v>
      </c>
      <c r="H11041" s="151" t="s">
        <v>16</v>
      </c>
      <c r="I11041" s="151" t="s">
        <v>24</v>
      </c>
    </row>
    <row r="11042" spans="1:9" x14ac:dyDescent="0.25">
      <c r="A11042" s="151">
        <v>1831</v>
      </c>
      <c r="B11042" s="151">
        <f>A11042+1</f>
        <v>1832</v>
      </c>
      <c r="C11042" s="151" t="s">
        <v>537</v>
      </c>
      <c r="D11042" s="151" t="s">
        <v>26</v>
      </c>
      <c r="E11042" s="208" t="s">
        <v>568</v>
      </c>
      <c r="F11042" s="151" t="s">
        <v>7</v>
      </c>
      <c r="G11042" s="152">
        <v>687</v>
      </c>
      <c r="H11042" s="151" t="s">
        <v>16</v>
      </c>
      <c r="I11042" s="151" t="s">
        <v>24</v>
      </c>
    </row>
    <row r="11043" spans="1:9" x14ac:dyDescent="0.25">
      <c r="A11043" s="151">
        <v>1831</v>
      </c>
      <c r="B11043" s="151">
        <f>A11043+1</f>
        <v>1832</v>
      </c>
      <c r="C11043" s="151" t="s">
        <v>537</v>
      </c>
      <c r="D11043" s="151" t="s">
        <v>26</v>
      </c>
      <c r="E11043" s="208" t="s">
        <v>568</v>
      </c>
      <c r="F11043" s="151" t="s">
        <v>10</v>
      </c>
      <c r="G11043" s="152">
        <v>198</v>
      </c>
      <c r="H11043" s="151" t="s">
        <v>16</v>
      </c>
      <c r="I11043" s="151" t="s">
        <v>24</v>
      </c>
    </row>
    <row r="11044" spans="1:9" x14ac:dyDescent="0.25">
      <c r="A11044" s="151">
        <v>1831</v>
      </c>
      <c r="B11044" s="151">
        <f>A11044+1</f>
        <v>1832</v>
      </c>
      <c r="C11044" s="151" t="s">
        <v>537</v>
      </c>
      <c r="D11044" s="151" t="s">
        <v>26</v>
      </c>
      <c r="E11044" s="208" t="s">
        <v>568</v>
      </c>
      <c r="F11044" s="151" t="s">
        <v>13</v>
      </c>
      <c r="G11044" s="152">
        <v>0</v>
      </c>
      <c r="H11044" s="151" t="s">
        <v>16</v>
      </c>
      <c r="I11044" s="151" t="s">
        <v>24</v>
      </c>
    </row>
    <row r="11045" spans="1:9" x14ac:dyDescent="0.25">
      <c r="A11045" s="151">
        <v>1831</v>
      </c>
      <c r="B11045" s="151">
        <f>A11045+1</f>
        <v>1832</v>
      </c>
      <c r="C11045" s="151" t="s">
        <v>537</v>
      </c>
      <c r="D11045" s="151" t="s">
        <v>26</v>
      </c>
      <c r="E11045" s="208" t="s">
        <v>568</v>
      </c>
      <c r="F11045" s="151" t="s">
        <v>8</v>
      </c>
      <c r="G11045" s="152">
        <v>26</v>
      </c>
      <c r="H11045" s="151" t="s">
        <v>16</v>
      </c>
      <c r="I11045" s="151" t="s">
        <v>24</v>
      </c>
    </row>
    <row r="11046" spans="1:9" x14ac:dyDescent="0.25">
      <c r="A11046" s="151">
        <v>1831</v>
      </c>
      <c r="B11046" s="151">
        <f>A11046+1</f>
        <v>1832</v>
      </c>
      <c r="C11046" s="151" t="s">
        <v>537</v>
      </c>
      <c r="D11046" s="151" t="s">
        <v>26</v>
      </c>
      <c r="E11046" s="208" t="s">
        <v>568</v>
      </c>
      <c r="F11046" s="151" t="s">
        <v>9</v>
      </c>
      <c r="G11046" s="152">
        <v>0</v>
      </c>
      <c r="H11046" s="151" t="s">
        <v>16</v>
      </c>
      <c r="I11046" s="151" t="s">
        <v>24</v>
      </c>
    </row>
    <row r="11047" spans="1:9" x14ac:dyDescent="0.25">
      <c r="A11047" s="151">
        <v>1831</v>
      </c>
      <c r="B11047" s="151">
        <f>A11047+1</f>
        <v>1832</v>
      </c>
      <c r="C11047" s="151" t="s">
        <v>537</v>
      </c>
      <c r="D11047" s="151" t="s">
        <v>26</v>
      </c>
      <c r="E11047" s="208" t="s">
        <v>568</v>
      </c>
      <c r="F11047" s="151" t="s">
        <v>11</v>
      </c>
      <c r="G11047" s="152">
        <v>0</v>
      </c>
      <c r="H11047" s="151" t="s">
        <v>16</v>
      </c>
      <c r="I11047" s="151" t="s">
        <v>24</v>
      </c>
    </row>
    <row r="11048" spans="1:9" x14ac:dyDescent="0.25">
      <c r="A11048" s="151">
        <v>1831</v>
      </c>
      <c r="B11048" s="151">
        <f>A11048+1</f>
        <v>1832</v>
      </c>
      <c r="C11048" s="151" t="s">
        <v>537</v>
      </c>
      <c r="D11048" s="151" t="s">
        <v>26</v>
      </c>
      <c r="E11048" s="208" t="s">
        <v>568</v>
      </c>
      <c r="F11048" s="151" t="s">
        <v>14</v>
      </c>
      <c r="G11048" s="152">
        <v>224</v>
      </c>
      <c r="H11048" s="151" t="s">
        <v>16</v>
      </c>
      <c r="I11048" s="151" t="s">
        <v>24</v>
      </c>
    </row>
    <row r="11049" spans="1:9" x14ac:dyDescent="0.25">
      <c r="A11049" s="151">
        <v>1831</v>
      </c>
      <c r="B11049" s="151">
        <f>A11049+1</f>
        <v>1832</v>
      </c>
      <c r="C11049" s="151" t="s">
        <v>537</v>
      </c>
      <c r="D11049" s="151" t="s">
        <v>26</v>
      </c>
      <c r="E11049" s="208" t="s">
        <v>568</v>
      </c>
      <c r="F11049" s="151" t="s">
        <v>15</v>
      </c>
      <c r="G11049" s="152">
        <v>911</v>
      </c>
      <c r="H11049" s="151" t="s">
        <v>16</v>
      </c>
      <c r="I11049" s="151" t="s">
        <v>24</v>
      </c>
    </row>
    <row r="11050" spans="1:9" x14ac:dyDescent="0.25">
      <c r="A11050" s="151">
        <v>1831</v>
      </c>
      <c r="B11050" s="151">
        <f>A11050+1</f>
        <v>1832</v>
      </c>
      <c r="C11050" s="151" t="s">
        <v>537</v>
      </c>
      <c r="D11050" s="151" t="s">
        <v>27</v>
      </c>
      <c r="E11050" s="208" t="s">
        <v>155</v>
      </c>
      <c r="F11050" s="151" t="s">
        <v>3</v>
      </c>
      <c r="G11050" s="152">
        <v>245</v>
      </c>
      <c r="H11050" s="151" t="s">
        <v>16</v>
      </c>
      <c r="I11050" s="151" t="s">
        <v>24</v>
      </c>
    </row>
    <row r="11051" spans="1:9" x14ac:dyDescent="0.25">
      <c r="A11051" s="151">
        <v>1831</v>
      </c>
      <c r="B11051" s="151">
        <f>A11051+1</f>
        <v>1832</v>
      </c>
      <c r="C11051" s="151" t="s">
        <v>537</v>
      </c>
      <c r="D11051" s="151" t="s">
        <v>27</v>
      </c>
      <c r="E11051" s="208" t="s">
        <v>156</v>
      </c>
      <c r="F11051" s="151" t="s">
        <v>3</v>
      </c>
      <c r="G11051" s="152">
        <v>117</v>
      </c>
      <c r="H11051" s="151" t="s">
        <v>16</v>
      </c>
      <c r="I11051" s="151" t="s">
        <v>24</v>
      </c>
    </row>
    <row r="11052" spans="1:9" x14ac:dyDescent="0.25">
      <c r="A11052" s="151">
        <v>1831</v>
      </c>
      <c r="B11052" s="151">
        <f>A11052+1</f>
        <v>1832</v>
      </c>
      <c r="C11052" s="151" t="s">
        <v>537</v>
      </c>
      <c r="D11052" s="151" t="s">
        <v>27</v>
      </c>
      <c r="E11052" s="208" t="s">
        <v>154</v>
      </c>
      <c r="F11052" s="151" t="s">
        <v>3</v>
      </c>
      <c r="G11052" s="152">
        <v>1011</v>
      </c>
      <c r="H11052" s="151" t="s">
        <v>16</v>
      </c>
      <c r="I11052" s="151" t="s">
        <v>24</v>
      </c>
    </row>
    <row r="11053" spans="1:9" x14ac:dyDescent="0.25">
      <c r="A11053" s="151">
        <v>1831</v>
      </c>
      <c r="B11053" s="151">
        <f>A11053+1</f>
        <v>1832</v>
      </c>
      <c r="C11053" s="151" t="s">
        <v>537</v>
      </c>
      <c r="D11053" s="151" t="s">
        <v>27</v>
      </c>
      <c r="E11053" s="208" t="s">
        <v>150</v>
      </c>
      <c r="F11053" s="151" t="s">
        <v>3</v>
      </c>
      <c r="G11053" s="152">
        <v>979</v>
      </c>
      <c r="H11053" s="151" t="s">
        <v>16</v>
      </c>
      <c r="I11053" s="151" t="s">
        <v>24</v>
      </c>
    </row>
    <row r="11054" spans="1:9" x14ac:dyDescent="0.25">
      <c r="A11054" s="151">
        <v>1831</v>
      </c>
      <c r="B11054" s="151">
        <f>A11054+1</f>
        <v>1832</v>
      </c>
      <c r="C11054" s="151" t="s">
        <v>537</v>
      </c>
      <c r="D11054" s="151" t="s">
        <v>27</v>
      </c>
      <c r="E11054" s="208" t="s">
        <v>148</v>
      </c>
      <c r="F11054" s="151" t="s">
        <v>3</v>
      </c>
      <c r="G11054" s="152">
        <v>242</v>
      </c>
      <c r="H11054" s="151" t="s">
        <v>16</v>
      </c>
      <c r="I11054" s="151" t="s">
        <v>24</v>
      </c>
    </row>
    <row r="11055" spans="1:9" x14ac:dyDescent="0.25">
      <c r="A11055" s="151">
        <v>1831</v>
      </c>
      <c r="B11055" s="151">
        <f>A11055+1</f>
        <v>1832</v>
      </c>
      <c r="C11055" s="151" t="s">
        <v>537</v>
      </c>
      <c r="D11055" s="151" t="s">
        <v>27</v>
      </c>
      <c r="E11055" s="208" t="s">
        <v>147</v>
      </c>
      <c r="F11055" s="151" t="s">
        <v>3</v>
      </c>
      <c r="G11055" s="152">
        <v>268</v>
      </c>
      <c r="H11055" s="151" t="s">
        <v>16</v>
      </c>
      <c r="I11055" s="151" t="s">
        <v>24</v>
      </c>
    </row>
    <row r="11056" spans="1:9" x14ac:dyDescent="0.25">
      <c r="A11056" s="151">
        <v>1831</v>
      </c>
      <c r="B11056" s="151">
        <f>A11056+1</f>
        <v>1832</v>
      </c>
      <c r="C11056" s="151" t="s">
        <v>537</v>
      </c>
      <c r="D11056" s="151" t="s">
        <v>27</v>
      </c>
      <c r="E11056" s="208" t="s">
        <v>139</v>
      </c>
      <c r="F11056" s="151" t="s">
        <v>3</v>
      </c>
      <c r="G11056" s="152">
        <v>0</v>
      </c>
      <c r="H11056" s="151" t="s">
        <v>24</v>
      </c>
      <c r="I11056" s="151" t="s">
        <v>16</v>
      </c>
    </row>
    <row r="11057" spans="1:9" x14ac:dyDescent="0.25">
      <c r="A11057" s="151">
        <v>1831</v>
      </c>
      <c r="B11057" s="151">
        <f>A11057+1</f>
        <v>1832</v>
      </c>
      <c r="C11057" s="151" t="s">
        <v>537</v>
      </c>
      <c r="D11057" s="151" t="s">
        <v>27</v>
      </c>
      <c r="E11057" s="208" t="s">
        <v>132</v>
      </c>
      <c r="F11057" s="151" t="s">
        <v>3</v>
      </c>
      <c r="G11057" s="152">
        <v>0</v>
      </c>
      <c r="H11057" s="151" t="s">
        <v>24</v>
      </c>
      <c r="I11057" s="151" t="s">
        <v>16</v>
      </c>
    </row>
    <row r="11058" spans="1:9" x14ac:dyDescent="0.25">
      <c r="A11058" s="151">
        <v>1831</v>
      </c>
      <c r="B11058" s="151">
        <f>A11058+1</f>
        <v>1832</v>
      </c>
      <c r="C11058" s="151" t="s">
        <v>537</v>
      </c>
      <c r="D11058" s="151" t="s">
        <v>27</v>
      </c>
      <c r="E11058" s="208" t="s">
        <v>130</v>
      </c>
      <c r="F11058" s="151" t="s">
        <v>3</v>
      </c>
      <c r="G11058" s="152">
        <v>0</v>
      </c>
      <c r="H11058" s="151" t="s">
        <v>24</v>
      </c>
      <c r="I11058" s="151" t="s">
        <v>16</v>
      </c>
    </row>
    <row r="11059" spans="1:9" x14ac:dyDescent="0.25">
      <c r="A11059" s="151">
        <v>1831</v>
      </c>
      <c r="B11059" s="151">
        <f>A11059+1</f>
        <v>1832</v>
      </c>
      <c r="C11059" s="151" t="s">
        <v>537</v>
      </c>
      <c r="D11059" s="151" t="s">
        <v>27</v>
      </c>
      <c r="E11059" s="208" t="s">
        <v>143</v>
      </c>
      <c r="F11059" s="151" t="s">
        <v>3</v>
      </c>
      <c r="G11059" s="152">
        <v>0</v>
      </c>
      <c r="H11059" s="151" t="s">
        <v>24</v>
      </c>
      <c r="I11059" s="151" t="s">
        <v>16</v>
      </c>
    </row>
    <row r="11060" spans="1:9" x14ac:dyDescent="0.25">
      <c r="A11060" s="151">
        <v>1831</v>
      </c>
      <c r="B11060" s="151">
        <f>A11060+1</f>
        <v>1832</v>
      </c>
      <c r="C11060" s="151" t="s">
        <v>537</v>
      </c>
      <c r="D11060" s="151" t="s">
        <v>27</v>
      </c>
      <c r="E11060" s="208" t="s">
        <v>142</v>
      </c>
      <c r="F11060" s="151" t="s">
        <v>3</v>
      </c>
      <c r="G11060" s="152">
        <v>33</v>
      </c>
      <c r="H11060" s="151" t="s">
        <v>24</v>
      </c>
      <c r="I11060" s="151" t="s">
        <v>16</v>
      </c>
    </row>
    <row r="11061" spans="1:9" x14ac:dyDescent="0.25">
      <c r="A11061" s="151">
        <v>1831</v>
      </c>
      <c r="B11061" s="151">
        <f>A11061+1</f>
        <v>1832</v>
      </c>
      <c r="C11061" s="151" t="s">
        <v>537</v>
      </c>
      <c r="D11061" s="151" t="s">
        <v>27</v>
      </c>
      <c r="E11061" s="208" t="s">
        <v>125</v>
      </c>
      <c r="F11061" s="151" t="s">
        <v>3</v>
      </c>
      <c r="G11061" s="152">
        <v>83</v>
      </c>
      <c r="H11061" s="151" t="s">
        <v>24</v>
      </c>
      <c r="I11061" s="151" t="s">
        <v>16</v>
      </c>
    </row>
    <row r="11062" spans="1:9" x14ac:dyDescent="0.25">
      <c r="A11062" s="151">
        <v>1831</v>
      </c>
      <c r="B11062" s="151">
        <f>A11062+1</f>
        <v>1832</v>
      </c>
      <c r="C11062" s="151" t="s">
        <v>537</v>
      </c>
      <c r="D11062" s="151" t="s">
        <v>27</v>
      </c>
      <c r="E11062" s="208" t="s">
        <v>122</v>
      </c>
      <c r="F11062" s="151" t="s">
        <v>3</v>
      </c>
      <c r="G11062" s="152">
        <v>153</v>
      </c>
      <c r="H11062" s="151" t="s">
        <v>24</v>
      </c>
      <c r="I11062" s="151" t="s">
        <v>16</v>
      </c>
    </row>
    <row r="11063" spans="1:9" x14ac:dyDescent="0.25">
      <c r="A11063" s="151">
        <v>1831</v>
      </c>
      <c r="B11063" s="151">
        <f>A11063+1</f>
        <v>1832</v>
      </c>
      <c r="C11063" s="151" t="s">
        <v>537</v>
      </c>
      <c r="D11063" s="151" t="s">
        <v>27</v>
      </c>
      <c r="E11063" s="208" t="s">
        <v>121</v>
      </c>
      <c r="F11063" s="151" t="s">
        <v>3</v>
      </c>
      <c r="G11063" s="152">
        <v>146</v>
      </c>
      <c r="H11063" s="151" t="s">
        <v>24</v>
      </c>
      <c r="I11063" s="151" t="s">
        <v>16</v>
      </c>
    </row>
    <row r="11064" spans="1:9" x14ac:dyDescent="0.25">
      <c r="A11064" s="151">
        <v>1831</v>
      </c>
      <c r="B11064" s="151">
        <f>A11064+1</f>
        <v>1832</v>
      </c>
      <c r="C11064" s="151" t="s">
        <v>537</v>
      </c>
      <c r="D11064" s="151" t="s">
        <v>27</v>
      </c>
      <c r="E11064" s="208" t="s">
        <v>127</v>
      </c>
      <c r="F11064" s="151" t="s">
        <v>3</v>
      </c>
      <c r="G11064" s="152">
        <v>0</v>
      </c>
      <c r="H11064" s="151" t="s">
        <v>24</v>
      </c>
      <c r="I11064" s="151" t="s">
        <v>16</v>
      </c>
    </row>
    <row r="11065" spans="1:9" x14ac:dyDescent="0.25">
      <c r="A11065" s="151">
        <v>1831</v>
      </c>
      <c r="B11065" s="151">
        <f>A11065+1</f>
        <v>1832</v>
      </c>
      <c r="C11065" s="151" t="s">
        <v>537</v>
      </c>
      <c r="D11065" s="151" t="s">
        <v>27</v>
      </c>
      <c r="E11065" s="208" t="s">
        <v>133</v>
      </c>
      <c r="F11065" s="151" t="s">
        <v>3</v>
      </c>
      <c r="G11065" s="152">
        <v>2702</v>
      </c>
      <c r="H11065" s="151" t="s">
        <v>24</v>
      </c>
      <c r="I11065" s="151" t="s">
        <v>16</v>
      </c>
    </row>
    <row r="11066" spans="1:9" x14ac:dyDescent="0.25">
      <c r="A11066" s="151">
        <v>1831</v>
      </c>
      <c r="B11066" s="151">
        <f>A11066+1</f>
        <v>1832</v>
      </c>
      <c r="C11066" s="151" t="s">
        <v>537</v>
      </c>
      <c r="D11066" s="151" t="s">
        <v>27</v>
      </c>
      <c r="E11066" s="208" t="s">
        <v>74</v>
      </c>
      <c r="F11066" s="151" t="s">
        <v>3</v>
      </c>
      <c r="G11066" s="152">
        <v>65.349999999999994</v>
      </c>
      <c r="H11066" s="151" t="s">
        <v>24</v>
      </c>
      <c r="I11066" s="151" t="s">
        <v>16</v>
      </c>
    </row>
    <row r="11067" spans="1:9" x14ac:dyDescent="0.25">
      <c r="A11067" s="151">
        <v>1831</v>
      </c>
      <c r="B11067" s="151">
        <f>A11067+1</f>
        <v>1832</v>
      </c>
      <c r="C11067" s="151" t="s">
        <v>537</v>
      </c>
      <c r="D11067" s="151" t="s">
        <v>27</v>
      </c>
      <c r="E11067" s="208" t="s">
        <v>129</v>
      </c>
      <c r="F11067" s="151" t="s">
        <v>3</v>
      </c>
      <c r="G11067" s="152">
        <v>0</v>
      </c>
      <c r="H11067" s="151" t="s">
        <v>24</v>
      </c>
      <c r="I11067" s="151" t="s">
        <v>16</v>
      </c>
    </row>
    <row r="11068" spans="1:9" x14ac:dyDescent="0.25">
      <c r="A11068" s="151">
        <v>1831</v>
      </c>
      <c r="B11068" s="151">
        <f>A11068+1</f>
        <v>1832</v>
      </c>
      <c r="C11068" s="151" t="s">
        <v>537</v>
      </c>
      <c r="D11068" s="151" t="s">
        <v>27</v>
      </c>
      <c r="E11068" s="208" t="s">
        <v>141</v>
      </c>
      <c r="F11068" s="151" t="s">
        <v>3</v>
      </c>
      <c r="G11068" s="152">
        <v>0</v>
      </c>
      <c r="H11068" s="151" t="s">
        <v>24</v>
      </c>
      <c r="I11068" s="151" t="s">
        <v>16</v>
      </c>
    </row>
    <row r="11069" spans="1:9" x14ac:dyDescent="0.25">
      <c r="A11069" s="151">
        <v>1831</v>
      </c>
      <c r="B11069" s="151">
        <f>A11069+1</f>
        <v>1832</v>
      </c>
      <c r="C11069" s="151" t="s">
        <v>537</v>
      </c>
      <c r="D11069" s="151" t="s">
        <v>27</v>
      </c>
      <c r="E11069" s="208" t="s">
        <v>128</v>
      </c>
      <c r="F11069" s="151" t="s">
        <v>3</v>
      </c>
      <c r="G11069" s="152">
        <v>0</v>
      </c>
      <c r="H11069" s="151" t="s">
        <v>24</v>
      </c>
      <c r="I11069" s="151" t="s">
        <v>16</v>
      </c>
    </row>
    <row r="11070" spans="1:9" x14ac:dyDescent="0.25">
      <c r="A11070" s="151">
        <v>1831</v>
      </c>
      <c r="B11070" s="151">
        <f>A11070+1</f>
        <v>1832</v>
      </c>
      <c r="C11070" s="151" t="s">
        <v>537</v>
      </c>
      <c r="D11070" s="151" t="s">
        <v>27</v>
      </c>
      <c r="E11070" s="208" t="s">
        <v>135</v>
      </c>
      <c r="F11070" s="151" t="s">
        <v>3</v>
      </c>
      <c r="G11070" s="152">
        <v>17</v>
      </c>
      <c r="H11070" s="151" t="s">
        <v>24</v>
      </c>
      <c r="I11070" s="151" t="s">
        <v>16</v>
      </c>
    </row>
    <row r="11071" spans="1:9" x14ac:dyDescent="0.25">
      <c r="A11071" s="151">
        <v>1831</v>
      </c>
      <c r="B11071" s="151">
        <f>A11071+1</f>
        <v>1832</v>
      </c>
      <c r="C11071" s="151" t="s">
        <v>537</v>
      </c>
      <c r="D11071" s="151" t="s">
        <v>27</v>
      </c>
      <c r="E11071" s="208" t="s">
        <v>138</v>
      </c>
      <c r="F11071" s="151" t="s">
        <v>3</v>
      </c>
      <c r="G11071" s="152">
        <v>8</v>
      </c>
      <c r="H11071" s="151" t="s">
        <v>24</v>
      </c>
      <c r="I11071" s="151" t="s">
        <v>16</v>
      </c>
    </row>
    <row r="11072" spans="1:9" x14ac:dyDescent="0.25">
      <c r="A11072" s="151">
        <v>1831</v>
      </c>
      <c r="B11072" s="151">
        <f>A11072+1</f>
        <v>1832</v>
      </c>
      <c r="C11072" s="151" t="s">
        <v>537</v>
      </c>
      <c r="D11072" s="151" t="s">
        <v>27</v>
      </c>
      <c r="E11072" s="208" t="s">
        <v>134</v>
      </c>
      <c r="F11072" s="151" t="s">
        <v>3</v>
      </c>
      <c r="G11072" s="152">
        <v>0</v>
      </c>
      <c r="H11072" s="151" t="s">
        <v>24</v>
      </c>
      <c r="I11072" s="151" t="s">
        <v>16</v>
      </c>
    </row>
    <row r="11073" spans="1:9" x14ac:dyDescent="0.25">
      <c r="A11073" s="151">
        <v>1831</v>
      </c>
      <c r="B11073" s="151">
        <f>A11073+1</f>
        <v>1832</v>
      </c>
      <c r="C11073" s="151" t="s">
        <v>537</v>
      </c>
      <c r="D11073" s="151" t="s">
        <v>26</v>
      </c>
      <c r="E11073" s="208" t="s">
        <v>34</v>
      </c>
      <c r="F11073" s="151" t="s">
        <v>3</v>
      </c>
      <c r="G11073" s="152">
        <v>0</v>
      </c>
      <c r="H11073" s="151" t="s">
        <v>24</v>
      </c>
      <c r="I11073" s="151" t="s">
        <v>16</v>
      </c>
    </row>
    <row r="11074" spans="1:9" x14ac:dyDescent="0.25">
      <c r="A11074" s="151">
        <v>1831</v>
      </c>
      <c r="B11074" s="151">
        <f>A11074+1</f>
        <v>1832</v>
      </c>
      <c r="C11074" s="151" t="s">
        <v>537</v>
      </c>
      <c r="D11074" s="151" t="s">
        <v>26</v>
      </c>
      <c r="E11074" s="208" t="s">
        <v>63</v>
      </c>
      <c r="F11074" s="151" t="s">
        <v>3</v>
      </c>
      <c r="G11074" s="152">
        <v>120</v>
      </c>
      <c r="H11074" s="151" t="s">
        <v>24</v>
      </c>
      <c r="I11074" s="151" t="s">
        <v>16</v>
      </c>
    </row>
    <row r="11075" spans="1:9" x14ac:dyDescent="0.25">
      <c r="A11075" s="151">
        <v>1831</v>
      </c>
      <c r="B11075" s="151">
        <f>A11075+1</f>
        <v>1832</v>
      </c>
      <c r="C11075" s="151" t="s">
        <v>537</v>
      </c>
      <c r="D11075" s="151" t="s">
        <v>26</v>
      </c>
      <c r="E11075" s="208" t="s">
        <v>62</v>
      </c>
      <c r="F11075" s="151" t="s">
        <v>3</v>
      </c>
      <c r="G11075" s="152">
        <v>2739</v>
      </c>
      <c r="H11075" s="151" t="s">
        <v>24</v>
      </c>
      <c r="I11075" s="151" t="s">
        <v>16</v>
      </c>
    </row>
    <row r="11076" spans="1:9" x14ac:dyDescent="0.25">
      <c r="A11076" s="151">
        <v>1831</v>
      </c>
      <c r="B11076" s="151">
        <f>A11076+1</f>
        <v>1832</v>
      </c>
      <c r="C11076" s="151" t="s">
        <v>537</v>
      </c>
      <c r="D11076" s="151" t="s">
        <v>26</v>
      </c>
      <c r="E11076" s="208" t="s">
        <v>55</v>
      </c>
      <c r="F11076" s="151" t="s">
        <v>3</v>
      </c>
      <c r="G11076" s="152">
        <v>278</v>
      </c>
      <c r="H11076" s="151" t="s">
        <v>24</v>
      </c>
      <c r="I11076" s="151" t="s">
        <v>16</v>
      </c>
    </row>
    <row r="11077" spans="1:9" x14ac:dyDescent="0.25">
      <c r="A11077" s="151">
        <v>1831</v>
      </c>
      <c r="B11077" s="151">
        <f>A11077+1</f>
        <v>1832</v>
      </c>
      <c r="C11077" s="151" t="s">
        <v>537</v>
      </c>
      <c r="D11077" s="151" t="s">
        <v>26</v>
      </c>
      <c r="E11077" s="208" t="s">
        <v>36</v>
      </c>
      <c r="F11077" s="151" t="s">
        <v>3</v>
      </c>
      <c r="G11077" s="152">
        <v>99</v>
      </c>
      <c r="H11077" s="151" t="s">
        <v>24</v>
      </c>
      <c r="I11077" s="151" t="s">
        <v>16</v>
      </c>
    </row>
    <row r="11078" spans="1:9" x14ac:dyDescent="0.25">
      <c r="A11078" s="151">
        <v>1831</v>
      </c>
      <c r="B11078" s="151">
        <f>A11078+1</f>
        <v>1832</v>
      </c>
      <c r="C11078" s="151" t="s">
        <v>537</v>
      </c>
      <c r="D11078" s="151" t="s">
        <v>26</v>
      </c>
      <c r="E11078" s="208" t="s">
        <v>35</v>
      </c>
      <c r="F11078" s="151" t="s">
        <v>3</v>
      </c>
      <c r="G11078" s="152">
        <v>0</v>
      </c>
      <c r="H11078" s="151" t="s">
        <v>24</v>
      </c>
      <c r="I11078" s="151" t="s">
        <v>16</v>
      </c>
    </row>
    <row r="11079" spans="1:9" x14ac:dyDescent="0.25">
      <c r="A11079" s="151">
        <v>1831</v>
      </c>
      <c r="B11079" s="151">
        <f>A11079+1</f>
        <v>1832</v>
      </c>
      <c r="C11079" s="151" t="s">
        <v>537</v>
      </c>
      <c r="D11079" s="151" t="s">
        <v>26</v>
      </c>
      <c r="E11079" s="208" t="s">
        <v>40</v>
      </c>
      <c r="F11079" s="151" t="s">
        <v>3</v>
      </c>
      <c r="G11079" s="152">
        <v>0</v>
      </c>
      <c r="H11079" s="151" t="s">
        <v>24</v>
      </c>
      <c r="I11079" s="151" t="s">
        <v>16</v>
      </c>
    </row>
    <row r="11080" spans="1:9" x14ac:dyDescent="0.25">
      <c r="A11080" s="151">
        <v>1831</v>
      </c>
      <c r="B11080" s="151">
        <f>A11080+1</f>
        <v>1832</v>
      </c>
      <c r="C11080" s="151" t="s">
        <v>537</v>
      </c>
      <c r="D11080" s="151" t="s">
        <v>26</v>
      </c>
      <c r="E11080" s="208" t="s">
        <v>96</v>
      </c>
      <c r="F11080" s="151" t="s">
        <v>3</v>
      </c>
      <c r="G11080" s="152">
        <v>60</v>
      </c>
      <c r="H11080" s="151" t="s">
        <v>16</v>
      </c>
      <c r="I11080" s="151" t="s">
        <v>22</v>
      </c>
    </row>
    <row r="11081" spans="1:9" x14ac:dyDescent="0.25">
      <c r="A11081" s="151">
        <v>1831</v>
      </c>
      <c r="B11081" s="151">
        <f>A11081+1</f>
        <v>1832</v>
      </c>
      <c r="C11081" s="151" t="s">
        <v>537</v>
      </c>
      <c r="D11081" s="151" t="s">
        <v>26</v>
      </c>
      <c r="E11081" s="208" t="s">
        <v>98</v>
      </c>
      <c r="F11081" s="151" t="s">
        <v>3</v>
      </c>
      <c r="G11081" s="152">
        <v>0</v>
      </c>
      <c r="H11081" s="151" t="s">
        <v>16</v>
      </c>
      <c r="I11081" s="151" t="s">
        <v>22</v>
      </c>
    </row>
    <row r="11082" spans="1:9" x14ac:dyDescent="0.25">
      <c r="A11082" s="151">
        <v>1831</v>
      </c>
      <c r="B11082" s="151">
        <f>A11082+1</f>
        <v>1832</v>
      </c>
      <c r="C11082" s="151" t="s">
        <v>537</v>
      </c>
      <c r="D11082" s="151" t="s">
        <v>26</v>
      </c>
      <c r="E11082" s="208" t="s">
        <v>442</v>
      </c>
      <c r="F11082" s="151" t="s">
        <v>3</v>
      </c>
      <c r="G11082" s="152">
        <v>1334</v>
      </c>
      <c r="H11082" s="151" t="s">
        <v>16</v>
      </c>
      <c r="I11082" s="151" t="s">
        <v>22</v>
      </c>
    </row>
    <row r="11083" spans="1:9" x14ac:dyDescent="0.25">
      <c r="A11083" s="151">
        <v>1831</v>
      </c>
      <c r="B11083" s="151">
        <f>A11083+1</f>
        <v>1832</v>
      </c>
      <c r="C11083" s="151" t="s">
        <v>537</v>
      </c>
      <c r="D11083" s="151" t="s">
        <v>26</v>
      </c>
      <c r="E11083" s="208" t="s">
        <v>105</v>
      </c>
      <c r="F11083" s="151" t="s">
        <v>3</v>
      </c>
      <c r="G11083" s="152">
        <v>142464</v>
      </c>
      <c r="H11083" s="151" t="s">
        <v>16</v>
      </c>
      <c r="I11083" s="151" t="s">
        <v>22</v>
      </c>
    </row>
    <row r="11084" spans="1:9" x14ac:dyDescent="0.25">
      <c r="A11084" s="151">
        <v>1831</v>
      </c>
      <c r="B11084" s="151">
        <f>A11084+1</f>
        <v>1832</v>
      </c>
      <c r="C11084" s="151" t="s">
        <v>537</v>
      </c>
      <c r="D11084" s="151" t="s">
        <v>26</v>
      </c>
      <c r="E11084" s="208" t="s">
        <v>106</v>
      </c>
      <c r="F11084" s="151" t="s">
        <v>3</v>
      </c>
      <c r="G11084" s="152">
        <v>174921</v>
      </c>
      <c r="H11084" s="151" t="s">
        <v>16</v>
      </c>
      <c r="I11084" s="151" t="s">
        <v>22</v>
      </c>
    </row>
    <row r="11085" spans="1:9" x14ac:dyDescent="0.25">
      <c r="A11085" s="151">
        <v>1831</v>
      </c>
      <c r="B11085" s="151">
        <f>A11085+1</f>
        <v>1832</v>
      </c>
      <c r="C11085" s="151" t="s">
        <v>537</v>
      </c>
      <c r="D11085" s="151" t="s">
        <v>26</v>
      </c>
      <c r="E11085" s="208" t="s">
        <v>101</v>
      </c>
      <c r="F11085" s="151" t="s">
        <v>3</v>
      </c>
      <c r="G11085" s="152">
        <v>875989</v>
      </c>
      <c r="H11085" s="151" t="s">
        <v>16</v>
      </c>
      <c r="I11085" s="151" t="s">
        <v>22</v>
      </c>
    </row>
    <row r="11086" spans="1:9" x14ac:dyDescent="0.25">
      <c r="A11086" s="151">
        <v>1831</v>
      </c>
      <c r="B11086" s="151">
        <f>A11086+1</f>
        <v>1832</v>
      </c>
      <c r="C11086" s="151" t="s">
        <v>537</v>
      </c>
      <c r="D11086" s="151" t="s">
        <v>26</v>
      </c>
      <c r="E11086" s="208" t="s">
        <v>75</v>
      </c>
      <c r="F11086" s="151" t="s">
        <v>3</v>
      </c>
      <c r="G11086" s="152">
        <v>1323148</v>
      </c>
      <c r="H11086" s="151" t="s">
        <v>16</v>
      </c>
      <c r="I11086" s="151" t="s">
        <v>22</v>
      </c>
    </row>
    <row r="11087" spans="1:9" x14ac:dyDescent="0.25">
      <c r="A11087" s="151">
        <v>1831</v>
      </c>
      <c r="B11087" s="151">
        <f>A11087+1</f>
        <v>1832</v>
      </c>
      <c r="C11087" s="151" t="s">
        <v>537</v>
      </c>
      <c r="D11087" s="151" t="s">
        <v>26</v>
      </c>
      <c r="E11087" s="208" t="s">
        <v>66</v>
      </c>
      <c r="F11087" s="151" t="s">
        <v>3</v>
      </c>
      <c r="G11087" s="152">
        <v>59550</v>
      </c>
      <c r="H11087" s="151" t="s">
        <v>16</v>
      </c>
      <c r="I11087" s="151" t="s">
        <v>22</v>
      </c>
    </row>
    <row r="11088" spans="1:9" x14ac:dyDescent="0.25">
      <c r="A11088" s="151">
        <v>1831</v>
      </c>
      <c r="B11088" s="151">
        <f>A11088+1</f>
        <v>1832</v>
      </c>
      <c r="C11088" s="151" t="s">
        <v>537</v>
      </c>
      <c r="D11088" s="151" t="s">
        <v>26</v>
      </c>
      <c r="E11088" s="208" t="s">
        <v>28</v>
      </c>
      <c r="F11088" s="151" t="s">
        <v>3</v>
      </c>
      <c r="G11088" s="152">
        <v>515</v>
      </c>
      <c r="H11088" s="151" t="s">
        <v>16</v>
      </c>
      <c r="I11088" s="151" t="s">
        <v>22</v>
      </c>
    </row>
    <row r="11089" spans="1:9" x14ac:dyDescent="0.25">
      <c r="A11089" s="151">
        <v>1831</v>
      </c>
      <c r="B11089" s="151">
        <f>A11089+1</f>
        <v>1832</v>
      </c>
      <c r="C11089" s="151" t="s">
        <v>537</v>
      </c>
      <c r="D11089" s="151" t="s">
        <v>26</v>
      </c>
      <c r="E11089" s="208" t="s">
        <v>89</v>
      </c>
      <c r="F11089" s="151" t="s">
        <v>3</v>
      </c>
      <c r="G11089" s="152">
        <v>1706</v>
      </c>
      <c r="H11089" s="151" t="s">
        <v>16</v>
      </c>
      <c r="I11089" s="151" t="s">
        <v>22</v>
      </c>
    </row>
    <row r="11090" spans="1:9" x14ac:dyDescent="0.25">
      <c r="A11090" s="151">
        <v>1831</v>
      </c>
      <c r="B11090" s="151">
        <f>A11090+1</f>
        <v>1832</v>
      </c>
      <c r="C11090" s="151" t="s">
        <v>537</v>
      </c>
      <c r="D11090" s="151" t="s">
        <v>26</v>
      </c>
      <c r="E11090" s="208" t="s">
        <v>45</v>
      </c>
      <c r="F11090" s="151" t="s">
        <v>3</v>
      </c>
      <c r="G11090" s="152">
        <v>11</v>
      </c>
      <c r="H11090" s="151" t="s">
        <v>16</v>
      </c>
      <c r="I11090" s="151" t="s">
        <v>22</v>
      </c>
    </row>
    <row r="11091" spans="1:9" x14ac:dyDescent="0.25">
      <c r="A11091" s="151">
        <v>1831</v>
      </c>
      <c r="B11091" s="151">
        <f>A11091+1</f>
        <v>1832</v>
      </c>
      <c r="C11091" s="151" t="s">
        <v>537</v>
      </c>
      <c r="D11091" s="151" t="s">
        <v>26</v>
      </c>
      <c r="E11091" s="208" t="s">
        <v>48</v>
      </c>
      <c r="F11091" s="151" t="s">
        <v>3</v>
      </c>
      <c r="G11091" s="152">
        <v>0</v>
      </c>
      <c r="H11091" s="151" t="s">
        <v>16</v>
      </c>
      <c r="I11091" s="151" t="s">
        <v>22</v>
      </c>
    </row>
    <row r="11092" spans="1:9" x14ac:dyDescent="0.25">
      <c r="A11092" s="151">
        <v>1831</v>
      </c>
      <c r="B11092" s="151">
        <f>A11092+1</f>
        <v>1832</v>
      </c>
      <c r="C11092" s="151" t="s">
        <v>537</v>
      </c>
      <c r="D11092" s="151" t="s">
        <v>26</v>
      </c>
      <c r="E11092" s="208" t="s">
        <v>102</v>
      </c>
      <c r="F11092" s="151" t="s">
        <v>3</v>
      </c>
      <c r="G11092" s="152">
        <v>0</v>
      </c>
      <c r="H11092" s="151" t="s">
        <v>16</v>
      </c>
      <c r="I11092" s="151" t="s">
        <v>22</v>
      </c>
    </row>
    <row r="11093" spans="1:9" x14ac:dyDescent="0.25">
      <c r="A11093" s="151">
        <v>1831</v>
      </c>
      <c r="B11093" s="151">
        <f>A11093+1</f>
        <v>1832</v>
      </c>
      <c r="C11093" s="151" t="s">
        <v>537</v>
      </c>
      <c r="D11093" s="151" t="s">
        <v>26</v>
      </c>
      <c r="E11093" s="208" t="s">
        <v>330</v>
      </c>
      <c r="F11093" s="151" t="s">
        <v>3</v>
      </c>
      <c r="G11093" s="152">
        <v>0</v>
      </c>
      <c r="H11093" s="151" t="s">
        <v>16</v>
      </c>
      <c r="I11093" s="151" t="s">
        <v>22</v>
      </c>
    </row>
    <row r="11094" spans="1:9" x14ac:dyDescent="0.25">
      <c r="A11094" s="151">
        <v>1831</v>
      </c>
      <c r="B11094" s="151">
        <f>A11094+1</f>
        <v>1832</v>
      </c>
      <c r="C11094" s="151" t="s">
        <v>537</v>
      </c>
      <c r="D11094" s="151" t="s">
        <v>26</v>
      </c>
      <c r="E11094" s="208" t="s">
        <v>331</v>
      </c>
      <c r="F11094" s="151" t="s">
        <v>3</v>
      </c>
      <c r="G11094" s="152">
        <v>0</v>
      </c>
      <c r="H11094" s="151" t="s">
        <v>16</v>
      </c>
      <c r="I11094" s="151" t="s">
        <v>22</v>
      </c>
    </row>
    <row r="11095" spans="1:9" x14ac:dyDescent="0.25">
      <c r="A11095" s="151">
        <v>1831</v>
      </c>
      <c r="B11095" s="151">
        <f>A11095+1</f>
        <v>1832</v>
      </c>
      <c r="C11095" s="151" t="s">
        <v>537</v>
      </c>
      <c r="D11095" s="151" t="s">
        <v>26</v>
      </c>
      <c r="E11095" s="208" t="s">
        <v>332</v>
      </c>
      <c r="F11095" s="151" t="s">
        <v>3</v>
      </c>
      <c r="G11095" s="152">
        <v>0</v>
      </c>
      <c r="H11095" s="151" t="s">
        <v>16</v>
      </c>
      <c r="I11095" s="151" t="s">
        <v>22</v>
      </c>
    </row>
    <row r="11096" spans="1:9" x14ac:dyDescent="0.25">
      <c r="A11096" s="151">
        <v>1831</v>
      </c>
      <c r="B11096" s="151">
        <f>A11096+1</f>
        <v>1832</v>
      </c>
      <c r="C11096" s="151" t="s">
        <v>537</v>
      </c>
      <c r="D11096" s="151" t="s">
        <v>26</v>
      </c>
      <c r="E11096" s="208" t="s">
        <v>333</v>
      </c>
      <c r="F11096" s="151" t="s">
        <v>3</v>
      </c>
      <c r="G11096" s="152">
        <v>0</v>
      </c>
      <c r="H11096" s="151" t="s">
        <v>16</v>
      </c>
      <c r="I11096" s="151" t="s">
        <v>22</v>
      </c>
    </row>
    <row r="11097" spans="1:9" x14ac:dyDescent="0.25">
      <c r="A11097" s="151">
        <v>1831</v>
      </c>
      <c r="B11097" s="151">
        <f>A11097+1</f>
        <v>1832</v>
      </c>
      <c r="C11097" s="151" t="s">
        <v>537</v>
      </c>
      <c r="D11097" s="151" t="s">
        <v>27</v>
      </c>
      <c r="E11097" s="208" t="s">
        <v>155</v>
      </c>
      <c r="F11097" s="151" t="s">
        <v>2</v>
      </c>
      <c r="G11097" s="152">
        <v>0</v>
      </c>
      <c r="H11097" s="151" t="s">
        <v>16</v>
      </c>
      <c r="I11097" s="151" t="s">
        <v>22</v>
      </c>
    </row>
    <row r="11098" spans="1:9" x14ac:dyDescent="0.25">
      <c r="A11098" s="151">
        <v>1831</v>
      </c>
      <c r="B11098" s="151">
        <f>A11098+1</f>
        <v>1832</v>
      </c>
      <c r="C11098" s="151" t="s">
        <v>537</v>
      </c>
      <c r="D11098" s="151" t="s">
        <v>27</v>
      </c>
      <c r="E11098" s="208" t="s">
        <v>156</v>
      </c>
      <c r="F11098" s="151" t="s">
        <v>2</v>
      </c>
      <c r="G11098" s="152">
        <v>0</v>
      </c>
      <c r="H11098" s="151" t="s">
        <v>16</v>
      </c>
      <c r="I11098" s="151" t="s">
        <v>22</v>
      </c>
    </row>
    <row r="11099" spans="1:9" x14ac:dyDescent="0.25">
      <c r="A11099" s="151">
        <v>1831</v>
      </c>
      <c r="B11099" s="151">
        <f>A11099+1</f>
        <v>1832</v>
      </c>
      <c r="C11099" s="151" t="s">
        <v>537</v>
      </c>
      <c r="D11099" s="151" t="s">
        <v>27</v>
      </c>
      <c r="E11099" s="208" t="s">
        <v>154</v>
      </c>
      <c r="F11099" s="151" t="s">
        <v>2</v>
      </c>
      <c r="G11099" s="152">
        <v>0</v>
      </c>
      <c r="H11099" s="151" t="s">
        <v>16</v>
      </c>
      <c r="I11099" s="151" t="s">
        <v>22</v>
      </c>
    </row>
    <row r="11100" spans="1:9" x14ac:dyDescent="0.25">
      <c r="A11100" s="151">
        <v>1831</v>
      </c>
      <c r="B11100" s="151">
        <f>A11100+1</f>
        <v>1832</v>
      </c>
      <c r="C11100" s="151" t="s">
        <v>537</v>
      </c>
      <c r="D11100" s="151" t="s">
        <v>27</v>
      </c>
      <c r="E11100" s="208" t="s">
        <v>150</v>
      </c>
      <c r="F11100" s="151" t="s">
        <v>2</v>
      </c>
      <c r="G11100" s="152">
        <v>0</v>
      </c>
      <c r="H11100" s="151" t="s">
        <v>16</v>
      </c>
      <c r="I11100" s="151" t="s">
        <v>22</v>
      </c>
    </row>
    <row r="11101" spans="1:9" x14ac:dyDescent="0.25">
      <c r="A11101" s="151">
        <v>1831</v>
      </c>
      <c r="B11101" s="151">
        <f>A11101+1</f>
        <v>1832</v>
      </c>
      <c r="C11101" s="151" t="s">
        <v>537</v>
      </c>
      <c r="D11101" s="151" t="s">
        <v>27</v>
      </c>
      <c r="E11101" s="208" t="s">
        <v>148</v>
      </c>
      <c r="F11101" s="151" t="s">
        <v>2</v>
      </c>
      <c r="G11101" s="152">
        <v>0</v>
      </c>
      <c r="H11101" s="151" t="s">
        <v>16</v>
      </c>
      <c r="I11101" s="151" t="s">
        <v>22</v>
      </c>
    </row>
    <row r="11102" spans="1:9" x14ac:dyDescent="0.25">
      <c r="A11102" s="151">
        <v>1831</v>
      </c>
      <c r="B11102" s="151">
        <f>A11102+1</f>
        <v>1832</v>
      </c>
      <c r="C11102" s="151" t="s">
        <v>537</v>
      </c>
      <c r="D11102" s="151" t="s">
        <v>27</v>
      </c>
      <c r="E11102" s="208" t="s">
        <v>147</v>
      </c>
      <c r="F11102" s="151" t="s">
        <v>2</v>
      </c>
      <c r="G11102" s="152">
        <v>0</v>
      </c>
      <c r="H11102" s="151" t="s">
        <v>16</v>
      </c>
      <c r="I11102" s="151" t="s">
        <v>22</v>
      </c>
    </row>
    <row r="11103" spans="1:9" x14ac:dyDescent="0.25">
      <c r="A11103" s="151">
        <v>1831</v>
      </c>
      <c r="B11103" s="151">
        <f>A11103+1</f>
        <v>1832</v>
      </c>
      <c r="C11103" s="151" t="s">
        <v>537</v>
      </c>
      <c r="D11103" s="151" t="s">
        <v>27</v>
      </c>
      <c r="E11103" s="208" t="s">
        <v>139</v>
      </c>
      <c r="F11103" s="151" t="s">
        <v>2</v>
      </c>
      <c r="G11103" s="152">
        <v>0</v>
      </c>
      <c r="H11103" s="151" t="s">
        <v>16</v>
      </c>
      <c r="I11103" s="151" t="s">
        <v>25</v>
      </c>
    </row>
    <row r="11104" spans="1:9" x14ac:dyDescent="0.25">
      <c r="A11104" s="151">
        <v>1831</v>
      </c>
      <c r="B11104" s="151">
        <f>A11104+1</f>
        <v>1832</v>
      </c>
      <c r="C11104" s="151" t="s">
        <v>537</v>
      </c>
      <c r="D11104" s="151" t="s">
        <v>27</v>
      </c>
      <c r="E11104" s="208" t="s">
        <v>132</v>
      </c>
      <c r="F11104" s="151" t="s">
        <v>2</v>
      </c>
      <c r="G11104" s="152">
        <v>0</v>
      </c>
      <c r="H11104" s="151" t="s">
        <v>16</v>
      </c>
      <c r="I11104" s="151" t="s">
        <v>25</v>
      </c>
    </row>
    <row r="11105" spans="1:9" x14ac:dyDescent="0.25">
      <c r="A11105" s="151">
        <v>1831</v>
      </c>
      <c r="B11105" s="151">
        <f>A11105+1</f>
        <v>1832</v>
      </c>
      <c r="C11105" s="151" t="s">
        <v>537</v>
      </c>
      <c r="D11105" s="151" t="s">
        <v>27</v>
      </c>
      <c r="E11105" s="208" t="s">
        <v>130</v>
      </c>
      <c r="F11105" s="151" t="s">
        <v>2</v>
      </c>
      <c r="G11105" s="152">
        <v>0</v>
      </c>
      <c r="H11105" s="151" t="s">
        <v>16</v>
      </c>
      <c r="I11105" s="151" t="s">
        <v>25</v>
      </c>
    </row>
    <row r="11106" spans="1:9" x14ac:dyDescent="0.25">
      <c r="A11106" s="151">
        <v>1831</v>
      </c>
      <c r="B11106" s="151">
        <f>A11106+1</f>
        <v>1832</v>
      </c>
      <c r="C11106" s="151" t="s">
        <v>537</v>
      </c>
      <c r="D11106" s="151" t="s">
        <v>27</v>
      </c>
      <c r="E11106" s="208" t="s">
        <v>143</v>
      </c>
      <c r="F11106" s="151" t="s">
        <v>2</v>
      </c>
      <c r="G11106" s="152">
        <v>0</v>
      </c>
      <c r="H11106" s="151" t="s">
        <v>16</v>
      </c>
      <c r="I11106" s="151" t="s">
        <v>25</v>
      </c>
    </row>
    <row r="11107" spans="1:9" x14ac:dyDescent="0.25">
      <c r="A11107" s="151">
        <v>1831</v>
      </c>
      <c r="B11107" s="151">
        <f>A11107+1</f>
        <v>1832</v>
      </c>
      <c r="C11107" s="151" t="s">
        <v>537</v>
      </c>
      <c r="D11107" s="151" t="s">
        <v>27</v>
      </c>
      <c r="E11107" s="208" t="s">
        <v>142</v>
      </c>
      <c r="F11107" s="151" t="s">
        <v>2</v>
      </c>
      <c r="G11107" s="152">
        <v>0</v>
      </c>
      <c r="H11107" s="151" t="s">
        <v>16</v>
      </c>
      <c r="I11107" s="151" t="s">
        <v>25</v>
      </c>
    </row>
    <row r="11108" spans="1:9" x14ac:dyDescent="0.25">
      <c r="A11108" s="151">
        <v>1831</v>
      </c>
      <c r="B11108" s="151">
        <f>A11108+1</f>
        <v>1832</v>
      </c>
      <c r="C11108" s="151" t="s">
        <v>537</v>
      </c>
      <c r="D11108" s="151" t="s">
        <v>27</v>
      </c>
      <c r="E11108" s="208" t="s">
        <v>125</v>
      </c>
      <c r="F11108" s="151" t="s">
        <v>2</v>
      </c>
      <c r="G11108" s="152">
        <v>0</v>
      </c>
      <c r="H11108" s="151" t="s">
        <v>16</v>
      </c>
      <c r="I11108" s="151" t="s">
        <v>25</v>
      </c>
    </row>
    <row r="11109" spans="1:9" x14ac:dyDescent="0.25">
      <c r="A11109" s="151">
        <v>1831</v>
      </c>
      <c r="B11109" s="151">
        <f>A11109+1</f>
        <v>1832</v>
      </c>
      <c r="C11109" s="151" t="s">
        <v>537</v>
      </c>
      <c r="D11109" s="151" t="s">
        <v>27</v>
      </c>
      <c r="E11109" s="208" t="s">
        <v>122</v>
      </c>
      <c r="F11109" s="151" t="s">
        <v>2</v>
      </c>
      <c r="G11109" s="152">
        <v>0</v>
      </c>
      <c r="H11109" s="151" t="s">
        <v>16</v>
      </c>
      <c r="I11109" s="151" t="s">
        <v>25</v>
      </c>
    </row>
    <row r="11110" spans="1:9" x14ac:dyDescent="0.25">
      <c r="A11110" s="151">
        <v>1831</v>
      </c>
      <c r="B11110" s="151">
        <f>A11110+1</f>
        <v>1832</v>
      </c>
      <c r="C11110" s="151" t="s">
        <v>537</v>
      </c>
      <c r="D11110" s="151" t="s">
        <v>27</v>
      </c>
      <c r="E11110" s="208" t="s">
        <v>121</v>
      </c>
      <c r="F11110" s="151" t="s">
        <v>2</v>
      </c>
      <c r="G11110" s="152">
        <v>0</v>
      </c>
      <c r="H11110" s="151" t="s">
        <v>16</v>
      </c>
      <c r="I11110" s="151" t="s">
        <v>25</v>
      </c>
    </row>
    <row r="11111" spans="1:9" x14ac:dyDescent="0.25">
      <c r="A11111" s="151">
        <v>1831</v>
      </c>
      <c r="B11111" s="151">
        <f>A11111+1</f>
        <v>1832</v>
      </c>
      <c r="C11111" s="151" t="s">
        <v>537</v>
      </c>
      <c r="D11111" s="151" t="s">
        <v>27</v>
      </c>
      <c r="E11111" s="208" t="s">
        <v>127</v>
      </c>
      <c r="F11111" s="151" t="s">
        <v>2</v>
      </c>
      <c r="G11111" s="152">
        <v>0</v>
      </c>
      <c r="H11111" s="151" t="s">
        <v>16</v>
      </c>
      <c r="I11111" s="151" t="s">
        <v>25</v>
      </c>
    </row>
    <row r="11112" spans="1:9" x14ac:dyDescent="0.25">
      <c r="A11112" s="151">
        <v>1831</v>
      </c>
      <c r="B11112" s="151">
        <f>A11112+1</f>
        <v>1832</v>
      </c>
      <c r="C11112" s="151" t="s">
        <v>537</v>
      </c>
      <c r="D11112" s="151" t="s">
        <v>27</v>
      </c>
      <c r="E11112" s="208" t="s">
        <v>133</v>
      </c>
      <c r="F11112" s="151" t="s">
        <v>2</v>
      </c>
      <c r="G11112" s="152">
        <v>0</v>
      </c>
      <c r="H11112" s="151" t="s">
        <v>16</v>
      </c>
      <c r="I11112" s="151" t="s">
        <v>25</v>
      </c>
    </row>
    <row r="11113" spans="1:9" x14ac:dyDescent="0.25">
      <c r="A11113" s="151">
        <v>1831</v>
      </c>
      <c r="B11113" s="151">
        <f>A11113+1</f>
        <v>1832</v>
      </c>
      <c r="C11113" s="151" t="s">
        <v>537</v>
      </c>
      <c r="D11113" s="151" t="s">
        <v>27</v>
      </c>
      <c r="E11113" s="208" t="s">
        <v>74</v>
      </c>
      <c r="F11113" s="151" t="s">
        <v>2</v>
      </c>
      <c r="G11113" s="152">
        <v>0</v>
      </c>
      <c r="H11113" s="151" t="s">
        <v>16</v>
      </c>
      <c r="I11113" s="151" t="s">
        <v>25</v>
      </c>
    </row>
    <row r="11114" spans="1:9" x14ac:dyDescent="0.25">
      <c r="A11114" s="151">
        <v>1831</v>
      </c>
      <c r="B11114" s="151">
        <f>A11114+1</f>
        <v>1832</v>
      </c>
      <c r="C11114" s="151" t="s">
        <v>537</v>
      </c>
      <c r="D11114" s="151" t="s">
        <v>27</v>
      </c>
      <c r="E11114" s="208" t="s">
        <v>129</v>
      </c>
      <c r="F11114" s="151" t="s">
        <v>2</v>
      </c>
      <c r="G11114" s="152">
        <v>0</v>
      </c>
      <c r="H11114" s="151" t="s">
        <v>16</v>
      </c>
      <c r="I11114" s="151" t="s">
        <v>25</v>
      </c>
    </row>
    <row r="11115" spans="1:9" x14ac:dyDescent="0.25">
      <c r="A11115" s="151">
        <v>1831</v>
      </c>
      <c r="B11115" s="151">
        <f>A11115+1</f>
        <v>1832</v>
      </c>
      <c r="C11115" s="151" t="s">
        <v>537</v>
      </c>
      <c r="D11115" s="151" t="s">
        <v>27</v>
      </c>
      <c r="E11115" s="208" t="s">
        <v>141</v>
      </c>
      <c r="F11115" s="151" t="s">
        <v>2</v>
      </c>
      <c r="G11115" s="152">
        <v>0</v>
      </c>
      <c r="H11115" s="151" t="s">
        <v>16</v>
      </c>
      <c r="I11115" s="151" t="s">
        <v>25</v>
      </c>
    </row>
    <row r="11116" spans="1:9" x14ac:dyDescent="0.25">
      <c r="A11116" s="151">
        <v>1831</v>
      </c>
      <c r="B11116" s="151">
        <f>A11116+1</f>
        <v>1832</v>
      </c>
      <c r="C11116" s="151" t="s">
        <v>537</v>
      </c>
      <c r="D11116" s="151" t="s">
        <v>27</v>
      </c>
      <c r="E11116" s="208" t="s">
        <v>128</v>
      </c>
      <c r="F11116" s="151" t="s">
        <v>2</v>
      </c>
      <c r="G11116" s="152">
        <v>0</v>
      </c>
      <c r="H11116" s="151" t="s">
        <v>16</v>
      </c>
      <c r="I11116" s="151" t="s">
        <v>25</v>
      </c>
    </row>
    <row r="11117" spans="1:9" x14ac:dyDescent="0.25">
      <c r="A11117" s="151">
        <v>1831</v>
      </c>
      <c r="B11117" s="151">
        <f>A11117+1</f>
        <v>1832</v>
      </c>
      <c r="C11117" s="151" t="s">
        <v>537</v>
      </c>
      <c r="D11117" s="151" t="s">
        <v>27</v>
      </c>
      <c r="E11117" s="208" t="s">
        <v>135</v>
      </c>
      <c r="F11117" s="151" t="s">
        <v>2</v>
      </c>
      <c r="G11117" s="152">
        <v>0</v>
      </c>
      <c r="H11117" s="151" t="s">
        <v>16</v>
      </c>
      <c r="I11117" s="151" t="s">
        <v>25</v>
      </c>
    </row>
    <row r="11118" spans="1:9" x14ac:dyDescent="0.25">
      <c r="A11118" s="151">
        <v>1831</v>
      </c>
      <c r="B11118" s="151">
        <f>A11118+1</f>
        <v>1832</v>
      </c>
      <c r="C11118" s="151" t="s">
        <v>537</v>
      </c>
      <c r="D11118" s="151" t="s">
        <v>27</v>
      </c>
      <c r="E11118" s="208" t="s">
        <v>138</v>
      </c>
      <c r="F11118" s="151" t="s">
        <v>2</v>
      </c>
      <c r="G11118" s="152">
        <v>0</v>
      </c>
      <c r="H11118" s="151" t="s">
        <v>16</v>
      </c>
      <c r="I11118" s="151" t="s">
        <v>25</v>
      </c>
    </row>
    <row r="11119" spans="1:9" x14ac:dyDescent="0.25">
      <c r="A11119" s="151">
        <v>1831</v>
      </c>
      <c r="B11119" s="151">
        <f>A11119+1</f>
        <v>1832</v>
      </c>
      <c r="C11119" s="151" t="s">
        <v>537</v>
      </c>
      <c r="D11119" s="151" t="s">
        <v>27</v>
      </c>
      <c r="E11119" s="208" t="s">
        <v>134</v>
      </c>
      <c r="F11119" s="151" t="s">
        <v>2</v>
      </c>
      <c r="G11119" s="152">
        <v>0</v>
      </c>
      <c r="H11119" s="151" t="s">
        <v>16</v>
      </c>
      <c r="I11119" s="151" t="s">
        <v>25</v>
      </c>
    </row>
    <row r="11120" spans="1:9" x14ac:dyDescent="0.25">
      <c r="A11120" s="151">
        <v>1831</v>
      </c>
      <c r="B11120" s="151">
        <f>A11120+1</f>
        <v>1832</v>
      </c>
      <c r="C11120" s="151" t="s">
        <v>537</v>
      </c>
      <c r="D11120" s="151" t="s">
        <v>27</v>
      </c>
      <c r="E11120" s="208" t="s">
        <v>155</v>
      </c>
      <c r="F11120" s="151" t="s">
        <v>6</v>
      </c>
      <c r="G11120" s="152">
        <v>0</v>
      </c>
      <c r="H11120" s="151" t="s">
        <v>16</v>
      </c>
      <c r="I11120" s="151" t="s">
        <v>25</v>
      </c>
    </row>
    <row r="11121" spans="1:9" x14ac:dyDescent="0.25">
      <c r="A11121" s="151">
        <v>1831</v>
      </c>
      <c r="B11121" s="151">
        <f>A11121+1</f>
        <v>1832</v>
      </c>
      <c r="C11121" s="151" t="s">
        <v>537</v>
      </c>
      <c r="D11121" s="151" t="s">
        <v>27</v>
      </c>
      <c r="E11121" s="208" t="s">
        <v>156</v>
      </c>
      <c r="F11121" s="151" t="s">
        <v>6</v>
      </c>
      <c r="G11121" s="152">
        <v>0</v>
      </c>
      <c r="H11121" s="151" t="s">
        <v>16</v>
      </c>
      <c r="I11121" s="151" t="s">
        <v>25</v>
      </c>
    </row>
    <row r="11122" spans="1:9" x14ac:dyDescent="0.25">
      <c r="A11122" s="151">
        <v>1831</v>
      </c>
      <c r="B11122" s="151">
        <f>A11122+1</f>
        <v>1832</v>
      </c>
      <c r="C11122" s="151" t="s">
        <v>537</v>
      </c>
      <c r="D11122" s="151" t="s">
        <v>27</v>
      </c>
      <c r="E11122" s="208" t="s">
        <v>154</v>
      </c>
      <c r="F11122" s="151" t="s">
        <v>6</v>
      </c>
      <c r="G11122" s="152">
        <v>17</v>
      </c>
      <c r="H11122" s="151" t="s">
        <v>16</v>
      </c>
      <c r="I11122" s="151" t="s">
        <v>25</v>
      </c>
    </row>
    <row r="11123" spans="1:9" x14ac:dyDescent="0.25">
      <c r="A11123" s="151">
        <v>1831</v>
      </c>
      <c r="B11123" s="151">
        <f>A11123+1</f>
        <v>1832</v>
      </c>
      <c r="C11123" s="151" t="s">
        <v>537</v>
      </c>
      <c r="D11123" s="151" t="s">
        <v>27</v>
      </c>
      <c r="E11123" s="208" t="s">
        <v>150</v>
      </c>
      <c r="F11123" s="151" t="s">
        <v>6</v>
      </c>
      <c r="G11123" s="152">
        <v>95</v>
      </c>
      <c r="H11123" s="151" t="s">
        <v>16</v>
      </c>
      <c r="I11123" s="151" t="s">
        <v>25</v>
      </c>
    </row>
    <row r="11124" spans="1:9" x14ac:dyDescent="0.25">
      <c r="A11124" s="151">
        <v>1831</v>
      </c>
      <c r="B11124" s="151">
        <f>A11124+1</f>
        <v>1832</v>
      </c>
      <c r="C11124" s="151" t="s">
        <v>537</v>
      </c>
      <c r="D11124" s="151" t="s">
        <v>27</v>
      </c>
      <c r="E11124" s="208" t="s">
        <v>148</v>
      </c>
      <c r="F11124" s="151" t="s">
        <v>6</v>
      </c>
      <c r="G11124" s="152">
        <v>27</v>
      </c>
      <c r="H11124" s="151" t="s">
        <v>16</v>
      </c>
      <c r="I11124" s="151" t="s">
        <v>25</v>
      </c>
    </row>
    <row r="11125" spans="1:9" x14ac:dyDescent="0.25">
      <c r="A11125" s="151">
        <v>1831</v>
      </c>
      <c r="B11125" s="151">
        <f>A11125+1</f>
        <v>1832</v>
      </c>
      <c r="C11125" s="151" t="s">
        <v>537</v>
      </c>
      <c r="D11125" s="151" t="s">
        <v>27</v>
      </c>
      <c r="E11125" s="208" t="s">
        <v>147</v>
      </c>
      <c r="F11125" s="151" t="s">
        <v>6</v>
      </c>
      <c r="G11125" s="152">
        <v>545</v>
      </c>
      <c r="H11125" s="151" t="s">
        <v>16</v>
      </c>
      <c r="I11125" s="151" t="s">
        <v>25</v>
      </c>
    </row>
    <row r="11126" spans="1:9" x14ac:dyDescent="0.25">
      <c r="A11126" s="151">
        <v>1831</v>
      </c>
      <c r="B11126" s="151">
        <f>A11126+1</f>
        <v>1832</v>
      </c>
      <c r="C11126" s="151" t="s">
        <v>537</v>
      </c>
      <c r="D11126" s="151" t="s">
        <v>27</v>
      </c>
      <c r="E11126" s="208" t="s">
        <v>139</v>
      </c>
      <c r="F11126" s="151" t="s">
        <v>6</v>
      </c>
      <c r="G11126" s="152">
        <v>1</v>
      </c>
      <c r="H11126" s="151" t="s">
        <v>25</v>
      </c>
      <c r="I11126" s="151" t="s">
        <v>16</v>
      </c>
    </row>
    <row r="11127" spans="1:9" x14ac:dyDescent="0.25">
      <c r="A11127" s="151">
        <v>1831</v>
      </c>
      <c r="B11127" s="151">
        <f>A11127+1</f>
        <v>1832</v>
      </c>
      <c r="C11127" s="151" t="s">
        <v>537</v>
      </c>
      <c r="D11127" s="151" t="s">
        <v>27</v>
      </c>
      <c r="E11127" s="208" t="s">
        <v>132</v>
      </c>
      <c r="F11127" s="151" t="s">
        <v>6</v>
      </c>
      <c r="G11127" s="152">
        <v>0</v>
      </c>
      <c r="H11127" s="151" t="s">
        <v>25</v>
      </c>
      <c r="I11127" s="151" t="s">
        <v>16</v>
      </c>
    </row>
    <row r="11128" spans="1:9" x14ac:dyDescent="0.25">
      <c r="A11128" s="151">
        <v>1831</v>
      </c>
      <c r="B11128" s="151">
        <f>A11128+1</f>
        <v>1832</v>
      </c>
      <c r="C11128" s="151" t="s">
        <v>537</v>
      </c>
      <c r="D11128" s="151" t="s">
        <v>27</v>
      </c>
      <c r="E11128" s="208" t="s">
        <v>130</v>
      </c>
      <c r="F11128" s="151" t="s">
        <v>6</v>
      </c>
      <c r="G11128" s="152">
        <v>0</v>
      </c>
      <c r="H11128" s="151" t="s">
        <v>25</v>
      </c>
      <c r="I11128" s="151" t="s">
        <v>16</v>
      </c>
    </row>
    <row r="11129" spans="1:9" x14ac:dyDescent="0.25">
      <c r="A11129" s="151">
        <v>1831</v>
      </c>
      <c r="B11129" s="151">
        <f>A11129+1</f>
        <v>1832</v>
      </c>
      <c r="C11129" s="151" t="s">
        <v>537</v>
      </c>
      <c r="D11129" s="151" t="s">
        <v>27</v>
      </c>
      <c r="E11129" s="208" t="s">
        <v>143</v>
      </c>
      <c r="F11129" s="151" t="s">
        <v>6</v>
      </c>
      <c r="G11129" s="152">
        <v>0</v>
      </c>
      <c r="H11129" s="151" t="s">
        <v>25</v>
      </c>
      <c r="I11129" s="151" t="s">
        <v>16</v>
      </c>
    </row>
    <row r="11130" spans="1:9" x14ac:dyDescent="0.25">
      <c r="A11130" s="151">
        <v>1831</v>
      </c>
      <c r="B11130" s="151">
        <f>A11130+1</f>
        <v>1832</v>
      </c>
      <c r="C11130" s="151" t="s">
        <v>537</v>
      </c>
      <c r="D11130" s="151" t="s">
        <v>27</v>
      </c>
      <c r="E11130" s="208" t="s">
        <v>142</v>
      </c>
      <c r="F11130" s="151" t="s">
        <v>6</v>
      </c>
      <c r="G11130" s="152">
        <v>10</v>
      </c>
      <c r="H11130" s="151" t="s">
        <v>25</v>
      </c>
      <c r="I11130" s="151" t="s">
        <v>16</v>
      </c>
    </row>
    <row r="11131" spans="1:9" x14ac:dyDescent="0.25">
      <c r="A11131" s="151">
        <v>1831</v>
      </c>
      <c r="B11131" s="151">
        <f>A11131+1</f>
        <v>1832</v>
      </c>
      <c r="C11131" s="151" t="s">
        <v>537</v>
      </c>
      <c r="D11131" s="151" t="s">
        <v>27</v>
      </c>
      <c r="E11131" s="208" t="s">
        <v>125</v>
      </c>
      <c r="F11131" s="151" t="s">
        <v>6</v>
      </c>
      <c r="G11131" s="152">
        <v>0</v>
      </c>
      <c r="H11131" s="151" t="s">
        <v>25</v>
      </c>
      <c r="I11131" s="151" t="s">
        <v>16</v>
      </c>
    </row>
    <row r="11132" spans="1:9" x14ac:dyDescent="0.25">
      <c r="A11132" s="151">
        <v>1831</v>
      </c>
      <c r="B11132" s="151">
        <f>A11132+1</f>
        <v>1832</v>
      </c>
      <c r="C11132" s="151" t="s">
        <v>537</v>
      </c>
      <c r="D11132" s="151" t="s">
        <v>27</v>
      </c>
      <c r="E11132" s="208" t="s">
        <v>122</v>
      </c>
      <c r="F11132" s="151" t="s">
        <v>6</v>
      </c>
      <c r="G11132" s="152">
        <v>0</v>
      </c>
      <c r="H11132" s="151" t="s">
        <v>25</v>
      </c>
      <c r="I11132" s="151" t="s">
        <v>16</v>
      </c>
    </row>
    <row r="11133" spans="1:9" x14ac:dyDescent="0.25">
      <c r="A11133" s="151">
        <v>1831</v>
      </c>
      <c r="B11133" s="151">
        <f>A11133+1</f>
        <v>1832</v>
      </c>
      <c r="C11133" s="151" t="s">
        <v>537</v>
      </c>
      <c r="D11133" s="151" t="s">
        <v>27</v>
      </c>
      <c r="E11133" s="208" t="s">
        <v>121</v>
      </c>
      <c r="F11133" s="151" t="s">
        <v>6</v>
      </c>
      <c r="G11133" s="152">
        <v>0</v>
      </c>
      <c r="H11133" s="151" t="s">
        <v>25</v>
      </c>
      <c r="I11133" s="151" t="s">
        <v>16</v>
      </c>
    </row>
    <row r="11134" spans="1:9" x14ac:dyDescent="0.25">
      <c r="A11134" s="151">
        <v>1831</v>
      </c>
      <c r="B11134" s="151">
        <f>A11134+1</f>
        <v>1832</v>
      </c>
      <c r="C11134" s="151" t="s">
        <v>537</v>
      </c>
      <c r="D11134" s="151" t="s">
        <v>27</v>
      </c>
      <c r="E11134" s="208" t="s">
        <v>127</v>
      </c>
      <c r="F11134" s="151" t="s">
        <v>6</v>
      </c>
      <c r="G11134" s="152">
        <v>0</v>
      </c>
      <c r="H11134" s="151" t="s">
        <v>25</v>
      </c>
      <c r="I11134" s="151" t="s">
        <v>16</v>
      </c>
    </row>
    <row r="11135" spans="1:9" x14ac:dyDescent="0.25">
      <c r="A11135" s="151">
        <v>1831</v>
      </c>
      <c r="B11135" s="151">
        <f>A11135+1</f>
        <v>1832</v>
      </c>
      <c r="C11135" s="151" t="s">
        <v>537</v>
      </c>
      <c r="D11135" s="151" t="s">
        <v>27</v>
      </c>
      <c r="E11135" s="208" t="s">
        <v>133</v>
      </c>
      <c r="F11135" s="151" t="s">
        <v>6</v>
      </c>
      <c r="G11135" s="152">
        <v>0</v>
      </c>
      <c r="H11135" s="151" t="s">
        <v>25</v>
      </c>
      <c r="I11135" s="151" t="s">
        <v>16</v>
      </c>
    </row>
    <row r="11136" spans="1:9" x14ac:dyDescent="0.25">
      <c r="A11136" s="151">
        <v>1831</v>
      </c>
      <c r="B11136" s="151">
        <f>A11136+1</f>
        <v>1832</v>
      </c>
      <c r="C11136" s="151" t="s">
        <v>537</v>
      </c>
      <c r="D11136" s="151" t="s">
        <v>27</v>
      </c>
      <c r="E11136" s="208" t="s">
        <v>74</v>
      </c>
      <c r="F11136" s="151" t="s">
        <v>6</v>
      </c>
      <c r="G11136" s="152">
        <v>0</v>
      </c>
      <c r="H11136" s="151" t="s">
        <v>25</v>
      </c>
      <c r="I11136" s="151" t="s">
        <v>16</v>
      </c>
    </row>
    <row r="11137" spans="1:9" x14ac:dyDescent="0.25">
      <c r="A11137" s="151">
        <v>1831</v>
      </c>
      <c r="B11137" s="151">
        <f>A11137+1</f>
        <v>1832</v>
      </c>
      <c r="C11137" s="151" t="s">
        <v>537</v>
      </c>
      <c r="D11137" s="151" t="s">
        <v>27</v>
      </c>
      <c r="E11137" s="208" t="s">
        <v>129</v>
      </c>
      <c r="F11137" s="151" t="s">
        <v>6</v>
      </c>
      <c r="G11137" s="152">
        <v>0</v>
      </c>
      <c r="H11137" s="151" t="s">
        <v>25</v>
      </c>
      <c r="I11137" s="151" t="s">
        <v>16</v>
      </c>
    </row>
    <row r="11138" spans="1:9" x14ac:dyDescent="0.25">
      <c r="A11138" s="151">
        <v>1831</v>
      </c>
      <c r="B11138" s="151">
        <f>A11138+1</f>
        <v>1832</v>
      </c>
      <c r="C11138" s="151" t="s">
        <v>537</v>
      </c>
      <c r="D11138" s="151" t="s">
        <v>27</v>
      </c>
      <c r="E11138" s="208" t="s">
        <v>141</v>
      </c>
      <c r="F11138" s="151" t="s">
        <v>6</v>
      </c>
      <c r="G11138" s="152">
        <v>0</v>
      </c>
      <c r="H11138" s="151" t="s">
        <v>25</v>
      </c>
      <c r="I11138" s="151" t="s">
        <v>16</v>
      </c>
    </row>
    <row r="11139" spans="1:9" x14ac:dyDescent="0.25">
      <c r="A11139" s="151">
        <v>1831</v>
      </c>
      <c r="B11139" s="151">
        <f>A11139+1</f>
        <v>1832</v>
      </c>
      <c r="C11139" s="151" t="s">
        <v>537</v>
      </c>
      <c r="D11139" s="151" t="s">
        <v>27</v>
      </c>
      <c r="E11139" s="208" t="s">
        <v>128</v>
      </c>
      <c r="F11139" s="151" t="s">
        <v>6</v>
      </c>
      <c r="G11139" s="152">
        <v>0</v>
      </c>
      <c r="H11139" s="151" t="s">
        <v>25</v>
      </c>
      <c r="I11139" s="151" t="s">
        <v>16</v>
      </c>
    </row>
    <row r="11140" spans="1:9" x14ac:dyDescent="0.25">
      <c r="A11140" s="151">
        <v>1831</v>
      </c>
      <c r="B11140" s="151">
        <f>A11140+1</f>
        <v>1832</v>
      </c>
      <c r="C11140" s="151" t="s">
        <v>537</v>
      </c>
      <c r="D11140" s="151" t="s">
        <v>27</v>
      </c>
      <c r="E11140" s="208" t="s">
        <v>135</v>
      </c>
      <c r="F11140" s="151" t="s">
        <v>6</v>
      </c>
      <c r="G11140" s="152">
        <v>0</v>
      </c>
      <c r="H11140" s="151" t="s">
        <v>25</v>
      </c>
      <c r="I11140" s="151" t="s">
        <v>16</v>
      </c>
    </row>
    <row r="11141" spans="1:9" x14ac:dyDescent="0.25">
      <c r="A11141" s="151">
        <v>1831</v>
      </c>
      <c r="B11141" s="151">
        <f>A11141+1</f>
        <v>1832</v>
      </c>
      <c r="C11141" s="151" t="s">
        <v>537</v>
      </c>
      <c r="D11141" s="151" t="s">
        <v>27</v>
      </c>
      <c r="E11141" s="208" t="s">
        <v>138</v>
      </c>
      <c r="F11141" s="151" t="s">
        <v>6</v>
      </c>
      <c r="G11141" s="152">
        <v>0</v>
      </c>
      <c r="H11141" s="151" t="s">
        <v>25</v>
      </c>
      <c r="I11141" s="151" t="s">
        <v>16</v>
      </c>
    </row>
    <row r="11142" spans="1:9" x14ac:dyDescent="0.25">
      <c r="A11142" s="151">
        <v>1831</v>
      </c>
      <c r="B11142" s="151">
        <f>A11142+1</f>
        <v>1832</v>
      </c>
      <c r="C11142" s="151" t="s">
        <v>537</v>
      </c>
      <c r="D11142" s="151" t="s">
        <v>27</v>
      </c>
      <c r="E11142" s="208" t="s">
        <v>134</v>
      </c>
      <c r="F11142" s="151" t="s">
        <v>6</v>
      </c>
      <c r="G11142" s="152">
        <v>0</v>
      </c>
      <c r="H11142" s="151" t="s">
        <v>25</v>
      </c>
      <c r="I11142" s="151" t="s">
        <v>16</v>
      </c>
    </row>
    <row r="11143" spans="1:9" x14ac:dyDescent="0.25">
      <c r="A11143" s="151">
        <v>1831</v>
      </c>
      <c r="B11143" s="151">
        <f>A11143+1</f>
        <v>1832</v>
      </c>
      <c r="C11143" s="151" t="s">
        <v>537</v>
      </c>
      <c r="D11143" s="151" t="s">
        <v>26</v>
      </c>
      <c r="E11143" s="208" t="s">
        <v>34</v>
      </c>
      <c r="F11143" s="151" t="s">
        <v>6</v>
      </c>
      <c r="G11143" s="152">
        <v>29</v>
      </c>
      <c r="H11143" s="151" t="s">
        <v>25</v>
      </c>
      <c r="I11143" s="151" t="s">
        <v>16</v>
      </c>
    </row>
    <row r="11144" spans="1:9" x14ac:dyDescent="0.25">
      <c r="A11144" s="151">
        <v>1831</v>
      </c>
      <c r="B11144" s="151">
        <f>A11144+1</f>
        <v>1832</v>
      </c>
      <c r="C11144" s="151" t="s">
        <v>537</v>
      </c>
      <c r="D11144" s="151" t="s">
        <v>26</v>
      </c>
      <c r="E11144" s="208" t="s">
        <v>63</v>
      </c>
      <c r="F11144" s="151" t="s">
        <v>6</v>
      </c>
      <c r="G11144" s="152">
        <v>41</v>
      </c>
      <c r="H11144" s="151" t="s">
        <v>25</v>
      </c>
      <c r="I11144" s="151" t="s">
        <v>16</v>
      </c>
    </row>
    <row r="11145" spans="1:9" x14ac:dyDescent="0.25">
      <c r="A11145" s="151">
        <v>1831</v>
      </c>
      <c r="B11145" s="151">
        <f>A11145+1</f>
        <v>1832</v>
      </c>
      <c r="C11145" s="151" t="s">
        <v>537</v>
      </c>
      <c r="D11145" s="151" t="s">
        <v>26</v>
      </c>
      <c r="E11145" s="208" t="s">
        <v>62</v>
      </c>
      <c r="F11145" s="151" t="s">
        <v>6</v>
      </c>
      <c r="G11145" s="152">
        <v>335</v>
      </c>
      <c r="H11145" s="151" t="s">
        <v>25</v>
      </c>
      <c r="I11145" s="151" t="s">
        <v>16</v>
      </c>
    </row>
    <row r="11146" spans="1:9" x14ac:dyDescent="0.25">
      <c r="A11146" s="151">
        <v>1831</v>
      </c>
      <c r="B11146" s="151">
        <f>A11146+1</f>
        <v>1832</v>
      </c>
      <c r="C11146" s="151" t="s">
        <v>537</v>
      </c>
      <c r="D11146" s="151" t="s">
        <v>26</v>
      </c>
      <c r="E11146" s="208" t="s">
        <v>55</v>
      </c>
      <c r="F11146" s="151" t="s">
        <v>6</v>
      </c>
      <c r="G11146" s="152">
        <v>107</v>
      </c>
      <c r="H11146" s="151" t="s">
        <v>25</v>
      </c>
      <c r="I11146" s="151" t="s">
        <v>16</v>
      </c>
    </row>
    <row r="11147" spans="1:9" x14ac:dyDescent="0.25">
      <c r="A11147" s="151">
        <v>1831</v>
      </c>
      <c r="B11147" s="151">
        <f>A11147+1</f>
        <v>1832</v>
      </c>
      <c r="C11147" s="151" t="s">
        <v>537</v>
      </c>
      <c r="D11147" s="151" t="s">
        <v>26</v>
      </c>
      <c r="E11147" s="208" t="s">
        <v>36</v>
      </c>
      <c r="F11147" s="151" t="s">
        <v>6</v>
      </c>
      <c r="G11147" s="152">
        <v>10</v>
      </c>
      <c r="H11147" s="151" t="s">
        <v>25</v>
      </c>
      <c r="I11147" s="151" t="s">
        <v>16</v>
      </c>
    </row>
    <row r="11148" spans="1:9" x14ac:dyDescent="0.25">
      <c r="A11148" s="151">
        <v>1831</v>
      </c>
      <c r="B11148" s="151">
        <f>A11148+1</f>
        <v>1832</v>
      </c>
      <c r="C11148" s="151" t="s">
        <v>537</v>
      </c>
      <c r="D11148" s="151" t="s">
        <v>26</v>
      </c>
      <c r="E11148" s="208" t="s">
        <v>35</v>
      </c>
      <c r="F11148" s="151" t="s">
        <v>6</v>
      </c>
      <c r="G11148" s="152">
        <v>50</v>
      </c>
      <c r="H11148" s="151" t="s">
        <v>25</v>
      </c>
      <c r="I11148" s="151" t="s">
        <v>16</v>
      </c>
    </row>
    <row r="11149" spans="1:9" x14ac:dyDescent="0.25">
      <c r="A11149" s="151">
        <v>1831</v>
      </c>
      <c r="B11149" s="151">
        <f>A11149+1</f>
        <v>1832</v>
      </c>
      <c r="C11149" s="151" t="s">
        <v>537</v>
      </c>
      <c r="D11149" s="151" t="s">
        <v>26</v>
      </c>
      <c r="E11149" s="208" t="s">
        <v>40</v>
      </c>
      <c r="F11149" s="151" t="s">
        <v>6</v>
      </c>
      <c r="G11149" s="152">
        <v>0</v>
      </c>
      <c r="H11149" s="151" t="s">
        <v>25</v>
      </c>
      <c r="I11149" s="151" t="s">
        <v>16</v>
      </c>
    </row>
    <row r="11150" spans="1:9" x14ac:dyDescent="0.25">
      <c r="A11150" s="151">
        <v>1831</v>
      </c>
      <c r="B11150" s="151">
        <f>A11150+1</f>
        <v>1832</v>
      </c>
      <c r="C11150" s="151" t="s">
        <v>537</v>
      </c>
      <c r="D11150" s="151" t="s">
        <v>26</v>
      </c>
      <c r="E11150" s="208" t="s">
        <v>96</v>
      </c>
      <c r="F11150" s="151" t="s">
        <v>6</v>
      </c>
      <c r="G11150" s="152">
        <v>14</v>
      </c>
      <c r="H11150" s="151" t="s">
        <v>16</v>
      </c>
      <c r="I11150" s="151" t="s">
        <v>18</v>
      </c>
    </row>
    <row r="11151" spans="1:9" x14ac:dyDescent="0.25">
      <c r="A11151" s="151">
        <v>1831</v>
      </c>
      <c r="B11151" s="151">
        <f>A11151+1</f>
        <v>1832</v>
      </c>
      <c r="C11151" s="151" t="s">
        <v>537</v>
      </c>
      <c r="D11151" s="151" t="s">
        <v>26</v>
      </c>
      <c r="E11151" s="208" t="s">
        <v>98</v>
      </c>
      <c r="F11151" s="151" t="s">
        <v>6</v>
      </c>
      <c r="G11151" s="152">
        <v>43107</v>
      </c>
      <c r="H11151" s="151" t="s">
        <v>16</v>
      </c>
      <c r="I11151" s="151" t="s">
        <v>18</v>
      </c>
    </row>
    <row r="11152" spans="1:9" x14ac:dyDescent="0.25">
      <c r="A11152" s="151">
        <v>1831</v>
      </c>
      <c r="B11152" s="151">
        <f>A11152+1</f>
        <v>1832</v>
      </c>
      <c r="C11152" s="151" t="s">
        <v>537</v>
      </c>
      <c r="D11152" s="151" t="s">
        <v>26</v>
      </c>
      <c r="E11152" s="208" t="s">
        <v>442</v>
      </c>
      <c r="F11152" s="151" t="s">
        <v>6</v>
      </c>
      <c r="G11152" s="152">
        <v>4359</v>
      </c>
      <c r="H11152" s="151" t="s">
        <v>16</v>
      </c>
      <c r="I11152" s="151" t="s">
        <v>18</v>
      </c>
    </row>
    <row r="11153" spans="1:9" x14ac:dyDescent="0.25">
      <c r="A11153" s="151">
        <v>1831</v>
      </c>
      <c r="B11153" s="151">
        <f>A11153+1</f>
        <v>1832</v>
      </c>
      <c r="C11153" s="151" t="s">
        <v>537</v>
      </c>
      <c r="D11153" s="151" t="s">
        <v>26</v>
      </c>
      <c r="E11153" s="208" t="s">
        <v>105</v>
      </c>
      <c r="F11153" s="151" t="s">
        <v>6</v>
      </c>
      <c r="G11153" s="152">
        <v>0</v>
      </c>
      <c r="H11153" s="151" t="s">
        <v>16</v>
      </c>
      <c r="I11153" s="151" t="s">
        <v>18</v>
      </c>
    </row>
    <row r="11154" spans="1:9" x14ac:dyDescent="0.25">
      <c r="A11154" s="151">
        <v>1831</v>
      </c>
      <c r="B11154" s="151">
        <f>A11154+1</f>
        <v>1832</v>
      </c>
      <c r="C11154" s="151" t="s">
        <v>537</v>
      </c>
      <c r="D11154" s="151" t="s">
        <v>26</v>
      </c>
      <c r="E11154" s="208" t="s">
        <v>106</v>
      </c>
      <c r="F11154" s="151" t="s">
        <v>6</v>
      </c>
      <c r="G11154" s="152">
        <v>0</v>
      </c>
      <c r="H11154" s="151" t="s">
        <v>16</v>
      </c>
      <c r="I11154" s="151" t="s">
        <v>18</v>
      </c>
    </row>
    <row r="11155" spans="1:9" x14ac:dyDescent="0.25">
      <c r="A11155" s="151">
        <v>1831</v>
      </c>
      <c r="B11155" s="151">
        <f>A11155+1</f>
        <v>1832</v>
      </c>
      <c r="C11155" s="151" t="s">
        <v>537</v>
      </c>
      <c r="D11155" s="151" t="s">
        <v>26</v>
      </c>
      <c r="E11155" s="208" t="s">
        <v>101</v>
      </c>
      <c r="F11155" s="151" t="s">
        <v>6</v>
      </c>
      <c r="G11155" s="152">
        <v>90000</v>
      </c>
      <c r="H11155" s="151" t="s">
        <v>16</v>
      </c>
      <c r="I11155" s="151" t="s">
        <v>18</v>
      </c>
    </row>
    <row r="11156" spans="1:9" x14ac:dyDescent="0.25">
      <c r="A11156" s="151">
        <v>1831</v>
      </c>
      <c r="B11156" s="151">
        <f>A11156+1</f>
        <v>1832</v>
      </c>
      <c r="C11156" s="151" t="s">
        <v>537</v>
      </c>
      <c r="D11156" s="151" t="s">
        <v>26</v>
      </c>
      <c r="E11156" s="208" t="s">
        <v>75</v>
      </c>
      <c r="F11156" s="151" t="s">
        <v>6</v>
      </c>
      <c r="G11156" s="152">
        <v>220000</v>
      </c>
      <c r="H11156" s="151" t="s">
        <v>16</v>
      </c>
      <c r="I11156" s="151" t="s">
        <v>18</v>
      </c>
    </row>
    <row r="11157" spans="1:9" x14ac:dyDescent="0.25">
      <c r="A11157" s="151">
        <v>1831</v>
      </c>
      <c r="B11157" s="151">
        <f>A11157+1</f>
        <v>1832</v>
      </c>
      <c r="C11157" s="151" t="s">
        <v>537</v>
      </c>
      <c r="D11157" s="151" t="s">
        <v>26</v>
      </c>
      <c r="E11157" s="208" t="s">
        <v>66</v>
      </c>
      <c r="F11157" s="151" t="s">
        <v>6</v>
      </c>
      <c r="G11157" s="152">
        <v>0</v>
      </c>
      <c r="H11157" s="151" t="s">
        <v>16</v>
      </c>
      <c r="I11157" s="151" t="s">
        <v>18</v>
      </c>
    </row>
    <row r="11158" spans="1:9" x14ac:dyDescent="0.25">
      <c r="A11158" s="151">
        <v>1831</v>
      </c>
      <c r="B11158" s="151">
        <f>A11158+1</f>
        <v>1832</v>
      </c>
      <c r="C11158" s="151" t="s">
        <v>537</v>
      </c>
      <c r="D11158" s="151" t="s">
        <v>26</v>
      </c>
      <c r="E11158" s="208" t="s">
        <v>28</v>
      </c>
      <c r="F11158" s="151" t="s">
        <v>6</v>
      </c>
      <c r="G11158" s="152">
        <v>0</v>
      </c>
      <c r="H11158" s="151" t="s">
        <v>16</v>
      </c>
      <c r="I11158" s="151" t="s">
        <v>18</v>
      </c>
    </row>
    <row r="11159" spans="1:9" x14ac:dyDescent="0.25">
      <c r="A11159" s="151">
        <v>1831</v>
      </c>
      <c r="B11159" s="151">
        <f>A11159+1</f>
        <v>1832</v>
      </c>
      <c r="C11159" s="151" t="s">
        <v>537</v>
      </c>
      <c r="D11159" s="151" t="s">
        <v>26</v>
      </c>
      <c r="E11159" s="208" t="s">
        <v>89</v>
      </c>
      <c r="F11159" s="151" t="s">
        <v>6</v>
      </c>
      <c r="G11159" s="152">
        <v>0</v>
      </c>
      <c r="H11159" s="151" t="s">
        <v>16</v>
      </c>
      <c r="I11159" s="151" t="s">
        <v>18</v>
      </c>
    </row>
    <row r="11160" spans="1:9" x14ac:dyDescent="0.25">
      <c r="A11160" s="151">
        <v>1831</v>
      </c>
      <c r="B11160" s="151">
        <f>A11160+1</f>
        <v>1832</v>
      </c>
      <c r="C11160" s="151" t="s">
        <v>537</v>
      </c>
      <c r="D11160" s="151" t="s">
        <v>26</v>
      </c>
      <c r="E11160" s="208" t="s">
        <v>45</v>
      </c>
      <c r="F11160" s="151" t="s">
        <v>6</v>
      </c>
      <c r="G11160" s="152">
        <v>0</v>
      </c>
      <c r="H11160" s="151" t="s">
        <v>16</v>
      </c>
      <c r="I11160" s="151" t="s">
        <v>18</v>
      </c>
    </row>
    <row r="11161" spans="1:9" x14ac:dyDescent="0.25">
      <c r="A11161" s="151">
        <v>1831</v>
      </c>
      <c r="B11161" s="151">
        <f>A11161+1</f>
        <v>1832</v>
      </c>
      <c r="C11161" s="151" t="s">
        <v>537</v>
      </c>
      <c r="D11161" s="151" t="s">
        <v>26</v>
      </c>
      <c r="E11161" s="208" t="s">
        <v>48</v>
      </c>
      <c r="F11161" s="151" t="s">
        <v>6</v>
      </c>
      <c r="G11161" s="152">
        <v>0</v>
      </c>
      <c r="H11161" s="151" t="s">
        <v>16</v>
      </c>
      <c r="I11161" s="151" t="s">
        <v>18</v>
      </c>
    </row>
    <row r="11162" spans="1:9" x14ac:dyDescent="0.25">
      <c r="A11162" s="151">
        <v>1831</v>
      </c>
      <c r="B11162" s="151">
        <f>A11162+1</f>
        <v>1832</v>
      </c>
      <c r="C11162" s="151" t="s">
        <v>537</v>
      </c>
      <c r="D11162" s="151" t="s">
        <v>26</v>
      </c>
      <c r="E11162" s="208" t="s">
        <v>102</v>
      </c>
      <c r="F11162" s="151" t="s">
        <v>6</v>
      </c>
      <c r="G11162" s="152">
        <v>0</v>
      </c>
      <c r="H11162" s="151" t="s">
        <v>16</v>
      </c>
      <c r="I11162" s="151" t="s">
        <v>18</v>
      </c>
    </row>
    <row r="11163" spans="1:9" x14ac:dyDescent="0.25">
      <c r="A11163" s="151">
        <v>1831</v>
      </c>
      <c r="B11163" s="151">
        <f>A11163+1</f>
        <v>1832</v>
      </c>
      <c r="C11163" s="151" t="s">
        <v>537</v>
      </c>
      <c r="D11163" s="151" t="s">
        <v>26</v>
      </c>
      <c r="E11163" s="208" t="s">
        <v>330</v>
      </c>
      <c r="F11163" s="151" t="s">
        <v>6</v>
      </c>
      <c r="G11163" s="152">
        <v>597</v>
      </c>
      <c r="H11163" s="151" t="s">
        <v>16</v>
      </c>
      <c r="I11163" s="151" t="s">
        <v>18</v>
      </c>
    </row>
    <row r="11164" spans="1:9" x14ac:dyDescent="0.25">
      <c r="A11164" s="151">
        <v>1831</v>
      </c>
      <c r="B11164" s="151">
        <f>A11164+1</f>
        <v>1832</v>
      </c>
      <c r="C11164" s="151" t="s">
        <v>537</v>
      </c>
      <c r="D11164" s="151" t="s">
        <v>26</v>
      </c>
      <c r="E11164" s="208" t="s">
        <v>331</v>
      </c>
      <c r="F11164" s="151" t="s">
        <v>6</v>
      </c>
      <c r="G11164" s="152">
        <v>460</v>
      </c>
      <c r="H11164" s="151" t="s">
        <v>16</v>
      </c>
      <c r="I11164" s="151" t="s">
        <v>18</v>
      </c>
    </row>
    <row r="11165" spans="1:9" x14ac:dyDescent="0.25">
      <c r="A11165" s="151">
        <v>1831</v>
      </c>
      <c r="B11165" s="151">
        <f>A11165+1</f>
        <v>1832</v>
      </c>
      <c r="C11165" s="151" t="s">
        <v>537</v>
      </c>
      <c r="D11165" s="151" t="s">
        <v>26</v>
      </c>
      <c r="E11165" s="208" t="s">
        <v>332</v>
      </c>
      <c r="F11165" s="151" t="s">
        <v>6</v>
      </c>
      <c r="G11165" s="152">
        <v>606</v>
      </c>
      <c r="H11165" s="151" t="s">
        <v>16</v>
      </c>
      <c r="I11165" s="151" t="s">
        <v>18</v>
      </c>
    </row>
    <row r="11166" spans="1:9" x14ac:dyDescent="0.25">
      <c r="A11166" s="151">
        <v>1831</v>
      </c>
      <c r="B11166" s="151">
        <f>A11166+1</f>
        <v>1832</v>
      </c>
      <c r="C11166" s="151" t="s">
        <v>537</v>
      </c>
      <c r="D11166" s="151" t="s">
        <v>26</v>
      </c>
      <c r="E11166" s="208" t="s">
        <v>333</v>
      </c>
      <c r="F11166" s="151" t="s">
        <v>6</v>
      </c>
      <c r="G11166" s="152">
        <v>591</v>
      </c>
      <c r="H11166" s="151" t="s">
        <v>16</v>
      </c>
      <c r="I11166" s="151" t="s">
        <v>18</v>
      </c>
    </row>
    <row r="11167" spans="1:9" x14ac:dyDescent="0.25">
      <c r="A11167" s="151">
        <v>1831</v>
      </c>
      <c r="B11167" s="151">
        <f>A11167+1</f>
        <v>1832</v>
      </c>
      <c r="C11167" s="151" t="s">
        <v>537</v>
      </c>
      <c r="D11167" s="151" t="s">
        <v>27</v>
      </c>
      <c r="E11167" s="208" t="s">
        <v>155</v>
      </c>
      <c r="F11167" s="151" t="s">
        <v>0</v>
      </c>
      <c r="G11167" s="152">
        <v>20799</v>
      </c>
      <c r="H11167" s="151" t="s">
        <v>16</v>
      </c>
      <c r="I11167" s="151" t="s">
        <v>18</v>
      </c>
    </row>
    <row r="11168" spans="1:9" x14ac:dyDescent="0.25">
      <c r="A11168" s="151">
        <v>1831</v>
      </c>
      <c r="B11168" s="151">
        <f>A11168+1</f>
        <v>1832</v>
      </c>
      <c r="C11168" s="151" t="s">
        <v>537</v>
      </c>
      <c r="D11168" s="151" t="s">
        <v>27</v>
      </c>
      <c r="E11168" s="208" t="s">
        <v>156</v>
      </c>
      <c r="F11168" s="151" t="s">
        <v>0</v>
      </c>
      <c r="G11168" s="152">
        <v>989</v>
      </c>
      <c r="H11168" s="151" t="s">
        <v>16</v>
      </c>
      <c r="I11168" s="151" t="s">
        <v>18</v>
      </c>
    </row>
    <row r="11169" spans="1:9" x14ac:dyDescent="0.25">
      <c r="A11169" s="151">
        <v>1831</v>
      </c>
      <c r="B11169" s="151">
        <f>A11169+1</f>
        <v>1832</v>
      </c>
      <c r="C11169" s="151" t="s">
        <v>537</v>
      </c>
      <c r="D11169" s="151" t="s">
        <v>27</v>
      </c>
      <c r="E11169" s="208" t="s">
        <v>154</v>
      </c>
      <c r="F11169" s="151" t="s">
        <v>0</v>
      </c>
      <c r="G11169" s="152">
        <v>455</v>
      </c>
      <c r="H11169" s="151" t="s">
        <v>16</v>
      </c>
      <c r="I11169" s="151" t="s">
        <v>18</v>
      </c>
    </row>
    <row r="11170" spans="1:9" x14ac:dyDescent="0.25">
      <c r="A11170" s="151">
        <v>1831</v>
      </c>
      <c r="B11170" s="151">
        <f>A11170+1</f>
        <v>1832</v>
      </c>
      <c r="C11170" s="151" t="s">
        <v>537</v>
      </c>
      <c r="D11170" s="151" t="s">
        <v>27</v>
      </c>
      <c r="E11170" s="208" t="s">
        <v>150</v>
      </c>
      <c r="F11170" s="151" t="s">
        <v>0</v>
      </c>
      <c r="G11170" s="152">
        <v>4804</v>
      </c>
      <c r="H11170" s="151" t="s">
        <v>16</v>
      </c>
      <c r="I11170" s="151" t="s">
        <v>18</v>
      </c>
    </row>
    <row r="11171" spans="1:9" x14ac:dyDescent="0.25">
      <c r="A11171" s="151">
        <v>1831</v>
      </c>
      <c r="B11171" s="151">
        <f>A11171+1</f>
        <v>1832</v>
      </c>
      <c r="C11171" s="151" t="s">
        <v>537</v>
      </c>
      <c r="D11171" s="151" t="s">
        <v>27</v>
      </c>
      <c r="E11171" s="208" t="s">
        <v>148</v>
      </c>
      <c r="F11171" s="151" t="s">
        <v>0</v>
      </c>
      <c r="G11171" s="152">
        <v>395</v>
      </c>
      <c r="H11171" s="151" t="s">
        <v>16</v>
      </c>
      <c r="I11171" s="151" t="s">
        <v>18</v>
      </c>
    </row>
    <row r="11172" spans="1:9" x14ac:dyDescent="0.25">
      <c r="A11172" s="151">
        <v>1831</v>
      </c>
      <c r="B11172" s="151">
        <f>A11172+1</f>
        <v>1832</v>
      </c>
      <c r="C11172" s="151" t="s">
        <v>537</v>
      </c>
      <c r="D11172" s="151" t="s">
        <v>27</v>
      </c>
      <c r="E11172" s="208" t="s">
        <v>147</v>
      </c>
      <c r="F11172" s="151" t="s">
        <v>0</v>
      </c>
      <c r="G11172" s="152">
        <v>136</v>
      </c>
      <c r="H11172" s="151" t="s">
        <v>16</v>
      </c>
      <c r="I11172" s="151" t="s">
        <v>18</v>
      </c>
    </row>
    <row r="11173" spans="1:9" x14ac:dyDescent="0.25">
      <c r="A11173" s="151">
        <v>1831</v>
      </c>
      <c r="B11173" s="151">
        <f>A11173+1</f>
        <v>1832</v>
      </c>
      <c r="C11173" s="151" t="s">
        <v>537</v>
      </c>
      <c r="D11173" s="151" t="s">
        <v>27</v>
      </c>
      <c r="E11173" s="208" t="s">
        <v>139</v>
      </c>
      <c r="F11173" s="151" t="s">
        <v>0</v>
      </c>
      <c r="G11173" s="152">
        <v>0</v>
      </c>
      <c r="H11173" s="151" t="s">
        <v>18</v>
      </c>
      <c r="I11173" s="151" t="s">
        <v>16</v>
      </c>
    </row>
    <row r="11174" spans="1:9" x14ac:dyDescent="0.25">
      <c r="A11174" s="151">
        <v>1831</v>
      </c>
      <c r="B11174" s="151">
        <f>A11174+1</f>
        <v>1832</v>
      </c>
      <c r="C11174" s="151" t="s">
        <v>537</v>
      </c>
      <c r="D11174" s="151" t="s">
        <v>27</v>
      </c>
      <c r="E11174" s="208" t="s">
        <v>132</v>
      </c>
      <c r="F11174" s="151" t="s">
        <v>0</v>
      </c>
      <c r="G11174" s="152">
        <v>134</v>
      </c>
      <c r="H11174" s="151" t="s">
        <v>18</v>
      </c>
      <c r="I11174" s="151" t="s">
        <v>16</v>
      </c>
    </row>
    <row r="11175" spans="1:9" x14ac:dyDescent="0.25">
      <c r="A11175" s="151">
        <v>1831</v>
      </c>
      <c r="B11175" s="151">
        <f>A11175+1</f>
        <v>1832</v>
      </c>
      <c r="C11175" s="151" t="s">
        <v>537</v>
      </c>
      <c r="D11175" s="151" t="s">
        <v>27</v>
      </c>
      <c r="E11175" s="208" t="s">
        <v>130</v>
      </c>
      <c r="F11175" s="151" t="s">
        <v>0</v>
      </c>
      <c r="G11175" s="152">
        <v>35</v>
      </c>
      <c r="H11175" s="151" t="s">
        <v>18</v>
      </c>
      <c r="I11175" s="151" t="s">
        <v>16</v>
      </c>
    </row>
    <row r="11176" spans="1:9" x14ac:dyDescent="0.25">
      <c r="A11176" s="151">
        <v>1831</v>
      </c>
      <c r="B11176" s="151">
        <f>A11176+1</f>
        <v>1832</v>
      </c>
      <c r="C11176" s="151" t="s">
        <v>537</v>
      </c>
      <c r="D11176" s="151" t="s">
        <v>27</v>
      </c>
      <c r="E11176" s="208" t="s">
        <v>143</v>
      </c>
      <c r="F11176" s="151" t="s">
        <v>0</v>
      </c>
      <c r="G11176" s="152">
        <v>68</v>
      </c>
      <c r="H11176" s="151" t="s">
        <v>18</v>
      </c>
      <c r="I11176" s="151" t="s">
        <v>16</v>
      </c>
    </row>
    <row r="11177" spans="1:9" x14ac:dyDescent="0.25">
      <c r="A11177" s="151">
        <v>1831</v>
      </c>
      <c r="B11177" s="151">
        <f>A11177+1</f>
        <v>1832</v>
      </c>
      <c r="C11177" s="151" t="s">
        <v>537</v>
      </c>
      <c r="D11177" s="151" t="s">
        <v>27</v>
      </c>
      <c r="E11177" s="208" t="s">
        <v>142</v>
      </c>
      <c r="F11177" s="151" t="s">
        <v>0</v>
      </c>
      <c r="G11177" s="152">
        <v>1474</v>
      </c>
      <c r="H11177" s="151" t="s">
        <v>18</v>
      </c>
      <c r="I11177" s="151" t="s">
        <v>16</v>
      </c>
    </row>
    <row r="11178" spans="1:9" x14ac:dyDescent="0.25">
      <c r="A11178" s="151">
        <v>1831</v>
      </c>
      <c r="B11178" s="151">
        <f>A11178+1</f>
        <v>1832</v>
      </c>
      <c r="C11178" s="151" t="s">
        <v>537</v>
      </c>
      <c r="D11178" s="151" t="s">
        <v>27</v>
      </c>
      <c r="E11178" s="208" t="s">
        <v>125</v>
      </c>
      <c r="F11178" s="151" t="s">
        <v>0</v>
      </c>
      <c r="G11178" s="152">
        <v>7675</v>
      </c>
      <c r="H11178" s="151" t="s">
        <v>18</v>
      </c>
      <c r="I11178" s="151" t="s">
        <v>16</v>
      </c>
    </row>
    <row r="11179" spans="1:9" x14ac:dyDescent="0.25">
      <c r="A11179" s="151">
        <v>1831</v>
      </c>
      <c r="B11179" s="151">
        <f>A11179+1</f>
        <v>1832</v>
      </c>
      <c r="C11179" s="151" t="s">
        <v>537</v>
      </c>
      <c r="D11179" s="151" t="s">
        <v>27</v>
      </c>
      <c r="E11179" s="208" t="s">
        <v>122</v>
      </c>
      <c r="F11179" s="151" t="s">
        <v>0</v>
      </c>
      <c r="G11179" s="152">
        <v>2530</v>
      </c>
      <c r="H11179" s="151" t="s">
        <v>18</v>
      </c>
      <c r="I11179" s="151" t="s">
        <v>16</v>
      </c>
    </row>
    <row r="11180" spans="1:9" x14ac:dyDescent="0.25">
      <c r="A11180" s="151">
        <v>1831</v>
      </c>
      <c r="B11180" s="151">
        <f>A11180+1</f>
        <v>1832</v>
      </c>
      <c r="C11180" s="151" t="s">
        <v>537</v>
      </c>
      <c r="D11180" s="151" t="s">
        <v>27</v>
      </c>
      <c r="E11180" s="208" t="s">
        <v>121</v>
      </c>
      <c r="F11180" s="151" t="s">
        <v>0</v>
      </c>
      <c r="G11180" s="152">
        <v>301</v>
      </c>
      <c r="H11180" s="151" t="s">
        <v>18</v>
      </c>
      <c r="I11180" s="151" t="s">
        <v>16</v>
      </c>
    </row>
    <row r="11181" spans="1:9" x14ac:dyDescent="0.25">
      <c r="A11181" s="151">
        <v>1831</v>
      </c>
      <c r="B11181" s="151">
        <f>A11181+1</f>
        <v>1832</v>
      </c>
      <c r="C11181" s="151" t="s">
        <v>537</v>
      </c>
      <c r="D11181" s="151" t="s">
        <v>27</v>
      </c>
      <c r="E11181" s="208" t="s">
        <v>127</v>
      </c>
      <c r="F11181" s="151" t="s">
        <v>0</v>
      </c>
      <c r="G11181" s="152">
        <v>73</v>
      </c>
      <c r="H11181" s="151" t="s">
        <v>18</v>
      </c>
      <c r="I11181" s="151" t="s">
        <v>16</v>
      </c>
    </row>
    <row r="11182" spans="1:9" x14ac:dyDescent="0.25">
      <c r="A11182" s="151">
        <v>1831</v>
      </c>
      <c r="B11182" s="151">
        <f>A11182+1</f>
        <v>1832</v>
      </c>
      <c r="C11182" s="151" t="s">
        <v>537</v>
      </c>
      <c r="D11182" s="151" t="s">
        <v>27</v>
      </c>
      <c r="E11182" s="208" t="s">
        <v>133</v>
      </c>
      <c r="F11182" s="151" t="s">
        <v>0</v>
      </c>
      <c r="G11182" s="152">
        <v>1177</v>
      </c>
      <c r="H11182" s="151" t="s">
        <v>18</v>
      </c>
      <c r="I11182" s="151" t="s">
        <v>16</v>
      </c>
    </row>
    <row r="11183" spans="1:9" x14ac:dyDescent="0.25">
      <c r="A11183" s="151">
        <v>1831</v>
      </c>
      <c r="B11183" s="151">
        <f>A11183+1</f>
        <v>1832</v>
      </c>
      <c r="C11183" s="151" t="s">
        <v>537</v>
      </c>
      <c r="D11183" s="151" t="s">
        <v>27</v>
      </c>
      <c r="E11183" s="208" t="s">
        <v>74</v>
      </c>
      <c r="F11183" s="151" t="s">
        <v>0</v>
      </c>
      <c r="G11183" s="152">
        <v>2139.4</v>
      </c>
      <c r="H11183" s="151" t="s">
        <v>18</v>
      </c>
      <c r="I11183" s="151" t="s">
        <v>16</v>
      </c>
    </row>
    <row r="11184" spans="1:9" x14ac:dyDescent="0.25">
      <c r="A11184" s="151">
        <v>1831</v>
      </c>
      <c r="B11184" s="151">
        <f>A11184+1</f>
        <v>1832</v>
      </c>
      <c r="C11184" s="151" t="s">
        <v>537</v>
      </c>
      <c r="D11184" s="151" t="s">
        <v>27</v>
      </c>
      <c r="E11184" s="208" t="s">
        <v>129</v>
      </c>
      <c r="F11184" s="151" t="s">
        <v>0</v>
      </c>
      <c r="G11184" s="152">
        <v>99.3</v>
      </c>
      <c r="H11184" s="151" t="s">
        <v>18</v>
      </c>
      <c r="I11184" s="151" t="s">
        <v>16</v>
      </c>
    </row>
    <row r="11185" spans="1:9" x14ac:dyDescent="0.25">
      <c r="A11185" s="151">
        <v>1831</v>
      </c>
      <c r="B11185" s="151">
        <f>A11185+1</f>
        <v>1832</v>
      </c>
      <c r="C11185" s="151" t="s">
        <v>537</v>
      </c>
      <c r="D11185" s="151" t="s">
        <v>27</v>
      </c>
      <c r="E11185" s="208" t="s">
        <v>141</v>
      </c>
      <c r="F11185" s="151" t="s">
        <v>0</v>
      </c>
      <c r="G11185" s="152">
        <v>160.65</v>
      </c>
      <c r="H11185" s="151" t="s">
        <v>18</v>
      </c>
      <c r="I11185" s="151" t="s">
        <v>16</v>
      </c>
    </row>
    <row r="11186" spans="1:9" x14ac:dyDescent="0.25">
      <c r="A11186" s="151">
        <v>1831</v>
      </c>
      <c r="B11186" s="151">
        <f>A11186+1</f>
        <v>1832</v>
      </c>
      <c r="C11186" s="151" t="s">
        <v>537</v>
      </c>
      <c r="D11186" s="151" t="s">
        <v>27</v>
      </c>
      <c r="E11186" s="208" t="s">
        <v>128</v>
      </c>
      <c r="F11186" s="151" t="s">
        <v>0</v>
      </c>
      <c r="G11186" s="152">
        <v>0</v>
      </c>
      <c r="H11186" s="151" t="s">
        <v>18</v>
      </c>
      <c r="I11186" s="151" t="s">
        <v>16</v>
      </c>
    </row>
    <row r="11187" spans="1:9" x14ac:dyDescent="0.25">
      <c r="A11187" s="151">
        <v>1831</v>
      </c>
      <c r="B11187" s="151">
        <f>A11187+1</f>
        <v>1832</v>
      </c>
      <c r="C11187" s="151" t="s">
        <v>537</v>
      </c>
      <c r="D11187" s="151" t="s">
        <v>27</v>
      </c>
      <c r="E11187" s="208" t="s">
        <v>135</v>
      </c>
      <c r="F11187" s="151" t="s">
        <v>0</v>
      </c>
      <c r="G11187" s="152">
        <v>5</v>
      </c>
      <c r="H11187" s="151" t="s">
        <v>18</v>
      </c>
      <c r="I11187" s="151" t="s">
        <v>16</v>
      </c>
    </row>
    <row r="11188" spans="1:9" x14ac:dyDescent="0.25">
      <c r="A11188" s="151">
        <v>1831</v>
      </c>
      <c r="B11188" s="151">
        <f>A11188+1</f>
        <v>1832</v>
      </c>
      <c r="C11188" s="151" t="s">
        <v>537</v>
      </c>
      <c r="D11188" s="151" t="s">
        <v>27</v>
      </c>
      <c r="E11188" s="208" t="s">
        <v>138</v>
      </c>
      <c r="F11188" s="151" t="s">
        <v>0</v>
      </c>
      <c r="G11188" s="152">
        <v>401</v>
      </c>
      <c r="H11188" s="151" t="s">
        <v>18</v>
      </c>
      <c r="I11188" s="151" t="s">
        <v>16</v>
      </c>
    </row>
    <row r="11189" spans="1:9" x14ac:dyDescent="0.25">
      <c r="A11189" s="151">
        <v>1831</v>
      </c>
      <c r="B11189" s="151">
        <f>A11189+1</f>
        <v>1832</v>
      </c>
      <c r="C11189" s="151" t="s">
        <v>537</v>
      </c>
      <c r="D11189" s="151" t="s">
        <v>27</v>
      </c>
      <c r="E11189" s="208" t="s">
        <v>134</v>
      </c>
      <c r="F11189" s="151" t="s">
        <v>0</v>
      </c>
      <c r="G11189" s="152">
        <v>1763</v>
      </c>
      <c r="H11189" s="151" t="s">
        <v>18</v>
      </c>
      <c r="I11189" s="151" t="s">
        <v>16</v>
      </c>
    </row>
    <row r="11190" spans="1:9" x14ac:dyDescent="0.25">
      <c r="A11190" s="151">
        <v>1831</v>
      </c>
      <c r="B11190" s="151">
        <f>A11190+1</f>
        <v>1832</v>
      </c>
      <c r="C11190" s="151" t="s">
        <v>537</v>
      </c>
      <c r="D11190" s="151" t="s">
        <v>26</v>
      </c>
      <c r="E11190" s="208" t="s">
        <v>34</v>
      </c>
      <c r="F11190" s="151" t="s">
        <v>0</v>
      </c>
      <c r="G11190" s="152">
        <v>31099</v>
      </c>
      <c r="H11190" s="151" t="s">
        <v>18</v>
      </c>
      <c r="I11190" s="151" t="s">
        <v>16</v>
      </c>
    </row>
    <row r="11191" spans="1:9" x14ac:dyDescent="0.25">
      <c r="A11191" s="151">
        <v>1831</v>
      </c>
      <c r="B11191" s="151">
        <f>A11191+1</f>
        <v>1832</v>
      </c>
      <c r="C11191" s="151" t="s">
        <v>537</v>
      </c>
      <c r="D11191" s="151" t="s">
        <v>26</v>
      </c>
      <c r="E11191" s="208" t="s">
        <v>63</v>
      </c>
      <c r="F11191" s="151" t="s">
        <v>0</v>
      </c>
      <c r="G11191" s="152">
        <v>4193</v>
      </c>
      <c r="H11191" s="151" t="s">
        <v>18</v>
      </c>
      <c r="I11191" s="151" t="s">
        <v>16</v>
      </c>
    </row>
    <row r="11192" spans="1:9" x14ac:dyDescent="0.25">
      <c r="A11192" s="151">
        <v>1831</v>
      </c>
      <c r="B11192" s="151">
        <f>A11192+1</f>
        <v>1832</v>
      </c>
      <c r="C11192" s="151" t="s">
        <v>537</v>
      </c>
      <c r="D11192" s="151" t="s">
        <v>26</v>
      </c>
      <c r="E11192" s="208" t="s">
        <v>62</v>
      </c>
      <c r="F11192" s="151" t="s">
        <v>0</v>
      </c>
      <c r="G11192" s="152">
        <v>7000</v>
      </c>
      <c r="H11192" s="151" t="s">
        <v>18</v>
      </c>
      <c r="I11192" s="151" t="s">
        <v>16</v>
      </c>
    </row>
    <row r="11193" spans="1:9" x14ac:dyDescent="0.25">
      <c r="A11193" s="151">
        <v>1831</v>
      </c>
      <c r="B11193" s="151">
        <f>A11193+1</f>
        <v>1832</v>
      </c>
      <c r="C11193" s="151" t="s">
        <v>537</v>
      </c>
      <c r="D11193" s="151" t="s">
        <v>26</v>
      </c>
      <c r="E11193" s="208" t="s">
        <v>55</v>
      </c>
      <c r="F11193" s="151" t="s">
        <v>0</v>
      </c>
      <c r="G11193" s="152">
        <v>0</v>
      </c>
      <c r="H11193" s="151" t="s">
        <v>18</v>
      </c>
      <c r="I11193" s="151" t="s">
        <v>16</v>
      </c>
    </row>
    <row r="11194" spans="1:9" x14ac:dyDescent="0.25">
      <c r="A11194" s="151">
        <v>1831</v>
      </c>
      <c r="B11194" s="151">
        <f>A11194+1</f>
        <v>1832</v>
      </c>
      <c r="C11194" s="151" t="s">
        <v>537</v>
      </c>
      <c r="D11194" s="151" t="s">
        <v>26</v>
      </c>
      <c r="E11194" s="208" t="s">
        <v>36</v>
      </c>
      <c r="F11194" s="151" t="s">
        <v>0</v>
      </c>
      <c r="G11194" s="152">
        <v>536</v>
      </c>
      <c r="H11194" s="151" t="s">
        <v>18</v>
      </c>
      <c r="I11194" s="151" t="s">
        <v>16</v>
      </c>
    </row>
    <row r="11195" spans="1:9" x14ac:dyDescent="0.25">
      <c r="A11195" s="151">
        <v>1831</v>
      </c>
      <c r="B11195" s="151">
        <f>A11195+1</f>
        <v>1832</v>
      </c>
      <c r="C11195" s="151" t="s">
        <v>537</v>
      </c>
      <c r="D11195" s="151" t="s">
        <v>26</v>
      </c>
      <c r="E11195" s="208" t="s">
        <v>35</v>
      </c>
      <c r="F11195" s="151" t="s">
        <v>0</v>
      </c>
      <c r="G11195" s="152">
        <v>0</v>
      </c>
      <c r="H11195" s="151" t="s">
        <v>18</v>
      </c>
      <c r="I11195" s="151" t="s">
        <v>16</v>
      </c>
    </row>
    <row r="11196" spans="1:9" x14ac:dyDescent="0.25">
      <c r="A11196" s="151">
        <v>1831</v>
      </c>
      <c r="B11196" s="151">
        <f>A11196+1</f>
        <v>1832</v>
      </c>
      <c r="C11196" s="151" t="s">
        <v>537</v>
      </c>
      <c r="D11196" s="151" t="s">
        <v>26</v>
      </c>
      <c r="E11196" s="208" t="s">
        <v>40</v>
      </c>
      <c r="F11196" s="151" t="s">
        <v>0</v>
      </c>
      <c r="G11196" s="152">
        <v>0</v>
      </c>
      <c r="H11196" s="151" t="s">
        <v>18</v>
      </c>
      <c r="I11196" s="151" t="s">
        <v>16</v>
      </c>
    </row>
    <row r="11197" spans="1:9" x14ac:dyDescent="0.25">
      <c r="A11197" s="151">
        <v>1831</v>
      </c>
      <c r="B11197" s="151">
        <f>A11197+1</f>
        <v>1832</v>
      </c>
      <c r="C11197" s="151" t="s">
        <v>537</v>
      </c>
      <c r="D11197" s="151" t="s">
        <v>26</v>
      </c>
      <c r="E11197" s="208" t="s">
        <v>96</v>
      </c>
      <c r="F11197" s="151" t="s">
        <v>0</v>
      </c>
      <c r="G11197" s="152">
        <v>870</v>
      </c>
      <c r="H11197" s="151" t="s">
        <v>16</v>
      </c>
      <c r="I11197" s="151" t="s">
        <v>21</v>
      </c>
    </row>
    <row r="11198" spans="1:9" x14ac:dyDescent="0.25">
      <c r="A11198" s="151">
        <v>1831</v>
      </c>
      <c r="B11198" s="151">
        <f>A11198+1</f>
        <v>1832</v>
      </c>
      <c r="C11198" s="151" t="s">
        <v>537</v>
      </c>
      <c r="D11198" s="151" t="s">
        <v>26</v>
      </c>
      <c r="E11198" s="208" t="s">
        <v>98</v>
      </c>
      <c r="F11198" s="151" t="s">
        <v>0</v>
      </c>
      <c r="G11198" s="152">
        <v>11400</v>
      </c>
      <c r="H11198" s="151" t="s">
        <v>16</v>
      </c>
      <c r="I11198" s="151" t="s">
        <v>21</v>
      </c>
    </row>
    <row r="11199" spans="1:9" x14ac:dyDescent="0.25">
      <c r="A11199" s="151">
        <v>1831</v>
      </c>
      <c r="B11199" s="151">
        <f>A11199+1</f>
        <v>1832</v>
      </c>
      <c r="C11199" s="151" t="s">
        <v>537</v>
      </c>
      <c r="D11199" s="151" t="s">
        <v>26</v>
      </c>
      <c r="E11199" s="208" t="s">
        <v>442</v>
      </c>
      <c r="F11199" s="151" t="s">
        <v>0</v>
      </c>
      <c r="G11199" s="152">
        <v>205</v>
      </c>
      <c r="H11199" s="151" t="s">
        <v>16</v>
      </c>
      <c r="I11199" s="151" t="s">
        <v>21</v>
      </c>
    </row>
    <row r="11200" spans="1:9" x14ac:dyDescent="0.25">
      <c r="A11200" s="151">
        <v>1831</v>
      </c>
      <c r="B11200" s="151">
        <f>A11200+1</f>
        <v>1832</v>
      </c>
      <c r="C11200" s="151" t="s">
        <v>537</v>
      </c>
      <c r="D11200" s="151" t="s">
        <v>26</v>
      </c>
      <c r="E11200" s="208" t="s">
        <v>105</v>
      </c>
      <c r="F11200" s="151" t="s">
        <v>0</v>
      </c>
      <c r="G11200" s="152">
        <v>6300</v>
      </c>
      <c r="H11200" s="151" t="s">
        <v>16</v>
      </c>
      <c r="I11200" s="151" t="s">
        <v>21</v>
      </c>
    </row>
    <row r="11201" spans="1:9" x14ac:dyDescent="0.25">
      <c r="A11201" s="151">
        <v>1831</v>
      </c>
      <c r="B11201" s="151">
        <f>A11201+1</f>
        <v>1832</v>
      </c>
      <c r="C11201" s="151" t="s">
        <v>537</v>
      </c>
      <c r="D11201" s="151" t="s">
        <v>26</v>
      </c>
      <c r="E11201" s="208" t="s">
        <v>106</v>
      </c>
      <c r="F11201" s="151" t="s">
        <v>0</v>
      </c>
      <c r="G11201" s="152">
        <v>316</v>
      </c>
      <c r="H11201" s="151" t="s">
        <v>16</v>
      </c>
      <c r="I11201" s="151" t="s">
        <v>21</v>
      </c>
    </row>
    <row r="11202" spans="1:9" x14ac:dyDescent="0.25">
      <c r="A11202" s="151">
        <v>1831</v>
      </c>
      <c r="B11202" s="151">
        <f>A11202+1</f>
        <v>1832</v>
      </c>
      <c r="C11202" s="151" t="s">
        <v>537</v>
      </c>
      <c r="D11202" s="151" t="s">
        <v>26</v>
      </c>
      <c r="E11202" s="208" t="s">
        <v>101</v>
      </c>
      <c r="F11202" s="151" t="s">
        <v>0</v>
      </c>
      <c r="G11202" s="152">
        <v>21000</v>
      </c>
      <c r="H11202" s="151" t="s">
        <v>16</v>
      </c>
      <c r="I11202" s="151" t="s">
        <v>21</v>
      </c>
    </row>
    <row r="11203" spans="1:9" x14ac:dyDescent="0.25">
      <c r="A11203" s="151">
        <v>1831</v>
      </c>
      <c r="B11203" s="151">
        <f>A11203+1</f>
        <v>1832</v>
      </c>
      <c r="C11203" s="151" t="s">
        <v>537</v>
      </c>
      <c r="D11203" s="151" t="s">
        <v>26</v>
      </c>
      <c r="E11203" s="208" t="s">
        <v>75</v>
      </c>
      <c r="F11203" s="151" t="s">
        <v>0</v>
      </c>
      <c r="G11203" s="152">
        <v>138574</v>
      </c>
      <c r="H11203" s="151" t="s">
        <v>16</v>
      </c>
      <c r="I11203" s="151" t="s">
        <v>21</v>
      </c>
    </row>
    <row r="11204" spans="1:9" x14ac:dyDescent="0.25">
      <c r="A11204" s="151">
        <v>1831</v>
      </c>
      <c r="B11204" s="151">
        <f>A11204+1</f>
        <v>1832</v>
      </c>
      <c r="C11204" s="151" t="s">
        <v>537</v>
      </c>
      <c r="D11204" s="151" t="s">
        <v>26</v>
      </c>
      <c r="E11204" s="208" t="s">
        <v>66</v>
      </c>
      <c r="F11204" s="151" t="s">
        <v>0</v>
      </c>
      <c r="G11204" s="152">
        <v>107714</v>
      </c>
      <c r="H11204" s="151" t="s">
        <v>16</v>
      </c>
      <c r="I11204" s="151" t="s">
        <v>21</v>
      </c>
    </row>
    <row r="11205" spans="1:9" x14ac:dyDescent="0.25">
      <c r="A11205" s="151">
        <v>1831</v>
      </c>
      <c r="B11205" s="151">
        <f>A11205+1</f>
        <v>1832</v>
      </c>
      <c r="C11205" s="151" t="s">
        <v>537</v>
      </c>
      <c r="D11205" s="151" t="s">
        <v>26</v>
      </c>
      <c r="E11205" s="208" t="s">
        <v>28</v>
      </c>
      <c r="F11205" s="151" t="s">
        <v>0</v>
      </c>
      <c r="G11205" s="152">
        <v>902</v>
      </c>
      <c r="H11205" s="151" t="s">
        <v>16</v>
      </c>
      <c r="I11205" s="151" t="s">
        <v>21</v>
      </c>
    </row>
    <row r="11206" spans="1:9" x14ac:dyDescent="0.25">
      <c r="A11206" s="151">
        <v>1831</v>
      </c>
      <c r="B11206" s="151">
        <f>A11206+1</f>
        <v>1832</v>
      </c>
      <c r="C11206" s="151" t="s">
        <v>537</v>
      </c>
      <c r="D11206" s="151" t="s">
        <v>26</v>
      </c>
      <c r="E11206" s="208" t="s">
        <v>89</v>
      </c>
      <c r="F11206" s="151" t="s">
        <v>0</v>
      </c>
      <c r="G11206" s="152">
        <v>1333</v>
      </c>
      <c r="H11206" s="151" t="s">
        <v>16</v>
      </c>
      <c r="I11206" s="151" t="s">
        <v>21</v>
      </c>
    </row>
    <row r="11207" spans="1:9" x14ac:dyDescent="0.25">
      <c r="A11207" s="151">
        <v>1831</v>
      </c>
      <c r="B11207" s="151">
        <f>A11207+1</f>
        <v>1832</v>
      </c>
      <c r="C11207" s="151" t="s">
        <v>537</v>
      </c>
      <c r="D11207" s="151" t="s">
        <v>26</v>
      </c>
      <c r="E11207" s="208" t="s">
        <v>45</v>
      </c>
      <c r="F11207" s="151" t="s">
        <v>0</v>
      </c>
      <c r="G11207" s="152">
        <v>3544</v>
      </c>
      <c r="H11207" s="151" t="s">
        <v>16</v>
      </c>
      <c r="I11207" s="151" t="s">
        <v>21</v>
      </c>
    </row>
    <row r="11208" spans="1:9" x14ac:dyDescent="0.25">
      <c r="A11208" s="151">
        <v>1831</v>
      </c>
      <c r="B11208" s="151">
        <f>A11208+1</f>
        <v>1832</v>
      </c>
      <c r="C11208" s="151" t="s">
        <v>537</v>
      </c>
      <c r="D11208" s="151" t="s">
        <v>26</v>
      </c>
      <c r="E11208" s="208" t="s">
        <v>48</v>
      </c>
      <c r="F11208" s="151" t="s">
        <v>0</v>
      </c>
      <c r="G11208" s="152">
        <v>5902</v>
      </c>
      <c r="H11208" s="151" t="s">
        <v>16</v>
      </c>
      <c r="I11208" s="151" t="s">
        <v>21</v>
      </c>
    </row>
    <row r="11209" spans="1:9" x14ac:dyDescent="0.25">
      <c r="A11209" s="151">
        <v>1831</v>
      </c>
      <c r="B11209" s="151">
        <f>A11209+1</f>
        <v>1832</v>
      </c>
      <c r="C11209" s="151" t="s">
        <v>537</v>
      </c>
      <c r="D11209" s="151" t="s">
        <v>26</v>
      </c>
      <c r="E11209" s="208" t="s">
        <v>102</v>
      </c>
      <c r="F11209" s="151" t="s">
        <v>0</v>
      </c>
      <c r="G11209" s="152">
        <v>9565</v>
      </c>
      <c r="H11209" s="151" t="s">
        <v>16</v>
      </c>
      <c r="I11209" s="151" t="s">
        <v>21</v>
      </c>
    </row>
    <row r="11210" spans="1:9" x14ac:dyDescent="0.25">
      <c r="A11210" s="151">
        <v>1831</v>
      </c>
      <c r="B11210" s="151">
        <f>A11210+1</f>
        <v>1832</v>
      </c>
      <c r="C11210" s="151" t="s">
        <v>537</v>
      </c>
      <c r="D11210" s="151" t="s">
        <v>26</v>
      </c>
      <c r="E11210" s="208" t="s">
        <v>330</v>
      </c>
      <c r="F11210" s="151" t="s">
        <v>0</v>
      </c>
      <c r="G11210" s="152">
        <v>11</v>
      </c>
      <c r="H11210" s="151" t="s">
        <v>16</v>
      </c>
      <c r="I11210" s="151" t="s">
        <v>21</v>
      </c>
    </row>
    <row r="11211" spans="1:9" x14ac:dyDescent="0.25">
      <c r="A11211" s="151">
        <v>1831</v>
      </c>
      <c r="B11211" s="151">
        <f>A11211+1</f>
        <v>1832</v>
      </c>
      <c r="C11211" s="151" t="s">
        <v>537</v>
      </c>
      <c r="D11211" s="151" t="s">
        <v>26</v>
      </c>
      <c r="E11211" s="208" t="s">
        <v>331</v>
      </c>
      <c r="F11211" s="151" t="s">
        <v>0</v>
      </c>
      <c r="G11211" s="152">
        <v>14</v>
      </c>
      <c r="H11211" s="151" t="s">
        <v>16</v>
      </c>
      <c r="I11211" s="151" t="s">
        <v>21</v>
      </c>
    </row>
    <row r="11212" spans="1:9" x14ac:dyDescent="0.25">
      <c r="A11212" s="151">
        <v>1831</v>
      </c>
      <c r="B11212" s="151">
        <f>A11212+1</f>
        <v>1832</v>
      </c>
      <c r="C11212" s="151" t="s">
        <v>537</v>
      </c>
      <c r="D11212" s="151" t="s">
        <v>26</v>
      </c>
      <c r="E11212" s="208" t="s">
        <v>332</v>
      </c>
      <c r="F11212" s="151" t="s">
        <v>0</v>
      </c>
      <c r="G11212" s="152">
        <v>0</v>
      </c>
      <c r="H11212" s="151" t="s">
        <v>16</v>
      </c>
      <c r="I11212" s="151" t="s">
        <v>21</v>
      </c>
    </row>
    <row r="11213" spans="1:9" x14ac:dyDescent="0.25">
      <c r="A11213" s="151">
        <v>1831</v>
      </c>
      <c r="B11213" s="151">
        <f>A11213+1</f>
        <v>1832</v>
      </c>
      <c r="C11213" s="151" t="s">
        <v>537</v>
      </c>
      <c r="D11213" s="151" t="s">
        <v>26</v>
      </c>
      <c r="E11213" s="208" t="s">
        <v>333</v>
      </c>
      <c r="F11213" s="151" t="s">
        <v>0</v>
      </c>
      <c r="G11213" s="152">
        <v>0</v>
      </c>
      <c r="H11213" s="151" t="s">
        <v>16</v>
      </c>
      <c r="I11213" s="151" t="s">
        <v>21</v>
      </c>
    </row>
    <row r="11214" spans="1:9" x14ac:dyDescent="0.25">
      <c r="A11214" s="151">
        <v>1831</v>
      </c>
      <c r="B11214" s="151">
        <f>A11214+1</f>
        <v>1832</v>
      </c>
      <c r="C11214" s="151" t="s">
        <v>537</v>
      </c>
      <c r="D11214" s="151" t="s">
        <v>27</v>
      </c>
      <c r="E11214" s="208" t="s">
        <v>155</v>
      </c>
      <c r="F11214" s="151" t="s">
        <v>1</v>
      </c>
      <c r="G11214" s="152">
        <v>647</v>
      </c>
      <c r="H11214" s="151" t="s">
        <v>16</v>
      </c>
      <c r="I11214" s="151" t="s">
        <v>21</v>
      </c>
    </row>
    <row r="11215" spans="1:9" x14ac:dyDescent="0.25">
      <c r="A11215" s="151">
        <v>1831</v>
      </c>
      <c r="B11215" s="151">
        <f>A11215+1</f>
        <v>1832</v>
      </c>
      <c r="C11215" s="151" t="s">
        <v>537</v>
      </c>
      <c r="D11215" s="151" t="s">
        <v>27</v>
      </c>
      <c r="E11215" s="208" t="s">
        <v>156</v>
      </c>
      <c r="F11215" s="151" t="s">
        <v>1</v>
      </c>
      <c r="G11215" s="152">
        <v>85</v>
      </c>
      <c r="H11215" s="151" t="s">
        <v>16</v>
      </c>
      <c r="I11215" s="151" t="s">
        <v>21</v>
      </c>
    </row>
    <row r="11216" spans="1:9" x14ac:dyDescent="0.25">
      <c r="A11216" s="151">
        <v>1831</v>
      </c>
      <c r="B11216" s="151">
        <f>A11216+1</f>
        <v>1832</v>
      </c>
      <c r="C11216" s="151" t="s">
        <v>537</v>
      </c>
      <c r="D11216" s="151" t="s">
        <v>27</v>
      </c>
      <c r="E11216" s="208" t="s">
        <v>154</v>
      </c>
      <c r="F11216" s="151" t="s">
        <v>1</v>
      </c>
      <c r="G11216" s="152">
        <v>220</v>
      </c>
      <c r="H11216" s="151" t="s">
        <v>16</v>
      </c>
      <c r="I11216" s="151" t="s">
        <v>21</v>
      </c>
    </row>
    <row r="11217" spans="1:9" x14ac:dyDescent="0.25">
      <c r="A11217" s="151">
        <v>1831</v>
      </c>
      <c r="B11217" s="151">
        <f>A11217+1</f>
        <v>1832</v>
      </c>
      <c r="C11217" s="151" t="s">
        <v>537</v>
      </c>
      <c r="D11217" s="151" t="s">
        <v>27</v>
      </c>
      <c r="E11217" s="208" t="s">
        <v>150</v>
      </c>
      <c r="F11217" s="151" t="s">
        <v>1</v>
      </c>
      <c r="G11217" s="152">
        <v>0</v>
      </c>
      <c r="H11217" s="151" t="s">
        <v>16</v>
      </c>
      <c r="I11217" s="151" t="s">
        <v>21</v>
      </c>
    </row>
    <row r="11218" spans="1:9" x14ac:dyDescent="0.25">
      <c r="A11218" s="151">
        <v>1831</v>
      </c>
      <c r="B11218" s="151">
        <f>A11218+1</f>
        <v>1832</v>
      </c>
      <c r="C11218" s="151" t="s">
        <v>537</v>
      </c>
      <c r="D11218" s="151" t="s">
        <v>27</v>
      </c>
      <c r="E11218" s="208" t="s">
        <v>148</v>
      </c>
      <c r="F11218" s="151" t="s">
        <v>1</v>
      </c>
      <c r="G11218" s="152">
        <v>29</v>
      </c>
      <c r="H11218" s="151" t="s">
        <v>16</v>
      </c>
      <c r="I11218" s="151" t="s">
        <v>21</v>
      </c>
    </row>
    <row r="11219" spans="1:9" x14ac:dyDescent="0.25">
      <c r="A11219" s="151">
        <v>1831</v>
      </c>
      <c r="B11219" s="151">
        <f>A11219+1</f>
        <v>1832</v>
      </c>
      <c r="C11219" s="151" t="s">
        <v>537</v>
      </c>
      <c r="D11219" s="151" t="s">
        <v>27</v>
      </c>
      <c r="E11219" s="208" t="s">
        <v>147</v>
      </c>
      <c r="F11219" s="151" t="s">
        <v>1</v>
      </c>
      <c r="G11219" s="152">
        <v>0</v>
      </c>
      <c r="H11219" s="151" t="s">
        <v>16</v>
      </c>
      <c r="I11219" s="151" t="s">
        <v>21</v>
      </c>
    </row>
    <row r="11220" spans="1:9" x14ac:dyDescent="0.25">
      <c r="A11220" s="151">
        <v>1831</v>
      </c>
      <c r="B11220" s="151">
        <f>A11220+1</f>
        <v>1832</v>
      </c>
      <c r="C11220" s="151" t="s">
        <v>537</v>
      </c>
      <c r="D11220" s="151" t="s">
        <v>27</v>
      </c>
      <c r="E11220" s="208" t="s">
        <v>139</v>
      </c>
      <c r="F11220" s="151" t="s">
        <v>1</v>
      </c>
      <c r="G11220" s="152">
        <v>0</v>
      </c>
      <c r="H11220" s="151" t="s">
        <v>21</v>
      </c>
      <c r="I11220" s="151" t="s">
        <v>16</v>
      </c>
    </row>
    <row r="11221" spans="1:9" x14ac:dyDescent="0.25">
      <c r="A11221" s="151">
        <v>1831</v>
      </c>
      <c r="B11221" s="151">
        <f>A11221+1</f>
        <v>1832</v>
      </c>
      <c r="C11221" s="151" t="s">
        <v>537</v>
      </c>
      <c r="D11221" s="151" t="s">
        <v>27</v>
      </c>
      <c r="E11221" s="208" t="s">
        <v>132</v>
      </c>
      <c r="F11221" s="151" t="s">
        <v>1</v>
      </c>
      <c r="G11221" s="152">
        <v>0</v>
      </c>
      <c r="H11221" s="151" t="s">
        <v>21</v>
      </c>
      <c r="I11221" s="151" t="s">
        <v>16</v>
      </c>
    </row>
    <row r="11222" spans="1:9" x14ac:dyDescent="0.25">
      <c r="A11222" s="151">
        <v>1831</v>
      </c>
      <c r="B11222" s="151">
        <f>A11222+1</f>
        <v>1832</v>
      </c>
      <c r="C11222" s="151" t="s">
        <v>537</v>
      </c>
      <c r="D11222" s="151" t="s">
        <v>27</v>
      </c>
      <c r="E11222" s="208" t="s">
        <v>130</v>
      </c>
      <c r="F11222" s="151" t="s">
        <v>1</v>
      </c>
      <c r="G11222" s="152">
        <v>0</v>
      </c>
      <c r="H11222" s="151" t="s">
        <v>21</v>
      </c>
      <c r="I11222" s="151" t="s">
        <v>16</v>
      </c>
    </row>
    <row r="11223" spans="1:9" x14ac:dyDescent="0.25">
      <c r="A11223" s="151">
        <v>1831</v>
      </c>
      <c r="B11223" s="151">
        <f>A11223+1</f>
        <v>1832</v>
      </c>
      <c r="C11223" s="151" t="s">
        <v>537</v>
      </c>
      <c r="D11223" s="151" t="s">
        <v>27</v>
      </c>
      <c r="E11223" s="208" t="s">
        <v>143</v>
      </c>
      <c r="F11223" s="151" t="s">
        <v>1</v>
      </c>
      <c r="G11223" s="152">
        <v>0</v>
      </c>
      <c r="H11223" s="151" t="s">
        <v>21</v>
      </c>
      <c r="I11223" s="151" t="s">
        <v>16</v>
      </c>
    </row>
    <row r="11224" spans="1:9" x14ac:dyDescent="0.25">
      <c r="A11224" s="151">
        <v>1831</v>
      </c>
      <c r="B11224" s="151">
        <f>A11224+1</f>
        <v>1832</v>
      </c>
      <c r="C11224" s="151" t="s">
        <v>537</v>
      </c>
      <c r="D11224" s="151" t="s">
        <v>27</v>
      </c>
      <c r="E11224" s="208" t="s">
        <v>142</v>
      </c>
      <c r="F11224" s="151" t="s">
        <v>1</v>
      </c>
      <c r="G11224" s="152">
        <v>0</v>
      </c>
      <c r="H11224" s="151" t="s">
        <v>21</v>
      </c>
      <c r="I11224" s="151" t="s">
        <v>16</v>
      </c>
    </row>
    <row r="11225" spans="1:9" x14ac:dyDescent="0.25">
      <c r="A11225" s="151">
        <v>1831</v>
      </c>
      <c r="B11225" s="151">
        <f>A11225+1</f>
        <v>1832</v>
      </c>
      <c r="C11225" s="151" t="s">
        <v>537</v>
      </c>
      <c r="D11225" s="151" t="s">
        <v>27</v>
      </c>
      <c r="E11225" s="208" t="s">
        <v>125</v>
      </c>
      <c r="F11225" s="151" t="s">
        <v>1</v>
      </c>
      <c r="G11225" s="152">
        <v>7</v>
      </c>
      <c r="H11225" s="151" t="s">
        <v>21</v>
      </c>
      <c r="I11225" s="151" t="s">
        <v>16</v>
      </c>
    </row>
    <row r="11226" spans="1:9" x14ac:dyDescent="0.25">
      <c r="A11226" s="151">
        <v>1831</v>
      </c>
      <c r="B11226" s="151">
        <f>A11226+1</f>
        <v>1832</v>
      </c>
      <c r="C11226" s="151" t="s">
        <v>537</v>
      </c>
      <c r="D11226" s="151" t="s">
        <v>27</v>
      </c>
      <c r="E11226" s="208" t="s">
        <v>122</v>
      </c>
      <c r="F11226" s="151" t="s">
        <v>1</v>
      </c>
      <c r="G11226" s="152">
        <v>108</v>
      </c>
      <c r="H11226" s="151" t="s">
        <v>21</v>
      </c>
      <c r="I11226" s="151" t="s">
        <v>16</v>
      </c>
    </row>
    <row r="11227" spans="1:9" x14ac:dyDescent="0.25">
      <c r="A11227" s="151">
        <v>1831</v>
      </c>
      <c r="B11227" s="151">
        <f>A11227+1</f>
        <v>1832</v>
      </c>
      <c r="C11227" s="151" t="s">
        <v>537</v>
      </c>
      <c r="D11227" s="151" t="s">
        <v>27</v>
      </c>
      <c r="E11227" s="208" t="s">
        <v>121</v>
      </c>
      <c r="F11227" s="151" t="s">
        <v>1</v>
      </c>
      <c r="G11227" s="152">
        <v>0</v>
      </c>
      <c r="H11227" s="151" t="s">
        <v>21</v>
      </c>
      <c r="I11227" s="151" t="s">
        <v>16</v>
      </c>
    </row>
    <row r="11228" spans="1:9" x14ac:dyDescent="0.25">
      <c r="A11228" s="151">
        <v>1831</v>
      </c>
      <c r="B11228" s="151">
        <f>A11228+1</f>
        <v>1832</v>
      </c>
      <c r="C11228" s="151" t="s">
        <v>537</v>
      </c>
      <c r="D11228" s="151" t="s">
        <v>27</v>
      </c>
      <c r="E11228" s="208" t="s">
        <v>127</v>
      </c>
      <c r="F11228" s="151" t="s">
        <v>1</v>
      </c>
      <c r="G11228" s="152">
        <v>0</v>
      </c>
      <c r="H11228" s="151" t="s">
        <v>21</v>
      </c>
      <c r="I11228" s="151" t="s">
        <v>16</v>
      </c>
    </row>
    <row r="11229" spans="1:9" x14ac:dyDescent="0.25">
      <c r="A11229" s="151">
        <v>1831</v>
      </c>
      <c r="B11229" s="151">
        <f>A11229+1</f>
        <v>1832</v>
      </c>
      <c r="C11229" s="151" t="s">
        <v>537</v>
      </c>
      <c r="D11229" s="151" t="s">
        <v>27</v>
      </c>
      <c r="E11229" s="208" t="s">
        <v>133</v>
      </c>
      <c r="F11229" s="151" t="s">
        <v>1</v>
      </c>
      <c r="G11229" s="152">
        <v>237</v>
      </c>
      <c r="H11229" s="151" t="s">
        <v>21</v>
      </c>
      <c r="I11229" s="151" t="s">
        <v>16</v>
      </c>
    </row>
    <row r="11230" spans="1:9" x14ac:dyDescent="0.25">
      <c r="A11230" s="151">
        <v>1831</v>
      </c>
      <c r="B11230" s="151">
        <f>A11230+1</f>
        <v>1832</v>
      </c>
      <c r="C11230" s="151" t="s">
        <v>537</v>
      </c>
      <c r="D11230" s="151" t="s">
        <v>27</v>
      </c>
      <c r="E11230" s="208" t="s">
        <v>74</v>
      </c>
      <c r="F11230" s="151" t="s">
        <v>1</v>
      </c>
      <c r="G11230" s="152">
        <v>122.85</v>
      </c>
      <c r="H11230" s="151" t="s">
        <v>21</v>
      </c>
      <c r="I11230" s="151" t="s">
        <v>16</v>
      </c>
    </row>
    <row r="11231" spans="1:9" x14ac:dyDescent="0.25">
      <c r="A11231" s="151">
        <v>1831</v>
      </c>
      <c r="B11231" s="151">
        <f>A11231+1</f>
        <v>1832</v>
      </c>
      <c r="C11231" s="151" t="s">
        <v>537</v>
      </c>
      <c r="D11231" s="151" t="s">
        <v>27</v>
      </c>
      <c r="E11231" s="208" t="s">
        <v>129</v>
      </c>
      <c r="F11231" s="151" t="s">
        <v>1</v>
      </c>
      <c r="G11231" s="152">
        <v>0</v>
      </c>
      <c r="H11231" s="151" t="s">
        <v>21</v>
      </c>
      <c r="I11231" s="151" t="s">
        <v>16</v>
      </c>
    </row>
    <row r="11232" spans="1:9" x14ac:dyDescent="0.25">
      <c r="A11232" s="151">
        <v>1831</v>
      </c>
      <c r="B11232" s="151">
        <f>A11232+1</f>
        <v>1832</v>
      </c>
      <c r="C11232" s="151" t="s">
        <v>537</v>
      </c>
      <c r="D11232" s="151" t="s">
        <v>27</v>
      </c>
      <c r="E11232" s="208" t="s">
        <v>141</v>
      </c>
      <c r="F11232" s="151" t="s">
        <v>1</v>
      </c>
      <c r="G11232" s="152">
        <v>0</v>
      </c>
      <c r="H11232" s="151" t="s">
        <v>21</v>
      </c>
      <c r="I11232" s="151" t="s">
        <v>16</v>
      </c>
    </row>
    <row r="11233" spans="1:9" x14ac:dyDescent="0.25">
      <c r="A11233" s="151">
        <v>1831</v>
      </c>
      <c r="B11233" s="151">
        <f>A11233+1</f>
        <v>1832</v>
      </c>
      <c r="C11233" s="151" t="s">
        <v>537</v>
      </c>
      <c r="D11233" s="151" t="s">
        <v>27</v>
      </c>
      <c r="E11233" s="208" t="s">
        <v>128</v>
      </c>
      <c r="F11233" s="151" t="s">
        <v>1</v>
      </c>
      <c r="G11233" s="152">
        <v>0</v>
      </c>
      <c r="H11233" s="151" t="s">
        <v>21</v>
      </c>
      <c r="I11233" s="151" t="s">
        <v>16</v>
      </c>
    </row>
    <row r="11234" spans="1:9" x14ac:dyDescent="0.25">
      <c r="A11234" s="151">
        <v>1831</v>
      </c>
      <c r="B11234" s="151">
        <f>A11234+1</f>
        <v>1832</v>
      </c>
      <c r="C11234" s="151" t="s">
        <v>537</v>
      </c>
      <c r="D11234" s="151" t="s">
        <v>27</v>
      </c>
      <c r="E11234" s="208" t="s">
        <v>135</v>
      </c>
      <c r="F11234" s="151" t="s">
        <v>1</v>
      </c>
      <c r="G11234" s="152">
        <v>5.15</v>
      </c>
      <c r="H11234" s="151" t="s">
        <v>21</v>
      </c>
      <c r="I11234" s="151" t="s">
        <v>16</v>
      </c>
    </row>
    <row r="11235" spans="1:9" x14ac:dyDescent="0.25">
      <c r="A11235" s="151">
        <v>1831</v>
      </c>
      <c r="B11235" s="151">
        <f>A11235+1</f>
        <v>1832</v>
      </c>
      <c r="C11235" s="151" t="s">
        <v>537</v>
      </c>
      <c r="D11235" s="151" t="s">
        <v>27</v>
      </c>
      <c r="E11235" s="208" t="s">
        <v>138</v>
      </c>
      <c r="F11235" s="151" t="s">
        <v>1</v>
      </c>
      <c r="G11235" s="152">
        <v>0</v>
      </c>
      <c r="H11235" s="151" t="s">
        <v>21</v>
      </c>
      <c r="I11235" s="151" t="s">
        <v>16</v>
      </c>
    </row>
    <row r="11236" spans="1:9" x14ac:dyDescent="0.25">
      <c r="A11236" s="151">
        <v>1831</v>
      </c>
      <c r="B11236" s="151">
        <f>A11236+1</f>
        <v>1832</v>
      </c>
      <c r="C11236" s="151" t="s">
        <v>537</v>
      </c>
      <c r="D11236" s="151" t="s">
        <v>27</v>
      </c>
      <c r="E11236" s="208" t="s">
        <v>134</v>
      </c>
      <c r="F11236" s="151" t="s">
        <v>1</v>
      </c>
      <c r="G11236" s="152">
        <v>0</v>
      </c>
      <c r="H11236" s="151" t="s">
        <v>21</v>
      </c>
      <c r="I11236" s="151" t="s">
        <v>16</v>
      </c>
    </row>
    <row r="11237" spans="1:9" x14ac:dyDescent="0.25">
      <c r="A11237" s="151">
        <v>1831</v>
      </c>
      <c r="B11237" s="151">
        <f>A11237+1</f>
        <v>1832</v>
      </c>
      <c r="C11237" s="151" t="s">
        <v>537</v>
      </c>
      <c r="D11237" s="151" t="s">
        <v>26</v>
      </c>
      <c r="E11237" s="208" t="s">
        <v>34</v>
      </c>
      <c r="F11237" s="151" t="s">
        <v>1</v>
      </c>
      <c r="G11237" s="152">
        <v>163</v>
      </c>
      <c r="H11237" s="151" t="s">
        <v>21</v>
      </c>
      <c r="I11237" s="151" t="s">
        <v>16</v>
      </c>
    </row>
    <row r="11238" spans="1:9" x14ac:dyDescent="0.25">
      <c r="A11238" s="151">
        <v>1831</v>
      </c>
      <c r="B11238" s="151">
        <f>A11238+1</f>
        <v>1832</v>
      </c>
      <c r="C11238" s="151" t="s">
        <v>537</v>
      </c>
      <c r="D11238" s="151" t="s">
        <v>26</v>
      </c>
      <c r="E11238" s="208" t="s">
        <v>63</v>
      </c>
      <c r="F11238" s="151" t="s">
        <v>1</v>
      </c>
      <c r="G11238" s="152">
        <v>155</v>
      </c>
      <c r="H11238" s="151" t="s">
        <v>21</v>
      </c>
      <c r="I11238" s="151" t="s">
        <v>16</v>
      </c>
    </row>
    <row r="11239" spans="1:9" x14ac:dyDescent="0.25">
      <c r="A11239" s="151">
        <v>1831</v>
      </c>
      <c r="B11239" s="151">
        <f>A11239+1</f>
        <v>1832</v>
      </c>
      <c r="C11239" s="151" t="s">
        <v>537</v>
      </c>
      <c r="D11239" s="151" t="s">
        <v>26</v>
      </c>
      <c r="E11239" s="208" t="s">
        <v>62</v>
      </c>
      <c r="F11239" s="151" t="s">
        <v>1</v>
      </c>
      <c r="G11239" s="152">
        <v>1</v>
      </c>
      <c r="H11239" s="151" t="s">
        <v>21</v>
      </c>
      <c r="I11239" s="151" t="s">
        <v>16</v>
      </c>
    </row>
    <row r="11240" spans="1:9" x14ac:dyDescent="0.25">
      <c r="A11240" s="151">
        <v>1831</v>
      </c>
      <c r="B11240" s="151">
        <f>A11240+1</f>
        <v>1832</v>
      </c>
      <c r="C11240" s="151" t="s">
        <v>537</v>
      </c>
      <c r="D11240" s="151" t="s">
        <v>26</v>
      </c>
      <c r="E11240" s="208" t="s">
        <v>55</v>
      </c>
      <c r="F11240" s="151" t="s">
        <v>1</v>
      </c>
      <c r="G11240" s="152">
        <v>0</v>
      </c>
      <c r="H11240" s="151" t="s">
        <v>21</v>
      </c>
      <c r="I11240" s="151" t="s">
        <v>16</v>
      </c>
    </row>
    <row r="11241" spans="1:9" x14ac:dyDescent="0.25">
      <c r="A11241" s="151">
        <v>1831</v>
      </c>
      <c r="B11241" s="151">
        <f>A11241+1</f>
        <v>1832</v>
      </c>
      <c r="C11241" s="151" t="s">
        <v>537</v>
      </c>
      <c r="D11241" s="151" t="s">
        <v>26</v>
      </c>
      <c r="E11241" s="208" t="s">
        <v>36</v>
      </c>
      <c r="F11241" s="151" t="s">
        <v>1</v>
      </c>
      <c r="G11241" s="152">
        <v>0</v>
      </c>
      <c r="H11241" s="151" t="s">
        <v>21</v>
      </c>
      <c r="I11241" s="151" t="s">
        <v>16</v>
      </c>
    </row>
    <row r="11242" spans="1:9" x14ac:dyDescent="0.25">
      <c r="A11242" s="151">
        <v>1831</v>
      </c>
      <c r="B11242" s="151">
        <f>A11242+1</f>
        <v>1832</v>
      </c>
      <c r="C11242" s="151" t="s">
        <v>537</v>
      </c>
      <c r="D11242" s="151" t="s">
        <v>26</v>
      </c>
      <c r="E11242" s="208" t="s">
        <v>35</v>
      </c>
      <c r="F11242" s="151" t="s">
        <v>1</v>
      </c>
      <c r="G11242" s="152">
        <v>0</v>
      </c>
      <c r="H11242" s="151" t="s">
        <v>21</v>
      </c>
      <c r="I11242" s="151" t="s">
        <v>16</v>
      </c>
    </row>
    <row r="11243" spans="1:9" x14ac:dyDescent="0.25">
      <c r="A11243" s="151">
        <v>1831</v>
      </c>
      <c r="B11243" s="151">
        <f>A11243+1</f>
        <v>1832</v>
      </c>
      <c r="C11243" s="151" t="s">
        <v>537</v>
      </c>
      <c r="D11243" s="151" t="s">
        <v>26</v>
      </c>
      <c r="E11243" s="208" t="s">
        <v>40</v>
      </c>
      <c r="F11243" s="151" t="s">
        <v>1</v>
      </c>
      <c r="G11243" s="152">
        <v>0</v>
      </c>
      <c r="H11243" s="151" t="s">
        <v>21</v>
      </c>
      <c r="I11243" s="151" t="s">
        <v>16</v>
      </c>
    </row>
    <row r="11244" spans="1:9" x14ac:dyDescent="0.25">
      <c r="A11244" s="151">
        <v>1831</v>
      </c>
      <c r="B11244" s="151">
        <f>A11244+1</f>
        <v>1832</v>
      </c>
      <c r="C11244" s="151" t="s">
        <v>537</v>
      </c>
      <c r="D11244" s="151" t="s">
        <v>26</v>
      </c>
      <c r="E11244" s="208" t="s">
        <v>96</v>
      </c>
      <c r="F11244" s="151" t="s">
        <v>1</v>
      </c>
      <c r="G11244" s="152">
        <v>0</v>
      </c>
      <c r="H11244" s="151" t="s">
        <v>16</v>
      </c>
      <c r="I11244" s="151" t="s">
        <v>23</v>
      </c>
    </row>
    <row r="11245" spans="1:9" x14ac:dyDescent="0.25">
      <c r="A11245" s="151">
        <v>1831</v>
      </c>
      <c r="B11245" s="151">
        <f>A11245+1</f>
        <v>1832</v>
      </c>
      <c r="C11245" s="151" t="s">
        <v>537</v>
      </c>
      <c r="D11245" s="151" t="s">
        <v>26</v>
      </c>
      <c r="E11245" s="208" t="s">
        <v>98</v>
      </c>
      <c r="F11245" s="151" t="s">
        <v>1</v>
      </c>
      <c r="G11245" s="152">
        <v>0</v>
      </c>
      <c r="H11245" s="151" t="s">
        <v>16</v>
      </c>
      <c r="I11245" s="151" t="s">
        <v>23</v>
      </c>
    </row>
    <row r="11246" spans="1:9" x14ac:dyDescent="0.25">
      <c r="A11246" s="151">
        <v>1831</v>
      </c>
      <c r="B11246" s="151">
        <f>A11246+1</f>
        <v>1832</v>
      </c>
      <c r="C11246" s="151" t="s">
        <v>537</v>
      </c>
      <c r="D11246" s="151" t="s">
        <v>26</v>
      </c>
      <c r="E11246" s="208" t="s">
        <v>442</v>
      </c>
      <c r="F11246" s="151" t="s">
        <v>1</v>
      </c>
      <c r="G11246" s="152">
        <v>0</v>
      </c>
      <c r="H11246" s="151" t="s">
        <v>16</v>
      </c>
      <c r="I11246" s="151" t="s">
        <v>23</v>
      </c>
    </row>
    <row r="11247" spans="1:9" x14ac:dyDescent="0.25">
      <c r="A11247" s="151">
        <v>1831</v>
      </c>
      <c r="B11247" s="151">
        <f>A11247+1</f>
        <v>1832</v>
      </c>
      <c r="C11247" s="151" t="s">
        <v>537</v>
      </c>
      <c r="D11247" s="151" t="s">
        <v>26</v>
      </c>
      <c r="E11247" s="208" t="s">
        <v>105</v>
      </c>
      <c r="F11247" s="151" t="s">
        <v>1</v>
      </c>
      <c r="G11247" s="152">
        <v>0</v>
      </c>
      <c r="H11247" s="151" t="s">
        <v>16</v>
      </c>
      <c r="I11247" s="151" t="s">
        <v>23</v>
      </c>
    </row>
    <row r="11248" spans="1:9" x14ac:dyDescent="0.25">
      <c r="A11248" s="151">
        <v>1831</v>
      </c>
      <c r="B11248" s="151">
        <f>A11248+1</f>
        <v>1832</v>
      </c>
      <c r="C11248" s="151" t="s">
        <v>537</v>
      </c>
      <c r="D11248" s="151" t="s">
        <v>26</v>
      </c>
      <c r="E11248" s="208" t="s">
        <v>106</v>
      </c>
      <c r="F11248" s="151" t="s">
        <v>1</v>
      </c>
      <c r="G11248" s="152">
        <v>0</v>
      </c>
      <c r="H11248" s="151" t="s">
        <v>16</v>
      </c>
      <c r="I11248" s="151" t="s">
        <v>23</v>
      </c>
    </row>
    <row r="11249" spans="1:9" x14ac:dyDescent="0.25">
      <c r="A11249" s="151">
        <v>1831</v>
      </c>
      <c r="B11249" s="151">
        <f>A11249+1</f>
        <v>1832</v>
      </c>
      <c r="C11249" s="151" t="s">
        <v>537</v>
      </c>
      <c r="D11249" s="151" t="s">
        <v>26</v>
      </c>
      <c r="E11249" s="208" t="s">
        <v>101</v>
      </c>
      <c r="F11249" s="151" t="s">
        <v>1</v>
      </c>
      <c r="G11249" s="152">
        <v>0</v>
      </c>
      <c r="H11249" s="151" t="s">
        <v>16</v>
      </c>
      <c r="I11249" s="151" t="s">
        <v>23</v>
      </c>
    </row>
    <row r="11250" spans="1:9" x14ac:dyDescent="0.25">
      <c r="A11250" s="151">
        <v>1831</v>
      </c>
      <c r="B11250" s="151">
        <f>A11250+1</f>
        <v>1832</v>
      </c>
      <c r="C11250" s="151" t="s">
        <v>537</v>
      </c>
      <c r="D11250" s="151" t="s">
        <v>26</v>
      </c>
      <c r="E11250" s="208" t="s">
        <v>75</v>
      </c>
      <c r="F11250" s="151" t="s">
        <v>1</v>
      </c>
      <c r="G11250" s="152">
        <v>0</v>
      </c>
      <c r="H11250" s="151" t="s">
        <v>16</v>
      </c>
      <c r="I11250" s="151" t="s">
        <v>23</v>
      </c>
    </row>
    <row r="11251" spans="1:9" x14ac:dyDescent="0.25">
      <c r="A11251" s="151">
        <v>1831</v>
      </c>
      <c r="B11251" s="151">
        <f>A11251+1</f>
        <v>1832</v>
      </c>
      <c r="C11251" s="151" t="s">
        <v>537</v>
      </c>
      <c r="D11251" s="151" t="s">
        <v>26</v>
      </c>
      <c r="E11251" s="208" t="s">
        <v>66</v>
      </c>
      <c r="F11251" s="151" t="s">
        <v>1</v>
      </c>
      <c r="G11251" s="152">
        <v>0</v>
      </c>
      <c r="H11251" s="151" t="s">
        <v>16</v>
      </c>
      <c r="I11251" s="151" t="s">
        <v>23</v>
      </c>
    </row>
    <row r="11252" spans="1:9" x14ac:dyDescent="0.25">
      <c r="A11252" s="151">
        <v>1831</v>
      </c>
      <c r="B11252" s="151">
        <f>A11252+1</f>
        <v>1832</v>
      </c>
      <c r="C11252" s="151" t="s">
        <v>537</v>
      </c>
      <c r="D11252" s="151" t="s">
        <v>26</v>
      </c>
      <c r="E11252" s="208" t="s">
        <v>28</v>
      </c>
      <c r="F11252" s="151" t="s">
        <v>1</v>
      </c>
      <c r="G11252" s="152">
        <v>675</v>
      </c>
      <c r="H11252" s="151" t="s">
        <v>16</v>
      </c>
      <c r="I11252" s="151" t="s">
        <v>23</v>
      </c>
    </row>
    <row r="11253" spans="1:9" x14ac:dyDescent="0.25">
      <c r="A11253" s="151">
        <v>1831</v>
      </c>
      <c r="B11253" s="151">
        <f>A11253+1</f>
        <v>1832</v>
      </c>
      <c r="C11253" s="151" t="s">
        <v>537</v>
      </c>
      <c r="D11253" s="151" t="s">
        <v>26</v>
      </c>
      <c r="E11253" s="208" t="s">
        <v>89</v>
      </c>
      <c r="F11253" s="151" t="s">
        <v>1</v>
      </c>
      <c r="G11253" s="152">
        <v>2014</v>
      </c>
      <c r="H11253" s="151" t="s">
        <v>16</v>
      </c>
      <c r="I11253" s="151" t="s">
        <v>23</v>
      </c>
    </row>
    <row r="11254" spans="1:9" x14ac:dyDescent="0.25">
      <c r="A11254" s="151">
        <v>1831</v>
      </c>
      <c r="B11254" s="151">
        <f>A11254+1</f>
        <v>1832</v>
      </c>
      <c r="C11254" s="151" t="s">
        <v>537</v>
      </c>
      <c r="D11254" s="151" t="s">
        <v>26</v>
      </c>
      <c r="E11254" s="208" t="s">
        <v>45</v>
      </c>
      <c r="F11254" s="151" t="s">
        <v>1</v>
      </c>
      <c r="G11254" s="152">
        <v>3457</v>
      </c>
      <c r="H11254" s="151" t="s">
        <v>16</v>
      </c>
      <c r="I11254" s="151" t="s">
        <v>23</v>
      </c>
    </row>
    <row r="11255" spans="1:9" x14ac:dyDescent="0.25">
      <c r="A11255" s="151">
        <v>1831</v>
      </c>
      <c r="B11255" s="151">
        <f>A11255+1</f>
        <v>1832</v>
      </c>
      <c r="C11255" s="151" t="s">
        <v>537</v>
      </c>
      <c r="D11255" s="151" t="s">
        <v>26</v>
      </c>
      <c r="E11255" s="208" t="s">
        <v>48</v>
      </c>
      <c r="F11255" s="151" t="s">
        <v>1</v>
      </c>
      <c r="G11255" s="152">
        <v>3073</v>
      </c>
      <c r="H11255" s="151" t="s">
        <v>16</v>
      </c>
      <c r="I11255" s="151" t="s">
        <v>23</v>
      </c>
    </row>
    <row r="11256" spans="1:9" x14ac:dyDescent="0.25">
      <c r="A11256" s="151">
        <v>1831</v>
      </c>
      <c r="B11256" s="151">
        <f>A11256+1</f>
        <v>1832</v>
      </c>
      <c r="C11256" s="151" t="s">
        <v>537</v>
      </c>
      <c r="D11256" s="151" t="s">
        <v>26</v>
      </c>
      <c r="E11256" s="208" t="s">
        <v>102</v>
      </c>
      <c r="F11256" s="151" t="s">
        <v>1</v>
      </c>
      <c r="G11256" s="152">
        <v>2</v>
      </c>
      <c r="H11256" s="151" t="s">
        <v>16</v>
      </c>
      <c r="I11256" s="151" t="s">
        <v>23</v>
      </c>
    </row>
    <row r="11257" spans="1:9" x14ac:dyDescent="0.25">
      <c r="A11257" s="151">
        <v>1831</v>
      </c>
      <c r="B11257" s="151">
        <f>A11257+1</f>
        <v>1832</v>
      </c>
      <c r="C11257" s="151" t="s">
        <v>537</v>
      </c>
      <c r="D11257" s="151" t="s">
        <v>26</v>
      </c>
      <c r="E11257" s="208" t="s">
        <v>330</v>
      </c>
      <c r="F11257" s="151" t="s">
        <v>1</v>
      </c>
      <c r="G11257" s="152">
        <v>0</v>
      </c>
      <c r="H11257" s="151" t="s">
        <v>16</v>
      </c>
      <c r="I11257" s="151" t="s">
        <v>23</v>
      </c>
    </row>
    <row r="11258" spans="1:9" x14ac:dyDescent="0.25">
      <c r="A11258" s="151">
        <v>1831</v>
      </c>
      <c r="B11258" s="151">
        <f>A11258+1</f>
        <v>1832</v>
      </c>
      <c r="C11258" s="151" t="s">
        <v>537</v>
      </c>
      <c r="D11258" s="151" t="s">
        <v>26</v>
      </c>
      <c r="E11258" s="208" t="s">
        <v>331</v>
      </c>
      <c r="F11258" s="151" t="s">
        <v>1</v>
      </c>
      <c r="G11258" s="152">
        <v>0</v>
      </c>
      <c r="H11258" s="151" t="s">
        <v>16</v>
      </c>
      <c r="I11258" s="151" t="s">
        <v>23</v>
      </c>
    </row>
    <row r="11259" spans="1:9" x14ac:dyDescent="0.25">
      <c r="A11259" s="151">
        <v>1831</v>
      </c>
      <c r="B11259" s="151">
        <f>A11259+1</f>
        <v>1832</v>
      </c>
      <c r="C11259" s="151" t="s">
        <v>537</v>
      </c>
      <c r="D11259" s="151" t="s">
        <v>26</v>
      </c>
      <c r="E11259" s="208" t="s">
        <v>332</v>
      </c>
      <c r="F11259" s="151" t="s">
        <v>1</v>
      </c>
      <c r="G11259" s="152">
        <v>0</v>
      </c>
      <c r="H11259" s="151" t="s">
        <v>16</v>
      </c>
      <c r="I11259" s="151" t="s">
        <v>23</v>
      </c>
    </row>
    <row r="11260" spans="1:9" x14ac:dyDescent="0.25">
      <c r="A11260" s="151">
        <v>1831</v>
      </c>
      <c r="B11260" s="151">
        <f>A11260+1</f>
        <v>1832</v>
      </c>
      <c r="C11260" s="151" t="s">
        <v>537</v>
      </c>
      <c r="D11260" s="151" t="s">
        <v>26</v>
      </c>
      <c r="E11260" s="208" t="s">
        <v>333</v>
      </c>
      <c r="F11260" s="151" t="s">
        <v>1</v>
      </c>
      <c r="G11260" s="152">
        <v>0</v>
      </c>
      <c r="H11260" s="151" t="s">
        <v>16</v>
      </c>
      <c r="I11260" s="151" t="s">
        <v>23</v>
      </c>
    </row>
    <row r="11261" spans="1:9" x14ac:dyDescent="0.25">
      <c r="A11261" s="151">
        <v>1831</v>
      </c>
      <c r="B11261" s="151">
        <f>A11261+1</f>
        <v>1832</v>
      </c>
      <c r="C11261" s="151" t="s">
        <v>537</v>
      </c>
      <c r="D11261" s="151" t="s">
        <v>27</v>
      </c>
      <c r="E11261" s="208" t="s">
        <v>155</v>
      </c>
      <c r="F11261" s="151" t="s">
        <v>4</v>
      </c>
      <c r="G11261" s="152">
        <v>80</v>
      </c>
      <c r="H11261" s="151" t="s">
        <v>16</v>
      </c>
      <c r="I11261" s="151" t="s">
        <v>23</v>
      </c>
    </row>
    <row r="11262" spans="1:9" x14ac:dyDescent="0.25">
      <c r="A11262" s="151">
        <v>1831</v>
      </c>
      <c r="B11262" s="151">
        <f>A11262+1</f>
        <v>1832</v>
      </c>
      <c r="C11262" s="151" t="s">
        <v>537</v>
      </c>
      <c r="D11262" s="151" t="s">
        <v>27</v>
      </c>
      <c r="E11262" s="208" t="s">
        <v>156</v>
      </c>
      <c r="F11262" s="151" t="s">
        <v>4</v>
      </c>
      <c r="G11262" s="152">
        <v>37</v>
      </c>
      <c r="H11262" s="151" t="s">
        <v>16</v>
      </c>
      <c r="I11262" s="151" t="s">
        <v>23</v>
      </c>
    </row>
    <row r="11263" spans="1:9" x14ac:dyDescent="0.25">
      <c r="A11263" s="151">
        <v>1831</v>
      </c>
      <c r="B11263" s="151">
        <f>A11263+1</f>
        <v>1832</v>
      </c>
      <c r="C11263" s="151" t="s">
        <v>537</v>
      </c>
      <c r="D11263" s="151" t="s">
        <v>27</v>
      </c>
      <c r="E11263" s="208" t="s">
        <v>154</v>
      </c>
      <c r="F11263" s="151" t="s">
        <v>4</v>
      </c>
      <c r="G11263" s="152">
        <v>30</v>
      </c>
      <c r="H11263" s="151" t="s">
        <v>16</v>
      </c>
      <c r="I11263" s="151" t="s">
        <v>23</v>
      </c>
    </row>
    <row r="11264" spans="1:9" x14ac:dyDescent="0.25">
      <c r="A11264" s="151">
        <v>1831</v>
      </c>
      <c r="B11264" s="151">
        <f>A11264+1</f>
        <v>1832</v>
      </c>
      <c r="C11264" s="151" t="s">
        <v>537</v>
      </c>
      <c r="D11264" s="151" t="s">
        <v>27</v>
      </c>
      <c r="E11264" s="208" t="s">
        <v>150</v>
      </c>
      <c r="F11264" s="151" t="s">
        <v>4</v>
      </c>
      <c r="G11264" s="152">
        <v>344</v>
      </c>
      <c r="H11264" s="151" t="s">
        <v>16</v>
      </c>
      <c r="I11264" s="151" t="s">
        <v>23</v>
      </c>
    </row>
    <row r="11265" spans="1:9" x14ac:dyDescent="0.25">
      <c r="A11265" s="151">
        <v>1831</v>
      </c>
      <c r="B11265" s="151">
        <f>A11265+1</f>
        <v>1832</v>
      </c>
      <c r="C11265" s="151" t="s">
        <v>537</v>
      </c>
      <c r="D11265" s="151" t="s">
        <v>27</v>
      </c>
      <c r="E11265" s="208" t="s">
        <v>148</v>
      </c>
      <c r="F11265" s="151" t="s">
        <v>4</v>
      </c>
      <c r="G11265" s="152">
        <v>0</v>
      </c>
      <c r="H11265" s="151" t="s">
        <v>16</v>
      </c>
      <c r="I11265" s="151" t="s">
        <v>23</v>
      </c>
    </row>
    <row r="11266" spans="1:9" x14ac:dyDescent="0.25">
      <c r="A11266" s="151">
        <v>1831</v>
      </c>
      <c r="B11266" s="151">
        <f>A11266+1</f>
        <v>1832</v>
      </c>
      <c r="C11266" s="151" t="s">
        <v>537</v>
      </c>
      <c r="D11266" s="151" t="s">
        <v>27</v>
      </c>
      <c r="E11266" s="208" t="s">
        <v>147</v>
      </c>
      <c r="F11266" s="151" t="s">
        <v>4</v>
      </c>
      <c r="G11266" s="152">
        <v>12</v>
      </c>
      <c r="H11266" s="151" t="s">
        <v>16</v>
      </c>
      <c r="I11266" s="151" t="s">
        <v>23</v>
      </c>
    </row>
    <row r="11267" spans="1:9" x14ac:dyDescent="0.25">
      <c r="A11267" s="151">
        <v>1831</v>
      </c>
      <c r="B11267" s="151">
        <f>A11267+1</f>
        <v>1832</v>
      </c>
      <c r="C11267" s="151" t="s">
        <v>537</v>
      </c>
      <c r="D11267" s="151" t="s">
        <v>27</v>
      </c>
      <c r="E11267" s="208" t="s">
        <v>139</v>
      </c>
      <c r="F11267" s="151" t="s">
        <v>4</v>
      </c>
      <c r="G11267" s="152">
        <v>32</v>
      </c>
      <c r="H11267" s="151" t="s">
        <v>23</v>
      </c>
      <c r="I11267" s="151" t="s">
        <v>16</v>
      </c>
    </row>
    <row r="11268" spans="1:9" x14ac:dyDescent="0.25">
      <c r="A11268" s="151">
        <v>1831</v>
      </c>
      <c r="B11268" s="151">
        <f>A11268+1</f>
        <v>1832</v>
      </c>
      <c r="C11268" s="151" t="s">
        <v>537</v>
      </c>
      <c r="D11268" s="151" t="s">
        <v>27</v>
      </c>
      <c r="E11268" s="208" t="s">
        <v>132</v>
      </c>
      <c r="F11268" s="151" t="s">
        <v>4</v>
      </c>
      <c r="G11268" s="152">
        <v>0</v>
      </c>
      <c r="H11268" s="151" t="s">
        <v>23</v>
      </c>
      <c r="I11268" s="151" t="s">
        <v>16</v>
      </c>
    </row>
    <row r="11269" spans="1:9" x14ac:dyDescent="0.25">
      <c r="A11269" s="151">
        <v>1831</v>
      </c>
      <c r="B11269" s="151">
        <f>A11269+1</f>
        <v>1832</v>
      </c>
      <c r="C11269" s="151" t="s">
        <v>537</v>
      </c>
      <c r="D11269" s="151" t="s">
        <v>27</v>
      </c>
      <c r="E11269" s="208" t="s">
        <v>130</v>
      </c>
      <c r="F11269" s="151" t="s">
        <v>4</v>
      </c>
      <c r="G11269" s="152">
        <v>0</v>
      </c>
      <c r="H11269" s="151" t="s">
        <v>23</v>
      </c>
      <c r="I11269" s="151" t="s">
        <v>16</v>
      </c>
    </row>
    <row r="11270" spans="1:9" x14ac:dyDescent="0.25">
      <c r="A11270" s="151">
        <v>1831</v>
      </c>
      <c r="B11270" s="151">
        <f>A11270+1</f>
        <v>1832</v>
      </c>
      <c r="C11270" s="151" t="s">
        <v>537</v>
      </c>
      <c r="D11270" s="151" t="s">
        <v>27</v>
      </c>
      <c r="E11270" s="208" t="s">
        <v>143</v>
      </c>
      <c r="F11270" s="151" t="s">
        <v>4</v>
      </c>
      <c r="G11270" s="152">
        <v>48</v>
      </c>
      <c r="H11270" s="151" t="s">
        <v>23</v>
      </c>
      <c r="I11270" s="151" t="s">
        <v>16</v>
      </c>
    </row>
    <row r="11271" spans="1:9" x14ac:dyDescent="0.25">
      <c r="A11271" s="151">
        <v>1831</v>
      </c>
      <c r="B11271" s="151">
        <f>A11271+1</f>
        <v>1832</v>
      </c>
      <c r="C11271" s="151" t="s">
        <v>537</v>
      </c>
      <c r="D11271" s="151" t="s">
        <v>27</v>
      </c>
      <c r="E11271" s="208" t="s">
        <v>142</v>
      </c>
      <c r="F11271" s="151" t="s">
        <v>4</v>
      </c>
      <c r="G11271" s="152">
        <v>6508</v>
      </c>
      <c r="H11271" s="151" t="s">
        <v>23</v>
      </c>
      <c r="I11271" s="151" t="s">
        <v>16</v>
      </c>
    </row>
    <row r="11272" spans="1:9" x14ac:dyDescent="0.25">
      <c r="A11272" s="151">
        <v>1831</v>
      </c>
      <c r="B11272" s="151">
        <f>A11272+1</f>
        <v>1832</v>
      </c>
      <c r="C11272" s="151" t="s">
        <v>537</v>
      </c>
      <c r="D11272" s="151" t="s">
        <v>27</v>
      </c>
      <c r="E11272" s="208" t="s">
        <v>125</v>
      </c>
      <c r="F11272" s="151" t="s">
        <v>4</v>
      </c>
      <c r="G11272" s="152">
        <v>6</v>
      </c>
      <c r="H11272" s="151" t="s">
        <v>23</v>
      </c>
      <c r="I11272" s="151" t="s">
        <v>16</v>
      </c>
    </row>
    <row r="11273" spans="1:9" x14ac:dyDescent="0.25">
      <c r="A11273" s="151">
        <v>1831</v>
      </c>
      <c r="B11273" s="151">
        <f>A11273+1</f>
        <v>1832</v>
      </c>
      <c r="C11273" s="151" t="s">
        <v>537</v>
      </c>
      <c r="D11273" s="151" t="s">
        <v>27</v>
      </c>
      <c r="E11273" s="208" t="s">
        <v>122</v>
      </c>
      <c r="F11273" s="151" t="s">
        <v>4</v>
      </c>
      <c r="G11273" s="152">
        <v>7</v>
      </c>
      <c r="H11273" s="151" t="s">
        <v>23</v>
      </c>
      <c r="I11273" s="151" t="s">
        <v>16</v>
      </c>
    </row>
    <row r="11274" spans="1:9" x14ac:dyDescent="0.25">
      <c r="A11274" s="151">
        <v>1831</v>
      </c>
      <c r="B11274" s="151">
        <f>A11274+1</f>
        <v>1832</v>
      </c>
      <c r="C11274" s="151" t="s">
        <v>537</v>
      </c>
      <c r="D11274" s="151" t="s">
        <v>27</v>
      </c>
      <c r="E11274" s="208" t="s">
        <v>121</v>
      </c>
      <c r="F11274" s="151" t="s">
        <v>4</v>
      </c>
      <c r="G11274" s="152">
        <v>61</v>
      </c>
      <c r="H11274" s="151" t="s">
        <v>23</v>
      </c>
      <c r="I11274" s="151" t="s">
        <v>16</v>
      </c>
    </row>
    <row r="11275" spans="1:9" x14ac:dyDescent="0.25">
      <c r="A11275" s="151">
        <v>1831</v>
      </c>
      <c r="B11275" s="151">
        <f>A11275+1</f>
        <v>1832</v>
      </c>
      <c r="C11275" s="151" t="s">
        <v>537</v>
      </c>
      <c r="D11275" s="151" t="s">
        <v>27</v>
      </c>
      <c r="E11275" s="208" t="s">
        <v>127</v>
      </c>
      <c r="F11275" s="151" t="s">
        <v>4</v>
      </c>
      <c r="G11275" s="152">
        <v>0</v>
      </c>
      <c r="H11275" s="151" t="s">
        <v>23</v>
      </c>
      <c r="I11275" s="151" t="s">
        <v>16</v>
      </c>
    </row>
    <row r="11276" spans="1:9" x14ac:dyDescent="0.25">
      <c r="A11276" s="151">
        <v>1831</v>
      </c>
      <c r="B11276" s="151">
        <f>A11276+1</f>
        <v>1832</v>
      </c>
      <c r="C11276" s="151" t="s">
        <v>537</v>
      </c>
      <c r="D11276" s="151" t="s">
        <v>27</v>
      </c>
      <c r="E11276" s="208" t="s">
        <v>133</v>
      </c>
      <c r="F11276" s="151" t="s">
        <v>4</v>
      </c>
      <c r="G11276" s="152">
        <v>5549</v>
      </c>
      <c r="H11276" s="151" t="s">
        <v>23</v>
      </c>
      <c r="I11276" s="151" t="s">
        <v>16</v>
      </c>
    </row>
    <row r="11277" spans="1:9" x14ac:dyDescent="0.25">
      <c r="A11277" s="151">
        <v>1831</v>
      </c>
      <c r="B11277" s="151">
        <f>A11277+1</f>
        <v>1832</v>
      </c>
      <c r="C11277" s="151" t="s">
        <v>537</v>
      </c>
      <c r="D11277" s="151" t="s">
        <v>27</v>
      </c>
      <c r="E11277" s="208" t="s">
        <v>74</v>
      </c>
      <c r="F11277" s="151" t="s">
        <v>4</v>
      </c>
      <c r="G11277" s="152">
        <v>206</v>
      </c>
      <c r="H11277" s="151" t="s">
        <v>23</v>
      </c>
      <c r="I11277" s="151" t="s">
        <v>16</v>
      </c>
    </row>
    <row r="11278" spans="1:9" x14ac:dyDescent="0.25">
      <c r="A11278" s="151">
        <v>1831</v>
      </c>
      <c r="B11278" s="151">
        <f>A11278+1</f>
        <v>1832</v>
      </c>
      <c r="C11278" s="151" t="s">
        <v>537</v>
      </c>
      <c r="D11278" s="151" t="s">
        <v>27</v>
      </c>
      <c r="E11278" s="208" t="s">
        <v>129</v>
      </c>
      <c r="F11278" s="151" t="s">
        <v>4</v>
      </c>
      <c r="G11278" s="152">
        <v>43</v>
      </c>
      <c r="H11278" s="151" t="s">
        <v>23</v>
      </c>
      <c r="I11278" s="151" t="s">
        <v>16</v>
      </c>
    </row>
    <row r="11279" spans="1:9" x14ac:dyDescent="0.25">
      <c r="A11279" s="151">
        <v>1831</v>
      </c>
      <c r="B11279" s="151">
        <f>A11279+1</f>
        <v>1832</v>
      </c>
      <c r="C11279" s="151" t="s">
        <v>537</v>
      </c>
      <c r="D11279" s="151" t="s">
        <v>27</v>
      </c>
      <c r="E11279" s="208" t="s">
        <v>141</v>
      </c>
      <c r="F11279" s="151" t="s">
        <v>4</v>
      </c>
      <c r="G11279" s="152">
        <v>0</v>
      </c>
      <c r="H11279" s="151" t="s">
        <v>23</v>
      </c>
      <c r="I11279" s="151" t="s">
        <v>16</v>
      </c>
    </row>
    <row r="11280" spans="1:9" x14ac:dyDescent="0.25">
      <c r="A11280" s="151">
        <v>1831</v>
      </c>
      <c r="B11280" s="151">
        <f>A11280+1</f>
        <v>1832</v>
      </c>
      <c r="C11280" s="151" t="s">
        <v>537</v>
      </c>
      <c r="D11280" s="151" t="s">
        <v>27</v>
      </c>
      <c r="E11280" s="208" t="s">
        <v>128</v>
      </c>
      <c r="F11280" s="151" t="s">
        <v>4</v>
      </c>
      <c r="G11280" s="152">
        <v>15</v>
      </c>
      <c r="H11280" s="151" t="s">
        <v>23</v>
      </c>
      <c r="I11280" s="151" t="s">
        <v>16</v>
      </c>
    </row>
    <row r="11281" spans="1:9" x14ac:dyDescent="0.25">
      <c r="A11281" s="151">
        <v>1831</v>
      </c>
      <c r="B11281" s="151">
        <f>A11281+1</f>
        <v>1832</v>
      </c>
      <c r="C11281" s="151" t="s">
        <v>537</v>
      </c>
      <c r="D11281" s="151" t="s">
        <v>27</v>
      </c>
      <c r="E11281" s="208" t="s">
        <v>135</v>
      </c>
      <c r="F11281" s="151" t="s">
        <v>4</v>
      </c>
      <c r="G11281" s="152">
        <v>0</v>
      </c>
      <c r="H11281" s="151" t="s">
        <v>23</v>
      </c>
      <c r="I11281" s="151" t="s">
        <v>16</v>
      </c>
    </row>
    <row r="11282" spans="1:9" x14ac:dyDescent="0.25">
      <c r="A11282" s="151">
        <v>1831</v>
      </c>
      <c r="B11282" s="151">
        <f>A11282+1</f>
        <v>1832</v>
      </c>
      <c r="C11282" s="151" t="s">
        <v>537</v>
      </c>
      <c r="D11282" s="151" t="s">
        <v>27</v>
      </c>
      <c r="E11282" s="208" t="s">
        <v>138</v>
      </c>
      <c r="F11282" s="151" t="s">
        <v>4</v>
      </c>
      <c r="G11282" s="152">
        <v>586</v>
      </c>
      <c r="H11282" s="151" t="s">
        <v>23</v>
      </c>
      <c r="I11282" s="151" t="s">
        <v>16</v>
      </c>
    </row>
    <row r="11283" spans="1:9" x14ac:dyDescent="0.25">
      <c r="A11283" s="151">
        <v>1831</v>
      </c>
      <c r="B11283" s="151">
        <f>A11283+1</f>
        <v>1832</v>
      </c>
      <c r="C11283" s="151" t="s">
        <v>537</v>
      </c>
      <c r="D11283" s="151" t="s">
        <v>27</v>
      </c>
      <c r="E11283" s="208" t="s">
        <v>134</v>
      </c>
      <c r="F11283" s="151" t="s">
        <v>4</v>
      </c>
      <c r="G11283" s="152">
        <v>12</v>
      </c>
      <c r="H11283" s="151" t="s">
        <v>23</v>
      </c>
      <c r="I11283" s="151" t="s">
        <v>16</v>
      </c>
    </row>
    <row r="11284" spans="1:9" x14ac:dyDescent="0.25">
      <c r="A11284" s="151">
        <v>1831</v>
      </c>
      <c r="B11284" s="151">
        <f>A11284+1</f>
        <v>1832</v>
      </c>
      <c r="C11284" s="151" t="s">
        <v>537</v>
      </c>
      <c r="D11284" s="151" t="s">
        <v>26</v>
      </c>
      <c r="E11284" s="208" t="s">
        <v>34</v>
      </c>
      <c r="F11284" s="151" t="s">
        <v>4</v>
      </c>
      <c r="G11284" s="152">
        <v>800</v>
      </c>
      <c r="H11284" s="151" t="s">
        <v>23</v>
      </c>
      <c r="I11284" s="151" t="s">
        <v>16</v>
      </c>
    </row>
    <row r="11285" spans="1:9" x14ac:dyDescent="0.25">
      <c r="A11285" s="151">
        <v>1831</v>
      </c>
      <c r="B11285" s="151">
        <f>A11285+1</f>
        <v>1832</v>
      </c>
      <c r="C11285" s="151" t="s">
        <v>537</v>
      </c>
      <c r="D11285" s="151" t="s">
        <v>26</v>
      </c>
      <c r="E11285" s="208" t="s">
        <v>63</v>
      </c>
      <c r="F11285" s="151" t="s">
        <v>4</v>
      </c>
      <c r="G11285" s="152">
        <v>0</v>
      </c>
      <c r="H11285" s="151" t="s">
        <v>23</v>
      </c>
      <c r="I11285" s="151" t="s">
        <v>16</v>
      </c>
    </row>
    <row r="11286" spans="1:9" x14ac:dyDescent="0.25">
      <c r="A11286" s="151">
        <v>1831</v>
      </c>
      <c r="B11286" s="151">
        <f>A11286+1</f>
        <v>1832</v>
      </c>
      <c r="C11286" s="151" t="s">
        <v>537</v>
      </c>
      <c r="D11286" s="151" t="s">
        <v>26</v>
      </c>
      <c r="E11286" s="208" t="s">
        <v>62</v>
      </c>
      <c r="F11286" s="151" t="s">
        <v>4</v>
      </c>
      <c r="G11286" s="152">
        <v>33246</v>
      </c>
      <c r="H11286" s="151" t="s">
        <v>23</v>
      </c>
      <c r="I11286" s="151" t="s">
        <v>16</v>
      </c>
    </row>
    <row r="11287" spans="1:9" x14ac:dyDescent="0.25">
      <c r="A11287" s="151">
        <v>1831</v>
      </c>
      <c r="B11287" s="151">
        <f>A11287+1</f>
        <v>1832</v>
      </c>
      <c r="C11287" s="151" t="s">
        <v>537</v>
      </c>
      <c r="D11287" s="151" t="s">
        <v>26</v>
      </c>
      <c r="E11287" s="208" t="s">
        <v>55</v>
      </c>
      <c r="F11287" s="151" t="s">
        <v>4</v>
      </c>
      <c r="G11287" s="152">
        <v>5456</v>
      </c>
      <c r="H11287" s="151" t="s">
        <v>23</v>
      </c>
      <c r="I11287" s="151" t="s">
        <v>16</v>
      </c>
    </row>
    <row r="11288" spans="1:9" x14ac:dyDescent="0.25">
      <c r="A11288" s="151">
        <v>1831</v>
      </c>
      <c r="B11288" s="151">
        <f>A11288+1</f>
        <v>1832</v>
      </c>
      <c r="C11288" s="151" t="s">
        <v>537</v>
      </c>
      <c r="D11288" s="151" t="s">
        <v>26</v>
      </c>
      <c r="E11288" s="208" t="s">
        <v>36</v>
      </c>
      <c r="F11288" s="151" t="s">
        <v>4</v>
      </c>
      <c r="G11288" s="152">
        <v>3240</v>
      </c>
      <c r="H11288" s="151" t="s">
        <v>23</v>
      </c>
      <c r="I11288" s="151" t="s">
        <v>16</v>
      </c>
    </row>
    <row r="11289" spans="1:9" x14ac:dyDescent="0.25">
      <c r="A11289" s="151">
        <v>1831</v>
      </c>
      <c r="B11289" s="151">
        <f>A11289+1</f>
        <v>1832</v>
      </c>
      <c r="C11289" s="151" t="s">
        <v>537</v>
      </c>
      <c r="D11289" s="151" t="s">
        <v>26</v>
      </c>
      <c r="E11289" s="208" t="s">
        <v>35</v>
      </c>
      <c r="F11289" s="151" t="s">
        <v>4</v>
      </c>
      <c r="G11289" s="152">
        <v>380</v>
      </c>
      <c r="H11289" s="151" t="s">
        <v>23</v>
      </c>
      <c r="I11289" s="151" t="s">
        <v>16</v>
      </c>
    </row>
    <row r="11290" spans="1:9" x14ac:dyDescent="0.25">
      <c r="A11290" s="151">
        <v>1831</v>
      </c>
      <c r="B11290" s="151">
        <f>A11290+1</f>
        <v>1832</v>
      </c>
      <c r="C11290" s="151" t="s">
        <v>537</v>
      </c>
      <c r="D11290" s="151" t="s">
        <v>26</v>
      </c>
      <c r="E11290" s="208" t="s">
        <v>40</v>
      </c>
      <c r="F11290" s="151" t="s">
        <v>4</v>
      </c>
      <c r="G11290" s="152">
        <v>233632</v>
      </c>
      <c r="H11290" s="151" t="s">
        <v>23</v>
      </c>
      <c r="I11290" s="151" t="s">
        <v>16</v>
      </c>
    </row>
    <row r="11291" spans="1:9" x14ac:dyDescent="0.25">
      <c r="A11291" s="151">
        <v>1831</v>
      </c>
      <c r="B11291" s="151">
        <f>A11291+1</f>
        <v>1832</v>
      </c>
      <c r="C11291" s="151" t="s">
        <v>537</v>
      </c>
      <c r="D11291" s="151" t="s">
        <v>26</v>
      </c>
      <c r="E11291" s="208" t="s">
        <v>96</v>
      </c>
      <c r="F11291" s="151" t="s">
        <v>4</v>
      </c>
      <c r="G11291" s="152">
        <v>1939</v>
      </c>
      <c r="H11291" s="151" t="s">
        <v>16</v>
      </c>
      <c r="I11291" s="151" t="s">
        <v>562</v>
      </c>
    </row>
    <row r="11292" spans="1:9" x14ac:dyDescent="0.25">
      <c r="A11292" s="151">
        <v>1831</v>
      </c>
      <c r="B11292" s="151">
        <f>A11292+1</f>
        <v>1832</v>
      </c>
      <c r="C11292" s="151" t="s">
        <v>537</v>
      </c>
      <c r="D11292" s="151" t="s">
        <v>26</v>
      </c>
      <c r="E11292" s="208" t="s">
        <v>98</v>
      </c>
      <c r="F11292" s="151" t="s">
        <v>4</v>
      </c>
      <c r="G11292" s="152">
        <v>1140779</v>
      </c>
      <c r="H11292" s="151" t="s">
        <v>16</v>
      </c>
      <c r="I11292" s="151" t="s">
        <v>562</v>
      </c>
    </row>
    <row r="11293" spans="1:9" x14ac:dyDescent="0.25">
      <c r="A11293" s="151">
        <v>1831</v>
      </c>
      <c r="B11293" s="151">
        <f>A11293+1</f>
        <v>1832</v>
      </c>
      <c r="C11293" s="151" t="s">
        <v>537</v>
      </c>
      <c r="D11293" s="151" t="s">
        <v>26</v>
      </c>
      <c r="E11293" s="208" t="s">
        <v>442</v>
      </c>
      <c r="F11293" s="151" t="s">
        <v>4</v>
      </c>
      <c r="G11293" s="152">
        <v>4637</v>
      </c>
      <c r="H11293" s="151" t="s">
        <v>16</v>
      </c>
      <c r="I11293" s="151" t="s">
        <v>562</v>
      </c>
    </row>
    <row r="11294" spans="1:9" x14ac:dyDescent="0.25">
      <c r="A11294" s="151">
        <v>1831</v>
      </c>
      <c r="B11294" s="151">
        <f>A11294+1</f>
        <v>1832</v>
      </c>
      <c r="C11294" s="151" t="s">
        <v>537</v>
      </c>
      <c r="D11294" s="151" t="s">
        <v>26</v>
      </c>
      <c r="E11294" s="208" t="s">
        <v>105</v>
      </c>
      <c r="F11294" s="151" t="s">
        <v>4</v>
      </c>
      <c r="G11294" s="152">
        <v>947434</v>
      </c>
      <c r="H11294" s="151" t="s">
        <v>16</v>
      </c>
      <c r="I11294" s="151" t="s">
        <v>562</v>
      </c>
    </row>
    <row r="11295" spans="1:9" x14ac:dyDescent="0.25">
      <c r="A11295" s="151">
        <v>1831</v>
      </c>
      <c r="B11295" s="151">
        <f>A11295+1</f>
        <v>1832</v>
      </c>
      <c r="C11295" s="151" t="s">
        <v>537</v>
      </c>
      <c r="D11295" s="151" t="s">
        <v>26</v>
      </c>
      <c r="E11295" s="208" t="s">
        <v>106</v>
      </c>
      <c r="F11295" s="151" t="s">
        <v>4</v>
      </c>
      <c r="G11295" s="152">
        <v>161265</v>
      </c>
      <c r="H11295" s="151" t="s">
        <v>16</v>
      </c>
      <c r="I11295" s="151" t="s">
        <v>562</v>
      </c>
    </row>
    <row r="11296" spans="1:9" x14ac:dyDescent="0.25">
      <c r="A11296" s="151">
        <v>1831</v>
      </c>
      <c r="B11296" s="151">
        <f>A11296+1</f>
        <v>1832</v>
      </c>
      <c r="C11296" s="151" t="s">
        <v>537</v>
      </c>
      <c r="D11296" s="151" t="s">
        <v>26</v>
      </c>
      <c r="E11296" s="208" t="s">
        <v>101</v>
      </c>
      <c r="F11296" s="151" t="s">
        <v>4</v>
      </c>
      <c r="G11296" s="152">
        <v>684320</v>
      </c>
      <c r="H11296" s="151" t="s">
        <v>16</v>
      </c>
      <c r="I11296" s="151" t="s">
        <v>562</v>
      </c>
    </row>
    <row r="11297" spans="1:9" x14ac:dyDescent="0.25">
      <c r="A11297" s="151">
        <v>1831</v>
      </c>
      <c r="B11297" s="151">
        <f>A11297+1</f>
        <v>1832</v>
      </c>
      <c r="C11297" s="151" t="s">
        <v>537</v>
      </c>
      <c r="D11297" s="151" t="s">
        <v>26</v>
      </c>
      <c r="E11297" s="208" t="s">
        <v>75</v>
      </c>
      <c r="F11297" s="151" t="s">
        <v>4</v>
      </c>
      <c r="G11297" s="152">
        <v>551889</v>
      </c>
      <c r="H11297" s="151" t="s">
        <v>16</v>
      </c>
      <c r="I11297" s="151" t="s">
        <v>562</v>
      </c>
    </row>
    <row r="11298" spans="1:9" x14ac:dyDescent="0.25">
      <c r="A11298" s="151">
        <v>1831</v>
      </c>
      <c r="B11298" s="151">
        <f>A11298+1</f>
        <v>1832</v>
      </c>
      <c r="C11298" s="151" t="s">
        <v>537</v>
      </c>
      <c r="D11298" s="151" t="s">
        <v>26</v>
      </c>
      <c r="E11298" s="208" t="s">
        <v>66</v>
      </c>
      <c r="F11298" s="151" t="s">
        <v>4</v>
      </c>
      <c r="G11298" s="152">
        <v>33010</v>
      </c>
      <c r="H11298" s="151" t="s">
        <v>16</v>
      </c>
      <c r="I11298" s="151" t="s">
        <v>562</v>
      </c>
    </row>
    <row r="11299" spans="1:9" x14ac:dyDescent="0.25">
      <c r="A11299" s="151">
        <v>1831</v>
      </c>
      <c r="B11299" s="151">
        <f>A11299+1</f>
        <v>1832</v>
      </c>
      <c r="C11299" s="151" t="s">
        <v>537</v>
      </c>
      <c r="D11299" s="151" t="s">
        <v>26</v>
      </c>
      <c r="E11299" s="208" t="s">
        <v>28</v>
      </c>
      <c r="F11299" s="151" t="s">
        <v>4</v>
      </c>
      <c r="G11299" s="152">
        <v>130</v>
      </c>
      <c r="H11299" s="151" t="s">
        <v>16</v>
      </c>
      <c r="I11299" s="151" t="s">
        <v>562</v>
      </c>
    </row>
    <row r="11300" spans="1:9" x14ac:dyDescent="0.25">
      <c r="A11300" s="151">
        <v>1831</v>
      </c>
      <c r="B11300" s="151">
        <f>A11300+1</f>
        <v>1832</v>
      </c>
      <c r="C11300" s="151" t="s">
        <v>537</v>
      </c>
      <c r="D11300" s="151" t="s">
        <v>26</v>
      </c>
      <c r="E11300" s="208" t="s">
        <v>89</v>
      </c>
      <c r="F11300" s="151" t="s">
        <v>4</v>
      </c>
      <c r="G11300" s="152">
        <v>477</v>
      </c>
      <c r="H11300" s="151" t="s">
        <v>16</v>
      </c>
      <c r="I11300" s="151" t="s">
        <v>562</v>
      </c>
    </row>
    <row r="11301" spans="1:9" x14ac:dyDescent="0.25">
      <c r="A11301" s="151">
        <v>1831</v>
      </c>
      <c r="B11301" s="151">
        <f>A11301+1</f>
        <v>1832</v>
      </c>
      <c r="C11301" s="151" t="s">
        <v>537</v>
      </c>
      <c r="D11301" s="151" t="s">
        <v>26</v>
      </c>
      <c r="E11301" s="208" t="s">
        <v>45</v>
      </c>
      <c r="F11301" s="151" t="s">
        <v>4</v>
      </c>
      <c r="G11301" s="152">
        <v>1147</v>
      </c>
      <c r="H11301" s="151" t="s">
        <v>16</v>
      </c>
      <c r="I11301" s="151" t="s">
        <v>562</v>
      </c>
    </row>
    <row r="11302" spans="1:9" x14ac:dyDescent="0.25">
      <c r="A11302" s="151">
        <v>1831</v>
      </c>
      <c r="B11302" s="151">
        <f>A11302+1</f>
        <v>1832</v>
      </c>
      <c r="C11302" s="151" t="s">
        <v>537</v>
      </c>
      <c r="D11302" s="151" t="s">
        <v>26</v>
      </c>
      <c r="E11302" s="208" t="s">
        <v>48</v>
      </c>
      <c r="F11302" s="151" t="s">
        <v>4</v>
      </c>
      <c r="G11302" s="152">
        <v>695</v>
      </c>
      <c r="H11302" s="151" t="s">
        <v>16</v>
      </c>
      <c r="I11302" s="151" t="s">
        <v>562</v>
      </c>
    </row>
    <row r="11303" spans="1:9" x14ac:dyDescent="0.25">
      <c r="A11303" s="151">
        <v>1831</v>
      </c>
      <c r="B11303" s="151">
        <f>A11303+1</f>
        <v>1832</v>
      </c>
      <c r="C11303" s="151" t="s">
        <v>537</v>
      </c>
      <c r="D11303" s="151" t="s">
        <v>26</v>
      </c>
      <c r="E11303" s="208" t="s">
        <v>102</v>
      </c>
      <c r="F11303" s="151" t="s">
        <v>4</v>
      </c>
      <c r="G11303" s="152">
        <v>151</v>
      </c>
      <c r="H11303" s="151" t="s">
        <v>16</v>
      </c>
      <c r="I11303" s="151" t="s">
        <v>562</v>
      </c>
    </row>
    <row r="11304" spans="1:9" x14ac:dyDescent="0.25">
      <c r="A11304" s="151">
        <v>1831</v>
      </c>
      <c r="B11304" s="151">
        <f>A11304+1</f>
        <v>1832</v>
      </c>
      <c r="C11304" s="151" t="s">
        <v>537</v>
      </c>
      <c r="D11304" s="151" t="s">
        <v>26</v>
      </c>
      <c r="E11304" s="208" t="s">
        <v>330</v>
      </c>
      <c r="F11304" s="151" t="s">
        <v>4</v>
      </c>
      <c r="G11304" s="152">
        <v>8</v>
      </c>
      <c r="H11304" s="151" t="s">
        <v>16</v>
      </c>
      <c r="I11304" s="151" t="s">
        <v>562</v>
      </c>
    </row>
    <row r="11305" spans="1:9" x14ac:dyDescent="0.25">
      <c r="A11305" s="151">
        <v>1831</v>
      </c>
      <c r="B11305" s="151">
        <f>A11305+1</f>
        <v>1832</v>
      </c>
      <c r="C11305" s="151" t="s">
        <v>537</v>
      </c>
      <c r="D11305" s="151" t="s">
        <v>26</v>
      </c>
      <c r="E11305" s="208" t="s">
        <v>331</v>
      </c>
      <c r="F11305" s="151" t="s">
        <v>4</v>
      </c>
      <c r="G11305" s="152">
        <v>0</v>
      </c>
      <c r="H11305" s="151" t="s">
        <v>16</v>
      </c>
      <c r="I11305" s="151" t="s">
        <v>562</v>
      </c>
    </row>
    <row r="11306" spans="1:9" x14ac:dyDescent="0.25">
      <c r="A11306" s="151">
        <v>1831</v>
      </c>
      <c r="B11306" s="151">
        <f>A11306+1</f>
        <v>1832</v>
      </c>
      <c r="C11306" s="151" t="s">
        <v>537</v>
      </c>
      <c r="D11306" s="151" t="s">
        <v>26</v>
      </c>
      <c r="E11306" s="208" t="s">
        <v>332</v>
      </c>
      <c r="F11306" s="151" t="s">
        <v>4</v>
      </c>
      <c r="G11306" s="152">
        <v>0</v>
      </c>
      <c r="H11306" s="151" t="s">
        <v>16</v>
      </c>
      <c r="I11306" s="151" t="s">
        <v>562</v>
      </c>
    </row>
    <row r="11307" spans="1:9" x14ac:dyDescent="0.25">
      <c r="A11307" s="151">
        <v>1831</v>
      </c>
      <c r="B11307" s="151">
        <f>A11307+1</f>
        <v>1832</v>
      </c>
      <c r="C11307" s="151" t="s">
        <v>537</v>
      </c>
      <c r="D11307" s="151" t="s">
        <v>26</v>
      </c>
      <c r="E11307" s="208" t="s">
        <v>333</v>
      </c>
      <c r="F11307" s="151" t="s">
        <v>4</v>
      </c>
      <c r="G11307" s="152">
        <v>0</v>
      </c>
      <c r="H11307" s="151" t="s">
        <v>16</v>
      </c>
      <c r="I11307" s="151" t="s">
        <v>562</v>
      </c>
    </row>
    <row r="11308" spans="1:9" x14ac:dyDescent="0.25">
      <c r="A11308" s="151">
        <v>1831</v>
      </c>
      <c r="B11308" s="151">
        <f>A11308+1</f>
        <v>1832</v>
      </c>
      <c r="C11308" s="151" t="s">
        <v>537</v>
      </c>
      <c r="D11308" s="151" t="s">
        <v>27</v>
      </c>
      <c r="E11308" s="208" t="s">
        <v>155</v>
      </c>
      <c r="F11308" s="151" t="s">
        <v>7</v>
      </c>
      <c r="G11308" s="152">
        <v>21771</v>
      </c>
      <c r="H11308" s="151" t="s">
        <v>16</v>
      </c>
      <c r="I11308" s="151" t="s">
        <v>562</v>
      </c>
    </row>
    <row r="11309" spans="1:9" x14ac:dyDescent="0.25">
      <c r="A11309" s="151">
        <v>1831</v>
      </c>
      <c r="B11309" s="151">
        <f>A11309+1</f>
        <v>1832</v>
      </c>
      <c r="C11309" s="151" t="s">
        <v>537</v>
      </c>
      <c r="D11309" s="151" t="s">
        <v>27</v>
      </c>
      <c r="E11309" s="208" t="s">
        <v>156</v>
      </c>
      <c r="F11309" s="151" t="s">
        <v>7</v>
      </c>
      <c r="G11309" s="152">
        <v>1228</v>
      </c>
      <c r="H11309" s="151" t="s">
        <v>16</v>
      </c>
      <c r="I11309" s="151" t="s">
        <v>562</v>
      </c>
    </row>
    <row r="11310" spans="1:9" x14ac:dyDescent="0.25">
      <c r="A11310" s="151">
        <v>1831</v>
      </c>
      <c r="B11310" s="151">
        <f>A11310+1</f>
        <v>1832</v>
      </c>
      <c r="C11310" s="151" t="s">
        <v>537</v>
      </c>
      <c r="D11310" s="151" t="s">
        <v>27</v>
      </c>
      <c r="E11310" s="208" t="s">
        <v>154</v>
      </c>
      <c r="F11310" s="151" t="s">
        <v>7</v>
      </c>
      <c r="G11310" s="152">
        <v>1733</v>
      </c>
      <c r="H11310" s="151" t="s">
        <v>16</v>
      </c>
      <c r="I11310" s="151" t="s">
        <v>562</v>
      </c>
    </row>
    <row r="11311" spans="1:9" x14ac:dyDescent="0.25">
      <c r="A11311" s="151">
        <v>1831</v>
      </c>
      <c r="B11311" s="151">
        <f>A11311+1</f>
        <v>1832</v>
      </c>
      <c r="C11311" s="151" t="s">
        <v>537</v>
      </c>
      <c r="D11311" s="151" t="s">
        <v>27</v>
      </c>
      <c r="E11311" s="208" t="s">
        <v>150</v>
      </c>
      <c r="F11311" s="151" t="s">
        <v>7</v>
      </c>
      <c r="G11311" s="152">
        <v>6222</v>
      </c>
      <c r="H11311" s="151" t="s">
        <v>16</v>
      </c>
      <c r="I11311" s="151" t="s">
        <v>562</v>
      </c>
    </row>
    <row r="11312" spans="1:9" x14ac:dyDescent="0.25">
      <c r="A11312" s="151">
        <v>1831</v>
      </c>
      <c r="B11312" s="151">
        <f>A11312+1</f>
        <v>1832</v>
      </c>
      <c r="C11312" s="151" t="s">
        <v>537</v>
      </c>
      <c r="D11312" s="151" t="s">
        <v>27</v>
      </c>
      <c r="E11312" s="208" t="s">
        <v>148</v>
      </c>
      <c r="F11312" s="151" t="s">
        <v>7</v>
      </c>
      <c r="G11312" s="152">
        <v>693</v>
      </c>
      <c r="H11312" s="151" t="s">
        <v>16</v>
      </c>
      <c r="I11312" s="151" t="s">
        <v>562</v>
      </c>
    </row>
    <row r="11313" spans="1:9" x14ac:dyDescent="0.25">
      <c r="A11313" s="151">
        <v>1831</v>
      </c>
      <c r="B11313" s="151">
        <f>A11313+1</f>
        <v>1832</v>
      </c>
      <c r="C11313" s="151" t="s">
        <v>537</v>
      </c>
      <c r="D11313" s="151" t="s">
        <v>27</v>
      </c>
      <c r="E11313" s="208" t="s">
        <v>147</v>
      </c>
      <c r="F11313" s="151" t="s">
        <v>7</v>
      </c>
      <c r="G11313" s="152">
        <v>961</v>
      </c>
      <c r="H11313" s="151" t="s">
        <v>16</v>
      </c>
      <c r="I11313" s="151" t="s">
        <v>562</v>
      </c>
    </row>
    <row r="11314" spans="1:9" x14ac:dyDescent="0.25">
      <c r="A11314" s="151">
        <v>1831</v>
      </c>
      <c r="B11314" s="151">
        <f>A11314+1</f>
        <v>1832</v>
      </c>
      <c r="C11314" s="151" t="s">
        <v>537</v>
      </c>
      <c r="D11314" s="151" t="s">
        <v>27</v>
      </c>
      <c r="E11314" s="208" t="s">
        <v>139</v>
      </c>
      <c r="F11314" s="151" t="s">
        <v>7</v>
      </c>
      <c r="G11314" s="152">
        <v>33</v>
      </c>
      <c r="H11314" s="151" t="s">
        <v>563</v>
      </c>
      <c r="I11314" s="151" t="s">
        <v>16</v>
      </c>
    </row>
    <row r="11315" spans="1:9" x14ac:dyDescent="0.25">
      <c r="A11315" s="151">
        <v>1831</v>
      </c>
      <c r="B11315" s="151">
        <f>A11315+1</f>
        <v>1832</v>
      </c>
      <c r="C11315" s="151" t="s">
        <v>537</v>
      </c>
      <c r="D11315" s="151" t="s">
        <v>27</v>
      </c>
      <c r="E11315" s="208" t="s">
        <v>132</v>
      </c>
      <c r="F11315" s="151" t="s">
        <v>7</v>
      </c>
      <c r="G11315" s="152">
        <v>134</v>
      </c>
      <c r="H11315" s="151" t="s">
        <v>563</v>
      </c>
      <c r="I11315" s="151" t="s">
        <v>16</v>
      </c>
    </row>
    <row r="11316" spans="1:9" x14ac:dyDescent="0.25">
      <c r="A11316" s="151">
        <v>1831</v>
      </c>
      <c r="B11316" s="151">
        <f>A11316+1</f>
        <v>1832</v>
      </c>
      <c r="C11316" s="151" t="s">
        <v>537</v>
      </c>
      <c r="D11316" s="151" t="s">
        <v>27</v>
      </c>
      <c r="E11316" s="208" t="s">
        <v>130</v>
      </c>
      <c r="F11316" s="151" t="s">
        <v>7</v>
      </c>
      <c r="G11316" s="152">
        <v>35</v>
      </c>
      <c r="H11316" s="151" t="s">
        <v>563</v>
      </c>
      <c r="I11316" s="151" t="s">
        <v>16</v>
      </c>
    </row>
    <row r="11317" spans="1:9" x14ac:dyDescent="0.25">
      <c r="A11317" s="151">
        <v>1831</v>
      </c>
      <c r="B11317" s="151">
        <f>A11317+1</f>
        <v>1832</v>
      </c>
      <c r="C11317" s="151" t="s">
        <v>537</v>
      </c>
      <c r="D11317" s="151" t="s">
        <v>27</v>
      </c>
      <c r="E11317" s="208" t="s">
        <v>143</v>
      </c>
      <c r="F11317" s="151" t="s">
        <v>7</v>
      </c>
      <c r="G11317" s="152">
        <v>116</v>
      </c>
      <c r="H11317" s="151" t="s">
        <v>563</v>
      </c>
      <c r="I11317" s="151" t="s">
        <v>16</v>
      </c>
    </row>
    <row r="11318" spans="1:9" x14ac:dyDescent="0.25">
      <c r="A11318" s="151">
        <v>1831</v>
      </c>
      <c r="B11318" s="151">
        <f>A11318+1</f>
        <v>1832</v>
      </c>
      <c r="C11318" s="151" t="s">
        <v>537</v>
      </c>
      <c r="D11318" s="151" t="s">
        <v>27</v>
      </c>
      <c r="E11318" s="208" t="s">
        <v>142</v>
      </c>
      <c r="F11318" s="151" t="s">
        <v>7</v>
      </c>
      <c r="G11318" s="152">
        <v>8025</v>
      </c>
      <c r="H11318" s="151" t="s">
        <v>563</v>
      </c>
      <c r="I11318" s="151" t="s">
        <v>16</v>
      </c>
    </row>
    <row r="11319" spans="1:9" x14ac:dyDescent="0.25">
      <c r="A11319" s="151">
        <v>1831</v>
      </c>
      <c r="B11319" s="151">
        <f>A11319+1</f>
        <v>1832</v>
      </c>
      <c r="C11319" s="151" t="s">
        <v>537</v>
      </c>
      <c r="D11319" s="151" t="s">
        <v>27</v>
      </c>
      <c r="E11319" s="208" t="s">
        <v>125</v>
      </c>
      <c r="F11319" s="151" t="s">
        <v>7</v>
      </c>
      <c r="G11319" s="152">
        <v>7771</v>
      </c>
      <c r="H11319" s="151" t="s">
        <v>563</v>
      </c>
      <c r="I11319" s="151" t="s">
        <v>16</v>
      </c>
    </row>
    <row r="11320" spans="1:9" x14ac:dyDescent="0.25">
      <c r="A11320" s="151">
        <v>1831</v>
      </c>
      <c r="B11320" s="151">
        <f>A11320+1</f>
        <v>1832</v>
      </c>
      <c r="C11320" s="151" t="s">
        <v>537</v>
      </c>
      <c r="D11320" s="151" t="s">
        <v>27</v>
      </c>
      <c r="E11320" s="208" t="s">
        <v>122</v>
      </c>
      <c r="F11320" s="151" t="s">
        <v>7</v>
      </c>
      <c r="G11320" s="152">
        <v>2798</v>
      </c>
      <c r="H11320" s="151" t="s">
        <v>563</v>
      </c>
      <c r="I11320" s="151" t="s">
        <v>16</v>
      </c>
    </row>
    <row r="11321" spans="1:9" x14ac:dyDescent="0.25">
      <c r="A11321" s="151">
        <v>1831</v>
      </c>
      <c r="B11321" s="151">
        <f>A11321+1</f>
        <v>1832</v>
      </c>
      <c r="C11321" s="151" t="s">
        <v>537</v>
      </c>
      <c r="D11321" s="151" t="s">
        <v>27</v>
      </c>
      <c r="E11321" s="208" t="s">
        <v>121</v>
      </c>
      <c r="F11321" s="151" t="s">
        <v>7</v>
      </c>
      <c r="G11321" s="152">
        <v>508</v>
      </c>
      <c r="H11321" s="151" t="s">
        <v>563</v>
      </c>
      <c r="I11321" s="151" t="s">
        <v>16</v>
      </c>
    </row>
    <row r="11322" spans="1:9" x14ac:dyDescent="0.25">
      <c r="A11322" s="151">
        <v>1831</v>
      </c>
      <c r="B11322" s="151">
        <f>A11322+1</f>
        <v>1832</v>
      </c>
      <c r="C11322" s="151" t="s">
        <v>537</v>
      </c>
      <c r="D11322" s="151" t="s">
        <v>27</v>
      </c>
      <c r="E11322" s="208" t="s">
        <v>127</v>
      </c>
      <c r="F11322" s="151" t="s">
        <v>7</v>
      </c>
      <c r="G11322" s="152">
        <v>73</v>
      </c>
      <c r="H11322" s="151" t="s">
        <v>563</v>
      </c>
      <c r="I11322" s="151" t="s">
        <v>16</v>
      </c>
    </row>
    <row r="11323" spans="1:9" x14ac:dyDescent="0.25">
      <c r="A11323" s="151">
        <v>1831</v>
      </c>
      <c r="B11323" s="151">
        <f>A11323+1</f>
        <v>1832</v>
      </c>
      <c r="C11323" s="151" t="s">
        <v>537</v>
      </c>
      <c r="D11323" s="151" t="s">
        <v>27</v>
      </c>
      <c r="E11323" s="208" t="s">
        <v>133</v>
      </c>
      <c r="F11323" s="151" t="s">
        <v>7</v>
      </c>
      <c r="G11323" s="152">
        <v>9665</v>
      </c>
      <c r="H11323" s="151" t="s">
        <v>563</v>
      </c>
      <c r="I11323" s="151" t="s">
        <v>16</v>
      </c>
    </row>
    <row r="11324" spans="1:9" x14ac:dyDescent="0.25">
      <c r="A11324" s="151">
        <v>1831</v>
      </c>
      <c r="B11324" s="151">
        <f>A11324+1</f>
        <v>1832</v>
      </c>
      <c r="C11324" s="151" t="s">
        <v>537</v>
      </c>
      <c r="D11324" s="151" t="s">
        <v>27</v>
      </c>
      <c r="E11324" s="208" t="s">
        <v>74</v>
      </c>
      <c r="F11324" s="151" t="s">
        <v>7</v>
      </c>
      <c r="G11324" s="152">
        <v>2533.6</v>
      </c>
      <c r="H11324" s="151" t="s">
        <v>563</v>
      </c>
      <c r="I11324" s="151" t="s">
        <v>16</v>
      </c>
    </row>
    <row r="11325" spans="1:9" x14ac:dyDescent="0.25">
      <c r="A11325" s="151">
        <v>1831</v>
      </c>
      <c r="B11325" s="151">
        <f>A11325+1</f>
        <v>1832</v>
      </c>
      <c r="C11325" s="151" t="s">
        <v>537</v>
      </c>
      <c r="D11325" s="151" t="s">
        <v>27</v>
      </c>
      <c r="E11325" s="208" t="s">
        <v>129</v>
      </c>
      <c r="F11325" s="151" t="s">
        <v>7</v>
      </c>
      <c r="G11325" s="152">
        <v>142.30000000000001</v>
      </c>
      <c r="H11325" s="151" t="s">
        <v>563</v>
      </c>
      <c r="I11325" s="151" t="s">
        <v>16</v>
      </c>
    </row>
    <row r="11326" spans="1:9" x14ac:dyDescent="0.25">
      <c r="A11326" s="151">
        <v>1831</v>
      </c>
      <c r="B11326" s="151">
        <f>A11326+1</f>
        <v>1832</v>
      </c>
      <c r="C11326" s="151" t="s">
        <v>537</v>
      </c>
      <c r="D11326" s="151" t="s">
        <v>27</v>
      </c>
      <c r="E11326" s="208" t="s">
        <v>141</v>
      </c>
      <c r="F11326" s="151" t="s">
        <v>7</v>
      </c>
      <c r="G11326" s="152">
        <v>160.65</v>
      </c>
      <c r="H11326" s="151" t="s">
        <v>563</v>
      </c>
      <c r="I11326" s="151" t="s">
        <v>16</v>
      </c>
    </row>
    <row r="11327" spans="1:9" x14ac:dyDescent="0.25">
      <c r="A11327" s="151">
        <v>1831</v>
      </c>
      <c r="B11327" s="151">
        <f>A11327+1</f>
        <v>1832</v>
      </c>
      <c r="C11327" s="151" t="s">
        <v>537</v>
      </c>
      <c r="D11327" s="151" t="s">
        <v>27</v>
      </c>
      <c r="E11327" s="208" t="s">
        <v>128</v>
      </c>
      <c r="F11327" s="151" t="s">
        <v>7</v>
      </c>
      <c r="G11327" s="152">
        <v>15</v>
      </c>
      <c r="H11327" s="151" t="s">
        <v>563</v>
      </c>
      <c r="I11327" s="151" t="s">
        <v>16</v>
      </c>
    </row>
    <row r="11328" spans="1:9" x14ac:dyDescent="0.25">
      <c r="A11328" s="151">
        <v>1831</v>
      </c>
      <c r="B11328" s="151">
        <f>A11328+1</f>
        <v>1832</v>
      </c>
      <c r="C11328" s="151" t="s">
        <v>537</v>
      </c>
      <c r="D11328" s="151" t="s">
        <v>27</v>
      </c>
      <c r="E11328" s="208" t="s">
        <v>135</v>
      </c>
      <c r="F11328" s="151" t="s">
        <v>7</v>
      </c>
      <c r="G11328" s="152">
        <v>27.15</v>
      </c>
      <c r="H11328" s="151" t="s">
        <v>563</v>
      </c>
      <c r="I11328" s="151" t="s">
        <v>16</v>
      </c>
    </row>
    <row r="11329" spans="1:9" x14ac:dyDescent="0.25">
      <c r="A11329" s="151">
        <v>1831</v>
      </c>
      <c r="B11329" s="151">
        <f>A11329+1</f>
        <v>1832</v>
      </c>
      <c r="C11329" s="151" t="s">
        <v>537</v>
      </c>
      <c r="D11329" s="151" t="s">
        <v>27</v>
      </c>
      <c r="E11329" s="208" t="s">
        <v>138</v>
      </c>
      <c r="F11329" s="151" t="s">
        <v>7</v>
      </c>
      <c r="G11329" s="152">
        <v>995</v>
      </c>
      <c r="H11329" s="151" t="s">
        <v>563</v>
      </c>
      <c r="I11329" s="151" t="s">
        <v>16</v>
      </c>
    </row>
    <row r="11330" spans="1:9" x14ac:dyDescent="0.25">
      <c r="A11330" s="151">
        <v>1831</v>
      </c>
      <c r="B11330" s="151">
        <f>A11330+1</f>
        <v>1832</v>
      </c>
      <c r="C11330" s="151" t="s">
        <v>537</v>
      </c>
      <c r="D11330" s="151" t="s">
        <v>27</v>
      </c>
      <c r="E11330" s="208" t="s">
        <v>134</v>
      </c>
      <c r="F11330" s="151" t="s">
        <v>7</v>
      </c>
      <c r="G11330" s="152">
        <v>1775</v>
      </c>
      <c r="H11330" s="151" t="s">
        <v>563</v>
      </c>
      <c r="I11330" s="151" t="s">
        <v>16</v>
      </c>
    </row>
    <row r="11331" spans="1:9" x14ac:dyDescent="0.25">
      <c r="A11331" s="151">
        <v>1831</v>
      </c>
      <c r="B11331" s="151">
        <f>A11331+1</f>
        <v>1832</v>
      </c>
      <c r="C11331" s="151" t="s">
        <v>537</v>
      </c>
      <c r="D11331" s="151" t="s">
        <v>26</v>
      </c>
      <c r="E11331" s="208" t="s">
        <v>34</v>
      </c>
      <c r="F11331" s="151" t="s">
        <v>7</v>
      </c>
      <c r="G11331" s="152">
        <v>32091</v>
      </c>
      <c r="H11331" s="151" t="s">
        <v>563</v>
      </c>
      <c r="I11331" s="151" t="s">
        <v>16</v>
      </c>
    </row>
    <row r="11332" spans="1:9" x14ac:dyDescent="0.25">
      <c r="A11332" s="151">
        <v>1831</v>
      </c>
      <c r="B11332" s="151">
        <f>A11332+1</f>
        <v>1832</v>
      </c>
      <c r="C11332" s="151" t="s">
        <v>537</v>
      </c>
      <c r="D11332" s="151" t="s">
        <v>26</v>
      </c>
      <c r="E11332" s="208" t="s">
        <v>63</v>
      </c>
      <c r="F11332" s="151" t="s">
        <v>7</v>
      </c>
      <c r="G11332" s="152">
        <v>4509</v>
      </c>
      <c r="H11332" s="151" t="s">
        <v>563</v>
      </c>
      <c r="I11332" s="151" t="s">
        <v>16</v>
      </c>
    </row>
    <row r="11333" spans="1:9" x14ac:dyDescent="0.25">
      <c r="A11333" s="151">
        <v>1831</v>
      </c>
      <c r="B11333" s="151">
        <f>A11333+1</f>
        <v>1832</v>
      </c>
      <c r="C11333" s="151" t="s">
        <v>537</v>
      </c>
      <c r="D11333" s="151" t="s">
        <v>26</v>
      </c>
      <c r="E11333" s="208" t="s">
        <v>62</v>
      </c>
      <c r="F11333" s="151" t="s">
        <v>7</v>
      </c>
      <c r="G11333" s="152">
        <v>43321</v>
      </c>
      <c r="H11333" s="151" t="s">
        <v>563</v>
      </c>
      <c r="I11333" s="151" t="s">
        <v>16</v>
      </c>
    </row>
    <row r="11334" spans="1:9" x14ac:dyDescent="0.25">
      <c r="A11334" s="151">
        <v>1831</v>
      </c>
      <c r="B11334" s="151">
        <f>A11334+1</f>
        <v>1832</v>
      </c>
      <c r="C11334" s="151" t="s">
        <v>537</v>
      </c>
      <c r="D11334" s="151" t="s">
        <v>26</v>
      </c>
      <c r="E11334" s="208" t="s">
        <v>55</v>
      </c>
      <c r="F11334" s="151" t="s">
        <v>7</v>
      </c>
      <c r="G11334" s="152">
        <v>5841</v>
      </c>
      <c r="H11334" s="151" t="s">
        <v>563</v>
      </c>
      <c r="I11334" s="151" t="s">
        <v>16</v>
      </c>
    </row>
    <row r="11335" spans="1:9" x14ac:dyDescent="0.25">
      <c r="A11335" s="151">
        <v>1831</v>
      </c>
      <c r="B11335" s="151">
        <f>A11335+1</f>
        <v>1832</v>
      </c>
      <c r="C11335" s="151" t="s">
        <v>537</v>
      </c>
      <c r="D11335" s="151" t="s">
        <v>26</v>
      </c>
      <c r="E11335" s="208" t="s">
        <v>36</v>
      </c>
      <c r="F11335" s="151" t="s">
        <v>7</v>
      </c>
      <c r="G11335" s="152">
        <v>3885</v>
      </c>
      <c r="H11335" s="151" t="s">
        <v>563</v>
      </c>
      <c r="I11335" s="151" t="s">
        <v>16</v>
      </c>
    </row>
    <row r="11336" spans="1:9" x14ac:dyDescent="0.25">
      <c r="A11336" s="151">
        <v>1831</v>
      </c>
      <c r="B11336" s="151">
        <f>A11336+1</f>
        <v>1832</v>
      </c>
      <c r="C11336" s="151" t="s">
        <v>537</v>
      </c>
      <c r="D11336" s="151" t="s">
        <v>26</v>
      </c>
      <c r="E11336" s="208" t="s">
        <v>35</v>
      </c>
      <c r="F11336" s="151" t="s">
        <v>7</v>
      </c>
      <c r="G11336" s="152">
        <v>430</v>
      </c>
      <c r="H11336" s="151" t="s">
        <v>563</v>
      </c>
      <c r="I11336" s="151" t="s">
        <v>16</v>
      </c>
    </row>
    <row r="11337" spans="1:9" x14ac:dyDescent="0.25">
      <c r="A11337" s="151">
        <v>1831</v>
      </c>
      <c r="B11337" s="151">
        <f>A11337+1</f>
        <v>1832</v>
      </c>
      <c r="C11337" s="151" t="s">
        <v>537</v>
      </c>
      <c r="D11337" s="151" t="s">
        <v>26</v>
      </c>
      <c r="E11337" s="208" t="s">
        <v>40</v>
      </c>
      <c r="F11337" s="151" t="s">
        <v>7</v>
      </c>
      <c r="G11337" s="152">
        <v>233632</v>
      </c>
      <c r="H11337" s="151" t="s">
        <v>563</v>
      </c>
      <c r="I11337" s="151" t="s">
        <v>16</v>
      </c>
    </row>
    <row r="11338" spans="1:9" x14ac:dyDescent="0.25">
      <c r="A11338" s="151">
        <v>1831</v>
      </c>
      <c r="B11338" s="151">
        <f>A11338+1</f>
        <v>1832</v>
      </c>
      <c r="C11338" s="151" t="s">
        <v>537</v>
      </c>
      <c r="D11338" s="151" t="s">
        <v>26</v>
      </c>
      <c r="E11338" s="208" t="s">
        <v>96</v>
      </c>
      <c r="F11338" s="151" t="s">
        <v>7</v>
      </c>
      <c r="G11338" s="152">
        <v>2883</v>
      </c>
      <c r="H11338" s="151" t="s">
        <v>17</v>
      </c>
      <c r="I11338" s="151" t="s">
        <v>24</v>
      </c>
    </row>
    <row r="11339" spans="1:9" x14ac:dyDescent="0.25">
      <c r="A11339" s="151">
        <v>1831</v>
      </c>
      <c r="B11339" s="151">
        <f>A11339+1</f>
        <v>1832</v>
      </c>
      <c r="C11339" s="151" t="s">
        <v>537</v>
      </c>
      <c r="D11339" s="151" t="s">
        <v>26</v>
      </c>
      <c r="E11339" s="208" t="s">
        <v>98</v>
      </c>
      <c r="F11339" s="151" t="s">
        <v>7</v>
      </c>
      <c r="G11339" s="152">
        <v>1195286</v>
      </c>
      <c r="H11339" s="151" t="s">
        <v>17</v>
      </c>
      <c r="I11339" s="151" t="s">
        <v>24</v>
      </c>
    </row>
    <row r="11340" spans="1:9" x14ac:dyDescent="0.25">
      <c r="A11340" s="151">
        <v>1831</v>
      </c>
      <c r="B11340" s="151">
        <f>A11340+1</f>
        <v>1832</v>
      </c>
      <c r="C11340" s="151" t="s">
        <v>537</v>
      </c>
      <c r="D11340" s="151" t="s">
        <v>26</v>
      </c>
      <c r="E11340" s="208" t="s">
        <v>442</v>
      </c>
      <c r="F11340" s="151" t="s">
        <v>7</v>
      </c>
      <c r="G11340" s="152">
        <v>10535</v>
      </c>
      <c r="H11340" s="151" t="s">
        <v>17</v>
      </c>
      <c r="I11340" s="151" t="s">
        <v>24</v>
      </c>
    </row>
    <row r="11341" spans="1:9" x14ac:dyDescent="0.25">
      <c r="A11341" s="151">
        <v>1831</v>
      </c>
      <c r="B11341" s="151">
        <f>A11341+1</f>
        <v>1832</v>
      </c>
      <c r="C11341" s="151" t="s">
        <v>537</v>
      </c>
      <c r="D11341" s="151" t="s">
        <v>26</v>
      </c>
      <c r="E11341" s="208" t="s">
        <v>105</v>
      </c>
      <c r="F11341" s="151" t="s">
        <v>7</v>
      </c>
      <c r="G11341" s="152">
        <v>1096198</v>
      </c>
      <c r="H11341" s="151" t="s">
        <v>17</v>
      </c>
      <c r="I11341" s="151" t="s">
        <v>24</v>
      </c>
    </row>
    <row r="11342" spans="1:9" x14ac:dyDescent="0.25">
      <c r="A11342" s="151">
        <v>1831</v>
      </c>
      <c r="B11342" s="151">
        <f>A11342+1</f>
        <v>1832</v>
      </c>
      <c r="C11342" s="151" t="s">
        <v>537</v>
      </c>
      <c r="D11342" s="151" t="s">
        <v>26</v>
      </c>
      <c r="E11342" s="208" t="s">
        <v>106</v>
      </c>
      <c r="F11342" s="151" t="s">
        <v>7</v>
      </c>
      <c r="G11342" s="152">
        <v>336502</v>
      </c>
      <c r="H11342" s="151" t="s">
        <v>17</v>
      </c>
      <c r="I11342" s="151" t="s">
        <v>24</v>
      </c>
    </row>
    <row r="11343" spans="1:9" x14ac:dyDescent="0.25">
      <c r="A11343" s="151">
        <v>1831</v>
      </c>
      <c r="B11343" s="151">
        <f>A11343+1</f>
        <v>1832</v>
      </c>
      <c r="C11343" s="151" t="s">
        <v>537</v>
      </c>
      <c r="D11343" s="151" t="s">
        <v>26</v>
      </c>
      <c r="E11343" s="208" t="s">
        <v>101</v>
      </c>
      <c r="F11343" s="151" t="s">
        <v>7</v>
      </c>
      <c r="G11343" s="152">
        <v>1671309</v>
      </c>
      <c r="H11343" s="151" t="s">
        <v>17</v>
      </c>
      <c r="I11343" s="151" t="s">
        <v>24</v>
      </c>
    </row>
    <row r="11344" spans="1:9" x14ac:dyDescent="0.25">
      <c r="A11344" s="151">
        <v>1831</v>
      </c>
      <c r="B11344" s="151">
        <f>A11344+1</f>
        <v>1832</v>
      </c>
      <c r="C11344" s="151" t="s">
        <v>537</v>
      </c>
      <c r="D11344" s="151" t="s">
        <v>26</v>
      </c>
      <c r="E11344" s="208" t="s">
        <v>75</v>
      </c>
      <c r="F11344" s="151" t="s">
        <v>7</v>
      </c>
      <c r="G11344" s="152">
        <v>2233611</v>
      </c>
      <c r="H11344" s="151" t="s">
        <v>17</v>
      </c>
      <c r="I11344" s="151" t="s">
        <v>24</v>
      </c>
    </row>
    <row r="11345" spans="1:9" x14ac:dyDescent="0.25">
      <c r="A11345" s="151">
        <v>1831</v>
      </c>
      <c r="B11345" s="151">
        <f>A11345+1</f>
        <v>1832</v>
      </c>
      <c r="C11345" s="151" t="s">
        <v>537</v>
      </c>
      <c r="D11345" s="151" t="s">
        <v>26</v>
      </c>
      <c r="E11345" s="208" t="s">
        <v>66</v>
      </c>
      <c r="F11345" s="151" t="s">
        <v>7</v>
      </c>
      <c r="G11345" s="152">
        <v>200274</v>
      </c>
      <c r="H11345" s="151" t="s">
        <v>17</v>
      </c>
      <c r="I11345" s="151" t="s">
        <v>24</v>
      </c>
    </row>
    <row r="11346" spans="1:9" x14ac:dyDescent="0.25">
      <c r="A11346" s="151">
        <v>1831</v>
      </c>
      <c r="B11346" s="151">
        <f>A11346+1</f>
        <v>1832</v>
      </c>
      <c r="C11346" s="151" t="s">
        <v>537</v>
      </c>
      <c r="D11346" s="151" t="s">
        <v>26</v>
      </c>
      <c r="E11346" s="208" t="s">
        <v>28</v>
      </c>
      <c r="F11346" s="151" t="s">
        <v>7</v>
      </c>
      <c r="G11346" s="152">
        <v>2222</v>
      </c>
      <c r="H11346" s="151" t="s">
        <v>17</v>
      </c>
      <c r="I11346" s="151" t="s">
        <v>24</v>
      </c>
    </row>
    <row r="11347" spans="1:9" x14ac:dyDescent="0.25">
      <c r="A11347" s="151">
        <v>1831</v>
      </c>
      <c r="B11347" s="151">
        <f>A11347+1</f>
        <v>1832</v>
      </c>
      <c r="C11347" s="151" t="s">
        <v>537</v>
      </c>
      <c r="D11347" s="151" t="s">
        <v>26</v>
      </c>
      <c r="E11347" s="208" t="s">
        <v>89</v>
      </c>
      <c r="F11347" s="151" t="s">
        <v>7</v>
      </c>
      <c r="G11347" s="152">
        <v>5530</v>
      </c>
      <c r="H11347" s="151" t="s">
        <v>17</v>
      </c>
      <c r="I11347" s="151" t="s">
        <v>24</v>
      </c>
    </row>
    <row r="11348" spans="1:9" x14ac:dyDescent="0.25">
      <c r="A11348" s="151">
        <v>1831</v>
      </c>
      <c r="B11348" s="151">
        <f>A11348+1</f>
        <v>1832</v>
      </c>
      <c r="C11348" s="151" t="s">
        <v>537</v>
      </c>
      <c r="D11348" s="151" t="s">
        <v>26</v>
      </c>
      <c r="E11348" s="208" t="s">
        <v>45</v>
      </c>
      <c r="F11348" s="151" t="s">
        <v>7</v>
      </c>
      <c r="G11348" s="152">
        <v>8159</v>
      </c>
      <c r="H11348" s="151" t="s">
        <v>17</v>
      </c>
      <c r="I11348" s="151" t="s">
        <v>24</v>
      </c>
    </row>
    <row r="11349" spans="1:9" x14ac:dyDescent="0.25">
      <c r="A11349" s="151">
        <v>1831</v>
      </c>
      <c r="B11349" s="151">
        <f>A11349+1</f>
        <v>1832</v>
      </c>
      <c r="C11349" s="151" t="s">
        <v>537</v>
      </c>
      <c r="D11349" s="151" t="s">
        <v>26</v>
      </c>
      <c r="E11349" s="208" t="s">
        <v>48</v>
      </c>
      <c r="F11349" s="151" t="s">
        <v>7</v>
      </c>
      <c r="G11349" s="152">
        <v>9670</v>
      </c>
      <c r="H11349" s="151" t="s">
        <v>17</v>
      </c>
      <c r="I11349" s="151" t="s">
        <v>24</v>
      </c>
    </row>
    <row r="11350" spans="1:9" x14ac:dyDescent="0.25">
      <c r="A11350" s="151">
        <v>1831</v>
      </c>
      <c r="B11350" s="151">
        <f>A11350+1</f>
        <v>1832</v>
      </c>
      <c r="C11350" s="151" t="s">
        <v>537</v>
      </c>
      <c r="D11350" s="151" t="s">
        <v>26</v>
      </c>
      <c r="E11350" s="208" t="s">
        <v>102</v>
      </c>
      <c r="F11350" s="151" t="s">
        <v>7</v>
      </c>
      <c r="G11350" s="152">
        <v>9718</v>
      </c>
      <c r="H11350" s="151" t="s">
        <v>17</v>
      </c>
      <c r="I11350" s="151" t="s">
        <v>24</v>
      </c>
    </row>
    <row r="11351" spans="1:9" x14ac:dyDescent="0.25">
      <c r="A11351" s="151">
        <v>1831</v>
      </c>
      <c r="B11351" s="151">
        <f>A11351+1</f>
        <v>1832</v>
      </c>
      <c r="C11351" s="151" t="s">
        <v>537</v>
      </c>
      <c r="D11351" s="151" t="s">
        <v>26</v>
      </c>
      <c r="E11351" s="208" t="s">
        <v>330</v>
      </c>
      <c r="F11351" s="151" t="s">
        <v>7</v>
      </c>
      <c r="G11351" s="152">
        <v>616</v>
      </c>
      <c r="H11351" s="151" t="s">
        <v>17</v>
      </c>
      <c r="I11351" s="151" t="s">
        <v>24</v>
      </c>
    </row>
    <row r="11352" spans="1:9" x14ac:dyDescent="0.25">
      <c r="A11352" s="151">
        <v>1831</v>
      </c>
      <c r="B11352" s="151">
        <f>A11352+1</f>
        <v>1832</v>
      </c>
      <c r="C11352" s="151" t="s">
        <v>537</v>
      </c>
      <c r="D11352" s="151" t="s">
        <v>26</v>
      </c>
      <c r="E11352" s="208" t="s">
        <v>331</v>
      </c>
      <c r="F11352" s="151" t="s">
        <v>7</v>
      </c>
      <c r="G11352" s="152">
        <v>474</v>
      </c>
      <c r="H11352" s="151" t="s">
        <v>17</v>
      </c>
      <c r="I11352" s="151" t="s">
        <v>24</v>
      </c>
    </row>
    <row r="11353" spans="1:9" x14ac:dyDescent="0.25">
      <c r="A11353" s="151">
        <v>1831</v>
      </c>
      <c r="B11353" s="151">
        <f>A11353+1</f>
        <v>1832</v>
      </c>
      <c r="C11353" s="151" t="s">
        <v>537</v>
      </c>
      <c r="D11353" s="151" t="s">
        <v>26</v>
      </c>
      <c r="E11353" s="208" t="s">
        <v>332</v>
      </c>
      <c r="F11353" s="151" t="s">
        <v>7</v>
      </c>
      <c r="G11353" s="152">
        <v>606</v>
      </c>
      <c r="H11353" s="151" t="s">
        <v>17</v>
      </c>
      <c r="I11353" s="151" t="s">
        <v>24</v>
      </c>
    </row>
    <row r="11354" spans="1:9" x14ac:dyDescent="0.25">
      <c r="A11354" s="151">
        <v>1831</v>
      </c>
      <c r="B11354" s="151">
        <f>A11354+1</f>
        <v>1832</v>
      </c>
      <c r="C11354" s="151" t="s">
        <v>537</v>
      </c>
      <c r="D11354" s="151" t="s">
        <v>26</v>
      </c>
      <c r="E11354" s="208" t="s">
        <v>333</v>
      </c>
      <c r="F11354" s="151" t="s">
        <v>7</v>
      </c>
      <c r="G11354" s="152">
        <v>591</v>
      </c>
      <c r="H11354" s="151" t="s">
        <v>17</v>
      </c>
      <c r="I11354" s="151" t="s">
        <v>24</v>
      </c>
    </row>
    <row r="11355" spans="1:9" x14ac:dyDescent="0.25">
      <c r="A11355" s="151">
        <v>1831</v>
      </c>
      <c r="B11355" s="151">
        <f>A11355+1</f>
        <v>1832</v>
      </c>
      <c r="C11355" s="151" t="s">
        <v>537</v>
      </c>
      <c r="D11355" s="151" t="s">
        <v>27</v>
      </c>
      <c r="E11355" s="208" t="s">
        <v>155</v>
      </c>
      <c r="F11355" s="151" t="s">
        <v>10</v>
      </c>
      <c r="G11355" s="152">
        <v>1203</v>
      </c>
      <c r="H11355" s="151" t="s">
        <v>17</v>
      </c>
      <c r="I11355" s="151" t="s">
        <v>24</v>
      </c>
    </row>
    <row r="11356" spans="1:9" x14ac:dyDescent="0.25">
      <c r="A11356" s="151">
        <v>1831</v>
      </c>
      <c r="B11356" s="151">
        <f>A11356+1</f>
        <v>1832</v>
      </c>
      <c r="C11356" s="151" t="s">
        <v>537</v>
      </c>
      <c r="D11356" s="151" t="s">
        <v>27</v>
      </c>
      <c r="E11356" s="208" t="s">
        <v>156</v>
      </c>
      <c r="F11356" s="151" t="s">
        <v>10</v>
      </c>
      <c r="G11356" s="152">
        <v>529</v>
      </c>
      <c r="H11356" s="151" t="s">
        <v>17</v>
      </c>
      <c r="I11356" s="151" t="s">
        <v>24</v>
      </c>
    </row>
    <row r="11357" spans="1:9" x14ac:dyDescent="0.25">
      <c r="A11357" s="151">
        <v>1831</v>
      </c>
      <c r="B11357" s="151">
        <f>A11357+1</f>
        <v>1832</v>
      </c>
      <c r="C11357" s="151" t="s">
        <v>537</v>
      </c>
      <c r="D11357" s="151" t="s">
        <v>27</v>
      </c>
      <c r="E11357" s="208" t="s">
        <v>154</v>
      </c>
      <c r="F11357" s="151" t="s">
        <v>10</v>
      </c>
      <c r="G11357" s="152">
        <v>1012</v>
      </c>
      <c r="H11357" s="151" t="s">
        <v>17</v>
      </c>
      <c r="I11357" s="151" t="s">
        <v>24</v>
      </c>
    </row>
    <row r="11358" spans="1:9" x14ac:dyDescent="0.25">
      <c r="A11358" s="151">
        <v>1831</v>
      </c>
      <c r="B11358" s="151">
        <f>A11358+1</f>
        <v>1832</v>
      </c>
      <c r="C11358" s="151" t="s">
        <v>537</v>
      </c>
      <c r="D11358" s="151" t="s">
        <v>27</v>
      </c>
      <c r="E11358" s="208" t="s">
        <v>150</v>
      </c>
      <c r="F11358" s="151" t="s">
        <v>10</v>
      </c>
      <c r="G11358" s="152">
        <v>4826</v>
      </c>
      <c r="H11358" s="151" t="s">
        <v>17</v>
      </c>
      <c r="I11358" s="151" t="s">
        <v>24</v>
      </c>
    </row>
    <row r="11359" spans="1:9" x14ac:dyDescent="0.25">
      <c r="A11359" s="151">
        <v>1831</v>
      </c>
      <c r="B11359" s="151">
        <f>A11359+1</f>
        <v>1832</v>
      </c>
      <c r="C11359" s="151" t="s">
        <v>537</v>
      </c>
      <c r="D11359" s="151" t="s">
        <v>27</v>
      </c>
      <c r="E11359" s="208" t="s">
        <v>148</v>
      </c>
      <c r="F11359" s="151" t="s">
        <v>10</v>
      </c>
      <c r="G11359" s="152">
        <v>232</v>
      </c>
      <c r="H11359" s="151" t="s">
        <v>17</v>
      </c>
      <c r="I11359" s="151" t="s">
        <v>24</v>
      </c>
    </row>
    <row r="11360" spans="1:9" x14ac:dyDescent="0.25">
      <c r="A11360" s="151">
        <v>1831</v>
      </c>
      <c r="B11360" s="151">
        <f>A11360+1</f>
        <v>1832</v>
      </c>
      <c r="C11360" s="151" t="s">
        <v>537</v>
      </c>
      <c r="D11360" s="151" t="s">
        <v>27</v>
      </c>
      <c r="E11360" s="208" t="s">
        <v>147</v>
      </c>
      <c r="F11360" s="151" t="s">
        <v>10</v>
      </c>
      <c r="G11360" s="152">
        <v>274</v>
      </c>
      <c r="H11360" s="151" t="s">
        <v>17</v>
      </c>
      <c r="I11360" s="151" t="s">
        <v>24</v>
      </c>
    </row>
    <row r="11361" spans="1:9" x14ac:dyDescent="0.25">
      <c r="A11361" s="151">
        <v>1831</v>
      </c>
      <c r="B11361" s="151">
        <f>A11361+1</f>
        <v>1832</v>
      </c>
      <c r="C11361" s="151" t="s">
        <v>537</v>
      </c>
      <c r="D11361" s="151" t="s">
        <v>27</v>
      </c>
      <c r="E11361" s="208" t="s">
        <v>139</v>
      </c>
      <c r="F11361" s="151" t="s">
        <v>10</v>
      </c>
      <c r="G11361" s="152">
        <v>363</v>
      </c>
      <c r="H11361" s="151" t="s">
        <v>24</v>
      </c>
      <c r="I11361" s="151" t="s">
        <v>17</v>
      </c>
    </row>
    <row r="11362" spans="1:9" x14ac:dyDescent="0.25">
      <c r="A11362" s="151">
        <v>1831</v>
      </c>
      <c r="B11362" s="151">
        <f>A11362+1</f>
        <v>1832</v>
      </c>
      <c r="C11362" s="151" t="s">
        <v>537</v>
      </c>
      <c r="D11362" s="151" t="s">
        <v>27</v>
      </c>
      <c r="E11362" s="208" t="s">
        <v>132</v>
      </c>
      <c r="F11362" s="151" t="s">
        <v>10</v>
      </c>
      <c r="G11362" s="152">
        <v>22</v>
      </c>
      <c r="H11362" s="151" t="s">
        <v>24</v>
      </c>
      <c r="I11362" s="151" t="s">
        <v>17</v>
      </c>
    </row>
    <row r="11363" spans="1:9" x14ac:dyDescent="0.25">
      <c r="A11363" s="151">
        <v>1831</v>
      </c>
      <c r="B11363" s="151">
        <f>A11363+1</f>
        <v>1832</v>
      </c>
      <c r="C11363" s="151" t="s">
        <v>537</v>
      </c>
      <c r="D11363" s="151" t="s">
        <v>27</v>
      </c>
      <c r="E11363" s="208" t="s">
        <v>130</v>
      </c>
      <c r="F11363" s="151" t="s">
        <v>10</v>
      </c>
      <c r="G11363" s="152">
        <v>0</v>
      </c>
      <c r="H11363" s="151" t="s">
        <v>24</v>
      </c>
      <c r="I11363" s="151" t="s">
        <v>17</v>
      </c>
    </row>
    <row r="11364" spans="1:9" x14ac:dyDescent="0.25">
      <c r="A11364" s="151">
        <v>1831</v>
      </c>
      <c r="B11364" s="151">
        <f>A11364+1</f>
        <v>1832</v>
      </c>
      <c r="C11364" s="151" t="s">
        <v>537</v>
      </c>
      <c r="D11364" s="151" t="s">
        <v>27</v>
      </c>
      <c r="E11364" s="208" t="s">
        <v>143</v>
      </c>
      <c r="F11364" s="151" t="s">
        <v>10</v>
      </c>
      <c r="G11364" s="152">
        <v>37</v>
      </c>
      <c r="H11364" s="151" t="s">
        <v>24</v>
      </c>
      <c r="I11364" s="151" t="s">
        <v>17</v>
      </c>
    </row>
    <row r="11365" spans="1:9" x14ac:dyDescent="0.25">
      <c r="A11365" s="151">
        <v>1831</v>
      </c>
      <c r="B11365" s="151">
        <f>A11365+1</f>
        <v>1832</v>
      </c>
      <c r="C11365" s="151" t="s">
        <v>537</v>
      </c>
      <c r="D11365" s="151" t="s">
        <v>27</v>
      </c>
      <c r="E11365" s="208" t="s">
        <v>142</v>
      </c>
      <c r="F11365" s="151" t="s">
        <v>10</v>
      </c>
      <c r="G11365" s="152">
        <v>103</v>
      </c>
      <c r="H11365" s="151" t="s">
        <v>24</v>
      </c>
      <c r="I11365" s="151" t="s">
        <v>17</v>
      </c>
    </row>
    <row r="11366" spans="1:9" x14ac:dyDescent="0.25">
      <c r="A11366" s="151">
        <v>1831</v>
      </c>
      <c r="B11366" s="151">
        <f>A11366+1</f>
        <v>1832</v>
      </c>
      <c r="C11366" s="151" t="s">
        <v>537</v>
      </c>
      <c r="D11366" s="151" t="s">
        <v>27</v>
      </c>
      <c r="E11366" s="208" t="s">
        <v>125</v>
      </c>
      <c r="F11366" s="151" t="s">
        <v>10</v>
      </c>
      <c r="G11366" s="152">
        <v>29</v>
      </c>
      <c r="H11366" s="151" t="s">
        <v>24</v>
      </c>
      <c r="I11366" s="151" t="s">
        <v>17</v>
      </c>
    </row>
    <row r="11367" spans="1:9" x14ac:dyDescent="0.25">
      <c r="A11367" s="151">
        <v>1831</v>
      </c>
      <c r="B11367" s="151">
        <f>A11367+1</f>
        <v>1832</v>
      </c>
      <c r="C11367" s="151" t="s">
        <v>537</v>
      </c>
      <c r="D11367" s="151" t="s">
        <v>27</v>
      </c>
      <c r="E11367" s="208" t="s">
        <v>122</v>
      </c>
      <c r="F11367" s="151" t="s">
        <v>10</v>
      </c>
      <c r="G11367" s="152">
        <v>77</v>
      </c>
      <c r="H11367" s="151" t="s">
        <v>24</v>
      </c>
      <c r="I11367" s="151" t="s">
        <v>17</v>
      </c>
    </row>
    <row r="11368" spans="1:9" x14ac:dyDescent="0.25">
      <c r="A11368" s="151">
        <v>1831</v>
      </c>
      <c r="B11368" s="151">
        <f>A11368+1</f>
        <v>1832</v>
      </c>
      <c r="C11368" s="151" t="s">
        <v>537</v>
      </c>
      <c r="D11368" s="151" t="s">
        <v>27</v>
      </c>
      <c r="E11368" s="208" t="s">
        <v>121</v>
      </c>
      <c r="F11368" s="151" t="s">
        <v>10</v>
      </c>
      <c r="G11368" s="152">
        <v>25</v>
      </c>
      <c r="H11368" s="151" t="s">
        <v>24</v>
      </c>
      <c r="I11368" s="151" t="s">
        <v>17</v>
      </c>
    </row>
    <row r="11369" spans="1:9" x14ac:dyDescent="0.25">
      <c r="A11369" s="151">
        <v>1831</v>
      </c>
      <c r="B11369" s="151">
        <f>A11369+1</f>
        <v>1832</v>
      </c>
      <c r="C11369" s="151" t="s">
        <v>537</v>
      </c>
      <c r="D11369" s="151" t="s">
        <v>27</v>
      </c>
      <c r="E11369" s="208" t="s">
        <v>127</v>
      </c>
      <c r="F11369" s="151" t="s">
        <v>10</v>
      </c>
      <c r="G11369" s="152">
        <v>0</v>
      </c>
      <c r="H11369" s="151" t="s">
        <v>24</v>
      </c>
      <c r="I11369" s="151" t="s">
        <v>17</v>
      </c>
    </row>
    <row r="11370" spans="1:9" x14ac:dyDescent="0.25">
      <c r="A11370" s="151">
        <v>1831</v>
      </c>
      <c r="B11370" s="151">
        <f>A11370+1</f>
        <v>1832</v>
      </c>
      <c r="C11370" s="151" t="s">
        <v>537</v>
      </c>
      <c r="D11370" s="151" t="s">
        <v>27</v>
      </c>
      <c r="E11370" s="208" t="s">
        <v>133</v>
      </c>
      <c r="F11370" s="151" t="s">
        <v>10</v>
      </c>
      <c r="G11370" s="152">
        <v>2158</v>
      </c>
      <c r="H11370" s="151" t="s">
        <v>24</v>
      </c>
      <c r="I11370" s="151" t="s">
        <v>17</v>
      </c>
    </row>
    <row r="11371" spans="1:9" x14ac:dyDescent="0.25">
      <c r="A11371" s="151">
        <v>1831</v>
      </c>
      <c r="B11371" s="151">
        <f>A11371+1</f>
        <v>1832</v>
      </c>
      <c r="C11371" s="151" t="s">
        <v>537</v>
      </c>
      <c r="D11371" s="151" t="s">
        <v>27</v>
      </c>
      <c r="E11371" s="208" t="s">
        <v>74</v>
      </c>
      <c r="F11371" s="151" t="s">
        <v>10</v>
      </c>
      <c r="G11371" s="152">
        <v>117</v>
      </c>
      <c r="H11371" s="151" t="s">
        <v>24</v>
      </c>
      <c r="I11371" s="151" t="s">
        <v>17</v>
      </c>
    </row>
    <row r="11372" spans="1:9" x14ac:dyDescent="0.25">
      <c r="A11372" s="151">
        <v>1831</v>
      </c>
      <c r="B11372" s="151">
        <f>A11372+1</f>
        <v>1832</v>
      </c>
      <c r="C11372" s="151" t="s">
        <v>537</v>
      </c>
      <c r="D11372" s="151" t="s">
        <v>27</v>
      </c>
      <c r="E11372" s="208" t="s">
        <v>129</v>
      </c>
      <c r="F11372" s="151" t="s">
        <v>10</v>
      </c>
      <c r="G11372" s="152">
        <v>2</v>
      </c>
      <c r="H11372" s="151" t="s">
        <v>24</v>
      </c>
      <c r="I11372" s="151" t="s">
        <v>17</v>
      </c>
    </row>
    <row r="11373" spans="1:9" x14ac:dyDescent="0.25">
      <c r="A11373" s="151">
        <v>1831</v>
      </c>
      <c r="B11373" s="151">
        <f>A11373+1</f>
        <v>1832</v>
      </c>
      <c r="C11373" s="151" t="s">
        <v>537</v>
      </c>
      <c r="D11373" s="151" t="s">
        <v>27</v>
      </c>
      <c r="E11373" s="208" t="s">
        <v>141</v>
      </c>
      <c r="F11373" s="151" t="s">
        <v>10</v>
      </c>
      <c r="G11373" s="152">
        <v>0</v>
      </c>
      <c r="H11373" s="151" t="s">
        <v>24</v>
      </c>
      <c r="I11373" s="151" t="s">
        <v>17</v>
      </c>
    </row>
    <row r="11374" spans="1:9" x14ac:dyDescent="0.25">
      <c r="A11374" s="151">
        <v>1831</v>
      </c>
      <c r="B11374" s="151">
        <f>A11374+1</f>
        <v>1832</v>
      </c>
      <c r="C11374" s="151" t="s">
        <v>537</v>
      </c>
      <c r="D11374" s="151" t="s">
        <v>27</v>
      </c>
      <c r="E11374" s="208" t="s">
        <v>128</v>
      </c>
      <c r="F11374" s="151" t="s">
        <v>10</v>
      </c>
      <c r="G11374" s="152">
        <v>0</v>
      </c>
      <c r="H11374" s="151" t="s">
        <v>24</v>
      </c>
      <c r="I11374" s="151" t="s">
        <v>17</v>
      </c>
    </row>
    <row r="11375" spans="1:9" x14ac:dyDescent="0.25">
      <c r="A11375" s="151">
        <v>1831</v>
      </c>
      <c r="B11375" s="151">
        <f>A11375+1</f>
        <v>1832</v>
      </c>
      <c r="C11375" s="151" t="s">
        <v>537</v>
      </c>
      <c r="D11375" s="151" t="s">
        <v>27</v>
      </c>
      <c r="E11375" s="208" t="s">
        <v>135</v>
      </c>
      <c r="F11375" s="151" t="s">
        <v>10</v>
      </c>
      <c r="G11375" s="152">
        <v>8</v>
      </c>
      <c r="H11375" s="151" t="s">
        <v>24</v>
      </c>
      <c r="I11375" s="151" t="s">
        <v>17</v>
      </c>
    </row>
    <row r="11376" spans="1:9" x14ac:dyDescent="0.25">
      <c r="A11376" s="151">
        <v>1831</v>
      </c>
      <c r="B11376" s="151">
        <f>A11376+1</f>
        <v>1832</v>
      </c>
      <c r="C11376" s="151" t="s">
        <v>537</v>
      </c>
      <c r="D11376" s="151" t="s">
        <v>27</v>
      </c>
      <c r="E11376" s="208" t="s">
        <v>138</v>
      </c>
      <c r="F11376" s="151" t="s">
        <v>10</v>
      </c>
      <c r="G11376" s="152">
        <v>192</v>
      </c>
      <c r="H11376" s="151" t="s">
        <v>24</v>
      </c>
      <c r="I11376" s="151" t="s">
        <v>17</v>
      </c>
    </row>
    <row r="11377" spans="1:9" x14ac:dyDescent="0.25">
      <c r="A11377" s="151">
        <v>1831</v>
      </c>
      <c r="B11377" s="151">
        <f>A11377+1</f>
        <v>1832</v>
      </c>
      <c r="C11377" s="151" t="s">
        <v>537</v>
      </c>
      <c r="D11377" s="151" t="s">
        <v>27</v>
      </c>
      <c r="E11377" s="208" t="s">
        <v>134</v>
      </c>
      <c r="F11377" s="151" t="s">
        <v>10</v>
      </c>
      <c r="G11377" s="152">
        <v>0</v>
      </c>
      <c r="H11377" s="151" t="s">
        <v>24</v>
      </c>
      <c r="I11377" s="151" t="s">
        <v>17</v>
      </c>
    </row>
    <row r="11378" spans="1:9" x14ac:dyDescent="0.25">
      <c r="A11378" s="151">
        <v>1831</v>
      </c>
      <c r="B11378" s="151">
        <f>A11378+1</f>
        <v>1832</v>
      </c>
      <c r="C11378" s="151" t="s">
        <v>537</v>
      </c>
      <c r="D11378" s="151" t="s">
        <v>26</v>
      </c>
      <c r="E11378" s="208" t="s">
        <v>34</v>
      </c>
      <c r="F11378" s="151" t="s">
        <v>10</v>
      </c>
      <c r="G11378" s="152">
        <v>0</v>
      </c>
      <c r="H11378" s="151" t="s">
        <v>24</v>
      </c>
      <c r="I11378" s="151" t="s">
        <v>17</v>
      </c>
    </row>
    <row r="11379" spans="1:9" x14ac:dyDescent="0.25">
      <c r="A11379" s="151">
        <v>1831</v>
      </c>
      <c r="B11379" s="151">
        <f>A11379+1</f>
        <v>1832</v>
      </c>
      <c r="C11379" s="151" t="s">
        <v>537</v>
      </c>
      <c r="D11379" s="151" t="s">
        <v>26</v>
      </c>
      <c r="E11379" s="208" t="s">
        <v>63</v>
      </c>
      <c r="F11379" s="151" t="s">
        <v>10</v>
      </c>
      <c r="G11379" s="152">
        <v>0</v>
      </c>
      <c r="H11379" s="151" t="s">
        <v>24</v>
      </c>
      <c r="I11379" s="151" t="s">
        <v>17</v>
      </c>
    </row>
    <row r="11380" spans="1:9" x14ac:dyDescent="0.25">
      <c r="A11380" s="151">
        <v>1831</v>
      </c>
      <c r="B11380" s="151">
        <f>A11380+1</f>
        <v>1832</v>
      </c>
      <c r="C11380" s="151" t="s">
        <v>537</v>
      </c>
      <c r="D11380" s="151" t="s">
        <v>26</v>
      </c>
      <c r="E11380" s="208" t="s">
        <v>62</v>
      </c>
      <c r="F11380" s="151" t="s">
        <v>10</v>
      </c>
      <c r="G11380" s="152">
        <v>616</v>
      </c>
      <c r="H11380" s="151" t="s">
        <v>24</v>
      </c>
      <c r="I11380" s="151" t="s">
        <v>17</v>
      </c>
    </row>
    <row r="11381" spans="1:9" x14ac:dyDescent="0.25">
      <c r="A11381" s="151">
        <v>1831</v>
      </c>
      <c r="B11381" s="151">
        <f>A11381+1</f>
        <v>1832</v>
      </c>
      <c r="C11381" s="151" t="s">
        <v>537</v>
      </c>
      <c r="D11381" s="151" t="s">
        <v>26</v>
      </c>
      <c r="E11381" s="208" t="s">
        <v>55</v>
      </c>
      <c r="F11381" s="151" t="s">
        <v>10</v>
      </c>
      <c r="G11381" s="152">
        <v>0</v>
      </c>
      <c r="H11381" s="151" t="s">
        <v>24</v>
      </c>
      <c r="I11381" s="151" t="s">
        <v>17</v>
      </c>
    </row>
    <row r="11382" spans="1:9" x14ac:dyDescent="0.25">
      <c r="A11382" s="151">
        <v>1831</v>
      </c>
      <c r="B11382" s="151">
        <f>A11382+1</f>
        <v>1832</v>
      </c>
      <c r="C11382" s="151" t="s">
        <v>537</v>
      </c>
      <c r="D11382" s="151" t="s">
        <v>26</v>
      </c>
      <c r="E11382" s="208" t="s">
        <v>36</v>
      </c>
      <c r="F11382" s="151" t="s">
        <v>10</v>
      </c>
      <c r="G11382" s="152">
        <v>128</v>
      </c>
      <c r="H11382" s="151" t="s">
        <v>24</v>
      </c>
      <c r="I11382" s="151" t="s">
        <v>17</v>
      </c>
    </row>
    <row r="11383" spans="1:9" x14ac:dyDescent="0.25">
      <c r="A11383" s="151">
        <v>1831</v>
      </c>
      <c r="B11383" s="151">
        <f>A11383+1</f>
        <v>1832</v>
      </c>
      <c r="C11383" s="151" t="s">
        <v>537</v>
      </c>
      <c r="D11383" s="151" t="s">
        <v>26</v>
      </c>
      <c r="E11383" s="208" t="s">
        <v>35</v>
      </c>
      <c r="F11383" s="151" t="s">
        <v>10</v>
      </c>
      <c r="G11383" s="152">
        <v>0</v>
      </c>
      <c r="H11383" s="151" t="s">
        <v>24</v>
      </c>
      <c r="I11383" s="151" t="s">
        <v>17</v>
      </c>
    </row>
    <row r="11384" spans="1:9" x14ac:dyDescent="0.25">
      <c r="A11384" s="151">
        <v>1831</v>
      </c>
      <c r="B11384" s="151">
        <f>A11384+1</f>
        <v>1832</v>
      </c>
      <c r="C11384" s="151" t="s">
        <v>537</v>
      </c>
      <c r="D11384" s="151" t="s">
        <v>26</v>
      </c>
      <c r="E11384" s="208" t="s">
        <v>40</v>
      </c>
      <c r="F11384" s="151" t="s">
        <v>10</v>
      </c>
      <c r="G11384" s="152">
        <v>56336</v>
      </c>
      <c r="H11384" s="151" t="s">
        <v>24</v>
      </c>
      <c r="I11384" s="151" t="s">
        <v>17</v>
      </c>
    </row>
    <row r="11385" spans="1:9" x14ac:dyDescent="0.25">
      <c r="A11385" s="151">
        <v>1831</v>
      </c>
      <c r="B11385" s="151">
        <f>A11385+1</f>
        <v>1832</v>
      </c>
      <c r="C11385" s="151" t="s">
        <v>537</v>
      </c>
      <c r="D11385" s="151" t="s">
        <v>26</v>
      </c>
      <c r="E11385" s="208" t="s">
        <v>96</v>
      </c>
      <c r="F11385" s="151" t="s">
        <v>10</v>
      </c>
      <c r="G11385" s="152">
        <v>0</v>
      </c>
      <c r="H11385" s="151" t="s">
        <v>17</v>
      </c>
      <c r="I11385" s="151" t="s">
        <v>22</v>
      </c>
    </row>
    <row r="11386" spans="1:9" x14ac:dyDescent="0.25">
      <c r="A11386" s="151">
        <v>1831</v>
      </c>
      <c r="B11386" s="151">
        <f>A11386+1</f>
        <v>1832</v>
      </c>
      <c r="C11386" s="151" t="s">
        <v>537</v>
      </c>
      <c r="D11386" s="151" t="s">
        <v>26</v>
      </c>
      <c r="E11386" s="208" t="s">
        <v>98</v>
      </c>
      <c r="F11386" s="151" t="s">
        <v>10</v>
      </c>
      <c r="G11386" s="152">
        <v>0</v>
      </c>
      <c r="H11386" s="151" t="s">
        <v>17</v>
      </c>
      <c r="I11386" s="151" t="s">
        <v>22</v>
      </c>
    </row>
    <row r="11387" spans="1:9" x14ac:dyDescent="0.25">
      <c r="A11387" s="151">
        <v>1831</v>
      </c>
      <c r="B11387" s="151">
        <f>A11387+1</f>
        <v>1832</v>
      </c>
      <c r="C11387" s="151" t="s">
        <v>537</v>
      </c>
      <c r="D11387" s="151" t="s">
        <v>26</v>
      </c>
      <c r="E11387" s="208" t="s">
        <v>442</v>
      </c>
      <c r="F11387" s="151" t="s">
        <v>10</v>
      </c>
      <c r="G11387" s="152">
        <v>0</v>
      </c>
      <c r="H11387" s="151" t="s">
        <v>17</v>
      </c>
      <c r="I11387" s="151" t="s">
        <v>22</v>
      </c>
    </row>
    <row r="11388" spans="1:9" x14ac:dyDescent="0.25">
      <c r="A11388" s="151">
        <v>1831</v>
      </c>
      <c r="B11388" s="151">
        <f>A11388+1</f>
        <v>1832</v>
      </c>
      <c r="C11388" s="151" t="s">
        <v>537</v>
      </c>
      <c r="D11388" s="151" t="s">
        <v>26</v>
      </c>
      <c r="E11388" s="208" t="s">
        <v>105</v>
      </c>
      <c r="F11388" s="151" t="s">
        <v>10</v>
      </c>
      <c r="G11388" s="152">
        <v>91955</v>
      </c>
      <c r="H11388" s="151" t="s">
        <v>17</v>
      </c>
      <c r="I11388" s="151" t="s">
        <v>22</v>
      </c>
    </row>
    <row r="11389" spans="1:9" x14ac:dyDescent="0.25">
      <c r="A11389" s="151">
        <v>1831</v>
      </c>
      <c r="B11389" s="151">
        <f>A11389+1</f>
        <v>1832</v>
      </c>
      <c r="C11389" s="151" t="s">
        <v>537</v>
      </c>
      <c r="D11389" s="151" t="s">
        <v>26</v>
      </c>
      <c r="E11389" s="208" t="s">
        <v>106</v>
      </c>
      <c r="F11389" s="151" t="s">
        <v>10</v>
      </c>
      <c r="G11389" s="152">
        <v>121087</v>
      </c>
      <c r="H11389" s="151" t="s">
        <v>17</v>
      </c>
      <c r="I11389" s="151" t="s">
        <v>22</v>
      </c>
    </row>
    <row r="11390" spans="1:9" x14ac:dyDescent="0.25">
      <c r="A11390" s="151">
        <v>1831</v>
      </c>
      <c r="B11390" s="151">
        <f>A11390+1</f>
        <v>1832</v>
      </c>
      <c r="C11390" s="151" t="s">
        <v>537</v>
      </c>
      <c r="D11390" s="151" t="s">
        <v>26</v>
      </c>
      <c r="E11390" s="208" t="s">
        <v>101</v>
      </c>
      <c r="F11390" s="151" t="s">
        <v>10</v>
      </c>
      <c r="G11390" s="152">
        <v>400700</v>
      </c>
      <c r="H11390" s="151" t="s">
        <v>17</v>
      </c>
      <c r="I11390" s="151" t="s">
        <v>22</v>
      </c>
    </row>
    <row r="11391" spans="1:9" x14ac:dyDescent="0.25">
      <c r="A11391" s="151">
        <v>1831</v>
      </c>
      <c r="B11391" s="151">
        <f>A11391+1</f>
        <v>1832</v>
      </c>
      <c r="C11391" s="151" t="s">
        <v>537</v>
      </c>
      <c r="D11391" s="151" t="s">
        <v>26</v>
      </c>
      <c r="E11391" s="208" t="s">
        <v>75</v>
      </c>
      <c r="F11391" s="151" t="s">
        <v>10</v>
      </c>
      <c r="G11391" s="152">
        <v>2612033</v>
      </c>
      <c r="H11391" s="151" t="s">
        <v>17</v>
      </c>
      <c r="I11391" s="151" t="s">
        <v>22</v>
      </c>
    </row>
    <row r="11392" spans="1:9" x14ac:dyDescent="0.25">
      <c r="A11392" s="151">
        <v>1831</v>
      </c>
      <c r="B11392" s="151">
        <f>A11392+1</f>
        <v>1832</v>
      </c>
      <c r="C11392" s="151" t="s">
        <v>537</v>
      </c>
      <c r="D11392" s="151" t="s">
        <v>26</v>
      </c>
      <c r="E11392" s="208" t="s">
        <v>66</v>
      </c>
      <c r="F11392" s="151" t="s">
        <v>10</v>
      </c>
      <c r="G11392" s="152">
        <v>638</v>
      </c>
      <c r="H11392" s="151" t="s">
        <v>17</v>
      </c>
      <c r="I11392" s="151" t="s">
        <v>22</v>
      </c>
    </row>
    <row r="11393" spans="1:9" x14ac:dyDescent="0.25">
      <c r="A11393" s="151">
        <v>1831</v>
      </c>
      <c r="B11393" s="151">
        <f>A11393+1</f>
        <v>1832</v>
      </c>
      <c r="C11393" s="151" t="s">
        <v>537</v>
      </c>
      <c r="D11393" s="151" t="s">
        <v>26</v>
      </c>
      <c r="E11393" s="208" t="s">
        <v>28</v>
      </c>
      <c r="F11393" s="151" t="s">
        <v>10</v>
      </c>
      <c r="G11393" s="152">
        <v>208</v>
      </c>
      <c r="H11393" s="151" t="s">
        <v>17</v>
      </c>
      <c r="I11393" s="151" t="s">
        <v>22</v>
      </c>
    </row>
    <row r="11394" spans="1:9" x14ac:dyDescent="0.25">
      <c r="A11394" s="151">
        <v>1831</v>
      </c>
      <c r="B11394" s="151">
        <f>A11394+1</f>
        <v>1832</v>
      </c>
      <c r="C11394" s="151" t="s">
        <v>537</v>
      </c>
      <c r="D11394" s="151" t="s">
        <v>26</v>
      </c>
      <c r="E11394" s="208" t="s">
        <v>89</v>
      </c>
      <c r="F11394" s="151" t="s">
        <v>10</v>
      </c>
      <c r="G11394" s="152">
        <v>692</v>
      </c>
      <c r="H11394" s="151" t="s">
        <v>17</v>
      </c>
      <c r="I11394" s="151" t="s">
        <v>22</v>
      </c>
    </row>
    <row r="11395" spans="1:9" x14ac:dyDescent="0.25">
      <c r="A11395" s="151">
        <v>1831</v>
      </c>
      <c r="B11395" s="151">
        <f>A11395+1</f>
        <v>1832</v>
      </c>
      <c r="C11395" s="151" t="s">
        <v>537</v>
      </c>
      <c r="D11395" s="151" t="s">
        <v>26</v>
      </c>
      <c r="E11395" s="208" t="s">
        <v>45</v>
      </c>
      <c r="F11395" s="151" t="s">
        <v>10</v>
      </c>
      <c r="G11395" s="152">
        <v>75</v>
      </c>
      <c r="H11395" s="151" t="s">
        <v>17</v>
      </c>
      <c r="I11395" s="151" t="s">
        <v>22</v>
      </c>
    </row>
    <row r="11396" spans="1:9" x14ac:dyDescent="0.25">
      <c r="A11396" s="151">
        <v>1831</v>
      </c>
      <c r="B11396" s="151">
        <f>A11396+1</f>
        <v>1832</v>
      </c>
      <c r="C11396" s="151" t="s">
        <v>537</v>
      </c>
      <c r="D11396" s="151" t="s">
        <v>26</v>
      </c>
      <c r="E11396" s="208" t="s">
        <v>48</v>
      </c>
      <c r="F11396" s="151" t="s">
        <v>10</v>
      </c>
      <c r="G11396" s="152">
        <v>92</v>
      </c>
      <c r="H11396" s="151" t="s">
        <v>17</v>
      </c>
      <c r="I11396" s="151" t="s">
        <v>22</v>
      </c>
    </row>
    <row r="11397" spans="1:9" x14ac:dyDescent="0.25">
      <c r="A11397" s="151">
        <v>1831</v>
      </c>
      <c r="B11397" s="151">
        <f>A11397+1</f>
        <v>1832</v>
      </c>
      <c r="C11397" s="151" t="s">
        <v>537</v>
      </c>
      <c r="D11397" s="151" t="s">
        <v>26</v>
      </c>
      <c r="E11397" s="208" t="s">
        <v>102</v>
      </c>
      <c r="F11397" s="151" t="s">
        <v>10</v>
      </c>
      <c r="G11397" s="152">
        <v>88</v>
      </c>
      <c r="H11397" s="151" t="s">
        <v>17</v>
      </c>
      <c r="I11397" s="151" t="s">
        <v>22</v>
      </c>
    </row>
    <row r="11398" spans="1:9" x14ac:dyDescent="0.25">
      <c r="A11398" s="151">
        <v>1831</v>
      </c>
      <c r="B11398" s="151">
        <f>A11398+1</f>
        <v>1832</v>
      </c>
      <c r="C11398" s="151" t="s">
        <v>537</v>
      </c>
      <c r="D11398" s="151" t="s">
        <v>26</v>
      </c>
      <c r="E11398" s="208" t="s">
        <v>330</v>
      </c>
      <c r="F11398" s="151" t="s">
        <v>10</v>
      </c>
      <c r="G11398" s="152">
        <v>15</v>
      </c>
      <c r="H11398" s="151" t="s">
        <v>17</v>
      </c>
      <c r="I11398" s="151" t="s">
        <v>22</v>
      </c>
    </row>
    <row r="11399" spans="1:9" x14ac:dyDescent="0.25">
      <c r="A11399" s="151">
        <v>1831</v>
      </c>
      <c r="B11399" s="151">
        <f>A11399+1</f>
        <v>1832</v>
      </c>
      <c r="C11399" s="151" t="s">
        <v>537</v>
      </c>
      <c r="D11399" s="151" t="s">
        <v>26</v>
      </c>
      <c r="E11399" s="208" t="s">
        <v>331</v>
      </c>
      <c r="F11399" s="151" t="s">
        <v>10</v>
      </c>
      <c r="G11399" s="152">
        <v>0</v>
      </c>
      <c r="H11399" s="151" t="s">
        <v>17</v>
      </c>
      <c r="I11399" s="151" t="s">
        <v>22</v>
      </c>
    </row>
    <row r="11400" spans="1:9" x14ac:dyDescent="0.25">
      <c r="A11400" s="151">
        <v>1831</v>
      </c>
      <c r="B11400" s="151">
        <f>A11400+1</f>
        <v>1832</v>
      </c>
      <c r="C11400" s="151" t="s">
        <v>537</v>
      </c>
      <c r="D11400" s="151" t="s">
        <v>26</v>
      </c>
      <c r="E11400" s="208" t="s">
        <v>332</v>
      </c>
      <c r="F11400" s="151" t="s">
        <v>10</v>
      </c>
      <c r="G11400" s="152">
        <v>0</v>
      </c>
      <c r="H11400" s="151" t="s">
        <v>17</v>
      </c>
      <c r="I11400" s="151" t="s">
        <v>22</v>
      </c>
    </row>
    <row r="11401" spans="1:9" x14ac:dyDescent="0.25">
      <c r="A11401" s="151">
        <v>1831</v>
      </c>
      <c r="B11401" s="151">
        <f>A11401+1</f>
        <v>1832</v>
      </c>
      <c r="C11401" s="151" t="s">
        <v>537</v>
      </c>
      <c r="D11401" s="151" t="s">
        <v>26</v>
      </c>
      <c r="E11401" s="208" t="s">
        <v>333</v>
      </c>
      <c r="F11401" s="151" t="s">
        <v>10</v>
      </c>
      <c r="G11401" s="152">
        <v>0</v>
      </c>
      <c r="H11401" s="151" t="s">
        <v>17</v>
      </c>
      <c r="I11401" s="151" t="s">
        <v>22</v>
      </c>
    </row>
    <row r="11402" spans="1:9" x14ac:dyDescent="0.25">
      <c r="A11402" s="151">
        <v>1831</v>
      </c>
      <c r="B11402" s="151">
        <f>A11402+1</f>
        <v>1832</v>
      </c>
      <c r="C11402" s="151" t="s">
        <v>537</v>
      </c>
      <c r="D11402" s="151" t="s">
        <v>27</v>
      </c>
      <c r="E11402" s="208" t="s">
        <v>155</v>
      </c>
      <c r="F11402" s="151" t="s">
        <v>486</v>
      </c>
      <c r="G11402" s="152">
        <v>0</v>
      </c>
      <c r="H11402" s="151" t="s">
        <v>17</v>
      </c>
      <c r="I11402" s="151" t="s">
        <v>22</v>
      </c>
    </row>
    <row r="11403" spans="1:9" x14ac:dyDescent="0.25">
      <c r="A11403" s="151">
        <v>1831</v>
      </c>
      <c r="B11403" s="151">
        <f>A11403+1</f>
        <v>1832</v>
      </c>
      <c r="C11403" s="151" t="s">
        <v>537</v>
      </c>
      <c r="D11403" s="151" t="s">
        <v>27</v>
      </c>
      <c r="E11403" s="208" t="s">
        <v>156</v>
      </c>
      <c r="F11403" s="151" t="s">
        <v>486</v>
      </c>
      <c r="G11403" s="152">
        <v>0</v>
      </c>
      <c r="H11403" s="151" t="s">
        <v>17</v>
      </c>
      <c r="I11403" s="151" t="s">
        <v>22</v>
      </c>
    </row>
    <row r="11404" spans="1:9" x14ac:dyDescent="0.25">
      <c r="A11404" s="151">
        <v>1831</v>
      </c>
      <c r="B11404" s="151">
        <f>A11404+1</f>
        <v>1832</v>
      </c>
      <c r="C11404" s="151" t="s">
        <v>537</v>
      </c>
      <c r="D11404" s="151" t="s">
        <v>27</v>
      </c>
      <c r="E11404" s="208" t="s">
        <v>154</v>
      </c>
      <c r="F11404" s="151" t="s">
        <v>486</v>
      </c>
      <c r="G11404" s="152">
        <v>0</v>
      </c>
      <c r="H11404" s="151" t="s">
        <v>17</v>
      </c>
      <c r="I11404" s="151" t="s">
        <v>22</v>
      </c>
    </row>
    <row r="11405" spans="1:9" x14ac:dyDescent="0.25">
      <c r="A11405" s="151">
        <v>1831</v>
      </c>
      <c r="B11405" s="151">
        <f>A11405+1</f>
        <v>1832</v>
      </c>
      <c r="C11405" s="151" t="s">
        <v>537</v>
      </c>
      <c r="D11405" s="151" t="s">
        <v>27</v>
      </c>
      <c r="E11405" s="208" t="s">
        <v>150</v>
      </c>
      <c r="F11405" s="151" t="s">
        <v>486</v>
      </c>
      <c r="G11405" s="152">
        <v>0</v>
      </c>
      <c r="H11405" s="151" t="s">
        <v>17</v>
      </c>
      <c r="I11405" s="151" t="s">
        <v>22</v>
      </c>
    </row>
    <row r="11406" spans="1:9" x14ac:dyDescent="0.25">
      <c r="A11406" s="151">
        <v>1831</v>
      </c>
      <c r="B11406" s="151">
        <f>A11406+1</f>
        <v>1832</v>
      </c>
      <c r="C11406" s="151" t="s">
        <v>537</v>
      </c>
      <c r="D11406" s="151" t="s">
        <v>27</v>
      </c>
      <c r="E11406" s="208" t="s">
        <v>148</v>
      </c>
      <c r="F11406" s="151" t="s">
        <v>486</v>
      </c>
      <c r="G11406" s="152">
        <v>0</v>
      </c>
      <c r="H11406" s="151" t="s">
        <v>17</v>
      </c>
      <c r="I11406" s="151" t="s">
        <v>22</v>
      </c>
    </row>
    <row r="11407" spans="1:9" x14ac:dyDescent="0.25">
      <c r="A11407" s="151">
        <v>1831</v>
      </c>
      <c r="B11407" s="151">
        <f>A11407+1</f>
        <v>1832</v>
      </c>
      <c r="C11407" s="151" t="s">
        <v>537</v>
      </c>
      <c r="D11407" s="151" t="s">
        <v>27</v>
      </c>
      <c r="E11407" s="208" t="s">
        <v>147</v>
      </c>
      <c r="F11407" s="151" t="s">
        <v>486</v>
      </c>
      <c r="G11407" s="152">
        <v>0</v>
      </c>
      <c r="H11407" s="151" t="s">
        <v>17</v>
      </c>
      <c r="I11407" s="151" t="s">
        <v>22</v>
      </c>
    </row>
    <row r="11408" spans="1:9" x14ac:dyDescent="0.25">
      <c r="A11408" s="151">
        <v>1831</v>
      </c>
      <c r="B11408" s="151">
        <f>A11408+1</f>
        <v>1832</v>
      </c>
      <c r="C11408" s="151" t="s">
        <v>537</v>
      </c>
      <c r="D11408" s="151" t="s">
        <v>27</v>
      </c>
      <c r="E11408" s="208" t="s">
        <v>139</v>
      </c>
      <c r="F11408" s="151" t="s">
        <v>486</v>
      </c>
      <c r="G11408" s="152">
        <v>0</v>
      </c>
      <c r="H11408" s="151" t="s">
        <v>17</v>
      </c>
      <c r="I11408" s="151" t="s">
        <v>25</v>
      </c>
    </row>
    <row r="11409" spans="1:9" x14ac:dyDescent="0.25">
      <c r="A11409" s="151">
        <v>1831</v>
      </c>
      <c r="B11409" s="151">
        <f>A11409+1</f>
        <v>1832</v>
      </c>
      <c r="C11409" s="151" t="s">
        <v>537</v>
      </c>
      <c r="D11409" s="151" t="s">
        <v>27</v>
      </c>
      <c r="E11409" s="208" t="s">
        <v>132</v>
      </c>
      <c r="F11409" s="151" t="s">
        <v>486</v>
      </c>
      <c r="G11409" s="152">
        <v>0</v>
      </c>
      <c r="H11409" s="151" t="s">
        <v>17</v>
      </c>
      <c r="I11409" s="151" t="s">
        <v>25</v>
      </c>
    </row>
    <row r="11410" spans="1:9" x14ac:dyDescent="0.25">
      <c r="A11410" s="151">
        <v>1831</v>
      </c>
      <c r="B11410" s="151">
        <f>A11410+1</f>
        <v>1832</v>
      </c>
      <c r="C11410" s="151" t="s">
        <v>537</v>
      </c>
      <c r="D11410" s="151" t="s">
        <v>27</v>
      </c>
      <c r="E11410" s="208" t="s">
        <v>130</v>
      </c>
      <c r="F11410" s="151" t="s">
        <v>486</v>
      </c>
      <c r="G11410" s="152">
        <v>0</v>
      </c>
      <c r="H11410" s="151" t="s">
        <v>17</v>
      </c>
      <c r="I11410" s="151" t="s">
        <v>25</v>
      </c>
    </row>
    <row r="11411" spans="1:9" x14ac:dyDescent="0.25">
      <c r="A11411" s="151">
        <v>1831</v>
      </c>
      <c r="B11411" s="151">
        <f>A11411+1</f>
        <v>1832</v>
      </c>
      <c r="C11411" s="151" t="s">
        <v>537</v>
      </c>
      <c r="D11411" s="151" t="s">
        <v>27</v>
      </c>
      <c r="E11411" s="208" t="s">
        <v>143</v>
      </c>
      <c r="F11411" s="151" t="s">
        <v>486</v>
      </c>
      <c r="G11411" s="152">
        <v>0</v>
      </c>
      <c r="H11411" s="151" t="s">
        <v>17</v>
      </c>
      <c r="I11411" s="151" t="s">
        <v>25</v>
      </c>
    </row>
    <row r="11412" spans="1:9" x14ac:dyDescent="0.25">
      <c r="A11412" s="151">
        <v>1831</v>
      </c>
      <c r="B11412" s="151">
        <f>A11412+1</f>
        <v>1832</v>
      </c>
      <c r="C11412" s="151" t="s">
        <v>537</v>
      </c>
      <c r="D11412" s="151" t="s">
        <v>27</v>
      </c>
      <c r="E11412" s="208" t="s">
        <v>142</v>
      </c>
      <c r="F11412" s="151" t="s">
        <v>486</v>
      </c>
      <c r="G11412" s="152">
        <v>0</v>
      </c>
      <c r="H11412" s="151" t="s">
        <v>17</v>
      </c>
      <c r="I11412" s="151" t="s">
        <v>25</v>
      </c>
    </row>
    <row r="11413" spans="1:9" x14ac:dyDescent="0.25">
      <c r="A11413" s="151">
        <v>1831</v>
      </c>
      <c r="B11413" s="151">
        <f>A11413+1</f>
        <v>1832</v>
      </c>
      <c r="C11413" s="151" t="s">
        <v>537</v>
      </c>
      <c r="D11413" s="151" t="s">
        <v>27</v>
      </c>
      <c r="E11413" s="208" t="s">
        <v>125</v>
      </c>
      <c r="F11413" s="151" t="s">
        <v>486</v>
      </c>
      <c r="G11413" s="152">
        <v>0</v>
      </c>
      <c r="H11413" s="151" t="s">
        <v>17</v>
      </c>
      <c r="I11413" s="151" t="s">
        <v>25</v>
      </c>
    </row>
    <row r="11414" spans="1:9" x14ac:dyDescent="0.25">
      <c r="A11414" s="151">
        <v>1831</v>
      </c>
      <c r="B11414" s="151">
        <f>A11414+1</f>
        <v>1832</v>
      </c>
      <c r="C11414" s="151" t="s">
        <v>537</v>
      </c>
      <c r="D11414" s="151" t="s">
        <v>27</v>
      </c>
      <c r="E11414" s="208" t="s">
        <v>122</v>
      </c>
      <c r="F11414" s="151" t="s">
        <v>486</v>
      </c>
      <c r="G11414" s="152">
        <v>0</v>
      </c>
      <c r="H11414" s="151" t="s">
        <v>17</v>
      </c>
      <c r="I11414" s="151" t="s">
        <v>25</v>
      </c>
    </row>
    <row r="11415" spans="1:9" x14ac:dyDescent="0.25">
      <c r="A11415" s="151">
        <v>1831</v>
      </c>
      <c r="B11415" s="151">
        <f>A11415+1</f>
        <v>1832</v>
      </c>
      <c r="C11415" s="151" t="s">
        <v>537</v>
      </c>
      <c r="D11415" s="151" t="s">
        <v>27</v>
      </c>
      <c r="E11415" s="208" t="s">
        <v>121</v>
      </c>
      <c r="F11415" s="151" t="s">
        <v>486</v>
      </c>
      <c r="G11415" s="152">
        <v>0</v>
      </c>
      <c r="H11415" s="151" t="s">
        <v>17</v>
      </c>
      <c r="I11415" s="151" t="s">
        <v>25</v>
      </c>
    </row>
    <row r="11416" spans="1:9" x14ac:dyDescent="0.25">
      <c r="A11416" s="151">
        <v>1831</v>
      </c>
      <c r="B11416" s="151">
        <f>A11416+1</f>
        <v>1832</v>
      </c>
      <c r="C11416" s="151" t="s">
        <v>537</v>
      </c>
      <c r="D11416" s="151" t="s">
        <v>27</v>
      </c>
      <c r="E11416" s="208" t="s">
        <v>127</v>
      </c>
      <c r="F11416" s="151" t="s">
        <v>486</v>
      </c>
      <c r="G11416" s="152">
        <v>0</v>
      </c>
      <c r="H11416" s="151" t="s">
        <v>17</v>
      </c>
      <c r="I11416" s="151" t="s">
        <v>25</v>
      </c>
    </row>
    <row r="11417" spans="1:9" x14ac:dyDescent="0.25">
      <c r="A11417" s="151">
        <v>1831</v>
      </c>
      <c r="B11417" s="151">
        <f>A11417+1</f>
        <v>1832</v>
      </c>
      <c r="C11417" s="151" t="s">
        <v>537</v>
      </c>
      <c r="D11417" s="151" t="s">
        <v>27</v>
      </c>
      <c r="E11417" s="208" t="s">
        <v>133</v>
      </c>
      <c r="F11417" s="151" t="s">
        <v>486</v>
      </c>
      <c r="G11417" s="152">
        <v>0</v>
      </c>
      <c r="H11417" s="151" t="s">
        <v>17</v>
      </c>
      <c r="I11417" s="151" t="s">
        <v>25</v>
      </c>
    </row>
    <row r="11418" spans="1:9" x14ac:dyDescent="0.25">
      <c r="A11418" s="151">
        <v>1831</v>
      </c>
      <c r="B11418" s="151">
        <f>A11418+1</f>
        <v>1832</v>
      </c>
      <c r="C11418" s="151" t="s">
        <v>537</v>
      </c>
      <c r="D11418" s="151" t="s">
        <v>27</v>
      </c>
      <c r="E11418" s="208" t="s">
        <v>74</v>
      </c>
      <c r="F11418" s="151" t="s">
        <v>486</v>
      </c>
      <c r="G11418" s="152">
        <v>0</v>
      </c>
      <c r="H11418" s="151" t="s">
        <v>17</v>
      </c>
      <c r="I11418" s="151" t="s">
        <v>25</v>
      </c>
    </row>
    <row r="11419" spans="1:9" x14ac:dyDescent="0.25">
      <c r="A11419" s="151">
        <v>1831</v>
      </c>
      <c r="B11419" s="151">
        <f>A11419+1</f>
        <v>1832</v>
      </c>
      <c r="C11419" s="151" t="s">
        <v>537</v>
      </c>
      <c r="D11419" s="151" t="s">
        <v>27</v>
      </c>
      <c r="E11419" s="208" t="s">
        <v>129</v>
      </c>
      <c r="F11419" s="151" t="s">
        <v>486</v>
      </c>
      <c r="G11419" s="152">
        <v>0</v>
      </c>
      <c r="H11419" s="151" t="s">
        <v>17</v>
      </c>
      <c r="I11419" s="151" t="s">
        <v>25</v>
      </c>
    </row>
    <row r="11420" spans="1:9" x14ac:dyDescent="0.25">
      <c r="A11420" s="151">
        <v>1831</v>
      </c>
      <c r="B11420" s="151">
        <f>A11420+1</f>
        <v>1832</v>
      </c>
      <c r="C11420" s="151" t="s">
        <v>537</v>
      </c>
      <c r="D11420" s="151" t="s">
        <v>27</v>
      </c>
      <c r="E11420" s="208" t="s">
        <v>141</v>
      </c>
      <c r="F11420" s="151" t="s">
        <v>486</v>
      </c>
      <c r="G11420" s="152">
        <v>0</v>
      </c>
      <c r="H11420" s="151" t="s">
        <v>17</v>
      </c>
      <c r="I11420" s="151" t="s">
        <v>25</v>
      </c>
    </row>
    <row r="11421" spans="1:9" x14ac:dyDescent="0.25">
      <c r="A11421" s="151">
        <v>1831</v>
      </c>
      <c r="B11421" s="151">
        <f>A11421+1</f>
        <v>1832</v>
      </c>
      <c r="C11421" s="151" t="s">
        <v>537</v>
      </c>
      <c r="D11421" s="151" t="s">
        <v>27</v>
      </c>
      <c r="E11421" s="208" t="s">
        <v>128</v>
      </c>
      <c r="F11421" s="151" t="s">
        <v>486</v>
      </c>
      <c r="G11421" s="152">
        <v>0</v>
      </c>
      <c r="H11421" s="151" t="s">
        <v>17</v>
      </c>
      <c r="I11421" s="151" t="s">
        <v>25</v>
      </c>
    </row>
    <row r="11422" spans="1:9" x14ac:dyDescent="0.25">
      <c r="A11422" s="151">
        <v>1831</v>
      </c>
      <c r="B11422" s="151">
        <f>A11422+1</f>
        <v>1832</v>
      </c>
      <c r="C11422" s="151" t="s">
        <v>537</v>
      </c>
      <c r="D11422" s="151" t="s">
        <v>27</v>
      </c>
      <c r="E11422" s="208" t="s">
        <v>135</v>
      </c>
      <c r="F11422" s="151" t="s">
        <v>486</v>
      </c>
      <c r="G11422" s="152">
        <v>0</v>
      </c>
      <c r="H11422" s="151" t="s">
        <v>17</v>
      </c>
      <c r="I11422" s="151" t="s">
        <v>25</v>
      </c>
    </row>
    <row r="11423" spans="1:9" x14ac:dyDescent="0.25">
      <c r="A11423" s="151">
        <v>1831</v>
      </c>
      <c r="B11423" s="151">
        <f>A11423+1</f>
        <v>1832</v>
      </c>
      <c r="C11423" s="151" t="s">
        <v>537</v>
      </c>
      <c r="D11423" s="151" t="s">
        <v>27</v>
      </c>
      <c r="E11423" s="208" t="s">
        <v>138</v>
      </c>
      <c r="F11423" s="151" t="s">
        <v>486</v>
      </c>
      <c r="G11423" s="152">
        <v>0</v>
      </c>
      <c r="H11423" s="151" t="s">
        <v>17</v>
      </c>
      <c r="I11423" s="151" t="s">
        <v>25</v>
      </c>
    </row>
    <row r="11424" spans="1:9" x14ac:dyDescent="0.25">
      <c r="A11424" s="151">
        <v>1831</v>
      </c>
      <c r="B11424" s="151">
        <f>A11424+1</f>
        <v>1832</v>
      </c>
      <c r="C11424" s="151" t="s">
        <v>537</v>
      </c>
      <c r="D11424" s="151" t="s">
        <v>27</v>
      </c>
      <c r="E11424" s="208" t="s">
        <v>134</v>
      </c>
      <c r="F11424" s="151" t="s">
        <v>486</v>
      </c>
      <c r="G11424" s="152">
        <v>0</v>
      </c>
      <c r="H11424" s="151" t="s">
        <v>17</v>
      </c>
      <c r="I11424" s="151" t="s">
        <v>25</v>
      </c>
    </row>
    <row r="11425" spans="1:9" x14ac:dyDescent="0.25">
      <c r="A11425" s="151">
        <v>1831</v>
      </c>
      <c r="B11425" s="151">
        <f>A11425+1</f>
        <v>1832</v>
      </c>
      <c r="C11425" s="151" t="s">
        <v>537</v>
      </c>
      <c r="D11425" s="151" t="s">
        <v>27</v>
      </c>
      <c r="E11425" s="208" t="s">
        <v>155</v>
      </c>
      <c r="F11425" s="151" t="s">
        <v>13</v>
      </c>
      <c r="G11425" s="152">
        <v>0</v>
      </c>
      <c r="H11425" s="151" t="s">
        <v>17</v>
      </c>
      <c r="I11425" s="151" t="s">
        <v>25</v>
      </c>
    </row>
    <row r="11426" spans="1:9" x14ac:dyDescent="0.25">
      <c r="A11426" s="151">
        <v>1831</v>
      </c>
      <c r="B11426" s="151">
        <f>A11426+1</f>
        <v>1832</v>
      </c>
      <c r="C11426" s="151" t="s">
        <v>537</v>
      </c>
      <c r="D11426" s="151" t="s">
        <v>27</v>
      </c>
      <c r="E11426" s="208" t="s">
        <v>156</v>
      </c>
      <c r="F11426" s="151" t="s">
        <v>13</v>
      </c>
      <c r="G11426" s="152">
        <v>0</v>
      </c>
      <c r="H11426" s="151" t="s">
        <v>17</v>
      </c>
      <c r="I11426" s="151" t="s">
        <v>25</v>
      </c>
    </row>
    <row r="11427" spans="1:9" x14ac:dyDescent="0.25">
      <c r="A11427" s="151">
        <v>1831</v>
      </c>
      <c r="B11427" s="151">
        <f>A11427+1</f>
        <v>1832</v>
      </c>
      <c r="C11427" s="151" t="s">
        <v>537</v>
      </c>
      <c r="D11427" s="151" t="s">
        <v>27</v>
      </c>
      <c r="E11427" s="208" t="s">
        <v>154</v>
      </c>
      <c r="F11427" s="151" t="s">
        <v>13</v>
      </c>
      <c r="G11427" s="152">
        <v>6</v>
      </c>
      <c r="H11427" s="151" t="s">
        <v>17</v>
      </c>
      <c r="I11427" s="151" t="s">
        <v>25</v>
      </c>
    </row>
    <row r="11428" spans="1:9" x14ac:dyDescent="0.25">
      <c r="A11428" s="151">
        <v>1831</v>
      </c>
      <c r="B11428" s="151">
        <f>A11428+1</f>
        <v>1832</v>
      </c>
      <c r="C11428" s="151" t="s">
        <v>537</v>
      </c>
      <c r="D11428" s="151" t="s">
        <v>27</v>
      </c>
      <c r="E11428" s="208" t="s">
        <v>150</v>
      </c>
      <c r="F11428" s="151" t="s">
        <v>13</v>
      </c>
      <c r="G11428" s="152">
        <v>107</v>
      </c>
      <c r="H11428" s="151" t="s">
        <v>17</v>
      </c>
      <c r="I11428" s="151" t="s">
        <v>25</v>
      </c>
    </row>
    <row r="11429" spans="1:9" x14ac:dyDescent="0.25">
      <c r="A11429" s="151">
        <v>1831</v>
      </c>
      <c r="B11429" s="151">
        <f>A11429+1</f>
        <v>1832</v>
      </c>
      <c r="C11429" s="151" t="s">
        <v>537</v>
      </c>
      <c r="D11429" s="151" t="s">
        <v>27</v>
      </c>
      <c r="E11429" s="208" t="s">
        <v>148</v>
      </c>
      <c r="F11429" s="151" t="s">
        <v>13</v>
      </c>
      <c r="G11429" s="152">
        <v>1</v>
      </c>
      <c r="H11429" s="151" t="s">
        <v>17</v>
      </c>
      <c r="I11429" s="151" t="s">
        <v>25</v>
      </c>
    </row>
    <row r="11430" spans="1:9" x14ac:dyDescent="0.25">
      <c r="A11430" s="151">
        <v>1831</v>
      </c>
      <c r="B11430" s="151">
        <f>A11430+1</f>
        <v>1832</v>
      </c>
      <c r="C11430" s="151" t="s">
        <v>537</v>
      </c>
      <c r="D11430" s="151" t="s">
        <v>27</v>
      </c>
      <c r="E11430" s="208" t="s">
        <v>147</v>
      </c>
      <c r="F11430" s="151" t="s">
        <v>13</v>
      </c>
      <c r="G11430" s="152">
        <v>7</v>
      </c>
      <c r="H11430" s="151" t="s">
        <v>17</v>
      </c>
      <c r="I11430" s="151" t="s">
        <v>25</v>
      </c>
    </row>
    <row r="11431" spans="1:9" x14ac:dyDescent="0.25">
      <c r="A11431" s="151">
        <v>1831</v>
      </c>
      <c r="B11431" s="151">
        <f>A11431+1</f>
        <v>1832</v>
      </c>
      <c r="C11431" s="151" t="s">
        <v>537</v>
      </c>
      <c r="D11431" s="151" t="s">
        <v>27</v>
      </c>
      <c r="E11431" s="208" t="s">
        <v>139</v>
      </c>
      <c r="F11431" s="151" t="s">
        <v>13</v>
      </c>
      <c r="G11431" s="152">
        <v>0</v>
      </c>
      <c r="H11431" s="151" t="s">
        <v>25</v>
      </c>
      <c r="I11431" s="151" t="s">
        <v>17</v>
      </c>
    </row>
    <row r="11432" spans="1:9" x14ac:dyDescent="0.25">
      <c r="A11432" s="151">
        <v>1831</v>
      </c>
      <c r="B11432" s="151">
        <f>A11432+1</f>
        <v>1832</v>
      </c>
      <c r="C11432" s="151" t="s">
        <v>537</v>
      </c>
      <c r="D11432" s="151" t="s">
        <v>27</v>
      </c>
      <c r="E11432" s="208" t="s">
        <v>132</v>
      </c>
      <c r="F11432" s="151" t="s">
        <v>13</v>
      </c>
      <c r="G11432" s="152">
        <v>0</v>
      </c>
      <c r="H11432" s="151" t="s">
        <v>25</v>
      </c>
      <c r="I11432" s="151" t="s">
        <v>17</v>
      </c>
    </row>
    <row r="11433" spans="1:9" x14ac:dyDescent="0.25">
      <c r="A11433" s="151">
        <v>1831</v>
      </c>
      <c r="B11433" s="151">
        <f>A11433+1</f>
        <v>1832</v>
      </c>
      <c r="C11433" s="151" t="s">
        <v>537</v>
      </c>
      <c r="D11433" s="151" t="s">
        <v>27</v>
      </c>
      <c r="E11433" s="208" t="s">
        <v>130</v>
      </c>
      <c r="F11433" s="151" t="s">
        <v>13</v>
      </c>
      <c r="G11433" s="152">
        <v>0</v>
      </c>
      <c r="H11433" s="151" t="s">
        <v>25</v>
      </c>
      <c r="I11433" s="151" t="s">
        <v>17</v>
      </c>
    </row>
    <row r="11434" spans="1:9" x14ac:dyDescent="0.25">
      <c r="A11434" s="151">
        <v>1831</v>
      </c>
      <c r="B11434" s="151">
        <f>A11434+1</f>
        <v>1832</v>
      </c>
      <c r="C11434" s="151" t="s">
        <v>537</v>
      </c>
      <c r="D11434" s="151" t="s">
        <v>27</v>
      </c>
      <c r="E11434" s="208" t="s">
        <v>143</v>
      </c>
      <c r="F11434" s="151" t="s">
        <v>13</v>
      </c>
      <c r="G11434" s="152">
        <v>0</v>
      </c>
      <c r="H11434" s="151" t="s">
        <v>25</v>
      </c>
      <c r="I11434" s="151" t="s">
        <v>17</v>
      </c>
    </row>
    <row r="11435" spans="1:9" x14ac:dyDescent="0.25">
      <c r="A11435" s="151">
        <v>1831</v>
      </c>
      <c r="B11435" s="151">
        <f>A11435+1</f>
        <v>1832</v>
      </c>
      <c r="C11435" s="151" t="s">
        <v>537</v>
      </c>
      <c r="D11435" s="151" t="s">
        <v>27</v>
      </c>
      <c r="E11435" s="208" t="s">
        <v>142</v>
      </c>
      <c r="F11435" s="151" t="s">
        <v>13</v>
      </c>
      <c r="G11435" s="152">
        <v>0</v>
      </c>
      <c r="H11435" s="151" t="s">
        <v>25</v>
      </c>
      <c r="I11435" s="151" t="s">
        <v>17</v>
      </c>
    </row>
    <row r="11436" spans="1:9" x14ac:dyDescent="0.25">
      <c r="A11436" s="151">
        <v>1831</v>
      </c>
      <c r="B11436" s="151">
        <f>A11436+1</f>
        <v>1832</v>
      </c>
      <c r="C11436" s="151" t="s">
        <v>537</v>
      </c>
      <c r="D11436" s="151" t="s">
        <v>27</v>
      </c>
      <c r="E11436" s="208" t="s">
        <v>125</v>
      </c>
      <c r="F11436" s="151" t="s">
        <v>13</v>
      </c>
      <c r="G11436" s="152">
        <v>0</v>
      </c>
      <c r="H11436" s="151" t="s">
        <v>25</v>
      </c>
      <c r="I11436" s="151" t="s">
        <v>17</v>
      </c>
    </row>
    <row r="11437" spans="1:9" x14ac:dyDescent="0.25">
      <c r="A11437" s="151">
        <v>1831</v>
      </c>
      <c r="B11437" s="151">
        <f>A11437+1</f>
        <v>1832</v>
      </c>
      <c r="C11437" s="151" t="s">
        <v>537</v>
      </c>
      <c r="D11437" s="151" t="s">
        <v>27</v>
      </c>
      <c r="E11437" s="208" t="s">
        <v>122</v>
      </c>
      <c r="F11437" s="151" t="s">
        <v>13</v>
      </c>
      <c r="G11437" s="152">
        <v>0</v>
      </c>
      <c r="H11437" s="151" t="s">
        <v>25</v>
      </c>
      <c r="I11437" s="151" t="s">
        <v>17</v>
      </c>
    </row>
    <row r="11438" spans="1:9" x14ac:dyDescent="0.25">
      <c r="A11438" s="151">
        <v>1831</v>
      </c>
      <c r="B11438" s="151">
        <f>A11438+1</f>
        <v>1832</v>
      </c>
      <c r="C11438" s="151" t="s">
        <v>537</v>
      </c>
      <c r="D11438" s="151" t="s">
        <v>27</v>
      </c>
      <c r="E11438" s="208" t="s">
        <v>121</v>
      </c>
      <c r="F11438" s="151" t="s">
        <v>13</v>
      </c>
      <c r="G11438" s="152">
        <v>0</v>
      </c>
      <c r="H11438" s="151" t="s">
        <v>25</v>
      </c>
      <c r="I11438" s="151" t="s">
        <v>17</v>
      </c>
    </row>
    <row r="11439" spans="1:9" x14ac:dyDescent="0.25">
      <c r="A11439" s="151">
        <v>1831</v>
      </c>
      <c r="B11439" s="151">
        <f>A11439+1</f>
        <v>1832</v>
      </c>
      <c r="C11439" s="151" t="s">
        <v>537</v>
      </c>
      <c r="D11439" s="151" t="s">
        <v>27</v>
      </c>
      <c r="E11439" s="208" t="s">
        <v>127</v>
      </c>
      <c r="F11439" s="151" t="s">
        <v>13</v>
      </c>
      <c r="G11439" s="152">
        <v>0</v>
      </c>
      <c r="H11439" s="151" t="s">
        <v>25</v>
      </c>
      <c r="I11439" s="151" t="s">
        <v>17</v>
      </c>
    </row>
    <row r="11440" spans="1:9" x14ac:dyDescent="0.25">
      <c r="A11440" s="151">
        <v>1831</v>
      </c>
      <c r="B11440" s="151">
        <f>A11440+1</f>
        <v>1832</v>
      </c>
      <c r="C11440" s="151" t="s">
        <v>537</v>
      </c>
      <c r="D11440" s="151" t="s">
        <v>27</v>
      </c>
      <c r="E11440" s="208" t="s">
        <v>133</v>
      </c>
      <c r="F11440" s="151" t="s">
        <v>13</v>
      </c>
      <c r="G11440" s="152">
        <v>0</v>
      </c>
      <c r="H11440" s="151" t="s">
        <v>25</v>
      </c>
      <c r="I11440" s="151" t="s">
        <v>17</v>
      </c>
    </row>
    <row r="11441" spans="1:9" x14ac:dyDescent="0.25">
      <c r="A11441" s="151">
        <v>1831</v>
      </c>
      <c r="B11441" s="151">
        <f>A11441+1</f>
        <v>1832</v>
      </c>
      <c r="C11441" s="151" t="s">
        <v>537</v>
      </c>
      <c r="D11441" s="151" t="s">
        <v>27</v>
      </c>
      <c r="E11441" s="208" t="s">
        <v>74</v>
      </c>
      <c r="F11441" s="151" t="s">
        <v>13</v>
      </c>
      <c r="G11441" s="152">
        <v>0</v>
      </c>
      <c r="H11441" s="151" t="s">
        <v>25</v>
      </c>
      <c r="I11441" s="151" t="s">
        <v>17</v>
      </c>
    </row>
    <row r="11442" spans="1:9" x14ac:dyDescent="0.25">
      <c r="A11442" s="151">
        <v>1831</v>
      </c>
      <c r="B11442" s="151">
        <f>A11442+1</f>
        <v>1832</v>
      </c>
      <c r="C11442" s="151" t="s">
        <v>537</v>
      </c>
      <c r="D11442" s="151" t="s">
        <v>27</v>
      </c>
      <c r="E11442" s="208" t="s">
        <v>129</v>
      </c>
      <c r="F11442" s="151" t="s">
        <v>13</v>
      </c>
      <c r="G11442" s="152">
        <v>0</v>
      </c>
      <c r="H11442" s="151" t="s">
        <v>25</v>
      </c>
      <c r="I11442" s="151" t="s">
        <v>17</v>
      </c>
    </row>
    <row r="11443" spans="1:9" x14ac:dyDescent="0.25">
      <c r="A11443" s="151">
        <v>1831</v>
      </c>
      <c r="B11443" s="151">
        <f>A11443+1</f>
        <v>1832</v>
      </c>
      <c r="C11443" s="151" t="s">
        <v>537</v>
      </c>
      <c r="D11443" s="151" t="s">
        <v>27</v>
      </c>
      <c r="E11443" s="208" t="s">
        <v>141</v>
      </c>
      <c r="F11443" s="151" t="s">
        <v>13</v>
      </c>
      <c r="G11443" s="152">
        <v>0</v>
      </c>
      <c r="H11443" s="151" t="s">
        <v>25</v>
      </c>
      <c r="I11443" s="151" t="s">
        <v>17</v>
      </c>
    </row>
    <row r="11444" spans="1:9" x14ac:dyDescent="0.25">
      <c r="A11444" s="151">
        <v>1831</v>
      </c>
      <c r="B11444" s="151">
        <f>A11444+1</f>
        <v>1832</v>
      </c>
      <c r="C11444" s="151" t="s">
        <v>537</v>
      </c>
      <c r="D11444" s="151" t="s">
        <v>27</v>
      </c>
      <c r="E11444" s="208" t="s">
        <v>128</v>
      </c>
      <c r="F11444" s="151" t="s">
        <v>13</v>
      </c>
      <c r="G11444" s="152">
        <v>0</v>
      </c>
      <c r="H11444" s="151" t="s">
        <v>25</v>
      </c>
      <c r="I11444" s="151" t="s">
        <v>17</v>
      </c>
    </row>
    <row r="11445" spans="1:9" x14ac:dyDescent="0.25">
      <c r="A11445" s="151">
        <v>1831</v>
      </c>
      <c r="B11445" s="151">
        <f>A11445+1</f>
        <v>1832</v>
      </c>
      <c r="C11445" s="151" t="s">
        <v>537</v>
      </c>
      <c r="D11445" s="151" t="s">
        <v>27</v>
      </c>
      <c r="E11445" s="208" t="s">
        <v>135</v>
      </c>
      <c r="F11445" s="151" t="s">
        <v>13</v>
      </c>
      <c r="G11445" s="152">
        <v>0</v>
      </c>
      <c r="H11445" s="151" t="s">
        <v>25</v>
      </c>
      <c r="I11445" s="151" t="s">
        <v>17</v>
      </c>
    </row>
    <row r="11446" spans="1:9" x14ac:dyDescent="0.25">
      <c r="A11446" s="151">
        <v>1831</v>
      </c>
      <c r="B11446" s="151">
        <f>A11446+1</f>
        <v>1832</v>
      </c>
      <c r="C11446" s="151" t="s">
        <v>537</v>
      </c>
      <c r="D11446" s="151" t="s">
        <v>27</v>
      </c>
      <c r="E11446" s="208" t="s">
        <v>138</v>
      </c>
      <c r="F11446" s="151" t="s">
        <v>13</v>
      </c>
      <c r="G11446" s="152">
        <v>0</v>
      </c>
      <c r="H11446" s="151" t="s">
        <v>25</v>
      </c>
      <c r="I11446" s="151" t="s">
        <v>17</v>
      </c>
    </row>
    <row r="11447" spans="1:9" x14ac:dyDescent="0.25">
      <c r="A11447" s="151">
        <v>1831</v>
      </c>
      <c r="B11447" s="151">
        <f>A11447+1</f>
        <v>1832</v>
      </c>
      <c r="C11447" s="151" t="s">
        <v>537</v>
      </c>
      <c r="D11447" s="151" t="s">
        <v>27</v>
      </c>
      <c r="E11447" s="208" t="s">
        <v>134</v>
      </c>
      <c r="F11447" s="151" t="s">
        <v>13</v>
      </c>
      <c r="G11447" s="152">
        <v>0</v>
      </c>
      <c r="H11447" s="151" t="s">
        <v>25</v>
      </c>
      <c r="I11447" s="151" t="s">
        <v>17</v>
      </c>
    </row>
    <row r="11448" spans="1:9" x14ac:dyDescent="0.25">
      <c r="A11448" s="151">
        <v>1831</v>
      </c>
      <c r="B11448" s="151">
        <f>A11448+1</f>
        <v>1832</v>
      </c>
      <c r="C11448" s="151" t="s">
        <v>537</v>
      </c>
      <c r="D11448" s="151" t="s">
        <v>26</v>
      </c>
      <c r="E11448" s="208" t="s">
        <v>34</v>
      </c>
      <c r="F11448" s="151" t="s">
        <v>13</v>
      </c>
      <c r="G11448" s="152">
        <v>0</v>
      </c>
      <c r="H11448" s="151" t="s">
        <v>25</v>
      </c>
      <c r="I11448" s="151" t="s">
        <v>17</v>
      </c>
    </row>
    <row r="11449" spans="1:9" x14ac:dyDescent="0.25">
      <c r="A11449" s="151">
        <v>1831</v>
      </c>
      <c r="B11449" s="151">
        <f>A11449+1</f>
        <v>1832</v>
      </c>
      <c r="C11449" s="151" t="s">
        <v>537</v>
      </c>
      <c r="D11449" s="151" t="s">
        <v>26</v>
      </c>
      <c r="E11449" s="208" t="s">
        <v>63</v>
      </c>
      <c r="F11449" s="151" t="s">
        <v>13</v>
      </c>
      <c r="G11449" s="152">
        <v>126</v>
      </c>
      <c r="H11449" s="151" t="s">
        <v>25</v>
      </c>
      <c r="I11449" s="151" t="s">
        <v>17</v>
      </c>
    </row>
    <row r="11450" spans="1:9" x14ac:dyDescent="0.25">
      <c r="A11450" s="151">
        <v>1831</v>
      </c>
      <c r="B11450" s="151">
        <f>A11450+1</f>
        <v>1832</v>
      </c>
      <c r="C11450" s="151" t="s">
        <v>537</v>
      </c>
      <c r="D11450" s="151" t="s">
        <v>26</v>
      </c>
      <c r="E11450" s="208" t="s">
        <v>62</v>
      </c>
      <c r="F11450" s="151" t="s">
        <v>13</v>
      </c>
      <c r="G11450" s="152">
        <v>0</v>
      </c>
      <c r="H11450" s="151" t="s">
        <v>25</v>
      </c>
      <c r="I11450" s="151" t="s">
        <v>17</v>
      </c>
    </row>
    <row r="11451" spans="1:9" x14ac:dyDescent="0.25">
      <c r="A11451" s="151">
        <v>1831</v>
      </c>
      <c r="B11451" s="151">
        <f>A11451+1</f>
        <v>1832</v>
      </c>
      <c r="C11451" s="151" t="s">
        <v>537</v>
      </c>
      <c r="D11451" s="151" t="s">
        <v>26</v>
      </c>
      <c r="E11451" s="208" t="s">
        <v>55</v>
      </c>
      <c r="F11451" s="151" t="s">
        <v>13</v>
      </c>
      <c r="G11451" s="152">
        <v>0</v>
      </c>
      <c r="H11451" s="151" t="s">
        <v>25</v>
      </c>
      <c r="I11451" s="151" t="s">
        <v>17</v>
      </c>
    </row>
    <row r="11452" spans="1:9" x14ac:dyDescent="0.25">
      <c r="A11452" s="151">
        <v>1831</v>
      </c>
      <c r="B11452" s="151">
        <f>A11452+1</f>
        <v>1832</v>
      </c>
      <c r="C11452" s="151" t="s">
        <v>537</v>
      </c>
      <c r="D11452" s="151" t="s">
        <v>26</v>
      </c>
      <c r="E11452" s="208" t="s">
        <v>36</v>
      </c>
      <c r="F11452" s="151" t="s">
        <v>13</v>
      </c>
      <c r="G11452" s="152">
        <v>0</v>
      </c>
      <c r="H11452" s="151" t="s">
        <v>25</v>
      </c>
      <c r="I11452" s="151" t="s">
        <v>17</v>
      </c>
    </row>
    <row r="11453" spans="1:9" x14ac:dyDescent="0.25">
      <c r="A11453" s="151">
        <v>1831</v>
      </c>
      <c r="B11453" s="151">
        <f>A11453+1</f>
        <v>1832</v>
      </c>
      <c r="C11453" s="151" t="s">
        <v>537</v>
      </c>
      <c r="D11453" s="151" t="s">
        <v>26</v>
      </c>
      <c r="E11453" s="208" t="s">
        <v>35</v>
      </c>
      <c r="F11453" s="151" t="s">
        <v>13</v>
      </c>
      <c r="G11453" s="152">
        <v>0</v>
      </c>
      <c r="H11453" s="151" t="s">
        <v>25</v>
      </c>
      <c r="I11453" s="151" t="s">
        <v>17</v>
      </c>
    </row>
    <row r="11454" spans="1:9" x14ac:dyDescent="0.25">
      <c r="A11454" s="151">
        <v>1831</v>
      </c>
      <c r="B11454" s="151">
        <f>A11454+1</f>
        <v>1832</v>
      </c>
      <c r="C11454" s="151" t="s">
        <v>537</v>
      </c>
      <c r="D11454" s="151" t="s">
        <v>26</v>
      </c>
      <c r="E11454" s="208" t="s">
        <v>40</v>
      </c>
      <c r="F11454" s="151" t="s">
        <v>13</v>
      </c>
      <c r="G11454" s="152">
        <v>0</v>
      </c>
      <c r="H11454" s="151" t="s">
        <v>25</v>
      </c>
      <c r="I11454" s="151" t="s">
        <v>17</v>
      </c>
    </row>
    <row r="11455" spans="1:9" x14ac:dyDescent="0.25">
      <c r="A11455" s="151">
        <v>1831</v>
      </c>
      <c r="B11455" s="151">
        <f>A11455+1</f>
        <v>1832</v>
      </c>
      <c r="C11455" s="151" t="s">
        <v>537</v>
      </c>
      <c r="D11455" s="151" t="s">
        <v>26</v>
      </c>
      <c r="E11455" s="208" t="s">
        <v>96</v>
      </c>
      <c r="F11455" s="151" t="s">
        <v>13</v>
      </c>
      <c r="G11455" s="152">
        <v>0</v>
      </c>
      <c r="H11455" s="151" t="s">
        <v>17</v>
      </c>
      <c r="I11455" s="151" t="s">
        <v>18</v>
      </c>
    </row>
    <row r="11456" spans="1:9" x14ac:dyDescent="0.25">
      <c r="A11456" s="151">
        <v>1831</v>
      </c>
      <c r="B11456" s="151">
        <f>A11456+1</f>
        <v>1832</v>
      </c>
      <c r="C11456" s="151" t="s">
        <v>537</v>
      </c>
      <c r="D11456" s="151" t="s">
        <v>26</v>
      </c>
      <c r="E11456" s="208" t="s">
        <v>98</v>
      </c>
      <c r="F11456" s="151" t="s">
        <v>13</v>
      </c>
      <c r="G11456" s="152">
        <v>0</v>
      </c>
      <c r="H11456" s="151" t="s">
        <v>17</v>
      </c>
      <c r="I11456" s="151" t="s">
        <v>18</v>
      </c>
    </row>
    <row r="11457" spans="1:9" x14ac:dyDescent="0.25">
      <c r="A11457" s="151">
        <v>1831</v>
      </c>
      <c r="B11457" s="151">
        <f>A11457+1</f>
        <v>1832</v>
      </c>
      <c r="C11457" s="151" t="s">
        <v>537</v>
      </c>
      <c r="D11457" s="151" t="s">
        <v>26</v>
      </c>
      <c r="E11457" s="208" t="s">
        <v>442</v>
      </c>
      <c r="F11457" s="151" t="s">
        <v>13</v>
      </c>
      <c r="G11457" s="152">
        <v>50</v>
      </c>
      <c r="H11457" s="151" t="s">
        <v>17</v>
      </c>
      <c r="I11457" s="151" t="s">
        <v>18</v>
      </c>
    </row>
    <row r="11458" spans="1:9" x14ac:dyDescent="0.25">
      <c r="A11458" s="151">
        <v>1831</v>
      </c>
      <c r="B11458" s="151">
        <f>A11458+1</f>
        <v>1832</v>
      </c>
      <c r="C11458" s="151" t="s">
        <v>537</v>
      </c>
      <c r="D11458" s="151" t="s">
        <v>26</v>
      </c>
      <c r="E11458" s="208" t="s">
        <v>105</v>
      </c>
      <c r="F11458" s="151" t="s">
        <v>13</v>
      </c>
      <c r="G11458" s="152">
        <v>375</v>
      </c>
      <c r="H11458" s="151" t="s">
        <v>17</v>
      </c>
      <c r="I11458" s="151" t="s">
        <v>18</v>
      </c>
    </row>
    <row r="11459" spans="1:9" x14ac:dyDescent="0.25">
      <c r="A11459" s="151">
        <v>1831</v>
      </c>
      <c r="B11459" s="151">
        <f>A11459+1</f>
        <v>1832</v>
      </c>
      <c r="C11459" s="151" t="s">
        <v>537</v>
      </c>
      <c r="D11459" s="151" t="s">
        <v>26</v>
      </c>
      <c r="E11459" s="208" t="s">
        <v>106</v>
      </c>
      <c r="F11459" s="151" t="s">
        <v>13</v>
      </c>
      <c r="G11459" s="152">
        <v>0</v>
      </c>
      <c r="H11459" s="151" t="s">
        <v>17</v>
      </c>
      <c r="I11459" s="151" t="s">
        <v>18</v>
      </c>
    </row>
    <row r="11460" spans="1:9" x14ac:dyDescent="0.25">
      <c r="A11460" s="151">
        <v>1831</v>
      </c>
      <c r="B11460" s="151">
        <f>A11460+1</f>
        <v>1832</v>
      </c>
      <c r="C11460" s="151" t="s">
        <v>537</v>
      </c>
      <c r="D11460" s="151" t="s">
        <v>26</v>
      </c>
      <c r="E11460" s="208" t="s">
        <v>101</v>
      </c>
      <c r="F11460" s="151" t="s">
        <v>13</v>
      </c>
      <c r="G11460" s="152">
        <v>0</v>
      </c>
      <c r="H11460" s="151" t="s">
        <v>17</v>
      </c>
      <c r="I11460" s="151" t="s">
        <v>18</v>
      </c>
    </row>
    <row r="11461" spans="1:9" x14ac:dyDescent="0.25">
      <c r="A11461" s="151">
        <v>1831</v>
      </c>
      <c r="B11461" s="151">
        <f>A11461+1</f>
        <v>1832</v>
      </c>
      <c r="C11461" s="151" t="s">
        <v>537</v>
      </c>
      <c r="D11461" s="151" t="s">
        <v>26</v>
      </c>
      <c r="E11461" s="208" t="s">
        <v>75</v>
      </c>
      <c r="F11461" s="151" t="s">
        <v>13</v>
      </c>
      <c r="G11461" s="152">
        <v>0</v>
      </c>
      <c r="H11461" s="151" t="s">
        <v>17</v>
      </c>
      <c r="I11461" s="151" t="s">
        <v>18</v>
      </c>
    </row>
    <row r="11462" spans="1:9" x14ac:dyDescent="0.25">
      <c r="A11462" s="151">
        <v>1831</v>
      </c>
      <c r="B11462" s="151">
        <f>A11462+1</f>
        <v>1832</v>
      </c>
      <c r="C11462" s="151" t="s">
        <v>537</v>
      </c>
      <c r="D11462" s="151" t="s">
        <v>26</v>
      </c>
      <c r="E11462" s="208" t="s">
        <v>66</v>
      </c>
      <c r="F11462" s="151" t="s">
        <v>13</v>
      </c>
      <c r="G11462" s="152">
        <v>0</v>
      </c>
      <c r="H11462" s="151" t="s">
        <v>17</v>
      </c>
      <c r="I11462" s="151" t="s">
        <v>18</v>
      </c>
    </row>
    <row r="11463" spans="1:9" x14ac:dyDescent="0.25">
      <c r="A11463" s="151">
        <v>1831</v>
      </c>
      <c r="B11463" s="151">
        <f>A11463+1</f>
        <v>1832</v>
      </c>
      <c r="C11463" s="151" t="s">
        <v>537</v>
      </c>
      <c r="D11463" s="151" t="s">
        <v>26</v>
      </c>
      <c r="E11463" s="208" t="s">
        <v>28</v>
      </c>
      <c r="F11463" s="151" t="s">
        <v>13</v>
      </c>
      <c r="G11463" s="152">
        <v>0</v>
      </c>
      <c r="H11463" s="151" t="s">
        <v>17</v>
      </c>
      <c r="I11463" s="151" t="s">
        <v>18</v>
      </c>
    </row>
    <row r="11464" spans="1:9" x14ac:dyDescent="0.25">
      <c r="A11464" s="151">
        <v>1831</v>
      </c>
      <c r="B11464" s="151">
        <f>A11464+1</f>
        <v>1832</v>
      </c>
      <c r="C11464" s="151" t="s">
        <v>537</v>
      </c>
      <c r="D11464" s="151" t="s">
        <v>26</v>
      </c>
      <c r="E11464" s="208" t="s">
        <v>89</v>
      </c>
      <c r="F11464" s="151" t="s">
        <v>13</v>
      </c>
      <c r="G11464" s="152">
        <v>0</v>
      </c>
      <c r="H11464" s="151" t="s">
        <v>17</v>
      </c>
      <c r="I11464" s="151" t="s">
        <v>18</v>
      </c>
    </row>
    <row r="11465" spans="1:9" x14ac:dyDescent="0.25">
      <c r="A11465" s="151">
        <v>1831</v>
      </c>
      <c r="B11465" s="151">
        <f>A11465+1</f>
        <v>1832</v>
      </c>
      <c r="C11465" s="151" t="s">
        <v>537</v>
      </c>
      <c r="D11465" s="151" t="s">
        <v>26</v>
      </c>
      <c r="E11465" s="208" t="s">
        <v>45</v>
      </c>
      <c r="F11465" s="151" t="s">
        <v>13</v>
      </c>
      <c r="G11465" s="152">
        <v>0</v>
      </c>
      <c r="H11465" s="151" t="s">
        <v>17</v>
      </c>
      <c r="I11465" s="151" t="s">
        <v>18</v>
      </c>
    </row>
    <row r="11466" spans="1:9" x14ac:dyDescent="0.25">
      <c r="A11466" s="151">
        <v>1831</v>
      </c>
      <c r="B11466" s="151">
        <f>A11466+1</f>
        <v>1832</v>
      </c>
      <c r="C11466" s="151" t="s">
        <v>537</v>
      </c>
      <c r="D11466" s="151" t="s">
        <v>26</v>
      </c>
      <c r="E11466" s="208" t="s">
        <v>48</v>
      </c>
      <c r="F11466" s="151" t="s">
        <v>13</v>
      </c>
      <c r="G11466" s="152">
        <v>0</v>
      </c>
      <c r="H11466" s="151" t="s">
        <v>17</v>
      </c>
      <c r="I11466" s="151" t="s">
        <v>18</v>
      </c>
    </row>
    <row r="11467" spans="1:9" x14ac:dyDescent="0.25">
      <c r="A11467" s="151">
        <v>1831</v>
      </c>
      <c r="B11467" s="151">
        <f>A11467+1</f>
        <v>1832</v>
      </c>
      <c r="C11467" s="151" t="s">
        <v>537</v>
      </c>
      <c r="D11467" s="151" t="s">
        <v>26</v>
      </c>
      <c r="E11467" s="208" t="s">
        <v>102</v>
      </c>
      <c r="F11467" s="151" t="s">
        <v>13</v>
      </c>
      <c r="G11467" s="152">
        <v>0</v>
      </c>
      <c r="H11467" s="151" t="s">
        <v>17</v>
      </c>
      <c r="I11467" s="151" t="s">
        <v>18</v>
      </c>
    </row>
    <row r="11468" spans="1:9" x14ac:dyDescent="0.25">
      <c r="A11468" s="151">
        <v>1831</v>
      </c>
      <c r="B11468" s="151">
        <f>A11468+1</f>
        <v>1832</v>
      </c>
      <c r="C11468" s="151" t="s">
        <v>537</v>
      </c>
      <c r="D11468" s="151" t="s">
        <v>26</v>
      </c>
      <c r="E11468" s="208" t="s">
        <v>330</v>
      </c>
      <c r="F11468" s="151" t="s">
        <v>13</v>
      </c>
      <c r="G11468" s="152">
        <v>446</v>
      </c>
      <c r="H11468" s="151" t="s">
        <v>17</v>
      </c>
      <c r="I11468" s="151" t="s">
        <v>18</v>
      </c>
    </row>
    <row r="11469" spans="1:9" x14ac:dyDescent="0.25">
      <c r="A11469" s="151">
        <v>1831</v>
      </c>
      <c r="B11469" s="151">
        <f>A11469+1</f>
        <v>1832</v>
      </c>
      <c r="C11469" s="151" t="s">
        <v>537</v>
      </c>
      <c r="D11469" s="151" t="s">
        <v>26</v>
      </c>
      <c r="E11469" s="208" t="s">
        <v>331</v>
      </c>
      <c r="F11469" s="151" t="s">
        <v>13</v>
      </c>
      <c r="G11469" s="152">
        <v>12</v>
      </c>
      <c r="H11469" s="151" t="s">
        <v>17</v>
      </c>
      <c r="I11469" s="151" t="s">
        <v>18</v>
      </c>
    </row>
    <row r="11470" spans="1:9" x14ac:dyDescent="0.25">
      <c r="A11470" s="151">
        <v>1831</v>
      </c>
      <c r="B11470" s="151">
        <f>A11470+1</f>
        <v>1832</v>
      </c>
      <c r="C11470" s="151" t="s">
        <v>537</v>
      </c>
      <c r="D11470" s="151" t="s">
        <v>26</v>
      </c>
      <c r="E11470" s="208" t="s">
        <v>332</v>
      </c>
      <c r="F11470" s="151" t="s">
        <v>13</v>
      </c>
      <c r="G11470" s="152">
        <v>0</v>
      </c>
      <c r="H11470" s="151" t="s">
        <v>17</v>
      </c>
      <c r="I11470" s="151" t="s">
        <v>18</v>
      </c>
    </row>
    <row r="11471" spans="1:9" x14ac:dyDescent="0.25">
      <c r="A11471" s="151">
        <v>1831</v>
      </c>
      <c r="B11471" s="151">
        <f>A11471+1</f>
        <v>1832</v>
      </c>
      <c r="C11471" s="151" t="s">
        <v>537</v>
      </c>
      <c r="D11471" s="151" t="s">
        <v>26</v>
      </c>
      <c r="E11471" s="208" t="s">
        <v>333</v>
      </c>
      <c r="F11471" s="151" t="s">
        <v>13</v>
      </c>
      <c r="G11471" s="152">
        <v>0</v>
      </c>
      <c r="H11471" s="151" t="s">
        <v>17</v>
      </c>
      <c r="I11471" s="151" t="s">
        <v>18</v>
      </c>
    </row>
    <row r="11472" spans="1:9" x14ac:dyDescent="0.25">
      <c r="A11472" s="151">
        <v>1831</v>
      </c>
      <c r="B11472" s="151">
        <f>A11472+1</f>
        <v>1832</v>
      </c>
      <c r="C11472" s="151" t="s">
        <v>537</v>
      </c>
      <c r="D11472" s="151" t="s">
        <v>27</v>
      </c>
      <c r="E11472" s="208" t="s">
        <v>155</v>
      </c>
      <c r="F11472" s="151" t="s">
        <v>8</v>
      </c>
      <c r="G11472" s="152">
        <v>60377</v>
      </c>
      <c r="H11472" s="151" t="s">
        <v>17</v>
      </c>
      <c r="I11472" s="151" t="s">
        <v>18</v>
      </c>
    </row>
    <row r="11473" spans="1:9" x14ac:dyDescent="0.25">
      <c r="A11473" s="151">
        <v>1831</v>
      </c>
      <c r="B11473" s="151">
        <f>A11473+1</f>
        <v>1832</v>
      </c>
      <c r="C11473" s="151" t="s">
        <v>537</v>
      </c>
      <c r="D11473" s="151" t="s">
        <v>27</v>
      </c>
      <c r="E11473" s="208" t="s">
        <v>156</v>
      </c>
      <c r="F11473" s="151" t="s">
        <v>8</v>
      </c>
      <c r="G11473" s="152">
        <v>7441</v>
      </c>
      <c r="H11473" s="151" t="s">
        <v>17</v>
      </c>
      <c r="I11473" s="151" t="s">
        <v>18</v>
      </c>
    </row>
    <row r="11474" spans="1:9" x14ac:dyDescent="0.25">
      <c r="A11474" s="151">
        <v>1831</v>
      </c>
      <c r="B11474" s="151">
        <f>A11474+1</f>
        <v>1832</v>
      </c>
      <c r="C11474" s="151" t="s">
        <v>537</v>
      </c>
      <c r="D11474" s="151" t="s">
        <v>27</v>
      </c>
      <c r="E11474" s="208" t="s">
        <v>154</v>
      </c>
      <c r="F11474" s="151" t="s">
        <v>8</v>
      </c>
      <c r="G11474" s="152">
        <v>1418</v>
      </c>
      <c r="H11474" s="151" t="s">
        <v>17</v>
      </c>
      <c r="I11474" s="151" t="s">
        <v>18</v>
      </c>
    </row>
    <row r="11475" spans="1:9" x14ac:dyDescent="0.25">
      <c r="A11475" s="151">
        <v>1831</v>
      </c>
      <c r="B11475" s="151">
        <f>A11475+1</f>
        <v>1832</v>
      </c>
      <c r="C11475" s="151" t="s">
        <v>537</v>
      </c>
      <c r="D11475" s="151" t="s">
        <v>27</v>
      </c>
      <c r="E11475" s="208" t="s">
        <v>150</v>
      </c>
      <c r="F11475" s="151" t="s">
        <v>8</v>
      </c>
      <c r="G11475" s="152">
        <v>15617</v>
      </c>
      <c r="H11475" s="151" t="s">
        <v>17</v>
      </c>
      <c r="I11475" s="151" t="s">
        <v>18</v>
      </c>
    </row>
    <row r="11476" spans="1:9" x14ac:dyDescent="0.25">
      <c r="A11476" s="151">
        <v>1831</v>
      </c>
      <c r="B11476" s="151">
        <f>A11476+1</f>
        <v>1832</v>
      </c>
      <c r="C11476" s="151" t="s">
        <v>537</v>
      </c>
      <c r="D11476" s="151" t="s">
        <v>27</v>
      </c>
      <c r="E11476" s="208" t="s">
        <v>148</v>
      </c>
      <c r="F11476" s="151" t="s">
        <v>8</v>
      </c>
      <c r="G11476" s="152">
        <v>1352</v>
      </c>
      <c r="H11476" s="151" t="s">
        <v>17</v>
      </c>
      <c r="I11476" s="151" t="s">
        <v>18</v>
      </c>
    </row>
    <row r="11477" spans="1:9" x14ac:dyDescent="0.25">
      <c r="A11477" s="151">
        <v>1831</v>
      </c>
      <c r="B11477" s="151">
        <f>A11477+1</f>
        <v>1832</v>
      </c>
      <c r="C11477" s="151" t="s">
        <v>537</v>
      </c>
      <c r="D11477" s="151" t="s">
        <v>27</v>
      </c>
      <c r="E11477" s="208" t="s">
        <v>147</v>
      </c>
      <c r="F11477" s="151" t="s">
        <v>8</v>
      </c>
      <c r="G11477" s="152">
        <v>247</v>
      </c>
      <c r="H11477" s="151" t="s">
        <v>17</v>
      </c>
      <c r="I11477" s="151" t="s">
        <v>18</v>
      </c>
    </row>
    <row r="11478" spans="1:9" x14ac:dyDescent="0.25">
      <c r="A11478" s="151">
        <v>1831</v>
      </c>
      <c r="B11478" s="151">
        <f>A11478+1</f>
        <v>1832</v>
      </c>
      <c r="C11478" s="151" t="s">
        <v>537</v>
      </c>
      <c r="D11478" s="151" t="s">
        <v>27</v>
      </c>
      <c r="E11478" s="208" t="s">
        <v>139</v>
      </c>
      <c r="F11478" s="151" t="s">
        <v>8</v>
      </c>
      <c r="G11478" s="152">
        <v>253</v>
      </c>
      <c r="H11478" s="151" t="s">
        <v>18</v>
      </c>
      <c r="I11478" s="151" t="s">
        <v>17</v>
      </c>
    </row>
    <row r="11479" spans="1:9" x14ac:dyDescent="0.25">
      <c r="A11479" s="151">
        <v>1831</v>
      </c>
      <c r="B11479" s="151">
        <f>A11479+1</f>
        <v>1832</v>
      </c>
      <c r="C11479" s="151" t="s">
        <v>537</v>
      </c>
      <c r="D11479" s="151" t="s">
        <v>27</v>
      </c>
      <c r="E11479" s="208" t="s">
        <v>132</v>
      </c>
      <c r="F11479" s="151" t="s">
        <v>8</v>
      </c>
      <c r="G11479" s="152">
        <v>1614</v>
      </c>
      <c r="H11479" s="151" t="s">
        <v>18</v>
      </c>
      <c r="I11479" s="151" t="s">
        <v>17</v>
      </c>
    </row>
    <row r="11480" spans="1:9" x14ac:dyDescent="0.25">
      <c r="A11480" s="151">
        <v>1831</v>
      </c>
      <c r="B11480" s="151">
        <f>A11480+1</f>
        <v>1832</v>
      </c>
      <c r="C11480" s="151" t="s">
        <v>537</v>
      </c>
      <c r="D11480" s="151" t="s">
        <v>27</v>
      </c>
      <c r="E11480" s="208" t="s">
        <v>130</v>
      </c>
      <c r="F11480" s="151" t="s">
        <v>8</v>
      </c>
      <c r="G11480" s="152">
        <v>839</v>
      </c>
      <c r="H11480" s="151" t="s">
        <v>18</v>
      </c>
      <c r="I11480" s="151" t="s">
        <v>17</v>
      </c>
    </row>
    <row r="11481" spans="1:9" x14ac:dyDescent="0.25">
      <c r="A11481" s="151">
        <v>1831</v>
      </c>
      <c r="B11481" s="151">
        <f>A11481+1</f>
        <v>1832</v>
      </c>
      <c r="C11481" s="151" t="s">
        <v>537</v>
      </c>
      <c r="D11481" s="151" t="s">
        <v>27</v>
      </c>
      <c r="E11481" s="208" t="s">
        <v>143</v>
      </c>
      <c r="F11481" s="151" t="s">
        <v>8</v>
      </c>
      <c r="G11481" s="152">
        <v>54</v>
      </c>
      <c r="H11481" s="151" t="s">
        <v>18</v>
      </c>
      <c r="I11481" s="151" t="s">
        <v>17</v>
      </c>
    </row>
    <row r="11482" spans="1:9" x14ac:dyDescent="0.25">
      <c r="A11482" s="151">
        <v>1831</v>
      </c>
      <c r="B11482" s="151">
        <f>A11482+1</f>
        <v>1832</v>
      </c>
      <c r="C11482" s="151" t="s">
        <v>537</v>
      </c>
      <c r="D11482" s="151" t="s">
        <v>27</v>
      </c>
      <c r="E11482" s="208" t="s">
        <v>142</v>
      </c>
      <c r="F11482" s="151" t="s">
        <v>8</v>
      </c>
      <c r="G11482" s="152">
        <v>5969</v>
      </c>
      <c r="H11482" s="151" t="s">
        <v>18</v>
      </c>
      <c r="I11482" s="151" t="s">
        <v>17</v>
      </c>
    </row>
    <row r="11483" spans="1:9" x14ac:dyDescent="0.25">
      <c r="A11483" s="151">
        <v>1831</v>
      </c>
      <c r="B11483" s="151">
        <f>A11483+1</f>
        <v>1832</v>
      </c>
      <c r="C11483" s="151" t="s">
        <v>537</v>
      </c>
      <c r="D11483" s="151" t="s">
        <v>27</v>
      </c>
      <c r="E11483" s="208" t="s">
        <v>125</v>
      </c>
      <c r="F11483" s="151" t="s">
        <v>8</v>
      </c>
      <c r="G11483" s="152">
        <v>7494</v>
      </c>
      <c r="H11483" s="151" t="s">
        <v>18</v>
      </c>
      <c r="I11483" s="151" t="s">
        <v>17</v>
      </c>
    </row>
    <row r="11484" spans="1:9" x14ac:dyDescent="0.25">
      <c r="A11484" s="151">
        <v>1831</v>
      </c>
      <c r="B11484" s="151">
        <f>A11484+1</f>
        <v>1832</v>
      </c>
      <c r="C11484" s="151" t="s">
        <v>537</v>
      </c>
      <c r="D11484" s="151" t="s">
        <v>27</v>
      </c>
      <c r="E11484" s="208" t="s">
        <v>122</v>
      </c>
      <c r="F11484" s="151" t="s">
        <v>8</v>
      </c>
      <c r="G11484" s="152">
        <v>766</v>
      </c>
      <c r="H11484" s="151" t="s">
        <v>18</v>
      </c>
      <c r="I11484" s="151" t="s">
        <v>17</v>
      </c>
    </row>
    <row r="11485" spans="1:9" x14ac:dyDescent="0.25">
      <c r="A11485" s="151">
        <v>1831</v>
      </c>
      <c r="B11485" s="151">
        <f>A11485+1</f>
        <v>1832</v>
      </c>
      <c r="C11485" s="151" t="s">
        <v>537</v>
      </c>
      <c r="D11485" s="151" t="s">
        <v>27</v>
      </c>
      <c r="E11485" s="208" t="s">
        <v>121</v>
      </c>
      <c r="F11485" s="151" t="s">
        <v>8</v>
      </c>
      <c r="G11485" s="152">
        <v>59</v>
      </c>
      <c r="H11485" s="151" t="s">
        <v>18</v>
      </c>
      <c r="I11485" s="151" t="s">
        <v>17</v>
      </c>
    </row>
    <row r="11486" spans="1:9" x14ac:dyDescent="0.25">
      <c r="A11486" s="151">
        <v>1831</v>
      </c>
      <c r="B11486" s="151">
        <f>A11486+1</f>
        <v>1832</v>
      </c>
      <c r="C11486" s="151" t="s">
        <v>537</v>
      </c>
      <c r="D11486" s="151" t="s">
        <v>27</v>
      </c>
      <c r="E11486" s="208" t="s">
        <v>127</v>
      </c>
      <c r="F11486" s="151" t="s">
        <v>8</v>
      </c>
      <c r="G11486" s="152">
        <v>3</v>
      </c>
      <c r="H11486" s="151" t="s">
        <v>18</v>
      </c>
      <c r="I11486" s="151" t="s">
        <v>17</v>
      </c>
    </row>
    <row r="11487" spans="1:9" x14ac:dyDescent="0.25">
      <c r="A11487" s="151">
        <v>1831</v>
      </c>
      <c r="B11487" s="151">
        <f>A11487+1</f>
        <v>1832</v>
      </c>
      <c r="C11487" s="151" t="s">
        <v>537</v>
      </c>
      <c r="D11487" s="151" t="s">
        <v>27</v>
      </c>
      <c r="E11487" s="208" t="s">
        <v>133</v>
      </c>
      <c r="F11487" s="151" t="s">
        <v>8</v>
      </c>
      <c r="G11487" s="152">
        <v>575</v>
      </c>
      <c r="H11487" s="151" t="s">
        <v>18</v>
      </c>
      <c r="I11487" s="151" t="s">
        <v>17</v>
      </c>
    </row>
    <row r="11488" spans="1:9" x14ac:dyDescent="0.25">
      <c r="A11488" s="151">
        <v>1831</v>
      </c>
      <c r="B11488" s="151">
        <f>A11488+1</f>
        <v>1832</v>
      </c>
      <c r="C11488" s="151" t="s">
        <v>537</v>
      </c>
      <c r="D11488" s="151" t="s">
        <v>27</v>
      </c>
      <c r="E11488" s="208" t="s">
        <v>74</v>
      </c>
      <c r="F11488" s="151" t="s">
        <v>8</v>
      </c>
      <c r="G11488" s="152">
        <v>3503.5</v>
      </c>
      <c r="H11488" s="151" t="s">
        <v>18</v>
      </c>
      <c r="I11488" s="151" t="s">
        <v>17</v>
      </c>
    </row>
    <row r="11489" spans="1:9" x14ac:dyDescent="0.25">
      <c r="A11489" s="151">
        <v>1831</v>
      </c>
      <c r="B11489" s="151">
        <f>A11489+1</f>
        <v>1832</v>
      </c>
      <c r="C11489" s="151" t="s">
        <v>537</v>
      </c>
      <c r="D11489" s="151" t="s">
        <v>27</v>
      </c>
      <c r="E11489" s="208" t="s">
        <v>129</v>
      </c>
      <c r="F11489" s="151" t="s">
        <v>8</v>
      </c>
      <c r="G11489" s="152">
        <v>459.65</v>
      </c>
      <c r="H11489" s="151" t="s">
        <v>18</v>
      </c>
      <c r="I11489" s="151" t="s">
        <v>17</v>
      </c>
    </row>
    <row r="11490" spans="1:9" x14ac:dyDescent="0.25">
      <c r="A11490" s="151">
        <v>1831</v>
      </c>
      <c r="B11490" s="151">
        <f>A11490+1</f>
        <v>1832</v>
      </c>
      <c r="C11490" s="151" t="s">
        <v>537</v>
      </c>
      <c r="D11490" s="151" t="s">
        <v>27</v>
      </c>
      <c r="E11490" s="208" t="s">
        <v>141</v>
      </c>
      <c r="F11490" s="151" t="s">
        <v>8</v>
      </c>
      <c r="G11490" s="152">
        <v>32</v>
      </c>
      <c r="H11490" s="151" t="s">
        <v>18</v>
      </c>
      <c r="I11490" s="151" t="s">
        <v>17</v>
      </c>
    </row>
    <row r="11491" spans="1:9" x14ac:dyDescent="0.25">
      <c r="A11491" s="151">
        <v>1831</v>
      </c>
      <c r="B11491" s="151">
        <f>A11491+1</f>
        <v>1832</v>
      </c>
      <c r="C11491" s="151" t="s">
        <v>537</v>
      </c>
      <c r="D11491" s="151" t="s">
        <v>27</v>
      </c>
      <c r="E11491" s="208" t="s">
        <v>128</v>
      </c>
      <c r="F11491" s="151" t="s">
        <v>8</v>
      </c>
      <c r="G11491" s="152">
        <v>14</v>
      </c>
      <c r="H11491" s="151" t="s">
        <v>18</v>
      </c>
      <c r="I11491" s="151" t="s">
        <v>17</v>
      </c>
    </row>
    <row r="11492" spans="1:9" x14ac:dyDescent="0.25">
      <c r="A11492" s="151">
        <v>1831</v>
      </c>
      <c r="B11492" s="151">
        <f>A11492+1</f>
        <v>1832</v>
      </c>
      <c r="C11492" s="151" t="s">
        <v>537</v>
      </c>
      <c r="D11492" s="151" t="s">
        <v>27</v>
      </c>
      <c r="E11492" s="208" t="s">
        <v>135</v>
      </c>
      <c r="F11492" s="151" t="s">
        <v>8</v>
      </c>
      <c r="G11492" s="152">
        <v>0</v>
      </c>
      <c r="H11492" s="151" t="s">
        <v>18</v>
      </c>
      <c r="I11492" s="151" t="s">
        <v>17</v>
      </c>
    </row>
    <row r="11493" spans="1:9" x14ac:dyDescent="0.25">
      <c r="A11493" s="151">
        <v>1831</v>
      </c>
      <c r="B11493" s="151">
        <f>A11493+1</f>
        <v>1832</v>
      </c>
      <c r="C11493" s="151" t="s">
        <v>537</v>
      </c>
      <c r="D11493" s="151" t="s">
        <v>27</v>
      </c>
      <c r="E11493" s="208" t="s">
        <v>138</v>
      </c>
      <c r="F11493" s="151" t="s">
        <v>8</v>
      </c>
      <c r="G11493" s="152">
        <v>417</v>
      </c>
      <c r="H11493" s="151" t="s">
        <v>18</v>
      </c>
      <c r="I11493" s="151" t="s">
        <v>17</v>
      </c>
    </row>
    <row r="11494" spans="1:9" x14ac:dyDescent="0.25">
      <c r="A11494" s="151">
        <v>1831</v>
      </c>
      <c r="B11494" s="151">
        <f>A11494+1</f>
        <v>1832</v>
      </c>
      <c r="C11494" s="151" t="s">
        <v>537</v>
      </c>
      <c r="D11494" s="151" t="s">
        <v>27</v>
      </c>
      <c r="E11494" s="208" t="s">
        <v>134</v>
      </c>
      <c r="F11494" s="151" t="s">
        <v>8</v>
      </c>
      <c r="G11494" s="152">
        <v>12751</v>
      </c>
      <c r="H11494" s="151" t="s">
        <v>18</v>
      </c>
      <c r="I11494" s="151" t="s">
        <v>17</v>
      </c>
    </row>
    <row r="11495" spans="1:9" x14ac:dyDescent="0.25">
      <c r="A11495" s="151">
        <v>1831</v>
      </c>
      <c r="B11495" s="151">
        <f>A11495+1</f>
        <v>1832</v>
      </c>
      <c r="C11495" s="151" t="s">
        <v>537</v>
      </c>
      <c r="D11495" s="151" t="s">
        <v>26</v>
      </c>
      <c r="E11495" s="208" t="s">
        <v>34</v>
      </c>
      <c r="F11495" s="151" t="s">
        <v>8</v>
      </c>
      <c r="G11495" s="152">
        <v>5179</v>
      </c>
      <c r="H11495" s="151" t="s">
        <v>18</v>
      </c>
      <c r="I11495" s="151" t="s">
        <v>17</v>
      </c>
    </row>
    <row r="11496" spans="1:9" x14ac:dyDescent="0.25">
      <c r="A11496" s="151">
        <v>1831</v>
      </c>
      <c r="B11496" s="151">
        <f>A11496+1</f>
        <v>1832</v>
      </c>
      <c r="C11496" s="151" t="s">
        <v>537</v>
      </c>
      <c r="D11496" s="151" t="s">
        <v>26</v>
      </c>
      <c r="E11496" s="208" t="s">
        <v>63</v>
      </c>
      <c r="F11496" s="151" t="s">
        <v>8</v>
      </c>
      <c r="G11496" s="152">
        <v>445</v>
      </c>
      <c r="H11496" s="151" t="s">
        <v>18</v>
      </c>
      <c r="I11496" s="151" t="s">
        <v>17</v>
      </c>
    </row>
    <row r="11497" spans="1:9" x14ac:dyDescent="0.25">
      <c r="A11497" s="151">
        <v>1831</v>
      </c>
      <c r="B11497" s="151">
        <f>A11497+1</f>
        <v>1832</v>
      </c>
      <c r="C11497" s="151" t="s">
        <v>537</v>
      </c>
      <c r="D11497" s="151" t="s">
        <v>26</v>
      </c>
      <c r="E11497" s="208" t="s">
        <v>62</v>
      </c>
      <c r="F11497" s="151" t="s">
        <v>8</v>
      </c>
      <c r="G11497" s="152">
        <v>384</v>
      </c>
      <c r="H11497" s="151" t="s">
        <v>18</v>
      </c>
      <c r="I11497" s="151" t="s">
        <v>17</v>
      </c>
    </row>
    <row r="11498" spans="1:9" x14ac:dyDescent="0.25">
      <c r="A11498" s="151">
        <v>1831</v>
      </c>
      <c r="B11498" s="151">
        <f>A11498+1</f>
        <v>1832</v>
      </c>
      <c r="C11498" s="151" t="s">
        <v>537</v>
      </c>
      <c r="D11498" s="151" t="s">
        <v>26</v>
      </c>
      <c r="E11498" s="208" t="s">
        <v>55</v>
      </c>
      <c r="F11498" s="151" t="s">
        <v>8</v>
      </c>
      <c r="G11498" s="152">
        <v>0</v>
      </c>
      <c r="H11498" s="151" t="s">
        <v>18</v>
      </c>
      <c r="I11498" s="151" t="s">
        <v>17</v>
      </c>
    </row>
    <row r="11499" spans="1:9" x14ac:dyDescent="0.25">
      <c r="A11499" s="151">
        <v>1831</v>
      </c>
      <c r="B11499" s="151">
        <f>A11499+1</f>
        <v>1832</v>
      </c>
      <c r="C11499" s="151" t="s">
        <v>537</v>
      </c>
      <c r="D11499" s="151" t="s">
        <v>26</v>
      </c>
      <c r="E11499" s="208" t="s">
        <v>36</v>
      </c>
      <c r="F11499" s="151" t="s">
        <v>8</v>
      </c>
      <c r="G11499" s="152">
        <v>69</v>
      </c>
      <c r="H11499" s="151" t="s">
        <v>18</v>
      </c>
      <c r="I11499" s="151" t="s">
        <v>17</v>
      </c>
    </row>
    <row r="11500" spans="1:9" x14ac:dyDescent="0.25">
      <c r="A11500" s="151">
        <v>1831</v>
      </c>
      <c r="B11500" s="151">
        <f>A11500+1</f>
        <v>1832</v>
      </c>
      <c r="C11500" s="151" t="s">
        <v>537</v>
      </c>
      <c r="D11500" s="151" t="s">
        <v>26</v>
      </c>
      <c r="E11500" s="208" t="s">
        <v>35</v>
      </c>
      <c r="F11500" s="151" t="s">
        <v>8</v>
      </c>
      <c r="G11500" s="152">
        <v>0</v>
      </c>
      <c r="H11500" s="151" t="s">
        <v>18</v>
      </c>
      <c r="I11500" s="151" t="s">
        <v>17</v>
      </c>
    </row>
    <row r="11501" spans="1:9" x14ac:dyDescent="0.25">
      <c r="A11501" s="151">
        <v>1831</v>
      </c>
      <c r="B11501" s="151">
        <f>A11501+1</f>
        <v>1832</v>
      </c>
      <c r="C11501" s="151" t="s">
        <v>537</v>
      </c>
      <c r="D11501" s="151" t="s">
        <v>26</v>
      </c>
      <c r="E11501" s="208" t="s">
        <v>40</v>
      </c>
      <c r="F11501" s="151" t="s">
        <v>8</v>
      </c>
      <c r="G11501" s="152">
        <v>0</v>
      </c>
      <c r="H11501" s="151" t="s">
        <v>18</v>
      </c>
      <c r="I11501" s="151" t="s">
        <v>17</v>
      </c>
    </row>
    <row r="11502" spans="1:9" x14ac:dyDescent="0.25">
      <c r="A11502" s="151">
        <v>1831</v>
      </c>
      <c r="B11502" s="151">
        <f>A11502+1</f>
        <v>1832</v>
      </c>
      <c r="C11502" s="151" t="s">
        <v>537</v>
      </c>
      <c r="D11502" s="151" t="s">
        <v>26</v>
      </c>
      <c r="E11502" s="208" t="s">
        <v>96</v>
      </c>
      <c r="F11502" s="151" t="s">
        <v>8</v>
      </c>
      <c r="G11502" s="152">
        <v>150</v>
      </c>
      <c r="H11502" s="151" t="s">
        <v>17</v>
      </c>
      <c r="I11502" s="151" t="s">
        <v>21</v>
      </c>
    </row>
    <row r="11503" spans="1:9" x14ac:dyDescent="0.25">
      <c r="A11503" s="151">
        <v>1831</v>
      </c>
      <c r="B11503" s="151">
        <f>A11503+1</f>
        <v>1832</v>
      </c>
      <c r="C11503" s="151" t="s">
        <v>537</v>
      </c>
      <c r="D11503" s="151" t="s">
        <v>26</v>
      </c>
      <c r="E11503" s="208" t="s">
        <v>98</v>
      </c>
      <c r="F11503" s="151" t="s">
        <v>8</v>
      </c>
      <c r="G11503" s="152">
        <v>10231</v>
      </c>
      <c r="H11503" s="151" t="s">
        <v>17</v>
      </c>
      <c r="I11503" s="151" t="s">
        <v>21</v>
      </c>
    </row>
    <row r="11504" spans="1:9" x14ac:dyDescent="0.25">
      <c r="A11504" s="151">
        <v>1831</v>
      </c>
      <c r="B11504" s="151">
        <f>A11504+1</f>
        <v>1832</v>
      </c>
      <c r="C11504" s="151" t="s">
        <v>537</v>
      </c>
      <c r="D11504" s="151" t="s">
        <v>26</v>
      </c>
      <c r="E11504" s="208" t="s">
        <v>442</v>
      </c>
      <c r="F11504" s="151" t="s">
        <v>8</v>
      </c>
      <c r="G11504" s="152">
        <v>553</v>
      </c>
      <c r="H11504" s="151" t="s">
        <v>17</v>
      </c>
      <c r="I11504" s="151" t="s">
        <v>21</v>
      </c>
    </row>
    <row r="11505" spans="1:9" x14ac:dyDescent="0.25">
      <c r="A11505" s="151">
        <v>1831</v>
      </c>
      <c r="B11505" s="151">
        <f>A11505+1</f>
        <v>1832</v>
      </c>
      <c r="C11505" s="151" t="s">
        <v>537</v>
      </c>
      <c r="D11505" s="151" t="s">
        <v>26</v>
      </c>
      <c r="E11505" s="208" t="s">
        <v>105</v>
      </c>
      <c r="F11505" s="151" t="s">
        <v>8</v>
      </c>
      <c r="G11505" s="152">
        <v>16313</v>
      </c>
      <c r="H11505" s="151" t="s">
        <v>17</v>
      </c>
      <c r="I11505" s="151" t="s">
        <v>21</v>
      </c>
    </row>
    <row r="11506" spans="1:9" x14ac:dyDescent="0.25">
      <c r="A11506" s="151">
        <v>1831</v>
      </c>
      <c r="B11506" s="151">
        <f>A11506+1</f>
        <v>1832</v>
      </c>
      <c r="C11506" s="151" t="s">
        <v>537</v>
      </c>
      <c r="D11506" s="151" t="s">
        <v>26</v>
      </c>
      <c r="E11506" s="208" t="s">
        <v>106</v>
      </c>
      <c r="F11506" s="151" t="s">
        <v>8</v>
      </c>
      <c r="G11506" s="152">
        <v>0</v>
      </c>
      <c r="H11506" s="151" t="s">
        <v>17</v>
      </c>
      <c r="I11506" s="151" t="s">
        <v>21</v>
      </c>
    </row>
    <row r="11507" spans="1:9" x14ac:dyDescent="0.25">
      <c r="A11507" s="151">
        <v>1831</v>
      </c>
      <c r="B11507" s="151">
        <f>A11507+1</f>
        <v>1832</v>
      </c>
      <c r="C11507" s="151" t="s">
        <v>537</v>
      </c>
      <c r="D11507" s="151" t="s">
        <v>26</v>
      </c>
      <c r="E11507" s="208" t="s">
        <v>101</v>
      </c>
      <c r="F11507" s="151" t="s">
        <v>8</v>
      </c>
      <c r="G11507" s="152">
        <v>0</v>
      </c>
      <c r="H11507" s="151" t="s">
        <v>17</v>
      </c>
      <c r="I11507" s="151" t="s">
        <v>21</v>
      </c>
    </row>
    <row r="11508" spans="1:9" x14ac:dyDescent="0.25">
      <c r="A11508" s="151">
        <v>1831</v>
      </c>
      <c r="B11508" s="151">
        <f>A11508+1</f>
        <v>1832</v>
      </c>
      <c r="C11508" s="151" t="s">
        <v>537</v>
      </c>
      <c r="D11508" s="151" t="s">
        <v>26</v>
      </c>
      <c r="E11508" s="208" t="s">
        <v>75</v>
      </c>
      <c r="F11508" s="151" t="s">
        <v>8</v>
      </c>
      <c r="G11508" s="152">
        <v>103444</v>
      </c>
      <c r="H11508" s="151" t="s">
        <v>17</v>
      </c>
      <c r="I11508" s="151" t="s">
        <v>21</v>
      </c>
    </row>
    <row r="11509" spans="1:9" x14ac:dyDescent="0.25">
      <c r="A11509" s="151">
        <v>1831</v>
      </c>
      <c r="B11509" s="151">
        <f>A11509+1</f>
        <v>1832</v>
      </c>
      <c r="C11509" s="151" t="s">
        <v>537</v>
      </c>
      <c r="D11509" s="151" t="s">
        <v>26</v>
      </c>
      <c r="E11509" s="208" t="s">
        <v>66</v>
      </c>
      <c r="F11509" s="151" t="s">
        <v>8</v>
      </c>
      <c r="G11509" s="152">
        <v>65803</v>
      </c>
      <c r="H11509" s="151" t="s">
        <v>17</v>
      </c>
      <c r="I11509" s="151" t="s">
        <v>21</v>
      </c>
    </row>
    <row r="11510" spans="1:9" x14ac:dyDescent="0.25">
      <c r="A11510" s="151">
        <v>1831</v>
      </c>
      <c r="B11510" s="151">
        <f>A11510+1</f>
        <v>1832</v>
      </c>
      <c r="C11510" s="151" t="s">
        <v>537</v>
      </c>
      <c r="D11510" s="151" t="s">
        <v>26</v>
      </c>
      <c r="E11510" s="208" t="s">
        <v>28</v>
      </c>
      <c r="F11510" s="151" t="s">
        <v>8</v>
      </c>
      <c r="G11510" s="152">
        <v>920</v>
      </c>
      <c r="H11510" s="151" t="s">
        <v>17</v>
      </c>
      <c r="I11510" s="151" t="s">
        <v>21</v>
      </c>
    </row>
    <row r="11511" spans="1:9" x14ac:dyDescent="0.25">
      <c r="A11511" s="151">
        <v>1831</v>
      </c>
      <c r="B11511" s="151">
        <f>A11511+1</f>
        <v>1832</v>
      </c>
      <c r="C11511" s="151" t="s">
        <v>537</v>
      </c>
      <c r="D11511" s="151" t="s">
        <v>26</v>
      </c>
      <c r="E11511" s="208" t="s">
        <v>89</v>
      </c>
      <c r="F11511" s="151" t="s">
        <v>8</v>
      </c>
      <c r="G11511" s="152">
        <v>829</v>
      </c>
      <c r="H11511" s="151" t="s">
        <v>17</v>
      </c>
      <c r="I11511" s="151" t="s">
        <v>21</v>
      </c>
    </row>
    <row r="11512" spans="1:9" x14ac:dyDescent="0.25">
      <c r="A11512" s="151">
        <v>1831</v>
      </c>
      <c r="B11512" s="151">
        <f>A11512+1</f>
        <v>1832</v>
      </c>
      <c r="C11512" s="151" t="s">
        <v>537</v>
      </c>
      <c r="D11512" s="151" t="s">
        <v>26</v>
      </c>
      <c r="E11512" s="208" t="s">
        <v>45</v>
      </c>
      <c r="F11512" s="151" t="s">
        <v>8</v>
      </c>
      <c r="G11512" s="152">
        <v>727</v>
      </c>
      <c r="H11512" s="151" t="s">
        <v>17</v>
      </c>
      <c r="I11512" s="151" t="s">
        <v>21</v>
      </c>
    </row>
    <row r="11513" spans="1:9" x14ac:dyDescent="0.25">
      <c r="A11513" s="151">
        <v>1831</v>
      </c>
      <c r="B11513" s="151">
        <f>A11513+1</f>
        <v>1832</v>
      </c>
      <c r="C11513" s="151" t="s">
        <v>537</v>
      </c>
      <c r="D11513" s="151" t="s">
        <v>26</v>
      </c>
      <c r="E11513" s="208" t="s">
        <v>48</v>
      </c>
      <c r="F11513" s="151" t="s">
        <v>8</v>
      </c>
      <c r="G11513" s="152">
        <v>962</v>
      </c>
      <c r="H11513" s="151" t="s">
        <v>17</v>
      </c>
      <c r="I11513" s="151" t="s">
        <v>21</v>
      </c>
    </row>
    <row r="11514" spans="1:9" x14ac:dyDescent="0.25">
      <c r="A11514" s="151">
        <v>1831</v>
      </c>
      <c r="B11514" s="151">
        <f>A11514+1</f>
        <v>1832</v>
      </c>
      <c r="C11514" s="151" t="s">
        <v>537</v>
      </c>
      <c r="D11514" s="151" t="s">
        <v>26</v>
      </c>
      <c r="E11514" s="208" t="s">
        <v>102</v>
      </c>
      <c r="F11514" s="151" t="s">
        <v>8</v>
      </c>
      <c r="G11514" s="152">
        <v>899</v>
      </c>
      <c r="H11514" s="151" t="s">
        <v>17</v>
      </c>
      <c r="I11514" s="151" t="s">
        <v>21</v>
      </c>
    </row>
    <row r="11515" spans="1:9" x14ac:dyDescent="0.25">
      <c r="A11515" s="151">
        <v>1831</v>
      </c>
      <c r="B11515" s="151">
        <f>A11515+1</f>
        <v>1832</v>
      </c>
      <c r="C11515" s="151" t="s">
        <v>537</v>
      </c>
      <c r="D11515" s="151" t="s">
        <v>26</v>
      </c>
      <c r="E11515" s="208" t="s">
        <v>330</v>
      </c>
      <c r="F11515" s="151" t="s">
        <v>8</v>
      </c>
      <c r="G11515" s="152">
        <v>4</v>
      </c>
      <c r="H11515" s="151" t="s">
        <v>17</v>
      </c>
      <c r="I11515" s="151" t="s">
        <v>21</v>
      </c>
    </row>
    <row r="11516" spans="1:9" x14ac:dyDescent="0.25">
      <c r="A11516" s="151">
        <v>1831</v>
      </c>
      <c r="B11516" s="151">
        <f>A11516+1</f>
        <v>1832</v>
      </c>
      <c r="C11516" s="151" t="s">
        <v>537</v>
      </c>
      <c r="D11516" s="151" t="s">
        <v>26</v>
      </c>
      <c r="E11516" s="208" t="s">
        <v>331</v>
      </c>
      <c r="F11516" s="151" t="s">
        <v>8</v>
      </c>
      <c r="G11516" s="152">
        <v>12</v>
      </c>
      <c r="H11516" s="151" t="s">
        <v>17</v>
      </c>
      <c r="I11516" s="151" t="s">
        <v>21</v>
      </c>
    </row>
    <row r="11517" spans="1:9" x14ac:dyDescent="0.25">
      <c r="A11517" s="151">
        <v>1831</v>
      </c>
      <c r="B11517" s="151">
        <f>A11517+1</f>
        <v>1832</v>
      </c>
      <c r="C11517" s="151" t="s">
        <v>537</v>
      </c>
      <c r="D11517" s="151" t="s">
        <v>26</v>
      </c>
      <c r="E11517" s="208" t="s">
        <v>332</v>
      </c>
      <c r="F11517" s="151" t="s">
        <v>8</v>
      </c>
      <c r="G11517" s="152">
        <v>12</v>
      </c>
      <c r="H11517" s="151" t="s">
        <v>17</v>
      </c>
      <c r="I11517" s="151" t="s">
        <v>21</v>
      </c>
    </row>
    <row r="11518" spans="1:9" x14ac:dyDescent="0.25">
      <c r="A11518" s="151">
        <v>1831</v>
      </c>
      <c r="B11518" s="151">
        <f>A11518+1</f>
        <v>1832</v>
      </c>
      <c r="C11518" s="151" t="s">
        <v>537</v>
      </c>
      <c r="D11518" s="151" t="s">
        <v>26</v>
      </c>
      <c r="E11518" s="208" t="s">
        <v>333</v>
      </c>
      <c r="F11518" s="151" t="s">
        <v>8</v>
      </c>
      <c r="G11518" s="152">
        <v>0</v>
      </c>
      <c r="H11518" s="151" t="s">
        <v>17</v>
      </c>
      <c r="I11518" s="151" t="s">
        <v>21</v>
      </c>
    </row>
    <row r="11519" spans="1:9" x14ac:dyDescent="0.25">
      <c r="A11519" s="151">
        <v>1831</v>
      </c>
      <c r="B11519" s="151">
        <f>A11519+1</f>
        <v>1832</v>
      </c>
      <c r="C11519" s="151" t="s">
        <v>537</v>
      </c>
      <c r="D11519" s="151" t="s">
        <v>27</v>
      </c>
      <c r="E11519" s="208" t="s">
        <v>155</v>
      </c>
      <c r="F11519" s="151" t="s">
        <v>9</v>
      </c>
      <c r="G11519" s="152">
        <v>100</v>
      </c>
      <c r="H11519" s="151" t="s">
        <v>17</v>
      </c>
      <c r="I11519" s="151" t="s">
        <v>21</v>
      </c>
    </row>
    <row r="11520" spans="1:9" x14ac:dyDescent="0.25">
      <c r="A11520" s="151">
        <v>1831</v>
      </c>
      <c r="B11520" s="151">
        <f>A11520+1</f>
        <v>1832</v>
      </c>
      <c r="C11520" s="151" t="s">
        <v>537</v>
      </c>
      <c r="D11520" s="151" t="s">
        <v>27</v>
      </c>
      <c r="E11520" s="208" t="s">
        <v>156</v>
      </c>
      <c r="F11520" s="151" t="s">
        <v>9</v>
      </c>
      <c r="G11520" s="152">
        <v>1</v>
      </c>
      <c r="H11520" s="151" t="s">
        <v>17</v>
      </c>
      <c r="I11520" s="151" t="s">
        <v>21</v>
      </c>
    </row>
    <row r="11521" spans="1:9" x14ac:dyDescent="0.25">
      <c r="A11521" s="151">
        <v>1831</v>
      </c>
      <c r="B11521" s="151">
        <f>A11521+1</f>
        <v>1832</v>
      </c>
      <c r="C11521" s="151" t="s">
        <v>537</v>
      </c>
      <c r="D11521" s="151" t="s">
        <v>27</v>
      </c>
      <c r="E11521" s="208" t="s">
        <v>154</v>
      </c>
      <c r="F11521" s="151" t="s">
        <v>9</v>
      </c>
      <c r="G11521" s="152">
        <v>4</v>
      </c>
      <c r="H11521" s="151" t="s">
        <v>17</v>
      </c>
      <c r="I11521" s="151" t="s">
        <v>21</v>
      </c>
    </row>
    <row r="11522" spans="1:9" x14ac:dyDescent="0.25">
      <c r="A11522" s="151">
        <v>1831</v>
      </c>
      <c r="B11522" s="151">
        <f>A11522+1</f>
        <v>1832</v>
      </c>
      <c r="C11522" s="151" t="s">
        <v>537</v>
      </c>
      <c r="D11522" s="151" t="s">
        <v>27</v>
      </c>
      <c r="E11522" s="208" t="s">
        <v>150</v>
      </c>
      <c r="F11522" s="151" t="s">
        <v>9</v>
      </c>
      <c r="G11522" s="152">
        <v>0</v>
      </c>
      <c r="H11522" s="151" t="s">
        <v>17</v>
      </c>
      <c r="I11522" s="151" t="s">
        <v>21</v>
      </c>
    </row>
    <row r="11523" spans="1:9" x14ac:dyDescent="0.25">
      <c r="A11523" s="151">
        <v>1831</v>
      </c>
      <c r="B11523" s="151">
        <f>A11523+1</f>
        <v>1832</v>
      </c>
      <c r="C11523" s="151" t="s">
        <v>537</v>
      </c>
      <c r="D11523" s="151" t="s">
        <v>27</v>
      </c>
      <c r="E11523" s="208" t="s">
        <v>148</v>
      </c>
      <c r="F11523" s="151" t="s">
        <v>9</v>
      </c>
      <c r="G11523" s="152">
        <v>0</v>
      </c>
      <c r="H11523" s="151" t="s">
        <v>17</v>
      </c>
      <c r="I11523" s="151" t="s">
        <v>21</v>
      </c>
    </row>
    <row r="11524" spans="1:9" x14ac:dyDescent="0.25">
      <c r="A11524" s="151">
        <v>1831</v>
      </c>
      <c r="B11524" s="151">
        <f>A11524+1</f>
        <v>1832</v>
      </c>
      <c r="C11524" s="151" t="s">
        <v>537</v>
      </c>
      <c r="D11524" s="151" t="s">
        <v>27</v>
      </c>
      <c r="E11524" s="208" t="s">
        <v>147</v>
      </c>
      <c r="F11524" s="151" t="s">
        <v>9</v>
      </c>
      <c r="G11524" s="152">
        <v>0</v>
      </c>
      <c r="H11524" s="151" t="s">
        <v>17</v>
      </c>
      <c r="I11524" s="151" t="s">
        <v>21</v>
      </c>
    </row>
    <row r="11525" spans="1:9" x14ac:dyDescent="0.25">
      <c r="A11525" s="151">
        <v>1831</v>
      </c>
      <c r="B11525" s="151">
        <f>A11525+1</f>
        <v>1832</v>
      </c>
      <c r="C11525" s="151" t="s">
        <v>537</v>
      </c>
      <c r="D11525" s="151" t="s">
        <v>27</v>
      </c>
      <c r="E11525" s="208" t="s">
        <v>139</v>
      </c>
      <c r="F11525" s="151" t="s">
        <v>9</v>
      </c>
      <c r="G11525" s="152">
        <v>0</v>
      </c>
      <c r="H11525" s="151" t="s">
        <v>21</v>
      </c>
      <c r="I11525" s="151" t="s">
        <v>17</v>
      </c>
    </row>
    <row r="11526" spans="1:9" x14ac:dyDescent="0.25">
      <c r="A11526" s="151">
        <v>1831</v>
      </c>
      <c r="B11526" s="151">
        <f>A11526+1</f>
        <v>1832</v>
      </c>
      <c r="C11526" s="151" t="s">
        <v>537</v>
      </c>
      <c r="D11526" s="151" t="s">
        <v>27</v>
      </c>
      <c r="E11526" s="208" t="s">
        <v>132</v>
      </c>
      <c r="F11526" s="151" t="s">
        <v>9</v>
      </c>
      <c r="G11526" s="152">
        <v>0</v>
      </c>
      <c r="H11526" s="151" t="s">
        <v>21</v>
      </c>
      <c r="I11526" s="151" t="s">
        <v>17</v>
      </c>
    </row>
    <row r="11527" spans="1:9" x14ac:dyDescent="0.25">
      <c r="A11527" s="151">
        <v>1831</v>
      </c>
      <c r="B11527" s="151">
        <f>A11527+1</f>
        <v>1832</v>
      </c>
      <c r="C11527" s="151" t="s">
        <v>537</v>
      </c>
      <c r="D11527" s="151" t="s">
        <v>27</v>
      </c>
      <c r="E11527" s="208" t="s">
        <v>130</v>
      </c>
      <c r="F11527" s="151" t="s">
        <v>9</v>
      </c>
      <c r="G11527" s="152">
        <v>0</v>
      </c>
      <c r="H11527" s="151" t="s">
        <v>21</v>
      </c>
      <c r="I11527" s="151" t="s">
        <v>17</v>
      </c>
    </row>
    <row r="11528" spans="1:9" x14ac:dyDescent="0.25">
      <c r="A11528" s="151">
        <v>1831</v>
      </c>
      <c r="B11528" s="151">
        <f>A11528+1</f>
        <v>1832</v>
      </c>
      <c r="C11528" s="151" t="s">
        <v>537</v>
      </c>
      <c r="D11528" s="151" t="s">
        <v>27</v>
      </c>
      <c r="E11528" s="208" t="s">
        <v>143</v>
      </c>
      <c r="F11528" s="151" t="s">
        <v>9</v>
      </c>
      <c r="G11528" s="152">
        <v>0</v>
      </c>
      <c r="H11528" s="151" t="s">
        <v>21</v>
      </c>
      <c r="I11528" s="151" t="s">
        <v>17</v>
      </c>
    </row>
    <row r="11529" spans="1:9" x14ac:dyDescent="0.25">
      <c r="A11529" s="151">
        <v>1831</v>
      </c>
      <c r="B11529" s="151">
        <f>A11529+1</f>
        <v>1832</v>
      </c>
      <c r="C11529" s="151" t="s">
        <v>537</v>
      </c>
      <c r="D11529" s="151" t="s">
        <v>27</v>
      </c>
      <c r="E11529" s="208" t="s">
        <v>142</v>
      </c>
      <c r="F11529" s="151" t="s">
        <v>9</v>
      </c>
      <c r="G11529" s="152">
        <v>0</v>
      </c>
      <c r="H11529" s="151" t="s">
        <v>21</v>
      </c>
      <c r="I11529" s="151" t="s">
        <v>17</v>
      </c>
    </row>
    <row r="11530" spans="1:9" x14ac:dyDescent="0.25">
      <c r="A11530" s="151">
        <v>1831</v>
      </c>
      <c r="B11530" s="151">
        <f>A11530+1</f>
        <v>1832</v>
      </c>
      <c r="C11530" s="151" t="s">
        <v>537</v>
      </c>
      <c r="D11530" s="151" t="s">
        <v>27</v>
      </c>
      <c r="E11530" s="208" t="s">
        <v>125</v>
      </c>
      <c r="F11530" s="151" t="s">
        <v>9</v>
      </c>
      <c r="G11530" s="152">
        <v>40</v>
      </c>
      <c r="H11530" s="151" t="s">
        <v>21</v>
      </c>
      <c r="I11530" s="151" t="s">
        <v>17</v>
      </c>
    </row>
    <row r="11531" spans="1:9" x14ac:dyDescent="0.25">
      <c r="A11531" s="151">
        <v>1831</v>
      </c>
      <c r="B11531" s="151">
        <f>A11531+1</f>
        <v>1832</v>
      </c>
      <c r="C11531" s="151" t="s">
        <v>537</v>
      </c>
      <c r="D11531" s="151" t="s">
        <v>27</v>
      </c>
      <c r="E11531" s="208" t="s">
        <v>122</v>
      </c>
      <c r="F11531" s="151" t="s">
        <v>9</v>
      </c>
      <c r="G11531" s="152">
        <v>0</v>
      </c>
      <c r="H11531" s="151" t="s">
        <v>21</v>
      </c>
      <c r="I11531" s="151" t="s">
        <v>17</v>
      </c>
    </row>
    <row r="11532" spans="1:9" x14ac:dyDescent="0.25">
      <c r="A11532" s="151">
        <v>1831</v>
      </c>
      <c r="B11532" s="151">
        <f>A11532+1</f>
        <v>1832</v>
      </c>
      <c r="C11532" s="151" t="s">
        <v>537</v>
      </c>
      <c r="D11532" s="151" t="s">
        <v>27</v>
      </c>
      <c r="E11532" s="208" t="s">
        <v>121</v>
      </c>
      <c r="F11532" s="151" t="s">
        <v>9</v>
      </c>
      <c r="G11532" s="152">
        <v>0</v>
      </c>
      <c r="H11532" s="151" t="s">
        <v>21</v>
      </c>
      <c r="I11532" s="151" t="s">
        <v>17</v>
      </c>
    </row>
    <row r="11533" spans="1:9" x14ac:dyDescent="0.25">
      <c r="A11533" s="151">
        <v>1831</v>
      </c>
      <c r="B11533" s="151">
        <f>A11533+1</f>
        <v>1832</v>
      </c>
      <c r="C11533" s="151" t="s">
        <v>537</v>
      </c>
      <c r="D11533" s="151" t="s">
        <v>27</v>
      </c>
      <c r="E11533" s="208" t="s">
        <v>127</v>
      </c>
      <c r="F11533" s="151" t="s">
        <v>9</v>
      </c>
      <c r="G11533" s="152">
        <v>0</v>
      </c>
      <c r="H11533" s="151" t="s">
        <v>21</v>
      </c>
      <c r="I11533" s="151" t="s">
        <v>17</v>
      </c>
    </row>
    <row r="11534" spans="1:9" x14ac:dyDescent="0.25">
      <c r="A11534" s="151">
        <v>1831</v>
      </c>
      <c r="B11534" s="151">
        <f>A11534+1</f>
        <v>1832</v>
      </c>
      <c r="C11534" s="151" t="s">
        <v>537</v>
      </c>
      <c r="D11534" s="151" t="s">
        <v>27</v>
      </c>
      <c r="E11534" s="208" t="s">
        <v>133</v>
      </c>
      <c r="F11534" s="151" t="s">
        <v>9</v>
      </c>
      <c r="G11534" s="152">
        <v>0</v>
      </c>
      <c r="H11534" s="151" t="s">
        <v>21</v>
      </c>
      <c r="I11534" s="151" t="s">
        <v>17</v>
      </c>
    </row>
    <row r="11535" spans="1:9" x14ac:dyDescent="0.25">
      <c r="A11535" s="151">
        <v>1831</v>
      </c>
      <c r="B11535" s="151">
        <f>A11535+1</f>
        <v>1832</v>
      </c>
      <c r="C11535" s="151" t="s">
        <v>537</v>
      </c>
      <c r="D11535" s="151" t="s">
        <v>27</v>
      </c>
      <c r="E11535" s="208" t="s">
        <v>74</v>
      </c>
      <c r="F11535" s="151" t="s">
        <v>9</v>
      </c>
      <c r="G11535" s="152">
        <v>32</v>
      </c>
      <c r="H11535" s="151" t="s">
        <v>21</v>
      </c>
      <c r="I11535" s="151" t="s">
        <v>17</v>
      </c>
    </row>
    <row r="11536" spans="1:9" x14ac:dyDescent="0.25">
      <c r="A11536" s="151">
        <v>1831</v>
      </c>
      <c r="B11536" s="151">
        <f>A11536+1</f>
        <v>1832</v>
      </c>
      <c r="C11536" s="151" t="s">
        <v>537</v>
      </c>
      <c r="D11536" s="151" t="s">
        <v>27</v>
      </c>
      <c r="E11536" s="208" t="s">
        <v>129</v>
      </c>
      <c r="F11536" s="151" t="s">
        <v>9</v>
      </c>
      <c r="G11536" s="152">
        <v>0</v>
      </c>
      <c r="H11536" s="151" t="s">
        <v>21</v>
      </c>
      <c r="I11536" s="151" t="s">
        <v>17</v>
      </c>
    </row>
    <row r="11537" spans="1:9" x14ac:dyDescent="0.25">
      <c r="A11537" s="151">
        <v>1831</v>
      </c>
      <c r="B11537" s="151">
        <f>A11537+1</f>
        <v>1832</v>
      </c>
      <c r="C11537" s="151" t="s">
        <v>537</v>
      </c>
      <c r="D11537" s="151" t="s">
        <v>27</v>
      </c>
      <c r="E11537" s="208" t="s">
        <v>141</v>
      </c>
      <c r="F11537" s="151" t="s">
        <v>9</v>
      </c>
      <c r="G11537" s="152">
        <v>0</v>
      </c>
      <c r="H11537" s="151" t="s">
        <v>21</v>
      </c>
      <c r="I11537" s="151" t="s">
        <v>17</v>
      </c>
    </row>
    <row r="11538" spans="1:9" x14ac:dyDescent="0.25">
      <c r="A11538" s="151">
        <v>1831</v>
      </c>
      <c r="B11538" s="151">
        <f>A11538+1</f>
        <v>1832</v>
      </c>
      <c r="C11538" s="151" t="s">
        <v>537</v>
      </c>
      <c r="D11538" s="151" t="s">
        <v>27</v>
      </c>
      <c r="E11538" s="208" t="s">
        <v>128</v>
      </c>
      <c r="F11538" s="151" t="s">
        <v>9</v>
      </c>
      <c r="G11538" s="152">
        <v>0</v>
      </c>
      <c r="H11538" s="151" t="s">
        <v>21</v>
      </c>
      <c r="I11538" s="151" t="s">
        <v>17</v>
      </c>
    </row>
    <row r="11539" spans="1:9" x14ac:dyDescent="0.25">
      <c r="A11539" s="151">
        <v>1831</v>
      </c>
      <c r="B11539" s="151">
        <f>A11539+1</f>
        <v>1832</v>
      </c>
      <c r="C11539" s="151" t="s">
        <v>537</v>
      </c>
      <c r="D11539" s="151" t="s">
        <v>27</v>
      </c>
      <c r="E11539" s="208" t="s">
        <v>135</v>
      </c>
      <c r="F11539" s="151" t="s">
        <v>9</v>
      </c>
      <c r="G11539" s="152">
        <v>0</v>
      </c>
      <c r="H11539" s="151" t="s">
        <v>21</v>
      </c>
      <c r="I11539" s="151" t="s">
        <v>17</v>
      </c>
    </row>
    <row r="11540" spans="1:9" x14ac:dyDescent="0.25">
      <c r="A11540" s="151">
        <v>1831</v>
      </c>
      <c r="B11540" s="151">
        <f>A11540+1</f>
        <v>1832</v>
      </c>
      <c r="C11540" s="151" t="s">
        <v>537</v>
      </c>
      <c r="D11540" s="151" t="s">
        <v>27</v>
      </c>
      <c r="E11540" s="208" t="s">
        <v>138</v>
      </c>
      <c r="F11540" s="151" t="s">
        <v>9</v>
      </c>
      <c r="G11540" s="152">
        <v>0</v>
      </c>
      <c r="H11540" s="151" t="s">
        <v>21</v>
      </c>
      <c r="I11540" s="151" t="s">
        <v>17</v>
      </c>
    </row>
    <row r="11541" spans="1:9" x14ac:dyDescent="0.25">
      <c r="A11541" s="151">
        <v>1831</v>
      </c>
      <c r="B11541" s="151">
        <f>A11541+1</f>
        <v>1832</v>
      </c>
      <c r="C11541" s="151" t="s">
        <v>537</v>
      </c>
      <c r="D11541" s="151" t="s">
        <v>27</v>
      </c>
      <c r="E11541" s="208" t="s">
        <v>134</v>
      </c>
      <c r="F11541" s="151" t="s">
        <v>9</v>
      </c>
      <c r="G11541" s="152">
        <v>0</v>
      </c>
      <c r="H11541" s="151" t="s">
        <v>21</v>
      </c>
      <c r="I11541" s="151" t="s">
        <v>17</v>
      </c>
    </row>
    <row r="11542" spans="1:9" x14ac:dyDescent="0.25">
      <c r="A11542" s="151">
        <v>1831</v>
      </c>
      <c r="B11542" s="151">
        <f>A11542+1</f>
        <v>1832</v>
      </c>
      <c r="C11542" s="151" t="s">
        <v>537</v>
      </c>
      <c r="D11542" s="151" t="s">
        <v>26</v>
      </c>
      <c r="E11542" s="208" t="s">
        <v>34</v>
      </c>
      <c r="F11542" s="151" t="s">
        <v>9</v>
      </c>
      <c r="G11542" s="152">
        <v>0</v>
      </c>
      <c r="H11542" s="151" t="s">
        <v>21</v>
      </c>
      <c r="I11542" s="151" t="s">
        <v>17</v>
      </c>
    </row>
    <row r="11543" spans="1:9" x14ac:dyDescent="0.25">
      <c r="A11543" s="151">
        <v>1831</v>
      </c>
      <c r="B11543" s="151">
        <f>A11543+1</f>
        <v>1832</v>
      </c>
      <c r="C11543" s="151" t="s">
        <v>537</v>
      </c>
      <c r="D11543" s="151" t="s">
        <v>26</v>
      </c>
      <c r="E11543" s="208" t="s">
        <v>63</v>
      </c>
      <c r="F11543" s="151" t="s">
        <v>9</v>
      </c>
      <c r="G11543" s="152">
        <v>0</v>
      </c>
      <c r="H11543" s="151" t="s">
        <v>21</v>
      </c>
      <c r="I11543" s="151" t="s">
        <v>17</v>
      </c>
    </row>
    <row r="11544" spans="1:9" x14ac:dyDescent="0.25">
      <c r="A11544" s="151">
        <v>1831</v>
      </c>
      <c r="B11544" s="151">
        <f>A11544+1</f>
        <v>1832</v>
      </c>
      <c r="C11544" s="151" t="s">
        <v>537</v>
      </c>
      <c r="D11544" s="151" t="s">
        <v>26</v>
      </c>
      <c r="E11544" s="208" t="s">
        <v>62</v>
      </c>
      <c r="F11544" s="151" t="s">
        <v>9</v>
      </c>
      <c r="G11544" s="152">
        <v>0</v>
      </c>
      <c r="H11544" s="151" t="s">
        <v>21</v>
      </c>
      <c r="I11544" s="151" t="s">
        <v>17</v>
      </c>
    </row>
    <row r="11545" spans="1:9" x14ac:dyDescent="0.25">
      <c r="A11545" s="151">
        <v>1831</v>
      </c>
      <c r="B11545" s="151">
        <f>A11545+1</f>
        <v>1832</v>
      </c>
      <c r="C11545" s="151" t="s">
        <v>537</v>
      </c>
      <c r="D11545" s="151" t="s">
        <v>26</v>
      </c>
      <c r="E11545" s="208" t="s">
        <v>55</v>
      </c>
      <c r="F11545" s="151" t="s">
        <v>9</v>
      </c>
      <c r="G11545" s="152">
        <v>0</v>
      </c>
      <c r="H11545" s="151" t="s">
        <v>21</v>
      </c>
      <c r="I11545" s="151" t="s">
        <v>17</v>
      </c>
    </row>
    <row r="11546" spans="1:9" x14ac:dyDescent="0.25">
      <c r="A11546" s="151">
        <v>1831</v>
      </c>
      <c r="B11546" s="151">
        <f>A11546+1</f>
        <v>1832</v>
      </c>
      <c r="C11546" s="151" t="s">
        <v>537</v>
      </c>
      <c r="D11546" s="151" t="s">
        <v>26</v>
      </c>
      <c r="E11546" s="208" t="s">
        <v>36</v>
      </c>
      <c r="F11546" s="151" t="s">
        <v>9</v>
      </c>
      <c r="G11546" s="152">
        <v>0</v>
      </c>
      <c r="H11546" s="151" t="s">
        <v>21</v>
      </c>
      <c r="I11546" s="151" t="s">
        <v>17</v>
      </c>
    </row>
    <row r="11547" spans="1:9" x14ac:dyDescent="0.25">
      <c r="A11547" s="151">
        <v>1831</v>
      </c>
      <c r="B11547" s="151">
        <f>A11547+1</f>
        <v>1832</v>
      </c>
      <c r="C11547" s="151" t="s">
        <v>537</v>
      </c>
      <c r="D11547" s="151" t="s">
        <v>26</v>
      </c>
      <c r="E11547" s="208" t="s">
        <v>35</v>
      </c>
      <c r="F11547" s="151" t="s">
        <v>9</v>
      </c>
      <c r="G11547" s="152">
        <v>0</v>
      </c>
      <c r="H11547" s="151" t="s">
        <v>21</v>
      </c>
      <c r="I11547" s="151" t="s">
        <v>17</v>
      </c>
    </row>
    <row r="11548" spans="1:9" x14ac:dyDescent="0.25">
      <c r="A11548" s="151">
        <v>1831</v>
      </c>
      <c r="B11548" s="151">
        <f>A11548+1</f>
        <v>1832</v>
      </c>
      <c r="C11548" s="151" t="s">
        <v>537</v>
      </c>
      <c r="D11548" s="151" t="s">
        <v>26</v>
      </c>
      <c r="E11548" s="208" t="s">
        <v>40</v>
      </c>
      <c r="F11548" s="151" t="s">
        <v>9</v>
      </c>
      <c r="G11548" s="152">
        <v>0</v>
      </c>
      <c r="H11548" s="151" t="s">
        <v>21</v>
      </c>
      <c r="I11548" s="151" t="s">
        <v>17</v>
      </c>
    </row>
    <row r="11549" spans="1:9" x14ac:dyDescent="0.25">
      <c r="A11549" s="151">
        <v>1831</v>
      </c>
      <c r="B11549" s="151">
        <f>A11549+1</f>
        <v>1832</v>
      </c>
      <c r="C11549" s="151" t="s">
        <v>537</v>
      </c>
      <c r="D11549" s="151" t="s">
        <v>26</v>
      </c>
      <c r="E11549" s="208" t="s">
        <v>96</v>
      </c>
      <c r="F11549" s="151" t="s">
        <v>9</v>
      </c>
      <c r="G11549" s="152">
        <v>0</v>
      </c>
      <c r="H11549" s="151" t="s">
        <v>17</v>
      </c>
      <c r="I11549" s="151" t="s">
        <v>23</v>
      </c>
    </row>
    <row r="11550" spans="1:9" x14ac:dyDescent="0.25">
      <c r="A11550" s="151">
        <v>1831</v>
      </c>
      <c r="B11550" s="151">
        <f>A11550+1</f>
        <v>1832</v>
      </c>
      <c r="C11550" s="151" t="s">
        <v>537</v>
      </c>
      <c r="D11550" s="151" t="s">
        <v>26</v>
      </c>
      <c r="E11550" s="208" t="s">
        <v>98</v>
      </c>
      <c r="F11550" s="151" t="s">
        <v>9</v>
      </c>
      <c r="G11550" s="152">
        <v>0</v>
      </c>
      <c r="H11550" s="151" t="s">
        <v>17</v>
      </c>
      <c r="I11550" s="151" t="s">
        <v>23</v>
      </c>
    </row>
    <row r="11551" spans="1:9" x14ac:dyDescent="0.25">
      <c r="A11551" s="151">
        <v>1831</v>
      </c>
      <c r="B11551" s="151">
        <f>A11551+1</f>
        <v>1832</v>
      </c>
      <c r="C11551" s="151" t="s">
        <v>537</v>
      </c>
      <c r="D11551" s="151" t="s">
        <v>26</v>
      </c>
      <c r="E11551" s="208" t="s">
        <v>442</v>
      </c>
      <c r="F11551" s="151" t="s">
        <v>9</v>
      </c>
      <c r="G11551" s="152">
        <v>0</v>
      </c>
      <c r="H11551" s="151" t="s">
        <v>17</v>
      </c>
      <c r="I11551" s="151" t="s">
        <v>23</v>
      </c>
    </row>
    <row r="11552" spans="1:9" x14ac:dyDescent="0.25">
      <c r="A11552" s="151">
        <v>1831</v>
      </c>
      <c r="B11552" s="151">
        <f>A11552+1</f>
        <v>1832</v>
      </c>
      <c r="C11552" s="151" t="s">
        <v>537</v>
      </c>
      <c r="D11552" s="151" t="s">
        <v>26</v>
      </c>
      <c r="E11552" s="208" t="s">
        <v>105</v>
      </c>
      <c r="F11552" s="151" t="s">
        <v>9</v>
      </c>
      <c r="G11552" s="152">
        <v>0</v>
      </c>
      <c r="H11552" s="151" t="s">
        <v>17</v>
      </c>
      <c r="I11552" s="151" t="s">
        <v>23</v>
      </c>
    </row>
    <row r="11553" spans="1:9" x14ac:dyDescent="0.25">
      <c r="A11553" s="151">
        <v>1831</v>
      </c>
      <c r="B11553" s="151">
        <f>A11553+1</f>
        <v>1832</v>
      </c>
      <c r="C11553" s="151" t="s">
        <v>537</v>
      </c>
      <c r="D11553" s="151" t="s">
        <v>26</v>
      </c>
      <c r="E11553" s="208" t="s">
        <v>106</v>
      </c>
      <c r="F11553" s="151" t="s">
        <v>9</v>
      </c>
      <c r="G11553" s="152">
        <v>0</v>
      </c>
      <c r="H11553" s="151" t="s">
        <v>17</v>
      </c>
      <c r="I11553" s="151" t="s">
        <v>23</v>
      </c>
    </row>
    <row r="11554" spans="1:9" x14ac:dyDescent="0.25">
      <c r="A11554" s="151">
        <v>1831</v>
      </c>
      <c r="B11554" s="151">
        <f>A11554+1</f>
        <v>1832</v>
      </c>
      <c r="C11554" s="151" t="s">
        <v>537</v>
      </c>
      <c r="D11554" s="151" t="s">
        <v>26</v>
      </c>
      <c r="E11554" s="208" t="s">
        <v>101</v>
      </c>
      <c r="F11554" s="151" t="s">
        <v>9</v>
      </c>
      <c r="G11554" s="152">
        <v>0</v>
      </c>
      <c r="H11554" s="151" t="s">
        <v>17</v>
      </c>
      <c r="I11554" s="151" t="s">
        <v>23</v>
      </c>
    </row>
    <row r="11555" spans="1:9" x14ac:dyDescent="0.25">
      <c r="A11555" s="151">
        <v>1831</v>
      </c>
      <c r="B11555" s="151">
        <f>A11555+1</f>
        <v>1832</v>
      </c>
      <c r="C11555" s="151" t="s">
        <v>537</v>
      </c>
      <c r="D11555" s="151" t="s">
        <v>26</v>
      </c>
      <c r="E11555" s="208" t="s">
        <v>75</v>
      </c>
      <c r="F11555" s="151" t="s">
        <v>9</v>
      </c>
      <c r="G11555" s="152">
        <v>0</v>
      </c>
      <c r="H11555" s="151" t="s">
        <v>17</v>
      </c>
      <c r="I11555" s="151" t="s">
        <v>23</v>
      </c>
    </row>
    <row r="11556" spans="1:9" x14ac:dyDescent="0.25">
      <c r="A11556" s="151">
        <v>1831</v>
      </c>
      <c r="B11556" s="151">
        <f>A11556+1</f>
        <v>1832</v>
      </c>
      <c r="C11556" s="151" t="s">
        <v>537</v>
      </c>
      <c r="D11556" s="151" t="s">
        <v>26</v>
      </c>
      <c r="E11556" s="208" t="s">
        <v>66</v>
      </c>
      <c r="F11556" s="151" t="s">
        <v>9</v>
      </c>
      <c r="G11556" s="152">
        <v>0</v>
      </c>
      <c r="H11556" s="151" t="s">
        <v>17</v>
      </c>
      <c r="I11556" s="151" t="s">
        <v>23</v>
      </c>
    </row>
    <row r="11557" spans="1:9" x14ac:dyDescent="0.25">
      <c r="A11557" s="151">
        <v>1831</v>
      </c>
      <c r="B11557" s="151">
        <f>A11557+1</f>
        <v>1832</v>
      </c>
      <c r="C11557" s="151" t="s">
        <v>537</v>
      </c>
      <c r="D11557" s="151" t="s">
        <v>26</v>
      </c>
      <c r="E11557" s="208" t="s">
        <v>28</v>
      </c>
      <c r="F11557" s="151" t="s">
        <v>9</v>
      </c>
      <c r="G11557" s="152">
        <v>37</v>
      </c>
      <c r="H11557" s="151" t="s">
        <v>17</v>
      </c>
      <c r="I11557" s="151" t="s">
        <v>23</v>
      </c>
    </row>
    <row r="11558" spans="1:9" x14ac:dyDescent="0.25">
      <c r="A11558" s="151">
        <v>1831</v>
      </c>
      <c r="B11558" s="151">
        <f>A11558+1</f>
        <v>1832</v>
      </c>
      <c r="C11558" s="151" t="s">
        <v>537</v>
      </c>
      <c r="D11558" s="151" t="s">
        <v>26</v>
      </c>
      <c r="E11558" s="208" t="s">
        <v>89</v>
      </c>
      <c r="F11558" s="151" t="s">
        <v>9</v>
      </c>
      <c r="G11558" s="152">
        <v>33</v>
      </c>
      <c r="H11558" s="151" t="s">
        <v>17</v>
      </c>
      <c r="I11558" s="151" t="s">
        <v>23</v>
      </c>
    </row>
    <row r="11559" spans="1:9" x14ac:dyDescent="0.25">
      <c r="A11559" s="151">
        <v>1831</v>
      </c>
      <c r="B11559" s="151">
        <f>A11559+1</f>
        <v>1832</v>
      </c>
      <c r="C11559" s="151" t="s">
        <v>537</v>
      </c>
      <c r="D11559" s="151" t="s">
        <v>26</v>
      </c>
      <c r="E11559" s="208" t="s">
        <v>45</v>
      </c>
      <c r="F11559" s="151" t="s">
        <v>9</v>
      </c>
      <c r="G11559" s="152">
        <v>48</v>
      </c>
      <c r="H11559" s="151" t="s">
        <v>17</v>
      </c>
      <c r="I11559" s="151" t="s">
        <v>23</v>
      </c>
    </row>
    <row r="11560" spans="1:9" x14ac:dyDescent="0.25">
      <c r="A11560" s="151">
        <v>1831</v>
      </c>
      <c r="B11560" s="151">
        <f>A11560+1</f>
        <v>1832</v>
      </c>
      <c r="C11560" s="151" t="s">
        <v>537</v>
      </c>
      <c r="D11560" s="151" t="s">
        <v>26</v>
      </c>
      <c r="E11560" s="208" t="s">
        <v>48</v>
      </c>
      <c r="F11560" s="151" t="s">
        <v>9</v>
      </c>
      <c r="G11560" s="152">
        <v>6</v>
      </c>
      <c r="H11560" s="151" t="s">
        <v>17</v>
      </c>
      <c r="I11560" s="151" t="s">
        <v>23</v>
      </c>
    </row>
    <row r="11561" spans="1:9" x14ac:dyDescent="0.25">
      <c r="A11561" s="151">
        <v>1831</v>
      </c>
      <c r="B11561" s="151">
        <f>A11561+1</f>
        <v>1832</v>
      </c>
      <c r="C11561" s="151" t="s">
        <v>537</v>
      </c>
      <c r="D11561" s="151" t="s">
        <v>26</v>
      </c>
      <c r="E11561" s="208" t="s">
        <v>102</v>
      </c>
      <c r="F11561" s="151" t="s">
        <v>9</v>
      </c>
      <c r="G11561" s="152">
        <v>6</v>
      </c>
      <c r="H11561" s="151" t="s">
        <v>17</v>
      </c>
      <c r="I11561" s="151" t="s">
        <v>23</v>
      </c>
    </row>
    <row r="11562" spans="1:9" x14ac:dyDescent="0.25">
      <c r="A11562" s="151">
        <v>1831</v>
      </c>
      <c r="B11562" s="151">
        <f>A11562+1</f>
        <v>1832</v>
      </c>
      <c r="C11562" s="151" t="s">
        <v>537</v>
      </c>
      <c r="D11562" s="151" t="s">
        <v>26</v>
      </c>
      <c r="E11562" s="208" t="s">
        <v>330</v>
      </c>
      <c r="F11562" s="151" t="s">
        <v>9</v>
      </c>
      <c r="G11562" s="152">
        <v>0</v>
      </c>
      <c r="H11562" s="151" t="s">
        <v>17</v>
      </c>
      <c r="I11562" s="151" t="s">
        <v>23</v>
      </c>
    </row>
    <row r="11563" spans="1:9" x14ac:dyDescent="0.25">
      <c r="A11563" s="151">
        <v>1831</v>
      </c>
      <c r="B11563" s="151">
        <f>A11563+1</f>
        <v>1832</v>
      </c>
      <c r="C11563" s="151" t="s">
        <v>537</v>
      </c>
      <c r="D11563" s="151" t="s">
        <v>26</v>
      </c>
      <c r="E11563" s="208" t="s">
        <v>331</v>
      </c>
      <c r="F11563" s="151" t="s">
        <v>9</v>
      </c>
      <c r="G11563" s="152">
        <v>0</v>
      </c>
      <c r="H11563" s="151" t="s">
        <v>17</v>
      </c>
      <c r="I11563" s="151" t="s">
        <v>23</v>
      </c>
    </row>
    <row r="11564" spans="1:9" x14ac:dyDescent="0.25">
      <c r="A11564" s="151">
        <v>1831</v>
      </c>
      <c r="B11564" s="151">
        <f>A11564+1</f>
        <v>1832</v>
      </c>
      <c r="C11564" s="151" t="s">
        <v>537</v>
      </c>
      <c r="D11564" s="151" t="s">
        <v>26</v>
      </c>
      <c r="E11564" s="208" t="s">
        <v>332</v>
      </c>
      <c r="F11564" s="151" t="s">
        <v>9</v>
      </c>
      <c r="G11564" s="152">
        <v>0</v>
      </c>
      <c r="H11564" s="151" t="s">
        <v>17</v>
      </c>
      <c r="I11564" s="151" t="s">
        <v>23</v>
      </c>
    </row>
    <row r="11565" spans="1:9" x14ac:dyDescent="0.25">
      <c r="A11565" s="151">
        <v>1831</v>
      </c>
      <c r="B11565" s="151">
        <f>A11565+1</f>
        <v>1832</v>
      </c>
      <c r="C11565" s="151" t="s">
        <v>537</v>
      </c>
      <c r="D11565" s="151" t="s">
        <v>26</v>
      </c>
      <c r="E11565" s="208" t="s">
        <v>333</v>
      </c>
      <c r="F11565" s="151" t="s">
        <v>9</v>
      </c>
      <c r="G11565" s="152">
        <v>0</v>
      </c>
      <c r="H11565" s="151" t="s">
        <v>17</v>
      </c>
      <c r="I11565" s="151" t="s">
        <v>23</v>
      </c>
    </row>
    <row r="11566" spans="1:9" x14ac:dyDescent="0.25">
      <c r="A11566" s="151">
        <v>1831</v>
      </c>
      <c r="B11566" s="151">
        <f>A11566+1</f>
        <v>1832</v>
      </c>
      <c r="C11566" s="151" t="s">
        <v>537</v>
      </c>
      <c r="D11566" s="151" t="s">
        <v>27</v>
      </c>
      <c r="E11566" s="208" t="s">
        <v>155</v>
      </c>
      <c r="F11566" s="151" t="s">
        <v>11</v>
      </c>
      <c r="G11566" s="152">
        <v>2</v>
      </c>
      <c r="H11566" s="151" t="s">
        <v>17</v>
      </c>
      <c r="I11566" s="151" t="s">
        <v>23</v>
      </c>
    </row>
    <row r="11567" spans="1:9" x14ac:dyDescent="0.25">
      <c r="A11567" s="151">
        <v>1831</v>
      </c>
      <c r="B11567" s="151">
        <f>A11567+1</f>
        <v>1832</v>
      </c>
      <c r="C11567" s="151" t="s">
        <v>537</v>
      </c>
      <c r="D11567" s="151" t="s">
        <v>27</v>
      </c>
      <c r="E11567" s="208" t="s">
        <v>156</v>
      </c>
      <c r="F11567" s="151" t="s">
        <v>11</v>
      </c>
      <c r="G11567" s="152">
        <v>0</v>
      </c>
      <c r="H11567" s="151" t="s">
        <v>17</v>
      </c>
      <c r="I11567" s="151" t="s">
        <v>23</v>
      </c>
    </row>
    <row r="11568" spans="1:9" x14ac:dyDescent="0.25">
      <c r="A11568" s="151">
        <v>1831</v>
      </c>
      <c r="B11568" s="151">
        <f>A11568+1</f>
        <v>1832</v>
      </c>
      <c r="C11568" s="151" t="s">
        <v>537</v>
      </c>
      <c r="D11568" s="151" t="s">
        <v>27</v>
      </c>
      <c r="E11568" s="208" t="s">
        <v>154</v>
      </c>
      <c r="F11568" s="151" t="s">
        <v>11</v>
      </c>
      <c r="G11568" s="152">
        <v>65</v>
      </c>
      <c r="H11568" s="151" t="s">
        <v>17</v>
      </c>
      <c r="I11568" s="151" t="s">
        <v>23</v>
      </c>
    </row>
    <row r="11569" spans="1:9" x14ac:dyDescent="0.25">
      <c r="A11569" s="151">
        <v>1831</v>
      </c>
      <c r="B11569" s="151">
        <f>A11569+1</f>
        <v>1832</v>
      </c>
      <c r="C11569" s="151" t="s">
        <v>537</v>
      </c>
      <c r="D11569" s="151" t="s">
        <v>27</v>
      </c>
      <c r="E11569" s="208" t="s">
        <v>150</v>
      </c>
      <c r="F11569" s="151" t="s">
        <v>11</v>
      </c>
      <c r="G11569" s="152">
        <v>1625</v>
      </c>
      <c r="H11569" s="151" t="s">
        <v>17</v>
      </c>
      <c r="I11569" s="151" t="s">
        <v>23</v>
      </c>
    </row>
    <row r="11570" spans="1:9" x14ac:dyDescent="0.25">
      <c r="A11570" s="151">
        <v>1831</v>
      </c>
      <c r="B11570" s="151">
        <f>A11570+1</f>
        <v>1832</v>
      </c>
      <c r="C11570" s="151" t="s">
        <v>537</v>
      </c>
      <c r="D11570" s="151" t="s">
        <v>27</v>
      </c>
      <c r="E11570" s="208" t="s">
        <v>148</v>
      </c>
      <c r="F11570" s="151" t="s">
        <v>11</v>
      </c>
      <c r="G11570" s="152">
        <v>0</v>
      </c>
      <c r="H11570" s="151" t="s">
        <v>17</v>
      </c>
      <c r="I11570" s="151" t="s">
        <v>23</v>
      </c>
    </row>
    <row r="11571" spans="1:9" x14ac:dyDescent="0.25">
      <c r="A11571" s="151">
        <v>1831</v>
      </c>
      <c r="B11571" s="151">
        <f>A11571+1</f>
        <v>1832</v>
      </c>
      <c r="C11571" s="151" t="s">
        <v>537</v>
      </c>
      <c r="D11571" s="151" t="s">
        <v>27</v>
      </c>
      <c r="E11571" s="208" t="s">
        <v>147</v>
      </c>
      <c r="F11571" s="151" t="s">
        <v>11</v>
      </c>
      <c r="G11571" s="152">
        <v>6</v>
      </c>
      <c r="H11571" s="151" t="s">
        <v>17</v>
      </c>
      <c r="I11571" s="151" t="s">
        <v>23</v>
      </c>
    </row>
    <row r="11572" spans="1:9" x14ac:dyDescent="0.25">
      <c r="A11572" s="151">
        <v>1831</v>
      </c>
      <c r="B11572" s="151">
        <f>A11572+1</f>
        <v>1832</v>
      </c>
      <c r="C11572" s="151" t="s">
        <v>537</v>
      </c>
      <c r="D11572" s="151" t="s">
        <v>27</v>
      </c>
      <c r="E11572" s="208" t="s">
        <v>139</v>
      </c>
      <c r="F11572" s="151" t="s">
        <v>11</v>
      </c>
      <c r="G11572" s="152">
        <v>215</v>
      </c>
      <c r="H11572" s="151" t="s">
        <v>23</v>
      </c>
      <c r="I11572" s="151" t="s">
        <v>17</v>
      </c>
    </row>
    <row r="11573" spans="1:9" x14ac:dyDescent="0.25">
      <c r="A11573" s="151">
        <v>1831</v>
      </c>
      <c r="B11573" s="151">
        <f>A11573+1</f>
        <v>1832</v>
      </c>
      <c r="C11573" s="151" t="s">
        <v>537</v>
      </c>
      <c r="D11573" s="151" t="s">
        <v>27</v>
      </c>
      <c r="E11573" s="208" t="s">
        <v>132</v>
      </c>
      <c r="F11573" s="151" t="s">
        <v>11</v>
      </c>
      <c r="G11573" s="152">
        <v>1</v>
      </c>
      <c r="H11573" s="151" t="s">
        <v>23</v>
      </c>
      <c r="I11573" s="151" t="s">
        <v>17</v>
      </c>
    </row>
    <row r="11574" spans="1:9" x14ac:dyDescent="0.25">
      <c r="A11574" s="151">
        <v>1831</v>
      </c>
      <c r="B11574" s="151">
        <f>A11574+1</f>
        <v>1832</v>
      </c>
      <c r="C11574" s="151" t="s">
        <v>537</v>
      </c>
      <c r="D11574" s="151" t="s">
        <v>27</v>
      </c>
      <c r="E11574" s="208" t="s">
        <v>130</v>
      </c>
      <c r="F11574" s="151" t="s">
        <v>11</v>
      </c>
      <c r="G11574" s="152">
        <v>0</v>
      </c>
      <c r="H11574" s="151" t="s">
        <v>23</v>
      </c>
      <c r="I11574" s="151" t="s">
        <v>17</v>
      </c>
    </row>
    <row r="11575" spans="1:9" x14ac:dyDescent="0.25">
      <c r="A11575" s="151">
        <v>1831</v>
      </c>
      <c r="B11575" s="151">
        <f>A11575+1</f>
        <v>1832</v>
      </c>
      <c r="C11575" s="151" t="s">
        <v>537</v>
      </c>
      <c r="D11575" s="151" t="s">
        <v>27</v>
      </c>
      <c r="E11575" s="208" t="s">
        <v>143</v>
      </c>
      <c r="F11575" s="151" t="s">
        <v>11</v>
      </c>
      <c r="G11575" s="152">
        <v>0</v>
      </c>
      <c r="H11575" s="151" t="s">
        <v>23</v>
      </c>
      <c r="I11575" s="151" t="s">
        <v>17</v>
      </c>
    </row>
    <row r="11576" spans="1:9" x14ac:dyDescent="0.25">
      <c r="A11576" s="151">
        <v>1831</v>
      </c>
      <c r="B11576" s="151">
        <f>A11576+1</f>
        <v>1832</v>
      </c>
      <c r="C11576" s="151" t="s">
        <v>537</v>
      </c>
      <c r="D11576" s="151" t="s">
        <v>27</v>
      </c>
      <c r="E11576" s="208" t="s">
        <v>142</v>
      </c>
      <c r="F11576" s="151" t="s">
        <v>11</v>
      </c>
      <c r="G11576" s="152">
        <v>2148</v>
      </c>
      <c r="H11576" s="151" t="s">
        <v>23</v>
      </c>
      <c r="I11576" s="151" t="s">
        <v>17</v>
      </c>
    </row>
    <row r="11577" spans="1:9" x14ac:dyDescent="0.25">
      <c r="A11577" s="151">
        <v>1831</v>
      </c>
      <c r="B11577" s="151">
        <f>A11577+1</f>
        <v>1832</v>
      </c>
      <c r="C11577" s="151" t="s">
        <v>537</v>
      </c>
      <c r="D11577" s="151" t="s">
        <v>27</v>
      </c>
      <c r="E11577" s="208" t="s">
        <v>125</v>
      </c>
      <c r="F11577" s="151" t="s">
        <v>11</v>
      </c>
      <c r="G11577" s="152">
        <v>21</v>
      </c>
      <c r="H11577" s="151" t="s">
        <v>23</v>
      </c>
      <c r="I11577" s="151" t="s">
        <v>17</v>
      </c>
    </row>
    <row r="11578" spans="1:9" x14ac:dyDescent="0.25">
      <c r="A11578" s="151">
        <v>1831</v>
      </c>
      <c r="B11578" s="151">
        <f>A11578+1</f>
        <v>1832</v>
      </c>
      <c r="C11578" s="151" t="s">
        <v>537</v>
      </c>
      <c r="D11578" s="151" t="s">
        <v>27</v>
      </c>
      <c r="E11578" s="208" t="s">
        <v>122</v>
      </c>
      <c r="F11578" s="151" t="s">
        <v>11</v>
      </c>
      <c r="G11578" s="152">
        <v>4</v>
      </c>
      <c r="H11578" s="151" t="s">
        <v>23</v>
      </c>
      <c r="I11578" s="151" t="s">
        <v>17</v>
      </c>
    </row>
    <row r="11579" spans="1:9" x14ac:dyDescent="0.25">
      <c r="A11579" s="151">
        <v>1831</v>
      </c>
      <c r="B11579" s="151">
        <f>A11579+1</f>
        <v>1832</v>
      </c>
      <c r="C11579" s="151" t="s">
        <v>537</v>
      </c>
      <c r="D11579" s="151" t="s">
        <v>27</v>
      </c>
      <c r="E11579" s="208" t="s">
        <v>121</v>
      </c>
      <c r="F11579" s="151" t="s">
        <v>11</v>
      </c>
      <c r="G11579" s="152">
        <v>1098</v>
      </c>
      <c r="H11579" s="151" t="s">
        <v>23</v>
      </c>
      <c r="I11579" s="151" t="s">
        <v>17</v>
      </c>
    </row>
    <row r="11580" spans="1:9" x14ac:dyDescent="0.25">
      <c r="A11580" s="151">
        <v>1831</v>
      </c>
      <c r="B11580" s="151">
        <f>A11580+1</f>
        <v>1832</v>
      </c>
      <c r="C11580" s="151" t="s">
        <v>537</v>
      </c>
      <c r="D11580" s="151" t="s">
        <v>27</v>
      </c>
      <c r="E11580" s="208" t="s">
        <v>127</v>
      </c>
      <c r="F11580" s="151" t="s">
        <v>11</v>
      </c>
      <c r="G11580" s="152">
        <v>0</v>
      </c>
      <c r="H11580" s="151" t="s">
        <v>23</v>
      </c>
      <c r="I11580" s="151" t="s">
        <v>17</v>
      </c>
    </row>
    <row r="11581" spans="1:9" x14ac:dyDescent="0.25">
      <c r="A11581" s="151">
        <v>1831</v>
      </c>
      <c r="B11581" s="151">
        <f>A11581+1</f>
        <v>1832</v>
      </c>
      <c r="C11581" s="151" t="s">
        <v>537</v>
      </c>
      <c r="D11581" s="151" t="s">
        <v>27</v>
      </c>
      <c r="E11581" s="208" t="s">
        <v>133</v>
      </c>
      <c r="F11581" s="151" t="s">
        <v>11</v>
      </c>
      <c r="G11581" s="152">
        <v>1163</v>
      </c>
      <c r="H11581" s="151" t="s">
        <v>23</v>
      </c>
      <c r="I11581" s="151" t="s">
        <v>17</v>
      </c>
    </row>
    <row r="11582" spans="1:9" x14ac:dyDescent="0.25">
      <c r="A11582" s="151">
        <v>1831</v>
      </c>
      <c r="B11582" s="151">
        <f>A11582+1</f>
        <v>1832</v>
      </c>
      <c r="C11582" s="151" t="s">
        <v>537</v>
      </c>
      <c r="D11582" s="151" t="s">
        <v>27</v>
      </c>
      <c r="E11582" s="208" t="s">
        <v>74</v>
      </c>
      <c r="F11582" s="151" t="s">
        <v>11</v>
      </c>
      <c r="G11582" s="152">
        <v>163</v>
      </c>
      <c r="H11582" s="151" t="s">
        <v>23</v>
      </c>
      <c r="I11582" s="151" t="s">
        <v>17</v>
      </c>
    </row>
    <row r="11583" spans="1:9" x14ac:dyDescent="0.25">
      <c r="A11583" s="151">
        <v>1831</v>
      </c>
      <c r="B11583" s="151">
        <f>A11583+1</f>
        <v>1832</v>
      </c>
      <c r="C11583" s="151" t="s">
        <v>537</v>
      </c>
      <c r="D11583" s="151" t="s">
        <v>27</v>
      </c>
      <c r="E11583" s="208" t="s">
        <v>129</v>
      </c>
      <c r="F11583" s="151" t="s">
        <v>11</v>
      </c>
      <c r="G11583" s="152">
        <v>10.75</v>
      </c>
      <c r="H11583" s="151" t="s">
        <v>23</v>
      </c>
      <c r="I11583" s="151" t="s">
        <v>17</v>
      </c>
    </row>
    <row r="11584" spans="1:9" x14ac:dyDescent="0.25">
      <c r="A11584" s="151">
        <v>1831</v>
      </c>
      <c r="B11584" s="151">
        <f>A11584+1</f>
        <v>1832</v>
      </c>
      <c r="C11584" s="151" t="s">
        <v>537</v>
      </c>
      <c r="D11584" s="151" t="s">
        <v>27</v>
      </c>
      <c r="E11584" s="208" t="s">
        <v>141</v>
      </c>
      <c r="F11584" s="151" t="s">
        <v>11</v>
      </c>
      <c r="G11584" s="152">
        <v>0</v>
      </c>
      <c r="H11584" s="151" t="s">
        <v>23</v>
      </c>
      <c r="I11584" s="151" t="s">
        <v>17</v>
      </c>
    </row>
    <row r="11585" spans="1:9" x14ac:dyDescent="0.25">
      <c r="A11585" s="151">
        <v>1831</v>
      </c>
      <c r="B11585" s="151">
        <f>A11585+1</f>
        <v>1832</v>
      </c>
      <c r="C11585" s="151" t="s">
        <v>537</v>
      </c>
      <c r="D11585" s="151" t="s">
        <v>27</v>
      </c>
      <c r="E11585" s="208" t="s">
        <v>128</v>
      </c>
      <c r="F11585" s="151" t="s">
        <v>11</v>
      </c>
      <c r="G11585" s="152">
        <v>0</v>
      </c>
      <c r="H11585" s="151" t="s">
        <v>23</v>
      </c>
      <c r="I11585" s="151" t="s">
        <v>17</v>
      </c>
    </row>
    <row r="11586" spans="1:9" x14ac:dyDescent="0.25">
      <c r="A11586" s="151">
        <v>1831</v>
      </c>
      <c r="B11586" s="151">
        <f>A11586+1</f>
        <v>1832</v>
      </c>
      <c r="C11586" s="151" t="s">
        <v>537</v>
      </c>
      <c r="D11586" s="151" t="s">
        <v>27</v>
      </c>
      <c r="E11586" s="208" t="s">
        <v>135</v>
      </c>
      <c r="F11586" s="151" t="s">
        <v>11</v>
      </c>
      <c r="G11586" s="152">
        <v>2</v>
      </c>
      <c r="H11586" s="151" t="s">
        <v>23</v>
      </c>
      <c r="I11586" s="151" t="s">
        <v>17</v>
      </c>
    </row>
    <row r="11587" spans="1:9" x14ac:dyDescent="0.25">
      <c r="A11587" s="151">
        <v>1831</v>
      </c>
      <c r="B11587" s="151">
        <f>A11587+1</f>
        <v>1832</v>
      </c>
      <c r="C11587" s="151" t="s">
        <v>537</v>
      </c>
      <c r="D11587" s="151" t="s">
        <v>27</v>
      </c>
      <c r="E11587" s="208" t="s">
        <v>138</v>
      </c>
      <c r="F11587" s="151" t="s">
        <v>11</v>
      </c>
      <c r="G11587" s="152">
        <v>477</v>
      </c>
      <c r="H11587" s="151" t="s">
        <v>23</v>
      </c>
      <c r="I11587" s="151" t="s">
        <v>17</v>
      </c>
    </row>
    <row r="11588" spans="1:9" x14ac:dyDescent="0.25">
      <c r="A11588" s="151">
        <v>1831</v>
      </c>
      <c r="B11588" s="151">
        <f>A11588+1</f>
        <v>1832</v>
      </c>
      <c r="C11588" s="151" t="s">
        <v>537</v>
      </c>
      <c r="D11588" s="151" t="s">
        <v>27</v>
      </c>
      <c r="E11588" s="208" t="s">
        <v>134</v>
      </c>
      <c r="F11588" s="151" t="s">
        <v>11</v>
      </c>
      <c r="G11588" s="152">
        <v>0</v>
      </c>
      <c r="H11588" s="151" t="s">
        <v>23</v>
      </c>
      <c r="I11588" s="151" t="s">
        <v>17</v>
      </c>
    </row>
    <row r="11589" spans="1:9" x14ac:dyDescent="0.25">
      <c r="A11589" s="151">
        <v>1831</v>
      </c>
      <c r="B11589" s="151">
        <f>A11589+1</f>
        <v>1832</v>
      </c>
      <c r="C11589" s="151" t="s">
        <v>537</v>
      </c>
      <c r="D11589" s="151" t="s">
        <v>26</v>
      </c>
      <c r="E11589" s="208" t="s">
        <v>34</v>
      </c>
      <c r="F11589" s="151" t="s">
        <v>11</v>
      </c>
      <c r="G11589" s="152">
        <v>374</v>
      </c>
      <c r="H11589" s="151" t="s">
        <v>23</v>
      </c>
      <c r="I11589" s="151" t="s">
        <v>17</v>
      </c>
    </row>
    <row r="11590" spans="1:9" x14ac:dyDescent="0.25">
      <c r="A11590" s="151">
        <v>1831</v>
      </c>
      <c r="B11590" s="151">
        <f>A11590+1</f>
        <v>1832</v>
      </c>
      <c r="C11590" s="151" t="s">
        <v>537</v>
      </c>
      <c r="D11590" s="151" t="s">
        <v>26</v>
      </c>
      <c r="E11590" s="208" t="s">
        <v>63</v>
      </c>
      <c r="F11590" s="151" t="s">
        <v>11</v>
      </c>
      <c r="G11590" s="152">
        <v>118</v>
      </c>
      <c r="H11590" s="151" t="s">
        <v>23</v>
      </c>
      <c r="I11590" s="151" t="s">
        <v>17</v>
      </c>
    </row>
    <row r="11591" spans="1:9" x14ac:dyDescent="0.25">
      <c r="A11591" s="151">
        <v>1831</v>
      </c>
      <c r="B11591" s="151">
        <f>A11591+1</f>
        <v>1832</v>
      </c>
      <c r="C11591" s="151" t="s">
        <v>537</v>
      </c>
      <c r="D11591" s="151" t="s">
        <v>26</v>
      </c>
      <c r="E11591" s="208" t="s">
        <v>62</v>
      </c>
      <c r="F11591" s="151" t="s">
        <v>11</v>
      </c>
      <c r="G11591" s="152">
        <v>5033</v>
      </c>
      <c r="H11591" s="151" t="s">
        <v>23</v>
      </c>
      <c r="I11591" s="151" t="s">
        <v>17</v>
      </c>
    </row>
    <row r="11592" spans="1:9" x14ac:dyDescent="0.25">
      <c r="A11592" s="151">
        <v>1831</v>
      </c>
      <c r="B11592" s="151">
        <f>A11592+1</f>
        <v>1832</v>
      </c>
      <c r="C11592" s="151" t="s">
        <v>537</v>
      </c>
      <c r="D11592" s="151" t="s">
        <v>26</v>
      </c>
      <c r="E11592" s="208" t="s">
        <v>55</v>
      </c>
      <c r="F11592" s="151" t="s">
        <v>11</v>
      </c>
      <c r="G11592" s="152">
        <v>2091</v>
      </c>
      <c r="H11592" s="151" t="s">
        <v>23</v>
      </c>
      <c r="I11592" s="151" t="s">
        <v>17</v>
      </c>
    </row>
    <row r="11593" spans="1:9" x14ac:dyDescent="0.25">
      <c r="A11593" s="151">
        <v>1831</v>
      </c>
      <c r="B11593" s="151">
        <f>A11593+1</f>
        <v>1832</v>
      </c>
      <c r="C11593" s="151" t="s">
        <v>537</v>
      </c>
      <c r="D11593" s="151" t="s">
        <v>26</v>
      </c>
      <c r="E11593" s="208" t="s">
        <v>36</v>
      </c>
      <c r="F11593" s="151" t="s">
        <v>11</v>
      </c>
      <c r="G11593" s="152">
        <v>1045</v>
      </c>
      <c r="H11593" s="151" t="s">
        <v>23</v>
      </c>
      <c r="I11593" s="151" t="s">
        <v>17</v>
      </c>
    </row>
    <row r="11594" spans="1:9" x14ac:dyDescent="0.25">
      <c r="A11594" s="151">
        <v>1831</v>
      </c>
      <c r="B11594" s="151">
        <f>A11594+1</f>
        <v>1832</v>
      </c>
      <c r="C11594" s="151" t="s">
        <v>537</v>
      </c>
      <c r="D11594" s="151" t="s">
        <v>26</v>
      </c>
      <c r="E11594" s="208" t="s">
        <v>35</v>
      </c>
      <c r="F11594" s="151" t="s">
        <v>11</v>
      </c>
      <c r="G11594" s="152">
        <v>0</v>
      </c>
      <c r="H11594" s="151" t="s">
        <v>23</v>
      </c>
      <c r="I11594" s="151" t="s">
        <v>17</v>
      </c>
    </row>
    <row r="11595" spans="1:9" x14ac:dyDescent="0.25">
      <c r="A11595" s="151">
        <v>1831</v>
      </c>
      <c r="B11595" s="151">
        <f>A11595+1</f>
        <v>1832</v>
      </c>
      <c r="C11595" s="151" t="s">
        <v>537</v>
      </c>
      <c r="D11595" s="151" t="s">
        <v>26</v>
      </c>
      <c r="E11595" s="208" t="s">
        <v>40</v>
      </c>
      <c r="F11595" s="151" t="s">
        <v>11</v>
      </c>
      <c r="G11595" s="152">
        <v>2464</v>
      </c>
      <c r="H11595" s="151" t="s">
        <v>23</v>
      </c>
      <c r="I11595" s="151" t="s">
        <v>17</v>
      </c>
    </row>
    <row r="11596" spans="1:9" x14ac:dyDescent="0.25">
      <c r="A11596" s="151">
        <v>1831</v>
      </c>
      <c r="B11596" s="151">
        <f>A11596+1</f>
        <v>1832</v>
      </c>
      <c r="C11596" s="151" t="s">
        <v>537</v>
      </c>
      <c r="D11596" s="151" t="s">
        <v>26</v>
      </c>
      <c r="E11596" s="208" t="s">
        <v>96</v>
      </c>
      <c r="F11596" s="151" t="s">
        <v>11</v>
      </c>
      <c r="G11596" s="152">
        <v>255</v>
      </c>
      <c r="H11596" s="151" t="s">
        <v>17</v>
      </c>
      <c r="I11596" s="151" t="s">
        <v>562</v>
      </c>
    </row>
    <row r="11597" spans="1:9" x14ac:dyDescent="0.25">
      <c r="A11597" s="151">
        <v>1831</v>
      </c>
      <c r="B11597" s="151">
        <f>A11597+1</f>
        <v>1832</v>
      </c>
      <c r="C11597" s="151" t="s">
        <v>537</v>
      </c>
      <c r="D11597" s="151" t="s">
        <v>26</v>
      </c>
      <c r="E11597" s="208" t="s">
        <v>98</v>
      </c>
      <c r="F11597" s="151" t="s">
        <v>11</v>
      </c>
      <c r="G11597" s="152">
        <v>2917</v>
      </c>
      <c r="H11597" s="151" t="s">
        <v>17</v>
      </c>
      <c r="I11597" s="151" t="s">
        <v>562</v>
      </c>
    </row>
    <row r="11598" spans="1:9" x14ac:dyDescent="0.25">
      <c r="A11598" s="151">
        <v>1831</v>
      </c>
      <c r="B11598" s="151">
        <f>A11598+1</f>
        <v>1832</v>
      </c>
      <c r="C11598" s="151" t="s">
        <v>537</v>
      </c>
      <c r="D11598" s="151" t="s">
        <v>26</v>
      </c>
      <c r="E11598" s="208" t="s">
        <v>442</v>
      </c>
      <c r="F11598" s="151" t="s">
        <v>11</v>
      </c>
      <c r="G11598" s="152">
        <v>2278</v>
      </c>
      <c r="H11598" s="151" t="s">
        <v>17</v>
      </c>
      <c r="I11598" s="151" t="s">
        <v>562</v>
      </c>
    </row>
    <row r="11599" spans="1:9" x14ac:dyDescent="0.25">
      <c r="A11599" s="151">
        <v>1831</v>
      </c>
      <c r="B11599" s="151">
        <f>A11599+1</f>
        <v>1832</v>
      </c>
      <c r="C11599" s="151" t="s">
        <v>537</v>
      </c>
      <c r="D11599" s="151" t="s">
        <v>26</v>
      </c>
      <c r="E11599" s="208" t="s">
        <v>105</v>
      </c>
      <c r="F11599" s="151" t="s">
        <v>11</v>
      </c>
      <c r="G11599" s="152">
        <v>1173710</v>
      </c>
      <c r="H11599" s="151" t="s">
        <v>17</v>
      </c>
      <c r="I11599" s="151" t="s">
        <v>562</v>
      </c>
    </row>
    <row r="11600" spans="1:9" x14ac:dyDescent="0.25">
      <c r="A11600" s="151">
        <v>1831</v>
      </c>
      <c r="B11600" s="151">
        <f>A11600+1</f>
        <v>1832</v>
      </c>
      <c r="C11600" s="151" t="s">
        <v>537</v>
      </c>
      <c r="D11600" s="151" t="s">
        <v>26</v>
      </c>
      <c r="E11600" s="208" t="s">
        <v>106</v>
      </c>
      <c r="F11600" s="151" t="s">
        <v>11</v>
      </c>
      <c r="G11600" s="152">
        <v>475718</v>
      </c>
      <c r="H11600" s="151" t="s">
        <v>17</v>
      </c>
      <c r="I11600" s="151" t="s">
        <v>562</v>
      </c>
    </row>
    <row r="11601" spans="1:9" x14ac:dyDescent="0.25">
      <c r="A11601" s="151">
        <v>1831</v>
      </c>
      <c r="B11601" s="151">
        <f>A11601+1</f>
        <v>1832</v>
      </c>
      <c r="C11601" s="151" t="s">
        <v>537</v>
      </c>
      <c r="D11601" s="151" t="s">
        <v>26</v>
      </c>
      <c r="E11601" s="208" t="s">
        <v>101</v>
      </c>
      <c r="F11601" s="151" t="s">
        <v>11</v>
      </c>
      <c r="G11601" s="152">
        <v>672775</v>
      </c>
      <c r="H11601" s="151" t="s">
        <v>17</v>
      </c>
      <c r="I11601" s="151" t="s">
        <v>562</v>
      </c>
    </row>
    <row r="11602" spans="1:9" x14ac:dyDescent="0.25">
      <c r="A11602" s="151">
        <v>1831</v>
      </c>
      <c r="B11602" s="151">
        <f>A11602+1</f>
        <v>1832</v>
      </c>
      <c r="C11602" s="151" t="s">
        <v>537</v>
      </c>
      <c r="D11602" s="151" t="s">
        <v>26</v>
      </c>
      <c r="E11602" s="208" t="s">
        <v>75</v>
      </c>
      <c r="F11602" s="151" t="s">
        <v>11</v>
      </c>
      <c r="G11602" s="152">
        <v>0</v>
      </c>
      <c r="H11602" s="151" t="s">
        <v>17</v>
      </c>
      <c r="I11602" s="151" t="s">
        <v>562</v>
      </c>
    </row>
    <row r="11603" spans="1:9" x14ac:dyDescent="0.25">
      <c r="A11603" s="151">
        <v>1831</v>
      </c>
      <c r="B11603" s="151">
        <f>A11603+1</f>
        <v>1832</v>
      </c>
      <c r="C11603" s="151" t="s">
        <v>537</v>
      </c>
      <c r="D11603" s="151" t="s">
        <v>26</v>
      </c>
      <c r="E11603" s="208" t="s">
        <v>66</v>
      </c>
      <c r="F11603" s="151" t="s">
        <v>11</v>
      </c>
      <c r="G11603" s="152">
        <v>0</v>
      </c>
      <c r="H11603" s="151" t="s">
        <v>17</v>
      </c>
      <c r="I11603" s="151" t="s">
        <v>562</v>
      </c>
    </row>
    <row r="11604" spans="1:9" x14ac:dyDescent="0.25">
      <c r="A11604" s="151">
        <v>1831</v>
      </c>
      <c r="B11604" s="151">
        <f>A11604+1</f>
        <v>1832</v>
      </c>
      <c r="C11604" s="151" t="s">
        <v>537</v>
      </c>
      <c r="D11604" s="151" t="s">
        <v>26</v>
      </c>
      <c r="E11604" s="208" t="s">
        <v>28</v>
      </c>
      <c r="F11604" s="151" t="s">
        <v>11</v>
      </c>
      <c r="G11604" s="152">
        <v>11</v>
      </c>
      <c r="H11604" s="151" t="s">
        <v>17</v>
      </c>
      <c r="I11604" s="151" t="s">
        <v>562</v>
      </c>
    </row>
    <row r="11605" spans="1:9" x14ac:dyDescent="0.25">
      <c r="A11605" s="151">
        <v>1831</v>
      </c>
      <c r="B11605" s="151">
        <f>A11605+1</f>
        <v>1832</v>
      </c>
      <c r="C11605" s="151" t="s">
        <v>537</v>
      </c>
      <c r="D11605" s="151" t="s">
        <v>26</v>
      </c>
      <c r="E11605" s="208" t="s">
        <v>89</v>
      </c>
      <c r="F11605" s="151" t="s">
        <v>11</v>
      </c>
      <c r="G11605" s="152">
        <v>120</v>
      </c>
      <c r="H11605" s="151" t="s">
        <v>17</v>
      </c>
      <c r="I11605" s="151" t="s">
        <v>562</v>
      </c>
    </row>
    <row r="11606" spans="1:9" x14ac:dyDescent="0.25">
      <c r="A11606" s="151">
        <v>1831</v>
      </c>
      <c r="B11606" s="151">
        <f>A11606+1</f>
        <v>1832</v>
      </c>
      <c r="C11606" s="151" t="s">
        <v>537</v>
      </c>
      <c r="D11606" s="151" t="s">
        <v>26</v>
      </c>
      <c r="E11606" s="208" t="s">
        <v>45</v>
      </c>
      <c r="F11606" s="151" t="s">
        <v>11</v>
      </c>
      <c r="G11606" s="152">
        <v>139</v>
      </c>
      <c r="H11606" s="151" t="s">
        <v>17</v>
      </c>
      <c r="I11606" s="151" t="s">
        <v>562</v>
      </c>
    </row>
    <row r="11607" spans="1:9" x14ac:dyDescent="0.25">
      <c r="A11607" s="151">
        <v>1831</v>
      </c>
      <c r="B11607" s="151">
        <f>A11607+1</f>
        <v>1832</v>
      </c>
      <c r="C11607" s="151" t="s">
        <v>537</v>
      </c>
      <c r="D11607" s="151" t="s">
        <v>26</v>
      </c>
      <c r="E11607" s="208" t="s">
        <v>48</v>
      </c>
      <c r="F11607" s="151" t="s">
        <v>11</v>
      </c>
      <c r="G11607" s="152">
        <v>98</v>
      </c>
      <c r="H11607" s="151" t="s">
        <v>17</v>
      </c>
      <c r="I11607" s="151" t="s">
        <v>562</v>
      </c>
    </row>
    <row r="11608" spans="1:9" x14ac:dyDescent="0.25">
      <c r="A11608" s="151">
        <v>1831</v>
      </c>
      <c r="B11608" s="151">
        <f>A11608+1</f>
        <v>1832</v>
      </c>
      <c r="C11608" s="151" t="s">
        <v>537</v>
      </c>
      <c r="D11608" s="151" t="s">
        <v>26</v>
      </c>
      <c r="E11608" s="208" t="s">
        <v>102</v>
      </c>
      <c r="F11608" s="151" t="s">
        <v>11</v>
      </c>
      <c r="G11608" s="152">
        <v>131</v>
      </c>
      <c r="H11608" s="151" t="s">
        <v>17</v>
      </c>
      <c r="I11608" s="151" t="s">
        <v>562</v>
      </c>
    </row>
    <row r="11609" spans="1:9" x14ac:dyDescent="0.25">
      <c r="A11609" s="151">
        <v>1831</v>
      </c>
      <c r="B11609" s="151">
        <f>A11609+1</f>
        <v>1832</v>
      </c>
      <c r="C11609" s="151" t="s">
        <v>537</v>
      </c>
      <c r="D11609" s="151" t="s">
        <v>26</v>
      </c>
      <c r="E11609" s="208" t="s">
        <v>330</v>
      </c>
      <c r="F11609" s="151" t="s">
        <v>11</v>
      </c>
      <c r="G11609" s="152">
        <v>242</v>
      </c>
      <c r="H11609" s="151" t="s">
        <v>17</v>
      </c>
      <c r="I11609" s="151" t="s">
        <v>562</v>
      </c>
    </row>
    <row r="11610" spans="1:9" x14ac:dyDescent="0.25">
      <c r="A11610" s="151">
        <v>1831</v>
      </c>
      <c r="B11610" s="151">
        <f>A11610+1</f>
        <v>1832</v>
      </c>
      <c r="C11610" s="151" t="s">
        <v>537</v>
      </c>
      <c r="D11610" s="151" t="s">
        <v>26</v>
      </c>
      <c r="E11610" s="208" t="s">
        <v>331</v>
      </c>
      <c r="F11610" s="151" t="s">
        <v>11</v>
      </c>
      <c r="G11610" s="152">
        <v>110</v>
      </c>
      <c r="H11610" s="151" t="s">
        <v>17</v>
      </c>
      <c r="I11610" s="151" t="s">
        <v>562</v>
      </c>
    </row>
    <row r="11611" spans="1:9" x14ac:dyDescent="0.25">
      <c r="A11611" s="151">
        <v>1831</v>
      </c>
      <c r="B11611" s="151">
        <f>A11611+1</f>
        <v>1832</v>
      </c>
      <c r="C11611" s="151" t="s">
        <v>537</v>
      </c>
      <c r="D11611" s="151" t="s">
        <v>26</v>
      </c>
      <c r="E11611" s="208" t="s">
        <v>332</v>
      </c>
      <c r="F11611" s="151" t="s">
        <v>11</v>
      </c>
      <c r="G11611" s="152">
        <v>0</v>
      </c>
      <c r="H11611" s="151" t="s">
        <v>17</v>
      </c>
      <c r="I11611" s="151" t="s">
        <v>562</v>
      </c>
    </row>
    <row r="11612" spans="1:9" x14ac:dyDescent="0.25">
      <c r="A11612" s="151">
        <v>1831</v>
      </c>
      <c r="B11612" s="151">
        <f>A11612+1</f>
        <v>1832</v>
      </c>
      <c r="C11612" s="151" t="s">
        <v>537</v>
      </c>
      <c r="D11612" s="151" t="s">
        <v>26</v>
      </c>
      <c r="E11612" s="208" t="s">
        <v>333</v>
      </c>
      <c r="F11612" s="151" t="s">
        <v>11</v>
      </c>
      <c r="G11612" s="152">
        <v>0</v>
      </c>
      <c r="H11612" s="151" t="s">
        <v>17</v>
      </c>
      <c r="I11612" s="151" t="s">
        <v>562</v>
      </c>
    </row>
    <row r="11613" spans="1:9" x14ac:dyDescent="0.25">
      <c r="A11613" s="151">
        <v>1831</v>
      </c>
      <c r="B11613" s="151">
        <f>A11613+1</f>
        <v>1832</v>
      </c>
      <c r="C11613" s="151" t="s">
        <v>537</v>
      </c>
      <c r="D11613" s="151" t="s">
        <v>27</v>
      </c>
      <c r="E11613" s="208" t="s">
        <v>155</v>
      </c>
      <c r="F11613" s="151" t="s">
        <v>14</v>
      </c>
      <c r="G11613" s="152">
        <v>61682</v>
      </c>
      <c r="H11613" s="151" t="s">
        <v>17</v>
      </c>
      <c r="I11613" s="151" t="s">
        <v>562</v>
      </c>
    </row>
    <row r="11614" spans="1:9" x14ac:dyDescent="0.25">
      <c r="A11614" s="151">
        <v>1831</v>
      </c>
      <c r="B11614" s="151">
        <f>A11614+1</f>
        <v>1832</v>
      </c>
      <c r="C11614" s="151" t="s">
        <v>537</v>
      </c>
      <c r="D11614" s="151" t="s">
        <v>27</v>
      </c>
      <c r="E11614" s="208" t="s">
        <v>156</v>
      </c>
      <c r="F11614" s="151" t="s">
        <v>14</v>
      </c>
      <c r="G11614" s="152">
        <v>7971</v>
      </c>
      <c r="H11614" s="151" t="s">
        <v>17</v>
      </c>
      <c r="I11614" s="151" t="s">
        <v>562</v>
      </c>
    </row>
    <row r="11615" spans="1:9" x14ac:dyDescent="0.25">
      <c r="A11615" s="151">
        <v>1831</v>
      </c>
      <c r="B11615" s="151">
        <f>A11615+1</f>
        <v>1832</v>
      </c>
      <c r="C11615" s="151" t="s">
        <v>537</v>
      </c>
      <c r="D11615" s="151" t="s">
        <v>27</v>
      </c>
      <c r="E11615" s="208" t="s">
        <v>154</v>
      </c>
      <c r="F11615" s="151" t="s">
        <v>14</v>
      </c>
      <c r="G11615" s="152">
        <v>2505</v>
      </c>
      <c r="H11615" s="151" t="s">
        <v>17</v>
      </c>
      <c r="I11615" s="151" t="s">
        <v>562</v>
      </c>
    </row>
    <row r="11616" spans="1:9" x14ac:dyDescent="0.25">
      <c r="A11616" s="151">
        <v>1831</v>
      </c>
      <c r="B11616" s="151">
        <f>A11616+1</f>
        <v>1832</v>
      </c>
      <c r="C11616" s="151" t="s">
        <v>537</v>
      </c>
      <c r="D11616" s="151" t="s">
        <v>27</v>
      </c>
      <c r="E11616" s="208" t="s">
        <v>150</v>
      </c>
      <c r="F11616" s="151" t="s">
        <v>14</v>
      </c>
      <c r="G11616" s="152">
        <v>22175</v>
      </c>
      <c r="H11616" s="151" t="s">
        <v>17</v>
      </c>
      <c r="I11616" s="151" t="s">
        <v>562</v>
      </c>
    </row>
    <row r="11617" spans="1:9" x14ac:dyDescent="0.25">
      <c r="A11617" s="151">
        <v>1831</v>
      </c>
      <c r="B11617" s="151">
        <f>A11617+1</f>
        <v>1832</v>
      </c>
      <c r="C11617" s="151" t="s">
        <v>537</v>
      </c>
      <c r="D11617" s="151" t="s">
        <v>27</v>
      </c>
      <c r="E11617" s="208" t="s">
        <v>148</v>
      </c>
      <c r="F11617" s="151" t="s">
        <v>14</v>
      </c>
      <c r="G11617" s="152">
        <v>1585</v>
      </c>
      <c r="H11617" s="151" t="s">
        <v>17</v>
      </c>
      <c r="I11617" s="151" t="s">
        <v>562</v>
      </c>
    </row>
    <row r="11618" spans="1:9" x14ac:dyDescent="0.25">
      <c r="A11618" s="151">
        <v>1831</v>
      </c>
      <c r="B11618" s="151">
        <f>A11618+1</f>
        <v>1832</v>
      </c>
      <c r="C11618" s="151" t="s">
        <v>537</v>
      </c>
      <c r="D11618" s="151" t="s">
        <v>27</v>
      </c>
      <c r="E11618" s="208" t="s">
        <v>147</v>
      </c>
      <c r="F11618" s="151" t="s">
        <v>14</v>
      </c>
      <c r="G11618" s="152">
        <v>534</v>
      </c>
      <c r="H11618" s="151" t="s">
        <v>17</v>
      </c>
      <c r="I11618" s="151" t="s">
        <v>562</v>
      </c>
    </row>
    <row r="11619" spans="1:9" x14ac:dyDescent="0.25">
      <c r="A11619" s="151">
        <v>1831</v>
      </c>
      <c r="B11619" s="151">
        <f>A11619+1</f>
        <v>1832</v>
      </c>
      <c r="C11619" s="151" t="s">
        <v>537</v>
      </c>
      <c r="D11619" s="151" t="s">
        <v>27</v>
      </c>
      <c r="E11619" s="208" t="s">
        <v>139</v>
      </c>
      <c r="F11619" s="151" t="s">
        <v>14</v>
      </c>
      <c r="G11619" s="152">
        <v>831</v>
      </c>
      <c r="H11619" s="151" t="s">
        <v>563</v>
      </c>
      <c r="I11619" s="151" t="s">
        <v>17</v>
      </c>
    </row>
    <row r="11620" spans="1:9" x14ac:dyDescent="0.25">
      <c r="A11620" s="151">
        <v>1831</v>
      </c>
      <c r="B11620" s="151">
        <f>A11620+1</f>
        <v>1832</v>
      </c>
      <c r="C11620" s="151" t="s">
        <v>537</v>
      </c>
      <c r="D11620" s="151" t="s">
        <v>27</v>
      </c>
      <c r="E11620" s="208" t="s">
        <v>132</v>
      </c>
      <c r="F11620" s="151" t="s">
        <v>14</v>
      </c>
      <c r="G11620" s="152">
        <v>1637</v>
      </c>
      <c r="H11620" s="151" t="s">
        <v>563</v>
      </c>
      <c r="I11620" s="151" t="s">
        <v>17</v>
      </c>
    </row>
    <row r="11621" spans="1:9" x14ac:dyDescent="0.25">
      <c r="A11621" s="151">
        <v>1831</v>
      </c>
      <c r="B11621" s="151">
        <f>A11621+1</f>
        <v>1832</v>
      </c>
      <c r="C11621" s="151" t="s">
        <v>537</v>
      </c>
      <c r="D11621" s="151" t="s">
        <v>27</v>
      </c>
      <c r="E11621" s="208" t="s">
        <v>130</v>
      </c>
      <c r="F11621" s="151" t="s">
        <v>14</v>
      </c>
      <c r="G11621" s="152">
        <v>839</v>
      </c>
      <c r="H11621" s="151" t="s">
        <v>563</v>
      </c>
      <c r="I11621" s="151" t="s">
        <v>17</v>
      </c>
    </row>
    <row r="11622" spans="1:9" x14ac:dyDescent="0.25">
      <c r="A11622" s="151">
        <v>1831</v>
      </c>
      <c r="B11622" s="151">
        <f>A11622+1</f>
        <v>1832</v>
      </c>
      <c r="C11622" s="151" t="s">
        <v>537</v>
      </c>
      <c r="D11622" s="151" t="s">
        <v>27</v>
      </c>
      <c r="E11622" s="208" t="s">
        <v>143</v>
      </c>
      <c r="F11622" s="151" t="s">
        <v>14</v>
      </c>
      <c r="G11622" s="152">
        <v>91</v>
      </c>
      <c r="H11622" s="151" t="s">
        <v>563</v>
      </c>
      <c r="I11622" s="151" t="s">
        <v>17</v>
      </c>
    </row>
    <row r="11623" spans="1:9" x14ac:dyDescent="0.25">
      <c r="A11623" s="151">
        <v>1831</v>
      </c>
      <c r="B11623" s="151">
        <f>A11623+1</f>
        <v>1832</v>
      </c>
      <c r="C11623" s="151" t="s">
        <v>537</v>
      </c>
      <c r="D11623" s="151" t="s">
        <v>27</v>
      </c>
      <c r="E11623" s="208" t="s">
        <v>142</v>
      </c>
      <c r="F11623" s="151" t="s">
        <v>14</v>
      </c>
      <c r="G11623" s="152">
        <v>8220</v>
      </c>
      <c r="H11623" s="151" t="s">
        <v>563</v>
      </c>
      <c r="I11623" s="151" t="s">
        <v>17</v>
      </c>
    </row>
    <row r="11624" spans="1:9" x14ac:dyDescent="0.25">
      <c r="A11624" s="151">
        <v>1831</v>
      </c>
      <c r="B11624" s="151">
        <f>A11624+1</f>
        <v>1832</v>
      </c>
      <c r="C11624" s="151" t="s">
        <v>537</v>
      </c>
      <c r="D11624" s="151" t="s">
        <v>27</v>
      </c>
      <c r="E11624" s="208" t="s">
        <v>125</v>
      </c>
      <c r="F11624" s="151" t="s">
        <v>14</v>
      </c>
      <c r="G11624" s="152">
        <v>7584</v>
      </c>
      <c r="H11624" s="151" t="s">
        <v>563</v>
      </c>
      <c r="I11624" s="151" t="s">
        <v>17</v>
      </c>
    </row>
    <row r="11625" spans="1:9" x14ac:dyDescent="0.25">
      <c r="A11625" s="151">
        <v>1831</v>
      </c>
      <c r="B11625" s="151">
        <f>A11625+1</f>
        <v>1832</v>
      </c>
      <c r="C11625" s="151" t="s">
        <v>537</v>
      </c>
      <c r="D11625" s="151" t="s">
        <v>27</v>
      </c>
      <c r="E11625" s="208" t="s">
        <v>122</v>
      </c>
      <c r="F11625" s="151" t="s">
        <v>14</v>
      </c>
      <c r="G11625" s="152">
        <v>847</v>
      </c>
      <c r="H11625" s="151" t="s">
        <v>563</v>
      </c>
      <c r="I11625" s="151" t="s">
        <v>17</v>
      </c>
    </row>
    <row r="11626" spans="1:9" x14ac:dyDescent="0.25">
      <c r="A11626" s="151">
        <v>1831</v>
      </c>
      <c r="B11626" s="151">
        <f>A11626+1</f>
        <v>1832</v>
      </c>
      <c r="C11626" s="151" t="s">
        <v>537</v>
      </c>
      <c r="D11626" s="151" t="s">
        <v>27</v>
      </c>
      <c r="E11626" s="208" t="s">
        <v>121</v>
      </c>
      <c r="F11626" s="151" t="s">
        <v>14</v>
      </c>
      <c r="G11626" s="152">
        <v>1182</v>
      </c>
      <c r="H11626" s="151" t="s">
        <v>563</v>
      </c>
      <c r="I11626" s="151" t="s">
        <v>17</v>
      </c>
    </row>
    <row r="11627" spans="1:9" x14ac:dyDescent="0.25">
      <c r="A11627" s="151">
        <v>1831</v>
      </c>
      <c r="B11627" s="151">
        <f>A11627+1</f>
        <v>1832</v>
      </c>
      <c r="C11627" s="151" t="s">
        <v>537</v>
      </c>
      <c r="D11627" s="151" t="s">
        <v>27</v>
      </c>
      <c r="E11627" s="208" t="s">
        <v>127</v>
      </c>
      <c r="F11627" s="151" t="s">
        <v>14</v>
      </c>
      <c r="G11627" s="152">
        <v>3</v>
      </c>
      <c r="H11627" s="151" t="s">
        <v>563</v>
      </c>
      <c r="I11627" s="151" t="s">
        <v>17</v>
      </c>
    </row>
    <row r="11628" spans="1:9" x14ac:dyDescent="0.25">
      <c r="A11628" s="151">
        <v>1831</v>
      </c>
      <c r="B11628" s="151">
        <f>A11628+1</f>
        <v>1832</v>
      </c>
      <c r="C11628" s="151" t="s">
        <v>537</v>
      </c>
      <c r="D11628" s="151" t="s">
        <v>27</v>
      </c>
      <c r="E11628" s="208" t="s">
        <v>133</v>
      </c>
      <c r="F11628" s="151" t="s">
        <v>14</v>
      </c>
      <c r="G11628" s="152">
        <v>3896</v>
      </c>
      <c r="H11628" s="151" t="s">
        <v>563</v>
      </c>
      <c r="I11628" s="151" t="s">
        <v>17</v>
      </c>
    </row>
    <row r="11629" spans="1:9" x14ac:dyDescent="0.25">
      <c r="A11629" s="151">
        <v>1831</v>
      </c>
      <c r="B11629" s="151">
        <f>A11629+1</f>
        <v>1832</v>
      </c>
      <c r="C11629" s="151" t="s">
        <v>537</v>
      </c>
      <c r="D11629" s="151" t="s">
        <v>27</v>
      </c>
      <c r="E11629" s="208" t="s">
        <v>74</v>
      </c>
      <c r="F11629" s="151" t="s">
        <v>14</v>
      </c>
      <c r="G11629" s="152">
        <v>3815.5</v>
      </c>
      <c r="H11629" s="151" t="s">
        <v>563</v>
      </c>
      <c r="I11629" s="151" t="s">
        <v>17</v>
      </c>
    </row>
    <row r="11630" spans="1:9" x14ac:dyDescent="0.25">
      <c r="A11630" s="151">
        <v>1831</v>
      </c>
      <c r="B11630" s="151">
        <f>A11630+1</f>
        <v>1832</v>
      </c>
      <c r="C11630" s="151" t="s">
        <v>537</v>
      </c>
      <c r="D11630" s="151" t="s">
        <v>27</v>
      </c>
      <c r="E11630" s="208" t="s">
        <v>129</v>
      </c>
      <c r="F11630" s="151" t="s">
        <v>14</v>
      </c>
      <c r="G11630" s="152">
        <v>472.4</v>
      </c>
      <c r="H11630" s="151" t="s">
        <v>563</v>
      </c>
      <c r="I11630" s="151" t="s">
        <v>17</v>
      </c>
    </row>
    <row r="11631" spans="1:9" x14ac:dyDescent="0.25">
      <c r="A11631" s="151">
        <v>1831</v>
      </c>
      <c r="B11631" s="151">
        <f>A11631+1</f>
        <v>1832</v>
      </c>
      <c r="C11631" s="151" t="s">
        <v>537</v>
      </c>
      <c r="D11631" s="151" t="s">
        <v>27</v>
      </c>
      <c r="E11631" s="208" t="s">
        <v>141</v>
      </c>
      <c r="F11631" s="151" t="s">
        <v>14</v>
      </c>
      <c r="G11631" s="152">
        <v>32</v>
      </c>
      <c r="H11631" s="151" t="s">
        <v>563</v>
      </c>
      <c r="I11631" s="151" t="s">
        <v>17</v>
      </c>
    </row>
    <row r="11632" spans="1:9" x14ac:dyDescent="0.25">
      <c r="A11632" s="151">
        <v>1831</v>
      </c>
      <c r="B11632" s="151">
        <f>A11632+1</f>
        <v>1832</v>
      </c>
      <c r="C11632" s="151" t="s">
        <v>537</v>
      </c>
      <c r="D11632" s="151" t="s">
        <v>27</v>
      </c>
      <c r="E11632" s="208" t="s">
        <v>128</v>
      </c>
      <c r="F11632" s="151" t="s">
        <v>14</v>
      </c>
      <c r="G11632" s="152">
        <v>14</v>
      </c>
      <c r="H11632" s="151" t="s">
        <v>563</v>
      </c>
      <c r="I11632" s="151" t="s">
        <v>17</v>
      </c>
    </row>
    <row r="11633" spans="1:9" x14ac:dyDescent="0.25">
      <c r="A11633" s="151">
        <v>1831</v>
      </c>
      <c r="B11633" s="151">
        <f>A11633+1</f>
        <v>1832</v>
      </c>
      <c r="C11633" s="151" t="s">
        <v>537</v>
      </c>
      <c r="D11633" s="151" t="s">
        <v>27</v>
      </c>
      <c r="E11633" s="208" t="s">
        <v>135</v>
      </c>
      <c r="F11633" s="151" t="s">
        <v>14</v>
      </c>
      <c r="G11633" s="152">
        <v>10</v>
      </c>
      <c r="H11633" s="151" t="s">
        <v>563</v>
      </c>
      <c r="I11633" s="151" t="s">
        <v>17</v>
      </c>
    </row>
    <row r="11634" spans="1:9" x14ac:dyDescent="0.25">
      <c r="A11634" s="151">
        <v>1831</v>
      </c>
      <c r="B11634" s="151">
        <f>A11634+1</f>
        <v>1832</v>
      </c>
      <c r="C11634" s="151" t="s">
        <v>537</v>
      </c>
      <c r="D11634" s="151" t="s">
        <v>27</v>
      </c>
      <c r="E11634" s="208" t="s">
        <v>138</v>
      </c>
      <c r="F11634" s="151" t="s">
        <v>14</v>
      </c>
      <c r="G11634" s="152">
        <v>1086</v>
      </c>
      <c r="H11634" s="151" t="s">
        <v>563</v>
      </c>
      <c r="I11634" s="151" t="s">
        <v>17</v>
      </c>
    </row>
    <row r="11635" spans="1:9" x14ac:dyDescent="0.25">
      <c r="A11635" s="151">
        <v>1831</v>
      </c>
      <c r="B11635" s="151">
        <f>A11635+1</f>
        <v>1832</v>
      </c>
      <c r="C11635" s="151" t="s">
        <v>537</v>
      </c>
      <c r="D11635" s="151" t="s">
        <v>27</v>
      </c>
      <c r="E11635" s="208" t="s">
        <v>134</v>
      </c>
      <c r="F11635" s="151" t="s">
        <v>14</v>
      </c>
      <c r="G11635" s="152">
        <v>12751</v>
      </c>
      <c r="H11635" s="151" t="s">
        <v>563</v>
      </c>
      <c r="I11635" s="151" t="s">
        <v>17</v>
      </c>
    </row>
    <row r="11636" spans="1:9" x14ac:dyDescent="0.25">
      <c r="A11636" s="151">
        <v>1831</v>
      </c>
      <c r="B11636" s="151">
        <f>A11636+1</f>
        <v>1832</v>
      </c>
      <c r="C11636" s="151" t="s">
        <v>537</v>
      </c>
      <c r="D11636" s="151" t="s">
        <v>26</v>
      </c>
      <c r="E11636" s="208" t="s">
        <v>34</v>
      </c>
      <c r="F11636" s="151" t="s">
        <v>14</v>
      </c>
      <c r="G11636" s="152">
        <v>5553</v>
      </c>
      <c r="H11636" s="151" t="s">
        <v>563</v>
      </c>
      <c r="I11636" s="151" t="s">
        <v>17</v>
      </c>
    </row>
    <row r="11637" spans="1:9" x14ac:dyDescent="0.25">
      <c r="A11637" s="151">
        <v>1831</v>
      </c>
      <c r="B11637" s="151">
        <f>A11637+1</f>
        <v>1832</v>
      </c>
      <c r="C11637" s="151" t="s">
        <v>537</v>
      </c>
      <c r="D11637" s="151" t="s">
        <v>26</v>
      </c>
      <c r="E11637" s="208" t="s">
        <v>63</v>
      </c>
      <c r="F11637" s="151" t="s">
        <v>14</v>
      </c>
      <c r="G11637" s="152">
        <v>689</v>
      </c>
      <c r="H11637" s="151" t="s">
        <v>563</v>
      </c>
      <c r="I11637" s="151" t="s">
        <v>17</v>
      </c>
    </row>
    <row r="11638" spans="1:9" x14ac:dyDescent="0.25">
      <c r="A11638" s="151">
        <v>1831</v>
      </c>
      <c r="B11638" s="151">
        <f>A11638+1</f>
        <v>1832</v>
      </c>
      <c r="C11638" s="151" t="s">
        <v>537</v>
      </c>
      <c r="D11638" s="151" t="s">
        <v>26</v>
      </c>
      <c r="E11638" s="208" t="s">
        <v>62</v>
      </c>
      <c r="F11638" s="151" t="s">
        <v>14</v>
      </c>
      <c r="G11638" s="152">
        <v>6033</v>
      </c>
      <c r="H11638" s="151" t="s">
        <v>563</v>
      </c>
      <c r="I11638" s="151" t="s">
        <v>17</v>
      </c>
    </row>
    <row r="11639" spans="1:9" x14ac:dyDescent="0.25">
      <c r="A11639" s="151">
        <v>1831</v>
      </c>
      <c r="B11639" s="151">
        <f>A11639+1</f>
        <v>1832</v>
      </c>
      <c r="C11639" s="151" t="s">
        <v>537</v>
      </c>
      <c r="D11639" s="151" t="s">
        <v>26</v>
      </c>
      <c r="E11639" s="208" t="s">
        <v>55</v>
      </c>
      <c r="F11639" s="151" t="s">
        <v>14</v>
      </c>
      <c r="G11639" s="152">
        <v>2091</v>
      </c>
      <c r="H11639" s="151" t="s">
        <v>563</v>
      </c>
      <c r="I11639" s="151" t="s">
        <v>17</v>
      </c>
    </row>
    <row r="11640" spans="1:9" x14ac:dyDescent="0.25">
      <c r="A11640" s="151">
        <v>1831</v>
      </c>
      <c r="B11640" s="151">
        <f>A11640+1</f>
        <v>1832</v>
      </c>
      <c r="C11640" s="151" t="s">
        <v>537</v>
      </c>
      <c r="D11640" s="151" t="s">
        <v>26</v>
      </c>
      <c r="E11640" s="208" t="s">
        <v>36</v>
      </c>
      <c r="F11640" s="151" t="s">
        <v>14</v>
      </c>
      <c r="G11640" s="152">
        <v>1242</v>
      </c>
      <c r="H11640" s="151" t="s">
        <v>563</v>
      </c>
      <c r="I11640" s="151" t="s">
        <v>17</v>
      </c>
    </row>
    <row r="11641" spans="1:9" x14ac:dyDescent="0.25">
      <c r="A11641" s="151">
        <v>1831</v>
      </c>
      <c r="B11641" s="151">
        <f>A11641+1</f>
        <v>1832</v>
      </c>
      <c r="C11641" s="151" t="s">
        <v>537</v>
      </c>
      <c r="D11641" s="151" t="s">
        <v>26</v>
      </c>
      <c r="E11641" s="208" t="s">
        <v>35</v>
      </c>
      <c r="F11641" s="151" t="s">
        <v>14</v>
      </c>
      <c r="G11641" s="152">
        <v>0</v>
      </c>
      <c r="H11641" s="151" t="s">
        <v>563</v>
      </c>
      <c r="I11641" s="151" t="s">
        <v>17</v>
      </c>
    </row>
    <row r="11642" spans="1:9" x14ac:dyDescent="0.25">
      <c r="A11642" s="151">
        <v>1831</v>
      </c>
      <c r="B11642" s="151">
        <f>A11642+1</f>
        <v>1832</v>
      </c>
      <c r="C11642" s="151" t="s">
        <v>537</v>
      </c>
      <c r="D11642" s="151" t="s">
        <v>26</v>
      </c>
      <c r="E11642" s="208" t="s">
        <v>40</v>
      </c>
      <c r="F11642" s="151" t="s">
        <v>14</v>
      </c>
      <c r="G11642" s="152">
        <v>58800</v>
      </c>
      <c r="H11642" s="151" t="s">
        <v>563</v>
      </c>
      <c r="I11642" s="151" t="s">
        <v>17</v>
      </c>
    </row>
    <row r="11643" spans="1:9" x14ac:dyDescent="0.25">
      <c r="A11643" s="151">
        <v>1831</v>
      </c>
      <c r="B11643" s="151">
        <f>A11643+1</f>
        <v>1832</v>
      </c>
      <c r="C11643" s="151" t="s">
        <v>537</v>
      </c>
      <c r="D11643" s="151" t="s">
        <v>26</v>
      </c>
      <c r="E11643" s="208" t="s">
        <v>96</v>
      </c>
      <c r="F11643" s="151" t="s">
        <v>14</v>
      </c>
      <c r="G11643" s="152">
        <v>405</v>
      </c>
      <c r="H11643" t="s">
        <v>561</v>
      </c>
      <c r="I11643" s="151" t="s">
        <v>562</v>
      </c>
    </row>
    <row r="11644" spans="1:9" x14ac:dyDescent="0.25">
      <c r="A11644" s="151">
        <v>1831</v>
      </c>
      <c r="B11644" s="151">
        <f>A11644+1</f>
        <v>1832</v>
      </c>
      <c r="C11644" s="151" t="s">
        <v>537</v>
      </c>
      <c r="D11644" s="151" t="s">
        <v>26</v>
      </c>
      <c r="E11644" s="208" t="s">
        <v>98</v>
      </c>
      <c r="F11644" s="151" t="s">
        <v>14</v>
      </c>
      <c r="G11644" s="152">
        <v>13148</v>
      </c>
      <c r="H11644" t="s">
        <v>561</v>
      </c>
      <c r="I11644" s="151" t="s">
        <v>562</v>
      </c>
    </row>
    <row r="11645" spans="1:9" x14ac:dyDescent="0.25">
      <c r="A11645" s="151">
        <v>1831</v>
      </c>
      <c r="B11645" s="151">
        <f>A11645+1</f>
        <v>1832</v>
      </c>
      <c r="C11645" s="151" t="s">
        <v>537</v>
      </c>
      <c r="D11645" s="151" t="s">
        <v>26</v>
      </c>
      <c r="E11645" s="208" t="s">
        <v>442</v>
      </c>
      <c r="F11645" s="151" t="s">
        <v>14</v>
      </c>
      <c r="G11645" s="152">
        <v>2881</v>
      </c>
      <c r="H11645" t="s">
        <v>561</v>
      </c>
      <c r="I11645" s="151" t="s">
        <v>562</v>
      </c>
    </row>
    <row r="11646" spans="1:9" x14ac:dyDescent="0.25">
      <c r="A11646" s="151">
        <v>1831</v>
      </c>
      <c r="B11646" s="151">
        <f>A11646+1</f>
        <v>1832</v>
      </c>
      <c r="C11646" s="151" t="s">
        <v>537</v>
      </c>
      <c r="D11646" s="151" t="s">
        <v>26</v>
      </c>
      <c r="E11646" s="208" t="s">
        <v>105</v>
      </c>
      <c r="F11646" s="151" t="s">
        <v>14</v>
      </c>
      <c r="G11646" s="152">
        <v>1282353</v>
      </c>
      <c r="H11646" t="s">
        <v>561</v>
      </c>
      <c r="I11646" s="151" t="s">
        <v>562</v>
      </c>
    </row>
    <row r="11647" spans="1:9" x14ac:dyDescent="0.25">
      <c r="A11647" s="151">
        <v>1831</v>
      </c>
      <c r="B11647" s="151">
        <f>A11647+1</f>
        <v>1832</v>
      </c>
      <c r="C11647" s="151" t="s">
        <v>537</v>
      </c>
      <c r="D11647" s="151" t="s">
        <v>26</v>
      </c>
      <c r="E11647" s="208" t="s">
        <v>106</v>
      </c>
      <c r="F11647" s="151" t="s">
        <v>14</v>
      </c>
      <c r="G11647" s="152">
        <v>596805</v>
      </c>
      <c r="H11647" t="s">
        <v>561</v>
      </c>
      <c r="I11647" s="151" t="s">
        <v>562</v>
      </c>
    </row>
    <row r="11648" spans="1:9" x14ac:dyDescent="0.25">
      <c r="A11648" s="151">
        <v>1831</v>
      </c>
      <c r="B11648" s="151">
        <f>A11648+1</f>
        <v>1832</v>
      </c>
      <c r="C11648" s="151" t="s">
        <v>537</v>
      </c>
      <c r="D11648" s="151" t="s">
        <v>26</v>
      </c>
      <c r="E11648" s="208" t="s">
        <v>101</v>
      </c>
      <c r="F11648" s="151" t="s">
        <v>14</v>
      </c>
      <c r="G11648" s="152">
        <v>1073475</v>
      </c>
      <c r="H11648" t="s">
        <v>561</v>
      </c>
      <c r="I11648" s="151" t="s">
        <v>562</v>
      </c>
    </row>
    <row r="11649" spans="1:9" x14ac:dyDescent="0.25">
      <c r="A11649" s="151">
        <v>1831</v>
      </c>
      <c r="B11649" s="151">
        <f>A11649+1</f>
        <v>1832</v>
      </c>
      <c r="C11649" s="151" t="s">
        <v>537</v>
      </c>
      <c r="D11649" s="151" t="s">
        <v>26</v>
      </c>
      <c r="E11649" s="208" t="s">
        <v>75</v>
      </c>
      <c r="F11649" s="151" t="s">
        <v>14</v>
      </c>
      <c r="G11649" s="152">
        <v>2715477</v>
      </c>
      <c r="H11649" t="s">
        <v>561</v>
      </c>
      <c r="I11649" s="151" t="s">
        <v>562</v>
      </c>
    </row>
    <row r="11650" spans="1:9" x14ac:dyDescent="0.25">
      <c r="A11650" s="151">
        <v>1831</v>
      </c>
      <c r="B11650" s="151">
        <f>A11650+1</f>
        <v>1832</v>
      </c>
      <c r="C11650" s="151" t="s">
        <v>537</v>
      </c>
      <c r="D11650" s="151" t="s">
        <v>26</v>
      </c>
      <c r="E11650" s="208" t="s">
        <v>66</v>
      </c>
      <c r="F11650" s="151" t="s">
        <v>14</v>
      </c>
      <c r="G11650" s="152">
        <v>66441</v>
      </c>
      <c r="H11650" t="s">
        <v>561</v>
      </c>
      <c r="I11650" s="151" t="s">
        <v>562</v>
      </c>
    </row>
    <row r="11651" spans="1:9" x14ac:dyDescent="0.25">
      <c r="A11651" s="151">
        <v>1831</v>
      </c>
      <c r="B11651" s="151">
        <f>A11651+1</f>
        <v>1832</v>
      </c>
      <c r="C11651" s="151" t="s">
        <v>537</v>
      </c>
      <c r="D11651" s="151" t="s">
        <v>26</v>
      </c>
      <c r="E11651" s="208" t="s">
        <v>28</v>
      </c>
      <c r="F11651" s="151" t="s">
        <v>14</v>
      </c>
      <c r="G11651" s="152">
        <v>1176</v>
      </c>
      <c r="H11651" t="s">
        <v>561</v>
      </c>
      <c r="I11651" s="151" t="s">
        <v>562</v>
      </c>
    </row>
    <row r="11652" spans="1:9" x14ac:dyDescent="0.25">
      <c r="A11652" s="151">
        <v>1831</v>
      </c>
      <c r="B11652" s="151">
        <f>A11652+1</f>
        <v>1832</v>
      </c>
      <c r="C11652" s="151" t="s">
        <v>537</v>
      </c>
      <c r="D11652" s="151" t="s">
        <v>26</v>
      </c>
      <c r="E11652" s="208" t="s">
        <v>89</v>
      </c>
      <c r="F11652" s="151" t="s">
        <v>14</v>
      </c>
      <c r="G11652" s="152">
        <v>1674</v>
      </c>
      <c r="H11652" t="s">
        <v>561</v>
      </c>
      <c r="I11652" s="151" t="s">
        <v>562</v>
      </c>
    </row>
    <row r="11653" spans="1:9" x14ac:dyDescent="0.25">
      <c r="A11653" s="151">
        <v>1831</v>
      </c>
      <c r="B11653" s="151">
        <f>A11653+1</f>
        <v>1832</v>
      </c>
      <c r="C11653" s="151" t="s">
        <v>537</v>
      </c>
      <c r="D11653" s="151" t="s">
        <v>26</v>
      </c>
      <c r="E11653" s="208" t="s">
        <v>45</v>
      </c>
      <c r="F11653" s="151" t="s">
        <v>14</v>
      </c>
      <c r="G11653" s="152">
        <v>989</v>
      </c>
      <c r="H11653" t="s">
        <v>561</v>
      </c>
      <c r="I11653" s="151" t="s">
        <v>562</v>
      </c>
    </row>
    <row r="11654" spans="1:9" x14ac:dyDescent="0.25">
      <c r="A11654" s="151">
        <v>1831</v>
      </c>
      <c r="B11654" s="151">
        <f>A11654+1</f>
        <v>1832</v>
      </c>
      <c r="C11654" s="151" t="s">
        <v>537</v>
      </c>
      <c r="D11654" s="151" t="s">
        <v>26</v>
      </c>
      <c r="E11654" s="208" t="s">
        <v>48</v>
      </c>
      <c r="F11654" s="151" t="s">
        <v>14</v>
      </c>
      <c r="G11654" s="152">
        <v>1158</v>
      </c>
      <c r="H11654" t="s">
        <v>561</v>
      </c>
      <c r="I11654" s="151" t="s">
        <v>562</v>
      </c>
    </row>
    <row r="11655" spans="1:9" x14ac:dyDescent="0.25">
      <c r="A11655" s="151">
        <v>1831</v>
      </c>
      <c r="B11655" s="151">
        <f>A11655+1</f>
        <v>1832</v>
      </c>
      <c r="C11655" s="151" t="s">
        <v>537</v>
      </c>
      <c r="D11655" s="151" t="s">
        <v>26</v>
      </c>
      <c r="E11655" s="208" t="s">
        <v>102</v>
      </c>
      <c r="F11655" s="151" t="s">
        <v>14</v>
      </c>
      <c r="G11655" s="152">
        <v>1124</v>
      </c>
      <c r="H11655" t="s">
        <v>561</v>
      </c>
      <c r="I11655" s="151" t="s">
        <v>562</v>
      </c>
    </row>
    <row r="11656" spans="1:9" x14ac:dyDescent="0.25">
      <c r="A11656" s="151">
        <v>1831</v>
      </c>
      <c r="B11656" s="151">
        <f>A11656+1</f>
        <v>1832</v>
      </c>
      <c r="C11656" s="151" t="s">
        <v>537</v>
      </c>
      <c r="D11656" s="151" t="s">
        <v>26</v>
      </c>
      <c r="E11656" s="208" t="s">
        <v>330</v>
      </c>
      <c r="F11656" s="151" t="s">
        <v>14</v>
      </c>
      <c r="G11656" s="152">
        <v>707</v>
      </c>
      <c r="H11656" t="s">
        <v>561</v>
      </c>
      <c r="I11656" s="151" t="s">
        <v>562</v>
      </c>
    </row>
    <row r="11657" spans="1:9" x14ac:dyDescent="0.25">
      <c r="A11657" s="151">
        <v>1831</v>
      </c>
      <c r="B11657" s="151">
        <f>A11657+1</f>
        <v>1832</v>
      </c>
      <c r="C11657" s="151" t="s">
        <v>537</v>
      </c>
      <c r="D11657" s="151" t="s">
        <v>26</v>
      </c>
      <c r="E11657" s="208" t="s">
        <v>331</v>
      </c>
      <c r="F11657" s="151" t="s">
        <v>14</v>
      </c>
      <c r="G11657" s="152">
        <v>134</v>
      </c>
      <c r="H11657" t="s">
        <v>561</v>
      </c>
      <c r="I11657" s="151" t="s">
        <v>562</v>
      </c>
    </row>
    <row r="11658" spans="1:9" x14ac:dyDescent="0.25">
      <c r="A11658" s="151">
        <v>1831</v>
      </c>
      <c r="B11658" s="151">
        <f>A11658+1</f>
        <v>1832</v>
      </c>
      <c r="C11658" s="151" t="s">
        <v>537</v>
      </c>
      <c r="D11658" s="151" t="s">
        <v>26</v>
      </c>
      <c r="E11658" s="208" t="s">
        <v>332</v>
      </c>
      <c r="F11658" s="151" t="s">
        <v>14</v>
      </c>
      <c r="G11658" s="152">
        <v>12</v>
      </c>
      <c r="H11658" t="s">
        <v>561</v>
      </c>
      <c r="I11658" s="151" t="s">
        <v>562</v>
      </c>
    </row>
    <row r="11659" spans="1:9" x14ac:dyDescent="0.25">
      <c r="A11659" s="151">
        <v>1831</v>
      </c>
      <c r="B11659" s="151">
        <f>A11659+1</f>
        <v>1832</v>
      </c>
      <c r="C11659" s="151" t="s">
        <v>537</v>
      </c>
      <c r="D11659" s="151" t="s">
        <v>26</v>
      </c>
      <c r="E11659" s="208" t="s">
        <v>333</v>
      </c>
      <c r="F11659" s="151" t="s">
        <v>14</v>
      </c>
      <c r="G11659" s="152">
        <v>0</v>
      </c>
      <c r="H11659" t="s">
        <v>561</v>
      </c>
      <c r="I11659" s="151" t="s">
        <v>562</v>
      </c>
    </row>
    <row r="11660" spans="1:9" x14ac:dyDescent="0.25">
      <c r="A11660" s="151">
        <v>1831</v>
      </c>
      <c r="B11660" s="151">
        <f>A11660+1</f>
        <v>1832</v>
      </c>
      <c r="C11660" s="151" t="s">
        <v>537</v>
      </c>
      <c r="D11660" s="151" t="s">
        <v>27</v>
      </c>
      <c r="E11660" s="208" t="s">
        <v>155</v>
      </c>
      <c r="F11660" s="151" t="s">
        <v>15</v>
      </c>
      <c r="G11660" s="152">
        <v>83453</v>
      </c>
      <c r="H11660" t="s">
        <v>561</v>
      </c>
      <c r="I11660" s="151" t="s">
        <v>562</v>
      </c>
    </row>
    <row r="11661" spans="1:9" x14ac:dyDescent="0.25">
      <c r="A11661" s="151">
        <v>1831</v>
      </c>
      <c r="B11661" s="151">
        <f>A11661+1</f>
        <v>1832</v>
      </c>
      <c r="C11661" s="151" t="s">
        <v>537</v>
      </c>
      <c r="D11661" s="151" t="s">
        <v>27</v>
      </c>
      <c r="E11661" s="208" t="s">
        <v>156</v>
      </c>
      <c r="F11661" s="151" t="s">
        <v>15</v>
      </c>
      <c r="G11661" s="152">
        <v>9199</v>
      </c>
      <c r="H11661" t="s">
        <v>561</v>
      </c>
      <c r="I11661" s="151" t="s">
        <v>562</v>
      </c>
    </row>
    <row r="11662" spans="1:9" x14ac:dyDescent="0.25">
      <c r="A11662" s="151">
        <v>1831</v>
      </c>
      <c r="B11662" s="151">
        <f>A11662+1</f>
        <v>1832</v>
      </c>
      <c r="C11662" s="151" t="s">
        <v>537</v>
      </c>
      <c r="D11662" s="151" t="s">
        <v>27</v>
      </c>
      <c r="E11662" s="208" t="s">
        <v>154</v>
      </c>
      <c r="F11662" s="151" t="s">
        <v>15</v>
      </c>
      <c r="G11662" s="152">
        <v>4238</v>
      </c>
      <c r="H11662" t="s">
        <v>561</v>
      </c>
      <c r="I11662" s="151" t="s">
        <v>562</v>
      </c>
    </row>
    <row r="11663" spans="1:9" x14ac:dyDescent="0.25">
      <c r="A11663" s="151">
        <v>1831</v>
      </c>
      <c r="B11663" s="151">
        <f>A11663+1</f>
        <v>1832</v>
      </c>
      <c r="C11663" s="151" t="s">
        <v>537</v>
      </c>
      <c r="D11663" s="151" t="s">
        <v>27</v>
      </c>
      <c r="E11663" s="208" t="s">
        <v>150</v>
      </c>
      <c r="F11663" s="151" t="s">
        <v>15</v>
      </c>
      <c r="G11663" s="152">
        <v>28397</v>
      </c>
      <c r="H11663" t="s">
        <v>561</v>
      </c>
      <c r="I11663" s="151" t="s">
        <v>562</v>
      </c>
    </row>
    <row r="11664" spans="1:9" x14ac:dyDescent="0.25">
      <c r="A11664" s="151">
        <v>1831</v>
      </c>
      <c r="B11664" s="151">
        <f>A11664+1</f>
        <v>1832</v>
      </c>
      <c r="C11664" s="151" t="s">
        <v>537</v>
      </c>
      <c r="D11664" s="151" t="s">
        <v>27</v>
      </c>
      <c r="E11664" s="208" t="s">
        <v>148</v>
      </c>
      <c r="F11664" s="151" t="s">
        <v>15</v>
      </c>
      <c r="G11664" s="152">
        <v>2278</v>
      </c>
      <c r="H11664" t="s">
        <v>561</v>
      </c>
      <c r="I11664" s="151" t="s">
        <v>562</v>
      </c>
    </row>
    <row r="11665" spans="1:9" x14ac:dyDescent="0.25">
      <c r="A11665" s="151">
        <v>1831</v>
      </c>
      <c r="B11665" s="151">
        <f>A11665+1</f>
        <v>1832</v>
      </c>
      <c r="C11665" s="151" t="s">
        <v>537</v>
      </c>
      <c r="D11665" s="151" t="s">
        <v>27</v>
      </c>
      <c r="E11665" s="208" t="s">
        <v>147</v>
      </c>
      <c r="F11665" s="151" t="s">
        <v>15</v>
      </c>
      <c r="G11665" s="152">
        <v>1495</v>
      </c>
      <c r="H11665" t="s">
        <v>561</v>
      </c>
      <c r="I11665" s="151" t="s">
        <v>562</v>
      </c>
    </row>
    <row r="11666" spans="1:9" x14ac:dyDescent="0.25">
      <c r="A11666" s="151">
        <v>1831</v>
      </c>
      <c r="B11666" s="151">
        <f>A11666+1</f>
        <v>1832</v>
      </c>
      <c r="C11666" s="151" t="s">
        <v>537</v>
      </c>
      <c r="D11666" s="151" t="s">
        <v>27</v>
      </c>
      <c r="E11666" s="208" t="s">
        <v>139</v>
      </c>
      <c r="F11666" s="151" t="s">
        <v>15</v>
      </c>
      <c r="G11666" s="152">
        <v>864</v>
      </c>
      <c r="H11666" s="151" t="s">
        <v>563</v>
      </c>
      <c r="I11666" s="151" t="s">
        <v>561</v>
      </c>
    </row>
    <row r="11667" spans="1:9" x14ac:dyDescent="0.25">
      <c r="A11667" s="151">
        <v>1831</v>
      </c>
      <c r="B11667" s="151">
        <f>A11667+1</f>
        <v>1832</v>
      </c>
      <c r="C11667" s="151" t="s">
        <v>537</v>
      </c>
      <c r="D11667" s="151" t="s">
        <v>27</v>
      </c>
      <c r="E11667" s="208" t="s">
        <v>132</v>
      </c>
      <c r="F11667" s="151" t="s">
        <v>15</v>
      </c>
      <c r="G11667" s="152">
        <v>1771</v>
      </c>
      <c r="H11667" s="151" t="s">
        <v>563</v>
      </c>
      <c r="I11667" s="151" t="s">
        <v>561</v>
      </c>
    </row>
    <row r="11668" spans="1:9" x14ac:dyDescent="0.25">
      <c r="A11668" s="151">
        <v>1831</v>
      </c>
      <c r="B11668" s="151">
        <f>A11668+1</f>
        <v>1832</v>
      </c>
      <c r="C11668" s="151" t="s">
        <v>537</v>
      </c>
      <c r="D11668" s="151" t="s">
        <v>27</v>
      </c>
      <c r="E11668" s="208" t="s">
        <v>130</v>
      </c>
      <c r="F11668" s="151" t="s">
        <v>15</v>
      </c>
      <c r="G11668" s="152">
        <v>874</v>
      </c>
      <c r="H11668" s="151" t="s">
        <v>563</v>
      </c>
      <c r="I11668" s="151" t="s">
        <v>561</v>
      </c>
    </row>
    <row r="11669" spans="1:9" x14ac:dyDescent="0.25">
      <c r="A11669" s="151">
        <v>1831</v>
      </c>
      <c r="B11669" s="151">
        <f>A11669+1</f>
        <v>1832</v>
      </c>
      <c r="C11669" s="151" t="s">
        <v>537</v>
      </c>
      <c r="D11669" s="151" t="s">
        <v>27</v>
      </c>
      <c r="E11669" s="208" t="s">
        <v>143</v>
      </c>
      <c r="F11669" s="151" t="s">
        <v>15</v>
      </c>
      <c r="G11669" s="152">
        <v>207</v>
      </c>
      <c r="H11669" s="151" t="s">
        <v>563</v>
      </c>
      <c r="I11669" s="151" t="s">
        <v>561</v>
      </c>
    </row>
    <row r="11670" spans="1:9" x14ac:dyDescent="0.25">
      <c r="A11670" s="151">
        <v>1831</v>
      </c>
      <c r="B11670" s="151">
        <f>A11670+1</f>
        <v>1832</v>
      </c>
      <c r="C11670" s="151" t="s">
        <v>537</v>
      </c>
      <c r="D11670" s="151" t="s">
        <v>27</v>
      </c>
      <c r="E11670" s="208" t="s">
        <v>142</v>
      </c>
      <c r="F11670" s="151" t="s">
        <v>15</v>
      </c>
      <c r="G11670" s="152">
        <v>16245</v>
      </c>
      <c r="H11670" s="151" t="s">
        <v>563</v>
      </c>
      <c r="I11670" s="151" t="s">
        <v>561</v>
      </c>
    </row>
    <row r="11671" spans="1:9" x14ac:dyDescent="0.25">
      <c r="A11671" s="151">
        <v>1831</v>
      </c>
      <c r="B11671" s="151">
        <f>A11671+1</f>
        <v>1832</v>
      </c>
      <c r="C11671" s="151" t="s">
        <v>537</v>
      </c>
      <c r="D11671" s="151" t="s">
        <v>27</v>
      </c>
      <c r="E11671" s="208" t="s">
        <v>125</v>
      </c>
      <c r="F11671" s="151" t="s">
        <v>15</v>
      </c>
      <c r="G11671" s="152">
        <v>15355</v>
      </c>
      <c r="H11671" s="151" t="s">
        <v>563</v>
      </c>
      <c r="I11671" s="151" t="s">
        <v>561</v>
      </c>
    </row>
    <row r="11672" spans="1:9" x14ac:dyDescent="0.25">
      <c r="A11672" s="151">
        <v>1831</v>
      </c>
      <c r="B11672" s="151">
        <f>A11672+1</f>
        <v>1832</v>
      </c>
      <c r="C11672" s="151" t="s">
        <v>537</v>
      </c>
      <c r="D11672" s="151" t="s">
        <v>27</v>
      </c>
      <c r="E11672" s="208" t="s">
        <v>122</v>
      </c>
      <c r="F11672" s="151" t="s">
        <v>15</v>
      </c>
      <c r="G11672" s="152">
        <v>3645</v>
      </c>
      <c r="H11672" s="151" t="s">
        <v>563</v>
      </c>
      <c r="I11672" s="151" t="s">
        <v>561</v>
      </c>
    </row>
    <row r="11673" spans="1:9" x14ac:dyDescent="0.25">
      <c r="A11673" s="151">
        <v>1831</v>
      </c>
      <c r="B11673" s="151">
        <f>A11673+1</f>
        <v>1832</v>
      </c>
      <c r="C11673" s="151" t="s">
        <v>537</v>
      </c>
      <c r="D11673" s="151" t="s">
        <v>27</v>
      </c>
      <c r="E11673" s="208" t="s">
        <v>121</v>
      </c>
      <c r="F11673" s="151" t="s">
        <v>15</v>
      </c>
      <c r="G11673" s="152">
        <v>1690</v>
      </c>
      <c r="H11673" s="151" t="s">
        <v>563</v>
      </c>
      <c r="I11673" s="151" t="s">
        <v>561</v>
      </c>
    </row>
    <row r="11674" spans="1:9" x14ac:dyDescent="0.25">
      <c r="A11674" s="151">
        <v>1831</v>
      </c>
      <c r="B11674" s="151">
        <f>A11674+1</f>
        <v>1832</v>
      </c>
      <c r="C11674" s="151" t="s">
        <v>537</v>
      </c>
      <c r="D11674" s="151" t="s">
        <v>27</v>
      </c>
      <c r="E11674" s="208" t="s">
        <v>127</v>
      </c>
      <c r="F11674" s="151" t="s">
        <v>15</v>
      </c>
      <c r="G11674" s="152">
        <v>76</v>
      </c>
      <c r="H11674" s="151" t="s">
        <v>563</v>
      </c>
      <c r="I11674" s="151" t="s">
        <v>561</v>
      </c>
    </row>
    <row r="11675" spans="1:9" x14ac:dyDescent="0.25">
      <c r="A11675" s="151">
        <v>1831</v>
      </c>
      <c r="B11675" s="151">
        <f>A11675+1</f>
        <v>1832</v>
      </c>
      <c r="C11675" s="151" t="s">
        <v>537</v>
      </c>
      <c r="D11675" s="151" t="s">
        <v>27</v>
      </c>
      <c r="E11675" s="208" t="s">
        <v>133</v>
      </c>
      <c r="F11675" s="151" t="s">
        <v>15</v>
      </c>
      <c r="G11675" s="152">
        <v>13561</v>
      </c>
      <c r="H11675" s="151" t="s">
        <v>563</v>
      </c>
      <c r="I11675" s="151" t="s">
        <v>561</v>
      </c>
    </row>
    <row r="11676" spans="1:9" x14ac:dyDescent="0.25">
      <c r="A11676" s="151">
        <v>1831</v>
      </c>
      <c r="B11676" s="151">
        <f>A11676+1</f>
        <v>1832</v>
      </c>
      <c r="C11676" s="151" t="s">
        <v>537</v>
      </c>
      <c r="D11676" s="151" t="s">
        <v>27</v>
      </c>
      <c r="E11676" s="208" t="s">
        <v>74</v>
      </c>
      <c r="F11676" s="151" t="s">
        <v>15</v>
      </c>
      <c r="G11676" s="152">
        <v>6349.1</v>
      </c>
      <c r="H11676" s="151" t="s">
        <v>563</v>
      </c>
      <c r="I11676" s="151" t="s">
        <v>561</v>
      </c>
    </row>
    <row r="11677" spans="1:9" x14ac:dyDescent="0.25">
      <c r="A11677" s="151">
        <v>1831</v>
      </c>
      <c r="B11677" s="151">
        <f>A11677+1</f>
        <v>1832</v>
      </c>
      <c r="C11677" s="151" t="s">
        <v>537</v>
      </c>
      <c r="D11677" s="151" t="s">
        <v>27</v>
      </c>
      <c r="E11677" s="208" t="s">
        <v>129</v>
      </c>
      <c r="F11677" s="151" t="s">
        <v>15</v>
      </c>
      <c r="G11677" s="152">
        <v>614.70000000000005</v>
      </c>
      <c r="H11677" s="151" t="s">
        <v>563</v>
      </c>
      <c r="I11677" s="151" t="s">
        <v>561</v>
      </c>
    </row>
    <row r="11678" spans="1:9" x14ac:dyDescent="0.25">
      <c r="A11678" s="151">
        <v>1831</v>
      </c>
      <c r="B11678" s="151">
        <f>A11678+1</f>
        <v>1832</v>
      </c>
      <c r="C11678" s="151" t="s">
        <v>537</v>
      </c>
      <c r="D11678" s="151" t="s">
        <v>27</v>
      </c>
      <c r="E11678" s="208" t="s">
        <v>141</v>
      </c>
      <c r="F11678" s="151" t="s">
        <v>15</v>
      </c>
      <c r="G11678" s="152">
        <v>192.65</v>
      </c>
      <c r="H11678" s="151" t="s">
        <v>563</v>
      </c>
      <c r="I11678" s="151" t="s">
        <v>561</v>
      </c>
    </row>
    <row r="11679" spans="1:9" x14ac:dyDescent="0.25">
      <c r="A11679" s="151">
        <v>1831</v>
      </c>
      <c r="B11679" s="151">
        <f>A11679+1</f>
        <v>1832</v>
      </c>
      <c r="C11679" s="151" t="s">
        <v>537</v>
      </c>
      <c r="D11679" s="151" t="s">
        <v>27</v>
      </c>
      <c r="E11679" s="208" t="s">
        <v>128</v>
      </c>
      <c r="F11679" s="151" t="s">
        <v>15</v>
      </c>
      <c r="G11679" s="152">
        <v>29</v>
      </c>
      <c r="H11679" s="151" t="s">
        <v>563</v>
      </c>
      <c r="I11679" s="151" t="s">
        <v>561</v>
      </c>
    </row>
    <row r="11680" spans="1:9" x14ac:dyDescent="0.25">
      <c r="A11680" s="151">
        <v>1831</v>
      </c>
      <c r="B11680" s="151">
        <f>A11680+1</f>
        <v>1832</v>
      </c>
      <c r="C11680" s="151" t="s">
        <v>537</v>
      </c>
      <c r="D11680" s="151" t="s">
        <v>27</v>
      </c>
      <c r="E11680" s="208" t="s">
        <v>135</v>
      </c>
      <c r="F11680" s="151" t="s">
        <v>15</v>
      </c>
      <c r="G11680" s="152">
        <v>37.15</v>
      </c>
      <c r="H11680" s="151" t="s">
        <v>563</v>
      </c>
      <c r="I11680" s="151" t="s">
        <v>561</v>
      </c>
    </row>
    <row r="11681" spans="1:9" x14ac:dyDescent="0.25">
      <c r="A11681" s="151">
        <v>1831</v>
      </c>
      <c r="B11681" s="151">
        <f>A11681+1</f>
        <v>1832</v>
      </c>
      <c r="C11681" s="151" t="s">
        <v>537</v>
      </c>
      <c r="D11681" s="151" t="s">
        <v>27</v>
      </c>
      <c r="E11681" s="208" t="s">
        <v>138</v>
      </c>
      <c r="F11681" s="151" t="s">
        <v>15</v>
      </c>
      <c r="G11681" s="152">
        <v>2081</v>
      </c>
      <c r="H11681" s="151" t="s">
        <v>563</v>
      </c>
      <c r="I11681" s="151" t="s">
        <v>561</v>
      </c>
    </row>
    <row r="11682" spans="1:9" x14ac:dyDescent="0.25">
      <c r="A11682" s="151">
        <v>1831</v>
      </c>
      <c r="B11682" s="151">
        <f>A11682+1</f>
        <v>1832</v>
      </c>
      <c r="C11682" s="151" t="s">
        <v>537</v>
      </c>
      <c r="D11682" s="151" t="s">
        <v>27</v>
      </c>
      <c r="E11682" s="208" t="s">
        <v>134</v>
      </c>
      <c r="F11682" s="151" t="s">
        <v>15</v>
      </c>
      <c r="G11682" s="152">
        <v>14526</v>
      </c>
      <c r="H11682" s="151" t="s">
        <v>563</v>
      </c>
      <c r="I11682" s="151" t="s">
        <v>561</v>
      </c>
    </row>
    <row r="11683" spans="1:9" x14ac:dyDescent="0.25">
      <c r="A11683" s="151">
        <v>1831</v>
      </c>
      <c r="B11683" s="151">
        <f>A11683+1</f>
        <v>1832</v>
      </c>
      <c r="C11683" s="151" t="s">
        <v>537</v>
      </c>
      <c r="D11683" s="151" t="s">
        <v>26</v>
      </c>
      <c r="E11683" s="208" t="s">
        <v>34</v>
      </c>
      <c r="F11683" s="151" t="s">
        <v>15</v>
      </c>
      <c r="G11683" s="152">
        <v>37644</v>
      </c>
      <c r="H11683" s="151" t="s">
        <v>563</v>
      </c>
      <c r="I11683" s="151" t="s">
        <v>561</v>
      </c>
    </row>
    <row r="11684" spans="1:9" x14ac:dyDescent="0.25">
      <c r="A11684" s="151">
        <v>1831</v>
      </c>
      <c r="B11684" s="151">
        <f>A11684+1</f>
        <v>1832</v>
      </c>
      <c r="C11684" s="151" t="s">
        <v>537</v>
      </c>
      <c r="D11684" s="151" t="s">
        <v>26</v>
      </c>
      <c r="E11684" s="208" t="s">
        <v>63</v>
      </c>
      <c r="F11684" s="151" t="s">
        <v>15</v>
      </c>
      <c r="G11684" s="152">
        <v>5198</v>
      </c>
      <c r="H11684" s="151" t="s">
        <v>563</v>
      </c>
      <c r="I11684" s="151" t="s">
        <v>561</v>
      </c>
    </row>
    <row r="11685" spans="1:9" x14ac:dyDescent="0.25">
      <c r="A11685" s="151">
        <v>1831</v>
      </c>
      <c r="B11685" s="151">
        <f>A11685+1</f>
        <v>1832</v>
      </c>
      <c r="C11685" s="151" t="s">
        <v>537</v>
      </c>
      <c r="D11685" s="151" t="s">
        <v>26</v>
      </c>
      <c r="E11685" s="208" t="s">
        <v>62</v>
      </c>
      <c r="F11685" s="151" t="s">
        <v>15</v>
      </c>
      <c r="G11685" s="152">
        <v>49354</v>
      </c>
      <c r="H11685" s="151" t="s">
        <v>563</v>
      </c>
      <c r="I11685" s="151" t="s">
        <v>561</v>
      </c>
    </row>
    <row r="11686" spans="1:9" x14ac:dyDescent="0.25">
      <c r="A11686" s="151">
        <v>1831</v>
      </c>
      <c r="B11686" s="151">
        <f>A11686+1</f>
        <v>1832</v>
      </c>
      <c r="C11686" s="151" t="s">
        <v>537</v>
      </c>
      <c r="D11686" s="151" t="s">
        <v>26</v>
      </c>
      <c r="E11686" s="208" t="s">
        <v>55</v>
      </c>
      <c r="F11686" s="151" t="s">
        <v>15</v>
      </c>
      <c r="G11686" s="152">
        <v>7932</v>
      </c>
      <c r="H11686" s="151" t="s">
        <v>563</v>
      </c>
      <c r="I11686" s="151" t="s">
        <v>561</v>
      </c>
    </row>
    <row r="11687" spans="1:9" x14ac:dyDescent="0.25">
      <c r="A11687" s="151">
        <v>1831</v>
      </c>
      <c r="B11687" s="151">
        <f>A11687+1</f>
        <v>1832</v>
      </c>
      <c r="C11687" s="151" t="s">
        <v>537</v>
      </c>
      <c r="D11687" s="151" t="s">
        <v>26</v>
      </c>
      <c r="E11687" s="208" t="s">
        <v>36</v>
      </c>
      <c r="F11687" s="151" t="s">
        <v>15</v>
      </c>
      <c r="G11687" s="152">
        <v>5127</v>
      </c>
      <c r="H11687" s="151" t="s">
        <v>563</v>
      </c>
      <c r="I11687" s="151" t="s">
        <v>561</v>
      </c>
    </row>
    <row r="11688" spans="1:9" x14ac:dyDescent="0.25">
      <c r="A11688" s="151">
        <v>1831</v>
      </c>
      <c r="B11688" s="151">
        <f>A11688+1</f>
        <v>1832</v>
      </c>
      <c r="C11688" s="151" t="s">
        <v>537</v>
      </c>
      <c r="D11688" s="151" t="s">
        <v>26</v>
      </c>
      <c r="E11688" s="208" t="s">
        <v>35</v>
      </c>
      <c r="F11688" s="151" t="s">
        <v>15</v>
      </c>
      <c r="G11688" s="152">
        <v>430</v>
      </c>
      <c r="H11688" s="151" t="s">
        <v>563</v>
      </c>
      <c r="I11688" s="151" t="s">
        <v>561</v>
      </c>
    </row>
    <row r="11689" spans="1:9" x14ac:dyDescent="0.25">
      <c r="A11689" s="151">
        <v>1831</v>
      </c>
      <c r="B11689" s="151">
        <f>A11689+1</f>
        <v>1832</v>
      </c>
      <c r="C11689" s="151" t="s">
        <v>537</v>
      </c>
      <c r="D11689" s="151" t="s">
        <v>26</v>
      </c>
      <c r="E11689" s="208" t="s">
        <v>40</v>
      </c>
      <c r="F11689" s="151" t="s">
        <v>15</v>
      </c>
      <c r="G11689" s="152">
        <v>292432</v>
      </c>
      <c r="H11689" s="151" t="s">
        <v>563</v>
      </c>
      <c r="I11689" s="151" t="s">
        <v>561</v>
      </c>
    </row>
    <row r="11690" spans="1:9" x14ac:dyDescent="0.25">
      <c r="A11690" s="151">
        <v>1831</v>
      </c>
      <c r="B11690" s="151">
        <f>A11690+1</f>
        <v>1832</v>
      </c>
      <c r="C11690" s="151" t="s">
        <v>537</v>
      </c>
      <c r="D11690" s="151" t="s">
        <v>26</v>
      </c>
      <c r="E11690" s="208" t="s">
        <v>96</v>
      </c>
      <c r="F11690" s="151" t="s">
        <v>15</v>
      </c>
      <c r="G11690" s="152">
        <v>3288</v>
      </c>
      <c r="H11690" s="151" t="s">
        <v>24</v>
      </c>
      <c r="I11690" s="151" t="s">
        <v>16</v>
      </c>
    </row>
    <row r="11691" spans="1:9" x14ac:dyDescent="0.25">
      <c r="A11691" s="151">
        <v>1831</v>
      </c>
      <c r="B11691" s="151">
        <f>A11691+1</f>
        <v>1832</v>
      </c>
      <c r="C11691" s="151" t="s">
        <v>537</v>
      </c>
      <c r="D11691" s="151" t="s">
        <v>26</v>
      </c>
      <c r="E11691" s="208" t="s">
        <v>98</v>
      </c>
      <c r="F11691" s="151" t="s">
        <v>15</v>
      </c>
      <c r="G11691" s="152">
        <v>1208434</v>
      </c>
      <c r="H11691" s="151" t="s">
        <v>25</v>
      </c>
      <c r="I11691" s="151" t="s">
        <v>16</v>
      </c>
    </row>
    <row r="11692" spans="1:9" x14ac:dyDescent="0.25">
      <c r="A11692" s="151">
        <v>1831</v>
      </c>
      <c r="B11692" s="151">
        <f>A11692+1</f>
        <v>1832</v>
      </c>
      <c r="C11692" s="151" t="s">
        <v>537</v>
      </c>
      <c r="D11692" s="151" t="s">
        <v>26</v>
      </c>
      <c r="E11692" s="208" t="s">
        <v>442</v>
      </c>
      <c r="F11692" s="151" t="s">
        <v>15</v>
      </c>
      <c r="G11692" s="152">
        <v>13416</v>
      </c>
      <c r="H11692" s="151" t="s">
        <v>18</v>
      </c>
      <c r="I11692" s="151" t="s">
        <v>16</v>
      </c>
    </row>
    <row r="11693" spans="1:9" x14ac:dyDescent="0.25">
      <c r="A11693" s="151">
        <v>1831</v>
      </c>
      <c r="B11693" s="151">
        <f>A11693+1</f>
        <v>1832</v>
      </c>
      <c r="C11693" s="151" t="s">
        <v>537</v>
      </c>
      <c r="D11693" s="151" t="s">
        <v>26</v>
      </c>
      <c r="E11693" s="208" t="s">
        <v>105</v>
      </c>
      <c r="F11693" s="151" t="s">
        <v>15</v>
      </c>
      <c r="G11693" s="152">
        <v>2378551</v>
      </c>
      <c r="H11693" s="151" t="s">
        <v>21</v>
      </c>
      <c r="I11693" s="151" t="s">
        <v>16</v>
      </c>
    </row>
    <row r="11694" spans="1:9" x14ac:dyDescent="0.25">
      <c r="A11694" s="151">
        <v>1831</v>
      </c>
      <c r="B11694" s="151">
        <f>A11694+1</f>
        <v>1832</v>
      </c>
      <c r="C11694" s="151" t="s">
        <v>537</v>
      </c>
      <c r="D11694" s="151" t="s">
        <v>26</v>
      </c>
      <c r="E11694" s="208" t="s">
        <v>106</v>
      </c>
      <c r="F11694" s="151" t="s">
        <v>15</v>
      </c>
      <c r="G11694" s="152">
        <v>933307</v>
      </c>
      <c r="H11694" s="151" t="s">
        <v>23</v>
      </c>
      <c r="I11694" s="151" t="s">
        <v>16</v>
      </c>
    </row>
    <row r="11695" spans="1:9" x14ac:dyDescent="0.25">
      <c r="A11695" s="151">
        <v>1831</v>
      </c>
      <c r="B11695" s="151">
        <f>A11695+1</f>
        <v>1832</v>
      </c>
      <c r="C11695" s="151" t="s">
        <v>537</v>
      </c>
      <c r="D11695" s="151" t="s">
        <v>26</v>
      </c>
      <c r="E11695" s="208" t="s">
        <v>101</v>
      </c>
      <c r="F11695" s="151" t="s">
        <v>15</v>
      </c>
      <c r="G11695" s="152">
        <v>2744784</v>
      </c>
      <c r="H11695" s="151" t="s">
        <v>563</v>
      </c>
      <c r="I11695" s="151" t="s">
        <v>16</v>
      </c>
    </row>
    <row r="11696" spans="1:9" x14ac:dyDescent="0.25">
      <c r="A11696" s="151">
        <v>1831</v>
      </c>
      <c r="B11696" s="151">
        <f>A11696+1</f>
        <v>1832</v>
      </c>
      <c r="C11696" s="151" t="s">
        <v>537</v>
      </c>
      <c r="D11696" s="151" t="s">
        <v>26</v>
      </c>
      <c r="E11696" s="208" t="s">
        <v>75</v>
      </c>
      <c r="F11696" s="151" t="s">
        <v>15</v>
      </c>
      <c r="G11696" s="152">
        <v>4949088</v>
      </c>
      <c r="H11696" s="151" t="s">
        <v>24</v>
      </c>
      <c r="I11696" s="151" t="s">
        <v>17</v>
      </c>
    </row>
    <row r="11697" spans="1:9" x14ac:dyDescent="0.25">
      <c r="A11697" s="151">
        <v>1831</v>
      </c>
      <c r="B11697" s="151">
        <f>A11697+1</f>
        <v>1832</v>
      </c>
      <c r="C11697" s="151" t="s">
        <v>537</v>
      </c>
      <c r="D11697" s="151" t="s">
        <v>26</v>
      </c>
      <c r="E11697" s="208" t="s">
        <v>66</v>
      </c>
      <c r="F11697" s="151" t="s">
        <v>15</v>
      </c>
      <c r="G11697" s="152">
        <v>266715</v>
      </c>
      <c r="H11697" s="151" t="s">
        <v>25</v>
      </c>
      <c r="I11697" s="151" t="s">
        <v>17</v>
      </c>
    </row>
    <row r="11698" spans="1:9" x14ac:dyDescent="0.25">
      <c r="A11698" s="151">
        <v>1831</v>
      </c>
      <c r="B11698" s="151">
        <f>A11698+1</f>
        <v>1832</v>
      </c>
      <c r="C11698" s="151" t="s">
        <v>537</v>
      </c>
      <c r="D11698" s="151" t="s">
        <v>26</v>
      </c>
      <c r="E11698" s="208" t="s">
        <v>28</v>
      </c>
      <c r="F11698" s="151" t="s">
        <v>15</v>
      </c>
      <c r="G11698" s="152">
        <v>3398</v>
      </c>
      <c r="H11698" s="151" t="s">
        <v>18</v>
      </c>
      <c r="I11698" s="151" t="s">
        <v>17</v>
      </c>
    </row>
    <row r="11699" spans="1:9" x14ac:dyDescent="0.25">
      <c r="A11699" s="151">
        <v>1831</v>
      </c>
      <c r="B11699" s="151">
        <f>A11699+1</f>
        <v>1832</v>
      </c>
      <c r="C11699" s="151" t="s">
        <v>537</v>
      </c>
      <c r="D11699" s="151" t="s">
        <v>26</v>
      </c>
      <c r="E11699" s="208" t="s">
        <v>89</v>
      </c>
      <c r="F11699" s="151" t="s">
        <v>15</v>
      </c>
      <c r="G11699" s="152">
        <v>7204</v>
      </c>
      <c r="H11699" s="151" t="s">
        <v>21</v>
      </c>
      <c r="I11699" s="151" t="s">
        <v>17</v>
      </c>
    </row>
    <row r="11700" spans="1:9" x14ac:dyDescent="0.25">
      <c r="A11700" s="151">
        <v>1831</v>
      </c>
      <c r="B11700" s="151">
        <f>A11700+1</f>
        <v>1832</v>
      </c>
      <c r="C11700" s="151" t="s">
        <v>537</v>
      </c>
      <c r="D11700" s="151" t="s">
        <v>26</v>
      </c>
      <c r="E11700" s="208" t="s">
        <v>45</v>
      </c>
      <c r="F11700" s="151" t="s">
        <v>15</v>
      </c>
      <c r="G11700" s="152">
        <v>9148</v>
      </c>
      <c r="H11700" s="151" t="s">
        <v>23</v>
      </c>
      <c r="I11700" s="151" t="s">
        <v>17</v>
      </c>
    </row>
    <row r="11701" spans="1:9" x14ac:dyDescent="0.25">
      <c r="A11701" s="151">
        <v>1831</v>
      </c>
      <c r="B11701" s="151">
        <f>A11701+1</f>
        <v>1832</v>
      </c>
      <c r="C11701" s="151" t="s">
        <v>537</v>
      </c>
      <c r="D11701" s="151" t="s">
        <v>26</v>
      </c>
      <c r="E11701" s="208" t="s">
        <v>48</v>
      </c>
      <c r="F11701" s="151" t="s">
        <v>15</v>
      </c>
      <c r="G11701" s="152">
        <v>10828</v>
      </c>
      <c r="H11701" s="151" t="s">
        <v>563</v>
      </c>
      <c r="I11701" s="151" t="s">
        <v>17</v>
      </c>
    </row>
    <row r="11702" spans="1:9" x14ac:dyDescent="0.25">
      <c r="A11702" s="151">
        <v>1831</v>
      </c>
      <c r="B11702" s="151">
        <f>A11702+1</f>
        <v>1832</v>
      </c>
      <c r="C11702" s="151" t="s">
        <v>537</v>
      </c>
      <c r="D11702" s="151" t="s">
        <v>26</v>
      </c>
      <c r="E11702" s="208" t="s">
        <v>102</v>
      </c>
      <c r="F11702" s="151" t="s">
        <v>15</v>
      </c>
      <c r="G11702" s="152">
        <v>10842</v>
      </c>
      <c r="H11702" s="151" t="s">
        <v>563</v>
      </c>
      <c r="I11702" s="151" t="s">
        <v>561</v>
      </c>
    </row>
    <row r="11703" spans="1:9" x14ac:dyDescent="0.25">
      <c r="A11703" s="151">
        <v>1831</v>
      </c>
      <c r="B11703" s="151">
        <f>A11703+1</f>
        <v>1832</v>
      </c>
      <c r="C11703" s="151" t="s">
        <v>537</v>
      </c>
      <c r="D11703" s="151" t="s">
        <v>26</v>
      </c>
      <c r="E11703" s="208" t="s">
        <v>330</v>
      </c>
      <c r="F11703" s="151" t="s">
        <v>15</v>
      </c>
      <c r="G11703" s="152">
        <v>1323</v>
      </c>
      <c r="H11703" t="s">
        <v>24</v>
      </c>
      <c r="I11703" t="s">
        <v>16</v>
      </c>
    </row>
    <row r="11704" spans="1:9" x14ac:dyDescent="0.25">
      <c r="A11704" s="151">
        <v>1831</v>
      </c>
      <c r="B11704" s="151">
        <f>A11704+1</f>
        <v>1832</v>
      </c>
      <c r="C11704" s="151" t="s">
        <v>537</v>
      </c>
      <c r="D11704" s="151" t="s">
        <v>26</v>
      </c>
      <c r="E11704" s="208" t="s">
        <v>331</v>
      </c>
      <c r="F11704" s="151" t="s">
        <v>15</v>
      </c>
      <c r="G11704" s="152">
        <v>608</v>
      </c>
      <c r="H11704" t="s">
        <v>25</v>
      </c>
      <c r="I11704" t="s">
        <v>16</v>
      </c>
    </row>
    <row r="11705" spans="1:9" x14ac:dyDescent="0.25">
      <c r="A11705" s="151">
        <v>1831</v>
      </c>
      <c r="B11705" s="151">
        <f>A11705+1</f>
        <v>1832</v>
      </c>
      <c r="C11705" s="151" t="s">
        <v>537</v>
      </c>
      <c r="D11705" s="151" t="s">
        <v>26</v>
      </c>
      <c r="E11705" s="208" t="s">
        <v>332</v>
      </c>
      <c r="F11705" s="151" t="s">
        <v>15</v>
      </c>
      <c r="G11705" s="152">
        <v>618</v>
      </c>
      <c r="H11705" t="s">
        <v>160</v>
      </c>
      <c r="I11705" t="s">
        <v>16</v>
      </c>
    </row>
    <row r="11706" spans="1:9" x14ac:dyDescent="0.25">
      <c r="A11706" s="151">
        <v>1831</v>
      </c>
      <c r="B11706" s="151">
        <f>A11706+1</f>
        <v>1832</v>
      </c>
      <c r="C11706" s="151" t="s">
        <v>537</v>
      </c>
      <c r="D11706" s="151" t="s">
        <v>26</v>
      </c>
      <c r="E11706" s="208" t="s">
        <v>333</v>
      </c>
      <c r="F11706" s="151" t="s">
        <v>15</v>
      </c>
      <c r="G11706" s="152">
        <v>591</v>
      </c>
      <c r="H11706" t="s">
        <v>23</v>
      </c>
      <c r="I11706" t="s">
        <v>16</v>
      </c>
    </row>
    <row r="11707" spans="1:9" x14ac:dyDescent="0.25">
      <c r="A11707" s="151">
        <v>1831</v>
      </c>
      <c r="B11707" s="151">
        <f>A11707+1</f>
        <v>1832</v>
      </c>
      <c r="C11707" s="151" t="s">
        <v>537</v>
      </c>
      <c r="D11707" s="151" t="s">
        <v>26</v>
      </c>
      <c r="E11707" s="208" t="s">
        <v>566</v>
      </c>
      <c r="F11707" s="151" t="s">
        <v>3</v>
      </c>
      <c r="G11707" s="152">
        <v>260</v>
      </c>
      <c r="H11707" s="151" t="s">
        <v>563</v>
      </c>
      <c r="I11707" t="s">
        <v>16</v>
      </c>
    </row>
    <row r="11708" spans="1:9" x14ac:dyDescent="0.25">
      <c r="A11708" s="151">
        <v>1831</v>
      </c>
      <c r="B11708" s="151">
        <f>A11708+1</f>
        <v>1832</v>
      </c>
      <c r="C11708" s="151" t="s">
        <v>537</v>
      </c>
      <c r="D11708" s="151" t="s">
        <v>26</v>
      </c>
      <c r="E11708" s="208" t="s">
        <v>566</v>
      </c>
      <c r="F11708" s="151" t="s">
        <v>6</v>
      </c>
      <c r="G11708" s="152">
        <v>0</v>
      </c>
      <c r="H11708" s="151" t="s">
        <v>563</v>
      </c>
      <c r="I11708" t="s">
        <v>17</v>
      </c>
    </row>
    <row r="11709" spans="1:9" x14ac:dyDescent="0.25">
      <c r="A11709" s="151">
        <v>1831</v>
      </c>
      <c r="B11709" s="151">
        <f>A11709+1</f>
        <v>1832</v>
      </c>
      <c r="C11709" s="151" t="s">
        <v>537</v>
      </c>
      <c r="D11709" s="151" t="s">
        <v>26</v>
      </c>
      <c r="E11709" s="208" t="s">
        <v>566</v>
      </c>
      <c r="F11709" s="151" t="s">
        <v>0</v>
      </c>
      <c r="G11709" s="152">
        <v>3008</v>
      </c>
      <c r="H11709" s="151" t="s">
        <v>563</v>
      </c>
      <c r="I11709" t="s">
        <v>561</v>
      </c>
    </row>
    <row r="11710" spans="1:9" x14ac:dyDescent="0.25">
      <c r="A11710" s="151">
        <v>1831</v>
      </c>
      <c r="B11710" s="151">
        <f>A11710+1</f>
        <v>1832</v>
      </c>
      <c r="C11710" s="151" t="s">
        <v>537</v>
      </c>
      <c r="D11710" s="151" t="s">
        <v>26</v>
      </c>
      <c r="E11710" s="208" t="s">
        <v>566</v>
      </c>
      <c r="F11710" s="151" t="s">
        <v>1</v>
      </c>
      <c r="G11710" s="152">
        <v>0</v>
      </c>
      <c r="H11710" t="s">
        <v>24</v>
      </c>
      <c r="I11710" t="s">
        <v>16</v>
      </c>
    </row>
    <row r="11711" spans="1:9" x14ac:dyDescent="0.25">
      <c r="A11711" s="151">
        <v>1831</v>
      </c>
      <c r="B11711" s="151">
        <f>A11711+1</f>
        <v>1832</v>
      </c>
      <c r="C11711" s="151" t="s">
        <v>537</v>
      </c>
      <c r="D11711" s="151" t="s">
        <v>26</v>
      </c>
      <c r="E11711" s="208" t="s">
        <v>566</v>
      </c>
      <c r="F11711" s="151" t="s">
        <v>4</v>
      </c>
      <c r="G11711" s="152">
        <v>224</v>
      </c>
      <c r="H11711" t="s">
        <v>25</v>
      </c>
      <c r="I11711" t="s">
        <v>16</v>
      </c>
    </row>
    <row r="11712" spans="1:9" x14ac:dyDescent="0.25">
      <c r="A11712" s="151">
        <v>1831</v>
      </c>
      <c r="B11712" s="151">
        <f>A11712+1</f>
        <v>1832</v>
      </c>
      <c r="C11712" s="151" t="s">
        <v>537</v>
      </c>
      <c r="D11712" s="151" t="s">
        <v>26</v>
      </c>
      <c r="E11712" s="208" t="s">
        <v>566</v>
      </c>
      <c r="F11712" s="151" t="s">
        <v>7</v>
      </c>
      <c r="G11712" s="152">
        <v>3492</v>
      </c>
      <c r="H11712" t="s">
        <v>160</v>
      </c>
      <c r="I11712" t="s">
        <v>16</v>
      </c>
    </row>
    <row r="11713" spans="1:9" x14ac:dyDescent="0.25">
      <c r="A11713" s="151">
        <v>1831</v>
      </c>
      <c r="B11713" s="151">
        <f>A11713+1</f>
        <v>1832</v>
      </c>
      <c r="C11713" s="151" t="s">
        <v>537</v>
      </c>
      <c r="D11713" s="151" t="s">
        <v>26</v>
      </c>
      <c r="E11713" s="208" t="s">
        <v>566</v>
      </c>
      <c r="F11713" s="151" t="s">
        <v>10</v>
      </c>
      <c r="G11713" s="152">
        <v>14</v>
      </c>
      <c r="H11713" t="s">
        <v>23</v>
      </c>
      <c r="I11713" t="s">
        <v>16</v>
      </c>
    </row>
    <row r="11714" spans="1:9" x14ac:dyDescent="0.25">
      <c r="A11714" s="151">
        <v>1831</v>
      </c>
      <c r="B11714" s="151">
        <f>A11714+1</f>
        <v>1832</v>
      </c>
      <c r="C11714" s="151" t="s">
        <v>537</v>
      </c>
      <c r="D11714" s="151" t="s">
        <v>26</v>
      </c>
      <c r="E11714" s="208" t="s">
        <v>566</v>
      </c>
      <c r="F11714" s="151" t="s">
        <v>13</v>
      </c>
      <c r="G11714" s="152">
        <v>0</v>
      </c>
      <c r="H11714" s="151" t="s">
        <v>563</v>
      </c>
      <c r="I11714" t="s">
        <v>16</v>
      </c>
    </row>
    <row r="11715" spans="1:9" x14ac:dyDescent="0.25">
      <c r="A11715" s="151">
        <v>1831</v>
      </c>
      <c r="B11715" s="151">
        <f>A11715+1</f>
        <v>1832</v>
      </c>
      <c r="C11715" s="151" t="s">
        <v>537</v>
      </c>
      <c r="D11715" s="151" t="s">
        <v>26</v>
      </c>
      <c r="E11715" s="208" t="s">
        <v>566</v>
      </c>
      <c r="F11715" s="151" t="s">
        <v>8</v>
      </c>
      <c r="G11715" s="152">
        <v>0</v>
      </c>
      <c r="H11715" s="151" t="s">
        <v>563</v>
      </c>
      <c r="I11715" t="s">
        <v>17</v>
      </c>
    </row>
    <row r="11716" spans="1:9" x14ac:dyDescent="0.25">
      <c r="A11716" s="151">
        <v>1831</v>
      </c>
      <c r="B11716" s="151">
        <f>A11716+1</f>
        <v>1832</v>
      </c>
      <c r="C11716" s="151" t="s">
        <v>537</v>
      </c>
      <c r="D11716" s="151" t="s">
        <v>26</v>
      </c>
      <c r="E11716" s="208" t="s">
        <v>566</v>
      </c>
      <c r="F11716" s="151" t="s">
        <v>9</v>
      </c>
      <c r="G11716" s="152">
        <v>0</v>
      </c>
      <c r="H11716" s="151" t="s">
        <v>563</v>
      </c>
      <c r="I11716" t="s">
        <v>561</v>
      </c>
    </row>
    <row r="11717" spans="1:9" x14ac:dyDescent="0.25">
      <c r="A11717" s="151">
        <v>1831</v>
      </c>
      <c r="B11717" s="151">
        <f>A11717+1</f>
        <v>1832</v>
      </c>
      <c r="C11717" s="151" t="s">
        <v>537</v>
      </c>
      <c r="D11717" s="151" t="s">
        <v>26</v>
      </c>
      <c r="E11717" s="208" t="s">
        <v>566</v>
      </c>
      <c r="F11717" s="151" t="s">
        <v>11</v>
      </c>
      <c r="G11717" s="152">
        <v>0</v>
      </c>
      <c r="H11717" t="s">
        <v>24</v>
      </c>
      <c r="I11717" t="s">
        <v>16</v>
      </c>
    </row>
    <row r="11718" spans="1:9" x14ac:dyDescent="0.25">
      <c r="A11718" s="151">
        <v>1831</v>
      </c>
      <c r="B11718" s="151">
        <f>A11718+1</f>
        <v>1832</v>
      </c>
      <c r="C11718" s="151" t="s">
        <v>537</v>
      </c>
      <c r="D11718" s="151" t="s">
        <v>26</v>
      </c>
      <c r="E11718" s="208" t="s">
        <v>566</v>
      </c>
      <c r="F11718" s="151" t="s">
        <v>14</v>
      </c>
      <c r="G11718" s="152">
        <v>14</v>
      </c>
      <c r="H11718" t="s">
        <v>25</v>
      </c>
      <c r="I11718" t="s">
        <v>16</v>
      </c>
    </row>
    <row r="11719" spans="1:9" x14ac:dyDescent="0.25">
      <c r="A11719" s="151">
        <v>1831</v>
      </c>
      <c r="B11719" s="151">
        <f>A11719+1</f>
        <v>1832</v>
      </c>
      <c r="C11719" s="151" t="s">
        <v>537</v>
      </c>
      <c r="D11719" s="151" t="s">
        <v>26</v>
      </c>
      <c r="E11719" s="208" t="s">
        <v>566</v>
      </c>
      <c r="F11719" s="151" t="s">
        <v>15</v>
      </c>
      <c r="G11719" s="152">
        <v>3506</v>
      </c>
      <c r="H11719" t="s">
        <v>160</v>
      </c>
      <c r="I11719" t="s">
        <v>16</v>
      </c>
    </row>
    <row r="11720" spans="1:9" x14ac:dyDescent="0.25">
      <c r="A11720" s="151">
        <v>1833</v>
      </c>
      <c r="B11720" s="151">
        <f>A11720+1</f>
        <v>1834</v>
      </c>
      <c r="C11720" s="151" t="s">
        <v>539</v>
      </c>
      <c r="D11720" s="151" t="s">
        <v>26</v>
      </c>
      <c r="E11720" s="208" t="s">
        <v>572</v>
      </c>
      <c r="F11720" t="s">
        <v>3</v>
      </c>
      <c r="G11720" s="18">
        <v>6477</v>
      </c>
      <c r="H11720" t="s">
        <v>23</v>
      </c>
      <c r="I11720" t="s">
        <v>16</v>
      </c>
    </row>
    <row r="11721" spans="1:9" x14ac:dyDescent="0.25">
      <c r="A11721" s="151">
        <v>1833</v>
      </c>
      <c r="B11721" s="151">
        <f>A11721+1</f>
        <v>1834</v>
      </c>
      <c r="C11721" s="151" t="s">
        <v>539</v>
      </c>
      <c r="D11721" s="151" t="s">
        <v>26</v>
      </c>
      <c r="E11721" s="208" t="s">
        <v>572</v>
      </c>
      <c r="F11721" t="s">
        <v>6</v>
      </c>
      <c r="G11721" s="18">
        <v>0</v>
      </c>
      <c r="H11721" s="151" t="s">
        <v>563</v>
      </c>
      <c r="I11721" t="s">
        <v>16</v>
      </c>
    </row>
    <row r="11722" spans="1:9" x14ac:dyDescent="0.25">
      <c r="A11722" s="151">
        <v>1833</v>
      </c>
      <c r="B11722" s="151">
        <f>A11722+1</f>
        <v>1834</v>
      </c>
      <c r="C11722" s="151" t="s">
        <v>539</v>
      </c>
      <c r="D11722" s="151" t="s">
        <v>26</v>
      </c>
      <c r="E11722" s="208" t="s">
        <v>572</v>
      </c>
      <c r="F11722" t="s">
        <v>169</v>
      </c>
      <c r="G11722" s="18">
        <v>1</v>
      </c>
      <c r="H11722" s="151" t="s">
        <v>563</v>
      </c>
      <c r="I11722" t="s">
        <v>17</v>
      </c>
    </row>
    <row r="11723" spans="1:9" x14ac:dyDescent="0.25">
      <c r="A11723" s="151">
        <v>1833</v>
      </c>
      <c r="B11723" s="151">
        <f>A11723+1</f>
        <v>1834</v>
      </c>
      <c r="C11723" s="151" t="s">
        <v>539</v>
      </c>
      <c r="D11723" s="151" t="s">
        <v>26</v>
      </c>
      <c r="E11723" s="208" t="s">
        <v>572</v>
      </c>
      <c r="F11723" t="s">
        <v>4</v>
      </c>
      <c r="G11723" s="18">
        <v>0</v>
      </c>
      <c r="H11723" s="151" t="s">
        <v>563</v>
      </c>
      <c r="I11723" t="s">
        <v>561</v>
      </c>
    </row>
    <row r="11724" spans="1:9" x14ac:dyDescent="0.25">
      <c r="A11724" s="151">
        <v>1833</v>
      </c>
      <c r="B11724" s="151">
        <f>A11724+1</f>
        <v>1834</v>
      </c>
      <c r="C11724" s="151" t="s">
        <v>539</v>
      </c>
      <c r="D11724" s="151" t="s">
        <v>26</v>
      </c>
      <c r="E11724" s="208" t="s">
        <v>572</v>
      </c>
      <c r="F11724" t="s">
        <v>7</v>
      </c>
      <c r="G11724" s="18">
        <v>6478</v>
      </c>
      <c r="H11724" t="s">
        <v>24</v>
      </c>
      <c r="I11724" t="s">
        <v>16</v>
      </c>
    </row>
    <row r="11725" spans="1:9" x14ac:dyDescent="0.25">
      <c r="A11725" s="151">
        <v>1833</v>
      </c>
      <c r="B11725" s="151">
        <f>A11725+1</f>
        <v>1834</v>
      </c>
      <c r="C11725" s="151" t="s">
        <v>539</v>
      </c>
      <c r="D11725" s="151" t="s">
        <v>26</v>
      </c>
      <c r="E11725" s="208" t="s">
        <v>572</v>
      </c>
      <c r="F11725" t="s">
        <v>14</v>
      </c>
      <c r="G11725" s="18">
        <v>1360</v>
      </c>
      <c r="H11725" t="s">
        <v>25</v>
      </c>
      <c r="I11725" t="s">
        <v>16</v>
      </c>
    </row>
    <row r="11726" spans="1:9" x14ac:dyDescent="0.25">
      <c r="A11726" s="151">
        <v>1833</v>
      </c>
      <c r="B11726" s="151">
        <f>A11726+1</f>
        <v>1834</v>
      </c>
      <c r="C11726" s="151" t="s">
        <v>539</v>
      </c>
      <c r="D11726" s="151" t="s">
        <v>26</v>
      </c>
      <c r="E11726" s="208" t="s">
        <v>572</v>
      </c>
      <c r="F11726" t="s">
        <v>15</v>
      </c>
      <c r="G11726" s="18">
        <v>7838</v>
      </c>
      <c r="H11726" t="s">
        <v>160</v>
      </c>
      <c r="I11726" t="s">
        <v>16</v>
      </c>
    </row>
    <row r="11727" spans="1:9" x14ac:dyDescent="0.25">
      <c r="A11727" s="151">
        <v>1833</v>
      </c>
      <c r="B11727" s="151">
        <f>A11727+1</f>
        <v>1834</v>
      </c>
      <c r="C11727" s="151" t="s">
        <v>539</v>
      </c>
      <c r="D11727" s="151" t="s">
        <v>26</v>
      </c>
      <c r="E11727" s="208" t="s">
        <v>571</v>
      </c>
      <c r="F11727" t="s">
        <v>3</v>
      </c>
      <c r="G11727" s="18">
        <v>4769</v>
      </c>
      <c r="H11727" t="s">
        <v>23</v>
      </c>
      <c r="I11727" t="s">
        <v>16</v>
      </c>
    </row>
    <row r="11728" spans="1:9" x14ac:dyDescent="0.25">
      <c r="A11728" s="151">
        <v>1833</v>
      </c>
      <c r="B11728" s="151">
        <f>A11728+1</f>
        <v>1834</v>
      </c>
      <c r="C11728" s="151" t="s">
        <v>539</v>
      </c>
      <c r="D11728" s="151" t="s">
        <v>26</v>
      </c>
      <c r="E11728" s="208" t="s">
        <v>571</v>
      </c>
      <c r="F11728" t="s">
        <v>6</v>
      </c>
      <c r="G11728" s="18">
        <v>0</v>
      </c>
      <c r="H11728" s="151" t="s">
        <v>563</v>
      </c>
      <c r="I11728" t="s">
        <v>16</v>
      </c>
    </row>
    <row r="11729" spans="1:9" x14ac:dyDescent="0.25">
      <c r="A11729" s="151">
        <v>1833</v>
      </c>
      <c r="B11729" s="151">
        <f>A11729+1</f>
        <v>1834</v>
      </c>
      <c r="C11729" s="151" t="s">
        <v>539</v>
      </c>
      <c r="D11729" s="151" t="s">
        <v>26</v>
      </c>
      <c r="E11729" s="208" t="s">
        <v>571</v>
      </c>
      <c r="F11729" t="s">
        <v>169</v>
      </c>
      <c r="G11729" s="18">
        <v>0</v>
      </c>
      <c r="H11729" s="151" t="s">
        <v>563</v>
      </c>
      <c r="I11729" t="s">
        <v>17</v>
      </c>
    </row>
    <row r="11730" spans="1:9" x14ac:dyDescent="0.25">
      <c r="A11730" s="151">
        <v>1833</v>
      </c>
      <c r="B11730" s="151">
        <f>A11730+1</f>
        <v>1834</v>
      </c>
      <c r="C11730" s="151" t="s">
        <v>539</v>
      </c>
      <c r="D11730" s="151" t="s">
        <v>26</v>
      </c>
      <c r="E11730" s="208" t="s">
        <v>571</v>
      </c>
      <c r="F11730" t="s">
        <v>4</v>
      </c>
      <c r="G11730" s="18">
        <v>0</v>
      </c>
      <c r="H11730" s="151" t="s">
        <v>563</v>
      </c>
      <c r="I11730" t="s">
        <v>561</v>
      </c>
    </row>
    <row r="11731" spans="1:9" x14ac:dyDescent="0.25">
      <c r="A11731" s="151">
        <v>1833</v>
      </c>
      <c r="B11731" s="151">
        <f>A11731+1</f>
        <v>1834</v>
      </c>
      <c r="C11731" s="151" t="s">
        <v>539</v>
      </c>
      <c r="D11731" s="151" t="s">
        <v>26</v>
      </c>
      <c r="E11731" s="208" t="s">
        <v>571</v>
      </c>
      <c r="F11731" t="s">
        <v>7</v>
      </c>
      <c r="G11731" s="18">
        <v>4769</v>
      </c>
      <c r="H11731" t="s">
        <v>16</v>
      </c>
      <c r="I11731" t="s">
        <v>24</v>
      </c>
    </row>
    <row r="11732" spans="1:9" x14ac:dyDescent="0.25">
      <c r="A11732" s="151">
        <v>1833</v>
      </c>
      <c r="B11732" s="151">
        <f>A11732+1</f>
        <v>1834</v>
      </c>
      <c r="C11732" s="151" t="s">
        <v>539</v>
      </c>
      <c r="D11732" s="151" t="s">
        <v>26</v>
      </c>
      <c r="E11732" s="208" t="s">
        <v>571</v>
      </c>
      <c r="F11732" t="s">
        <v>14</v>
      </c>
      <c r="G11732" s="18">
        <v>2794</v>
      </c>
      <c r="H11732" t="s">
        <v>16</v>
      </c>
      <c r="I11732" t="s">
        <v>24</v>
      </c>
    </row>
    <row r="11733" spans="1:9" x14ac:dyDescent="0.25">
      <c r="A11733" s="151">
        <v>1833</v>
      </c>
      <c r="B11733" s="151">
        <f>A11733+1</f>
        <v>1834</v>
      </c>
      <c r="C11733" s="151" t="s">
        <v>539</v>
      </c>
      <c r="D11733" s="151" t="s">
        <v>26</v>
      </c>
      <c r="E11733" s="208" t="s">
        <v>571</v>
      </c>
      <c r="F11733" t="s">
        <v>15</v>
      </c>
      <c r="G11733" s="18">
        <v>7563</v>
      </c>
      <c r="H11733" t="s">
        <v>16</v>
      </c>
      <c r="I11733" t="s">
        <v>24</v>
      </c>
    </row>
    <row r="11734" spans="1:9" x14ac:dyDescent="0.25">
      <c r="A11734" s="151">
        <v>1833</v>
      </c>
      <c r="B11734" s="151">
        <f>A11734+1</f>
        <v>1834</v>
      </c>
      <c r="C11734" s="151" t="s">
        <v>539</v>
      </c>
      <c r="D11734" s="151" t="s">
        <v>26</v>
      </c>
      <c r="E11734" s="208" t="s">
        <v>567</v>
      </c>
      <c r="F11734" t="s">
        <v>3</v>
      </c>
      <c r="G11734" s="18">
        <v>18079</v>
      </c>
      <c r="H11734" t="s">
        <v>16</v>
      </c>
      <c r="I11734" t="s">
        <v>24</v>
      </c>
    </row>
    <row r="11735" spans="1:9" x14ac:dyDescent="0.25">
      <c r="A11735" s="151">
        <v>1833</v>
      </c>
      <c r="B11735" s="151">
        <f>A11735+1</f>
        <v>1834</v>
      </c>
      <c r="C11735" s="151" t="s">
        <v>539</v>
      </c>
      <c r="D11735" s="151" t="s">
        <v>26</v>
      </c>
      <c r="E11735" s="208" t="s">
        <v>567</v>
      </c>
      <c r="F11735" t="s">
        <v>6</v>
      </c>
      <c r="G11735" s="18">
        <v>0</v>
      </c>
      <c r="H11735" t="s">
        <v>16</v>
      </c>
      <c r="I11735" t="s">
        <v>24</v>
      </c>
    </row>
    <row r="11736" spans="1:9" x14ac:dyDescent="0.25">
      <c r="A11736" s="151">
        <v>1833</v>
      </c>
      <c r="B11736" s="151">
        <f>A11736+1</f>
        <v>1834</v>
      </c>
      <c r="C11736" s="151" t="s">
        <v>539</v>
      </c>
      <c r="D11736" s="151" t="s">
        <v>26</v>
      </c>
      <c r="E11736" s="208" t="s">
        <v>567</v>
      </c>
      <c r="F11736" t="s">
        <v>169</v>
      </c>
      <c r="G11736" s="18">
        <v>12458</v>
      </c>
      <c r="H11736" t="s">
        <v>16</v>
      </c>
      <c r="I11736" t="s">
        <v>24</v>
      </c>
    </row>
    <row r="11737" spans="1:9" x14ac:dyDescent="0.25">
      <c r="A11737" s="151">
        <v>1833</v>
      </c>
      <c r="B11737" s="151">
        <f>A11737+1</f>
        <v>1834</v>
      </c>
      <c r="C11737" s="151" t="s">
        <v>539</v>
      </c>
      <c r="D11737" s="151" t="s">
        <v>26</v>
      </c>
      <c r="E11737" s="208" t="s">
        <v>567</v>
      </c>
      <c r="F11737" t="s">
        <v>4</v>
      </c>
      <c r="G11737" s="18">
        <v>0</v>
      </c>
      <c r="H11737" t="s">
        <v>16</v>
      </c>
      <c r="I11737" t="s">
        <v>24</v>
      </c>
    </row>
    <row r="11738" spans="1:9" x14ac:dyDescent="0.25">
      <c r="A11738" s="151">
        <v>1833</v>
      </c>
      <c r="B11738" s="151">
        <f>A11738+1</f>
        <v>1834</v>
      </c>
      <c r="C11738" s="151" t="s">
        <v>539</v>
      </c>
      <c r="D11738" s="151" t="s">
        <v>26</v>
      </c>
      <c r="E11738" s="208" t="s">
        <v>567</v>
      </c>
      <c r="F11738" t="s">
        <v>7</v>
      </c>
      <c r="G11738" s="18">
        <v>30537</v>
      </c>
      <c r="H11738" t="s">
        <v>16</v>
      </c>
      <c r="I11738" t="s">
        <v>24</v>
      </c>
    </row>
    <row r="11739" spans="1:9" x14ac:dyDescent="0.25">
      <c r="A11739" s="151">
        <v>1833</v>
      </c>
      <c r="B11739" s="151">
        <f>A11739+1</f>
        <v>1834</v>
      </c>
      <c r="C11739" s="151" t="s">
        <v>539</v>
      </c>
      <c r="D11739" s="151" t="s">
        <v>26</v>
      </c>
      <c r="E11739" s="208" t="s">
        <v>567</v>
      </c>
      <c r="F11739" t="s">
        <v>14</v>
      </c>
      <c r="G11739" s="18">
        <v>38585</v>
      </c>
      <c r="H11739" t="s">
        <v>16</v>
      </c>
      <c r="I11739" t="s">
        <v>24</v>
      </c>
    </row>
    <row r="11740" spans="1:9" x14ac:dyDescent="0.25">
      <c r="A11740" s="151">
        <v>1833</v>
      </c>
      <c r="B11740" s="151">
        <f>A11740+1</f>
        <v>1834</v>
      </c>
      <c r="C11740" s="151" t="s">
        <v>539</v>
      </c>
      <c r="D11740" s="151" t="s">
        <v>26</v>
      </c>
      <c r="E11740" s="208" t="s">
        <v>567</v>
      </c>
      <c r="F11740" t="s">
        <v>15</v>
      </c>
      <c r="G11740" s="18">
        <v>69122</v>
      </c>
      <c r="H11740" t="s">
        <v>16</v>
      </c>
      <c r="I11740" t="s">
        <v>24</v>
      </c>
    </row>
    <row r="11741" spans="1:9" x14ac:dyDescent="0.25">
      <c r="A11741" s="151">
        <v>1833</v>
      </c>
      <c r="B11741" s="151">
        <f>A11741+1</f>
        <v>1834</v>
      </c>
      <c r="C11741" s="151" t="s">
        <v>539</v>
      </c>
      <c r="D11741" s="151" t="s">
        <v>26</v>
      </c>
      <c r="E11741" s="208" t="s">
        <v>568</v>
      </c>
      <c r="F11741" t="s">
        <v>3</v>
      </c>
      <c r="G11741" s="18">
        <v>348</v>
      </c>
      <c r="H11741" t="s">
        <v>16</v>
      </c>
      <c r="I11741" t="s">
        <v>24</v>
      </c>
    </row>
    <row r="11742" spans="1:9" x14ac:dyDescent="0.25">
      <c r="A11742" s="151">
        <v>1833</v>
      </c>
      <c r="B11742" s="151">
        <f>A11742+1</f>
        <v>1834</v>
      </c>
      <c r="C11742" s="151" t="s">
        <v>539</v>
      </c>
      <c r="D11742" s="151" t="s">
        <v>26</v>
      </c>
      <c r="E11742" s="208" t="s">
        <v>568</v>
      </c>
      <c r="F11742" t="s">
        <v>6</v>
      </c>
      <c r="G11742" s="18">
        <v>0</v>
      </c>
      <c r="H11742" t="s">
        <v>16</v>
      </c>
      <c r="I11742" t="s">
        <v>24</v>
      </c>
    </row>
    <row r="11743" spans="1:9" x14ac:dyDescent="0.25">
      <c r="A11743" s="151">
        <v>1833</v>
      </c>
      <c r="B11743" s="151">
        <f>A11743+1</f>
        <v>1834</v>
      </c>
      <c r="C11743" s="151" t="s">
        <v>539</v>
      </c>
      <c r="D11743" s="151" t="s">
        <v>26</v>
      </c>
      <c r="E11743" s="208" t="s">
        <v>568</v>
      </c>
      <c r="F11743" t="s">
        <v>169</v>
      </c>
      <c r="G11743" s="18">
        <v>0</v>
      </c>
      <c r="H11743" t="s">
        <v>16</v>
      </c>
      <c r="I11743" t="s">
        <v>24</v>
      </c>
    </row>
    <row r="11744" spans="1:9" x14ac:dyDescent="0.25">
      <c r="A11744" s="151">
        <v>1833</v>
      </c>
      <c r="B11744" s="151">
        <f>A11744+1</f>
        <v>1834</v>
      </c>
      <c r="C11744" s="151" t="s">
        <v>539</v>
      </c>
      <c r="D11744" s="151" t="s">
        <v>26</v>
      </c>
      <c r="E11744" s="208" t="s">
        <v>568</v>
      </c>
      <c r="F11744" t="s">
        <v>4</v>
      </c>
      <c r="G11744" s="18">
        <v>0</v>
      </c>
      <c r="H11744" t="s">
        <v>16</v>
      </c>
      <c r="I11744" t="s">
        <v>24</v>
      </c>
    </row>
    <row r="11745" spans="1:9" x14ac:dyDescent="0.25">
      <c r="A11745" s="151">
        <v>1833</v>
      </c>
      <c r="B11745" s="151">
        <f>A11745+1</f>
        <v>1834</v>
      </c>
      <c r="C11745" s="151" t="s">
        <v>539</v>
      </c>
      <c r="D11745" s="151" t="s">
        <v>26</v>
      </c>
      <c r="E11745" s="208" t="s">
        <v>568</v>
      </c>
      <c r="F11745" t="s">
        <v>7</v>
      </c>
      <c r="G11745" s="18">
        <v>348</v>
      </c>
      <c r="H11745" t="s">
        <v>16</v>
      </c>
      <c r="I11745" t="s">
        <v>24</v>
      </c>
    </row>
    <row r="11746" spans="1:9" x14ac:dyDescent="0.25">
      <c r="A11746" s="151">
        <v>1833</v>
      </c>
      <c r="B11746" s="151">
        <f>A11746+1</f>
        <v>1834</v>
      </c>
      <c r="C11746" s="151" t="s">
        <v>539</v>
      </c>
      <c r="D11746" s="151" t="s">
        <v>26</v>
      </c>
      <c r="E11746" s="208" t="s">
        <v>568</v>
      </c>
      <c r="F11746" t="s">
        <v>14</v>
      </c>
      <c r="G11746" s="18">
        <v>294</v>
      </c>
      <c r="H11746" t="s">
        <v>16</v>
      </c>
      <c r="I11746" t="s">
        <v>24</v>
      </c>
    </row>
    <row r="11747" spans="1:9" x14ac:dyDescent="0.25">
      <c r="A11747" s="151">
        <v>1833</v>
      </c>
      <c r="B11747" s="151">
        <f>A11747+1</f>
        <v>1834</v>
      </c>
      <c r="C11747" s="151" t="s">
        <v>539</v>
      </c>
      <c r="D11747" s="151" t="s">
        <v>26</v>
      </c>
      <c r="E11747" s="208" t="s">
        <v>568</v>
      </c>
      <c r="F11747" t="s">
        <v>15</v>
      </c>
      <c r="G11747" s="18">
        <v>642</v>
      </c>
      <c r="H11747" t="s">
        <v>16</v>
      </c>
      <c r="I11747" t="s">
        <v>24</v>
      </c>
    </row>
    <row r="11748" spans="1:9" x14ac:dyDescent="0.25">
      <c r="A11748" s="151">
        <v>1833</v>
      </c>
      <c r="B11748" s="151">
        <f>A11748+1</f>
        <v>1834</v>
      </c>
      <c r="C11748" s="151" t="s">
        <v>539</v>
      </c>
      <c r="D11748" s="151" t="s">
        <v>27</v>
      </c>
      <c r="E11748" s="208" t="s">
        <v>155</v>
      </c>
      <c r="F11748" t="s">
        <v>3</v>
      </c>
      <c r="G11748" s="18">
        <v>247</v>
      </c>
      <c r="H11748" t="s">
        <v>16</v>
      </c>
      <c r="I11748" t="s">
        <v>24</v>
      </c>
    </row>
    <row r="11749" spans="1:9" x14ac:dyDescent="0.25">
      <c r="A11749" s="151">
        <v>1833</v>
      </c>
      <c r="B11749" s="151">
        <f>A11749+1</f>
        <v>1834</v>
      </c>
      <c r="C11749" s="151" t="s">
        <v>539</v>
      </c>
      <c r="D11749" s="151" t="s">
        <v>27</v>
      </c>
      <c r="E11749" s="208" t="s">
        <v>156</v>
      </c>
      <c r="F11749" t="s">
        <v>3</v>
      </c>
      <c r="G11749" s="18">
        <v>70</v>
      </c>
      <c r="H11749" t="s">
        <v>16</v>
      </c>
      <c r="I11749" t="s">
        <v>24</v>
      </c>
    </row>
    <row r="11750" spans="1:9" x14ac:dyDescent="0.25">
      <c r="A11750" s="151">
        <v>1833</v>
      </c>
      <c r="B11750" s="151">
        <f>A11750+1</f>
        <v>1834</v>
      </c>
      <c r="C11750" s="151" t="s">
        <v>539</v>
      </c>
      <c r="D11750" s="151" t="s">
        <v>27</v>
      </c>
      <c r="E11750" s="208" t="s">
        <v>154</v>
      </c>
      <c r="F11750" t="s">
        <v>3</v>
      </c>
      <c r="G11750" s="18">
        <v>592.5</v>
      </c>
      <c r="H11750" t="s">
        <v>16</v>
      </c>
      <c r="I11750" t="s">
        <v>24</v>
      </c>
    </row>
    <row r="11751" spans="1:9" x14ac:dyDescent="0.25">
      <c r="A11751" s="151">
        <v>1833</v>
      </c>
      <c r="B11751" s="151">
        <f>A11751+1</f>
        <v>1834</v>
      </c>
      <c r="C11751" s="151" t="s">
        <v>539</v>
      </c>
      <c r="D11751" s="151" t="s">
        <v>27</v>
      </c>
      <c r="E11751" s="208" t="s">
        <v>150</v>
      </c>
      <c r="F11751" t="s">
        <v>3</v>
      </c>
      <c r="G11751" s="18">
        <v>1434</v>
      </c>
      <c r="H11751" t="s">
        <v>16</v>
      </c>
      <c r="I11751" t="s">
        <v>24</v>
      </c>
    </row>
    <row r="11752" spans="1:9" x14ac:dyDescent="0.25">
      <c r="A11752" s="151">
        <v>1833</v>
      </c>
      <c r="B11752" s="151">
        <f>A11752+1</f>
        <v>1834</v>
      </c>
      <c r="C11752" s="151" t="s">
        <v>539</v>
      </c>
      <c r="D11752" s="151" t="s">
        <v>27</v>
      </c>
      <c r="E11752" s="208" t="s">
        <v>148</v>
      </c>
      <c r="F11752" t="s">
        <v>3</v>
      </c>
      <c r="G11752" s="18">
        <v>147</v>
      </c>
      <c r="H11752" t="s">
        <v>16</v>
      </c>
      <c r="I11752" t="s">
        <v>24</v>
      </c>
    </row>
    <row r="11753" spans="1:9" x14ac:dyDescent="0.25">
      <c r="A11753" s="151">
        <v>1833</v>
      </c>
      <c r="B11753" s="151">
        <f>A11753+1</f>
        <v>1834</v>
      </c>
      <c r="C11753" s="151" t="s">
        <v>539</v>
      </c>
      <c r="D11753" s="151" t="s">
        <v>27</v>
      </c>
      <c r="E11753" s="208" t="s">
        <v>147</v>
      </c>
      <c r="F11753" t="s">
        <v>3</v>
      </c>
      <c r="G11753" s="18">
        <v>17</v>
      </c>
      <c r="H11753" t="s">
        <v>16</v>
      </c>
      <c r="I11753" t="s">
        <v>24</v>
      </c>
    </row>
    <row r="11754" spans="1:9" x14ac:dyDescent="0.25">
      <c r="A11754" s="151">
        <v>1833</v>
      </c>
      <c r="B11754" s="151">
        <f>A11754+1</f>
        <v>1834</v>
      </c>
      <c r="C11754" s="151" t="s">
        <v>539</v>
      </c>
      <c r="D11754" s="151" t="s">
        <v>27</v>
      </c>
      <c r="E11754" s="208" t="s">
        <v>125</v>
      </c>
      <c r="F11754" t="s">
        <v>3</v>
      </c>
      <c r="G11754" s="18">
        <v>64</v>
      </c>
      <c r="H11754" t="s">
        <v>16</v>
      </c>
      <c r="I11754" t="s">
        <v>24</v>
      </c>
    </row>
    <row r="11755" spans="1:9" x14ac:dyDescent="0.25">
      <c r="A11755" s="151">
        <v>1833</v>
      </c>
      <c r="B11755" s="151">
        <f>A11755+1</f>
        <v>1834</v>
      </c>
      <c r="C11755" s="151" t="s">
        <v>539</v>
      </c>
      <c r="D11755" s="151" t="s">
        <v>27</v>
      </c>
      <c r="E11755" s="208" t="s">
        <v>122</v>
      </c>
      <c r="F11755" t="s">
        <v>3</v>
      </c>
      <c r="G11755" s="18">
        <v>163</v>
      </c>
      <c r="H11755" t="s">
        <v>24</v>
      </c>
      <c r="I11755" t="s">
        <v>16</v>
      </c>
    </row>
    <row r="11756" spans="1:9" x14ac:dyDescent="0.25">
      <c r="A11756" s="151">
        <v>1833</v>
      </c>
      <c r="B11756" s="151">
        <f>A11756+1</f>
        <v>1834</v>
      </c>
      <c r="C11756" s="151" t="s">
        <v>539</v>
      </c>
      <c r="D11756" s="151" t="s">
        <v>27</v>
      </c>
      <c r="E11756" s="208" t="s">
        <v>121</v>
      </c>
      <c r="F11756" t="s">
        <v>3</v>
      </c>
      <c r="G11756" s="18">
        <v>67</v>
      </c>
      <c r="H11756" t="s">
        <v>24</v>
      </c>
      <c r="I11756" t="s">
        <v>16</v>
      </c>
    </row>
    <row r="11757" spans="1:9" x14ac:dyDescent="0.25">
      <c r="A11757" s="151">
        <v>1833</v>
      </c>
      <c r="B11757" s="151">
        <f>A11757+1</f>
        <v>1834</v>
      </c>
      <c r="C11757" s="151" t="s">
        <v>539</v>
      </c>
      <c r="D11757" s="151" t="s">
        <v>27</v>
      </c>
      <c r="E11757" s="208" t="s">
        <v>139</v>
      </c>
      <c r="F11757" t="s">
        <v>3</v>
      </c>
      <c r="G11757" s="18">
        <v>3</v>
      </c>
      <c r="H11757" t="s">
        <v>24</v>
      </c>
      <c r="I11757" t="s">
        <v>16</v>
      </c>
    </row>
    <row r="11758" spans="1:9" x14ac:dyDescent="0.25">
      <c r="A11758" s="151">
        <v>1833</v>
      </c>
      <c r="B11758" s="151">
        <f>A11758+1</f>
        <v>1834</v>
      </c>
      <c r="C11758" s="151" t="s">
        <v>539</v>
      </c>
      <c r="D11758" s="151" t="s">
        <v>27</v>
      </c>
      <c r="E11758" s="208" t="s">
        <v>143</v>
      </c>
      <c r="F11758" t="s">
        <v>3</v>
      </c>
      <c r="G11758" s="18">
        <v>0</v>
      </c>
      <c r="H11758" t="s">
        <v>24</v>
      </c>
      <c r="I11758" t="s">
        <v>16</v>
      </c>
    </row>
    <row r="11759" spans="1:9" x14ac:dyDescent="0.25">
      <c r="A11759" s="151">
        <v>1833</v>
      </c>
      <c r="B11759" s="151">
        <f>A11759+1</f>
        <v>1834</v>
      </c>
      <c r="C11759" s="151" t="s">
        <v>539</v>
      </c>
      <c r="D11759" s="151" t="s">
        <v>27</v>
      </c>
      <c r="E11759" s="208" t="s">
        <v>142</v>
      </c>
      <c r="F11759" t="s">
        <v>3</v>
      </c>
      <c r="G11759" s="18">
        <v>197</v>
      </c>
      <c r="H11759" t="s">
        <v>24</v>
      </c>
      <c r="I11759" t="s">
        <v>16</v>
      </c>
    </row>
    <row r="11760" spans="1:9" x14ac:dyDescent="0.25">
      <c r="A11760" s="151">
        <v>1833</v>
      </c>
      <c r="B11760" s="151">
        <f>A11760+1</f>
        <v>1834</v>
      </c>
      <c r="C11760" s="151" t="s">
        <v>539</v>
      </c>
      <c r="D11760" s="151" t="s">
        <v>27</v>
      </c>
      <c r="E11760" s="208" t="s">
        <v>131</v>
      </c>
      <c r="F11760" t="s">
        <v>3</v>
      </c>
      <c r="G11760" s="18">
        <v>5</v>
      </c>
      <c r="H11760" t="s">
        <v>24</v>
      </c>
      <c r="I11760" t="s">
        <v>16</v>
      </c>
    </row>
    <row r="11761" spans="1:9" x14ac:dyDescent="0.25">
      <c r="A11761" s="151">
        <v>1833</v>
      </c>
      <c r="B11761" s="151">
        <f>A11761+1</f>
        <v>1834</v>
      </c>
      <c r="C11761" s="151" t="s">
        <v>539</v>
      </c>
      <c r="D11761" s="151" t="s">
        <v>27</v>
      </c>
      <c r="E11761" s="208" t="s">
        <v>130</v>
      </c>
      <c r="F11761" t="s">
        <v>3</v>
      </c>
      <c r="G11761" s="18">
        <v>0</v>
      </c>
      <c r="H11761" t="s">
        <v>24</v>
      </c>
      <c r="I11761" t="s">
        <v>16</v>
      </c>
    </row>
    <row r="11762" spans="1:9" x14ac:dyDescent="0.25">
      <c r="A11762" s="151">
        <v>1833</v>
      </c>
      <c r="B11762" s="151">
        <f>A11762+1</f>
        <v>1834</v>
      </c>
      <c r="C11762" s="151" t="s">
        <v>539</v>
      </c>
      <c r="D11762" s="151" t="s">
        <v>27</v>
      </c>
      <c r="E11762" s="208" t="s">
        <v>127</v>
      </c>
      <c r="F11762" t="s">
        <v>3</v>
      </c>
      <c r="G11762" s="18">
        <v>0</v>
      </c>
      <c r="H11762" t="s">
        <v>24</v>
      </c>
      <c r="I11762" t="s">
        <v>16</v>
      </c>
    </row>
    <row r="11763" spans="1:9" x14ac:dyDescent="0.25">
      <c r="A11763" s="151">
        <v>1833</v>
      </c>
      <c r="B11763" s="151">
        <f>A11763+1</f>
        <v>1834</v>
      </c>
      <c r="C11763" s="151" t="s">
        <v>539</v>
      </c>
      <c r="D11763" s="151" t="s">
        <v>27</v>
      </c>
      <c r="E11763" s="208" t="s">
        <v>133</v>
      </c>
      <c r="F11763" t="s">
        <v>3</v>
      </c>
      <c r="G11763" s="18">
        <v>0</v>
      </c>
      <c r="H11763" t="s">
        <v>24</v>
      </c>
      <c r="I11763" t="s">
        <v>16</v>
      </c>
    </row>
    <row r="11764" spans="1:9" x14ac:dyDescent="0.25">
      <c r="A11764" s="151">
        <v>1833</v>
      </c>
      <c r="B11764" s="151">
        <f>A11764+1</f>
        <v>1834</v>
      </c>
      <c r="C11764" s="151" t="s">
        <v>539</v>
      </c>
      <c r="D11764" s="151" t="s">
        <v>27</v>
      </c>
      <c r="E11764" s="208" t="s">
        <v>74</v>
      </c>
      <c r="F11764" t="s">
        <v>3</v>
      </c>
      <c r="G11764" s="18">
        <v>6.25</v>
      </c>
      <c r="H11764" t="s">
        <v>24</v>
      </c>
      <c r="I11764" t="s">
        <v>16</v>
      </c>
    </row>
    <row r="11765" spans="1:9" x14ac:dyDescent="0.25">
      <c r="A11765" s="151">
        <v>1833</v>
      </c>
      <c r="B11765" s="151">
        <f>A11765+1</f>
        <v>1834</v>
      </c>
      <c r="C11765" s="151" t="s">
        <v>539</v>
      </c>
      <c r="D11765" s="151" t="s">
        <v>27</v>
      </c>
      <c r="E11765" s="208" t="s">
        <v>129</v>
      </c>
      <c r="F11765" t="s">
        <v>3</v>
      </c>
      <c r="G11765" s="18">
        <v>0</v>
      </c>
      <c r="H11765" t="s">
        <v>24</v>
      </c>
      <c r="I11765" t="s">
        <v>16</v>
      </c>
    </row>
    <row r="11766" spans="1:9" x14ac:dyDescent="0.25">
      <c r="A11766" s="151">
        <v>1833</v>
      </c>
      <c r="B11766" s="151">
        <f>A11766+1</f>
        <v>1834</v>
      </c>
      <c r="C11766" s="151" t="s">
        <v>539</v>
      </c>
      <c r="D11766" s="151" t="s">
        <v>27</v>
      </c>
      <c r="E11766" s="208" t="s">
        <v>141</v>
      </c>
      <c r="F11766" t="s">
        <v>3</v>
      </c>
      <c r="G11766" s="18">
        <v>0</v>
      </c>
      <c r="H11766" t="s">
        <v>24</v>
      </c>
      <c r="I11766" t="s">
        <v>16</v>
      </c>
    </row>
    <row r="11767" spans="1:9" x14ac:dyDescent="0.25">
      <c r="A11767" s="151">
        <v>1833</v>
      </c>
      <c r="B11767" s="151">
        <f>A11767+1</f>
        <v>1834</v>
      </c>
      <c r="C11767" s="151" t="s">
        <v>539</v>
      </c>
      <c r="D11767" s="151" t="s">
        <v>27</v>
      </c>
      <c r="E11767" s="208" t="s">
        <v>135</v>
      </c>
      <c r="F11767" t="s">
        <v>3</v>
      </c>
      <c r="G11767" s="18">
        <v>41.9</v>
      </c>
      <c r="H11767" t="s">
        <v>24</v>
      </c>
      <c r="I11767" t="s">
        <v>16</v>
      </c>
    </row>
    <row r="11768" spans="1:9" x14ac:dyDescent="0.25">
      <c r="A11768" s="151">
        <v>1833</v>
      </c>
      <c r="B11768" s="151">
        <f>A11768+1</f>
        <v>1834</v>
      </c>
      <c r="C11768" s="151" t="s">
        <v>539</v>
      </c>
      <c r="D11768" s="151" t="s">
        <v>27</v>
      </c>
      <c r="E11768" s="208" t="s">
        <v>128</v>
      </c>
      <c r="F11768" t="s">
        <v>3</v>
      </c>
      <c r="G11768" s="18">
        <v>0</v>
      </c>
      <c r="H11768" t="s">
        <v>24</v>
      </c>
      <c r="I11768" t="s">
        <v>16</v>
      </c>
    </row>
    <row r="11769" spans="1:9" x14ac:dyDescent="0.25">
      <c r="A11769" s="151">
        <v>1833</v>
      </c>
      <c r="B11769" s="151">
        <f>A11769+1</f>
        <v>1834</v>
      </c>
      <c r="C11769" s="151" t="s">
        <v>539</v>
      </c>
      <c r="D11769" s="151" t="s">
        <v>27</v>
      </c>
      <c r="E11769" s="208" t="s">
        <v>78</v>
      </c>
      <c r="F11769" t="s">
        <v>3</v>
      </c>
      <c r="G11769" s="18">
        <v>1</v>
      </c>
      <c r="H11769" t="s">
        <v>24</v>
      </c>
      <c r="I11769" t="s">
        <v>16</v>
      </c>
    </row>
    <row r="11770" spans="1:9" x14ac:dyDescent="0.25">
      <c r="A11770" s="151">
        <v>1833</v>
      </c>
      <c r="B11770" s="151">
        <f>A11770+1</f>
        <v>1834</v>
      </c>
      <c r="C11770" s="151" t="s">
        <v>539</v>
      </c>
      <c r="D11770" s="151" t="s">
        <v>27</v>
      </c>
      <c r="E11770" s="208" t="s">
        <v>119</v>
      </c>
      <c r="F11770" t="s">
        <v>3</v>
      </c>
      <c r="G11770" s="18">
        <v>1</v>
      </c>
      <c r="H11770" t="s">
        <v>24</v>
      </c>
      <c r="I11770" t="s">
        <v>16</v>
      </c>
    </row>
    <row r="11771" spans="1:9" x14ac:dyDescent="0.25">
      <c r="A11771" s="151">
        <v>1833</v>
      </c>
      <c r="B11771" s="151">
        <f>A11771+1</f>
        <v>1834</v>
      </c>
      <c r="C11771" s="151" t="s">
        <v>539</v>
      </c>
      <c r="D11771" s="151" t="s">
        <v>27</v>
      </c>
      <c r="E11771" s="208" t="s">
        <v>134</v>
      </c>
      <c r="F11771" t="s">
        <v>3</v>
      </c>
      <c r="G11771" s="18">
        <v>0</v>
      </c>
      <c r="H11771" t="s">
        <v>24</v>
      </c>
      <c r="I11771" t="s">
        <v>16</v>
      </c>
    </row>
    <row r="11772" spans="1:9" x14ac:dyDescent="0.25">
      <c r="A11772" s="151">
        <v>1833</v>
      </c>
      <c r="B11772" s="151">
        <f>A11772+1</f>
        <v>1834</v>
      </c>
      <c r="C11772" s="151" t="s">
        <v>539</v>
      </c>
      <c r="D11772" s="151" t="s">
        <v>26</v>
      </c>
      <c r="E11772" s="208" t="s">
        <v>34</v>
      </c>
      <c r="F11772" t="s">
        <v>3</v>
      </c>
      <c r="G11772" s="18">
        <v>60</v>
      </c>
      <c r="H11772" t="s">
        <v>24</v>
      </c>
      <c r="I11772" t="s">
        <v>16</v>
      </c>
    </row>
    <row r="11773" spans="1:9" x14ac:dyDescent="0.25">
      <c r="A11773" s="151">
        <v>1833</v>
      </c>
      <c r="B11773" s="151">
        <f>A11773+1</f>
        <v>1834</v>
      </c>
      <c r="C11773" s="151" t="s">
        <v>539</v>
      </c>
      <c r="D11773" s="151" t="s">
        <v>26</v>
      </c>
      <c r="E11773" s="208" t="s">
        <v>63</v>
      </c>
      <c r="F11773" t="s">
        <v>3</v>
      </c>
      <c r="G11773" s="18">
        <v>0</v>
      </c>
      <c r="H11773" t="s">
        <v>24</v>
      </c>
      <c r="I11773" t="s">
        <v>16</v>
      </c>
    </row>
    <row r="11774" spans="1:9" x14ac:dyDescent="0.25">
      <c r="A11774" s="151">
        <v>1833</v>
      </c>
      <c r="B11774" s="151">
        <f>A11774+1</f>
        <v>1834</v>
      </c>
      <c r="C11774" s="151" t="s">
        <v>539</v>
      </c>
      <c r="D11774" s="151" t="s">
        <v>26</v>
      </c>
      <c r="E11774" s="208" t="s">
        <v>62</v>
      </c>
      <c r="F11774" t="s">
        <v>3</v>
      </c>
      <c r="G11774" s="18">
        <v>1956</v>
      </c>
      <c r="H11774" t="s">
        <v>24</v>
      </c>
      <c r="I11774" t="s">
        <v>16</v>
      </c>
    </row>
    <row r="11775" spans="1:9" x14ac:dyDescent="0.25">
      <c r="A11775" s="151">
        <v>1833</v>
      </c>
      <c r="B11775" s="151">
        <f>A11775+1</f>
        <v>1834</v>
      </c>
      <c r="C11775" s="151" t="s">
        <v>539</v>
      </c>
      <c r="D11775" s="151" t="s">
        <v>26</v>
      </c>
      <c r="E11775" s="208" t="s">
        <v>55</v>
      </c>
      <c r="F11775" t="s">
        <v>3</v>
      </c>
      <c r="G11775" s="18">
        <v>120</v>
      </c>
      <c r="H11775" t="s">
        <v>24</v>
      </c>
      <c r="I11775" t="s">
        <v>16</v>
      </c>
    </row>
    <row r="11776" spans="1:9" x14ac:dyDescent="0.25">
      <c r="A11776" s="151">
        <v>1833</v>
      </c>
      <c r="B11776" s="151">
        <f>A11776+1</f>
        <v>1834</v>
      </c>
      <c r="C11776" s="151" t="s">
        <v>539</v>
      </c>
      <c r="D11776" s="151" t="s">
        <v>26</v>
      </c>
      <c r="E11776" s="208" t="s">
        <v>36</v>
      </c>
      <c r="F11776" t="s">
        <v>3</v>
      </c>
      <c r="G11776" s="18">
        <v>25</v>
      </c>
      <c r="H11776" t="s">
        <v>24</v>
      </c>
      <c r="I11776" t="s">
        <v>16</v>
      </c>
    </row>
    <row r="11777" spans="1:9" x14ac:dyDescent="0.25">
      <c r="A11777" s="151">
        <v>1833</v>
      </c>
      <c r="B11777" s="151">
        <f>A11777+1</f>
        <v>1834</v>
      </c>
      <c r="C11777" s="151" t="s">
        <v>539</v>
      </c>
      <c r="D11777" s="151" t="s">
        <v>26</v>
      </c>
      <c r="E11777" s="208" t="s">
        <v>35</v>
      </c>
      <c r="F11777" t="s">
        <v>3</v>
      </c>
      <c r="G11777" s="18">
        <v>28</v>
      </c>
      <c r="H11777" t="s">
        <v>24</v>
      </c>
      <c r="I11777" t="s">
        <v>16</v>
      </c>
    </row>
    <row r="11778" spans="1:9" x14ac:dyDescent="0.25">
      <c r="A11778" s="151">
        <v>1833</v>
      </c>
      <c r="B11778" s="151">
        <f>A11778+1</f>
        <v>1834</v>
      </c>
      <c r="C11778" s="151" t="s">
        <v>539</v>
      </c>
      <c r="D11778" s="151" t="s">
        <v>26</v>
      </c>
      <c r="E11778" s="208" t="s">
        <v>40</v>
      </c>
      <c r="F11778" t="s">
        <v>3</v>
      </c>
      <c r="G11778" s="18">
        <v>4200</v>
      </c>
      <c r="H11778" t="s">
        <v>24</v>
      </c>
      <c r="I11778" t="s">
        <v>16</v>
      </c>
    </row>
    <row r="11779" spans="1:9" x14ac:dyDescent="0.25">
      <c r="A11779" s="151">
        <v>1833</v>
      </c>
      <c r="B11779" s="151">
        <f>A11779+1</f>
        <v>1834</v>
      </c>
      <c r="C11779" s="151" t="s">
        <v>539</v>
      </c>
      <c r="D11779" s="151" t="s">
        <v>26</v>
      </c>
      <c r="E11779" s="208" t="s">
        <v>96</v>
      </c>
      <c r="F11779" t="s">
        <v>3</v>
      </c>
      <c r="G11779" s="18">
        <v>71</v>
      </c>
      <c r="H11779" t="s">
        <v>16</v>
      </c>
      <c r="I11779" t="s">
        <v>22</v>
      </c>
    </row>
    <row r="11780" spans="1:9" x14ac:dyDescent="0.25">
      <c r="A11780" s="151">
        <v>1833</v>
      </c>
      <c r="B11780" s="151">
        <f>A11780+1</f>
        <v>1834</v>
      </c>
      <c r="C11780" s="151" t="s">
        <v>539</v>
      </c>
      <c r="D11780" s="151" t="s">
        <v>26</v>
      </c>
      <c r="E11780" s="208" t="s">
        <v>98</v>
      </c>
      <c r="F11780" t="s">
        <v>3</v>
      </c>
      <c r="G11780" s="18">
        <v>34761</v>
      </c>
      <c r="H11780" t="s">
        <v>16</v>
      </c>
      <c r="I11780" t="s">
        <v>22</v>
      </c>
    </row>
    <row r="11781" spans="1:9" x14ac:dyDescent="0.25">
      <c r="A11781" s="151">
        <v>1833</v>
      </c>
      <c r="B11781" s="151">
        <f>A11781+1</f>
        <v>1834</v>
      </c>
      <c r="C11781" s="151" t="s">
        <v>539</v>
      </c>
      <c r="D11781" s="151" t="s">
        <v>26</v>
      </c>
      <c r="E11781" s="208" t="s">
        <v>442</v>
      </c>
      <c r="F11781" t="s">
        <v>3</v>
      </c>
      <c r="G11781" s="18">
        <v>610</v>
      </c>
      <c r="H11781" t="s">
        <v>16</v>
      </c>
      <c r="I11781" t="s">
        <v>22</v>
      </c>
    </row>
    <row r="11782" spans="1:9" x14ac:dyDescent="0.25">
      <c r="A11782" s="151">
        <v>1833</v>
      </c>
      <c r="B11782" s="151">
        <f>A11782+1</f>
        <v>1834</v>
      </c>
      <c r="C11782" s="151" t="s">
        <v>539</v>
      </c>
      <c r="D11782" s="151" t="s">
        <v>26</v>
      </c>
      <c r="E11782" s="208" t="s">
        <v>105</v>
      </c>
      <c r="F11782" t="s">
        <v>3</v>
      </c>
      <c r="G11782" s="18">
        <v>217594</v>
      </c>
      <c r="H11782" t="s">
        <v>16</v>
      </c>
      <c r="I11782" t="s">
        <v>22</v>
      </c>
    </row>
    <row r="11783" spans="1:9" x14ac:dyDescent="0.25">
      <c r="A11783" s="151">
        <v>1833</v>
      </c>
      <c r="B11783" s="151">
        <f>A11783+1</f>
        <v>1834</v>
      </c>
      <c r="C11783" s="151" t="s">
        <v>539</v>
      </c>
      <c r="D11783" s="151" t="s">
        <v>26</v>
      </c>
      <c r="E11783" s="208" t="s">
        <v>106</v>
      </c>
      <c r="F11783" t="s">
        <v>3</v>
      </c>
      <c r="G11783" s="18">
        <v>42000</v>
      </c>
      <c r="H11783" t="s">
        <v>16</v>
      </c>
      <c r="I11783" t="s">
        <v>22</v>
      </c>
    </row>
    <row r="11784" spans="1:9" x14ac:dyDescent="0.25">
      <c r="A11784" s="151">
        <v>1833</v>
      </c>
      <c r="B11784" s="151">
        <f>A11784+1</f>
        <v>1834</v>
      </c>
      <c r="C11784" s="151" t="s">
        <v>539</v>
      </c>
      <c r="D11784" s="151" t="s">
        <v>26</v>
      </c>
      <c r="E11784" s="208" t="s">
        <v>101</v>
      </c>
      <c r="F11784" t="s">
        <v>3</v>
      </c>
      <c r="G11784" s="18">
        <v>2975213</v>
      </c>
      <c r="H11784" t="s">
        <v>16</v>
      </c>
      <c r="I11784" t="s">
        <v>22</v>
      </c>
    </row>
    <row r="11785" spans="1:9" x14ac:dyDescent="0.25">
      <c r="A11785" s="151">
        <v>1833</v>
      </c>
      <c r="B11785" s="151">
        <f>A11785+1</f>
        <v>1834</v>
      </c>
      <c r="C11785" s="151" t="s">
        <v>539</v>
      </c>
      <c r="D11785" s="151" t="s">
        <v>26</v>
      </c>
      <c r="E11785" s="208" t="s">
        <v>75</v>
      </c>
      <c r="F11785" t="s">
        <v>3</v>
      </c>
      <c r="G11785" s="18">
        <v>1581049</v>
      </c>
      <c r="H11785" t="s">
        <v>16</v>
      </c>
      <c r="I11785" t="s">
        <v>22</v>
      </c>
    </row>
    <row r="11786" spans="1:9" x14ac:dyDescent="0.25">
      <c r="A11786" s="151">
        <v>1833</v>
      </c>
      <c r="B11786" s="151">
        <f>A11786+1</f>
        <v>1834</v>
      </c>
      <c r="C11786" s="151" t="s">
        <v>539</v>
      </c>
      <c r="D11786" s="151" t="s">
        <v>26</v>
      </c>
      <c r="E11786" s="208" t="s">
        <v>66</v>
      </c>
      <c r="F11786" t="s">
        <v>3</v>
      </c>
      <c r="G11786" s="18">
        <v>43100</v>
      </c>
      <c r="H11786" t="s">
        <v>16</v>
      </c>
      <c r="I11786" t="s">
        <v>22</v>
      </c>
    </row>
    <row r="11787" spans="1:9" x14ac:dyDescent="0.25">
      <c r="A11787" s="151">
        <v>1833</v>
      </c>
      <c r="B11787" s="151">
        <f>A11787+1</f>
        <v>1834</v>
      </c>
      <c r="C11787" s="151" t="s">
        <v>539</v>
      </c>
      <c r="D11787" s="151" t="s">
        <v>26</v>
      </c>
      <c r="E11787" s="208" t="s">
        <v>28</v>
      </c>
      <c r="F11787" t="s">
        <v>3</v>
      </c>
      <c r="G11787" s="18">
        <v>294</v>
      </c>
      <c r="H11787" t="s">
        <v>16</v>
      </c>
      <c r="I11787" t="s">
        <v>22</v>
      </c>
    </row>
    <row r="11788" spans="1:9" x14ac:dyDescent="0.25">
      <c r="A11788" s="151">
        <v>1833</v>
      </c>
      <c r="B11788" s="151">
        <f>A11788+1</f>
        <v>1834</v>
      </c>
      <c r="C11788" s="151" t="s">
        <v>539</v>
      </c>
      <c r="D11788" s="151" t="s">
        <v>26</v>
      </c>
      <c r="E11788" s="208" t="s">
        <v>89</v>
      </c>
      <c r="F11788" t="s">
        <v>3</v>
      </c>
      <c r="G11788" s="18">
        <v>582</v>
      </c>
      <c r="H11788" t="s">
        <v>16</v>
      </c>
      <c r="I11788" t="s">
        <v>22</v>
      </c>
    </row>
    <row r="11789" spans="1:9" x14ac:dyDescent="0.25">
      <c r="A11789" s="151">
        <v>1833</v>
      </c>
      <c r="B11789" s="151">
        <f>A11789+1</f>
        <v>1834</v>
      </c>
      <c r="C11789" s="151" t="s">
        <v>539</v>
      </c>
      <c r="D11789" s="151" t="s">
        <v>26</v>
      </c>
      <c r="E11789" s="208" t="s">
        <v>450</v>
      </c>
      <c r="F11789" t="s">
        <v>3</v>
      </c>
      <c r="G11789" s="18">
        <v>129</v>
      </c>
      <c r="H11789" t="s">
        <v>16</v>
      </c>
      <c r="I11789" t="s">
        <v>22</v>
      </c>
    </row>
    <row r="11790" spans="1:9" x14ac:dyDescent="0.25">
      <c r="A11790" s="151">
        <v>1833</v>
      </c>
      <c r="B11790" s="151">
        <f>A11790+1</f>
        <v>1834</v>
      </c>
      <c r="C11790" s="151" t="s">
        <v>539</v>
      </c>
      <c r="D11790" s="151" t="s">
        <v>26</v>
      </c>
      <c r="E11790" s="208" t="s">
        <v>48</v>
      </c>
      <c r="F11790" t="s">
        <v>3</v>
      </c>
      <c r="G11790" s="18">
        <v>75</v>
      </c>
      <c r="H11790" t="s">
        <v>16</v>
      </c>
      <c r="I11790" t="s">
        <v>22</v>
      </c>
    </row>
    <row r="11791" spans="1:9" x14ac:dyDescent="0.25">
      <c r="A11791" s="151">
        <v>1833</v>
      </c>
      <c r="B11791" s="151">
        <f>A11791+1</f>
        <v>1834</v>
      </c>
      <c r="C11791" s="151" t="s">
        <v>539</v>
      </c>
      <c r="D11791" s="151" t="s">
        <v>26</v>
      </c>
      <c r="E11791" s="208" t="s">
        <v>102</v>
      </c>
      <c r="F11791" t="s">
        <v>3</v>
      </c>
      <c r="G11791" s="18">
        <v>0</v>
      </c>
      <c r="H11791" t="s">
        <v>16</v>
      </c>
      <c r="I11791" t="s">
        <v>22</v>
      </c>
    </row>
    <row r="11792" spans="1:9" x14ac:dyDescent="0.25">
      <c r="A11792" s="151">
        <v>1833</v>
      </c>
      <c r="B11792" s="151">
        <f>A11792+1</f>
        <v>1834</v>
      </c>
      <c r="C11792" s="151" t="s">
        <v>539</v>
      </c>
      <c r="D11792" s="151" t="s">
        <v>26</v>
      </c>
      <c r="E11792" s="208" t="s">
        <v>330</v>
      </c>
      <c r="F11792" t="s">
        <v>3</v>
      </c>
      <c r="G11792" s="18">
        <v>1</v>
      </c>
      <c r="H11792" t="s">
        <v>16</v>
      </c>
      <c r="I11792" t="s">
        <v>22</v>
      </c>
    </row>
    <row r="11793" spans="1:9" x14ac:dyDescent="0.25">
      <c r="A11793" s="151">
        <v>1833</v>
      </c>
      <c r="B11793" s="151">
        <f>A11793+1</f>
        <v>1834</v>
      </c>
      <c r="C11793" s="151" t="s">
        <v>539</v>
      </c>
      <c r="D11793" s="151" t="s">
        <v>26</v>
      </c>
      <c r="E11793" s="208" t="s">
        <v>331</v>
      </c>
      <c r="F11793" t="s">
        <v>3</v>
      </c>
      <c r="G11793" s="18">
        <v>0</v>
      </c>
      <c r="H11793" t="s">
        <v>16</v>
      </c>
      <c r="I11793" t="s">
        <v>22</v>
      </c>
    </row>
    <row r="11794" spans="1:9" x14ac:dyDescent="0.25">
      <c r="A11794" s="151">
        <v>1833</v>
      </c>
      <c r="B11794" s="151">
        <f>A11794+1</f>
        <v>1834</v>
      </c>
      <c r="C11794" s="151" t="s">
        <v>539</v>
      </c>
      <c r="D11794" s="151" t="s">
        <v>26</v>
      </c>
      <c r="E11794" s="208" t="s">
        <v>332</v>
      </c>
      <c r="F11794" t="s">
        <v>3</v>
      </c>
      <c r="G11794" s="18">
        <v>0</v>
      </c>
      <c r="H11794" t="s">
        <v>16</v>
      </c>
      <c r="I11794" t="s">
        <v>22</v>
      </c>
    </row>
    <row r="11795" spans="1:9" x14ac:dyDescent="0.25">
      <c r="A11795" s="151">
        <v>1833</v>
      </c>
      <c r="B11795" s="151">
        <f>A11795+1</f>
        <v>1834</v>
      </c>
      <c r="C11795" s="151" t="s">
        <v>539</v>
      </c>
      <c r="D11795" s="151" t="s">
        <v>26</v>
      </c>
      <c r="E11795" s="208" t="s">
        <v>333</v>
      </c>
      <c r="F11795" t="s">
        <v>3</v>
      </c>
      <c r="G11795" s="18">
        <v>16</v>
      </c>
      <c r="H11795" t="s">
        <v>16</v>
      </c>
      <c r="I11795" t="s">
        <v>22</v>
      </c>
    </row>
    <row r="11796" spans="1:9" x14ac:dyDescent="0.25">
      <c r="A11796" s="151">
        <v>1833</v>
      </c>
      <c r="B11796" s="151">
        <f>A11796+1</f>
        <v>1834</v>
      </c>
      <c r="C11796" s="151" t="s">
        <v>539</v>
      </c>
      <c r="D11796" s="151" t="s">
        <v>27</v>
      </c>
      <c r="E11796" s="208" t="s">
        <v>155</v>
      </c>
      <c r="F11796" t="s">
        <v>2</v>
      </c>
      <c r="G11796" s="18">
        <v>0</v>
      </c>
      <c r="H11796" t="s">
        <v>16</v>
      </c>
      <c r="I11796" t="s">
        <v>22</v>
      </c>
    </row>
    <row r="11797" spans="1:9" x14ac:dyDescent="0.25">
      <c r="A11797" s="151">
        <v>1833</v>
      </c>
      <c r="B11797" s="151">
        <f>A11797+1</f>
        <v>1834</v>
      </c>
      <c r="C11797" s="151" t="s">
        <v>539</v>
      </c>
      <c r="D11797" s="151" t="s">
        <v>27</v>
      </c>
      <c r="E11797" s="208" t="s">
        <v>156</v>
      </c>
      <c r="F11797" t="s">
        <v>2</v>
      </c>
      <c r="G11797" s="18">
        <v>0</v>
      </c>
      <c r="H11797" t="s">
        <v>16</v>
      </c>
      <c r="I11797" t="s">
        <v>22</v>
      </c>
    </row>
    <row r="11798" spans="1:9" x14ac:dyDescent="0.25">
      <c r="A11798" s="151">
        <v>1833</v>
      </c>
      <c r="B11798" s="151">
        <f>A11798+1</f>
        <v>1834</v>
      </c>
      <c r="C11798" s="151" t="s">
        <v>539</v>
      </c>
      <c r="D11798" s="151" t="s">
        <v>27</v>
      </c>
      <c r="E11798" s="208" t="s">
        <v>154</v>
      </c>
      <c r="F11798" t="s">
        <v>2</v>
      </c>
      <c r="G11798" s="18">
        <v>0</v>
      </c>
      <c r="H11798" t="s">
        <v>16</v>
      </c>
      <c r="I11798" t="s">
        <v>22</v>
      </c>
    </row>
    <row r="11799" spans="1:9" x14ac:dyDescent="0.25">
      <c r="A11799" s="151">
        <v>1833</v>
      </c>
      <c r="B11799" s="151">
        <f>A11799+1</f>
        <v>1834</v>
      </c>
      <c r="C11799" s="151" t="s">
        <v>539</v>
      </c>
      <c r="D11799" s="151" t="s">
        <v>27</v>
      </c>
      <c r="E11799" s="208" t="s">
        <v>150</v>
      </c>
      <c r="F11799" t="s">
        <v>2</v>
      </c>
      <c r="G11799" s="18">
        <v>74</v>
      </c>
      <c r="H11799" t="s">
        <v>16</v>
      </c>
      <c r="I11799" t="s">
        <v>22</v>
      </c>
    </row>
    <row r="11800" spans="1:9" x14ac:dyDescent="0.25">
      <c r="A11800" s="151">
        <v>1833</v>
      </c>
      <c r="B11800" s="151">
        <f>A11800+1</f>
        <v>1834</v>
      </c>
      <c r="C11800" s="151" t="s">
        <v>539</v>
      </c>
      <c r="D11800" s="151" t="s">
        <v>27</v>
      </c>
      <c r="E11800" s="208" t="s">
        <v>148</v>
      </c>
      <c r="F11800" t="s">
        <v>2</v>
      </c>
      <c r="G11800" s="18">
        <v>0</v>
      </c>
      <c r="H11800" t="s">
        <v>16</v>
      </c>
      <c r="I11800" t="s">
        <v>22</v>
      </c>
    </row>
    <row r="11801" spans="1:9" x14ac:dyDescent="0.25">
      <c r="A11801" s="151">
        <v>1833</v>
      </c>
      <c r="B11801" s="151">
        <f>A11801+1</f>
        <v>1834</v>
      </c>
      <c r="C11801" s="151" t="s">
        <v>539</v>
      </c>
      <c r="D11801" s="151" t="s">
        <v>27</v>
      </c>
      <c r="E11801" s="208" t="s">
        <v>147</v>
      </c>
      <c r="F11801" t="s">
        <v>2</v>
      </c>
      <c r="G11801" s="18">
        <v>0</v>
      </c>
      <c r="H11801" t="s">
        <v>16</v>
      </c>
      <c r="I11801" t="s">
        <v>22</v>
      </c>
    </row>
    <row r="11802" spans="1:9" x14ac:dyDescent="0.25">
      <c r="A11802" s="151">
        <v>1833</v>
      </c>
      <c r="B11802" s="151">
        <f>A11802+1</f>
        <v>1834</v>
      </c>
      <c r="C11802" s="151" t="s">
        <v>539</v>
      </c>
      <c r="D11802" s="151" t="s">
        <v>27</v>
      </c>
      <c r="E11802" s="208" t="s">
        <v>125</v>
      </c>
      <c r="F11802" t="s">
        <v>2</v>
      </c>
      <c r="G11802" s="18">
        <v>0</v>
      </c>
      <c r="H11802" t="s">
        <v>16</v>
      </c>
      <c r="I11802" t="s">
        <v>22</v>
      </c>
    </row>
    <row r="11803" spans="1:9" x14ac:dyDescent="0.25">
      <c r="A11803" s="151">
        <v>1833</v>
      </c>
      <c r="B11803" s="151">
        <f>A11803+1</f>
        <v>1834</v>
      </c>
      <c r="C11803" s="151" t="s">
        <v>539</v>
      </c>
      <c r="D11803" s="151" t="s">
        <v>27</v>
      </c>
      <c r="E11803" s="208" t="s">
        <v>122</v>
      </c>
      <c r="F11803" t="s">
        <v>2</v>
      </c>
      <c r="G11803" s="18">
        <v>0</v>
      </c>
      <c r="H11803" t="s">
        <v>22</v>
      </c>
      <c r="I11803" t="s">
        <v>16</v>
      </c>
    </row>
    <row r="11804" spans="1:9" x14ac:dyDescent="0.25">
      <c r="A11804" s="151">
        <v>1833</v>
      </c>
      <c r="B11804" s="151">
        <f>A11804+1</f>
        <v>1834</v>
      </c>
      <c r="C11804" s="151" t="s">
        <v>539</v>
      </c>
      <c r="D11804" s="151" t="s">
        <v>27</v>
      </c>
      <c r="E11804" s="208" t="s">
        <v>121</v>
      </c>
      <c r="F11804" t="s">
        <v>2</v>
      </c>
      <c r="G11804" s="18">
        <v>0</v>
      </c>
      <c r="H11804" t="s">
        <v>22</v>
      </c>
      <c r="I11804" t="s">
        <v>16</v>
      </c>
    </row>
    <row r="11805" spans="1:9" x14ac:dyDescent="0.25">
      <c r="A11805" s="151">
        <v>1833</v>
      </c>
      <c r="B11805" s="151">
        <f>A11805+1</f>
        <v>1834</v>
      </c>
      <c r="C11805" s="151" t="s">
        <v>539</v>
      </c>
      <c r="D11805" s="151" t="s">
        <v>27</v>
      </c>
      <c r="E11805" s="208" t="s">
        <v>139</v>
      </c>
      <c r="F11805" t="s">
        <v>2</v>
      </c>
      <c r="G11805" s="18">
        <v>0</v>
      </c>
      <c r="H11805" t="s">
        <v>22</v>
      </c>
      <c r="I11805" t="s">
        <v>16</v>
      </c>
    </row>
    <row r="11806" spans="1:9" x14ac:dyDescent="0.25">
      <c r="A11806" s="151">
        <v>1833</v>
      </c>
      <c r="B11806" s="151">
        <f>A11806+1</f>
        <v>1834</v>
      </c>
      <c r="C11806" s="151" t="s">
        <v>539</v>
      </c>
      <c r="D11806" s="151" t="s">
        <v>27</v>
      </c>
      <c r="E11806" s="208" t="s">
        <v>143</v>
      </c>
      <c r="F11806" t="s">
        <v>2</v>
      </c>
      <c r="G11806" s="18">
        <v>0</v>
      </c>
      <c r="H11806" t="s">
        <v>22</v>
      </c>
      <c r="I11806" t="s">
        <v>16</v>
      </c>
    </row>
    <row r="11807" spans="1:9" x14ac:dyDescent="0.25">
      <c r="A11807" s="151">
        <v>1833</v>
      </c>
      <c r="B11807" s="151">
        <f>A11807+1</f>
        <v>1834</v>
      </c>
      <c r="C11807" s="151" t="s">
        <v>539</v>
      </c>
      <c r="D11807" s="151" t="s">
        <v>27</v>
      </c>
      <c r="E11807" s="208" t="s">
        <v>142</v>
      </c>
      <c r="F11807" t="s">
        <v>2</v>
      </c>
      <c r="G11807" s="18">
        <v>105</v>
      </c>
      <c r="H11807" t="s">
        <v>22</v>
      </c>
      <c r="I11807" t="s">
        <v>16</v>
      </c>
    </row>
    <row r="11808" spans="1:9" x14ac:dyDescent="0.25">
      <c r="A11808" s="151">
        <v>1833</v>
      </c>
      <c r="B11808" s="151">
        <f>A11808+1</f>
        <v>1834</v>
      </c>
      <c r="C11808" s="151" t="s">
        <v>539</v>
      </c>
      <c r="D11808" s="151" t="s">
        <v>27</v>
      </c>
      <c r="E11808" s="208" t="s">
        <v>131</v>
      </c>
      <c r="F11808" t="s">
        <v>2</v>
      </c>
      <c r="G11808" s="18">
        <v>0</v>
      </c>
      <c r="H11808" t="s">
        <v>22</v>
      </c>
      <c r="I11808" t="s">
        <v>16</v>
      </c>
    </row>
    <row r="11809" spans="1:9" x14ac:dyDescent="0.25">
      <c r="A11809" s="151">
        <v>1833</v>
      </c>
      <c r="B11809" s="151">
        <f>A11809+1</f>
        <v>1834</v>
      </c>
      <c r="C11809" s="151" t="s">
        <v>539</v>
      </c>
      <c r="D11809" s="151" t="s">
        <v>27</v>
      </c>
      <c r="E11809" s="208" t="s">
        <v>130</v>
      </c>
      <c r="F11809" t="s">
        <v>2</v>
      </c>
      <c r="G11809" s="18">
        <v>0</v>
      </c>
      <c r="H11809" t="s">
        <v>22</v>
      </c>
      <c r="I11809" t="s">
        <v>16</v>
      </c>
    </row>
    <row r="11810" spans="1:9" x14ac:dyDescent="0.25">
      <c r="A11810" s="151">
        <v>1833</v>
      </c>
      <c r="B11810" s="151">
        <f>A11810+1</f>
        <v>1834</v>
      </c>
      <c r="C11810" s="151" t="s">
        <v>539</v>
      </c>
      <c r="D11810" s="151" t="s">
        <v>27</v>
      </c>
      <c r="E11810" s="208" t="s">
        <v>127</v>
      </c>
      <c r="F11810" t="s">
        <v>2</v>
      </c>
      <c r="G11810" s="18">
        <v>0</v>
      </c>
      <c r="H11810" t="s">
        <v>22</v>
      </c>
      <c r="I11810" t="s">
        <v>16</v>
      </c>
    </row>
    <row r="11811" spans="1:9" x14ac:dyDescent="0.25">
      <c r="A11811" s="151">
        <v>1833</v>
      </c>
      <c r="B11811" s="151">
        <f>A11811+1</f>
        <v>1834</v>
      </c>
      <c r="C11811" s="151" t="s">
        <v>539</v>
      </c>
      <c r="D11811" s="151" t="s">
        <v>27</v>
      </c>
      <c r="E11811" s="208" t="s">
        <v>133</v>
      </c>
      <c r="F11811" t="s">
        <v>2</v>
      </c>
      <c r="G11811" s="18">
        <v>0</v>
      </c>
      <c r="H11811" t="s">
        <v>22</v>
      </c>
      <c r="I11811" t="s">
        <v>16</v>
      </c>
    </row>
    <row r="11812" spans="1:9" x14ac:dyDescent="0.25">
      <c r="A11812" s="151">
        <v>1833</v>
      </c>
      <c r="B11812" s="151">
        <f>A11812+1</f>
        <v>1834</v>
      </c>
      <c r="C11812" s="151" t="s">
        <v>539</v>
      </c>
      <c r="D11812" s="151" t="s">
        <v>27</v>
      </c>
      <c r="E11812" s="208" t="s">
        <v>74</v>
      </c>
      <c r="F11812" t="s">
        <v>2</v>
      </c>
      <c r="G11812" s="18">
        <v>0</v>
      </c>
      <c r="H11812" t="s">
        <v>16</v>
      </c>
      <c r="I11812" t="s">
        <v>25</v>
      </c>
    </row>
    <row r="11813" spans="1:9" x14ac:dyDescent="0.25">
      <c r="A11813" s="151">
        <v>1833</v>
      </c>
      <c r="B11813" s="151">
        <f>A11813+1</f>
        <v>1834</v>
      </c>
      <c r="C11813" s="151" t="s">
        <v>539</v>
      </c>
      <c r="D11813" s="151" t="s">
        <v>27</v>
      </c>
      <c r="E11813" s="208" t="s">
        <v>129</v>
      </c>
      <c r="F11813" t="s">
        <v>2</v>
      </c>
      <c r="G11813" s="18">
        <v>0</v>
      </c>
      <c r="H11813" t="s">
        <v>16</v>
      </c>
      <c r="I11813" t="s">
        <v>25</v>
      </c>
    </row>
    <row r="11814" spans="1:9" x14ac:dyDescent="0.25">
      <c r="A11814" s="151">
        <v>1833</v>
      </c>
      <c r="B11814" s="151">
        <f>A11814+1</f>
        <v>1834</v>
      </c>
      <c r="C11814" s="151" t="s">
        <v>539</v>
      </c>
      <c r="D11814" s="151" t="s">
        <v>27</v>
      </c>
      <c r="E11814" s="208" t="s">
        <v>141</v>
      </c>
      <c r="F11814" t="s">
        <v>2</v>
      </c>
      <c r="G11814" s="18">
        <v>0</v>
      </c>
      <c r="H11814" t="s">
        <v>16</v>
      </c>
      <c r="I11814" t="s">
        <v>25</v>
      </c>
    </row>
    <row r="11815" spans="1:9" x14ac:dyDescent="0.25">
      <c r="A11815" s="151">
        <v>1833</v>
      </c>
      <c r="B11815" s="151">
        <f>A11815+1</f>
        <v>1834</v>
      </c>
      <c r="C11815" s="151" t="s">
        <v>539</v>
      </c>
      <c r="D11815" s="151" t="s">
        <v>27</v>
      </c>
      <c r="E11815" s="208" t="s">
        <v>135</v>
      </c>
      <c r="F11815" t="s">
        <v>2</v>
      </c>
      <c r="G11815" s="18">
        <v>0</v>
      </c>
      <c r="H11815" t="s">
        <v>16</v>
      </c>
      <c r="I11815" t="s">
        <v>25</v>
      </c>
    </row>
    <row r="11816" spans="1:9" x14ac:dyDescent="0.25">
      <c r="A11816" s="151">
        <v>1833</v>
      </c>
      <c r="B11816" s="151">
        <f>A11816+1</f>
        <v>1834</v>
      </c>
      <c r="C11816" s="151" t="s">
        <v>539</v>
      </c>
      <c r="D11816" s="151" t="s">
        <v>27</v>
      </c>
      <c r="E11816" s="208" t="s">
        <v>128</v>
      </c>
      <c r="F11816" t="s">
        <v>2</v>
      </c>
      <c r="G11816" s="18">
        <v>0</v>
      </c>
      <c r="H11816" t="s">
        <v>16</v>
      </c>
      <c r="I11816" t="s">
        <v>25</v>
      </c>
    </row>
    <row r="11817" spans="1:9" x14ac:dyDescent="0.25">
      <c r="A11817" s="151">
        <v>1833</v>
      </c>
      <c r="B11817" s="151">
        <f>A11817+1</f>
        <v>1834</v>
      </c>
      <c r="C11817" s="151" t="s">
        <v>539</v>
      </c>
      <c r="D11817" s="151" t="s">
        <v>27</v>
      </c>
      <c r="E11817" s="208" t="s">
        <v>78</v>
      </c>
      <c r="F11817" t="s">
        <v>2</v>
      </c>
      <c r="G11817" s="18">
        <v>0</v>
      </c>
      <c r="H11817" t="s">
        <v>16</v>
      </c>
      <c r="I11817" t="s">
        <v>25</v>
      </c>
    </row>
    <row r="11818" spans="1:9" x14ac:dyDescent="0.25">
      <c r="A11818" s="151">
        <v>1833</v>
      </c>
      <c r="B11818" s="151">
        <f>A11818+1</f>
        <v>1834</v>
      </c>
      <c r="C11818" s="151" t="s">
        <v>539</v>
      </c>
      <c r="D11818" s="151" t="s">
        <v>27</v>
      </c>
      <c r="E11818" s="208" t="s">
        <v>119</v>
      </c>
      <c r="F11818" t="s">
        <v>2</v>
      </c>
      <c r="G11818" s="18">
        <v>0</v>
      </c>
      <c r="H11818" t="s">
        <v>16</v>
      </c>
      <c r="I11818" t="s">
        <v>25</v>
      </c>
    </row>
    <row r="11819" spans="1:9" x14ac:dyDescent="0.25">
      <c r="A11819" s="151">
        <v>1833</v>
      </c>
      <c r="B11819" s="151">
        <f>A11819+1</f>
        <v>1834</v>
      </c>
      <c r="C11819" s="151" t="s">
        <v>539</v>
      </c>
      <c r="D11819" s="151" t="s">
        <v>27</v>
      </c>
      <c r="E11819" s="208" t="s">
        <v>134</v>
      </c>
      <c r="F11819" t="s">
        <v>2</v>
      </c>
      <c r="G11819" s="18">
        <v>0</v>
      </c>
      <c r="H11819" t="s">
        <v>16</v>
      </c>
      <c r="I11819" t="s">
        <v>25</v>
      </c>
    </row>
    <row r="11820" spans="1:9" x14ac:dyDescent="0.25">
      <c r="A11820" s="151">
        <v>1833</v>
      </c>
      <c r="B11820" s="151">
        <f>A11820+1</f>
        <v>1834</v>
      </c>
      <c r="C11820" s="151" t="s">
        <v>539</v>
      </c>
      <c r="D11820" s="151" t="s">
        <v>26</v>
      </c>
      <c r="E11820" s="208" t="s">
        <v>34</v>
      </c>
      <c r="F11820" t="s">
        <v>2</v>
      </c>
      <c r="G11820" s="18">
        <v>0</v>
      </c>
      <c r="H11820" t="s">
        <v>16</v>
      </c>
      <c r="I11820" t="s">
        <v>25</v>
      </c>
    </row>
    <row r="11821" spans="1:9" x14ac:dyDescent="0.25">
      <c r="A11821" s="151">
        <v>1833</v>
      </c>
      <c r="B11821" s="151">
        <f>A11821+1</f>
        <v>1834</v>
      </c>
      <c r="C11821" s="151" t="s">
        <v>539</v>
      </c>
      <c r="D11821" s="151" t="s">
        <v>26</v>
      </c>
      <c r="E11821" s="208" t="s">
        <v>63</v>
      </c>
      <c r="F11821" t="s">
        <v>2</v>
      </c>
      <c r="G11821" s="18">
        <v>0</v>
      </c>
      <c r="H11821" t="s">
        <v>16</v>
      </c>
      <c r="I11821" t="s">
        <v>25</v>
      </c>
    </row>
    <row r="11822" spans="1:9" x14ac:dyDescent="0.25">
      <c r="A11822" s="151">
        <v>1833</v>
      </c>
      <c r="B11822" s="151">
        <f>A11822+1</f>
        <v>1834</v>
      </c>
      <c r="C11822" s="151" t="s">
        <v>539</v>
      </c>
      <c r="D11822" s="151" t="s">
        <v>26</v>
      </c>
      <c r="E11822" s="208" t="s">
        <v>62</v>
      </c>
      <c r="F11822" t="s">
        <v>2</v>
      </c>
      <c r="G11822" s="18">
        <v>0</v>
      </c>
      <c r="H11822" t="s">
        <v>16</v>
      </c>
      <c r="I11822" t="s">
        <v>25</v>
      </c>
    </row>
    <row r="11823" spans="1:9" x14ac:dyDescent="0.25">
      <c r="A11823" s="151">
        <v>1833</v>
      </c>
      <c r="B11823" s="151">
        <f>A11823+1</f>
        <v>1834</v>
      </c>
      <c r="C11823" s="151" t="s">
        <v>539</v>
      </c>
      <c r="D11823" s="151" t="s">
        <v>26</v>
      </c>
      <c r="E11823" s="208" t="s">
        <v>55</v>
      </c>
      <c r="F11823" t="s">
        <v>2</v>
      </c>
      <c r="G11823" s="18">
        <v>0</v>
      </c>
      <c r="H11823" t="s">
        <v>16</v>
      </c>
      <c r="I11823" t="s">
        <v>25</v>
      </c>
    </row>
    <row r="11824" spans="1:9" x14ac:dyDescent="0.25">
      <c r="A11824" s="151">
        <v>1833</v>
      </c>
      <c r="B11824" s="151">
        <f>A11824+1</f>
        <v>1834</v>
      </c>
      <c r="C11824" s="151" t="s">
        <v>539</v>
      </c>
      <c r="D11824" s="151" t="s">
        <v>26</v>
      </c>
      <c r="E11824" s="208" t="s">
        <v>36</v>
      </c>
      <c r="F11824" t="s">
        <v>2</v>
      </c>
      <c r="G11824" s="18">
        <v>0</v>
      </c>
      <c r="H11824" t="s">
        <v>16</v>
      </c>
      <c r="I11824" t="s">
        <v>25</v>
      </c>
    </row>
    <row r="11825" spans="1:9" x14ac:dyDescent="0.25">
      <c r="A11825" s="151">
        <v>1833</v>
      </c>
      <c r="B11825" s="151">
        <f>A11825+1</f>
        <v>1834</v>
      </c>
      <c r="C11825" s="151" t="s">
        <v>539</v>
      </c>
      <c r="D11825" s="151" t="s">
        <v>26</v>
      </c>
      <c r="E11825" s="208" t="s">
        <v>35</v>
      </c>
      <c r="F11825" t="s">
        <v>2</v>
      </c>
      <c r="G11825" s="18">
        <v>0</v>
      </c>
      <c r="H11825" t="s">
        <v>16</v>
      </c>
      <c r="I11825" t="s">
        <v>25</v>
      </c>
    </row>
    <row r="11826" spans="1:9" x14ac:dyDescent="0.25">
      <c r="A11826" s="151">
        <v>1833</v>
      </c>
      <c r="B11826" s="151">
        <f>A11826+1</f>
        <v>1834</v>
      </c>
      <c r="C11826" s="151" t="s">
        <v>539</v>
      </c>
      <c r="D11826" s="151" t="s">
        <v>26</v>
      </c>
      <c r="E11826" s="208" t="s">
        <v>40</v>
      </c>
      <c r="F11826" t="s">
        <v>2</v>
      </c>
      <c r="G11826" s="18">
        <v>0</v>
      </c>
      <c r="H11826" t="s">
        <v>16</v>
      </c>
      <c r="I11826" t="s">
        <v>25</v>
      </c>
    </row>
    <row r="11827" spans="1:9" x14ac:dyDescent="0.25">
      <c r="A11827" s="151">
        <v>1833</v>
      </c>
      <c r="B11827" s="151">
        <f>A11827+1</f>
        <v>1834</v>
      </c>
      <c r="C11827" s="151" t="s">
        <v>539</v>
      </c>
      <c r="D11827" s="151" t="s">
        <v>26</v>
      </c>
      <c r="E11827" s="208" t="s">
        <v>96</v>
      </c>
      <c r="F11827" t="s">
        <v>2</v>
      </c>
      <c r="G11827" s="18">
        <v>0</v>
      </c>
      <c r="H11827" t="s">
        <v>16</v>
      </c>
      <c r="I11827" t="s">
        <v>25</v>
      </c>
    </row>
    <row r="11828" spans="1:9" x14ac:dyDescent="0.25">
      <c r="A11828" s="151">
        <v>1833</v>
      </c>
      <c r="B11828" s="151">
        <f>A11828+1</f>
        <v>1834</v>
      </c>
      <c r="C11828" s="151" t="s">
        <v>539</v>
      </c>
      <c r="D11828" s="151" t="s">
        <v>26</v>
      </c>
      <c r="E11828" s="208" t="s">
        <v>98</v>
      </c>
      <c r="F11828" t="s">
        <v>2</v>
      </c>
      <c r="G11828" s="18">
        <v>0</v>
      </c>
      <c r="H11828" t="s">
        <v>16</v>
      </c>
      <c r="I11828" t="s">
        <v>25</v>
      </c>
    </row>
    <row r="11829" spans="1:9" x14ac:dyDescent="0.25">
      <c r="A11829" s="151">
        <v>1833</v>
      </c>
      <c r="B11829" s="151">
        <f>A11829+1</f>
        <v>1834</v>
      </c>
      <c r="C11829" s="151" t="s">
        <v>539</v>
      </c>
      <c r="D11829" s="151" t="s">
        <v>27</v>
      </c>
      <c r="E11829" s="208" t="s">
        <v>155</v>
      </c>
      <c r="F11829" t="s">
        <v>6</v>
      </c>
      <c r="G11829" s="18">
        <v>0</v>
      </c>
      <c r="H11829" t="s">
        <v>16</v>
      </c>
      <c r="I11829" t="s">
        <v>25</v>
      </c>
    </row>
    <row r="11830" spans="1:9" x14ac:dyDescent="0.25">
      <c r="A11830" s="151">
        <v>1833</v>
      </c>
      <c r="B11830" s="151">
        <f>A11830+1</f>
        <v>1834</v>
      </c>
      <c r="C11830" s="151" t="s">
        <v>539</v>
      </c>
      <c r="D11830" s="151" t="s">
        <v>27</v>
      </c>
      <c r="E11830" s="208" t="s">
        <v>156</v>
      </c>
      <c r="F11830" t="s">
        <v>6</v>
      </c>
      <c r="G11830" s="18">
        <v>0</v>
      </c>
      <c r="H11830" t="s">
        <v>16</v>
      </c>
      <c r="I11830" t="s">
        <v>25</v>
      </c>
    </row>
    <row r="11831" spans="1:9" x14ac:dyDescent="0.25">
      <c r="A11831" s="151">
        <v>1833</v>
      </c>
      <c r="B11831" s="151">
        <f>A11831+1</f>
        <v>1834</v>
      </c>
      <c r="C11831" s="151" t="s">
        <v>539</v>
      </c>
      <c r="D11831" s="151" t="s">
        <v>27</v>
      </c>
      <c r="E11831" s="208" t="s">
        <v>154</v>
      </c>
      <c r="F11831" t="s">
        <v>6</v>
      </c>
      <c r="G11831" s="18">
        <v>34</v>
      </c>
      <c r="H11831" t="s">
        <v>16</v>
      </c>
      <c r="I11831" t="s">
        <v>25</v>
      </c>
    </row>
    <row r="11832" spans="1:9" x14ac:dyDescent="0.25">
      <c r="A11832" s="151">
        <v>1833</v>
      </c>
      <c r="B11832" s="151">
        <f>A11832+1</f>
        <v>1834</v>
      </c>
      <c r="C11832" s="151" t="s">
        <v>539</v>
      </c>
      <c r="D11832" s="151" t="s">
        <v>27</v>
      </c>
      <c r="E11832" s="208" t="s">
        <v>150</v>
      </c>
      <c r="F11832" t="s">
        <v>6</v>
      </c>
      <c r="G11832" s="18">
        <v>128</v>
      </c>
      <c r="H11832" t="s">
        <v>16</v>
      </c>
      <c r="I11832" t="s">
        <v>25</v>
      </c>
    </row>
    <row r="11833" spans="1:9" x14ac:dyDescent="0.25">
      <c r="A11833" s="151">
        <v>1833</v>
      </c>
      <c r="B11833" s="151">
        <f>A11833+1</f>
        <v>1834</v>
      </c>
      <c r="C11833" s="151" t="s">
        <v>539</v>
      </c>
      <c r="D11833" s="151" t="s">
        <v>27</v>
      </c>
      <c r="E11833" s="208" t="s">
        <v>148</v>
      </c>
      <c r="F11833" t="s">
        <v>6</v>
      </c>
      <c r="G11833" s="18">
        <v>80</v>
      </c>
      <c r="H11833" t="s">
        <v>16</v>
      </c>
      <c r="I11833" t="s">
        <v>25</v>
      </c>
    </row>
    <row r="11834" spans="1:9" x14ac:dyDescent="0.25">
      <c r="A11834" s="151">
        <v>1833</v>
      </c>
      <c r="B11834" s="151">
        <f>A11834+1</f>
        <v>1834</v>
      </c>
      <c r="C11834" s="151" t="s">
        <v>539</v>
      </c>
      <c r="D11834" s="151" t="s">
        <v>27</v>
      </c>
      <c r="E11834" s="208" t="s">
        <v>147</v>
      </c>
      <c r="F11834" t="s">
        <v>6</v>
      </c>
      <c r="G11834" s="18">
        <v>104</v>
      </c>
      <c r="H11834" t="s">
        <v>16</v>
      </c>
      <c r="I11834" t="s">
        <v>25</v>
      </c>
    </row>
    <row r="11835" spans="1:9" x14ac:dyDescent="0.25">
      <c r="A11835" s="151">
        <v>1833</v>
      </c>
      <c r="B11835" s="151">
        <f>A11835+1</f>
        <v>1834</v>
      </c>
      <c r="C11835" s="151" t="s">
        <v>539</v>
      </c>
      <c r="D11835" s="151" t="s">
        <v>27</v>
      </c>
      <c r="E11835" s="208" t="s">
        <v>125</v>
      </c>
      <c r="F11835" t="s">
        <v>6</v>
      </c>
      <c r="G11835" s="18">
        <v>0</v>
      </c>
      <c r="H11835" t="s">
        <v>16</v>
      </c>
      <c r="I11835" t="s">
        <v>25</v>
      </c>
    </row>
    <row r="11836" spans="1:9" x14ac:dyDescent="0.25">
      <c r="A11836" s="151">
        <v>1833</v>
      </c>
      <c r="B11836" s="151">
        <f>A11836+1</f>
        <v>1834</v>
      </c>
      <c r="C11836" s="151" t="s">
        <v>539</v>
      </c>
      <c r="D11836" s="151" t="s">
        <v>27</v>
      </c>
      <c r="E11836" s="208" t="s">
        <v>122</v>
      </c>
      <c r="F11836" t="s">
        <v>6</v>
      </c>
      <c r="G11836" s="18">
        <v>2</v>
      </c>
      <c r="H11836" t="s">
        <v>25</v>
      </c>
      <c r="I11836" t="s">
        <v>16</v>
      </c>
    </row>
    <row r="11837" spans="1:9" x14ac:dyDescent="0.25">
      <c r="A11837" s="151">
        <v>1833</v>
      </c>
      <c r="B11837" s="151">
        <f>A11837+1</f>
        <v>1834</v>
      </c>
      <c r="C11837" s="151" t="s">
        <v>539</v>
      </c>
      <c r="D11837" s="151" t="s">
        <v>27</v>
      </c>
      <c r="E11837" s="208" t="s">
        <v>121</v>
      </c>
      <c r="F11837" t="s">
        <v>6</v>
      </c>
      <c r="G11837" s="18">
        <v>0</v>
      </c>
      <c r="H11837" t="s">
        <v>25</v>
      </c>
      <c r="I11837" t="s">
        <v>16</v>
      </c>
    </row>
    <row r="11838" spans="1:9" x14ac:dyDescent="0.25">
      <c r="A11838" s="151">
        <v>1833</v>
      </c>
      <c r="B11838" s="151">
        <f>A11838+1</f>
        <v>1834</v>
      </c>
      <c r="C11838" s="151" t="s">
        <v>539</v>
      </c>
      <c r="D11838" s="151" t="s">
        <v>27</v>
      </c>
      <c r="E11838" s="208" t="s">
        <v>139</v>
      </c>
      <c r="F11838" t="s">
        <v>6</v>
      </c>
      <c r="G11838" s="18">
        <v>0</v>
      </c>
      <c r="H11838" t="s">
        <v>25</v>
      </c>
      <c r="I11838" t="s">
        <v>16</v>
      </c>
    </row>
    <row r="11839" spans="1:9" x14ac:dyDescent="0.25">
      <c r="A11839" s="151">
        <v>1833</v>
      </c>
      <c r="B11839" s="151">
        <f>A11839+1</f>
        <v>1834</v>
      </c>
      <c r="C11839" s="151" t="s">
        <v>539</v>
      </c>
      <c r="D11839" s="151" t="s">
        <v>27</v>
      </c>
      <c r="E11839" s="208" t="s">
        <v>143</v>
      </c>
      <c r="F11839" t="s">
        <v>6</v>
      </c>
      <c r="G11839" s="18">
        <v>0</v>
      </c>
      <c r="H11839" t="s">
        <v>25</v>
      </c>
      <c r="I11839" t="s">
        <v>16</v>
      </c>
    </row>
    <row r="11840" spans="1:9" x14ac:dyDescent="0.25">
      <c r="A11840" s="151">
        <v>1833</v>
      </c>
      <c r="B11840" s="151">
        <f>A11840+1</f>
        <v>1834</v>
      </c>
      <c r="C11840" s="151" t="s">
        <v>539</v>
      </c>
      <c r="D11840" s="151" t="s">
        <v>27</v>
      </c>
      <c r="E11840" s="208" t="s">
        <v>142</v>
      </c>
      <c r="F11840" t="s">
        <v>6</v>
      </c>
      <c r="G11840" s="18">
        <v>57</v>
      </c>
      <c r="H11840" t="s">
        <v>25</v>
      </c>
      <c r="I11840" t="s">
        <v>16</v>
      </c>
    </row>
    <row r="11841" spans="1:9" x14ac:dyDescent="0.25">
      <c r="A11841" s="151">
        <v>1833</v>
      </c>
      <c r="B11841" s="151">
        <f>A11841+1</f>
        <v>1834</v>
      </c>
      <c r="C11841" s="151" t="s">
        <v>539</v>
      </c>
      <c r="D11841" s="151" t="s">
        <v>27</v>
      </c>
      <c r="E11841" s="208" t="s">
        <v>131</v>
      </c>
      <c r="F11841" t="s">
        <v>6</v>
      </c>
      <c r="G11841" s="18">
        <v>0</v>
      </c>
      <c r="H11841" t="s">
        <v>25</v>
      </c>
      <c r="I11841" t="s">
        <v>16</v>
      </c>
    </row>
    <row r="11842" spans="1:9" x14ac:dyDescent="0.25">
      <c r="A11842" s="151">
        <v>1833</v>
      </c>
      <c r="B11842" s="151">
        <f>A11842+1</f>
        <v>1834</v>
      </c>
      <c r="C11842" s="151" t="s">
        <v>539</v>
      </c>
      <c r="D11842" s="151" t="s">
        <v>27</v>
      </c>
      <c r="E11842" s="208" t="s">
        <v>130</v>
      </c>
      <c r="F11842" t="s">
        <v>6</v>
      </c>
      <c r="G11842" s="18">
        <v>0</v>
      </c>
      <c r="H11842" t="s">
        <v>25</v>
      </c>
      <c r="I11842" t="s">
        <v>16</v>
      </c>
    </row>
    <row r="11843" spans="1:9" x14ac:dyDescent="0.25">
      <c r="A11843" s="151">
        <v>1833</v>
      </c>
      <c r="B11843" s="151">
        <f>A11843+1</f>
        <v>1834</v>
      </c>
      <c r="C11843" s="151" t="s">
        <v>539</v>
      </c>
      <c r="D11843" s="151" t="s">
        <v>27</v>
      </c>
      <c r="E11843" s="208" t="s">
        <v>127</v>
      </c>
      <c r="F11843" t="s">
        <v>6</v>
      </c>
      <c r="G11843" s="18">
        <v>0</v>
      </c>
      <c r="H11843" t="s">
        <v>25</v>
      </c>
      <c r="I11843" t="s">
        <v>16</v>
      </c>
    </row>
    <row r="11844" spans="1:9" x14ac:dyDescent="0.25">
      <c r="A11844" s="151">
        <v>1833</v>
      </c>
      <c r="B11844" s="151">
        <f>A11844+1</f>
        <v>1834</v>
      </c>
      <c r="C11844" s="151" t="s">
        <v>539</v>
      </c>
      <c r="D11844" s="151" t="s">
        <v>27</v>
      </c>
      <c r="E11844" s="208" t="s">
        <v>133</v>
      </c>
      <c r="F11844" t="s">
        <v>6</v>
      </c>
      <c r="G11844" s="18">
        <v>0</v>
      </c>
      <c r="H11844" t="s">
        <v>25</v>
      </c>
      <c r="I11844" t="s">
        <v>16</v>
      </c>
    </row>
    <row r="11845" spans="1:9" x14ac:dyDescent="0.25">
      <c r="A11845" s="151">
        <v>1833</v>
      </c>
      <c r="B11845" s="151">
        <f>A11845+1</f>
        <v>1834</v>
      </c>
      <c r="C11845" s="151" t="s">
        <v>539</v>
      </c>
      <c r="D11845" s="151" t="s">
        <v>27</v>
      </c>
      <c r="E11845" s="208" t="s">
        <v>74</v>
      </c>
      <c r="F11845" t="s">
        <v>6</v>
      </c>
      <c r="G11845" s="18">
        <v>9</v>
      </c>
      <c r="H11845" t="s">
        <v>25</v>
      </c>
      <c r="I11845" t="s">
        <v>16</v>
      </c>
    </row>
    <row r="11846" spans="1:9" x14ac:dyDescent="0.25">
      <c r="A11846" s="151">
        <v>1833</v>
      </c>
      <c r="B11846" s="151">
        <f>A11846+1</f>
        <v>1834</v>
      </c>
      <c r="C11846" s="151" t="s">
        <v>539</v>
      </c>
      <c r="D11846" s="151" t="s">
        <v>27</v>
      </c>
      <c r="E11846" s="208" t="s">
        <v>129</v>
      </c>
      <c r="F11846" t="s">
        <v>6</v>
      </c>
      <c r="G11846" s="18">
        <v>12</v>
      </c>
      <c r="H11846" t="s">
        <v>25</v>
      </c>
      <c r="I11846" t="s">
        <v>16</v>
      </c>
    </row>
    <row r="11847" spans="1:9" x14ac:dyDescent="0.25">
      <c r="A11847" s="151">
        <v>1833</v>
      </c>
      <c r="B11847" s="151">
        <f>A11847+1</f>
        <v>1834</v>
      </c>
      <c r="C11847" s="151" t="s">
        <v>539</v>
      </c>
      <c r="D11847" s="151" t="s">
        <v>27</v>
      </c>
      <c r="E11847" s="208" t="s">
        <v>141</v>
      </c>
      <c r="F11847" t="s">
        <v>6</v>
      </c>
      <c r="G11847" s="18">
        <v>0</v>
      </c>
      <c r="H11847" t="s">
        <v>25</v>
      </c>
      <c r="I11847" t="s">
        <v>16</v>
      </c>
    </row>
    <row r="11848" spans="1:9" x14ac:dyDescent="0.25">
      <c r="A11848" s="151">
        <v>1833</v>
      </c>
      <c r="B11848" s="151">
        <f>A11848+1</f>
        <v>1834</v>
      </c>
      <c r="C11848" s="151" t="s">
        <v>539</v>
      </c>
      <c r="D11848" s="151" t="s">
        <v>27</v>
      </c>
      <c r="E11848" s="208" t="s">
        <v>135</v>
      </c>
      <c r="F11848" t="s">
        <v>6</v>
      </c>
      <c r="G11848" s="18">
        <v>0</v>
      </c>
      <c r="H11848" t="s">
        <v>25</v>
      </c>
      <c r="I11848" t="s">
        <v>16</v>
      </c>
    </row>
    <row r="11849" spans="1:9" x14ac:dyDescent="0.25">
      <c r="A11849" s="151">
        <v>1833</v>
      </c>
      <c r="B11849" s="151">
        <f>A11849+1</f>
        <v>1834</v>
      </c>
      <c r="C11849" s="151" t="s">
        <v>539</v>
      </c>
      <c r="D11849" s="151" t="s">
        <v>27</v>
      </c>
      <c r="E11849" s="208" t="s">
        <v>128</v>
      </c>
      <c r="F11849" t="s">
        <v>6</v>
      </c>
      <c r="G11849" s="18">
        <v>6.5</v>
      </c>
      <c r="H11849" t="s">
        <v>25</v>
      </c>
      <c r="I11849" t="s">
        <v>16</v>
      </c>
    </row>
    <row r="11850" spans="1:9" x14ac:dyDescent="0.25">
      <c r="A11850" s="151">
        <v>1833</v>
      </c>
      <c r="B11850" s="151">
        <f>A11850+1</f>
        <v>1834</v>
      </c>
      <c r="C11850" s="151" t="s">
        <v>539</v>
      </c>
      <c r="D11850" s="151" t="s">
        <v>27</v>
      </c>
      <c r="E11850" s="208" t="s">
        <v>78</v>
      </c>
      <c r="F11850" t="s">
        <v>6</v>
      </c>
      <c r="G11850" s="18">
        <v>0</v>
      </c>
      <c r="H11850" t="s">
        <v>25</v>
      </c>
      <c r="I11850" t="s">
        <v>16</v>
      </c>
    </row>
    <row r="11851" spans="1:9" x14ac:dyDescent="0.25">
      <c r="A11851" s="151">
        <v>1833</v>
      </c>
      <c r="B11851" s="151">
        <f>A11851+1</f>
        <v>1834</v>
      </c>
      <c r="C11851" s="151" t="s">
        <v>539</v>
      </c>
      <c r="D11851" s="151" t="s">
        <v>27</v>
      </c>
      <c r="E11851" s="208" t="s">
        <v>119</v>
      </c>
      <c r="F11851" t="s">
        <v>6</v>
      </c>
      <c r="G11851" s="18">
        <v>0</v>
      </c>
      <c r="H11851" t="s">
        <v>25</v>
      </c>
      <c r="I11851" t="s">
        <v>16</v>
      </c>
    </row>
    <row r="11852" spans="1:9" x14ac:dyDescent="0.25">
      <c r="A11852" s="151">
        <v>1833</v>
      </c>
      <c r="B11852" s="151">
        <f>A11852+1</f>
        <v>1834</v>
      </c>
      <c r="C11852" s="151" t="s">
        <v>539</v>
      </c>
      <c r="D11852" s="151" t="s">
        <v>27</v>
      </c>
      <c r="E11852" s="208" t="s">
        <v>134</v>
      </c>
      <c r="F11852" t="s">
        <v>6</v>
      </c>
      <c r="G11852" s="18">
        <v>0</v>
      </c>
      <c r="H11852" t="s">
        <v>25</v>
      </c>
      <c r="I11852" t="s">
        <v>16</v>
      </c>
    </row>
    <row r="11853" spans="1:9" x14ac:dyDescent="0.25">
      <c r="A11853" s="151">
        <v>1833</v>
      </c>
      <c r="B11853" s="151">
        <f>A11853+1</f>
        <v>1834</v>
      </c>
      <c r="C11853" s="151" t="s">
        <v>539</v>
      </c>
      <c r="D11853" s="151" t="s">
        <v>26</v>
      </c>
      <c r="E11853" s="208" t="s">
        <v>34</v>
      </c>
      <c r="F11853" t="s">
        <v>6</v>
      </c>
      <c r="G11853" s="18">
        <v>1500</v>
      </c>
      <c r="H11853" t="s">
        <v>25</v>
      </c>
      <c r="I11853" t="s">
        <v>16</v>
      </c>
    </row>
    <row r="11854" spans="1:9" x14ac:dyDescent="0.25">
      <c r="A11854" s="151">
        <v>1833</v>
      </c>
      <c r="B11854" s="151">
        <f>A11854+1</f>
        <v>1834</v>
      </c>
      <c r="C11854" s="151" t="s">
        <v>539</v>
      </c>
      <c r="D11854" s="151" t="s">
        <v>26</v>
      </c>
      <c r="E11854" s="208" t="s">
        <v>63</v>
      </c>
      <c r="F11854" t="s">
        <v>6</v>
      </c>
      <c r="G11854" s="18">
        <v>0</v>
      </c>
      <c r="H11854" t="s">
        <v>25</v>
      </c>
      <c r="I11854" t="s">
        <v>16</v>
      </c>
    </row>
    <row r="11855" spans="1:9" x14ac:dyDescent="0.25">
      <c r="A11855" s="151">
        <v>1833</v>
      </c>
      <c r="B11855" s="151">
        <f>A11855+1</f>
        <v>1834</v>
      </c>
      <c r="C11855" s="151" t="s">
        <v>539</v>
      </c>
      <c r="D11855" s="151" t="s">
        <v>26</v>
      </c>
      <c r="E11855" s="208" t="s">
        <v>62</v>
      </c>
      <c r="F11855" t="s">
        <v>6</v>
      </c>
      <c r="G11855" s="18">
        <v>0</v>
      </c>
      <c r="H11855" t="s">
        <v>25</v>
      </c>
      <c r="I11855" t="s">
        <v>16</v>
      </c>
    </row>
    <row r="11856" spans="1:9" x14ac:dyDescent="0.25">
      <c r="A11856" s="151">
        <v>1833</v>
      </c>
      <c r="B11856" s="151">
        <f>A11856+1</f>
        <v>1834</v>
      </c>
      <c r="C11856" s="151" t="s">
        <v>539</v>
      </c>
      <c r="D11856" s="151" t="s">
        <v>26</v>
      </c>
      <c r="E11856" s="208" t="s">
        <v>55</v>
      </c>
      <c r="F11856" t="s">
        <v>6</v>
      </c>
      <c r="G11856" s="18">
        <v>0</v>
      </c>
      <c r="H11856" t="s">
        <v>25</v>
      </c>
      <c r="I11856" t="s">
        <v>16</v>
      </c>
    </row>
    <row r="11857" spans="1:9" x14ac:dyDescent="0.25">
      <c r="A11857" s="151">
        <v>1833</v>
      </c>
      <c r="B11857" s="151">
        <f>A11857+1</f>
        <v>1834</v>
      </c>
      <c r="C11857" s="151" t="s">
        <v>539</v>
      </c>
      <c r="D11857" s="151" t="s">
        <v>26</v>
      </c>
      <c r="E11857" s="208" t="s">
        <v>36</v>
      </c>
      <c r="F11857" t="s">
        <v>6</v>
      </c>
      <c r="G11857" s="18">
        <v>0</v>
      </c>
      <c r="H11857" t="s">
        <v>25</v>
      </c>
      <c r="I11857" t="s">
        <v>16</v>
      </c>
    </row>
    <row r="11858" spans="1:9" x14ac:dyDescent="0.25">
      <c r="A11858" s="151">
        <v>1833</v>
      </c>
      <c r="B11858" s="151">
        <f>A11858+1</f>
        <v>1834</v>
      </c>
      <c r="C11858" s="151" t="s">
        <v>539</v>
      </c>
      <c r="D11858" s="151" t="s">
        <v>26</v>
      </c>
      <c r="E11858" s="208" t="s">
        <v>35</v>
      </c>
      <c r="F11858" t="s">
        <v>6</v>
      </c>
      <c r="G11858" s="18">
        <v>0</v>
      </c>
      <c r="H11858" t="s">
        <v>25</v>
      </c>
      <c r="I11858" t="s">
        <v>16</v>
      </c>
    </row>
    <row r="11859" spans="1:9" x14ac:dyDescent="0.25">
      <c r="A11859" s="151">
        <v>1833</v>
      </c>
      <c r="B11859" s="151">
        <f>A11859+1</f>
        <v>1834</v>
      </c>
      <c r="C11859" s="151" t="s">
        <v>539</v>
      </c>
      <c r="D11859" s="151" t="s">
        <v>26</v>
      </c>
      <c r="E11859" s="208" t="s">
        <v>40</v>
      </c>
      <c r="F11859" t="s">
        <v>6</v>
      </c>
      <c r="G11859" s="18">
        <v>0</v>
      </c>
      <c r="H11859" t="s">
        <v>25</v>
      </c>
      <c r="I11859" t="s">
        <v>16</v>
      </c>
    </row>
    <row r="11860" spans="1:9" x14ac:dyDescent="0.25">
      <c r="A11860" s="151">
        <v>1833</v>
      </c>
      <c r="B11860" s="151">
        <f>A11860+1</f>
        <v>1834</v>
      </c>
      <c r="C11860" s="151" t="s">
        <v>539</v>
      </c>
      <c r="D11860" s="151" t="s">
        <v>26</v>
      </c>
      <c r="E11860" s="208" t="s">
        <v>96</v>
      </c>
      <c r="F11860" t="s">
        <v>6</v>
      </c>
      <c r="G11860" s="18">
        <v>124</v>
      </c>
      <c r="H11860" t="s">
        <v>16</v>
      </c>
      <c r="I11860" t="s">
        <v>18</v>
      </c>
    </row>
    <row r="11861" spans="1:9" x14ac:dyDescent="0.25">
      <c r="A11861" s="151">
        <v>1833</v>
      </c>
      <c r="B11861" s="151">
        <f>A11861+1</f>
        <v>1834</v>
      </c>
      <c r="C11861" s="151" t="s">
        <v>539</v>
      </c>
      <c r="D11861" s="151" t="s">
        <v>26</v>
      </c>
      <c r="E11861" s="208" t="s">
        <v>98</v>
      </c>
      <c r="F11861" t="s">
        <v>6</v>
      </c>
      <c r="G11861" s="18">
        <v>11920</v>
      </c>
      <c r="H11861" t="s">
        <v>16</v>
      </c>
      <c r="I11861" t="s">
        <v>18</v>
      </c>
    </row>
    <row r="11862" spans="1:9" x14ac:dyDescent="0.25">
      <c r="A11862" s="151">
        <v>1833</v>
      </c>
      <c r="B11862" s="151">
        <f>A11862+1</f>
        <v>1834</v>
      </c>
      <c r="C11862" s="151" t="s">
        <v>539</v>
      </c>
      <c r="D11862" s="151" t="s">
        <v>26</v>
      </c>
      <c r="E11862" s="208" t="s">
        <v>442</v>
      </c>
      <c r="F11862" t="s">
        <v>6</v>
      </c>
      <c r="G11862" s="18">
        <v>5779</v>
      </c>
      <c r="H11862" t="s">
        <v>16</v>
      </c>
      <c r="I11862" t="s">
        <v>18</v>
      </c>
    </row>
    <row r="11863" spans="1:9" x14ac:dyDescent="0.25">
      <c r="A11863" s="151">
        <v>1833</v>
      </c>
      <c r="B11863" s="151">
        <f>A11863+1</f>
        <v>1834</v>
      </c>
      <c r="C11863" s="151" t="s">
        <v>539</v>
      </c>
      <c r="D11863" s="151" t="s">
        <v>26</v>
      </c>
      <c r="E11863" s="208" t="s">
        <v>105</v>
      </c>
      <c r="F11863" t="s">
        <v>6</v>
      </c>
      <c r="G11863" s="18">
        <v>0</v>
      </c>
      <c r="H11863" t="s">
        <v>16</v>
      </c>
      <c r="I11863" t="s">
        <v>18</v>
      </c>
    </row>
    <row r="11864" spans="1:9" x14ac:dyDescent="0.25">
      <c r="A11864" s="151">
        <v>1833</v>
      </c>
      <c r="B11864" s="151">
        <f>A11864+1</f>
        <v>1834</v>
      </c>
      <c r="C11864" s="151" t="s">
        <v>539</v>
      </c>
      <c r="D11864" s="151" t="s">
        <v>26</v>
      </c>
      <c r="E11864" s="208" t="s">
        <v>106</v>
      </c>
      <c r="F11864" t="s">
        <v>6</v>
      </c>
      <c r="G11864" s="18">
        <v>0</v>
      </c>
      <c r="H11864" t="s">
        <v>16</v>
      </c>
      <c r="I11864" t="s">
        <v>18</v>
      </c>
    </row>
    <row r="11865" spans="1:9" x14ac:dyDescent="0.25">
      <c r="A11865" s="151">
        <v>1833</v>
      </c>
      <c r="B11865" s="151">
        <f>A11865+1</f>
        <v>1834</v>
      </c>
      <c r="C11865" s="151" t="s">
        <v>539</v>
      </c>
      <c r="D11865" s="151" t="s">
        <v>26</v>
      </c>
      <c r="E11865" s="208" t="s">
        <v>101</v>
      </c>
      <c r="F11865" t="s">
        <v>6</v>
      </c>
      <c r="G11865" s="18">
        <v>0</v>
      </c>
      <c r="H11865" t="s">
        <v>16</v>
      </c>
      <c r="I11865" t="s">
        <v>18</v>
      </c>
    </row>
    <row r="11866" spans="1:9" x14ac:dyDescent="0.25">
      <c r="A11866" s="151">
        <v>1833</v>
      </c>
      <c r="B11866" s="151">
        <f>A11866+1</f>
        <v>1834</v>
      </c>
      <c r="C11866" s="151" t="s">
        <v>539</v>
      </c>
      <c r="D11866" s="151" t="s">
        <v>26</v>
      </c>
      <c r="E11866" s="208" t="s">
        <v>75</v>
      </c>
      <c r="F11866" t="s">
        <v>6</v>
      </c>
      <c r="G11866" s="18">
        <v>0</v>
      </c>
      <c r="H11866" t="s">
        <v>16</v>
      </c>
      <c r="I11866" t="s">
        <v>18</v>
      </c>
    </row>
    <row r="11867" spans="1:9" x14ac:dyDescent="0.25">
      <c r="A11867" s="151">
        <v>1833</v>
      </c>
      <c r="B11867" s="151">
        <f>A11867+1</f>
        <v>1834</v>
      </c>
      <c r="C11867" s="151" t="s">
        <v>539</v>
      </c>
      <c r="D11867" s="151" t="s">
        <v>26</v>
      </c>
      <c r="E11867" s="208" t="s">
        <v>66</v>
      </c>
      <c r="F11867" t="s">
        <v>6</v>
      </c>
      <c r="G11867" s="18">
        <v>0</v>
      </c>
      <c r="H11867" t="s">
        <v>16</v>
      </c>
      <c r="I11867" t="s">
        <v>18</v>
      </c>
    </row>
    <row r="11868" spans="1:9" x14ac:dyDescent="0.25">
      <c r="A11868" s="151">
        <v>1833</v>
      </c>
      <c r="B11868" s="151">
        <f>A11868+1</f>
        <v>1834</v>
      </c>
      <c r="C11868" s="151" t="s">
        <v>539</v>
      </c>
      <c r="D11868" s="151" t="s">
        <v>26</v>
      </c>
      <c r="E11868" s="208" t="s">
        <v>28</v>
      </c>
      <c r="F11868" t="s">
        <v>6</v>
      </c>
      <c r="G11868" s="18">
        <v>0</v>
      </c>
      <c r="H11868" t="s">
        <v>16</v>
      </c>
      <c r="I11868" t="s">
        <v>18</v>
      </c>
    </row>
    <row r="11869" spans="1:9" x14ac:dyDescent="0.25">
      <c r="A11869" s="151">
        <v>1833</v>
      </c>
      <c r="B11869" s="151">
        <f>A11869+1</f>
        <v>1834</v>
      </c>
      <c r="C11869" s="151" t="s">
        <v>539</v>
      </c>
      <c r="D11869" s="151" t="s">
        <v>26</v>
      </c>
      <c r="E11869" s="208" t="s">
        <v>89</v>
      </c>
      <c r="F11869" t="s">
        <v>6</v>
      </c>
      <c r="G11869" s="18">
        <v>0</v>
      </c>
      <c r="H11869" t="s">
        <v>16</v>
      </c>
      <c r="I11869" t="s">
        <v>18</v>
      </c>
    </row>
    <row r="11870" spans="1:9" x14ac:dyDescent="0.25">
      <c r="A11870" s="151">
        <v>1833</v>
      </c>
      <c r="B11870" s="151">
        <f>A11870+1</f>
        <v>1834</v>
      </c>
      <c r="C11870" s="151" t="s">
        <v>539</v>
      </c>
      <c r="D11870" s="151" t="s">
        <v>26</v>
      </c>
      <c r="E11870" s="208" t="s">
        <v>450</v>
      </c>
      <c r="F11870" t="s">
        <v>6</v>
      </c>
      <c r="G11870" s="18">
        <v>0</v>
      </c>
      <c r="H11870" t="s">
        <v>16</v>
      </c>
      <c r="I11870" t="s">
        <v>18</v>
      </c>
    </row>
    <row r="11871" spans="1:9" x14ac:dyDescent="0.25">
      <c r="A11871" s="151">
        <v>1833</v>
      </c>
      <c r="B11871" s="151">
        <f>A11871+1</f>
        <v>1834</v>
      </c>
      <c r="C11871" s="151" t="s">
        <v>539</v>
      </c>
      <c r="D11871" s="151" t="s">
        <v>26</v>
      </c>
      <c r="E11871" s="208" t="s">
        <v>48</v>
      </c>
      <c r="F11871" t="s">
        <v>6</v>
      </c>
      <c r="G11871" s="18">
        <v>0</v>
      </c>
      <c r="H11871" t="s">
        <v>16</v>
      </c>
      <c r="I11871" t="s">
        <v>18</v>
      </c>
    </row>
    <row r="11872" spans="1:9" x14ac:dyDescent="0.25">
      <c r="A11872" s="151">
        <v>1833</v>
      </c>
      <c r="B11872" s="151">
        <f>A11872+1</f>
        <v>1834</v>
      </c>
      <c r="C11872" s="151" t="s">
        <v>539</v>
      </c>
      <c r="D11872" s="151" t="s">
        <v>26</v>
      </c>
      <c r="E11872" s="208" t="s">
        <v>102</v>
      </c>
      <c r="F11872" t="s">
        <v>6</v>
      </c>
      <c r="G11872" s="18">
        <v>0</v>
      </c>
      <c r="H11872" t="s">
        <v>16</v>
      </c>
      <c r="I11872" t="s">
        <v>18</v>
      </c>
    </row>
    <row r="11873" spans="1:9" x14ac:dyDescent="0.25">
      <c r="A11873" s="151">
        <v>1833</v>
      </c>
      <c r="B11873" s="151">
        <f>A11873+1</f>
        <v>1834</v>
      </c>
      <c r="C11873" s="151" t="s">
        <v>539</v>
      </c>
      <c r="D11873" s="151" t="s">
        <v>26</v>
      </c>
      <c r="E11873" s="208" t="s">
        <v>330</v>
      </c>
      <c r="F11873" t="s">
        <v>6</v>
      </c>
      <c r="G11873" s="18">
        <v>457</v>
      </c>
      <c r="H11873" t="s">
        <v>16</v>
      </c>
      <c r="I11873" t="s">
        <v>18</v>
      </c>
    </row>
    <row r="11874" spans="1:9" x14ac:dyDescent="0.25">
      <c r="A11874" s="151">
        <v>1833</v>
      </c>
      <c r="B11874" s="151">
        <f>A11874+1</f>
        <v>1834</v>
      </c>
      <c r="C11874" s="151" t="s">
        <v>539</v>
      </c>
      <c r="D11874" s="151" t="s">
        <v>26</v>
      </c>
      <c r="E11874" s="208" t="s">
        <v>331</v>
      </c>
      <c r="F11874" t="s">
        <v>6</v>
      </c>
      <c r="G11874" s="18">
        <v>216</v>
      </c>
      <c r="H11874" t="s">
        <v>16</v>
      </c>
      <c r="I11874" t="s">
        <v>18</v>
      </c>
    </row>
    <row r="11875" spans="1:9" x14ac:dyDescent="0.25">
      <c r="A11875" s="151">
        <v>1833</v>
      </c>
      <c r="B11875" s="151">
        <f>A11875+1</f>
        <v>1834</v>
      </c>
      <c r="C11875" s="151" t="s">
        <v>539</v>
      </c>
      <c r="D11875" s="151" t="s">
        <v>26</v>
      </c>
      <c r="E11875" s="208" t="s">
        <v>332</v>
      </c>
      <c r="F11875" t="s">
        <v>6</v>
      </c>
      <c r="G11875" s="18">
        <v>478</v>
      </c>
      <c r="H11875" t="s">
        <v>16</v>
      </c>
      <c r="I11875" t="s">
        <v>18</v>
      </c>
    </row>
    <row r="11876" spans="1:9" x14ac:dyDescent="0.25">
      <c r="A11876" s="151">
        <v>1833</v>
      </c>
      <c r="B11876" s="151">
        <f>A11876+1</f>
        <v>1834</v>
      </c>
      <c r="C11876" s="151" t="s">
        <v>539</v>
      </c>
      <c r="D11876" s="151" t="s">
        <v>26</v>
      </c>
      <c r="E11876" s="208" t="s">
        <v>333</v>
      </c>
      <c r="F11876" t="s">
        <v>6</v>
      </c>
      <c r="G11876" s="18">
        <v>238</v>
      </c>
      <c r="H11876" t="s">
        <v>16</v>
      </c>
      <c r="I11876" t="s">
        <v>18</v>
      </c>
    </row>
    <row r="11877" spans="1:9" x14ac:dyDescent="0.25">
      <c r="A11877" s="151">
        <v>1833</v>
      </c>
      <c r="B11877" s="151">
        <f>A11877+1</f>
        <v>1834</v>
      </c>
      <c r="C11877" s="151" t="s">
        <v>539</v>
      </c>
      <c r="D11877" s="151" t="s">
        <v>27</v>
      </c>
      <c r="E11877" s="208" t="s">
        <v>155</v>
      </c>
      <c r="F11877" t="s">
        <v>0</v>
      </c>
      <c r="G11877" s="18">
        <v>17352</v>
      </c>
      <c r="H11877" t="s">
        <v>16</v>
      </c>
      <c r="I11877" t="s">
        <v>18</v>
      </c>
    </row>
    <row r="11878" spans="1:9" x14ac:dyDescent="0.25">
      <c r="A11878" s="151">
        <v>1833</v>
      </c>
      <c r="B11878" s="151">
        <f>A11878+1</f>
        <v>1834</v>
      </c>
      <c r="C11878" s="151" t="s">
        <v>539</v>
      </c>
      <c r="D11878" s="151" t="s">
        <v>27</v>
      </c>
      <c r="E11878" s="208" t="s">
        <v>156</v>
      </c>
      <c r="F11878" t="s">
        <v>0</v>
      </c>
      <c r="G11878" s="18">
        <v>1191</v>
      </c>
      <c r="H11878" t="s">
        <v>16</v>
      </c>
      <c r="I11878" t="s">
        <v>18</v>
      </c>
    </row>
    <row r="11879" spans="1:9" x14ac:dyDescent="0.25">
      <c r="A11879" s="151">
        <v>1833</v>
      </c>
      <c r="B11879" s="151">
        <f>A11879+1</f>
        <v>1834</v>
      </c>
      <c r="C11879" s="151" t="s">
        <v>539</v>
      </c>
      <c r="D11879" s="151" t="s">
        <v>27</v>
      </c>
      <c r="E11879" s="208" t="s">
        <v>154</v>
      </c>
      <c r="F11879" t="s">
        <v>0</v>
      </c>
      <c r="G11879" s="18">
        <v>762</v>
      </c>
      <c r="H11879" t="s">
        <v>16</v>
      </c>
      <c r="I11879" t="s">
        <v>18</v>
      </c>
    </row>
    <row r="11880" spans="1:9" x14ac:dyDescent="0.25">
      <c r="A11880" s="151">
        <v>1833</v>
      </c>
      <c r="B11880" s="151">
        <f>A11880+1</f>
        <v>1834</v>
      </c>
      <c r="C11880" s="151" t="s">
        <v>539</v>
      </c>
      <c r="D11880" s="151" t="s">
        <v>27</v>
      </c>
      <c r="E11880" s="208" t="s">
        <v>150</v>
      </c>
      <c r="F11880" t="s">
        <v>0</v>
      </c>
      <c r="G11880" s="18">
        <v>5232</v>
      </c>
      <c r="H11880" t="s">
        <v>16</v>
      </c>
      <c r="I11880" t="s">
        <v>18</v>
      </c>
    </row>
    <row r="11881" spans="1:9" x14ac:dyDescent="0.25">
      <c r="A11881" s="151">
        <v>1833</v>
      </c>
      <c r="B11881" s="151">
        <f>A11881+1</f>
        <v>1834</v>
      </c>
      <c r="C11881" s="151" t="s">
        <v>539</v>
      </c>
      <c r="D11881" s="151" t="s">
        <v>27</v>
      </c>
      <c r="E11881" s="208" t="s">
        <v>148</v>
      </c>
      <c r="F11881" t="s">
        <v>0</v>
      </c>
      <c r="G11881" s="18">
        <v>345</v>
      </c>
      <c r="H11881" t="s">
        <v>16</v>
      </c>
      <c r="I11881" t="s">
        <v>18</v>
      </c>
    </row>
    <row r="11882" spans="1:9" x14ac:dyDescent="0.25">
      <c r="A11882" s="151">
        <v>1833</v>
      </c>
      <c r="B11882" s="151">
        <f>A11882+1</f>
        <v>1834</v>
      </c>
      <c r="C11882" s="151" t="s">
        <v>539</v>
      </c>
      <c r="D11882" s="151" t="s">
        <v>27</v>
      </c>
      <c r="E11882" s="208" t="s">
        <v>147</v>
      </c>
      <c r="F11882" t="s">
        <v>0</v>
      </c>
      <c r="G11882" s="18">
        <v>150</v>
      </c>
      <c r="H11882" t="s">
        <v>16</v>
      </c>
      <c r="I11882" t="s">
        <v>18</v>
      </c>
    </row>
    <row r="11883" spans="1:9" x14ac:dyDescent="0.25">
      <c r="A11883" s="151">
        <v>1833</v>
      </c>
      <c r="B11883" s="151">
        <f>A11883+1</f>
        <v>1834</v>
      </c>
      <c r="C11883" s="151" t="s">
        <v>539</v>
      </c>
      <c r="D11883" s="151" t="s">
        <v>27</v>
      </c>
      <c r="E11883" s="208" t="s">
        <v>125</v>
      </c>
      <c r="F11883" t="s">
        <v>0</v>
      </c>
      <c r="G11883" s="18">
        <v>11745</v>
      </c>
      <c r="H11883" t="s">
        <v>16</v>
      </c>
      <c r="I11883" t="s">
        <v>18</v>
      </c>
    </row>
    <row r="11884" spans="1:9" x14ac:dyDescent="0.25">
      <c r="A11884" s="151">
        <v>1833</v>
      </c>
      <c r="B11884" s="151">
        <f>A11884+1</f>
        <v>1834</v>
      </c>
      <c r="C11884" s="151" t="s">
        <v>539</v>
      </c>
      <c r="D11884" s="151" t="s">
        <v>27</v>
      </c>
      <c r="E11884" s="208" t="s">
        <v>122</v>
      </c>
      <c r="F11884" t="s">
        <v>0</v>
      </c>
      <c r="G11884" s="18">
        <v>4038.5</v>
      </c>
      <c r="H11884" t="s">
        <v>160</v>
      </c>
      <c r="I11884" t="s">
        <v>16</v>
      </c>
    </row>
    <row r="11885" spans="1:9" x14ac:dyDescent="0.25">
      <c r="A11885" s="151">
        <v>1833</v>
      </c>
      <c r="B11885" s="151">
        <f>A11885+1</f>
        <v>1834</v>
      </c>
      <c r="C11885" s="151" t="s">
        <v>539</v>
      </c>
      <c r="D11885" s="151" t="s">
        <v>27</v>
      </c>
      <c r="E11885" s="208" t="s">
        <v>121</v>
      </c>
      <c r="F11885" t="s">
        <v>0</v>
      </c>
      <c r="G11885" s="18">
        <v>124</v>
      </c>
      <c r="H11885" t="s">
        <v>160</v>
      </c>
      <c r="I11885" t="s">
        <v>16</v>
      </c>
    </row>
    <row r="11886" spans="1:9" x14ac:dyDescent="0.25">
      <c r="A11886" s="151">
        <v>1833</v>
      </c>
      <c r="B11886" s="151">
        <f>A11886+1</f>
        <v>1834</v>
      </c>
      <c r="C11886" s="151" t="s">
        <v>539</v>
      </c>
      <c r="D11886" s="151" t="s">
        <v>27</v>
      </c>
      <c r="E11886" s="208" t="s">
        <v>139</v>
      </c>
      <c r="F11886" t="s">
        <v>0</v>
      </c>
      <c r="G11886" s="18">
        <v>1</v>
      </c>
      <c r="H11886" t="s">
        <v>160</v>
      </c>
      <c r="I11886" t="s">
        <v>16</v>
      </c>
    </row>
    <row r="11887" spans="1:9" x14ac:dyDescent="0.25">
      <c r="A11887" s="151">
        <v>1833</v>
      </c>
      <c r="B11887" s="151">
        <f>A11887+1</f>
        <v>1834</v>
      </c>
      <c r="C11887" s="151" t="s">
        <v>539</v>
      </c>
      <c r="D11887" s="151" t="s">
        <v>27</v>
      </c>
      <c r="E11887" s="208" t="s">
        <v>143</v>
      </c>
      <c r="F11887" t="s">
        <v>0</v>
      </c>
      <c r="G11887" s="18">
        <v>148</v>
      </c>
      <c r="H11887" t="s">
        <v>160</v>
      </c>
      <c r="I11887" t="s">
        <v>16</v>
      </c>
    </row>
    <row r="11888" spans="1:9" x14ac:dyDescent="0.25">
      <c r="A11888" s="151">
        <v>1833</v>
      </c>
      <c r="B11888" s="151">
        <f>A11888+1</f>
        <v>1834</v>
      </c>
      <c r="C11888" s="151" t="s">
        <v>539</v>
      </c>
      <c r="D11888" s="151" t="s">
        <v>27</v>
      </c>
      <c r="E11888" s="208" t="s">
        <v>142</v>
      </c>
      <c r="F11888" t="s">
        <v>0</v>
      </c>
      <c r="G11888" s="18">
        <v>2440</v>
      </c>
      <c r="H11888" t="s">
        <v>160</v>
      </c>
      <c r="I11888" t="s">
        <v>16</v>
      </c>
    </row>
    <row r="11889" spans="1:9" x14ac:dyDescent="0.25">
      <c r="A11889" s="151">
        <v>1833</v>
      </c>
      <c r="B11889" s="151">
        <f>A11889+1</f>
        <v>1834</v>
      </c>
      <c r="C11889" s="151" t="s">
        <v>539</v>
      </c>
      <c r="D11889" s="151" t="s">
        <v>27</v>
      </c>
      <c r="E11889" s="208" t="s">
        <v>131</v>
      </c>
      <c r="F11889" t="s">
        <v>0</v>
      </c>
      <c r="G11889" s="18">
        <v>481.5</v>
      </c>
      <c r="H11889" t="s">
        <v>160</v>
      </c>
      <c r="I11889" t="s">
        <v>16</v>
      </c>
    </row>
    <row r="11890" spans="1:9" x14ac:dyDescent="0.25">
      <c r="A11890" s="151">
        <v>1833</v>
      </c>
      <c r="B11890" s="151">
        <f>A11890+1</f>
        <v>1834</v>
      </c>
      <c r="C11890" s="151" t="s">
        <v>539</v>
      </c>
      <c r="D11890" s="151" t="s">
        <v>27</v>
      </c>
      <c r="E11890" s="208" t="s">
        <v>130</v>
      </c>
      <c r="F11890" t="s">
        <v>0</v>
      </c>
      <c r="G11890" s="18">
        <v>5.5</v>
      </c>
      <c r="H11890" t="s">
        <v>160</v>
      </c>
      <c r="I11890" t="s">
        <v>16</v>
      </c>
    </row>
    <row r="11891" spans="1:9" x14ac:dyDescent="0.25">
      <c r="A11891" s="151">
        <v>1833</v>
      </c>
      <c r="B11891" s="151">
        <f>A11891+1</f>
        <v>1834</v>
      </c>
      <c r="C11891" s="151" t="s">
        <v>539</v>
      </c>
      <c r="D11891" s="151" t="s">
        <v>27</v>
      </c>
      <c r="E11891" s="208" t="s">
        <v>127</v>
      </c>
      <c r="F11891" t="s">
        <v>0</v>
      </c>
      <c r="G11891" s="18">
        <v>78</v>
      </c>
      <c r="H11891" t="s">
        <v>160</v>
      </c>
      <c r="I11891" t="s">
        <v>16</v>
      </c>
    </row>
    <row r="11892" spans="1:9" x14ac:dyDescent="0.25">
      <c r="A11892" s="151">
        <v>1833</v>
      </c>
      <c r="B11892" s="151">
        <f>A11892+1</f>
        <v>1834</v>
      </c>
      <c r="C11892" s="151" t="s">
        <v>539</v>
      </c>
      <c r="D11892" s="151" t="s">
        <v>27</v>
      </c>
      <c r="E11892" s="208" t="s">
        <v>133</v>
      </c>
      <c r="F11892" t="s">
        <v>0</v>
      </c>
      <c r="G11892" s="18">
        <v>4929</v>
      </c>
      <c r="H11892" t="s">
        <v>160</v>
      </c>
      <c r="I11892" t="s">
        <v>16</v>
      </c>
    </row>
    <row r="11893" spans="1:9" x14ac:dyDescent="0.25">
      <c r="A11893" s="151">
        <v>1833</v>
      </c>
      <c r="B11893" s="151">
        <f>A11893+1</f>
        <v>1834</v>
      </c>
      <c r="C11893" s="151" t="s">
        <v>539</v>
      </c>
      <c r="D11893" s="151" t="s">
        <v>27</v>
      </c>
      <c r="E11893" s="208" t="s">
        <v>74</v>
      </c>
      <c r="F11893" t="s">
        <v>0</v>
      </c>
      <c r="G11893" s="18">
        <v>2111.65</v>
      </c>
      <c r="H11893" t="s">
        <v>160</v>
      </c>
      <c r="I11893" t="s">
        <v>16</v>
      </c>
    </row>
    <row r="11894" spans="1:9" x14ac:dyDescent="0.25">
      <c r="A11894" s="151">
        <v>1833</v>
      </c>
      <c r="B11894" s="151">
        <f>A11894+1</f>
        <v>1834</v>
      </c>
      <c r="C11894" s="151" t="s">
        <v>539</v>
      </c>
      <c r="D11894" s="151" t="s">
        <v>27</v>
      </c>
      <c r="E11894" s="208" t="s">
        <v>129</v>
      </c>
      <c r="F11894" t="s">
        <v>0</v>
      </c>
      <c r="G11894" s="18">
        <v>722.15</v>
      </c>
      <c r="H11894" t="s">
        <v>160</v>
      </c>
      <c r="I11894" t="s">
        <v>16</v>
      </c>
    </row>
    <row r="11895" spans="1:9" x14ac:dyDescent="0.25">
      <c r="A11895" s="151">
        <v>1833</v>
      </c>
      <c r="B11895" s="151">
        <f>A11895+1</f>
        <v>1834</v>
      </c>
      <c r="C11895" s="151" t="s">
        <v>539</v>
      </c>
      <c r="D11895" s="151" t="s">
        <v>27</v>
      </c>
      <c r="E11895" s="208" t="s">
        <v>141</v>
      </c>
      <c r="F11895" t="s">
        <v>0</v>
      </c>
      <c r="G11895" s="18">
        <v>431.25</v>
      </c>
      <c r="H11895" t="s">
        <v>160</v>
      </c>
      <c r="I11895" t="s">
        <v>16</v>
      </c>
    </row>
    <row r="11896" spans="1:9" x14ac:dyDescent="0.25">
      <c r="A11896" s="151">
        <v>1833</v>
      </c>
      <c r="B11896" s="151">
        <f>A11896+1</f>
        <v>1834</v>
      </c>
      <c r="C11896" s="151" t="s">
        <v>539</v>
      </c>
      <c r="D11896" s="151" t="s">
        <v>27</v>
      </c>
      <c r="E11896" s="208" t="s">
        <v>135</v>
      </c>
      <c r="F11896" t="s">
        <v>0</v>
      </c>
      <c r="G11896" s="18">
        <v>131.30000000000001</v>
      </c>
      <c r="H11896" t="s">
        <v>160</v>
      </c>
      <c r="I11896" t="s">
        <v>16</v>
      </c>
    </row>
    <row r="11897" spans="1:9" x14ac:dyDescent="0.25">
      <c r="A11897" s="151">
        <v>1833</v>
      </c>
      <c r="B11897" s="151">
        <f>A11897+1</f>
        <v>1834</v>
      </c>
      <c r="C11897" s="151" t="s">
        <v>539</v>
      </c>
      <c r="D11897" s="151" t="s">
        <v>27</v>
      </c>
      <c r="E11897" s="208" t="s">
        <v>128</v>
      </c>
      <c r="F11897" t="s">
        <v>0</v>
      </c>
      <c r="G11897" s="18">
        <v>612</v>
      </c>
      <c r="H11897" t="s">
        <v>160</v>
      </c>
      <c r="I11897" t="s">
        <v>16</v>
      </c>
    </row>
    <row r="11898" spans="1:9" x14ac:dyDescent="0.25">
      <c r="A11898" s="151">
        <v>1833</v>
      </c>
      <c r="B11898" s="151">
        <f>A11898+1</f>
        <v>1834</v>
      </c>
      <c r="C11898" s="151" t="s">
        <v>539</v>
      </c>
      <c r="D11898" s="151" t="s">
        <v>27</v>
      </c>
      <c r="E11898" s="208" t="s">
        <v>78</v>
      </c>
      <c r="F11898" t="s">
        <v>0</v>
      </c>
      <c r="G11898" s="18">
        <v>124</v>
      </c>
      <c r="H11898" t="s">
        <v>160</v>
      </c>
      <c r="I11898" t="s">
        <v>16</v>
      </c>
    </row>
    <row r="11899" spans="1:9" x14ac:dyDescent="0.25">
      <c r="A11899" s="151">
        <v>1833</v>
      </c>
      <c r="B11899" s="151">
        <f>A11899+1</f>
        <v>1834</v>
      </c>
      <c r="C11899" s="151" t="s">
        <v>539</v>
      </c>
      <c r="D11899" s="151" t="s">
        <v>27</v>
      </c>
      <c r="E11899" s="208" t="s">
        <v>119</v>
      </c>
      <c r="F11899" t="s">
        <v>0</v>
      </c>
      <c r="G11899" s="18">
        <v>7</v>
      </c>
      <c r="H11899" t="s">
        <v>160</v>
      </c>
      <c r="I11899" t="s">
        <v>16</v>
      </c>
    </row>
    <row r="11900" spans="1:9" x14ac:dyDescent="0.25">
      <c r="A11900" s="151">
        <v>1833</v>
      </c>
      <c r="B11900" s="151">
        <f>A11900+1</f>
        <v>1834</v>
      </c>
      <c r="C11900" s="151" t="s">
        <v>539</v>
      </c>
      <c r="D11900" s="151" t="s">
        <v>27</v>
      </c>
      <c r="E11900" s="208" t="s">
        <v>134</v>
      </c>
      <c r="F11900" t="s">
        <v>0</v>
      </c>
      <c r="G11900" s="18">
        <v>2504</v>
      </c>
      <c r="H11900" t="s">
        <v>160</v>
      </c>
      <c r="I11900" t="s">
        <v>16</v>
      </c>
    </row>
    <row r="11901" spans="1:9" x14ac:dyDescent="0.25">
      <c r="A11901" s="151">
        <v>1833</v>
      </c>
      <c r="B11901" s="151">
        <f>A11901+1</f>
        <v>1834</v>
      </c>
      <c r="C11901" s="151" t="s">
        <v>539</v>
      </c>
      <c r="D11901" s="151" t="s">
        <v>26</v>
      </c>
      <c r="E11901" s="208" t="s">
        <v>34</v>
      </c>
      <c r="F11901" t="s">
        <v>169</v>
      </c>
      <c r="G11901" s="18">
        <v>19072</v>
      </c>
      <c r="H11901" t="s">
        <v>160</v>
      </c>
      <c r="I11901" t="s">
        <v>16</v>
      </c>
    </row>
    <row r="11902" spans="1:9" x14ac:dyDescent="0.25">
      <c r="A11902" s="151">
        <v>1833</v>
      </c>
      <c r="B11902" s="151">
        <f>A11902+1</f>
        <v>1834</v>
      </c>
      <c r="C11902" s="151" t="s">
        <v>539</v>
      </c>
      <c r="D11902" s="151" t="s">
        <v>26</v>
      </c>
      <c r="E11902" s="208" t="s">
        <v>63</v>
      </c>
      <c r="F11902" t="s">
        <v>169</v>
      </c>
      <c r="G11902" s="18">
        <v>1574</v>
      </c>
      <c r="H11902" t="s">
        <v>160</v>
      </c>
      <c r="I11902" t="s">
        <v>16</v>
      </c>
    </row>
    <row r="11903" spans="1:9" x14ac:dyDescent="0.25">
      <c r="A11903" s="151">
        <v>1833</v>
      </c>
      <c r="B11903" s="151">
        <f>A11903+1</f>
        <v>1834</v>
      </c>
      <c r="C11903" s="151" t="s">
        <v>539</v>
      </c>
      <c r="D11903" s="151" t="s">
        <v>26</v>
      </c>
      <c r="E11903" s="208" t="s">
        <v>62</v>
      </c>
      <c r="F11903" t="s">
        <v>169</v>
      </c>
      <c r="G11903" s="18">
        <v>10716</v>
      </c>
      <c r="H11903" t="s">
        <v>160</v>
      </c>
      <c r="I11903" t="s">
        <v>16</v>
      </c>
    </row>
    <row r="11904" spans="1:9" x14ac:dyDescent="0.25">
      <c r="A11904" s="151">
        <v>1833</v>
      </c>
      <c r="B11904" s="151">
        <f>A11904+1</f>
        <v>1834</v>
      </c>
      <c r="C11904" s="151" t="s">
        <v>539</v>
      </c>
      <c r="D11904" s="151" t="s">
        <v>26</v>
      </c>
      <c r="E11904" s="208" t="s">
        <v>36</v>
      </c>
      <c r="F11904" t="s">
        <v>169</v>
      </c>
      <c r="G11904" s="18">
        <v>0</v>
      </c>
      <c r="H11904" t="s">
        <v>160</v>
      </c>
      <c r="I11904" t="s">
        <v>16</v>
      </c>
    </row>
    <row r="11905" spans="1:9" x14ac:dyDescent="0.25">
      <c r="A11905" s="151">
        <v>1833</v>
      </c>
      <c r="B11905" s="151">
        <f>A11905+1</f>
        <v>1834</v>
      </c>
      <c r="C11905" s="151" t="s">
        <v>539</v>
      </c>
      <c r="D11905" s="151" t="s">
        <v>26</v>
      </c>
      <c r="E11905" s="208" t="s">
        <v>35</v>
      </c>
      <c r="F11905" t="s">
        <v>169</v>
      </c>
      <c r="G11905" s="18">
        <v>107</v>
      </c>
      <c r="H11905" t="s">
        <v>160</v>
      </c>
      <c r="I11905" t="s">
        <v>16</v>
      </c>
    </row>
    <row r="11906" spans="1:9" x14ac:dyDescent="0.25">
      <c r="A11906" s="151">
        <v>1833</v>
      </c>
      <c r="B11906" s="151">
        <f>A11906+1</f>
        <v>1834</v>
      </c>
      <c r="C11906" s="151" t="s">
        <v>539</v>
      </c>
      <c r="D11906" s="151" t="s">
        <v>26</v>
      </c>
      <c r="E11906" s="208" t="s">
        <v>40</v>
      </c>
      <c r="F11906" t="s">
        <v>169</v>
      </c>
      <c r="G11906" s="18">
        <v>7840</v>
      </c>
      <c r="H11906" t="s">
        <v>160</v>
      </c>
      <c r="I11906" t="s">
        <v>16</v>
      </c>
    </row>
    <row r="11907" spans="1:9" x14ac:dyDescent="0.25">
      <c r="A11907" s="151">
        <v>1833</v>
      </c>
      <c r="B11907" s="151">
        <f>A11907+1</f>
        <v>1834</v>
      </c>
      <c r="C11907" s="151" t="s">
        <v>539</v>
      </c>
      <c r="D11907" s="151" t="s">
        <v>26</v>
      </c>
      <c r="E11907" s="208" t="s">
        <v>96</v>
      </c>
      <c r="F11907" t="s">
        <v>169</v>
      </c>
      <c r="G11907" s="18">
        <v>1349</v>
      </c>
      <c r="H11907" t="s">
        <v>16</v>
      </c>
      <c r="I11907" t="s">
        <v>21</v>
      </c>
    </row>
    <row r="11908" spans="1:9" x14ac:dyDescent="0.25">
      <c r="A11908" s="151">
        <v>1833</v>
      </c>
      <c r="B11908" s="151">
        <f>A11908+1</f>
        <v>1834</v>
      </c>
      <c r="C11908" s="151" t="s">
        <v>539</v>
      </c>
      <c r="D11908" s="151" t="s">
        <v>26</v>
      </c>
      <c r="E11908" s="208" t="s">
        <v>98</v>
      </c>
      <c r="F11908" t="s">
        <v>169</v>
      </c>
      <c r="G11908" s="18">
        <v>285076</v>
      </c>
      <c r="H11908" t="s">
        <v>16</v>
      </c>
      <c r="I11908" t="s">
        <v>21</v>
      </c>
    </row>
    <row r="11909" spans="1:9" x14ac:dyDescent="0.25">
      <c r="A11909" s="151">
        <v>1833</v>
      </c>
      <c r="B11909" s="151">
        <f>A11909+1</f>
        <v>1834</v>
      </c>
      <c r="C11909" s="151" t="s">
        <v>539</v>
      </c>
      <c r="D11909" s="151" t="s">
        <v>26</v>
      </c>
      <c r="E11909" s="208" t="s">
        <v>442</v>
      </c>
      <c r="F11909" t="s">
        <v>169</v>
      </c>
      <c r="G11909" s="18">
        <v>1918</v>
      </c>
      <c r="H11909" t="s">
        <v>16</v>
      </c>
      <c r="I11909" t="s">
        <v>21</v>
      </c>
    </row>
    <row r="11910" spans="1:9" x14ac:dyDescent="0.25">
      <c r="A11910" s="151">
        <v>1833</v>
      </c>
      <c r="B11910" s="151">
        <f>A11910+1</f>
        <v>1834</v>
      </c>
      <c r="C11910" s="151" t="s">
        <v>539</v>
      </c>
      <c r="D11910" s="151" t="s">
        <v>26</v>
      </c>
      <c r="E11910" s="208" t="s">
        <v>105</v>
      </c>
      <c r="F11910" t="s">
        <v>169</v>
      </c>
      <c r="G11910" s="18">
        <v>0</v>
      </c>
      <c r="H11910" t="s">
        <v>16</v>
      </c>
      <c r="I11910" t="s">
        <v>21</v>
      </c>
    </row>
    <row r="11911" spans="1:9" x14ac:dyDescent="0.25">
      <c r="A11911" s="151">
        <v>1833</v>
      </c>
      <c r="B11911" s="151">
        <f>A11911+1</f>
        <v>1834</v>
      </c>
      <c r="C11911" s="151" t="s">
        <v>539</v>
      </c>
      <c r="D11911" s="151" t="s">
        <v>26</v>
      </c>
      <c r="E11911" s="208" t="s">
        <v>106</v>
      </c>
      <c r="F11911" t="s">
        <v>169</v>
      </c>
      <c r="G11911" s="18">
        <v>0</v>
      </c>
      <c r="H11911" t="s">
        <v>16</v>
      </c>
      <c r="I11911" t="s">
        <v>21</v>
      </c>
    </row>
    <row r="11912" spans="1:9" x14ac:dyDescent="0.25">
      <c r="A11912" s="151">
        <v>1833</v>
      </c>
      <c r="B11912" s="151">
        <f>A11912+1</f>
        <v>1834</v>
      </c>
      <c r="C11912" s="151" t="s">
        <v>539</v>
      </c>
      <c r="D11912" s="151" t="s">
        <v>26</v>
      </c>
      <c r="E11912" s="208" t="s">
        <v>101</v>
      </c>
      <c r="F11912" t="s">
        <v>169</v>
      </c>
      <c r="G11912" s="18">
        <v>0</v>
      </c>
      <c r="H11912" t="s">
        <v>16</v>
      </c>
      <c r="I11912" t="s">
        <v>21</v>
      </c>
    </row>
    <row r="11913" spans="1:9" x14ac:dyDescent="0.25">
      <c r="A11913" s="151">
        <v>1833</v>
      </c>
      <c r="B11913" s="151">
        <f>A11913+1</f>
        <v>1834</v>
      </c>
      <c r="C11913" s="151" t="s">
        <v>539</v>
      </c>
      <c r="D11913" s="151" t="s">
        <v>26</v>
      </c>
      <c r="E11913" s="208" t="s">
        <v>75</v>
      </c>
      <c r="F11913" t="s">
        <v>169</v>
      </c>
      <c r="G11913" s="18">
        <v>0</v>
      </c>
      <c r="H11913" t="s">
        <v>16</v>
      </c>
      <c r="I11913" t="s">
        <v>21</v>
      </c>
    </row>
    <row r="11914" spans="1:9" x14ac:dyDescent="0.25">
      <c r="A11914" s="151">
        <v>1833</v>
      </c>
      <c r="B11914" s="151">
        <f>A11914+1</f>
        <v>1834</v>
      </c>
      <c r="C11914" s="151" t="s">
        <v>539</v>
      </c>
      <c r="D11914" s="151" t="s">
        <v>26</v>
      </c>
      <c r="E11914" s="208" t="s">
        <v>66</v>
      </c>
      <c r="F11914" t="s">
        <v>169</v>
      </c>
      <c r="G11914" s="18">
        <v>440750</v>
      </c>
      <c r="H11914" t="s">
        <v>16</v>
      </c>
      <c r="I11914" t="s">
        <v>21</v>
      </c>
    </row>
    <row r="11915" spans="1:9" x14ac:dyDescent="0.25">
      <c r="A11915" s="151">
        <v>1833</v>
      </c>
      <c r="B11915" s="151">
        <f>A11915+1</f>
        <v>1834</v>
      </c>
      <c r="C11915" s="151" t="s">
        <v>539</v>
      </c>
      <c r="D11915" s="151" t="s">
        <v>26</v>
      </c>
      <c r="E11915" s="208" t="s">
        <v>28</v>
      </c>
      <c r="F11915" t="s">
        <v>169</v>
      </c>
      <c r="G11915" s="18">
        <v>2551.5</v>
      </c>
      <c r="H11915" t="s">
        <v>16</v>
      </c>
      <c r="I11915" t="s">
        <v>21</v>
      </c>
    </row>
    <row r="11916" spans="1:9" x14ac:dyDescent="0.25">
      <c r="A11916" s="151">
        <v>1833</v>
      </c>
      <c r="B11916" s="151">
        <f>A11916+1</f>
        <v>1834</v>
      </c>
      <c r="C11916" s="151" t="s">
        <v>539</v>
      </c>
      <c r="D11916" s="151" t="s">
        <v>26</v>
      </c>
      <c r="E11916" s="208" t="s">
        <v>89</v>
      </c>
      <c r="F11916" t="s">
        <v>169</v>
      </c>
      <c r="G11916" s="18">
        <v>13436</v>
      </c>
      <c r="H11916" t="s">
        <v>16</v>
      </c>
      <c r="I11916" t="s">
        <v>21</v>
      </c>
    </row>
    <row r="11917" spans="1:9" x14ac:dyDescent="0.25">
      <c r="A11917" s="151">
        <v>1833</v>
      </c>
      <c r="B11917" s="151">
        <f>A11917+1</f>
        <v>1834</v>
      </c>
      <c r="C11917" s="151" t="s">
        <v>539</v>
      </c>
      <c r="D11917" s="151" t="s">
        <v>26</v>
      </c>
      <c r="E11917" s="208" t="s">
        <v>450</v>
      </c>
      <c r="F11917" t="s">
        <v>169</v>
      </c>
      <c r="G11917" s="18">
        <v>12192.5</v>
      </c>
      <c r="H11917" t="s">
        <v>16</v>
      </c>
      <c r="I11917" t="s">
        <v>21</v>
      </c>
    </row>
    <row r="11918" spans="1:9" x14ac:dyDescent="0.25">
      <c r="A11918" s="151">
        <v>1833</v>
      </c>
      <c r="B11918" s="151">
        <f>A11918+1</f>
        <v>1834</v>
      </c>
      <c r="C11918" s="151" t="s">
        <v>539</v>
      </c>
      <c r="D11918" s="151" t="s">
        <v>26</v>
      </c>
      <c r="E11918" s="208" t="s">
        <v>48</v>
      </c>
      <c r="F11918" t="s">
        <v>169</v>
      </c>
      <c r="G11918" s="18">
        <v>15487</v>
      </c>
      <c r="H11918" t="s">
        <v>16</v>
      </c>
      <c r="I11918" t="s">
        <v>21</v>
      </c>
    </row>
    <row r="11919" spans="1:9" x14ac:dyDescent="0.25">
      <c r="A11919" s="151">
        <v>1833</v>
      </c>
      <c r="B11919" s="151">
        <f>A11919+1</f>
        <v>1834</v>
      </c>
      <c r="C11919" s="151" t="s">
        <v>539</v>
      </c>
      <c r="D11919" s="151" t="s">
        <v>26</v>
      </c>
      <c r="E11919" s="208" t="s">
        <v>102</v>
      </c>
      <c r="F11919" t="s">
        <v>169</v>
      </c>
      <c r="G11919" s="18">
        <v>15396</v>
      </c>
      <c r="H11919" t="s">
        <v>16</v>
      </c>
      <c r="I11919" t="s">
        <v>21</v>
      </c>
    </row>
    <row r="11920" spans="1:9" x14ac:dyDescent="0.25">
      <c r="A11920" s="151">
        <v>1833</v>
      </c>
      <c r="B11920" s="151">
        <f>A11920+1</f>
        <v>1834</v>
      </c>
      <c r="C11920" s="151" t="s">
        <v>539</v>
      </c>
      <c r="D11920" s="151" t="s">
        <v>26</v>
      </c>
      <c r="E11920" s="208" t="s">
        <v>330</v>
      </c>
      <c r="F11920" t="s">
        <v>169</v>
      </c>
      <c r="G11920" s="18">
        <v>33</v>
      </c>
      <c r="H11920" t="s">
        <v>16</v>
      </c>
      <c r="I11920" t="s">
        <v>21</v>
      </c>
    </row>
    <row r="11921" spans="1:9" x14ac:dyDescent="0.25">
      <c r="A11921" s="151">
        <v>1833</v>
      </c>
      <c r="B11921" s="151">
        <f>A11921+1</f>
        <v>1834</v>
      </c>
      <c r="C11921" s="151" t="s">
        <v>539</v>
      </c>
      <c r="D11921" s="151" t="s">
        <v>26</v>
      </c>
      <c r="E11921" s="208" t="s">
        <v>331</v>
      </c>
      <c r="F11921" t="s">
        <v>169</v>
      </c>
      <c r="G11921" s="18">
        <v>0</v>
      </c>
      <c r="H11921" t="s">
        <v>16</v>
      </c>
      <c r="I11921" t="s">
        <v>21</v>
      </c>
    </row>
    <row r="11922" spans="1:9" x14ac:dyDescent="0.25">
      <c r="A11922" s="151">
        <v>1833</v>
      </c>
      <c r="B11922" s="151">
        <f>A11922+1</f>
        <v>1834</v>
      </c>
      <c r="C11922" s="151" t="s">
        <v>539</v>
      </c>
      <c r="D11922" s="151" t="s">
        <v>26</v>
      </c>
      <c r="E11922" s="208" t="s">
        <v>332</v>
      </c>
      <c r="F11922" t="s">
        <v>169</v>
      </c>
      <c r="G11922" s="18">
        <v>0</v>
      </c>
      <c r="H11922" t="s">
        <v>16</v>
      </c>
      <c r="I11922" t="s">
        <v>21</v>
      </c>
    </row>
    <row r="11923" spans="1:9" x14ac:dyDescent="0.25">
      <c r="A11923" s="151">
        <v>1833</v>
      </c>
      <c r="B11923" s="151">
        <f>A11923+1</f>
        <v>1834</v>
      </c>
      <c r="C11923" s="151" t="s">
        <v>539</v>
      </c>
      <c r="D11923" s="151" t="s">
        <v>26</v>
      </c>
      <c r="E11923" s="208" t="s">
        <v>333</v>
      </c>
      <c r="F11923" t="s">
        <v>169</v>
      </c>
      <c r="G11923" s="18">
        <v>0</v>
      </c>
      <c r="H11923" t="s">
        <v>16</v>
      </c>
      <c r="I11923" t="s">
        <v>21</v>
      </c>
    </row>
    <row r="11924" spans="1:9" x14ac:dyDescent="0.25">
      <c r="A11924" s="151">
        <v>1833</v>
      </c>
      <c r="B11924" s="151">
        <f>A11924+1</f>
        <v>1834</v>
      </c>
      <c r="C11924" s="151" t="s">
        <v>539</v>
      </c>
      <c r="D11924" s="151" t="s">
        <v>27</v>
      </c>
      <c r="E11924" s="208" t="s">
        <v>155</v>
      </c>
      <c r="F11924" t="s">
        <v>1</v>
      </c>
      <c r="G11924" s="18">
        <v>383</v>
      </c>
      <c r="H11924" t="s">
        <v>16</v>
      </c>
      <c r="I11924" t="s">
        <v>21</v>
      </c>
    </row>
    <row r="11925" spans="1:9" x14ac:dyDescent="0.25">
      <c r="A11925" s="151">
        <v>1833</v>
      </c>
      <c r="B11925" s="151">
        <f>A11925+1</f>
        <v>1834</v>
      </c>
      <c r="C11925" s="151" t="s">
        <v>539</v>
      </c>
      <c r="D11925" s="151" t="s">
        <v>27</v>
      </c>
      <c r="E11925" s="208" t="s">
        <v>156</v>
      </c>
      <c r="F11925" t="s">
        <v>1</v>
      </c>
      <c r="G11925" s="18">
        <v>26</v>
      </c>
      <c r="H11925" t="s">
        <v>16</v>
      </c>
      <c r="I11925" t="s">
        <v>21</v>
      </c>
    </row>
    <row r="11926" spans="1:9" x14ac:dyDescent="0.25">
      <c r="A11926" s="151">
        <v>1833</v>
      </c>
      <c r="B11926" s="151">
        <f>A11926+1</f>
        <v>1834</v>
      </c>
      <c r="C11926" s="151" t="s">
        <v>539</v>
      </c>
      <c r="D11926" s="151" t="s">
        <v>27</v>
      </c>
      <c r="E11926" s="208" t="s">
        <v>154</v>
      </c>
      <c r="F11926" t="s">
        <v>1</v>
      </c>
      <c r="G11926" s="18">
        <v>102.5</v>
      </c>
      <c r="H11926" t="s">
        <v>16</v>
      </c>
      <c r="I11926" t="s">
        <v>21</v>
      </c>
    </row>
    <row r="11927" spans="1:9" x14ac:dyDescent="0.25">
      <c r="A11927" s="151">
        <v>1833</v>
      </c>
      <c r="B11927" s="151">
        <f>A11927+1</f>
        <v>1834</v>
      </c>
      <c r="C11927" s="151" t="s">
        <v>539</v>
      </c>
      <c r="D11927" s="151" t="s">
        <v>27</v>
      </c>
      <c r="E11927" s="208" t="s">
        <v>150</v>
      </c>
      <c r="F11927" t="s">
        <v>1</v>
      </c>
      <c r="G11927" s="18">
        <v>200</v>
      </c>
      <c r="H11927" t="s">
        <v>16</v>
      </c>
      <c r="I11927" t="s">
        <v>21</v>
      </c>
    </row>
    <row r="11928" spans="1:9" x14ac:dyDescent="0.25">
      <c r="A11928" s="151">
        <v>1833</v>
      </c>
      <c r="B11928" s="151">
        <f>A11928+1</f>
        <v>1834</v>
      </c>
      <c r="C11928" s="151" t="s">
        <v>539</v>
      </c>
      <c r="D11928" s="151" t="s">
        <v>27</v>
      </c>
      <c r="E11928" s="208" t="s">
        <v>148</v>
      </c>
      <c r="F11928" t="s">
        <v>1</v>
      </c>
      <c r="G11928" s="18">
        <v>1</v>
      </c>
      <c r="H11928" t="s">
        <v>16</v>
      </c>
      <c r="I11928" t="s">
        <v>21</v>
      </c>
    </row>
    <row r="11929" spans="1:9" x14ac:dyDescent="0.25">
      <c r="A11929" s="151">
        <v>1833</v>
      </c>
      <c r="B11929" s="151">
        <f>A11929+1</f>
        <v>1834</v>
      </c>
      <c r="C11929" s="151" t="s">
        <v>539</v>
      </c>
      <c r="D11929" s="151" t="s">
        <v>27</v>
      </c>
      <c r="E11929" s="208" t="s">
        <v>147</v>
      </c>
      <c r="F11929" t="s">
        <v>1</v>
      </c>
      <c r="G11929" s="18">
        <v>0</v>
      </c>
      <c r="H11929" t="s">
        <v>16</v>
      </c>
      <c r="I11929" t="s">
        <v>21</v>
      </c>
    </row>
    <row r="11930" spans="1:9" x14ac:dyDescent="0.25">
      <c r="A11930" s="151">
        <v>1833</v>
      </c>
      <c r="B11930" s="151">
        <f>A11930+1</f>
        <v>1834</v>
      </c>
      <c r="C11930" s="151" t="s">
        <v>539</v>
      </c>
      <c r="D11930" s="151" t="s">
        <v>27</v>
      </c>
      <c r="E11930" s="208" t="s">
        <v>125</v>
      </c>
      <c r="F11930" t="s">
        <v>1</v>
      </c>
      <c r="G11930" s="18">
        <v>64</v>
      </c>
      <c r="H11930" t="s">
        <v>16</v>
      </c>
      <c r="I11930" t="s">
        <v>21</v>
      </c>
    </row>
    <row r="11931" spans="1:9" x14ac:dyDescent="0.25">
      <c r="A11931" s="151">
        <v>1833</v>
      </c>
      <c r="B11931" s="151">
        <f>A11931+1</f>
        <v>1834</v>
      </c>
      <c r="C11931" s="151" t="s">
        <v>539</v>
      </c>
      <c r="D11931" s="151" t="s">
        <v>27</v>
      </c>
      <c r="E11931" s="208" t="s">
        <v>122</v>
      </c>
      <c r="F11931" t="s">
        <v>1</v>
      </c>
      <c r="G11931" s="18">
        <v>15.5</v>
      </c>
      <c r="H11931" t="s">
        <v>16</v>
      </c>
      <c r="I11931" t="s">
        <v>23</v>
      </c>
    </row>
    <row r="11932" spans="1:9" x14ac:dyDescent="0.25">
      <c r="A11932" s="151">
        <v>1833</v>
      </c>
      <c r="B11932" s="151">
        <f>A11932+1</f>
        <v>1834</v>
      </c>
      <c r="C11932" s="151" t="s">
        <v>539</v>
      </c>
      <c r="D11932" s="151" t="s">
        <v>27</v>
      </c>
      <c r="E11932" s="208" t="s">
        <v>121</v>
      </c>
      <c r="F11932" t="s">
        <v>1</v>
      </c>
      <c r="G11932" s="18">
        <v>1</v>
      </c>
      <c r="H11932" t="s">
        <v>16</v>
      </c>
      <c r="I11932" t="s">
        <v>23</v>
      </c>
    </row>
    <row r="11933" spans="1:9" x14ac:dyDescent="0.25">
      <c r="A11933" s="151">
        <v>1833</v>
      </c>
      <c r="B11933" s="151">
        <f>A11933+1</f>
        <v>1834</v>
      </c>
      <c r="C11933" s="151" t="s">
        <v>539</v>
      </c>
      <c r="D11933" s="151" t="s">
        <v>27</v>
      </c>
      <c r="E11933" s="208" t="s">
        <v>139</v>
      </c>
      <c r="F11933" t="s">
        <v>1</v>
      </c>
      <c r="G11933" s="18">
        <v>0</v>
      </c>
      <c r="H11933" t="s">
        <v>16</v>
      </c>
      <c r="I11933" t="s">
        <v>23</v>
      </c>
    </row>
    <row r="11934" spans="1:9" x14ac:dyDescent="0.25">
      <c r="A11934" s="151">
        <v>1833</v>
      </c>
      <c r="B11934" s="151">
        <f>A11934+1</f>
        <v>1834</v>
      </c>
      <c r="C11934" s="151" t="s">
        <v>539</v>
      </c>
      <c r="D11934" s="151" t="s">
        <v>27</v>
      </c>
      <c r="E11934" s="208" t="s">
        <v>143</v>
      </c>
      <c r="F11934" t="s">
        <v>1</v>
      </c>
      <c r="G11934" s="18">
        <v>0</v>
      </c>
      <c r="H11934" t="s">
        <v>16</v>
      </c>
      <c r="I11934" t="s">
        <v>23</v>
      </c>
    </row>
    <row r="11935" spans="1:9" x14ac:dyDescent="0.25">
      <c r="A11935" s="151">
        <v>1833</v>
      </c>
      <c r="B11935" s="151">
        <f>A11935+1</f>
        <v>1834</v>
      </c>
      <c r="C11935" s="151" t="s">
        <v>539</v>
      </c>
      <c r="D11935" s="151" t="s">
        <v>27</v>
      </c>
      <c r="E11935" s="208" t="s">
        <v>142</v>
      </c>
      <c r="F11935" t="s">
        <v>1</v>
      </c>
      <c r="G11935" s="18">
        <v>70</v>
      </c>
      <c r="H11935" t="s">
        <v>16</v>
      </c>
      <c r="I11935" t="s">
        <v>23</v>
      </c>
    </row>
    <row r="11936" spans="1:9" x14ac:dyDescent="0.25">
      <c r="A11936" s="151">
        <v>1833</v>
      </c>
      <c r="B11936" s="151">
        <f>A11936+1</f>
        <v>1834</v>
      </c>
      <c r="C11936" s="151" t="s">
        <v>539</v>
      </c>
      <c r="D11936" s="151" t="s">
        <v>27</v>
      </c>
      <c r="E11936" s="208" t="s">
        <v>131</v>
      </c>
      <c r="F11936" t="s">
        <v>1</v>
      </c>
      <c r="G11936" s="18">
        <v>0</v>
      </c>
      <c r="H11936" t="s">
        <v>16</v>
      </c>
      <c r="I11936" t="s">
        <v>23</v>
      </c>
    </row>
    <row r="11937" spans="1:9" x14ac:dyDescent="0.25">
      <c r="A11937" s="151">
        <v>1833</v>
      </c>
      <c r="B11937" s="151">
        <f>A11937+1</f>
        <v>1834</v>
      </c>
      <c r="C11937" s="151" t="s">
        <v>539</v>
      </c>
      <c r="D11937" s="151" t="s">
        <v>27</v>
      </c>
      <c r="E11937" s="208" t="s">
        <v>130</v>
      </c>
      <c r="F11937" t="s">
        <v>1</v>
      </c>
      <c r="G11937" s="18">
        <v>0</v>
      </c>
      <c r="H11937" t="s">
        <v>16</v>
      </c>
      <c r="I11937" t="s">
        <v>23</v>
      </c>
    </row>
    <row r="11938" spans="1:9" x14ac:dyDescent="0.25">
      <c r="A11938" s="151">
        <v>1833</v>
      </c>
      <c r="B11938" s="151">
        <f>A11938+1</f>
        <v>1834</v>
      </c>
      <c r="C11938" s="151" t="s">
        <v>539</v>
      </c>
      <c r="D11938" s="151" t="s">
        <v>27</v>
      </c>
      <c r="E11938" s="208" t="s">
        <v>127</v>
      </c>
      <c r="F11938" t="s">
        <v>1</v>
      </c>
      <c r="G11938" s="18">
        <v>0</v>
      </c>
      <c r="H11938" t="s">
        <v>16</v>
      </c>
      <c r="I11938" t="s">
        <v>23</v>
      </c>
    </row>
    <row r="11939" spans="1:9" x14ac:dyDescent="0.25">
      <c r="A11939" s="151">
        <v>1833</v>
      </c>
      <c r="B11939" s="151">
        <f>A11939+1</f>
        <v>1834</v>
      </c>
      <c r="C11939" s="151" t="s">
        <v>539</v>
      </c>
      <c r="D11939" s="151" t="s">
        <v>27</v>
      </c>
      <c r="E11939" s="208" t="s">
        <v>133</v>
      </c>
      <c r="F11939" t="s">
        <v>1</v>
      </c>
      <c r="G11939" s="18">
        <v>0</v>
      </c>
      <c r="H11939" t="s">
        <v>16</v>
      </c>
      <c r="I11939" t="s">
        <v>23</v>
      </c>
    </row>
    <row r="11940" spans="1:9" x14ac:dyDescent="0.25">
      <c r="A11940" s="151">
        <v>1833</v>
      </c>
      <c r="B11940" s="151">
        <f>A11940+1</f>
        <v>1834</v>
      </c>
      <c r="C11940" s="151" t="s">
        <v>539</v>
      </c>
      <c r="D11940" s="151" t="s">
        <v>27</v>
      </c>
      <c r="E11940" s="208" t="s">
        <v>74</v>
      </c>
      <c r="F11940" t="s">
        <v>1</v>
      </c>
      <c r="G11940" s="18">
        <v>53.5</v>
      </c>
      <c r="H11940" t="s">
        <v>16</v>
      </c>
      <c r="I11940" t="s">
        <v>23</v>
      </c>
    </row>
    <row r="11941" spans="1:9" x14ac:dyDescent="0.25">
      <c r="A11941" s="151">
        <v>1833</v>
      </c>
      <c r="B11941" s="151">
        <f>A11941+1</f>
        <v>1834</v>
      </c>
      <c r="C11941" s="151" t="s">
        <v>539</v>
      </c>
      <c r="D11941" s="151" t="s">
        <v>27</v>
      </c>
      <c r="E11941" s="208" t="s">
        <v>129</v>
      </c>
      <c r="F11941" t="s">
        <v>1</v>
      </c>
      <c r="G11941" s="18">
        <v>0</v>
      </c>
      <c r="H11941" t="s">
        <v>16</v>
      </c>
      <c r="I11941" t="s">
        <v>23</v>
      </c>
    </row>
    <row r="11942" spans="1:9" x14ac:dyDescent="0.25">
      <c r="A11942" s="151">
        <v>1833</v>
      </c>
      <c r="B11942" s="151">
        <f>A11942+1</f>
        <v>1834</v>
      </c>
      <c r="C11942" s="151" t="s">
        <v>539</v>
      </c>
      <c r="D11942" s="151" t="s">
        <v>27</v>
      </c>
      <c r="E11942" s="208" t="s">
        <v>141</v>
      </c>
      <c r="F11942" t="s">
        <v>1</v>
      </c>
      <c r="G11942" s="18">
        <v>25</v>
      </c>
      <c r="H11942" t="s">
        <v>16</v>
      </c>
      <c r="I11942" t="s">
        <v>23</v>
      </c>
    </row>
    <row r="11943" spans="1:9" x14ac:dyDescent="0.25">
      <c r="A11943" s="151">
        <v>1833</v>
      </c>
      <c r="B11943" s="151">
        <f>A11943+1</f>
        <v>1834</v>
      </c>
      <c r="C11943" s="151" t="s">
        <v>539</v>
      </c>
      <c r="D11943" s="151" t="s">
        <v>27</v>
      </c>
      <c r="E11943" s="208" t="s">
        <v>135</v>
      </c>
      <c r="F11943" t="s">
        <v>1</v>
      </c>
      <c r="G11943" s="18">
        <v>0</v>
      </c>
      <c r="H11943" t="s">
        <v>16</v>
      </c>
      <c r="I11943" t="s">
        <v>23</v>
      </c>
    </row>
    <row r="11944" spans="1:9" x14ac:dyDescent="0.25">
      <c r="A11944" s="151">
        <v>1833</v>
      </c>
      <c r="B11944" s="151">
        <f>A11944+1</f>
        <v>1834</v>
      </c>
      <c r="C11944" s="151" t="s">
        <v>539</v>
      </c>
      <c r="D11944" s="151" t="s">
        <v>27</v>
      </c>
      <c r="E11944" s="208" t="s">
        <v>128</v>
      </c>
      <c r="F11944" t="s">
        <v>1</v>
      </c>
      <c r="G11944" s="18">
        <v>0</v>
      </c>
      <c r="H11944" t="s">
        <v>16</v>
      </c>
      <c r="I11944" t="s">
        <v>23</v>
      </c>
    </row>
    <row r="11945" spans="1:9" x14ac:dyDescent="0.25">
      <c r="A11945" s="151">
        <v>1833</v>
      </c>
      <c r="B11945" s="151">
        <f>A11945+1</f>
        <v>1834</v>
      </c>
      <c r="C11945" s="151" t="s">
        <v>539</v>
      </c>
      <c r="D11945" s="151" t="s">
        <v>27</v>
      </c>
      <c r="E11945" s="208" t="s">
        <v>78</v>
      </c>
      <c r="F11945" t="s">
        <v>1</v>
      </c>
      <c r="G11945" s="18">
        <v>0</v>
      </c>
      <c r="H11945" t="s">
        <v>16</v>
      </c>
      <c r="I11945" t="s">
        <v>23</v>
      </c>
    </row>
    <row r="11946" spans="1:9" x14ac:dyDescent="0.25">
      <c r="A11946" s="151">
        <v>1833</v>
      </c>
      <c r="B11946" s="151">
        <f>A11946+1</f>
        <v>1834</v>
      </c>
      <c r="C11946" s="151" t="s">
        <v>539</v>
      </c>
      <c r="D11946" s="151" t="s">
        <v>27</v>
      </c>
      <c r="E11946" s="208" t="s">
        <v>119</v>
      </c>
      <c r="F11946" t="s">
        <v>1</v>
      </c>
      <c r="G11946" s="18">
        <v>0</v>
      </c>
      <c r="H11946" t="s">
        <v>16</v>
      </c>
      <c r="I11946" t="s">
        <v>23</v>
      </c>
    </row>
    <row r="11947" spans="1:9" x14ac:dyDescent="0.25">
      <c r="A11947" s="151">
        <v>1833</v>
      </c>
      <c r="B11947" s="151">
        <f>A11947+1</f>
        <v>1834</v>
      </c>
      <c r="C11947" s="151" t="s">
        <v>539</v>
      </c>
      <c r="D11947" s="151" t="s">
        <v>27</v>
      </c>
      <c r="E11947" s="208" t="s">
        <v>134</v>
      </c>
      <c r="F11947" t="s">
        <v>1</v>
      </c>
      <c r="G11947" s="18">
        <v>0</v>
      </c>
      <c r="H11947" t="s">
        <v>16</v>
      </c>
      <c r="I11947" t="s">
        <v>23</v>
      </c>
    </row>
    <row r="11948" spans="1:9" x14ac:dyDescent="0.25">
      <c r="A11948" s="151">
        <v>1833</v>
      </c>
      <c r="B11948" s="151">
        <f>A11948+1</f>
        <v>1834</v>
      </c>
      <c r="C11948" s="151" t="s">
        <v>539</v>
      </c>
      <c r="D11948" s="151" t="s">
        <v>27</v>
      </c>
      <c r="E11948" s="208" t="s">
        <v>155</v>
      </c>
      <c r="F11948" t="s">
        <v>4</v>
      </c>
      <c r="G11948" s="18">
        <v>45</v>
      </c>
      <c r="H11948" t="s">
        <v>16</v>
      </c>
      <c r="I11948" t="s">
        <v>23</v>
      </c>
    </row>
    <row r="11949" spans="1:9" x14ac:dyDescent="0.25">
      <c r="A11949" s="151">
        <v>1833</v>
      </c>
      <c r="B11949" s="151">
        <f>A11949+1</f>
        <v>1834</v>
      </c>
      <c r="C11949" s="151" t="s">
        <v>539</v>
      </c>
      <c r="D11949" s="151" t="s">
        <v>27</v>
      </c>
      <c r="E11949" s="208" t="s">
        <v>156</v>
      </c>
      <c r="F11949" t="s">
        <v>4</v>
      </c>
      <c r="G11949" s="18">
        <v>21</v>
      </c>
      <c r="H11949" t="s">
        <v>16</v>
      </c>
      <c r="I11949" t="s">
        <v>23</v>
      </c>
    </row>
    <row r="11950" spans="1:9" x14ac:dyDescent="0.25">
      <c r="A11950" s="151">
        <v>1833</v>
      </c>
      <c r="B11950" s="151">
        <f>A11950+1</f>
        <v>1834</v>
      </c>
      <c r="C11950" s="151" t="s">
        <v>539</v>
      </c>
      <c r="D11950" s="151" t="s">
        <v>27</v>
      </c>
      <c r="E11950" s="208" t="s">
        <v>154</v>
      </c>
      <c r="F11950" t="s">
        <v>4</v>
      </c>
      <c r="G11950" s="18">
        <v>137.5</v>
      </c>
      <c r="H11950" t="s">
        <v>16</v>
      </c>
      <c r="I11950" t="s">
        <v>23</v>
      </c>
    </row>
    <row r="11951" spans="1:9" x14ac:dyDescent="0.25">
      <c r="A11951" s="151">
        <v>1833</v>
      </c>
      <c r="B11951" s="151">
        <f>A11951+1</f>
        <v>1834</v>
      </c>
      <c r="C11951" s="151" t="s">
        <v>539</v>
      </c>
      <c r="D11951" s="151" t="s">
        <v>27</v>
      </c>
      <c r="E11951" s="208" t="s">
        <v>150</v>
      </c>
      <c r="F11951" t="s">
        <v>4</v>
      </c>
      <c r="G11951" s="18">
        <v>14</v>
      </c>
      <c r="H11951" t="s">
        <v>16</v>
      </c>
      <c r="I11951" t="s">
        <v>23</v>
      </c>
    </row>
    <row r="11952" spans="1:9" x14ac:dyDescent="0.25">
      <c r="A11952" s="151">
        <v>1833</v>
      </c>
      <c r="B11952" s="151">
        <f>A11952+1</f>
        <v>1834</v>
      </c>
      <c r="C11952" s="151" t="s">
        <v>539</v>
      </c>
      <c r="D11952" s="151" t="s">
        <v>27</v>
      </c>
      <c r="E11952" s="208" t="s">
        <v>148</v>
      </c>
      <c r="F11952" t="s">
        <v>4</v>
      </c>
      <c r="G11952" s="18">
        <v>0</v>
      </c>
      <c r="H11952" t="s">
        <v>16</v>
      </c>
      <c r="I11952" t="s">
        <v>23</v>
      </c>
    </row>
    <row r="11953" spans="1:9" x14ac:dyDescent="0.25">
      <c r="A11953" s="151">
        <v>1833</v>
      </c>
      <c r="B11953" s="151">
        <f>A11953+1</f>
        <v>1834</v>
      </c>
      <c r="C11953" s="151" t="s">
        <v>539</v>
      </c>
      <c r="D11953" s="151" t="s">
        <v>27</v>
      </c>
      <c r="E11953" s="208" t="s">
        <v>147</v>
      </c>
      <c r="F11953" t="s">
        <v>4</v>
      </c>
      <c r="G11953" s="18">
        <v>0</v>
      </c>
      <c r="H11953" t="s">
        <v>16</v>
      </c>
      <c r="I11953" t="s">
        <v>23</v>
      </c>
    </row>
    <row r="11954" spans="1:9" x14ac:dyDescent="0.25">
      <c r="A11954" s="151">
        <v>1833</v>
      </c>
      <c r="B11954" s="151">
        <f>A11954+1</f>
        <v>1834</v>
      </c>
      <c r="C11954" s="151" t="s">
        <v>539</v>
      </c>
      <c r="D11954" s="151" t="s">
        <v>27</v>
      </c>
      <c r="E11954" s="208" t="s">
        <v>125</v>
      </c>
      <c r="F11954" t="s">
        <v>4</v>
      </c>
      <c r="G11954" s="18">
        <v>84</v>
      </c>
      <c r="H11954" t="s">
        <v>16</v>
      </c>
      <c r="I11954" t="s">
        <v>23</v>
      </c>
    </row>
    <row r="11955" spans="1:9" x14ac:dyDescent="0.25">
      <c r="A11955" s="151">
        <v>1833</v>
      </c>
      <c r="B11955" s="151">
        <f>A11955+1</f>
        <v>1834</v>
      </c>
      <c r="C11955" s="151" t="s">
        <v>539</v>
      </c>
      <c r="D11955" s="151" t="s">
        <v>27</v>
      </c>
      <c r="E11955" s="208" t="s">
        <v>122</v>
      </c>
      <c r="F11955" t="s">
        <v>4</v>
      </c>
      <c r="G11955" s="18">
        <v>108</v>
      </c>
      <c r="H11955" t="s">
        <v>23</v>
      </c>
      <c r="I11955" t="s">
        <v>16</v>
      </c>
    </row>
    <row r="11956" spans="1:9" x14ac:dyDescent="0.25">
      <c r="A11956" s="151">
        <v>1833</v>
      </c>
      <c r="B11956" s="151">
        <f>A11956+1</f>
        <v>1834</v>
      </c>
      <c r="C11956" s="151" t="s">
        <v>539</v>
      </c>
      <c r="D11956" s="151" t="s">
        <v>27</v>
      </c>
      <c r="E11956" s="208" t="s">
        <v>121</v>
      </c>
      <c r="F11956" t="s">
        <v>4</v>
      </c>
      <c r="G11956" s="18">
        <v>0</v>
      </c>
      <c r="H11956" t="s">
        <v>23</v>
      </c>
      <c r="I11956" t="s">
        <v>16</v>
      </c>
    </row>
    <row r="11957" spans="1:9" x14ac:dyDescent="0.25">
      <c r="A11957" s="151">
        <v>1833</v>
      </c>
      <c r="B11957" s="151">
        <f>A11957+1</f>
        <v>1834</v>
      </c>
      <c r="C11957" s="151" t="s">
        <v>539</v>
      </c>
      <c r="D11957" s="151" t="s">
        <v>27</v>
      </c>
      <c r="E11957" s="208" t="s">
        <v>139</v>
      </c>
      <c r="F11957" t="s">
        <v>4</v>
      </c>
      <c r="G11957" s="18">
        <v>16</v>
      </c>
      <c r="H11957" t="s">
        <v>23</v>
      </c>
      <c r="I11957" t="s">
        <v>16</v>
      </c>
    </row>
    <row r="11958" spans="1:9" x14ac:dyDescent="0.25">
      <c r="A11958" s="151">
        <v>1833</v>
      </c>
      <c r="B11958" s="151">
        <f>A11958+1</f>
        <v>1834</v>
      </c>
      <c r="C11958" s="151" t="s">
        <v>539</v>
      </c>
      <c r="D11958" s="151" t="s">
        <v>27</v>
      </c>
      <c r="E11958" s="208" t="s">
        <v>143</v>
      </c>
      <c r="F11958" t="s">
        <v>4</v>
      </c>
      <c r="G11958" s="18">
        <v>80</v>
      </c>
      <c r="H11958" t="s">
        <v>23</v>
      </c>
      <c r="I11958" t="s">
        <v>16</v>
      </c>
    </row>
    <row r="11959" spans="1:9" x14ac:dyDescent="0.25">
      <c r="A11959" s="151">
        <v>1833</v>
      </c>
      <c r="B11959" s="151">
        <f>A11959+1</f>
        <v>1834</v>
      </c>
      <c r="C11959" s="151" t="s">
        <v>539</v>
      </c>
      <c r="D11959" s="151" t="s">
        <v>27</v>
      </c>
      <c r="E11959" s="208" t="s">
        <v>142</v>
      </c>
      <c r="F11959" t="s">
        <v>4</v>
      </c>
      <c r="G11959" s="18">
        <v>5959</v>
      </c>
      <c r="H11959" t="s">
        <v>23</v>
      </c>
      <c r="I11959" t="s">
        <v>16</v>
      </c>
    </row>
    <row r="11960" spans="1:9" x14ac:dyDescent="0.25">
      <c r="A11960" s="151">
        <v>1833</v>
      </c>
      <c r="B11960" s="151">
        <f>A11960+1</f>
        <v>1834</v>
      </c>
      <c r="C11960" s="151" t="s">
        <v>539</v>
      </c>
      <c r="D11960" s="151" t="s">
        <v>27</v>
      </c>
      <c r="E11960" s="208" t="s">
        <v>131</v>
      </c>
      <c r="F11960" t="s">
        <v>4</v>
      </c>
      <c r="G11960" s="18">
        <v>6</v>
      </c>
      <c r="H11960" t="s">
        <v>23</v>
      </c>
      <c r="I11960" t="s">
        <v>16</v>
      </c>
    </row>
    <row r="11961" spans="1:9" x14ac:dyDescent="0.25">
      <c r="A11961" s="151">
        <v>1833</v>
      </c>
      <c r="B11961" s="151">
        <f>A11961+1</f>
        <v>1834</v>
      </c>
      <c r="C11961" s="151" t="s">
        <v>539</v>
      </c>
      <c r="D11961" s="151" t="s">
        <v>27</v>
      </c>
      <c r="E11961" s="208" t="s">
        <v>130</v>
      </c>
      <c r="F11961" t="s">
        <v>4</v>
      </c>
      <c r="G11961" s="18">
        <v>0</v>
      </c>
      <c r="H11961" t="s">
        <v>23</v>
      </c>
      <c r="I11961" t="s">
        <v>16</v>
      </c>
    </row>
    <row r="11962" spans="1:9" x14ac:dyDescent="0.25">
      <c r="A11962" s="151">
        <v>1833</v>
      </c>
      <c r="B11962" s="151">
        <f>A11962+1</f>
        <v>1834</v>
      </c>
      <c r="C11962" s="151" t="s">
        <v>539</v>
      </c>
      <c r="D11962" s="151" t="s">
        <v>27</v>
      </c>
      <c r="E11962" s="208" t="s">
        <v>127</v>
      </c>
      <c r="F11962" t="s">
        <v>4</v>
      </c>
      <c r="G11962" s="18">
        <v>0</v>
      </c>
      <c r="H11962" t="s">
        <v>23</v>
      </c>
      <c r="I11962" t="s">
        <v>16</v>
      </c>
    </row>
    <row r="11963" spans="1:9" x14ac:dyDescent="0.25">
      <c r="A11963" s="151">
        <v>1833</v>
      </c>
      <c r="B11963" s="151">
        <f>A11963+1</f>
        <v>1834</v>
      </c>
      <c r="C11963" s="151" t="s">
        <v>539</v>
      </c>
      <c r="D11963" s="151" t="s">
        <v>27</v>
      </c>
      <c r="E11963" s="208" t="s">
        <v>133</v>
      </c>
      <c r="F11963" t="s">
        <v>4</v>
      </c>
      <c r="G11963" s="18">
        <v>2928</v>
      </c>
      <c r="H11963" t="s">
        <v>23</v>
      </c>
      <c r="I11963" t="s">
        <v>16</v>
      </c>
    </row>
    <row r="11964" spans="1:9" x14ac:dyDescent="0.25">
      <c r="A11964" s="151">
        <v>1833</v>
      </c>
      <c r="B11964" s="151">
        <f>A11964+1</f>
        <v>1834</v>
      </c>
      <c r="C11964" s="151" t="s">
        <v>539</v>
      </c>
      <c r="D11964" s="151" t="s">
        <v>27</v>
      </c>
      <c r="E11964" s="208" t="s">
        <v>74</v>
      </c>
      <c r="F11964" t="s">
        <v>4</v>
      </c>
      <c r="G11964" s="18">
        <v>152.55000000000001</v>
      </c>
      <c r="H11964" t="s">
        <v>23</v>
      </c>
      <c r="I11964" t="s">
        <v>16</v>
      </c>
    </row>
    <row r="11965" spans="1:9" x14ac:dyDescent="0.25">
      <c r="A11965" s="151">
        <v>1833</v>
      </c>
      <c r="B11965" s="151">
        <f>A11965+1</f>
        <v>1834</v>
      </c>
      <c r="C11965" s="151" t="s">
        <v>539</v>
      </c>
      <c r="D11965" s="151" t="s">
        <v>27</v>
      </c>
      <c r="E11965" s="208" t="s">
        <v>129</v>
      </c>
      <c r="F11965" t="s">
        <v>4</v>
      </c>
      <c r="G11965" s="18">
        <v>313</v>
      </c>
      <c r="H11965" t="s">
        <v>23</v>
      </c>
      <c r="I11965" t="s">
        <v>16</v>
      </c>
    </row>
    <row r="11966" spans="1:9" x14ac:dyDescent="0.25">
      <c r="A11966" s="151">
        <v>1833</v>
      </c>
      <c r="B11966" s="151">
        <f>A11966+1</f>
        <v>1834</v>
      </c>
      <c r="C11966" s="151" t="s">
        <v>539</v>
      </c>
      <c r="D11966" s="151" t="s">
        <v>27</v>
      </c>
      <c r="E11966" s="208" t="s">
        <v>141</v>
      </c>
      <c r="F11966" t="s">
        <v>4</v>
      </c>
      <c r="G11966" s="18">
        <v>0</v>
      </c>
      <c r="H11966" t="s">
        <v>23</v>
      </c>
      <c r="I11966" t="s">
        <v>16</v>
      </c>
    </row>
    <row r="11967" spans="1:9" x14ac:dyDescent="0.25">
      <c r="A11967" s="151">
        <v>1833</v>
      </c>
      <c r="B11967" s="151">
        <f>A11967+1</f>
        <v>1834</v>
      </c>
      <c r="C11967" s="151" t="s">
        <v>539</v>
      </c>
      <c r="D11967" s="151" t="s">
        <v>27</v>
      </c>
      <c r="E11967" s="208" t="s">
        <v>135</v>
      </c>
      <c r="F11967" t="s">
        <v>4</v>
      </c>
      <c r="G11967" s="18">
        <v>13</v>
      </c>
      <c r="H11967" t="s">
        <v>23</v>
      </c>
      <c r="I11967" t="s">
        <v>16</v>
      </c>
    </row>
    <row r="11968" spans="1:9" x14ac:dyDescent="0.25">
      <c r="A11968" s="151">
        <v>1833</v>
      </c>
      <c r="B11968" s="151">
        <f>A11968+1</f>
        <v>1834</v>
      </c>
      <c r="C11968" s="151" t="s">
        <v>539</v>
      </c>
      <c r="D11968" s="151" t="s">
        <v>27</v>
      </c>
      <c r="E11968" s="208" t="s">
        <v>128</v>
      </c>
      <c r="F11968" t="s">
        <v>4</v>
      </c>
      <c r="G11968" s="18">
        <v>0</v>
      </c>
      <c r="H11968" t="s">
        <v>23</v>
      </c>
      <c r="I11968" t="s">
        <v>16</v>
      </c>
    </row>
    <row r="11969" spans="1:9" x14ac:dyDescent="0.25">
      <c r="A11969" s="151">
        <v>1833</v>
      </c>
      <c r="B11969" s="151">
        <f>A11969+1</f>
        <v>1834</v>
      </c>
      <c r="C11969" s="151" t="s">
        <v>539</v>
      </c>
      <c r="D11969" s="151" t="s">
        <v>27</v>
      </c>
      <c r="E11969" s="208" t="s">
        <v>78</v>
      </c>
      <c r="F11969" t="s">
        <v>4</v>
      </c>
      <c r="G11969" s="18">
        <v>0</v>
      </c>
      <c r="H11969" t="s">
        <v>23</v>
      </c>
      <c r="I11969" t="s">
        <v>16</v>
      </c>
    </row>
    <row r="11970" spans="1:9" x14ac:dyDescent="0.25">
      <c r="A11970" s="151">
        <v>1833</v>
      </c>
      <c r="B11970" s="151">
        <f>A11970+1</f>
        <v>1834</v>
      </c>
      <c r="C11970" s="151" t="s">
        <v>539</v>
      </c>
      <c r="D11970" s="151" t="s">
        <v>27</v>
      </c>
      <c r="E11970" s="208" t="s">
        <v>119</v>
      </c>
      <c r="F11970" t="s">
        <v>4</v>
      </c>
      <c r="G11970" s="18">
        <v>0</v>
      </c>
      <c r="H11970" t="s">
        <v>23</v>
      </c>
      <c r="I11970" t="s">
        <v>16</v>
      </c>
    </row>
    <row r="11971" spans="1:9" x14ac:dyDescent="0.25">
      <c r="A11971" s="151">
        <v>1833</v>
      </c>
      <c r="B11971" s="151">
        <f>A11971+1</f>
        <v>1834</v>
      </c>
      <c r="C11971" s="151" t="s">
        <v>539</v>
      </c>
      <c r="D11971" s="151" t="s">
        <v>27</v>
      </c>
      <c r="E11971" s="208" t="s">
        <v>134</v>
      </c>
      <c r="F11971" t="s">
        <v>4</v>
      </c>
      <c r="G11971" s="18">
        <v>0</v>
      </c>
      <c r="H11971" t="s">
        <v>23</v>
      </c>
      <c r="I11971" t="s">
        <v>16</v>
      </c>
    </row>
    <row r="11972" spans="1:9" x14ac:dyDescent="0.25">
      <c r="A11972" s="151">
        <v>1833</v>
      </c>
      <c r="B11972" s="151">
        <f>A11972+1</f>
        <v>1834</v>
      </c>
      <c r="C11972" s="151" t="s">
        <v>539</v>
      </c>
      <c r="D11972" s="151" t="s">
        <v>26</v>
      </c>
      <c r="E11972" s="208" t="s">
        <v>34</v>
      </c>
      <c r="F11972" t="s">
        <v>4</v>
      </c>
      <c r="G11972" s="18">
        <v>2265</v>
      </c>
      <c r="H11972" t="s">
        <v>23</v>
      </c>
      <c r="I11972" t="s">
        <v>16</v>
      </c>
    </row>
    <row r="11973" spans="1:9" x14ac:dyDescent="0.25">
      <c r="A11973" s="151">
        <v>1833</v>
      </c>
      <c r="B11973" s="151">
        <f>A11973+1</f>
        <v>1834</v>
      </c>
      <c r="C11973" s="151" t="s">
        <v>539</v>
      </c>
      <c r="D11973" s="151" t="s">
        <v>26</v>
      </c>
      <c r="E11973" s="208" t="s">
        <v>63</v>
      </c>
      <c r="F11973" t="s">
        <v>4</v>
      </c>
      <c r="G11973" s="18">
        <v>0</v>
      </c>
      <c r="H11973" t="s">
        <v>23</v>
      </c>
      <c r="I11973" t="s">
        <v>16</v>
      </c>
    </row>
    <row r="11974" spans="1:9" x14ac:dyDescent="0.25">
      <c r="A11974" s="151">
        <v>1833</v>
      </c>
      <c r="B11974" s="151">
        <f>A11974+1</f>
        <v>1834</v>
      </c>
      <c r="C11974" s="151" t="s">
        <v>539</v>
      </c>
      <c r="D11974" s="151" t="s">
        <v>26</v>
      </c>
      <c r="E11974" s="208" t="s">
        <v>62</v>
      </c>
      <c r="F11974" t="s">
        <v>4</v>
      </c>
      <c r="G11974" s="18">
        <v>35079.5</v>
      </c>
      <c r="H11974" t="s">
        <v>23</v>
      </c>
      <c r="I11974" t="s">
        <v>16</v>
      </c>
    </row>
    <row r="11975" spans="1:9" x14ac:dyDescent="0.25">
      <c r="A11975" s="151">
        <v>1833</v>
      </c>
      <c r="B11975" s="151">
        <f>A11975+1</f>
        <v>1834</v>
      </c>
      <c r="C11975" s="151" t="s">
        <v>539</v>
      </c>
      <c r="D11975" s="151" t="s">
        <v>26</v>
      </c>
      <c r="E11975" s="208" t="s">
        <v>55</v>
      </c>
      <c r="F11975" t="s">
        <v>4</v>
      </c>
      <c r="G11975" s="18">
        <v>9707</v>
      </c>
      <c r="H11975" t="s">
        <v>23</v>
      </c>
      <c r="I11975" t="s">
        <v>16</v>
      </c>
    </row>
    <row r="11976" spans="1:9" x14ac:dyDescent="0.25">
      <c r="A11976" s="151">
        <v>1833</v>
      </c>
      <c r="B11976" s="151">
        <f>A11976+1</f>
        <v>1834</v>
      </c>
      <c r="C11976" s="151" t="s">
        <v>539</v>
      </c>
      <c r="D11976" s="151" t="s">
        <v>26</v>
      </c>
      <c r="E11976" s="208" t="s">
        <v>36</v>
      </c>
      <c r="F11976" t="s">
        <v>4</v>
      </c>
      <c r="G11976" s="18">
        <v>829</v>
      </c>
      <c r="H11976" t="s">
        <v>23</v>
      </c>
      <c r="I11976" t="s">
        <v>16</v>
      </c>
    </row>
    <row r="11977" spans="1:9" x14ac:dyDescent="0.25">
      <c r="A11977" s="151">
        <v>1833</v>
      </c>
      <c r="B11977" s="151">
        <f>A11977+1</f>
        <v>1834</v>
      </c>
      <c r="C11977" s="151" t="s">
        <v>539</v>
      </c>
      <c r="D11977" s="151" t="s">
        <v>26</v>
      </c>
      <c r="E11977" s="208" t="s">
        <v>35</v>
      </c>
      <c r="F11977" t="s">
        <v>4</v>
      </c>
      <c r="G11977" s="18">
        <v>0</v>
      </c>
      <c r="H11977" t="s">
        <v>23</v>
      </c>
      <c r="I11977" t="s">
        <v>16</v>
      </c>
    </row>
    <row r="11978" spans="1:9" x14ac:dyDescent="0.25">
      <c r="A11978" s="151">
        <v>1833</v>
      </c>
      <c r="B11978" s="151">
        <f>A11978+1</f>
        <v>1834</v>
      </c>
      <c r="C11978" s="151" t="s">
        <v>539</v>
      </c>
      <c r="D11978" s="151" t="s">
        <v>26</v>
      </c>
      <c r="E11978" s="208" t="s">
        <v>40</v>
      </c>
      <c r="F11978" t="s">
        <v>4</v>
      </c>
      <c r="G11978" s="18">
        <v>383796</v>
      </c>
      <c r="H11978" t="s">
        <v>23</v>
      </c>
      <c r="I11978" t="s">
        <v>16</v>
      </c>
    </row>
    <row r="11979" spans="1:9" x14ac:dyDescent="0.25">
      <c r="A11979" s="151">
        <v>1833</v>
      </c>
      <c r="B11979" s="151">
        <f>A11979+1</f>
        <v>1834</v>
      </c>
      <c r="C11979" s="151" t="s">
        <v>539</v>
      </c>
      <c r="D11979" s="151" t="s">
        <v>26</v>
      </c>
      <c r="E11979" s="208" t="s">
        <v>96</v>
      </c>
      <c r="F11979" t="s">
        <v>4</v>
      </c>
      <c r="G11979" s="18">
        <v>1848</v>
      </c>
      <c r="H11979" t="s">
        <v>16</v>
      </c>
      <c r="I11979" s="151" t="s">
        <v>562</v>
      </c>
    </row>
    <row r="11980" spans="1:9" x14ac:dyDescent="0.25">
      <c r="A11980" s="151">
        <v>1833</v>
      </c>
      <c r="B11980" s="151">
        <f>A11980+1</f>
        <v>1834</v>
      </c>
      <c r="C11980" s="151" t="s">
        <v>539</v>
      </c>
      <c r="D11980" s="151" t="s">
        <v>26</v>
      </c>
      <c r="E11980" s="208" t="s">
        <v>98</v>
      </c>
      <c r="F11980" t="s">
        <v>4</v>
      </c>
      <c r="G11980" s="18">
        <v>969081</v>
      </c>
      <c r="H11980" t="s">
        <v>16</v>
      </c>
      <c r="I11980" s="151" t="s">
        <v>562</v>
      </c>
    </row>
    <row r="11981" spans="1:9" x14ac:dyDescent="0.25">
      <c r="A11981" s="151">
        <v>1833</v>
      </c>
      <c r="B11981" s="151">
        <f>A11981+1</f>
        <v>1834</v>
      </c>
      <c r="C11981" s="151" t="s">
        <v>539</v>
      </c>
      <c r="D11981" s="151" t="s">
        <v>26</v>
      </c>
      <c r="E11981" s="208" t="s">
        <v>442</v>
      </c>
      <c r="F11981" t="s">
        <v>4</v>
      </c>
      <c r="G11981" s="18">
        <v>5673</v>
      </c>
      <c r="H11981" t="s">
        <v>16</v>
      </c>
      <c r="I11981" s="151" t="s">
        <v>562</v>
      </c>
    </row>
    <row r="11982" spans="1:9" x14ac:dyDescent="0.25">
      <c r="A11982" s="151">
        <v>1833</v>
      </c>
      <c r="B11982" s="151">
        <f>A11982+1</f>
        <v>1834</v>
      </c>
      <c r="C11982" s="151" t="s">
        <v>539</v>
      </c>
      <c r="D11982" s="151" t="s">
        <v>26</v>
      </c>
      <c r="E11982" s="208" t="s">
        <v>105</v>
      </c>
      <c r="F11982" t="s">
        <v>4</v>
      </c>
      <c r="G11982" s="18">
        <v>649340</v>
      </c>
      <c r="H11982" t="s">
        <v>16</v>
      </c>
      <c r="I11982" s="151" t="s">
        <v>562</v>
      </c>
    </row>
    <row r="11983" spans="1:9" x14ac:dyDescent="0.25">
      <c r="A11983" s="151">
        <v>1833</v>
      </c>
      <c r="B11983" s="151">
        <f>A11983+1</f>
        <v>1834</v>
      </c>
      <c r="C11983" s="151" t="s">
        <v>539</v>
      </c>
      <c r="D11983" s="151" t="s">
        <v>26</v>
      </c>
      <c r="E11983" s="208" t="s">
        <v>106</v>
      </c>
      <c r="F11983" t="s">
        <v>4</v>
      </c>
      <c r="G11983" s="18">
        <v>330744</v>
      </c>
      <c r="H11983" t="s">
        <v>16</v>
      </c>
      <c r="I11983" s="151" t="s">
        <v>562</v>
      </c>
    </row>
    <row r="11984" spans="1:9" x14ac:dyDescent="0.25">
      <c r="A11984" s="151">
        <v>1833</v>
      </c>
      <c r="B11984" s="151">
        <f>A11984+1</f>
        <v>1834</v>
      </c>
      <c r="C11984" s="151" t="s">
        <v>539</v>
      </c>
      <c r="D11984" s="151" t="s">
        <v>26</v>
      </c>
      <c r="E11984" s="208" t="s">
        <v>101</v>
      </c>
      <c r="F11984" t="s">
        <v>4</v>
      </c>
      <c r="G11984" s="18">
        <v>1704232</v>
      </c>
      <c r="H11984" t="s">
        <v>16</v>
      </c>
      <c r="I11984" s="151" t="s">
        <v>562</v>
      </c>
    </row>
    <row r="11985" spans="1:9" x14ac:dyDescent="0.25">
      <c r="A11985" s="151">
        <v>1833</v>
      </c>
      <c r="B11985" s="151">
        <f>A11985+1</f>
        <v>1834</v>
      </c>
      <c r="C11985" s="151" t="s">
        <v>539</v>
      </c>
      <c r="D11985" s="151" t="s">
        <v>26</v>
      </c>
      <c r="E11985" s="208" t="s">
        <v>75</v>
      </c>
      <c r="F11985" t="s">
        <v>4</v>
      </c>
      <c r="G11985" s="18">
        <v>747262</v>
      </c>
      <c r="H11985" t="s">
        <v>16</v>
      </c>
      <c r="I11985" s="151" t="s">
        <v>562</v>
      </c>
    </row>
    <row r="11986" spans="1:9" x14ac:dyDescent="0.25">
      <c r="A11986" s="151">
        <v>1833</v>
      </c>
      <c r="B11986" s="151">
        <f>A11986+1</f>
        <v>1834</v>
      </c>
      <c r="C11986" s="151" t="s">
        <v>539</v>
      </c>
      <c r="D11986" s="151" t="s">
        <v>26</v>
      </c>
      <c r="E11986" s="208" t="s">
        <v>66</v>
      </c>
      <c r="F11986" t="s">
        <v>4</v>
      </c>
      <c r="G11986" s="18">
        <v>0</v>
      </c>
      <c r="H11986" t="s">
        <v>16</v>
      </c>
      <c r="I11986" s="151" t="s">
        <v>562</v>
      </c>
    </row>
    <row r="11987" spans="1:9" x14ac:dyDescent="0.25">
      <c r="A11987" s="151">
        <v>1833</v>
      </c>
      <c r="B11987" s="151">
        <f>A11987+1</f>
        <v>1834</v>
      </c>
      <c r="C11987" s="151" t="s">
        <v>539</v>
      </c>
      <c r="D11987" s="151" t="s">
        <v>26</v>
      </c>
      <c r="E11987" s="208" t="s">
        <v>28</v>
      </c>
      <c r="F11987" t="s">
        <v>4</v>
      </c>
      <c r="G11987" s="18">
        <v>206.5</v>
      </c>
      <c r="H11987" t="s">
        <v>16</v>
      </c>
      <c r="I11987" s="151" t="s">
        <v>562</v>
      </c>
    </row>
    <row r="11988" spans="1:9" x14ac:dyDescent="0.25">
      <c r="A11988" s="151">
        <v>1833</v>
      </c>
      <c r="B11988" s="151">
        <f>A11988+1</f>
        <v>1834</v>
      </c>
      <c r="C11988" s="151" t="s">
        <v>539</v>
      </c>
      <c r="D11988" s="151" t="s">
        <v>26</v>
      </c>
      <c r="E11988" s="208" t="s">
        <v>89</v>
      </c>
      <c r="F11988" t="s">
        <v>4</v>
      </c>
      <c r="G11988" s="18">
        <v>2.5</v>
      </c>
      <c r="H11988" t="s">
        <v>16</v>
      </c>
      <c r="I11988" s="151" t="s">
        <v>562</v>
      </c>
    </row>
    <row r="11989" spans="1:9" x14ac:dyDescent="0.25">
      <c r="A11989" s="151">
        <v>1833</v>
      </c>
      <c r="B11989" s="151">
        <f>A11989+1</f>
        <v>1834</v>
      </c>
      <c r="C11989" s="151" t="s">
        <v>539</v>
      </c>
      <c r="D11989" s="151" t="s">
        <v>26</v>
      </c>
      <c r="E11989" s="208" t="s">
        <v>450</v>
      </c>
      <c r="F11989" t="s">
        <v>4</v>
      </c>
      <c r="G11989" s="18">
        <v>227</v>
      </c>
      <c r="H11989" t="s">
        <v>16</v>
      </c>
      <c r="I11989" s="151" t="s">
        <v>562</v>
      </c>
    </row>
    <row r="11990" spans="1:9" x14ac:dyDescent="0.25">
      <c r="A11990" s="151">
        <v>1833</v>
      </c>
      <c r="B11990" s="151">
        <f>A11990+1</f>
        <v>1834</v>
      </c>
      <c r="C11990" s="151" t="s">
        <v>539</v>
      </c>
      <c r="D11990" s="151" t="s">
        <v>26</v>
      </c>
      <c r="E11990" s="208" t="s">
        <v>48</v>
      </c>
      <c r="F11990" t="s">
        <v>4</v>
      </c>
      <c r="G11990" s="18">
        <v>233</v>
      </c>
      <c r="H11990" t="s">
        <v>16</v>
      </c>
      <c r="I11990" s="151" t="s">
        <v>562</v>
      </c>
    </row>
    <row r="11991" spans="1:9" x14ac:dyDescent="0.25">
      <c r="A11991" s="151">
        <v>1833</v>
      </c>
      <c r="B11991" s="151">
        <f>A11991+1</f>
        <v>1834</v>
      </c>
      <c r="C11991" s="151" t="s">
        <v>539</v>
      </c>
      <c r="D11991" s="151" t="s">
        <v>26</v>
      </c>
      <c r="E11991" s="208" t="s">
        <v>102</v>
      </c>
      <c r="F11991" t="s">
        <v>4</v>
      </c>
      <c r="G11991" s="18">
        <v>341</v>
      </c>
      <c r="H11991" t="s">
        <v>16</v>
      </c>
      <c r="I11991" s="151" t="s">
        <v>562</v>
      </c>
    </row>
    <row r="11992" spans="1:9" x14ac:dyDescent="0.25">
      <c r="A11992" s="151">
        <v>1833</v>
      </c>
      <c r="B11992" s="151">
        <f>A11992+1</f>
        <v>1834</v>
      </c>
      <c r="C11992" s="151" t="s">
        <v>539</v>
      </c>
      <c r="D11992" s="151" t="s">
        <v>26</v>
      </c>
      <c r="E11992" s="208" t="s">
        <v>330</v>
      </c>
      <c r="F11992" t="s">
        <v>4</v>
      </c>
      <c r="G11992" s="18">
        <v>157</v>
      </c>
      <c r="H11992" t="s">
        <v>16</v>
      </c>
      <c r="I11992" s="151" t="s">
        <v>562</v>
      </c>
    </row>
    <row r="11993" spans="1:9" x14ac:dyDescent="0.25">
      <c r="A11993" s="151">
        <v>1833</v>
      </c>
      <c r="B11993" s="151">
        <f>A11993+1</f>
        <v>1834</v>
      </c>
      <c r="C11993" s="151" t="s">
        <v>539</v>
      </c>
      <c r="D11993" s="151" t="s">
        <v>26</v>
      </c>
      <c r="E11993" s="208" t="s">
        <v>331</v>
      </c>
      <c r="F11993" t="s">
        <v>4</v>
      </c>
      <c r="G11993" s="18">
        <v>0</v>
      </c>
      <c r="H11993" t="s">
        <v>16</v>
      </c>
      <c r="I11993" s="151" t="s">
        <v>562</v>
      </c>
    </row>
    <row r="11994" spans="1:9" x14ac:dyDescent="0.25">
      <c r="A11994" s="151">
        <v>1833</v>
      </c>
      <c r="B11994" s="151">
        <f>A11994+1</f>
        <v>1834</v>
      </c>
      <c r="C11994" s="151" t="s">
        <v>539</v>
      </c>
      <c r="D11994" s="151" t="s">
        <v>26</v>
      </c>
      <c r="E11994" s="208" t="s">
        <v>332</v>
      </c>
      <c r="F11994" t="s">
        <v>4</v>
      </c>
      <c r="G11994" s="18">
        <v>0</v>
      </c>
      <c r="H11994" t="s">
        <v>16</v>
      </c>
      <c r="I11994" s="151" t="s">
        <v>562</v>
      </c>
    </row>
    <row r="11995" spans="1:9" x14ac:dyDescent="0.25">
      <c r="A11995" s="151">
        <v>1833</v>
      </c>
      <c r="B11995" s="151">
        <f>A11995+1</f>
        <v>1834</v>
      </c>
      <c r="C11995" s="151" t="s">
        <v>539</v>
      </c>
      <c r="D11995" s="151" t="s">
        <v>26</v>
      </c>
      <c r="E11995" s="208" t="s">
        <v>333</v>
      </c>
      <c r="F11995" t="s">
        <v>4</v>
      </c>
      <c r="G11995" s="18">
        <v>0</v>
      </c>
      <c r="H11995" t="s">
        <v>16</v>
      </c>
      <c r="I11995" s="151" t="s">
        <v>562</v>
      </c>
    </row>
    <row r="11996" spans="1:9" x14ac:dyDescent="0.25">
      <c r="A11996" s="151">
        <v>1833</v>
      </c>
      <c r="B11996" s="151">
        <f>A11996+1</f>
        <v>1834</v>
      </c>
      <c r="C11996" s="151" t="s">
        <v>539</v>
      </c>
      <c r="D11996" s="151" t="s">
        <v>27</v>
      </c>
      <c r="E11996" s="208" t="s">
        <v>155</v>
      </c>
      <c r="F11996" t="s">
        <v>7</v>
      </c>
      <c r="G11996" s="18">
        <v>18027</v>
      </c>
      <c r="H11996" t="s">
        <v>16</v>
      </c>
      <c r="I11996" s="151" t="s">
        <v>562</v>
      </c>
    </row>
    <row r="11997" spans="1:9" x14ac:dyDescent="0.25">
      <c r="A11997" s="151">
        <v>1833</v>
      </c>
      <c r="B11997" s="151">
        <f>A11997+1</f>
        <v>1834</v>
      </c>
      <c r="C11997" s="151" t="s">
        <v>539</v>
      </c>
      <c r="D11997" s="151" t="s">
        <v>27</v>
      </c>
      <c r="E11997" s="208" t="s">
        <v>156</v>
      </c>
      <c r="F11997" t="s">
        <v>7</v>
      </c>
      <c r="G11997" s="18">
        <v>1308</v>
      </c>
      <c r="H11997" t="s">
        <v>16</v>
      </c>
      <c r="I11997" s="151" t="s">
        <v>562</v>
      </c>
    </row>
    <row r="11998" spans="1:9" x14ac:dyDescent="0.25">
      <c r="A11998" s="151">
        <v>1833</v>
      </c>
      <c r="B11998" s="151">
        <f>A11998+1</f>
        <v>1834</v>
      </c>
      <c r="C11998" s="151" t="s">
        <v>539</v>
      </c>
      <c r="D11998" s="151" t="s">
        <v>27</v>
      </c>
      <c r="E11998" s="208" t="s">
        <v>154</v>
      </c>
      <c r="F11998" t="s">
        <v>7</v>
      </c>
      <c r="G11998" s="18">
        <v>1628.5</v>
      </c>
      <c r="H11998" t="s">
        <v>16</v>
      </c>
      <c r="I11998" s="151" t="s">
        <v>562</v>
      </c>
    </row>
    <row r="11999" spans="1:9" x14ac:dyDescent="0.25">
      <c r="A11999" s="151">
        <v>1833</v>
      </c>
      <c r="B11999" s="151">
        <f>A11999+1</f>
        <v>1834</v>
      </c>
      <c r="C11999" s="151" t="s">
        <v>539</v>
      </c>
      <c r="D11999" s="151" t="s">
        <v>27</v>
      </c>
      <c r="E11999" s="208" t="s">
        <v>150</v>
      </c>
      <c r="F11999" t="s">
        <v>7</v>
      </c>
      <c r="G11999" s="18">
        <v>7082</v>
      </c>
      <c r="H11999" t="s">
        <v>16</v>
      </c>
      <c r="I11999" s="151" t="s">
        <v>562</v>
      </c>
    </row>
    <row r="12000" spans="1:9" x14ac:dyDescent="0.25">
      <c r="A12000" s="151">
        <v>1833</v>
      </c>
      <c r="B12000" s="151">
        <f>A12000+1</f>
        <v>1834</v>
      </c>
      <c r="C12000" s="151" t="s">
        <v>539</v>
      </c>
      <c r="D12000" s="151" t="s">
        <v>27</v>
      </c>
      <c r="E12000" s="208" t="s">
        <v>148</v>
      </c>
      <c r="F12000" t="s">
        <v>7</v>
      </c>
      <c r="G12000" s="18">
        <v>573</v>
      </c>
      <c r="H12000" t="s">
        <v>16</v>
      </c>
      <c r="I12000" s="151" t="s">
        <v>562</v>
      </c>
    </row>
    <row r="12001" spans="1:9" x14ac:dyDescent="0.25">
      <c r="A12001" s="151">
        <v>1833</v>
      </c>
      <c r="B12001" s="151">
        <f>A12001+1</f>
        <v>1834</v>
      </c>
      <c r="C12001" s="151" t="s">
        <v>539</v>
      </c>
      <c r="D12001" s="151" t="s">
        <v>27</v>
      </c>
      <c r="E12001" s="208" t="s">
        <v>147</v>
      </c>
      <c r="F12001" t="s">
        <v>7</v>
      </c>
      <c r="G12001" s="18">
        <v>271</v>
      </c>
      <c r="H12001" t="s">
        <v>16</v>
      </c>
      <c r="I12001" s="151" t="s">
        <v>562</v>
      </c>
    </row>
    <row r="12002" spans="1:9" x14ac:dyDescent="0.25">
      <c r="A12002" s="151">
        <v>1833</v>
      </c>
      <c r="B12002" s="151">
        <f>A12002+1</f>
        <v>1834</v>
      </c>
      <c r="C12002" s="151" t="s">
        <v>539</v>
      </c>
      <c r="D12002" s="151" t="s">
        <v>27</v>
      </c>
      <c r="E12002" s="208" t="s">
        <v>125</v>
      </c>
      <c r="F12002" t="s">
        <v>7</v>
      </c>
      <c r="G12002" s="18">
        <v>11957</v>
      </c>
      <c r="H12002" t="s">
        <v>16</v>
      </c>
      <c r="I12002" s="151" t="s">
        <v>562</v>
      </c>
    </row>
    <row r="12003" spans="1:9" x14ac:dyDescent="0.25">
      <c r="A12003" s="151">
        <v>1833</v>
      </c>
      <c r="B12003" s="151">
        <f>A12003+1</f>
        <v>1834</v>
      </c>
      <c r="C12003" s="151" t="s">
        <v>539</v>
      </c>
      <c r="D12003" s="151" t="s">
        <v>27</v>
      </c>
      <c r="E12003" s="208" t="s">
        <v>122</v>
      </c>
      <c r="F12003" t="s">
        <v>7</v>
      </c>
      <c r="G12003" s="18">
        <v>4327</v>
      </c>
      <c r="H12003" s="151" t="s">
        <v>563</v>
      </c>
      <c r="I12003" t="s">
        <v>16</v>
      </c>
    </row>
    <row r="12004" spans="1:9" x14ac:dyDescent="0.25">
      <c r="A12004" s="151">
        <v>1833</v>
      </c>
      <c r="B12004" s="151">
        <f>A12004+1</f>
        <v>1834</v>
      </c>
      <c r="C12004" s="151" t="s">
        <v>539</v>
      </c>
      <c r="D12004" s="151" t="s">
        <v>27</v>
      </c>
      <c r="E12004" s="208" t="s">
        <v>121</v>
      </c>
      <c r="F12004" t="s">
        <v>7</v>
      </c>
      <c r="G12004" s="18">
        <v>192</v>
      </c>
      <c r="H12004" s="151" t="s">
        <v>563</v>
      </c>
      <c r="I12004" t="s">
        <v>16</v>
      </c>
    </row>
    <row r="12005" spans="1:9" x14ac:dyDescent="0.25">
      <c r="A12005" s="151">
        <v>1833</v>
      </c>
      <c r="B12005" s="151">
        <f>A12005+1</f>
        <v>1834</v>
      </c>
      <c r="C12005" s="151" t="s">
        <v>539</v>
      </c>
      <c r="D12005" s="151" t="s">
        <v>27</v>
      </c>
      <c r="E12005" s="208" t="s">
        <v>139</v>
      </c>
      <c r="F12005" t="s">
        <v>7</v>
      </c>
      <c r="G12005" s="18">
        <v>20</v>
      </c>
      <c r="H12005" s="151" t="s">
        <v>563</v>
      </c>
      <c r="I12005" t="s">
        <v>16</v>
      </c>
    </row>
    <row r="12006" spans="1:9" x14ac:dyDescent="0.25">
      <c r="A12006" s="151">
        <v>1833</v>
      </c>
      <c r="B12006" s="151">
        <f>A12006+1</f>
        <v>1834</v>
      </c>
      <c r="C12006" s="151" t="s">
        <v>539</v>
      </c>
      <c r="D12006" s="151" t="s">
        <v>27</v>
      </c>
      <c r="E12006" s="208" t="s">
        <v>143</v>
      </c>
      <c r="F12006" t="s">
        <v>7</v>
      </c>
      <c r="G12006" s="18">
        <v>228</v>
      </c>
      <c r="H12006" s="151" t="s">
        <v>563</v>
      </c>
      <c r="I12006" t="s">
        <v>16</v>
      </c>
    </row>
    <row r="12007" spans="1:9" x14ac:dyDescent="0.25">
      <c r="A12007" s="151">
        <v>1833</v>
      </c>
      <c r="B12007" s="151">
        <f>A12007+1</f>
        <v>1834</v>
      </c>
      <c r="C12007" s="151" t="s">
        <v>539</v>
      </c>
      <c r="D12007" s="151" t="s">
        <v>27</v>
      </c>
      <c r="E12007" s="208" t="s">
        <v>142</v>
      </c>
      <c r="F12007" t="s">
        <v>7</v>
      </c>
      <c r="G12007" s="18">
        <v>8828</v>
      </c>
      <c r="H12007" s="151" t="s">
        <v>563</v>
      </c>
      <c r="I12007" t="s">
        <v>16</v>
      </c>
    </row>
    <row r="12008" spans="1:9" x14ac:dyDescent="0.25">
      <c r="A12008" s="151">
        <v>1833</v>
      </c>
      <c r="B12008" s="151">
        <f>A12008+1</f>
        <v>1834</v>
      </c>
      <c r="C12008" s="151" t="s">
        <v>539</v>
      </c>
      <c r="D12008" s="151" t="s">
        <v>27</v>
      </c>
      <c r="E12008" s="208" t="s">
        <v>131</v>
      </c>
      <c r="F12008" t="s">
        <v>7</v>
      </c>
      <c r="G12008" s="18">
        <v>492.5</v>
      </c>
      <c r="H12008" s="151" t="s">
        <v>563</v>
      </c>
      <c r="I12008" t="s">
        <v>16</v>
      </c>
    </row>
    <row r="12009" spans="1:9" x14ac:dyDescent="0.25">
      <c r="A12009" s="151">
        <v>1833</v>
      </c>
      <c r="B12009" s="151">
        <f>A12009+1</f>
        <v>1834</v>
      </c>
      <c r="C12009" s="151" t="s">
        <v>539</v>
      </c>
      <c r="D12009" s="151" t="s">
        <v>27</v>
      </c>
      <c r="E12009" s="208" t="s">
        <v>130</v>
      </c>
      <c r="F12009" t="s">
        <v>7</v>
      </c>
      <c r="G12009" s="18">
        <v>5.5</v>
      </c>
      <c r="H12009" s="151" t="s">
        <v>563</v>
      </c>
      <c r="I12009" t="s">
        <v>16</v>
      </c>
    </row>
    <row r="12010" spans="1:9" x14ac:dyDescent="0.25">
      <c r="A12010" s="151">
        <v>1833</v>
      </c>
      <c r="B12010" s="151">
        <f>A12010+1</f>
        <v>1834</v>
      </c>
      <c r="C12010" s="151" t="s">
        <v>539</v>
      </c>
      <c r="D12010" s="151" t="s">
        <v>27</v>
      </c>
      <c r="E12010" s="208" t="s">
        <v>127</v>
      </c>
      <c r="F12010" t="s">
        <v>7</v>
      </c>
      <c r="G12010" s="18">
        <v>78</v>
      </c>
      <c r="H12010" s="151" t="s">
        <v>563</v>
      </c>
      <c r="I12010" t="s">
        <v>16</v>
      </c>
    </row>
    <row r="12011" spans="1:9" x14ac:dyDescent="0.25">
      <c r="A12011" s="151">
        <v>1833</v>
      </c>
      <c r="B12011" s="151">
        <f>A12011+1</f>
        <v>1834</v>
      </c>
      <c r="C12011" s="151" t="s">
        <v>539</v>
      </c>
      <c r="D12011" s="151" t="s">
        <v>27</v>
      </c>
      <c r="E12011" s="208" t="s">
        <v>133</v>
      </c>
      <c r="F12011" t="s">
        <v>7</v>
      </c>
      <c r="G12011" s="18">
        <v>7857</v>
      </c>
      <c r="H12011" s="151" t="s">
        <v>563</v>
      </c>
      <c r="I12011" t="s">
        <v>16</v>
      </c>
    </row>
    <row r="12012" spans="1:9" x14ac:dyDescent="0.25">
      <c r="A12012" s="151">
        <v>1833</v>
      </c>
      <c r="B12012" s="151">
        <f>A12012+1</f>
        <v>1834</v>
      </c>
      <c r="C12012" s="151" t="s">
        <v>539</v>
      </c>
      <c r="D12012" s="151" t="s">
        <v>27</v>
      </c>
      <c r="E12012" s="208" t="s">
        <v>74</v>
      </c>
      <c r="F12012" t="s">
        <v>7</v>
      </c>
      <c r="G12012" s="18">
        <v>2332.9500000000003</v>
      </c>
      <c r="H12012" s="151" t="s">
        <v>563</v>
      </c>
      <c r="I12012" t="s">
        <v>16</v>
      </c>
    </row>
    <row r="12013" spans="1:9" x14ac:dyDescent="0.25">
      <c r="A12013" s="151">
        <v>1833</v>
      </c>
      <c r="B12013" s="151">
        <f>A12013+1</f>
        <v>1834</v>
      </c>
      <c r="C12013" s="151" t="s">
        <v>539</v>
      </c>
      <c r="D12013" s="151" t="s">
        <v>27</v>
      </c>
      <c r="E12013" s="208" t="s">
        <v>129</v>
      </c>
      <c r="F12013" t="s">
        <v>7</v>
      </c>
      <c r="G12013" s="18">
        <v>1047.1500000000001</v>
      </c>
      <c r="H12013" s="151" t="s">
        <v>563</v>
      </c>
      <c r="I12013" t="s">
        <v>16</v>
      </c>
    </row>
    <row r="12014" spans="1:9" x14ac:dyDescent="0.25">
      <c r="A12014" s="151">
        <v>1833</v>
      </c>
      <c r="B12014" s="151">
        <f>A12014+1</f>
        <v>1834</v>
      </c>
      <c r="C12014" s="151" t="s">
        <v>539</v>
      </c>
      <c r="D12014" s="151" t="s">
        <v>27</v>
      </c>
      <c r="E12014" s="208" t="s">
        <v>141</v>
      </c>
      <c r="F12014" t="s">
        <v>7</v>
      </c>
      <c r="G12014" s="18">
        <v>456.25</v>
      </c>
      <c r="H12014" s="151" t="s">
        <v>563</v>
      </c>
      <c r="I12014" t="s">
        <v>16</v>
      </c>
    </row>
    <row r="12015" spans="1:9" x14ac:dyDescent="0.25">
      <c r="A12015" s="151">
        <v>1833</v>
      </c>
      <c r="B12015" s="151">
        <f>A12015+1</f>
        <v>1834</v>
      </c>
      <c r="C12015" s="151" t="s">
        <v>539</v>
      </c>
      <c r="D12015" s="151" t="s">
        <v>27</v>
      </c>
      <c r="E12015" s="208" t="s">
        <v>135</v>
      </c>
      <c r="F12015" t="s">
        <v>7</v>
      </c>
      <c r="G12015" s="18">
        <v>186.20000000000002</v>
      </c>
      <c r="H12015" s="151" t="s">
        <v>563</v>
      </c>
      <c r="I12015" t="s">
        <v>16</v>
      </c>
    </row>
    <row r="12016" spans="1:9" x14ac:dyDescent="0.25">
      <c r="A12016" s="151">
        <v>1833</v>
      </c>
      <c r="B12016" s="151">
        <f>A12016+1</f>
        <v>1834</v>
      </c>
      <c r="C12016" s="151" t="s">
        <v>539</v>
      </c>
      <c r="D12016" s="151" t="s">
        <v>27</v>
      </c>
      <c r="E12016" s="208" t="s">
        <v>128</v>
      </c>
      <c r="F12016" t="s">
        <v>7</v>
      </c>
      <c r="G12016" s="18">
        <v>618.5</v>
      </c>
      <c r="H12016" s="151" t="s">
        <v>563</v>
      </c>
      <c r="I12016" t="s">
        <v>16</v>
      </c>
    </row>
    <row r="12017" spans="1:9" x14ac:dyDescent="0.25">
      <c r="A12017" s="151">
        <v>1833</v>
      </c>
      <c r="B12017" s="151">
        <f>A12017+1</f>
        <v>1834</v>
      </c>
      <c r="C12017" s="151" t="s">
        <v>539</v>
      </c>
      <c r="D12017" s="151" t="s">
        <v>27</v>
      </c>
      <c r="E12017" s="208" t="s">
        <v>78</v>
      </c>
      <c r="F12017" t="s">
        <v>7</v>
      </c>
      <c r="G12017" s="18">
        <v>125</v>
      </c>
      <c r="H12017" s="151" t="s">
        <v>563</v>
      </c>
      <c r="I12017" t="s">
        <v>16</v>
      </c>
    </row>
    <row r="12018" spans="1:9" x14ac:dyDescent="0.25">
      <c r="A12018" s="151">
        <v>1833</v>
      </c>
      <c r="B12018" s="151">
        <f>A12018+1</f>
        <v>1834</v>
      </c>
      <c r="C12018" s="151" t="s">
        <v>539</v>
      </c>
      <c r="D12018" s="151" t="s">
        <v>27</v>
      </c>
      <c r="E12018" s="208" t="s">
        <v>119</v>
      </c>
      <c r="F12018" t="s">
        <v>7</v>
      </c>
      <c r="G12018" s="18">
        <v>8</v>
      </c>
      <c r="H12018" s="151" t="s">
        <v>563</v>
      </c>
      <c r="I12018" t="s">
        <v>16</v>
      </c>
    </row>
    <row r="12019" spans="1:9" x14ac:dyDescent="0.25">
      <c r="A12019" s="151">
        <v>1833</v>
      </c>
      <c r="B12019" s="151">
        <f>A12019+1</f>
        <v>1834</v>
      </c>
      <c r="C12019" s="151" t="s">
        <v>539</v>
      </c>
      <c r="D12019" s="151" t="s">
        <v>27</v>
      </c>
      <c r="E12019" s="208" t="s">
        <v>134</v>
      </c>
      <c r="F12019" t="s">
        <v>7</v>
      </c>
      <c r="G12019" s="18">
        <v>2504</v>
      </c>
      <c r="H12019" s="151" t="s">
        <v>563</v>
      </c>
      <c r="I12019" t="s">
        <v>16</v>
      </c>
    </row>
    <row r="12020" spans="1:9" x14ac:dyDescent="0.25">
      <c r="A12020" s="151">
        <v>1833</v>
      </c>
      <c r="B12020" s="151">
        <f>A12020+1</f>
        <v>1834</v>
      </c>
      <c r="C12020" s="151" t="s">
        <v>539</v>
      </c>
      <c r="D12020" s="151" t="s">
        <v>26</v>
      </c>
      <c r="E12020" s="208" t="s">
        <v>34</v>
      </c>
      <c r="F12020" t="s">
        <v>7</v>
      </c>
      <c r="G12020" s="18">
        <v>22897</v>
      </c>
      <c r="H12020" s="151" t="s">
        <v>563</v>
      </c>
      <c r="I12020" t="s">
        <v>16</v>
      </c>
    </row>
    <row r="12021" spans="1:9" x14ac:dyDescent="0.25">
      <c r="A12021" s="151">
        <v>1833</v>
      </c>
      <c r="B12021" s="151">
        <f>A12021+1</f>
        <v>1834</v>
      </c>
      <c r="C12021" s="151" t="s">
        <v>539</v>
      </c>
      <c r="D12021" s="151" t="s">
        <v>26</v>
      </c>
      <c r="E12021" s="208" t="s">
        <v>63</v>
      </c>
      <c r="F12021" t="s">
        <v>7</v>
      </c>
      <c r="G12021" s="18">
        <v>1574</v>
      </c>
      <c r="H12021" s="151" t="s">
        <v>563</v>
      </c>
      <c r="I12021" t="s">
        <v>16</v>
      </c>
    </row>
    <row r="12022" spans="1:9" x14ac:dyDescent="0.25">
      <c r="A12022" s="151">
        <v>1833</v>
      </c>
      <c r="B12022" s="151">
        <f>A12022+1</f>
        <v>1834</v>
      </c>
      <c r="C12022" s="151" t="s">
        <v>539</v>
      </c>
      <c r="D12022" s="151" t="s">
        <v>26</v>
      </c>
      <c r="E12022" s="208" t="s">
        <v>62</v>
      </c>
      <c r="F12022" t="s">
        <v>7</v>
      </c>
      <c r="G12022" s="18">
        <v>47751.5</v>
      </c>
      <c r="H12022" s="151" t="s">
        <v>563</v>
      </c>
      <c r="I12022" t="s">
        <v>16</v>
      </c>
    </row>
    <row r="12023" spans="1:9" x14ac:dyDescent="0.25">
      <c r="A12023" s="151">
        <v>1833</v>
      </c>
      <c r="B12023" s="151">
        <f>A12023+1</f>
        <v>1834</v>
      </c>
      <c r="C12023" s="151" t="s">
        <v>539</v>
      </c>
      <c r="D12023" s="151" t="s">
        <v>26</v>
      </c>
      <c r="E12023" s="208" t="s">
        <v>55</v>
      </c>
      <c r="F12023" t="s">
        <v>7</v>
      </c>
      <c r="G12023" s="18">
        <v>9827</v>
      </c>
      <c r="H12023" s="151" t="s">
        <v>563</v>
      </c>
      <c r="I12023" t="s">
        <v>16</v>
      </c>
    </row>
    <row r="12024" spans="1:9" x14ac:dyDescent="0.25">
      <c r="A12024" s="151">
        <v>1833</v>
      </c>
      <c r="B12024" s="151">
        <f>A12024+1</f>
        <v>1834</v>
      </c>
      <c r="C12024" s="151" t="s">
        <v>539</v>
      </c>
      <c r="D12024" s="151" t="s">
        <v>26</v>
      </c>
      <c r="E12024" s="208" t="s">
        <v>36</v>
      </c>
      <c r="F12024" t="s">
        <v>7</v>
      </c>
      <c r="G12024" s="18">
        <v>854</v>
      </c>
      <c r="H12024" s="151" t="s">
        <v>563</v>
      </c>
      <c r="I12024" t="s">
        <v>16</v>
      </c>
    </row>
    <row r="12025" spans="1:9" x14ac:dyDescent="0.25">
      <c r="A12025" s="151">
        <v>1833</v>
      </c>
      <c r="B12025" s="151">
        <f>A12025+1</f>
        <v>1834</v>
      </c>
      <c r="C12025" s="151" t="s">
        <v>539</v>
      </c>
      <c r="D12025" s="151" t="s">
        <v>26</v>
      </c>
      <c r="E12025" s="208" t="s">
        <v>35</v>
      </c>
      <c r="F12025" t="s">
        <v>7</v>
      </c>
      <c r="G12025" s="18">
        <v>135</v>
      </c>
      <c r="H12025" s="151" t="s">
        <v>563</v>
      </c>
      <c r="I12025" t="s">
        <v>16</v>
      </c>
    </row>
    <row r="12026" spans="1:9" x14ac:dyDescent="0.25">
      <c r="A12026" s="151">
        <v>1833</v>
      </c>
      <c r="B12026" s="151">
        <f>A12026+1</f>
        <v>1834</v>
      </c>
      <c r="C12026" s="151" t="s">
        <v>539</v>
      </c>
      <c r="D12026" s="151" t="s">
        <v>26</v>
      </c>
      <c r="E12026" s="208" t="s">
        <v>40</v>
      </c>
      <c r="F12026" t="s">
        <v>7</v>
      </c>
      <c r="G12026" s="18">
        <v>395836</v>
      </c>
      <c r="H12026" s="151" t="s">
        <v>563</v>
      </c>
      <c r="I12026" t="s">
        <v>16</v>
      </c>
    </row>
    <row r="12027" spans="1:9" x14ac:dyDescent="0.25">
      <c r="A12027" s="151">
        <v>1833</v>
      </c>
      <c r="B12027" s="151">
        <f>A12027+1</f>
        <v>1834</v>
      </c>
      <c r="C12027" s="151" t="s">
        <v>539</v>
      </c>
      <c r="D12027" s="151" t="s">
        <v>26</v>
      </c>
      <c r="E12027" s="208" t="s">
        <v>96</v>
      </c>
      <c r="F12027" t="s">
        <v>7</v>
      </c>
      <c r="G12027" s="18">
        <v>3392</v>
      </c>
      <c r="H12027" t="s">
        <v>17</v>
      </c>
      <c r="I12027" s="151" t="s">
        <v>562</v>
      </c>
    </row>
    <row r="12028" spans="1:9" x14ac:dyDescent="0.25">
      <c r="A12028" s="151">
        <v>1833</v>
      </c>
      <c r="B12028" s="151">
        <f>A12028+1</f>
        <v>1834</v>
      </c>
      <c r="C12028" s="151" t="s">
        <v>539</v>
      </c>
      <c r="D12028" s="151" t="s">
        <v>26</v>
      </c>
      <c r="E12028" s="208" t="s">
        <v>98</v>
      </c>
      <c r="F12028" t="s">
        <v>7</v>
      </c>
      <c r="G12028" s="18">
        <v>1300838</v>
      </c>
      <c r="H12028" t="s">
        <v>17</v>
      </c>
      <c r="I12028" s="151" t="s">
        <v>562</v>
      </c>
    </row>
    <row r="12029" spans="1:9" x14ac:dyDescent="0.25">
      <c r="A12029" s="151">
        <v>1833</v>
      </c>
      <c r="B12029" s="151">
        <f>A12029+1</f>
        <v>1834</v>
      </c>
      <c r="C12029" s="151" t="s">
        <v>539</v>
      </c>
      <c r="D12029" s="151" t="s">
        <v>26</v>
      </c>
      <c r="E12029" s="208" t="s">
        <v>442</v>
      </c>
      <c r="F12029" t="s">
        <v>7</v>
      </c>
      <c r="G12029" s="18">
        <v>13980</v>
      </c>
      <c r="H12029" t="s">
        <v>17</v>
      </c>
      <c r="I12029" s="151" t="s">
        <v>562</v>
      </c>
    </row>
    <row r="12030" spans="1:9" x14ac:dyDescent="0.25">
      <c r="A12030" s="151">
        <v>1833</v>
      </c>
      <c r="B12030" s="151">
        <f>A12030+1</f>
        <v>1834</v>
      </c>
      <c r="C12030" s="151" t="s">
        <v>539</v>
      </c>
      <c r="D12030" s="151" t="s">
        <v>26</v>
      </c>
      <c r="E12030" s="208" t="s">
        <v>105</v>
      </c>
      <c r="F12030" t="s">
        <v>7</v>
      </c>
      <c r="G12030" s="18">
        <v>866934</v>
      </c>
      <c r="H12030" t="s">
        <v>17</v>
      </c>
      <c r="I12030" s="151" t="s">
        <v>562</v>
      </c>
    </row>
    <row r="12031" spans="1:9" x14ac:dyDescent="0.25">
      <c r="A12031" s="151">
        <v>1833</v>
      </c>
      <c r="B12031" s="151">
        <f>A12031+1</f>
        <v>1834</v>
      </c>
      <c r="C12031" s="151" t="s">
        <v>539</v>
      </c>
      <c r="D12031" s="151" t="s">
        <v>26</v>
      </c>
      <c r="E12031" s="208" t="s">
        <v>106</v>
      </c>
      <c r="F12031" t="s">
        <v>7</v>
      </c>
      <c r="G12031" s="18">
        <v>372744</v>
      </c>
      <c r="H12031" t="s">
        <v>17</v>
      </c>
      <c r="I12031" s="151" t="s">
        <v>562</v>
      </c>
    </row>
    <row r="12032" spans="1:9" x14ac:dyDescent="0.25">
      <c r="A12032" s="151">
        <v>1833</v>
      </c>
      <c r="B12032" s="151">
        <f>A12032+1</f>
        <v>1834</v>
      </c>
      <c r="C12032" s="151" t="s">
        <v>539</v>
      </c>
      <c r="D12032" s="151" t="s">
        <v>26</v>
      </c>
      <c r="E12032" s="208" t="s">
        <v>101</v>
      </c>
      <c r="F12032" t="s">
        <v>7</v>
      </c>
      <c r="G12032" s="18">
        <v>4679445</v>
      </c>
      <c r="H12032" t="s">
        <v>17</v>
      </c>
      <c r="I12032" s="151" t="s">
        <v>562</v>
      </c>
    </row>
    <row r="12033" spans="1:9" x14ac:dyDescent="0.25">
      <c r="A12033" s="151">
        <v>1833</v>
      </c>
      <c r="B12033" s="151">
        <f>A12033+1</f>
        <v>1834</v>
      </c>
      <c r="C12033" s="151" t="s">
        <v>539</v>
      </c>
      <c r="D12033" s="151" t="s">
        <v>26</v>
      </c>
      <c r="E12033" s="208" t="s">
        <v>75</v>
      </c>
      <c r="F12033" t="s">
        <v>7</v>
      </c>
      <c r="G12033" s="18">
        <v>2328311</v>
      </c>
      <c r="H12033" t="s">
        <v>17</v>
      </c>
      <c r="I12033" s="151" t="s">
        <v>562</v>
      </c>
    </row>
    <row r="12034" spans="1:9" x14ac:dyDescent="0.25">
      <c r="A12034" s="151">
        <v>1833</v>
      </c>
      <c r="B12034" s="151">
        <f>A12034+1</f>
        <v>1834</v>
      </c>
      <c r="C12034" s="151" t="s">
        <v>539</v>
      </c>
      <c r="D12034" s="151" t="s">
        <v>26</v>
      </c>
      <c r="E12034" s="208" t="s">
        <v>66</v>
      </c>
      <c r="F12034" t="s">
        <v>7</v>
      </c>
      <c r="G12034" s="18">
        <v>483850</v>
      </c>
      <c r="H12034" t="s">
        <v>17</v>
      </c>
      <c r="I12034" s="151" t="s">
        <v>562</v>
      </c>
    </row>
    <row r="12035" spans="1:9" x14ac:dyDescent="0.25">
      <c r="A12035" s="151">
        <v>1833</v>
      </c>
      <c r="B12035" s="151">
        <f>A12035+1</f>
        <v>1834</v>
      </c>
      <c r="C12035" s="151" t="s">
        <v>539</v>
      </c>
      <c r="D12035" s="151" t="s">
        <v>26</v>
      </c>
      <c r="E12035" s="208" t="s">
        <v>28</v>
      </c>
      <c r="F12035" t="s">
        <v>7</v>
      </c>
      <c r="G12035" s="18">
        <v>3052</v>
      </c>
      <c r="H12035" t="s">
        <v>17</v>
      </c>
      <c r="I12035" s="151" t="s">
        <v>562</v>
      </c>
    </row>
    <row r="12036" spans="1:9" x14ac:dyDescent="0.25">
      <c r="A12036" s="151">
        <v>1833</v>
      </c>
      <c r="B12036" s="151">
        <f>A12036+1</f>
        <v>1834</v>
      </c>
      <c r="C12036" s="151" t="s">
        <v>539</v>
      </c>
      <c r="D12036" s="151" t="s">
        <v>26</v>
      </c>
      <c r="E12036" s="208" t="s">
        <v>89</v>
      </c>
      <c r="F12036" t="s">
        <v>7</v>
      </c>
      <c r="G12036" s="18">
        <v>14020.5</v>
      </c>
      <c r="H12036" t="s">
        <v>17</v>
      </c>
      <c r="I12036" s="151" t="s">
        <v>562</v>
      </c>
    </row>
    <row r="12037" spans="1:9" x14ac:dyDescent="0.25">
      <c r="A12037" s="151">
        <v>1833</v>
      </c>
      <c r="B12037" s="151">
        <f>A12037+1</f>
        <v>1834</v>
      </c>
      <c r="C12037" s="151" t="s">
        <v>539</v>
      </c>
      <c r="D12037" s="151" t="s">
        <v>26</v>
      </c>
      <c r="E12037" s="208" t="s">
        <v>450</v>
      </c>
      <c r="F12037" t="s">
        <v>7</v>
      </c>
      <c r="G12037" s="18">
        <v>12548.5</v>
      </c>
      <c r="H12037" t="s">
        <v>17</v>
      </c>
      <c r="I12037" s="151" t="s">
        <v>562</v>
      </c>
    </row>
    <row r="12038" spans="1:9" x14ac:dyDescent="0.25">
      <c r="A12038" s="151">
        <v>1833</v>
      </c>
      <c r="B12038" s="151">
        <f>A12038+1</f>
        <v>1834</v>
      </c>
      <c r="C12038" s="151" t="s">
        <v>539</v>
      </c>
      <c r="D12038" s="151" t="s">
        <v>26</v>
      </c>
      <c r="E12038" s="208" t="s">
        <v>48</v>
      </c>
      <c r="F12038" t="s">
        <v>7</v>
      </c>
      <c r="G12038" s="18">
        <v>15795</v>
      </c>
      <c r="H12038" t="s">
        <v>17</v>
      </c>
      <c r="I12038" s="151" t="s">
        <v>562</v>
      </c>
    </row>
    <row r="12039" spans="1:9" x14ac:dyDescent="0.25">
      <c r="A12039" s="151">
        <v>1833</v>
      </c>
      <c r="B12039" s="151">
        <f>A12039+1</f>
        <v>1834</v>
      </c>
      <c r="C12039" s="151" t="s">
        <v>539</v>
      </c>
      <c r="D12039" s="151" t="s">
        <v>26</v>
      </c>
      <c r="E12039" s="208" t="s">
        <v>102</v>
      </c>
      <c r="F12039" t="s">
        <v>7</v>
      </c>
      <c r="G12039" s="18">
        <v>15737</v>
      </c>
      <c r="H12039" t="s">
        <v>17</v>
      </c>
      <c r="I12039" s="151" t="s">
        <v>562</v>
      </c>
    </row>
    <row r="12040" spans="1:9" x14ac:dyDescent="0.25">
      <c r="A12040" s="151">
        <v>1833</v>
      </c>
      <c r="B12040" s="151">
        <f>A12040+1</f>
        <v>1834</v>
      </c>
      <c r="C12040" s="151" t="s">
        <v>539</v>
      </c>
      <c r="D12040" s="151" t="s">
        <v>26</v>
      </c>
      <c r="E12040" s="208" t="s">
        <v>330</v>
      </c>
      <c r="F12040" t="s">
        <v>7</v>
      </c>
      <c r="G12040" s="18">
        <v>648</v>
      </c>
      <c r="H12040" t="s">
        <v>17</v>
      </c>
      <c r="I12040" s="151" t="s">
        <v>562</v>
      </c>
    </row>
    <row r="12041" spans="1:9" x14ac:dyDescent="0.25">
      <c r="A12041" s="151">
        <v>1833</v>
      </c>
      <c r="B12041" s="151">
        <f>A12041+1</f>
        <v>1834</v>
      </c>
      <c r="C12041" s="151" t="s">
        <v>539</v>
      </c>
      <c r="D12041" s="151" t="s">
        <v>26</v>
      </c>
      <c r="E12041" s="208" t="s">
        <v>331</v>
      </c>
      <c r="F12041" t="s">
        <v>7</v>
      </c>
      <c r="G12041" s="18">
        <v>216</v>
      </c>
      <c r="H12041" t="s">
        <v>17</v>
      </c>
      <c r="I12041" s="151" t="s">
        <v>562</v>
      </c>
    </row>
    <row r="12042" spans="1:9" x14ac:dyDescent="0.25">
      <c r="A12042" s="151">
        <v>1833</v>
      </c>
      <c r="B12042" s="151">
        <f>A12042+1</f>
        <v>1834</v>
      </c>
      <c r="C12042" s="151" t="s">
        <v>539</v>
      </c>
      <c r="D12042" s="151" t="s">
        <v>26</v>
      </c>
      <c r="E12042" s="208" t="s">
        <v>332</v>
      </c>
      <c r="F12042" t="s">
        <v>7</v>
      </c>
      <c r="G12042" s="18">
        <v>478</v>
      </c>
      <c r="H12042" t="s">
        <v>17</v>
      </c>
      <c r="I12042" s="151" t="s">
        <v>562</v>
      </c>
    </row>
    <row r="12043" spans="1:9" x14ac:dyDescent="0.25">
      <c r="A12043" s="151">
        <v>1833</v>
      </c>
      <c r="B12043" s="151">
        <f>A12043+1</f>
        <v>1834</v>
      </c>
      <c r="C12043" s="151" t="s">
        <v>539</v>
      </c>
      <c r="D12043" s="151" t="s">
        <v>26</v>
      </c>
      <c r="E12043" s="208" t="s">
        <v>333</v>
      </c>
      <c r="F12043" t="s">
        <v>7</v>
      </c>
      <c r="G12043" s="18">
        <v>254</v>
      </c>
      <c r="H12043" t="s">
        <v>17</v>
      </c>
      <c r="I12043" s="151" t="s">
        <v>562</v>
      </c>
    </row>
    <row r="12044" spans="1:9" x14ac:dyDescent="0.25">
      <c r="A12044" s="151">
        <v>1833</v>
      </c>
      <c r="B12044" s="151">
        <f>A12044+1</f>
        <v>1834</v>
      </c>
      <c r="C12044" s="151" t="s">
        <v>539</v>
      </c>
      <c r="D12044" s="151" t="s">
        <v>27</v>
      </c>
      <c r="E12044" s="208" t="s">
        <v>155</v>
      </c>
      <c r="F12044" t="s">
        <v>14</v>
      </c>
      <c r="G12044" s="18">
        <v>60684</v>
      </c>
      <c r="H12044" t="s">
        <v>17</v>
      </c>
      <c r="I12044" s="151" t="s">
        <v>562</v>
      </c>
    </row>
    <row r="12045" spans="1:9" x14ac:dyDescent="0.25">
      <c r="A12045" s="151">
        <v>1833</v>
      </c>
      <c r="B12045" s="151">
        <f>A12045+1</f>
        <v>1834</v>
      </c>
      <c r="C12045" s="151" t="s">
        <v>539</v>
      </c>
      <c r="D12045" s="151" t="s">
        <v>27</v>
      </c>
      <c r="E12045" s="208" t="s">
        <v>156</v>
      </c>
      <c r="F12045" t="s">
        <v>14</v>
      </c>
      <c r="G12045" s="18">
        <v>8856</v>
      </c>
      <c r="H12045" t="s">
        <v>17</v>
      </c>
      <c r="I12045" s="151" t="s">
        <v>562</v>
      </c>
    </row>
    <row r="12046" spans="1:9" x14ac:dyDescent="0.25">
      <c r="A12046" s="151">
        <v>1833</v>
      </c>
      <c r="B12046" s="151">
        <f>A12046+1</f>
        <v>1834</v>
      </c>
      <c r="C12046" s="151" t="s">
        <v>539</v>
      </c>
      <c r="D12046" s="151" t="s">
        <v>27</v>
      </c>
      <c r="E12046" s="208" t="s">
        <v>154</v>
      </c>
      <c r="F12046" t="s">
        <v>14</v>
      </c>
      <c r="G12046" s="18">
        <v>1645</v>
      </c>
      <c r="H12046" t="s">
        <v>17</v>
      </c>
      <c r="I12046" s="151" t="s">
        <v>562</v>
      </c>
    </row>
    <row r="12047" spans="1:9" x14ac:dyDescent="0.25">
      <c r="A12047" s="151">
        <v>1833</v>
      </c>
      <c r="B12047" s="151">
        <f>A12047+1</f>
        <v>1834</v>
      </c>
      <c r="C12047" s="151" t="s">
        <v>539</v>
      </c>
      <c r="D12047" s="151" t="s">
        <v>27</v>
      </c>
      <c r="E12047" s="208" t="s">
        <v>150</v>
      </c>
      <c r="F12047" t="s">
        <v>14</v>
      </c>
      <c r="G12047" s="18">
        <v>23118</v>
      </c>
      <c r="H12047" t="s">
        <v>17</v>
      </c>
      <c r="I12047" s="151" t="s">
        <v>562</v>
      </c>
    </row>
    <row r="12048" spans="1:9" x14ac:dyDescent="0.25">
      <c r="A12048" s="151">
        <v>1833</v>
      </c>
      <c r="B12048" s="151">
        <f>A12048+1</f>
        <v>1834</v>
      </c>
      <c r="C12048" s="151" t="s">
        <v>539</v>
      </c>
      <c r="D12048" s="151" t="s">
        <v>27</v>
      </c>
      <c r="E12048" s="208" t="s">
        <v>148</v>
      </c>
      <c r="F12048" t="s">
        <v>14</v>
      </c>
      <c r="G12048" s="18">
        <v>2042</v>
      </c>
      <c r="H12048" t="s">
        <v>17</v>
      </c>
      <c r="I12048" s="151" t="s">
        <v>562</v>
      </c>
    </row>
    <row r="12049" spans="1:9" x14ac:dyDescent="0.25">
      <c r="A12049" s="151">
        <v>1833</v>
      </c>
      <c r="B12049" s="151">
        <f>A12049+1</f>
        <v>1834</v>
      </c>
      <c r="C12049" s="151" t="s">
        <v>539</v>
      </c>
      <c r="D12049" s="151" t="s">
        <v>27</v>
      </c>
      <c r="E12049" s="208" t="s">
        <v>147</v>
      </c>
      <c r="F12049" t="s">
        <v>14</v>
      </c>
      <c r="G12049" s="18">
        <v>672</v>
      </c>
      <c r="H12049" t="s">
        <v>17</v>
      </c>
      <c r="I12049" s="151" t="s">
        <v>562</v>
      </c>
    </row>
    <row r="12050" spans="1:9" x14ac:dyDescent="0.25">
      <c r="A12050" s="151">
        <v>1833</v>
      </c>
      <c r="B12050" s="151">
        <f>A12050+1</f>
        <v>1834</v>
      </c>
      <c r="C12050" s="151" t="s">
        <v>539</v>
      </c>
      <c r="D12050" s="151" t="s">
        <v>27</v>
      </c>
      <c r="E12050" s="208" t="s">
        <v>125</v>
      </c>
      <c r="F12050" t="s">
        <v>14</v>
      </c>
      <c r="G12050" s="18">
        <v>11020</v>
      </c>
      <c r="H12050" t="s">
        <v>17</v>
      </c>
      <c r="I12050" s="151" t="s">
        <v>562</v>
      </c>
    </row>
    <row r="12051" spans="1:9" x14ac:dyDescent="0.25">
      <c r="A12051" s="151">
        <v>1833</v>
      </c>
      <c r="B12051" s="151">
        <f>A12051+1</f>
        <v>1834</v>
      </c>
      <c r="C12051" s="151" t="s">
        <v>539</v>
      </c>
      <c r="D12051" s="151" t="s">
        <v>27</v>
      </c>
      <c r="E12051" s="208" t="s">
        <v>122</v>
      </c>
      <c r="F12051" t="s">
        <v>14</v>
      </c>
      <c r="G12051" s="18">
        <v>3147</v>
      </c>
      <c r="H12051" s="151" t="s">
        <v>563</v>
      </c>
      <c r="I12051" t="s">
        <v>17</v>
      </c>
    </row>
    <row r="12052" spans="1:9" x14ac:dyDescent="0.25">
      <c r="A12052" s="151">
        <v>1833</v>
      </c>
      <c r="B12052" s="151">
        <f>A12052+1</f>
        <v>1834</v>
      </c>
      <c r="C12052" s="151" t="s">
        <v>539</v>
      </c>
      <c r="D12052" s="151" t="s">
        <v>27</v>
      </c>
      <c r="E12052" s="208" t="s">
        <v>121</v>
      </c>
      <c r="F12052" t="s">
        <v>14</v>
      </c>
      <c r="G12052" s="18">
        <v>1131</v>
      </c>
      <c r="H12052" s="151" t="s">
        <v>563</v>
      </c>
      <c r="I12052" t="s">
        <v>17</v>
      </c>
    </row>
    <row r="12053" spans="1:9" x14ac:dyDescent="0.25">
      <c r="A12053" s="151">
        <v>1833</v>
      </c>
      <c r="B12053" s="151">
        <f>A12053+1</f>
        <v>1834</v>
      </c>
      <c r="C12053" s="151" t="s">
        <v>539</v>
      </c>
      <c r="D12053" s="151" t="s">
        <v>27</v>
      </c>
      <c r="E12053" s="208" t="s">
        <v>139</v>
      </c>
      <c r="F12053" t="s">
        <v>14</v>
      </c>
      <c r="G12053" s="18">
        <v>487</v>
      </c>
      <c r="H12053" s="151" t="s">
        <v>563</v>
      </c>
      <c r="I12053" t="s">
        <v>17</v>
      </c>
    </row>
    <row r="12054" spans="1:9" x14ac:dyDescent="0.25">
      <c r="A12054" s="151">
        <v>1833</v>
      </c>
      <c r="B12054" s="151">
        <f>A12054+1</f>
        <v>1834</v>
      </c>
      <c r="C12054" s="151" t="s">
        <v>539</v>
      </c>
      <c r="D12054" s="151" t="s">
        <v>27</v>
      </c>
      <c r="E12054" s="208" t="s">
        <v>143</v>
      </c>
      <c r="F12054" t="s">
        <v>14</v>
      </c>
      <c r="G12054" s="18">
        <v>643</v>
      </c>
      <c r="H12054" s="151" t="s">
        <v>563</v>
      </c>
      <c r="I12054" t="s">
        <v>17</v>
      </c>
    </row>
    <row r="12055" spans="1:9" x14ac:dyDescent="0.25">
      <c r="A12055" s="151">
        <v>1833</v>
      </c>
      <c r="B12055" s="151">
        <f>A12055+1</f>
        <v>1834</v>
      </c>
      <c r="C12055" s="151" t="s">
        <v>539</v>
      </c>
      <c r="D12055" s="151" t="s">
        <v>27</v>
      </c>
      <c r="E12055" s="208" t="s">
        <v>142</v>
      </c>
      <c r="F12055" t="s">
        <v>14</v>
      </c>
      <c r="G12055" s="18">
        <v>14708</v>
      </c>
      <c r="H12055" s="151" t="s">
        <v>563</v>
      </c>
      <c r="I12055" t="s">
        <v>17</v>
      </c>
    </row>
    <row r="12056" spans="1:9" x14ac:dyDescent="0.25">
      <c r="A12056" s="151">
        <v>1833</v>
      </c>
      <c r="B12056" s="151">
        <f>A12056+1</f>
        <v>1834</v>
      </c>
      <c r="C12056" s="151" t="s">
        <v>539</v>
      </c>
      <c r="D12056" s="151" t="s">
        <v>27</v>
      </c>
      <c r="E12056" s="208" t="s">
        <v>131</v>
      </c>
      <c r="F12056" t="s">
        <v>14</v>
      </c>
      <c r="G12056" s="18">
        <v>6070</v>
      </c>
      <c r="H12056" s="151" t="s">
        <v>563</v>
      </c>
      <c r="I12056" t="s">
        <v>17</v>
      </c>
    </row>
    <row r="12057" spans="1:9" x14ac:dyDescent="0.25">
      <c r="A12057" s="151">
        <v>1833</v>
      </c>
      <c r="B12057" s="151">
        <f>A12057+1</f>
        <v>1834</v>
      </c>
      <c r="C12057" s="151" t="s">
        <v>539</v>
      </c>
      <c r="D12057" s="151" t="s">
        <v>27</v>
      </c>
      <c r="E12057" s="208" t="s">
        <v>130</v>
      </c>
      <c r="F12057" t="s">
        <v>14</v>
      </c>
      <c r="G12057" s="18">
        <v>174</v>
      </c>
      <c r="H12057" s="151" t="s">
        <v>563</v>
      </c>
      <c r="I12057" t="s">
        <v>17</v>
      </c>
    </row>
    <row r="12058" spans="1:9" x14ac:dyDescent="0.25">
      <c r="A12058" s="151">
        <v>1833</v>
      </c>
      <c r="B12058" s="151">
        <f>A12058+1</f>
        <v>1834</v>
      </c>
      <c r="C12058" s="151" t="s">
        <v>539</v>
      </c>
      <c r="D12058" s="151" t="s">
        <v>27</v>
      </c>
      <c r="E12058" s="208" t="s">
        <v>127</v>
      </c>
      <c r="F12058" t="s">
        <v>14</v>
      </c>
      <c r="G12058" s="18">
        <v>0</v>
      </c>
      <c r="H12058" s="151" t="s">
        <v>563</v>
      </c>
      <c r="I12058" t="s">
        <v>17</v>
      </c>
    </row>
    <row r="12059" spans="1:9" x14ac:dyDescent="0.25">
      <c r="A12059" s="151">
        <v>1833</v>
      </c>
      <c r="B12059" s="151">
        <f>A12059+1</f>
        <v>1834</v>
      </c>
      <c r="C12059" s="151" t="s">
        <v>539</v>
      </c>
      <c r="D12059" s="151" t="s">
        <v>27</v>
      </c>
      <c r="E12059" s="208" t="s">
        <v>133</v>
      </c>
      <c r="F12059" t="s">
        <v>14</v>
      </c>
      <c r="G12059" s="18">
        <v>3121</v>
      </c>
      <c r="H12059" s="151" t="s">
        <v>563</v>
      </c>
      <c r="I12059" t="s">
        <v>17</v>
      </c>
    </row>
    <row r="12060" spans="1:9" x14ac:dyDescent="0.25">
      <c r="A12060" s="151">
        <v>1833</v>
      </c>
      <c r="B12060" s="151">
        <f>A12060+1</f>
        <v>1834</v>
      </c>
      <c r="C12060" s="151" t="s">
        <v>539</v>
      </c>
      <c r="D12060" s="151" t="s">
        <v>27</v>
      </c>
      <c r="E12060" s="208" t="s">
        <v>74</v>
      </c>
      <c r="F12060" t="s">
        <v>14</v>
      </c>
      <c r="G12060" s="18">
        <v>7066.25</v>
      </c>
      <c r="H12060" s="151" t="s">
        <v>563</v>
      </c>
      <c r="I12060" t="s">
        <v>17</v>
      </c>
    </row>
    <row r="12061" spans="1:9" x14ac:dyDescent="0.25">
      <c r="A12061" s="151">
        <v>1833</v>
      </c>
      <c r="B12061" s="151">
        <f>A12061+1</f>
        <v>1834</v>
      </c>
      <c r="C12061" s="151" t="s">
        <v>539</v>
      </c>
      <c r="D12061" s="151" t="s">
        <v>27</v>
      </c>
      <c r="E12061" s="208" t="s">
        <v>129</v>
      </c>
      <c r="F12061" t="s">
        <v>14</v>
      </c>
      <c r="G12061" s="18">
        <v>2041.5</v>
      </c>
      <c r="H12061" s="151" t="s">
        <v>563</v>
      </c>
      <c r="I12061" t="s">
        <v>17</v>
      </c>
    </row>
    <row r="12062" spans="1:9" x14ac:dyDescent="0.25">
      <c r="A12062" s="151">
        <v>1833</v>
      </c>
      <c r="B12062" s="151">
        <f>A12062+1</f>
        <v>1834</v>
      </c>
      <c r="C12062" s="151" t="s">
        <v>539</v>
      </c>
      <c r="D12062" s="151" t="s">
        <v>27</v>
      </c>
      <c r="E12062" s="208" t="s">
        <v>141</v>
      </c>
      <c r="F12062" t="s">
        <v>14</v>
      </c>
      <c r="G12062" s="18">
        <v>82.5</v>
      </c>
      <c r="H12062" s="151" t="s">
        <v>563</v>
      </c>
      <c r="I12062" t="s">
        <v>17</v>
      </c>
    </row>
    <row r="12063" spans="1:9" x14ac:dyDescent="0.25">
      <c r="A12063" s="151">
        <v>1833</v>
      </c>
      <c r="B12063" s="151">
        <f>A12063+1</f>
        <v>1834</v>
      </c>
      <c r="C12063" s="151" t="s">
        <v>539</v>
      </c>
      <c r="D12063" s="151" t="s">
        <v>27</v>
      </c>
      <c r="E12063" s="208" t="s">
        <v>135</v>
      </c>
      <c r="F12063" t="s">
        <v>14</v>
      </c>
      <c r="G12063" s="18">
        <v>64.3</v>
      </c>
      <c r="H12063" s="151" t="s">
        <v>563</v>
      </c>
      <c r="I12063" t="s">
        <v>17</v>
      </c>
    </row>
    <row r="12064" spans="1:9" x14ac:dyDescent="0.25">
      <c r="A12064" s="151">
        <v>1833</v>
      </c>
      <c r="B12064" s="151">
        <f>A12064+1</f>
        <v>1834</v>
      </c>
      <c r="C12064" s="151" t="s">
        <v>539</v>
      </c>
      <c r="D12064" s="151" t="s">
        <v>27</v>
      </c>
      <c r="E12064" s="208" t="s">
        <v>128</v>
      </c>
      <c r="F12064" t="s">
        <v>14</v>
      </c>
      <c r="G12064" s="18">
        <v>276.5</v>
      </c>
      <c r="H12064" s="151" t="s">
        <v>563</v>
      </c>
      <c r="I12064" t="s">
        <v>17</v>
      </c>
    </row>
    <row r="12065" spans="1:9" x14ac:dyDescent="0.25">
      <c r="A12065" s="151">
        <v>1833</v>
      </c>
      <c r="B12065" s="151">
        <f>A12065+1</f>
        <v>1834</v>
      </c>
      <c r="C12065" s="151" t="s">
        <v>539</v>
      </c>
      <c r="D12065" s="151" t="s">
        <v>27</v>
      </c>
      <c r="E12065" s="208" t="s">
        <v>78</v>
      </c>
      <c r="F12065" t="s">
        <v>14</v>
      </c>
      <c r="G12065" s="18">
        <v>682</v>
      </c>
      <c r="H12065" s="151" t="s">
        <v>563</v>
      </c>
      <c r="I12065" t="s">
        <v>17</v>
      </c>
    </row>
    <row r="12066" spans="1:9" x14ac:dyDescent="0.25">
      <c r="A12066" s="151">
        <v>1833</v>
      </c>
      <c r="B12066" s="151">
        <f>A12066+1</f>
        <v>1834</v>
      </c>
      <c r="C12066" s="151" t="s">
        <v>539</v>
      </c>
      <c r="D12066" s="151" t="s">
        <v>27</v>
      </c>
      <c r="E12066" s="208" t="s">
        <v>119</v>
      </c>
      <c r="F12066" t="s">
        <v>14</v>
      </c>
      <c r="G12066" s="18">
        <v>1530</v>
      </c>
      <c r="H12066" s="151" t="s">
        <v>563</v>
      </c>
      <c r="I12066" t="s">
        <v>17</v>
      </c>
    </row>
    <row r="12067" spans="1:9" x14ac:dyDescent="0.25">
      <c r="A12067" s="151">
        <v>1833</v>
      </c>
      <c r="B12067" s="151">
        <f>A12067+1</f>
        <v>1834</v>
      </c>
      <c r="C12067" s="151" t="s">
        <v>539</v>
      </c>
      <c r="D12067" s="151" t="s">
        <v>27</v>
      </c>
      <c r="E12067" s="208" t="s">
        <v>134</v>
      </c>
      <c r="F12067" t="s">
        <v>14</v>
      </c>
      <c r="G12067" s="18">
        <v>16310</v>
      </c>
      <c r="H12067" s="151" t="s">
        <v>563</v>
      </c>
      <c r="I12067" t="s">
        <v>17</v>
      </c>
    </row>
    <row r="12068" spans="1:9" x14ac:dyDescent="0.25">
      <c r="A12068" s="151">
        <v>1833</v>
      </c>
      <c r="B12068" s="151">
        <f>A12068+1</f>
        <v>1834</v>
      </c>
      <c r="C12068" s="151" t="s">
        <v>539</v>
      </c>
      <c r="D12068" s="151" t="s">
        <v>26</v>
      </c>
      <c r="E12068" s="208" t="s">
        <v>34</v>
      </c>
      <c r="F12068" t="s">
        <v>14</v>
      </c>
      <c r="G12068" s="18">
        <v>4049</v>
      </c>
      <c r="H12068" s="151" t="s">
        <v>563</v>
      </c>
      <c r="I12068" t="s">
        <v>17</v>
      </c>
    </row>
    <row r="12069" spans="1:9" x14ac:dyDescent="0.25">
      <c r="A12069" s="151">
        <v>1833</v>
      </c>
      <c r="B12069" s="151">
        <f>A12069+1</f>
        <v>1834</v>
      </c>
      <c r="C12069" s="151" t="s">
        <v>539</v>
      </c>
      <c r="D12069" s="151" t="s">
        <v>26</v>
      </c>
      <c r="E12069" s="208" t="s">
        <v>63</v>
      </c>
      <c r="F12069" t="s">
        <v>14</v>
      </c>
      <c r="G12069" s="18">
        <v>520</v>
      </c>
      <c r="H12069" s="151" t="s">
        <v>563</v>
      </c>
      <c r="I12069" t="s">
        <v>17</v>
      </c>
    </row>
    <row r="12070" spans="1:9" x14ac:dyDescent="0.25">
      <c r="A12070" s="151">
        <v>1833</v>
      </c>
      <c r="B12070" s="151">
        <f>A12070+1</f>
        <v>1834</v>
      </c>
      <c r="C12070" s="151" t="s">
        <v>539</v>
      </c>
      <c r="D12070" s="151" t="s">
        <v>26</v>
      </c>
      <c r="E12070" s="208" t="s">
        <v>62</v>
      </c>
      <c r="F12070" t="s">
        <v>14</v>
      </c>
      <c r="G12070" s="18">
        <v>6247</v>
      </c>
      <c r="H12070" s="151" t="s">
        <v>563</v>
      </c>
      <c r="I12070" t="s">
        <v>17</v>
      </c>
    </row>
    <row r="12071" spans="1:9" x14ac:dyDescent="0.25">
      <c r="A12071" s="151">
        <v>1833</v>
      </c>
      <c r="B12071" s="151">
        <f>A12071+1</f>
        <v>1834</v>
      </c>
      <c r="C12071" s="151" t="s">
        <v>539</v>
      </c>
      <c r="D12071" s="151" t="s">
        <v>26</v>
      </c>
      <c r="E12071" s="208" t="s">
        <v>55</v>
      </c>
      <c r="F12071" t="s">
        <v>14</v>
      </c>
      <c r="G12071" s="18">
        <v>3325</v>
      </c>
      <c r="H12071" s="151" t="s">
        <v>563</v>
      </c>
      <c r="I12071" t="s">
        <v>17</v>
      </c>
    </row>
    <row r="12072" spans="1:9" x14ac:dyDescent="0.25">
      <c r="A12072" s="151">
        <v>1833</v>
      </c>
      <c r="B12072" s="151">
        <f>A12072+1</f>
        <v>1834</v>
      </c>
      <c r="C12072" s="151" t="s">
        <v>539</v>
      </c>
      <c r="D12072" s="151" t="s">
        <v>26</v>
      </c>
      <c r="E12072" s="208" t="s">
        <v>36</v>
      </c>
      <c r="F12072" t="s">
        <v>14</v>
      </c>
      <c r="G12072" s="18">
        <v>1528.5</v>
      </c>
      <c r="H12072" s="151" t="s">
        <v>563</v>
      </c>
      <c r="I12072" t="s">
        <v>17</v>
      </c>
    </row>
    <row r="12073" spans="1:9" x14ac:dyDescent="0.25">
      <c r="A12073" s="151">
        <v>1833</v>
      </c>
      <c r="B12073" s="151">
        <f>A12073+1</f>
        <v>1834</v>
      </c>
      <c r="C12073" s="151" t="s">
        <v>539</v>
      </c>
      <c r="D12073" s="151" t="s">
        <v>26</v>
      </c>
      <c r="E12073" s="208" t="s">
        <v>35</v>
      </c>
      <c r="F12073" t="s">
        <v>14</v>
      </c>
      <c r="G12073" s="18">
        <v>0</v>
      </c>
      <c r="H12073" s="151" t="s">
        <v>563</v>
      </c>
      <c r="I12073" t="s">
        <v>17</v>
      </c>
    </row>
    <row r="12074" spans="1:9" x14ac:dyDescent="0.25">
      <c r="A12074" s="151">
        <v>1833</v>
      </c>
      <c r="B12074" s="151">
        <f>A12074+1</f>
        <v>1834</v>
      </c>
      <c r="C12074" s="151" t="s">
        <v>539</v>
      </c>
      <c r="D12074" s="151" t="s">
        <v>26</v>
      </c>
      <c r="E12074" s="208" t="s">
        <v>40</v>
      </c>
      <c r="F12074" t="s">
        <v>14</v>
      </c>
      <c r="G12074" s="18">
        <v>80136</v>
      </c>
      <c r="H12074" s="151" t="s">
        <v>563</v>
      </c>
      <c r="I12074" t="s">
        <v>17</v>
      </c>
    </row>
    <row r="12075" spans="1:9" x14ac:dyDescent="0.25">
      <c r="A12075" s="151">
        <v>1833</v>
      </c>
      <c r="B12075" s="151">
        <f>A12075+1</f>
        <v>1834</v>
      </c>
      <c r="C12075" s="151" t="s">
        <v>539</v>
      </c>
      <c r="D12075" s="151" t="s">
        <v>26</v>
      </c>
      <c r="E12075" s="208" t="s">
        <v>96</v>
      </c>
      <c r="F12075" t="s">
        <v>14</v>
      </c>
      <c r="G12075" s="18">
        <v>690</v>
      </c>
      <c r="H12075" t="s">
        <v>561</v>
      </c>
      <c r="I12075" s="151" t="s">
        <v>562</v>
      </c>
    </row>
    <row r="12076" spans="1:9" x14ac:dyDescent="0.25">
      <c r="A12076" s="151">
        <v>1833</v>
      </c>
      <c r="B12076" s="151">
        <f>A12076+1</f>
        <v>1834</v>
      </c>
      <c r="C12076" s="151" t="s">
        <v>539</v>
      </c>
      <c r="D12076" s="151" t="s">
        <v>26</v>
      </c>
      <c r="E12076" s="208" t="s">
        <v>98</v>
      </c>
      <c r="F12076" t="s">
        <v>14</v>
      </c>
      <c r="G12076" s="18">
        <v>429842</v>
      </c>
      <c r="H12076" t="s">
        <v>561</v>
      </c>
      <c r="I12076" s="151" t="s">
        <v>562</v>
      </c>
    </row>
    <row r="12077" spans="1:9" x14ac:dyDescent="0.25">
      <c r="A12077" s="151">
        <v>1833</v>
      </c>
      <c r="B12077" s="151">
        <f>A12077+1</f>
        <v>1834</v>
      </c>
      <c r="C12077" s="151" t="s">
        <v>539</v>
      </c>
      <c r="D12077" s="151" t="s">
        <v>26</v>
      </c>
      <c r="E12077" s="208" t="s">
        <v>442</v>
      </c>
      <c r="F12077" t="s">
        <v>14</v>
      </c>
      <c r="G12077" s="18">
        <v>3254.5</v>
      </c>
      <c r="H12077" t="s">
        <v>561</v>
      </c>
      <c r="I12077" s="151" t="s">
        <v>562</v>
      </c>
    </row>
    <row r="12078" spans="1:9" x14ac:dyDescent="0.25">
      <c r="A12078" s="151">
        <v>1833</v>
      </c>
      <c r="B12078" s="151">
        <f>A12078+1</f>
        <v>1834</v>
      </c>
      <c r="C12078" s="151" t="s">
        <v>539</v>
      </c>
      <c r="D12078" s="151" t="s">
        <v>26</v>
      </c>
      <c r="E12078" s="208" t="s">
        <v>105</v>
      </c>
      <c r="F12078" t="s">
        <v>14</v>
      </c>
      <c r="G12078" s="18">
        <v>2041598</v>
      </c>
      <c r="H12078" t="s">
        <v>561</v>
      </c>
      <c r="I12078" s="151" t="s">
        <v>562</v>
      </c>
    </row>
    <row r="12079" spans="1:9" x14ac:dyDescent="0.25">
      <c r="A12079" s="151">
        <v>1833</v>
      </c>
      <c r="B12079" s="151">
        <f>A12079+1</f>
        <v>1834</v>
      </c>
      <c r="C12079" s="151" t="s">
        <v>539</v>
      </c>
      <c r="D12079" s="151" t="s">
        <v>26</v>
      </c>
      <c r="E12079" s="208" t="s">
        <v>106</v>
      </c>
      <c r="F12079" t="s">
        <v>14</v>
      </c>
      <c r="G12079" s="18">
        <v>869430</v>
      </c>
      <c r="H12079" t="s">
        <v>561</v>
      </c>
      <c r="I12079" s="151" t="s">
        <v>562</v>
      </c>
    </row>
    <row r="12080" spans="1:9" x14ac:dyDescent="0.25">
      <c r="A12080" s="151">
        <v>1833</v>
      </c>
      <c r="B12080" s="151">
        <f>A12080+1</f>
        <v>1834</v>
      </c>
      <c r="C12080" s="151" t="s">
        <v>539</v>
      </c>
      <c r="D12080" s="151" t="s">
        <v>26</v>
      </c>
      <c r="E12080" s="208" t="s">
        <v>101</v>
      </c>
      <c r="F12080" t="s">
        <v>14</v>
      </c>
      <c r="G12080" s="18">
        <v>3621356</v>
      </c>
      <c r="H12080" t="s">
        <v>561</v>
      </c>
      <c r="I12080" s="151" t="s">
        <v>562</v>
      </c>
    </row>
    <row r="12081" spans="1:9" x14ac:dyDescent="0.25">
      <c r="A12081" s="151">
        <v>1833</v>
      </c>
      <c r="B12081" s="151">
        <f>A12081+1</f>
        <v>1834</v>
      </c>
      <c r="C12081" s="151" t="s">
        <v>539</v>
      </c>
      <c r="D12081" s="151" t="s">
        <v>26</v>
      </c>
      <c r="E12081" s="208" t="s">
        <v>75</v>
      </c>
      <c r="F12081" t="s">
        <v>14</v>
      </c>
      <c r="G12081" s="18">
        <v>3661380</v>
      </c>
      <c r="H12081" t="s">
        <v>561</v>
      </c>
      <c r="I12081" s="151" t="s">
        <v>562</v>
      </c>
    </row>
    <row r="12082" spans="1:9" x14ac:dyDescent="0.25">
      <c r="A12082" s="151">
        <v>1833</v>
      </c>
      <c r="B12082" s="151">
        <f>A12082+1</f>
        <v>1834</v>
      </c>
      <c r="C12082" s="151" t="s">
        <v>539</v>
      </c>
      <c r="D12082" s="151" t="s">
        <v>26</v>
      </c>
      <c r="E12082" s="208" t="s">
        <v>66</v>
      </c>
      <c r="F12082" t="s">
        <v>14</v>
      </c>
      <c r="G12082" s="18">
        <v>422889</v>
      </c>
      <c r="H12082" t="s">
        <v>561</v>
      </c>
      <c r="I12082" s="151" t="s">
        <v>562</v>
      </c>
    </row>
    <row r="12083" spans="1:9" x14ac:dyDescent="0.25">
      <c r="A12083" s="151">
        <v>1833</v>
      </c>
      <c r="B12083" s="151">
        <f>A12083+1</f>
        <v>1834</v>
      </c>
      <c r="C12083" s="151" t="s">
        <v>539</v>
      </c>
      <c r="D12083" s="151" t="s">
        <v>26</v>
      </c>
      <c r="E12083" s="208" t="s">
        <v>28</v>
      </c>
      <c r="F12083" t="s">
        <v>14</v>
      </c>
      <c r="G12083" s="18">
        <v>852.5</v>
      </c>
      <c r="H12083" t="s">
        <v>561</v>
      </c>
      <c r="I12083" s="151" t="s">
        <v>562</v>
      </c>
    </row>
    <row r="12084" spans="1:9" x14ac:dyDescent="0.25">
      <c r="A12084" s="151">
        <v>1833</v>
      </c>
      <c r="B12084" s="151">
        <f>A12084+1</f>
        <v>1834</v>
      </c>
      <c r="C12084" s="151" t="s">
        <v>539</v>
      </c>
      <c r="D12084" s="151" t="s">
        <v>26</v>
      </c>
      <c r="E12084" s="208" t="s">
        <v>89</v>
      </c>
      <c r="F12084" t="s">
        <v>14</v>
      </c>
      <c r="G12084" s="18">
        <v>1644.5</v>
      </c>
      <c r="H12084" t="s">
        <v>561</v>
      </c>
      <c r="I12084" s="151" t="s">
        <v>562</v>
      </c>
    </row>
    <row r="12085" spans="1:9" x14ac:dyDescent="0.25">
      <c r="A12085" s="151">
        <v>1833</v>
      </c>
      <c r="B12085" s="151">
        <f>A12085+1</f>
        <v>1834</v>
      </c>
      <c r="C12085" s="151" t="s">
        <v>539</v>
      </c>
      <c r="D12085" s="151" t="s">
        <v>26</v>
      </c>
      <c r="E12085" s="208" t="s">
        <v>450</v>
      </c>
      <c r="F12085" t="s">
        <v>14</v>
      </c>
      <c r="G12085" s="18">
        <v>1169</v>
      </c>
      <c r="H12085" t="s">
        <v>561</v>
      </c>
      <c r="I12085" s="151" t="s">
        <v>562</v>
      </c>
    </row>
    <row r="12086" spans="1:9" x14ac:dyDescent="0.25">
      <c r="A12086" s="151">
        <v>1833</v>
      </c>
      <c r="B12086" s="151">
        <f>A12086+1</f>
        <v>1834</v>
      </c>
      <c r="C12086" s="151" t="s">
        <v>539</v>
      </c>
      <c r="D12086" s="151" t="s">
        <v>26</v>
      </c>
      <c r="E12086" s="208" t="s">
        <v>48</v>
      </c>
      <c r="F12086" t="s">
        <v>14</v>
      </c>
      <c r="G12086" s="18">
        <v>1683.5</v>
      </c>
      <c r="H12086" t="s">
        <v>561</v>
      </c>
      <c r="I12086" s="151" t="s">
        <v>562</v>
      </c>
    </row>
    <row r="12087" spans="1:9" x14ac:dyDescent="0.25">
      <c r="A12087" s="151">
        <v>1833</v>
      </c>
      <c r="B12087" s="151">
        <f>A12087+1</f>
        <v>1834</v>
      </c>
      <c r="C12087" s="151" t="s">
        <v>539</v>
      </c>
      <c r="D12087" s="151" t="s">
        <v>26</v>
      </c>
      <c r="E12087" s="208" t="s">
        <v>102</v>
      </c>
      <c r="F12087" t="s">
        <v>14</v>
      </c>
      <c r="G12087" s="18">
        <v>3129</v>
      </c>
      <c r="H12087" t="s">
        <v>561</v>
      </c>
      <c r="I12087" s="151" t="s">
        <v>562</v>
      </c>
    </row>
    <row r="12088" spans="1:9" x14ac:dyDescent="0.25">
      <c r="A12088" s="151">
        <v>1833</v>
      </c>
      <c r="B12088" s="151">
        <f>A12088+1</f>
        <v>1834</v>
      </c>
      <c r="C12088" s="151" t="s">
        <v>539</v>
      </c>
      <c r="D12088" s="151" t="s">
        <v>26</v>
      </c>
      <c r="E12088" s="208" t="s">
        <v>330</v>
      </c>
      <c r="F12088" t="s">
        <v>14</v>
      </c>
      <c r="G12088" s="18">
        <v>349</v>
      </c>
      <c r="H12088" t="s">
        <v>561</v>
      </c>
      <c r="I12088" s="151" t="s">
        <v>562</v>
      </c>
    </row>
    <row r="12089" spans="1:9" x14ac:dyDescent="0.25">
      <c r="A12089" s="151">
        <v>1833</v>
      </c>
      <c r="B12089" s="151">
        <f>A12089+1</f>
        <v>1834</v>
      </c>
      <c r="C12089" s="151" t="s">
        <v>539</v>
      </c>
      <c r="D12089" s="151" t="s">
        <v>26</v>
      </c>
      <c r="E12089" s="208" t="s">
        <v>331</v>
      </c>
      <c r="F12089" t="s">
        <v>14</v>
      </c>
      <c r="G12089" s="18">
        <v>61</v>
      </c>
      <c r="H12089" t="s">
        <v>561</v>
      </c>
      <c r="I12089" s="151" t="s">
        <v>562</v>
      </c>
    </row>
    <row r="12090" spans="1:9" x14ac:dyDescent="0.25">
      <c r="A12090" s="151">
        <v>1833</v>
      </c>
      <c r="B12090" s="151">
        <f>A12090+1</f>
        <v>1834</v>
      </c>
      <c r="C12090" s="151" t="s">
        <v>539</v>
      </c>
      <c r="D12090" s="151" t="s">
        <v>26</v>
      </c>
      <c r="E12090" s="208" t="s">
        <v>332</v>
      </c>
      <c r="F12090" t="s">
        <v>14</v>
      </c>
      <c r="G12090" s="18">
        <v>92</v>
      </c>
      <c r="H12090" t="s">
        <v>561</v>
      </c>
      <c r="I12090" s="151" t="s">
        <v>562</v>
      </c>
    </row>
    <row r="12091" spans="1:9" x14ac:dyDescent="0.25">
      <c r="A12091" s="151">
        <v>1833</v>
      </c>
      <c r="B12091" s="151">
        <f>A12091+1</f>
        <v>1834</v>
      </c>
      <c r="C12091" s="151" t="s">
        <v>539</v>
      </c>
      <c r="D12091" s="151" t="s">
        <v>26</v>
      </c>
      <c r="E12091" s="208" t="s">
        <v>333</v>
      </c>
      <c r="F12091" t="s">
        <v>14</v>
      </c>
      <c r="G12091" s="18">
        <v>1</v>
      </c>
      <c r="H12091" t="s">
        <v>561</v>
      </c>
      <c r="I12091" s="151" t="s">
        <v>562</v>
      </c>
    </row>
    <row r="12092" spans="1:9" x14ac:dyDescent="0.25">
      <c r="A12092" s="151">
        <v>1833</v>
      </c>
      <c r="B12092" s="151">
        <f>A12092+1</f>
        <v>1834</v>
      </c>
      <c r="C12092" s="151" t="s">
        <v>539</v>
      </c>
      <c r="D12092" s="151" t="s">
        <v>27</v>
      </c>
      <c r="E12092" s="208" t="s">
        <v>155</v>
      </c>
      <c r="F12092" t="s">
        <v>15</v>
      </c>
      <c r="G12092" s="18">
        <v>78711</v>
      </c>
      <c r="H12092" t="s">
        <v>561</v>
      </c>
      <c r="I12092" s="151" t="s">
        <v>562</v>
      </c>
    </row>
    <row r="12093" spans="1:9" x14ac:dyDescent="0.25">
      <c r="A12093" s="151">
        <v>1833</v>
      </c>
      <c r="B12093" s="151">
        <f>A12093+1</f>
        <v>1834</v>
      </c>
      <c r="C12093" s="151" t="s">
        <v>539</v>
      </c>
      <c r="D12093" s="151" t="s">
        <v>27</v>
      </c>
      <c r="E12093" s="208" t="s">
        <v>156</v>
      </c>
      <c r="F12093" t="s">
        <v>15</v>
      </c>
      <c r="G12093" s="18">
        <v>10164</v>
      </c>
      <c r="H12093" t="s">
        <v>561</v>
      </c>
      <c r="I12093" s="151" t="s">
        <v>562</v>
      </c>
    </row>
    <row r="12094" spans="1:9" x14ac:dyDescent="0.25">
      <c r="A12094" s="151">
        <v>1833</v>
      </c>
      <c r="B12094" s="151">
        <f>A12094+1</f>
        <v>1834</v>
      </c>
      <c r="C12094" s="151" t="s">
        <v>539</v>
      </c>
      <c r="D12094" s="151" t="s">
        <v>27</v>
      </c>
      <c r="E12094" s="208" t="s">
        <v>154</v>
      </c>
      <c r="F12094" t="s">
        <v>15</v>
      </c>
      <c r="G12094" s="18">
        <v>3273.5</v>
      </c>
      <c r="H12094" t="s">
        <v>561</v>
      </c>
      <c r="I12094" s="151" t="s">
        <v>562</v>
      </c>
    </row>
    <row r="12095" spans="1:9" x14ac:dyDescent="0.25">
      <c r="A12095" s="151">
        <v>1833</v>
      </c>
      <c r="B12095" s="151">
        <f>A12095+1</f>
        <v>1834</v>
      </c>
      <c r="C12095" s="151" t="s">
        <v>539</v>
      </c>
      <c r="D12095" s="151" t="s">
        <v>27</v>
      </c>
      <c r="E12095" s="208" t="s">
        <v>150</v>
      </c>
      <c r="F12095" t="s">
        <v>15</v>
      </c>
      <c r="G12095" s="18">
        <v>30200</v>
      </c>
      <c r="H12095" t="s">
        <v>561</v>
      </c>
      <c r="I12095" s="151" t="s">
        <v>562</v>
      </c>
    </row>
    <row r="12096" spans="1:9" x14ac:dyDescent="0.25">
      <c r="A12096" s="151">
        <v>1833</v>
      </c>
      <c r="B12096" s="151">
        <f>A12096+1</f>
        <v>1834</v>
      </c>
      <c r="C12096" s="151" t="s">
        <v>539</v>
      </c>
      <c r="D12096" s="151" t="s">
        <v>27</v>
      </c>
      <c r="E12096" s="208" t="s">
        <v>148</v>
      </c>
      <c r="F12096" t="s">
        <v>15</v>
      </c>
      <c r="G12096" s="18">
        <v>2615</v>
      </c>
      <c r="H12096" t="s">
        <v>561</v>
      </c>
      <c r="I12096" s="151" t="s">
        <v>562</v>
      </c>
    </row>
    <row r="12097" spans="1:9" x14ac:dyDescent="0.25">
      <c r="A12097" s="151">
        <v>1833</v>
      </c>
      <c r="B12097" s="151">
        <f>A12097+1</f>
        <v>1834</v>
      </c>
      <c r="C12097" s="151" t="s">
        <v>539</v>
      </c>
      <c r="D12097" s="151" t="s">
        <v>27</v>
      </c>
      <c r="E12097" s="208" t="s">
        <v>147</v>
      </c>
      <c r="F12097" t="s">
        <v>15</v>
      </c>
      <c r="G12097" s="18">
        <v>943</v>
      </c>
      <c r="H12097" t="s">
        <v>561</v>
      </c>
      <c r="I12097" s="151" t="s">
        <v>562</v>
      </c>
    </row>
    <row r="12098" spans="1:9" x14ac:dyDescent="0.25">
      <c r="A12098" s="151">
        <v>1833</v>
      </c>
      <c r="B12098" s="151">
        <f>A12098+1</f>
        <v>1834</v>
      </c>
      <c r="C12098" s="151" t="s">
        <v>539</v>
      </c>
      <c r="D12098" s="151" t="s">
        <v>27</v>
      </c>
      <c r="E12098" s="208" t="s">
        <v>125</v>
      </c>
      <c r="F12098" t="s">
        <v>15</v>
      </c>
      <c r="G12098" s="18">
        <v>22977</v>
      </c>
      <c r="H12098" t="s">
        <v>561</v>
      </c>
      <c r="I12098" s="151" t="s">
        <v>562</v>
      </c>
    </row>
    <row r="12099" spans="1:9" x14ac:dyDescent="0.25">
      <c r="A12099" s="151">
        <v>1833</v>
      </c>
      <c r="B12099" s="151">
        <f>A12099+1</f>
        <v>1834</v>
      </c>
      <c r="C12099" s="151" t="s">
        <v>539</v>
      </c>
      <c r="D12099" s="151" t="s">
        <v>27</v>
      </c>
      <c r="E12099" s="208" t="s">
        <v>122</v>
      </c>
      <c r="F12099" t="s">
        <v>15</v>
      </c>
      <c r="G12099" s="18">
        <v>7474</v>
      </c>
      <c r="H12099" s="151" t="s">
        <v>563</v>
      </c>
      <c r="I12099" t="s">
        <v>561</v>
      </c>
    </row>
    <row r="12100" spans="1:9" x14ac:dyDescent="0.25">
      <c r="A12100" s="151">
        <v>1833</v>
      </c>
      <c r="B12100" s="151">
        <f>A12100+1</f>
        <v>1834</v>
      </c>
      <c r="C12100" s="151" t="s">
        <v>539</v>
      </c>
      <c r="D12100" s="151" t="s">
        <v>27</v>
      </c>
      <c r="E12100" s="208" t="s">
        <v>121</v>
      </c>
      <c r="F12100" t="s">
        <v>15</v>
      </c>
      <c r="G12100" s="18">
        <v>1323</v>
      </c>
      <c r="H12100" s="151" t="s">
        <v>563</v>
      </c>
      <c r="I12100" t="s">
        <v>561</v>
      </c>
    </row>
    <row r="12101" spans="1:9" x14ac:dyDescent="0.25">
      <c r="A12101" s="151">
        <v>1833</v>
      </c>
      <c r="B12101" s="151">
        <f>A12101+1</f>
        <v>1834</v>
      </c>
      <c r="C12101" s="151" t="s">
        <v>539</v>
      </c>
      <c r="D12101" s="151" t="s">
        <v>27</v>
      </c>
      <c r="E12101" s="208" t="s">
        <v>139</v>
      </c>
      <c r="F12101" t="s">
        <v>15</v>
      </c>
      <c r="G12101" s="18">
        <v>507</v>
      </c>
      <c r="H12101" s="151" t="s">
        <v>563</v>
      </c>
      <c r="I12101" t="s">
        <v>561</v>
      </c>
    </row>
    <row r="12102" spans="1:9" x14ac:dyDescent="0.25">
      <c r="A12102" s="151">
        <v>1833</v>
      </c>
      <c r="B12102" s="151">
        <f>A12102+1</f>
        <v>1834</v>
      </c>
      <c r="C12102" s="151" t="s">
        <v>539</v>
      </c>
      <c r="D12102" s="151" t="s">
        <v>27</v>
      </c>
      <c r="E12102" s="208" t="s">
        <v>143</v>
      </c>
      <c r="F12102" t="s">
        <v>15</v>
      </c>
      <c r="G12102" s="18">
        <v>871</v>
      </c>
      <c r="H12102" s="151" t="s">
        <v>563</v>
      </c>
      <c r="I12102" t="s">
        <v>561</v>
      </c>
    </row>
    <row r="12103" spans="1:9" x14ac:dyDescent="0.25">
      <c r="A12103" s="151">
        <v>1833</v>
      </c>
      <c r="B12103" s="151">
        <f>A12103+1</f>
        <v>1834</v>
      </c>
      <c r="C12103" s="151" t="s">
        <v>539</v>
      </c>
      <c r="D12103" s="151" t="s">
        <v>27</v>
      </c>
      <c r="E12103" s="208" t="s">
        <v>142</v>
      </c>
      <c r="F12103" t="s">
        <v>15</v>
      </c>
      <c r="G12103" s="18">
        <v>23536</v>
      </c>
      <c r="H12103" s="151" t="s">
        <v>563</v>
      </c>
      <c r="I12103" t="s">
        <v>561</v>
      </c>
    </row>
    <row r="12104" spans="1:9" x14ac:dyDescent="0.25">
      <c r="A12104" s="151">
        <v>1833</v>
      </c>
      <c r="B12104" s="151">
        <f>A12104+1</f>
        <v>1834</v>
      </c>
      <c r="C12104" s="151" t="s">
        <v>539</v>
      </c>
      <c r="D12104" s="151" t="s">
        <v>27</v>
      </c>
      <c r="E12104" s="208" t="s">
        <v>131</v>
      </c>
      <c r="F12104" t="s">
        <v>15</v>
      </c>
      <c r="G12104" s="18">
        <v>6562.5</v>
      </c>
      <c r="H12104" s="151" t="s">
        <v>563</v>
      </c>
      <c r="I12104" t="s">
        <v>561</v>
      </c>
    </row>
    <row r="12105" spans="1:9" x14ac:dyDescent="0.25">
      <c r="A12105" s="151">
        <v>1833</v>
      </c>
      <c r="B12105" s="151">
        <f>A12105+1</f>
        <v>1834</v>
      </c>
      <c r="C12105" s="151" t="s">
        <v>539</v>
      </c>
      <c r="D12105" s="151" t="s">
        <v>27</v>
      </c>
      <c r="E12105" s="208" t="s">
        <v>130</v>
      </c>
      <c r="F12105" t="s">
        <v>15</v>
      </c>
      <c r="G12105" s="18">
        <v>179.5</v>
      </c>
      <c r="H12105" s="151" t="s">
        <v>563</v>
      </c>
      <c r="I12105" t="s">
        <v>561</v>
      </c>
    </row>
    <row r="12106" spans="1:9" x14ac:dyDescent="0.25">
      <c r="A12106" s="151">
        <v>1833</v>
      </c>
      <c r="B12106" s="151">
        <f>A12106+1</f>
        <v>1834</v>
      </c>
      <c r="C12106" s="151" t="s">
        <v>539</v>
      </c>
      <c r="D12106" s="151" t="s">
        <v>27</v>
      </c>
      <c r="E12106" s="208" t="s">
        <v>127</v>
      </c>
      <c r="F12106" t="s">
        <v>15</v>
      </c>
      <c r="G12106" s="18">
        <v>78</v>
      </c>
      <c r="H12106" s="151" t="s">
        <v>563</v>
      </c>
      <c r="I12106" t="s">
        <v>561</v>
      </c>
    </row>
    <row r="12107" spans="1:9" x14ac:dyDescent="0.25">
      <c r="A12107" s="151">
        <v>1833</v>
      </c>
      <c r="B12107" s="151">
        <f>A12107+1</f>
        <v>1834</v>
      </c>
      <c r="C12107" s="151" t="s">
        <v>539</v>
      </c>
      <c r="D12107" s="151" t="s">
        <v>27</v>
      </c>
      <c r="E12107" s="208" t="s">
        <v>133</v>
      </c>
      <c r="F12107" t="s">
        <v>15</v>
      </c>
      <c r="G12107" s="18">
        <v>10978</v>
      </c>
      <c r="H12107" s="151" t="s">
        <v>563</v>
      </c>
      <c r="I12107" t="s">
        <v>561</v>
      </c>
    </row>
    <row r="12108" spans="1:9" x14ac:dyDescent="0.25">
      <c r="A12108" s="151">
        <v>1833</v>
      </c>
      <c r="B12108" s="151">
        <f>A12108+1</f>
        <v>1834</v>
      </c>
      <c r="C12108" s="151" t="s">
        <v>539</v>
      </c>
      <c r="D12108" s="151" t="s">
        <v>27</v>
      </c>
      <c r="E12108" s="208" t="s">
        <v>74</v>
      </c>
      <c r="F12108" t="s">
        <v>15</v>
      </c>
      <c r="G12108" s="18">
        <v>9399.2000000000007</v>
      </c>
      <c r="H12108" s="151" t="s">
        <v>563</v>
      </c>
      <c r="I12108" t="s">
        <v>561</v>
      </c>
    </row>
    <row r="12109" spans="1:9" x14ac:dyDescent="0.25">
      <c r="A12109" s="151">
        <v>1833</v>
      </c>
      <c r="B12109" s="151">
        <f>A12109+1</f>
        <v>1834</v>
      </c>
      <c r="C12109" s="151" t="s">
        <v>539</v>
      </c>
      <c r="D12109" s="151" t="s">
        <v>27</v>
      </c>
      <c r="E12109" s="208" t="s">
        <v>129</v>
      </c>
      <c r="F12109" t="s">
        <v>15</v>
      </c>
      <c r="G12109" s="18">
        <v>3088.65</v>
      </c>
      <c r="H12109" s="151" t="s">
        <v>563</v>
      </c>
      <c r="I12109" t="s">
        <v>561</v>
      </c>
    </row>
    <row r="12110" spans="1:9" x14ac:dyDescent="0.25">
      <c r="A12110" s="151">
        <v>1833</v>
      </c>
      <c r="B12110" s="151">
        <f>A12110+1</f>
        <v>1834</v>
      </c>
      <c r="C12110" s="151" t="s">
        <v>539</v>
      </c>
      <c r="D12110" s="151" t="s">
        <v>27</v>
      </c>
      <c r="E12110" s="208" t="s">
        <v>141</v>
      </c>
      <c r="F12110" t="s">
        <v>15</v>
      </c>
      <c r="G12110" s="18">
        <v>538.75</v>
      </c>
      <c r="H12110" s="151" t="s">
        <v>563</v>
      </c>
      <c r="I12110" t="s">
        <v>561</v>
      </c>
    </row>
    <row r="12111" spans="1:9" x14ac:dyDescent="0.25">
      <c r="A12111" s="151">
        <v>1833</v>
      </c>
      <c r="B12111" s="151">
        <f>A12111+1</f>
        <v>1834</v>
      </c>
      <c r="C12111" s="151" t="s">
        <v>539</v>
      </c>
      <c r="D12111" s="151" t="s">
        <v>27</v>
      </c>
      <c r="E12111" s="208" t="s">
        <v>135</v>
      </c>
      <c r="F12111" t="s">
        <v>15</v>
      </c>
      <c r="G12111" s="18">
        <v>250.5</v>
      </c>
      <c r="H12111" s="151" t="s">
        <v>563</v>
      </c>
      <c r="I12111" t="s">
        <v>561</v>
      </c>
    </row>
    <row r="12112" spans="1:9" x14ac:dyDescent="0.25">
      <c r="A12112" s="151">
        <v>1833</v>
      </c>
      <c r="B12112" s="151">
        <f>A12112+1</f>
        <v>1834</v>
      </c>
      <c r="C12112" s="151" t="s">
        <v>539</v>
      </c>
      <c r="D12112" s="151" t="s">
        <v>27</v>
      </c>
      <c r="E12112" s="208" t="s">
        <v>128</v>
      </c>
      <c r="F12112" t="s">
        <v>15</v>
      </c>
      <c r="G12112" s="18">
        <v>895</v>
      </c>
      <c r="H12112" s="151" t="s">
        <v>563</v>
      </c>
      <c r="I12112" t="s">
        <v>561</v>
      </c>
    </row>
    <row r="12113" spans="1:9" x14ac:dyDescent="0.25">
      <c r="A12113" s="151">
        <v>1833</v>
      </c>
      <c r="B12113" s="151">
        <f>A12113+1</f>
        <v>1834</v>
      </c>
      <c r="C12113" s="151" t="s">
        <v>539</v>
      </c>
      <c r="D12113" s="151" t="s">
        <v>27</v>
      </c>
      <c r="E12113" s="208" t="s">
        <v>78</v>
      </c>
      <c r="F12113" t="s">
        <v>15</v>
      </c>
      <c r="G12113" s="18">
        <v>807</v>
      </c>
      <c r="H12113" s="151" t="s">
        <v>563</v>
      </c>
      <c r="I12113" t="s">
        <v>561</v>
      </c>
    </row>
    <row r="12114" spans="1:9" x14ac:dyDescent="0.25">
      <c r="A12114" s="151">
        <v>1833</v>
      </c>
      <c r="B12114" s="151">
        <f>A12114+1</f>
        <v>1834</v>
      </c>
      <c r="C12114" s="151" t="s">
        <v>539</v>
      </c>
      <c r="D12114" s="151" t="s">
        <v>27</v>
      </c>
      <c r="E12114" s="208" t="s">
        <v>119</v>
      </c>
      <c r="F12114" t="s">
        <v>15</v>
      </c>
      <c r="G12114" s="18">
        <v>1538</v>
      </c>
      <c r="H12114" s="151" t="s">
        <v>563</v>
      </c>
      <c r="I12114" t="s">
        <v>561</v>
      </c>
    </row>
    <row r="12115" spans="1:9" x14ac:dyDescent="0.25">
      <c r="A12115" s="151">
        <v>1833</v>
      </c>
      <c r="B12115" s="151">
        <f>A12115+1</f>
        <v>1834</v>
      </c>
      <c r="C12115" s="151" t="s">
        <v>539</v>
      </c>
      <c r="D12115" s="151" t="s">
        <v>27</v>
      </c>
      <c r="E12115" s="208" t="s">
        <v>134</v>
      </c>
      <c r="F12115" t="s">
        <v>15</v>
      </c>
      <c r="G12115" s="18">
        <v>18814</v>
      </c>
      <c r="H12115" s="151" t="s">
        <v>563</v>
      </c>
      <c r="I12115" t="s">
        <v>561</v>
      </c>
    </row>
    <row r="12116" spans="1:9" x14ac:dyDescent="0.25">
      <c r="A12116" s="151">
        <v>1833</v>
      </c>
      <c r="B12116" s="151">
        <f>A12116+1</f>
        <v>1834</v>
      </c>
      <c r="C12116" s="151" t="s">
        <v>539</v>
      </c>
      <c r="D12116" s="151" t="s">
        <v>26</v>
      </c>
      <c r="E12116" s="208" t="s">
        <v>34</v>
      </c>
      <c r="F12116" t="s">
        <v>15</v>
      </c>
      <c r="G12116" s="18">
        <v>26946</v>
      </c>
      <c r="H12116" s="151" t="s">
        <v>563</v>
      </c>
      <c r="I12116" t="s">
        <v>561</v>
      </c>
    </row>
    <row r="12117" spans="1:9" x14ac:dyDescent="0.25">
      <c r="A12117" s="151">
        <v>1833</v>
      </c>
      <c r="B12117" s="151">
        <f>A12117+1</f>
        <v>1834</v>
      </c>
      <c r="C12117" s="151" t="s">
        <v>539</v>
      </c>
      <c r="D12117" s="151" t="s">
        <v>26</v>
      </c>
      <c r="E12117" s="208" t="s">
        <v>63</v>
      </c>
      <c r="F12117" t="s">
        <v>15</v>
      </c>
      <c r="G12117" s="18">
        <v>2094</v>
      </c>
      <c r="H12117" s="151" t="s">
        <v>563</v>
      </c>
      <c r="I12117" t="s">
        <v>561</v>
      </c>
    </row>
    <row r="12118" spans="1:9" x14ac:dyDescent="0.25">
      <c r="A12118" s="151">
        <v>1833</v>
      </c>
      <c r="B12118" s="151">
        <f>A12118+1</f>
        <v>1834</v>
      </c>
      <c r="C12118" s="151" t="s">
        <v>539</v>
      </c>
      <c r="D12118" s="151" t="s">
        <v>26</v>
      </c>
      <c r="E12118" s="208" t="s">
        <v>62</v>
      </c>
      <c r="F12118" t="s">
        <v>15</v>
      </c>
      <c r="G12118" s="18">
        <v>53998.5</v>
      </c>
      <c r="H12118" s="151" t="s">
        <v>563</v>
      </c>
      <c r="I12118" t="s">
        <v>561</v>
      </c>
    </row>
    <row r="12119" spans="1:9" x14ac:dyDescent="0.25">
      <c r="A12119" s="151">
        <v>1833</v>
      </c>
      <c r="B12119" s="151">
        <f>A12119+1</f>
        <v>1834</v>
      </c>
      <c r="C12119" s="151" t="s">
        <v>539</v>
      </c>
      <c r="D12119" s="151" t="s">
        <v>26</v>
      </c>
      <c r="E12119" s="208" t="s">
        <v>55</v>
      </c>
      <c r="F12119" t="s">
        <v>15</v>
      </c>
      <c r="G12119" s="18">
        <v>13152</v>
      </c>
      <c r="H12119" s="151" t="s">
        <v>563</v>
      </c>
      <c r="I12119" t="s">
        <v>561</v>
      </c>
    </row>
    <row r="12120" spans="1:9" x14ac:dyDescent="0.25">
      <c r="A12120" s="151">
        <v>1833</v>
      </c>
      <c r="B12120" s="151">
        <f>A12120+1</f>
        <v>1834</v>
      </c>
      <c r="C12120" s="151" t="s">
        <v>539</v>
      </c>
      <c r="D12120" s="151" t="s">
        <v>26</v>
      </c>
      <c r="E12120" s="208" t="s">
        <v>36</v>
      </c>
      <c r="F12120" t="s">
        <v>15</v>
      </c>
      <c r="G12120" s="18">
        <v>2382.5</v>
      </c>
      <c r="H12120" s="151" t="s">
        <v>563</v>
      </c>
      <c r="I12120" t="s">
        <v>561</v>
      </c>
    </row>
    <row r="12121" spans="1:9" x14ac:dyDescent="0.25">
      <c r="A12121" s="151">
        <v>1833</v>
      </c>
      <c r="B12121" s="151">
        <f>A12121+1</f>
        <v>1834</v>
      </c>
      <c r="C12121" s="151" t="s">
        <v>539</v>
      </c>
      <c r="D12121" s="151" t="s">
        <v>26</v>
      </c>
      <c r="E12121" s="208" t="s">
        <v>35</v>
      </c>
      <c r="F12121" t="s">
        <v>15</v>
      </c>
      <c r="G12121" s="18">
        <v>135</v>
      </c>
      <c r="H12121" s="151" t="s">
        <v>563</v>
      </c>
      <c r="I12121" t="s">
        <v>561</v>
      </c>
    </row>
    <row r="12122" spans="1:9" x14ac:dyDescent="0.25">
      <c r="A12122" s="151">
        <v>1833</v>
      </c>
      <c r="B12122" s="151">
        <f>A12122+1</f>
        <v>1834</v>
      </c>
      <c r="C12122" s="151" t="s">
        <v>539</v>
      </c>
      <c r="D12122" s="151" t="s">
        <v>26</v>
      </c>
      <c r="E12122" s="208" t="s">
        <v>40</v>
      </c>
      <c r="F12122" t="s">
        <v>15</v>
      </c>
      <c r="G12122" s="18">
        <v>475972</v>
      </c>
      <c r="H12122" s="151" t="s">
        <v>563</v>
      </c>
      <c r="I12122" t="s">
        <v>561</v>
      </c>
    </row>
    <row r="12123" spans="1:9" x14ac:dyDescent="0.25">
      <c r="A12123" s="151">
        <v>1833</v>
      </c>
      <c r="B12123" s="151">
        <f>A12123+1</f>
        <v>1834</v>
      </c>
      <c r="C12123" s="151" t="s">
        <v>539</v>
      </c>
      <c r="D12123" s="151" t="s">
        <v>26</v>
      </c>
      <c r="E12123" s="208" t="s">
        <v>96</v>
      </c>
      <c r="F12123" t="s">
        <v>15</v>
      </c>
      <c r="G12123" s="18">
        <v>4082</v>
      </c>
      <c r="H12123" t="s">
        <v>24</v>
      </c>
      <c r="I12123" t="s">
        <v>16</v>
      </c>
    </row>
    <row r="12124" spans="1:9" x14ac:dyDescent="0.25">
      <c r="A12124" s="151">
        <v>1833</v>
      </c>
      <c r="B12124" s="151">
        <f>A12124+1</f>
        <v>1834</v>
      </c>
      <c r="C12124" s="151" t="s">
        <v>539</v>
      </c>
      <c r="D12124" s="151" t="s">
        <v>26</v>
      </c>
      <c r="E12124" s="208" t="s">
        <v>98</v>
      </c>
      <c r="F12124" t="s">
        <v>15</v>
      </c>
      <c r="G12124" s="18">
        <v>1730680</v>
      </c>
      <c r="H12124" t="s">
        <v>25</v>
      </c>
      <c r="I12124" t="s">
        <v>16</v>
      </c>
    </row>
    <row r="12125" spans="1:9" x14ac:dyDescent="0.25">
      <c r="A12125" s="151">
        <v>1833</v>
      </c>
      <c r="B12125" s="151">
        <f>A12125+1</f>
        <v>1834</v>
      </c>
      <c r="C12125" s="151" t="s">
        <v>539</v>
      </c>
      <c r="D12125" s="151" t="s">
        <v>26</v>
      </c>
      <c r="E12125" s="208" t="s">
        <v>442</v>
      </c>
      <c r="F12125" t="s">
        <v>15</v>
      </c>
      <c r="G12125" s="18">
        <v>17234.5</v>
      </c>
      <c r="H12125" t="s">
        <v>160</v>
      </c>
      <c r="I12125" t="s">
        <v>16</v>
      </c>
    </row>
    <row r="12126" spans="1:9" x14ac:dyDescent="0.25">
      <c r="A12126" s="151">
        <v>1833</v>
      </c>
      <c r="B12126" s="151">
        <f>A12126+1</f>
        <v>1834</v>
      </c>
      <c r="C12126" s="151" t="s">
        <v>539</v>
      </c>
      <c r="D12126" s="151" t="s">
        <v>26</v>
      </c>
      <c r="E12126" s="208" t="s">
        <v>105</v>
      </c>
      <c r="F12126" t="s">
        <v>15</v>
      </c>
      <c r="G12126" s="18">
        <v>2908532</v>
      </c>
      <c r="H12126" t="s">
        <v>23</v>
      </c>
      <c r="I12126" t="s">
        <v>16</v>
      </c>
    </row>
    <row r="12127" spans="1:9" x14ac:dyDescent="0.25">
      <c r="A12127" s="151">
        <v>1833</v>
      </c>
      <c r="B12127" s="151">
        <f>A12127+1</f>
        <v>1834</v>
      </c>
      <c r="C12127" s="151" t="s">
        <v>539</v>
      </c>
      <c r="D12127" s="151" t="s">
        <v>26</v>
      </c>
      <c r="E12127" s="208" t="s">
        <v>106</v>
      </c>
      <c r="F12127" t="s">
        <v>15</v>
      </c>
      <c r="G12127" s="18">
        <v>1242174</v>
      </c>
      <c r="H12127" s="151" t="s">
        <v>563</v>
      </c>
      <c r="I12127" t="s">
        <v>16</v>
      </c>
    </row>
    <row r="12128" spans="1:9" x14ac:dyDescent="0.25">
      <c r="A12128" s="151">
        <v>1833</v>
      </c>
      <c r="B12128" s="151">
        <f>A12128+1</f>
        <v>1834</v>
      </c>
      <c r="C12128" s="151" t="s">
        <v>539</v>
      </c>
      <c r="D12128" s="151" t="s">
        <v>26</v>
      </c>
      <c r="E12128" s="208" t="s">
        <v>101</v>
      </c>
      <c r="F12128" t="s">
        <v>15</v>
      </c>
      <c r="G12128" s="18">
        <v>8300801</v>
      </c>
      <c r="H12128" s="151" t="s">
        <v>563</v>
      </c>
      <c r="I12128" t="s">
        <v>17</v>
      </c>
    </row>
    <row r="12129" spans="1:9" x14ac:dyDescent="0.25">
      <c r="A12129" s="151">
        <v>1833</v>
      </c>
      <c r="B12129" s="151">
        <f>A12129+1</f>
        <v>1834</v>
      </c>
      <c r="C12129" s="151" t="s">
        <v>539</v>
      </c>
      <c r="D12129" s="151" t="s">
        <v>26</v>
      </c>
      <c r="E12129" s="208" t="s">
        <v>75</v>
      </c>
      <c r="F12129" t="s">
        <v>15</v>
      </c>
      <c r="G12129" s="18">
        <v>5989691</v>
      </c>
      <c r="H12129" s="151" t="s">
        <v>563</v>
      </c>
      <c r="I12129" t="s">
        <v>561</v>
      </c>
    </row>
    <row r="12130" spans="1:9" x14ac:dyDescent="0.25">
      <c r="A12130" s="151">
        <v>1833</v>
      </c>
      <c r="B12130" s="151">
        <f>A12130+1</f>
        <v>1834</v>
      </c>
      <c r="C12130" s="151" t="s">
        <v>539</v>
      </c>
      <c r="D12130" s="151" t="s">
        <v>26</v>
      </c>
      <c r="E12130" s="208" t="s">
        <v>66</v>
      </c>
      <c r="F12130" t="s">
        <v>15</v>
      </c>
      <c r="G12130" s="18">
        <v>906739</v>
      </c>
      <c r="H12130" s="151" t="s">
        <v>563</v>
      </c>
      <c r="I12130" t="s">
        <v>16</v>
      </c>
    </row>
    <row r="12131" spans="1:9" x14ac:dyDescent="0.25">
      <c r="A12131" s="151">
        <v>1833</v>
      </c>
      <c r="B12131" s="151">
        <f>A12131+1</f>
        <v>1834</v>
      </c>
      <c r="C12131" s="151" t="s">
        <v>539</v>
      </c>
      <c r="D12131" s="151" t="s">
        <v>26</v>
      </c>
      <c r="E12131" s="208" t="s">
        <v>28</v>
      </c>
      <c r="F12131" t="s">
        <v>15</v>
      </c>
      <c r="G12131" s="18">
        <v>3904.5</v>
      </c>
      <c r="H12131" s="151" t="s">
        <v>563</v>
      </c>
      <c r="I12131" t="s">
        <v>17</v>
      </c>
    </row>
    <row r="12132" spans="1:9" x14ac:dyDescent="0.25">
      <c r="A12132" s="151">
        <v>1833</v>
      </c>
      <c r="B12132" s="151">
        <f>A12132+1</f>
        <v>1834</v>
      </c>
      <c r="C12132" s="151" t="s">
        <v>539</v>
      </c>
      <c r="D12132" s="151" t="s">
        <v>26</v>
      </c>
      <c r="E12132" s="208" t="s">
        <v>89</v>
      </c>
      <c r="F12132" t="s">
        <v>15</v>
      </c>
      <c r="G12132" s="18">
        <v>15665</v>
      </c>
      <c r="H12132" s="151" t="s">
        <v>563</v>
      </c>
      <c r="I12132" t="s">
        <v>561</v>
      </c>
    </row>
    <row r="12133" spans="1:9" x14ac:dyDescent="0.25">
      <c r="A12133" s="151">
        <v>1833</v>
      </c>
      <c r="B12133" s="151">
        <f>A12133+1</f>
        <v>1834</v>
      </c>
      <c r="C12133" s="151" t="s">
        <v>539</v>
      </c>
      <c r="D12133" s="151" t="s">
        <v>26</v>
      </c>
      <c r="E12133" s="208" t="s">
        <v>450</v>
      </c>
      <c r="F12133" t="s">
        <v>15</v>
      </c>
      <c r="G12133" s="18">
        <v>13717.5</v>
      </c>
      <c r="H12133" s="151" t="s">
        <v>563</v>
      </c>
      <c r="I12133" t="s">
        <v>16</v>
      </c>
    </row>
    <row r="12134" spans="1:9" x14ac:dyDescent="0.25">
      <c r="A12134" s="151">
        <v>1833</v>
      </c>
      <c r="B12134" s="151">
        <f>A12134+1</f>
        <v>1834</v>
      </c>
      <c r="C12134" s="151" t="s">
        <v>539</v>
      </c>
      <c r="D12134" s="151" t="s">
        <v>26</v>
      </c>
      <c r="E12134" s="208" t="s">
        <v>48</v>
      </c>
      <c r="F12134" t="s">
        <v>15</v>
      </c>
      <c r="G12134" s="18">
        <v>17478.5</v>
      </c>
      <c r="H12134" s="151" t="s">
        <v>563</v>
      </c>
      <c r="I12134" t="s">
        <v>17</v>
      </c>
    </row>
    <row r="12135" spans="1:9" x14ac:dyDescent="0.25">
      <c r="A12135" s="151">
        <v>1833</v>
      </c>
      <c r="B12135" s="151">
        <f>A12135+1</f>
        <v>1834</v>
      </c>
      <c r="C12135" s="151" t="s">
        <v>539</v>
      </c>
      <c r="D12135" s="151" t="s">
        <v>26</v>
      </c>
      <c r="E12135" s="208" t="s">
        <v>102</v>
      </c>
      <c r="F12135" t="s">
        <v>15</v>
      </c>
      <c r="G12135" s="18">
        <v>18866</v>
      </c>
      <c r="H12135" s="151" t="s">
        <v>563</v>
      </c>
      <c r="I12135" t="s">
        <v>561</v>
      </c>
    </row>
    <row r="12136" spans="1:9" x14ac:dyDescent="0.25">
      <c r="A12136" s="151">
        <v>1833</v>
      </c>
      <c r="B12136" s="151">
        <f>A12136+1</f>
        <v>1834</v>
      </c>
      <c r="C12136" s="151" t="s">
        <v>539</v>
      </c>
      <c r="D12136" s="151" t="s">
        <v>26</v>
      </c>
      <c r="E12136" s="208" t="s">
        <v>330</v>
      </c>
      <c r="F12136" t="s">
        <v>15</v>
      </c>
      <c r="G12136" s="18">
        <v>997</v>
      </c>
      <c r="H12136" s="151" t="s">
        <v>563</v>
      </c>
      <c r="I12136" t="s">
        <v>16</v>
      </c>
    </row>
    <row r="12137" spans="1:9" x14ac:dyDescent="0.25">
      <c r="A12137" s="151">
        <v>1833</v>
      </c>
      <c r="B12137" s="151">
        <f>A12137+1</f>
        <v>1834</v>
      </c>
      <c r="C12137" s="151" t="s">
        <v>539</v>
      </c>
      <c r="D12137" s="151" t="s">
        <v>26</v>
      </c>
      <c r="E12137" s="208" t="s">
        <v>331</v>
      </c>
      <c r="F12137" t="s">
        <v>15</v>
      </c>
      <c r="G12137" s="18">
        <v>277</v>
      </c>
      <c r="H12137" s="151" t="s">
        <v>563</v>
      </c>
      <c r="I12137" t="s">
        <v>17</v>
      </c>
    </row>
    <row r="12138" spans="1:9" x14ac:dyDescent="0.25">
      <c r="A12138" s="151">
        <v>1833</v>
      </c>
      <c r="B12138" s="151">
        <f>A12138+1</f>
        <v>1834</v>
      </c>
      <c r="C12138" s="151" t="s">
        <v>539</v>
      </c>
      <c r="D12138" s="151" t="s">
        <v>26</v>
      </c>
      <c r="E12138" s="208" t="s">
        <v>332</v>
      </c>
      <c r="F12138" t="s">
        <v>15</v>
      </c>
      <c r="G12138" s="18">
        <v>570</v>
      </c>
      <c r="H12138" s="151" t="s">
        <v>563</v>
      </c>
      <c r="I12138" t="s">
        <v>561</v>
      </c>
    </row>
    <row r="12139" spans="1:9" x14ac:dyDescent="0.25">
      <c r="A12139" s="151">
        <v>1833</v>
      </c>
      <c r="B12139" s="151">
        <f>A12139+1</f>
        <v>1834</v>
      </c>
      <c r="C12139" s="151" t="s">
        <v>539</v>
      </c>
      <c r="D12139" s="151" t="s">
        <v>26</v>
      </c>
      <c r="E12139" s="208" t="s">
        <v>333</v>
      </c>
      <c r="F12139" t="s">
        <v>15</v>
      </c>
      <c r="G12139" s="18">
        <v>255</v>
      </c>
      <c r="H12139" s="151" t="s">
        <v>563</v>
      </c>
      <c r="I12139" t="s">
        <v>16</v>
      </c>
    </row>
    <row r="12140" spans="1:9" x14ac:dyDescent="0.25">
      <c r="A12140" s="151">
        <v>1833</v>
      </c>
      <c r="B12140" s="151">
        <f>A12140+1</f>
        <v>1834</v>
      </c>
      <c r="C12140" s="151" t="s">
        <v>539</v>
      </c>
      <c r="D12140" s="151" t="s">
        <v>26</v>
      </c>
      <c r="E12140" s="208" t="s">
        <v>566</v>
      </c>
      <c r="F12140" t="s">
        <v>3</v>
      </c>
      <c r="G12140" s="18">
        <v>69</v>
      </c>
      <c r="H12140" s="151" t="s">
        <v>563</v>
      </c>
      <c r="I12140" t="s">
        <v>17</v>
      </c>
    </row>
    <row r="12141" spans="1:9" x14ac:dyDescent="0.25">
      <c r="A12141" s="151">
        <v>1833</v>
      </c>
      <c r="B12141" s="151">
        <f>A12141+1</f>
        <v>1834</v>
      </c>
      <c r="C12141" s="151" t="s">
        <v>539</v>
      </c>
      <c r="D12141" s="151" t="s">
        <v>26</v>
      </c>
      <c r="E12141" s="208" t="s">
        <v>566</v>
      </c>
      <c r="F12141" t="s">
        <v>6</v>
      </c>
      <c r="G12141" s="18">
        <v>0</v>
      </c>
      <c r="H12141" s="151" t="s">
        <v>563</v>
      </c>
      <c r="I12141" t="s">
        <v>561</v>
      </c>
    </row>
    <row r="12142" spans="1:9" x14ac:dyDescent="0.25">
      <c r="A12142" s="151">
        <v>1833</v>
      </c>
      <c r="B12142" s="151">
        <f>A12142+1</f>
        <v>1834</v>
      </c>
      <c r="C12142" s="151" t="s">
        <v>539</v>
      </c>
      <c r="D12142" s="151" t="s">
        <v>26</v>
      </c>
      <c r="E12142" s="208" t="s">
        <v>566</v>
      </c>
      <c r="F12142" t="s">
        <v>169</v>
      </c>
      <c r="G12142" s="18">
        <v>0</v>
      </c>
      <c r="H12142" t="s">
        <v>16</v>
      </c>
      <c r="I12142" s="151" t="s">
        <v>562</v>
      </c>
    </row>
    <row r="12143" spans="1:9" x14ac:dyDescent="0.25">
      <c r="A12143" s="151">
        <v>1833</v>
      </c>
      <c r="B12143" s="151">
        <f>A12143+1</f>
        <v>1834</v>
      </c>
      <c r="C12143" s="151" t="s">
        <v>539</v>
      </c>
      <c r="D12143" s="151" t="s">
        <v>26</v>
      </c>
      <c r="E12143" s="208" t="s">
        <v>566</v>
      </c>
      <c r="F12143" t="s">
        <v>4</v>
      </c>
      <c r="G12143" s="18">
        <v>0</v>
      </c>
      <c r="H12143" t="s">
        <v>16</v>
      </c>
      <c r="I12143" s="151" t="s">
        <v>562</v>
      </c>
    </row>
    <row r="12144" spans="1:9" x14ac:dyDescent="0.25">
      <c r="A12144" s="151">
        <v>1833</v>
      </c>
      <c r="B12144" s="151">
        <f>A12144+1</f>
        <v>1834</v>
      </c>
      <c r="C12144" s="151" t="s">
        <v>539</v>
      </c>
      <c r="D12144" s="151" t="s">
        <v>26</v>
      </c>
      <c r="E12144" s="208" t="s">
        <v>566</v>
      </c>
      <c r="F12144" t="s">
        <v>7</v>
      </c>
      <c r="G12144" s="18">
        <v>69</v>
      </c>
      <c r="H12144" t="s">
        <v>16</v>
      </c>
      <c r="I12144" s="151" t="s">
        <v>562</v>
      </c>
    </row>
    <row r="12145" spans="1:9" x14ac:dyDescent="0.25">
      <c r="A12145" s="151">
        <v>1833</v>
      </c>
      <c r="B12145" s="151">
        <f>A12145+1</f>
        <v>1834</v>
      </c>
      <c r="C12145" s="151" t="s">
        <v>539</v>
      </c>
      <c r="D12145" s="151" t="s">
        <v>26</v>
      </c>
      <c r="E12145" s="208" t="s">
        <v>566</v>
      </c>
      <c r="F12145" t="s">
        <v>14</v>
      </c>
      <c r="G12145" s="18">
        <v>125</v>
      </c>
      <c r="H12145" t="s">
        <v>16</v>
      </c>
      <c r="I12145" s="151" t="s">
        <v>562</v>
      </c>
    </row>
    <row r="12146" spans="1:9" x14ac:dyDescent="0.25">
      <c r="A12146" s="151">
        <v>1833</v>
      </c>
      <c r="B12146" s="151">
        <f>A12146+1</f>
        <v>1834</v>
      </c>
      <c r="C12146" s="151" t="s">
        <v>539</v>
      </c>
      <c r="D12146" s="151" t="s">
        <v>26</v>
      </c>
      <c r="E12146" s="208" t="s">
        <v>566</v>
      </c>
      <c r="F12146" t="s">
        <v>15</v>
      </c>
      <c r="G12146" s="18">
        <v>194</v>
      </c>
      <c r="H12146" t="s">
        <v>16</v>
      </c>
      <c r="I12146" s="151" t="s">
        <v>562</v>
      </c>
    </row>
    <row r="12147" spans="1:9" x14ac:dyDescent="0.25">
      <c r="A12147" s="151">
        <v>1834</v>
      </c>
      <c r="B12147" s="151">
        <f>A12147+1</f>
        <v>1835</v>
      </c>
      <c r="C12147" s="151" t="s">
        <v>540</v>
      </c>
      <c r="D12147" s="151" t="s">
        <v>26</v>
      </c>
      <c r="E12147" s="208" t="s">
        <v>572</v>
      </c>
      <c r="F12147" t="s">
        <v>7</v>
      </c>
      <c r="G12147" s="18">
        <v>4960</v>
      </c>
      <c r="H12147" t="s">
        <v>16</v>
      </c>
      <c r="I12147" s="151" t="s">
        <v>562</v>
      </c>
    </row>
    <row r="12148" spans="1:9" x14ac:dyDescent="0.25">
      <c r="A12148" s="151">
        <v>1834</v>
      </c>
      <c r="B12148" s="151">
        <f>A12148+1</f>
        <v>1835</v>
      </c>
      <c r="C12148" s="151" t="s">
        <v>540</v>
      </c>
      <c r="D12148" s="151" t="s">
        <v>26</v>
      </c>
      <c r="E12148" s="208" t="s">
        <v>572</v>
      </c>
      <c r="F12148" t="s">
        <v>14</v>
      </c>
      <c r="G12148" s="18">
        <v>2106</v>
      </c>
      <c r="H12148" t="s">
        <v>16</v>
      </c>
      <c r="I12148" s="151" t="s">
        <v>562</v>
      </c>
    </row>
    <row r="12149" spans="1:9" x14ac:dyDescent="0.25">
      <c r="A12149" s="151">
        <v>1834</v>
      </c>
      <c r="B12149" s="151">
        <f>A12149+1</f>
        <v>1835</v>
      </c>
      <c r="C12149" s="151" t="s">
        <v>540</v>
      </c>
      <c r="D12149" s="151" t="s">
        <v>26</v>
      </c>
      <c r="E12149" s="208" t="s">
        <v>572</v>
      </c>
      <c r="F12149" t="s">
        <v>15</v>
      </c>
      <c r="G12149" s="18">
        <v>7066</v>
      </c>
      <c r="H12149" t="s">
        <v>16</v>
      </c>
      <c r="I12149" s="151" t="s">
        <v>562</v>
      </c>
    </row>
    <row r="12150" spans="1:9" x14ac:dyDescent="0.25">
      <c r="A12150" s="151">
        <v>1834</v>
      </c>
      <c r="B12150" s="151">
        <f>A12150+1</f>
        <v>1835</v>
      </c>
      <c r="C12150" s="151" t="s">
        <v>540</v>
      </c>
      <c r="D12150" s="151" t="s">
        <v>26</v>
      </c>
      <c r="E12150" s="208" t="s">
        <v>571</v>
      </c>
      <c r="F12150" t="s">
        <v>7</v>
      </c>
      <c r="G12150" s="18">
        <v>5175</v>
      </c>
      <c r="H12150" t="s">
        <v>16</v>
      </c>
      <c r="I12150" s="151" t="s">
        <v>562</v>
      </c>
    </row>
    <row r="12151" spans="1:9" x14ac:dyDescent="0.25">
      <c r="A12151" s="151">
        <v>1834</v>
      </c>
      <c r="B12151" s="151">
        <f>A12151+1</f>
        <v>1835</v>
      </c>
      <c r="C12151" s="151" t="s">
        <v>540</v>
      </c>
      <c r="D12151" s="151" t="s">
        <v>26</v>
      </c>
      <c r="E12151" s="208" t="s">
        <v>571</v>
      </c>
      <c r="F12151" t="s">
        <v>14</v>
      </c>
      <c r="G12151" s="18">
        <v>2154</v>
      </c>
      <c r="H12151" t="s">
        <v>16</v>
      </c>
      <c r="I12151" s="151" t="s">
        <v>562</v>
      </c>
    </row>
    <row r="12152" spans="1:9" x14ac:dyDescent="0.25">
      <c r="A12152" s="151">
        <v>1834</v>
      </c>
      <c r="B12152" s="151">
        <f>A12152+1</f>
        <v>1835</v>
      </c>
      <c r="C12152" s="151" t="s">
        <v>540</v>
      </c>
      <c r="D12152" s="151" t="s">
        <v>26</v>
      </c>
      <c r="E12152" s="208" t="s">
        <v>571</v>
      </c>
      <c r="F12152" t="s">
        <v>15</v>
      </c>
      <c r="G12152" s="18">
        <v>7329</v>
      </c>
      <c r="H12152" t="s">
        <v>16</v>
      </c>
      <c r="I12152" s="151" t="s">
        <v>562</v>
      </c>
    </row>
    <row r="12153" spans="1:9" x14ac:dyDescent="0.25">
      <c r="A12153" s="151">
        <v>1834</v>
      </c>
      <c r="B12153" s="151">
        <f>A12153+1</f>
        <v>1835</v>
      </c>
      <c r="C12153" s="151" t="s">
        <v>540</v>
      </c>
      <c r="D12153" s="151" t="s">
        <v>26</v>
      </c>
      <c r="E12153" s="208" t="s">
        <v>567</v>
      </c>
      <c r="F12153" t="s">
        <v>7</v>
      </c>
      <c r="G12153" s="18">
        <v>33416.5</v>
      </c>
      <c r="H12153" t="s">
        <v>16</v>
      </c>
      <c r="I12153" s="151" t="s">
        <v>562</v>
      </c>
    </row>
    <row r="12154" spans="1:9" x14ac:dyDescent="0.25">
      <c r="A12154" s="151">
        <v>1834</v>
      </c>
      <c r="B12154" s="151">
        <f>A12154+1</f>
        <v>1835</v>
      </c>
      <c r="C12154" s="151" t="s">
        <v>540</v>
      </c>
      <c r="D12154" s="151" t="s">
        <v>26</v>
      </c>
      <c r="E12154" s="208" t="s">
        <v>567</v>
      </c>
      <c r="F12154" t="s">
        <v>14</v>
      </c>
      <c r="G12154" s="18">
        <v>30358</v>
      </c>
      <c r="H12154" t="s">
        <v>16</v>
      </c>
      <c r="I12154" s="151" t="s">
        <v>562</v>
      </c>
    </row>
    <row r="12155" spans="1:9" x14ac:dyDescent="0.25">
      <c r="A12155" s="151">
        <v>1834</v>
      </c>
      <c r="B12155" s="151">
        <f>A12155+1</f>
        <v>1835</v>
      </c>
      <c r="C12155" s="151" t="s">
        <v>540</v>
      </c>
      <c r="D12155" s="151" t="s">
        <v>26</v>
      </c>
      <c r="E12155" s="208" t="s">
        <v>567</v>
      </c>
      <c r="F12155" t="s">
        <v>15</v>
      </c>
      <c r="G12155" s="18">
        <v>63774.5</v>
      </c>
      <c r="H12155" t="s">
        <v>16</v>
      </c>
      <c r="I12155" s="151" t="s">
        <v>562</v>
      </c>
    </row>
    <row r="12156" spans="1:9" x14ac:dyDescent="0.25">
      <c r="A12156" s="151">
        <v>1834</v>
      </c>
      <c r="B12156" s="151">
        <f>A12156+1</f>
        <v>1835</v>
      </c>
      <c r="C12156" s="151" t="s">
        <v>540</v>
      </c>
      <c r="D12156" s="151" t="s">
        <v>26</v>
      </c>
      <c r="E12156" s="208" t="s">
        <v>568</v>
      </c>
      <c r="F12156" t="s">
        <v>7</v>
      </c>
      <c r="G12156" s="18">
        <v>406</v>
      </c>
      <c r="H12156" t="s">
        <v>16</v>
      </c>
      <c r="I12156" s="151" t="s">
        <v>562</v>
      </c>
    </row>
    <row r="12157" spans="1:9" x14ac:dyDescent="0.25">
      <c r="A12157" s="151">
        <v>1834</v>
      </c>
      <c r="B12157" s="151">
        <f>A12157+1</f>
        <v>1835</v>
      </c>
      <c r="C12157" s="151" t="s">
        <v>540</v>
      </c>
      <c r="D12157" s="151" t="s">
        <v>26</v>
      </c>
      <c r="E12157" s="208" t="s">
        <v>568</v>
      </c>
      <c r="F12157" t="s">
        <v>14</v>
      </c>
      <c r="G12157" s="18">
        <v>232</v>
      </c>
      <c r="H12157" t="s">
        <v>16</v>
      </c>
      <c r="I12157" s="151" t="s">
        <v>562</v>
      </c>
    </row>
    <row r="12158" spans="1:9" x14ac:dyDescent="0.25">
      <c r="A12158" s="151">
        <v>1834</v>
      </c>
      <c r="B12158" s="151">
        <f>A12158+1</f>
        <v>1835</v>
      </c>
      <c r="C12158" s="151" t="s">
        <v>540</v>
      </c>
      <c r="D12158" s="151" t="s">
        <v>26</v>
      </c>
      <c r="E12158" s="208" t="s">
        <v>568</v>
      </c>
      <c r="F12158" t="s">
        <v>15</v>
      </c>
      <c r="G12158" s="18">
        <v>638</v>
      </c>
      <c r="H12158" t="s">
        <v>16</v>
      </c>
      <c r="I12158" s="151" t="s">
        <v>562</v>
      </c>
    </row>
    <row r="12159" spans="1:9" x14ac:dyDescent="0.25">
      <c r="A12159" s="151">
        <v>1834</v>
      </c>
      <c r="B12159" s="151">
        <f>A12159+1</f>
        <v>1835</v>
      </c>
      <c r="C12159" s="151" t="s">
        <v>540</v>
      </c>
      <c r="D12159" s="151" t="s">
        <v>27</v>
      </c>
      <c r="E12159" s="208" t="s">
        <v>155</v>
      </c>
      <c r="F12159" t="s">
        <v>7</v>
      </c>
      <c r="G12159" s="18">
        <v>17940</v>
      </c>
      <c r="H12159" t="s">
        <v>16</v>
      </c>
      <c r="I12159" s="151" t="s">
        <v>562</v>
      </c>
    </row>
    <row r="12160" spans="1:9" x14ac:dyDescent="0.25">
      <c r="A12160" s="151">
        <v>1834</v>
      </c>
      <c r="B12160" s="151">
        <f>A12160+1</f>
        <v>1835</v>
      </c>
      <c r="C12160" s="151" t="s">
        <v>540</v>
      </c>
      <c r="D12160" s="151" t="s">
        <v>27</v>
      </c>
      <c r="E12160" s="208" t="s">
        <v>156</v>
      </c>
      <c r="F12160" t="s">
        <v>7</v>
      </c>
      <c r="G12160" s="18">
        <v>1418.5</v>
      </c>
      <c r="H12160" t="s">
        <v>16</v>
      </c>
      <c r="I12160" s="151" t="s">
        <v>562</v>
      </c>
    </row>
    <row r="12161" spans="1:9" x14ac:dyDescent="0.25">
      <c r="A12161" s="151">
        <v>1834</v>
      </c>
      <c r="B12161" s="151">
        <f>A12161+1</f>
        <v>1835</v>
      </c>
      <c r="C12161" s="151" t="s">
        <v>540</v>
      </c>
      <c r="D12161" s="151" t="s">
        <v>27</v>
      </c>
      <c r="E12161" s="208" t="s">
        <v>154</v>
      </c>
      <c r="F12161" t="s">
        <v>7</v>
      </c>
      <c r="G12161" s="18">
        <v>1861.5</v>
      </c>
      <c r="H12161" t="s">
        <v>16</v>
      </c>
      <c r="I12161" s="151" t="s">
        <v>562</v>
      </c>
    </row>
    <row r="12162" spans="1:9" x14ac:dyDescent="0.25">
      <c r="A12162" s="151">
        <v>1834</v>
      </c>
      <c r="B12162" s="151">
        <f>A12162+1</f>
        <v>1835</v>
      </c>
      <c r="C12162" s="151" t="s">
        <v>540</v>
      </c>
      <c r="D12162" s="151" t="s">
        <v>27</v>
      </c>
      <c r="E12162" s="208" t="s">
        <v>150</v>
      </c>
      <c r="F12162" t="s">
        <v>7</v>
      </c>
      <c r="G12162" s="18">
        <v>6361</v>
      </c>
      <c r="H12162" t="s">
        <v>16</v>
      </c>
      <c r="I12162" s="151" t="s">
        <v>562</v>
      </c>
    </row>
    <row r="12163" spans="1:9" x14ac:dyDescent="0.25">
      <c r="A12163" s="151">
        <v>1834</v>
      </c>
      <c r="B12163" s="151">
        <f>A12163+1</f>
        <v>1835</v>
      </c>
      <c r="C12163" s="151" t="s">
        <v>540</v>
      </c>
      <c r="D12163" s="151" t="s">
        <v>27</v>
      </c>
      <c r="E12163" s="208" t="s">
        <v>148</v>
      </c>
      <c r="F12163" t="s">
        <v>7</v>
      </c>
      <c r="G12163" s="18">
        <v>312</v>
      </c>
      <c r="H12163" t="s">
        <v>16</v>
      </c>
      <c r="I12163" s="151" t="s">
        <v>562</v>
      </c>
    </row>
    <row r="12164" spans="1:9" x14ac:dyDescent="0.25">
      <c r="A12164" s="151">
        <v>1834</v>
      </c>
      <c r="B12164" s="151">
        <f>A12164+1</f>
        <v>1835</v>
      </c>
      <c r="C12164" s="151" t="s">
        <v>540</v>
      </c>
      <c r="D12164" s="151" t="s">
        <v>27</v>
      </c>
      <c r="E12164" s="208" t="s">
        <v>147</v>
      </c>
      <c r="F12164" t="s">
        <v>7</v>
      </c>
      <c r="G12164" s="18">
        <v>162</v>
      </c>
      <c r="H12164" t="s">
        <v>16</v>
      </c>
      <c r="I12164" s="151" t="s">
        <v>562</v>
      </c>
    </row>
    <row r="12165" spans="1:9" x14ac:dyDescent="0.25">
      <c r="A12165" s="151">
        <v>1834</v>
      </c>
      <c r="B12165" s="151">
        <f>A12165+1</f>
        <v>1835</v>
      </c>
      <c r="C12165" s="151" t="s">
        <v>540</v>
      </c>
      <c r="D12165" s="151" t="s">
        <v>27</v>
      </c>
      <c r="E12165" s="208" t="s">
        <v>125</v>
      </c>
      <c r="F12165" t="s">
        <v>7</v>
      </c>
      <c r="G12165" s="18">
        <v>9145.5</v>
      </c>
      <c r="H12165" t="s">
        <v>16</v>
      </c>
      <c r="I12165" s="151" t="s">
        <v>562</v>
      </c>
    </row>
    <row r="12166" spans="1:9" x14ac:dyDescent="0.25">
      <c r="A12166" s="151">
        <v>1834</v>
      </c>
      <c r="B12166" s="151">
        <f>A12166+1</f>
        <v>1835</v>
      </c>
      <c r="C12166" s="151" t="s">
        <v>540</v>
      </c>
      <c r="D12166" s="151" t="s">
        <v>27</v>
      </c>
      <c r="E12166" s="208" t="s">
        <v>122</v>
      </c>
      <c r="F12166" t="s">
        <v>7</v>
      </c>
      <c r="G12166" s="18">
        <v>3230</v>
      </c>
      <c r="H12166" t="s">
        <v>16</v>
      </c>
      <c r="I12166" s="151" t="s">
        <v>562</v>
      </c>
    </row>
    <row r="12167" spans="1:9" x14ac:dyDescent="0.25">
      <c r="A12167" s="151">
        <v>1834</v>
      </c>
      <c r="B12167" s="151">
        <f>A12167+1</f>
        <v>1835</v>
      </c>
      <c r="C12167" s="151" t="s">
        <v>540</v>
      </c>
      <c r="D12167" s="151" t="s">
        <v>27</v>
      </c>
      <c r="E12167" s="208" t="s">
        <v>121</v>
      </c>
      <c r="F12167" t="s">
        <v>7</v>
      </c>
      <c r="G12167" s="18">
        <v>378</v>
      </c>
      <c r="H12167" s="151" t="s">
        <v>563</v>
      </c>
      <c r="I12167" t="s">
        <v>16</v>
      </c>
    </row>
    <row r="12168" spans="1:9" x14ac:dyDescent="0.25">
      <c r="A12168" s="151">
        <v>1834</v>
      </c>
      <c r="B12168" s="151">
        <f>A12168+1</f>
        <v>1835</v>
      </c>
      <c r="C12168" s="151" t="s">
        <v>540</v>
      </c>
      <c r="D12168" s="151" t="s">
        <v>27</v>
      </c>
      <c r="E12168" s="208" t="s">
        <v>123</v>
      </c>
      <c r="F12168" t="s">
        <v>7</v>
      </c>
      <c r="G12168" s="18">
        <v>40</v>
      </c>
      <c r="H12168" s="151" t="s">
        <v>563</v>
      </c>
      <c r="I12168" t="s">
        <v>16</v>
      </c>
    </row>
    <row r="12169" spans="1:9" x14ac:dyDescent="0.25">
      <c r="A12169" s="151">
        <v>1834</v>
      </c>
      <c r="B12169" s="151">
        <f>A12169+1</f>
        <v>1835</v>
      </c>
      <c r="C12169" s="151" t="s">
        <v>540</v>
      </c>
      <c r="D12169" s="151" t="s">
        <v>27</v>
      </c>
      <c r="E12169" s="208" t="s">
        <v>143</v>
      </c>
      <c r="F12169" t="s">
        <v>7</v>
      </c>
      <c r="G12169" s="18">
        <v>288</v>
      </c>
      <c r="H12169" s="151" t="s">
        <v>563</v>
      </c>
      <c r="I12169" t="s">
        <v>16</v>
      </c>
    </row>
    <row r="12170" spans="1:9" x14ac:dyDescent="0.25">
      <c r="A12170" s="151">
        <v>1834</v>
      </c>
      <c r="B12170" s="151">
        <f>A12170+1</f>
        <v>1835</v>
      </c>
      <c r="C12170" s="151" t="s">
        <v>540</v>
      </c>
      <c r="D12170" s="151" t="s">
        <v>27</v>
      </c>
      <c r="E12170" s="208" t="s">
        <v>142</v>
      </c>
      <c r="F12170" t="s">
        <v>7</v>
      </c>
      <c r="G12170" s="18">
        <v>4032</v>
      </c>
      <c r="H12170" s="151" t="s">
        <v>563</v>
      </c>
      <c r="I12170" t="s">
        <v>16</v>
      </c>
    </row>
    <row r="12171" spans="1:9" x14ac:dyDescent="0.25">
      <c r="A12171" s="151">
        <v>1834</v>
      </c>
      <c r="B12171" s="151">
        <f>A12171+1</f>
        <v>1835</v>
      </c>
      <c r="C12171" s="151" t="s">
        <v>540</v>
      </c>
      <c r="D12171" s="151" t="s">
        <v>27</v>
      </c>
      <c r="E12171" s="208" t="s">
        <v>131</v>
      </c>
      <c r="F12171" t="s">
        <v>7</v>
      </c>
      <c r="G12171" s="18">
        <v>314.5</v>
      </c>
      <c r="H12171" s="151" t="s">
        <v>563</v>
      </c>
      <c r="I12171" t="s">
        <v>16</v>
      </c>
    </row>
    <row r="12172" spans="1:9" x14ac:dyDescent="0.25">
      <c r="A12172" s="151">
        <v>1834</v>
      </c>
      <c r="B12172" s="151">
        <f>A12172+1</f>
        <v>1835</v>
      </c>
      <c r="C12172" s="151" t="s">
        <v>540</v>
      </c>
      <c r="D12172" s="151" t="s">
        <v>27</v>
      </c>
      <c r="E12172" s="208" t="s">
        <v>130</v>
      </c>
      <c r="F12172" t="s">
        <v>7</v>
      </c>
      <c r="G12172" s="18">
        <v>2</v>
      </c>
      <c r="H12172" s="151" t="s">
        <v>563</v>
      </c>
      <c r="I12172" t="s">
        <v>16</v>
      </c>
    </row>
    <row r="12173" spans="1:9" x14ac:dyDescent="0.25">
      <c r="A12173" s="151">
        <v>1834</v>
      </c>
      <c r="B12173" s="151">
        <f>A12173+1</f>
        <v>1835</v>
      </c>
      <c r="C12173" s="151" t="s">
        <v>540</v>
      </c>
      <c r="D12173" s="151" t="s">
        <v>27</v>
      </c>
      <c r="E12173" s="208" t="s">
        <v>139</v>
      </c>
      <c r="F12173" t="s">
        <v>7</v>
      </c>
      <c r="G12173" s="18">
        <v>14</v>
      </c>
      <c r="H12173" s="151" t="s">
        <v>563</v>
      </c>
      <c r="I12173" t="s">
        <v>16</v>
      </c>
    </row>
    <row r="12174" spans="1:9" x14ac:dyDescent="0.25">
      <c r="A12174" s="151">
        <v>1834</v>
      </c>
      <c r="B12174" s="151">
        <f>A12174+1</f>
        <v>1835</v>
      </c>
      <c r="C12174" s="151" t="s">
        <v>540</v>
      </c>
      <c r="D12174" s="151" t="s">
        <v>27</v>
      </c>
      <c r="E12174" s="208" t="s">
        <v>127</v>
      </c>
      <c r="F12174" t="s">
        <v>7</v>
      </c>
      <c r="G12174" s="18">
        <v>198</v>
      </c>
      <c r="H12174" s="151" t="s">
        <v>563</v>
      </c>
      <c r="I12174" t="s">
        <v>16</v>
      </c>
    </row>
    <row r="12175" spans="1:9" x14ac:dyDescent="0.25">
      <c r="A12175" s="151">
        <v>1834</v>
      </c>
      <c r="B12175" s="151">
        <f>A12175+1</f>
        <v>1835</v>
      </c>
      <c r="C12175" s="151" t="s">
        <v>540</v>
      </c>
      <c r="D12175" s="151" t="s">
        <v>27</v>
      </c>
      <c r="E12175" s="208" t="s">
        <v>133</v>
      </c>
      <c r="F12175" t="s">
        <v>7</v>
      </c>
      <c r="G12175" s="18">
        <v>8105</v>
      </c>
      <c r="H12175" s="151" t="s">
        <v>563</v>
      </c>
      <c r="I12175" t="s">
        <v>16</v>
      </c>
    </row>
    <row r="12176" spans="1:9" x14ac:dyDescent="0.25">
      <c r="A12176" s="151">
        <v>1834</v>
      </c>
      <c r="B12176" s="151">
        <f>A12176+1</f>
        <v>1835</v>
      </c>
      <c r="C12176" s="151" t="s">
        <v>540</v>
      </c>
      <c r="D12176" s="151" t="s">
        <v>27</v>
      </c>
      <c r="E12176" s="208" t="s">
        <v>74</v>
      </c>
      <c r="F12176" t="s">
        <v>7</v>
      </c>
      <c r="G12176" s="18">
        <v>1617</v>
      </c>
      <c r="H12176" s="151" t="s">
        <v>563</v>
      </c>
      <c r="I12176" t="s">
        <v>16</v>
      </c>
    </row>
    <row r="12177" spans="1:9" x14ac:dyDescent="0.25">
      <c r="A12177" s="151">
        <v>1834</v>
      </c>
      <c r="B12177" s="151">
        <f>A12177+1</f>
        <v>1835</v>
      </c>
      <c r="C12177" s="151" t="s">
        <v>540</v>
      </c>
      <c r="D12177" s="151" t="s">
        <v>27</v>
      </c>
      <c r="E12177" s="208" t="s">
        <v>129</v>
      </c>
      <c r="F12177" t="s">
        <v>7</v>
      </c>
      <c r="G12177" s="18">
        <v>910.5</v>
      </c>
      <c r="H12177" s="151" t="s">
        <v>563</v>
      </c>
      <c r="I12177" t="s">
        <v>16</v>
      </c>
    </row>
    <row r="12178" spans="1:9" x14ac:dyDescent="0.25">
      <c r="A12178" s="151">
        <v>1834</v>
      </c>
      <c r="B12178" s="151">
        <f>A12178+1</f>
        <v>1835</v>
      </c>
      <c r="C12178" s="151" t="s">
        <v>540</v>
      </c>
      <c r="D12178" s="151" t="s">
        <v>27</v>
      </c>
      <c r="E12178" s="208" t="s">
        <v>141</v>
      </c>
      <c r="F12178" t="s">
        <v>7</v>
      </c>
      <c r="G12178" s="18">
        <v>569</v>
      </c>
      <c r="H12178" s="151" t="s">
        <v>563</v>
      </c>
      <c r="I12178" t="s">
        <v>16</v>
      </c>
    </row>
    <row r="12179" spans="1:9" x14ac:dyDescent="0.25">
      <c r="A12179" s="151">
        <v>1834</v>
      </c>
      <c r="B12179" s="151">
        <f>A12179+1</f>
        <v>1835</v>
      </c>
      <c r="C12179" s="151" t="s">
        <v>540</v>
      </c>
      <c r="D12179" s="151" t="s">
        <v>27</v>
      </c>
      <c r="E12179" s="208" t="s">
        <v>135</v>
      </c>
      <c r="F12179" t="s">
        <v>7</v>
      </c>
      <c r="G12179" s="18">
        <v>75</v>
      </c>
      <c r="H12179" s="151" t="s">
        <v>563</v>
      </c>
      <c r="I12179" t="s">
        <v>16</v>
      </c>
    </row>
    <row r="12180" spans="1:9" x14ac:dyDescent="0.25">
      <c r="A12180" s="151">
        <v>1834</v>
      </c>
      <c r="B12180" s="151">
        <f>A12180+1</f>
        <v>1835</v>
      </c>
      <c r="C12180" s="151" t="s">
        <v>540</v>
      </c>
      <c r="D12180" s="151" t="s">
        <v>27</v>
      </c>
      <c r="E12180" s="208" t="s">
        <v>128</v>
      </c>
      <c r="F12180" t="s">
        <v>7</v>
      </c>
      <c r="G12180" s="18">
        <v>541</v>
      </c>
      <c r="H12180" s="151" t="s">
        <v>563</v>
      </c>
      <c r="I12180" t="s">
        <v>16</v>
      </c>
    </row>
    <row r="12181" spans="1:9" x14ac:dyDescent="0.25">
      <c r="A12181" s="151">
        <v>1834</v>
      </c>
      <c r="B12181" s="151">
        <f>A12181+1</f>
        <v>1835</v>
      </c>
      <c r="C12181" s="151" t="s">
        <v>540</v>
      </c>
      <c r="D12181" s="151" t="s">
        <v>27</v>
      </c>
      <c r="E12181" s="208" t="s">
        <v>78</v>
      </c>
      <c r="F12181" t="s">
        <v>7</v>
      </c>
      <c r="G12181" s="18">
        <v>1007</v>
      </c>
      <c r="H12181" s="151" t="s">
        <v>563</v>
      </c>
      <c r="I12181" t="s">
        <v>16</v>
      </c>
    </row>
    <row r="12182" spans="1:9" x14ac:dyDescent="0.25">
      <c r="A12182" s="151">
        <v>1834</v>
      </c>
      <c r="B12182" s="151">
        <f>A12182+1</f>
        <v>1835</v>
      </c>
      <c r="C12182" s="151" t="s">
        <v>540</v>
      </c>
      <c r="D12182" s="151" t="s">
        <v>27</v>
      </c>
      <c r="E12182" s="208" t="s">
        <v>119</v>
      </c>
      <c r="F12182" t="s">
        <v>7</v>
      </c>
      <c r="G12182" s="18">
        <v>254</v>
      </c>
      <c r="H12182" s="151" t="s">
        <v>563</v>
      </c>
      <c r="I12182" t="s">
        <v>16</v>
      </c>
    </row>
    <row r="12183" spans="1:9" x14ac:dyDescent="0.25">
      <c r="A12183" s="151">
        <v>1834</v>
      </c>
      <c r="B12183" s="151">
        <f>A12183+1</f>
        <v>1835</v>
      </c>
      <c r="C12183" s="151" t="s">
        <v>540</v>
      </c>
      <c r="D12183" s="151" t="s">
        <v>27</v>
      </c>
      <c r="E12183" s="208" t="s">
        <v>134</v>
      </c>
      <c r="F12183" t="s">
        <v>7</v>
      </c>
      <c r="G12183" s="18">
        <v>4047</v>
      </c>
      <c r="H12183" s="151" t="s">
        <v>563</v>
      </c>
      <c r="I12183" t="s">
        <v>16</v>
      </c>
    </row>
    <row r="12184" spans="1:9" x14ac:dyDescent="0.25">
      <c r="A12184" s="151">
        <v>1834</v>
      </c>
      <c r="B12184" s="151">
        <f>A12184+1</f>
        <v>1835</v>
      </c>
      <c r="C12184" s="151" t="s">
        <v>540</v>
      </c>
      <c r="D12184" s="151" t="s">
        <v>26</v>
      </c>
      <c r="E12184" s="208" t="s">
        <v>63</v>
      </c>
      <c r="F12184" t="s">
        <v>7</v>
      </c>
      <c r="G12184" s="18">
        <v>134.5</v>
      </c>
      <c r="H12184" s="151" t="s">
        <v>563</v>
      </c>
      <c r="I12184" t="s">
        <v>16</v>
      </c>
    </row>
    <row r="12185" spans="1:9" x14ac:dyDescent="0.25">
      <c r="A12185" s="151">
        <v>1834</v>
      </c>
      <c r="B12185" s="151">
        <f>A12185+1</f>
        <v>1835</v>
      </c>
      <c r="C12185" s="151" t="s">
        <v>540</v>
      </c>
      <c r="D12185" s="151" t="s">
        <v>26</v>
      </c>
      <c r="E12185" s="208" t="s">
        <v>62</v>
      </c>
      <c r="F12185" t="s">
        <v>7</v>
      </c>
      <c r="G12185" s="18">
        <v>71386.5</v>
      </c>
      <c r="H12185" s="151" t="s">
        <v>563</v>
      </c>
      <c r="I12185" t="s">
        <v>16</v>
      </c>
    </row>
    <row r="12186" spans="1:9" x14ac:dyDescent="0.25">
      <c r="A12186" s="151">
        <v>1834</v>
      </c>
      <c r="B12186" s="151">
        <f>A12186+1</f>
        <v>1835</v>
      </c>
      <c r="C12186" s="151" t="s">
        <v>540</v>
      </c>
      <c r="D12186" s="151" t="s">
        <v>26</v>
      </c>
      <c r="E12186" s="208" t="s">
        <v>55</v>
      </c>
      <c r="F12186" t="s">
        <v>7</v>
      </c>
      <c r="G12186" s="18">
        <v>5421</v>
      </c>
      <c r="H12186" s="151" t="s">
        <v>563</v>
      </c>
      <c r="I12186" t="s">
        <v>16</v>
      </c>
    </row>
    <row r="12187" spans="1:9" x14ac:dyDescent="0.25">
      <c r="A12187" s="151">
        <v>1834</v>
      </c>
      <c r="B12187" s="151">
        <f>A12187+1</f>
        <v>1835</v>
      </c>
      <c r="C12187" s="151" t="s">
        <v>540</v>
      </c>
      <c r="D12187" s="151" t="s">
        <v>26</v>
      </c>
      <c r="E12187" s="208" t="s">
        <v>36</v>
      </c>
      <c r="F12187" t="s">
        <v>7</v>
      </c>
      <c r="G12187" s="18">
        <v>5280</v>
      </c>
      <c r="H12187" s="151" t="s">
        <v>563</v>
      </c>
      <c r="I12187" t="s">
        <v>16</v>
      </c>
    </row>
    <row r="12188" spans="1:9" x14ac:dyDescent="0.25">
      <c r="A12188" s="151">
        <v>1834</v>
      </c>
      <c r="B12188" s="151">
        <f>A12188+1</f>
        <v>1835</v>
      </c>
      <c r="C12188" s="151" t="s">
        <v>540</v>
      </c>
      <c r="D12188" s="151" t="s">
        <v>26</v>
      </c>
      <c r="E12188" s="208" t="s">
        <v>40</v>
      </c>
      <c r="F12188" t="s">
        <v>7</v>
      </c>
      <c r="G12188" s="18">
        <v>57680</v>
      </c>
      <c r="H12188" s="151" t="s">
        <v>563</v>
      </c>
      <c r="I12188" t="s">
        <v>16</v>
      </c>
    </row>
    <row r="12189" spans="1:9" x14ac:dyDescent="0.25">
      <c r="A12189" s="151">
        <v>1834</v>
      </c>
      <c r="B12189" s="151">
        <f>A12189+1</f>
        <v>1835</v>
      </c>
      <c r="C12189" s="151" t="s">
        <v>540</v>
      </c>
      <c r="D12189" s="151" t="s">
        <v>26</v>
      </c>
      <c r="E12189" s="208" t="s">
        <v>96</v>
      </c>
      <c r="F12189" t="s">
        <v>7</v>
      </c>
      <c r="G12189" s="18">
        <v>3934.25</v>
      </c>
      <c r="H12189" s="151" t="s">
        <v>563</v>
      </c>
      <c r="I12189" t="s">
        <v>16</v>
      </c>
    </row>
    <row r="12190" spans="1:9" x14ac:dyDescent="0.25">
      <c r="A12190" s="151">
        <v>1834</v>
      </c>
      <c r="B12190" s="151">
        <f>A12190+1</f>
        <v>1835</v>
      </c>
      <c r="C12190" s="151" t="s">
        <v>540</v>
      </c>
      <c r="D12190" s="151" t="s">
        <v>26</v>
      </c>
      <c r="E12190" s="208" t="s">
        <v>98</v>
      </c>
      <c r="F12190" t="s">
        <v>7</v>
      </c>
      <c r="G12190" s="18">
        <v>14301</v>
      </c>
      <c r="H12190" t="s">
        <v>17</v>
      </c>
      <c r="I12190" s="151" t="s">
        <v>562</v>
      </c>
    </row>
    <row r="12191" spans="1:9" x14ac:dyDescent="0.25">
      <c r="A12191" s="151">
        <v>1834</v>
      </c>
      <c r="B12191" s="151">
        <f>A12191+1</f>
        <v>1835</v>
      </c>
      <c r="C12191" s="151" t="s">
        <v>540</v>
      </c>
      <c r="D12191" s="151" t="s">
        <v>26</v>
      </c>
      <c r="E12191" s="208" t="s">
        <v>35</v>
      </c>
      <c r="F12191" t="s">
        <v>7</v>
      </c>
      <c r="G12191" s="18">
        <v>2040504</v>
      </c>
      <c r="H12191" t="s">
        <v>17</v>
      </c>
      <c r="I12191" s="151" t="s">
        <v>562</v>
      </c>
    </row>
    <row r="12192" spans="1:9" x14ac:dyDescent="0.25">
      <c r="A12192" s="151">
        <v>1834</v>
      </c>
      <c r="B12192" s="151">
        <f>A12192+1</f>
        <v>1835</v>
      </c>
      <c r="C12192" s="151" t="s">
        <v>540</v>
      </c>
      <c r="D12192" s="151" t="s">
        <v>26</v>
      </c>
      <c r="E12192" s="208" t="s">
        <v>442</v>
      </c>
      <c r="F12192" t="s">
        <v>7</v>
      </c>
      <c r="G12192" s="18">
        <v>20110</v>
      </c>
      <c r="H12192" t="s">
        <v>17</v>
      </c>
      <c r="I12192" s="151" t="s">
        <v>562</v>
      </c>
    </row>
    <row r="12193" spans="1:9" x14ac:dyDescent="0.25">
      <c r="A12193" s="151">
        <v>1834</v>
      </c>
      <c r="B12193" s="151">
        <f>A12193+1</f>
        <v>1835</v>
      </c>
      <c r="C12193" s="151" t="s">
        <v>540</v>
      </c>
      <c r="D12193" s="151" t="s">
        <v>26</v>
      </c>
      <c r="E12193" s="208" t="s">
        <v>105</v>
      </c>
      <c r="F12193" t="s">
        <v>7</v>
      </c>
      <c r="G12193" s="18">
        <v>492606</v>
      </c>
      <c r="H12193" t="s">
        <v>17</v>
      </c>
      <c r="I12193" s="151" t="s">
        <v>562</v>
      </c>
    </row>
    <row r="12194" spans="1:9" x14ac:dyDescent="0.25">
      <c r="A12194" s="151">
        <v>1834</v>
      </c>
      <c r="B12194" s="151">
        <f>A12194+1</f>
        <v>1835</v>
      </c>
      <c r="C12194" s="151" t="s">
        <v>540</v>
      </c>
      <c r="D12194" s="151" t="s">
        <v>26</v>
      </c>
      <c r="E12194" s="208" t="s">
        <v>106</v>
      </c>
      <c r="F12194" t="s">
        <v>7</v>
      </c>
      <c r="G12194" s="18">
        <v>428887</v>
      </c>
      <c r="H12194" t="s">
        <v>17</v>
      </c>
      <c r="I12194" s="151" t="s">
        <v>562</v>
      </c>
    </row>
    <row r="12195" spans="1:9" x14ac:dyDescent="0.25">
      <c r="A12195" s="151">
        <v>1834</v>
      </c>
      <c r="B12195" s="151">
        <f>A12195+1</f>
        <v>1835</v>
      </c>
      <c r="C12195" s="151" t="s">
        <v>540</v>
      </c>
      <c r="D12195" s="151" t="s">
        <v>26</v>
      </c>
      <c r="E12195" s="208" t="s">
        <v>101</v>
      </c>
      <c r="F12195" t="s">
        <v>7</v>
      </c>
      <c r="G12195" s="18">
        <v>3455658</v>
      </c>
      <c r="H12195" t="s">
        <v>17</v>
      </c>
      <c r="I12195" s="151" t="s">
        <v>562</v>
      </c>
    </row>
    <row r="12196" spans="1:9" x14ac:dyDescent="0.25">
      <c r="A12196" s="151">
        <v>1834</v>
      </c>
      <c r="B12196" s="151">
        <f>A12196+1</f>
        <v>1835</v>
      </c>
      <c r="C12196" s="151" t="s">
        <v>540</v>
      </c>
      <c r="D12196" s="151" t="s">
        <v>26</v>
      </c>
      <c r="E12196" s="208" t="s">
        <v>75</v>
      </c>
      <c r="F12196" t="s">
        <v>7</v>
      </c>
      <c r="G12196" s="18">
        <v>3319559</v>
      </c>
      <c r="H12196" t="s">
        <v>17</v>
      </c>
      <c r="I12196" s="151" t="s">
        <v>562</v>
      </c>
    </row>
    <row r="12197" spans="1:9" x14ac:dyDescent="0.25">
      <c r="A12197" s="151">
        <v>1834</v>
      </c>
      <c r="B12197" s="151">
        <f>A12197+1</f>
        <v>1835</v>
      </c>
      <c r="C12197" s="151" t="s">
        <v>540</v>
      </c>
      <c r="D12197" s="151" t="s">
        <v>26</v>
      </c>
      <c r="E12197" s="208" t="s">
        <v>66</v>
      </c>
      <c r="F12197" t="s">
        <v>7</v>
      </c>
      <c r="G12197" s="18">
        <v>669909</v>
      </c>
      <c r="H12197" t="s">
        <v>17</v>
      </c>
      <c r="I12197" s="151" t="s">
        <v>562</v>
      </c>
    </row>
    <row r="12198" spans="1:9" x14ac:dyDescent="0.25">
      <c r="A12198" s="151">
        <v>1834</v>
      </c>
      <c r="B12198" s="151">
        <f>A12198+1</f>
        <v>1835</v>
      </c>
      <c r="C12198" s="151" t="s">
        <v>540</v>
      </c>
      <c r="D12198" s="151" t="s">
        <v>26</v>
      </c>
      <c r="E12198" s="208" t="s">
        <v>28</v>
      </c>
      <c r="F12198" t="s">
        <v>7</v>
      </c>
      <c r="G12198" s="18">
        <v>1788.75</v>
      </c>
      <c r="H12198" t="s">
        <v>17</v>
      </c>
      <c r="I12198" s="151" t="s">
        <v>562</v>
      </c>
    </row>
    <row r="12199" spans="1:9" x14ac:dyDescent="0.25">
      <c r="A12199" s="151">
        <v>1834</v>
      </c>
      <c r="B12199" s="151">
        <f>A12199+1</f>
        <v>1835</v>
      </c>
      <c r="C12199" s="151" t="s">
        <v>540</v>
      </c>
      <c r="D12199" s="151" t="s">
        <v>26</v>
      </c>
      <c r="E12199" s="208" t="s">
        <v>89</v>
      </c>
      <c r="F12199" t="s">
        <v>7</v>
      </c>
      <c r="G12199" s="18">
        <v>6307.5</v>
      </c>
      <c r="H12199" t="s">
        <v>17</v>
      </c>
      <c r="I12199" s="151" t="s">
        <v>562</v>
      </c>
    </row>
    <row r="12200" spans="1:9" x14ac:dyDescent="0.25">
      <c r="A12200" s="151">
        <v>1834</v>
      </c>
      <c r="B12200" s="151">
        <f>A12200+1</f>
        <v>1835</v>
      </c>
      <c r="C12200" s="151" t="s">
        <v>540</v>
      </c>
      <c r="D12200" s="151" t="s">
        <v>26</v>
      </c>
      <c r="E12200" s="208" t="s">
        <v>45</v>
      </c>
      <c r="F12200" t="s">
        <v>7</v>
      </c>
      <c r="G12200" s="18">
        <v>10954</v>
      </c>
      <c r="H12200" t="s">
        <v>17</v>
      </c>
      <c r="I12200" s="151" t="s">
        <v>562</v>
      </c>
    </row>
    <row r="12201" spans="1:9" x14ac:dyDescent="0.25">
      <c r="A12201" s="151">
        <v>1834</v>
      </c>
      <c r="B12201" s="151">
        <f>A12201+1</f>
        <v>1835</v>
      </c>
      <c r="C12201" s="151" t="s">
        <v>540</v>
      </c>
      <c r="D12201" s="151" t="s">
        <v>26</v>
      </c>
      <c r="E12201" s="208" t="s">
        <v>48</v>
      </c>
      <c r="F12201" t="s">
        <v>7</v>
      </c>
      <c r="G12201" s="18">
        <v>7698</v>
      </c>
      <c r="H12201" t="s">
        <v>17</v>
      </c>
      <c r="I12201" s="151" t="s">
        <v>562</v>
      </c>
    </row>
    <row r="12202" spans="1:9" x14ac:dyDescent="0.25">
      <c r="A12202" s="151">
        <v>1834</v>
      </c>
      <c r="B12202" s="151">
        <f>A12202+1</f>
        <v>1835</v>
      </c>
      <c r="C12202" s="151" t="s">
        <v>540</v>
      </c>
      <c r="D12202" s="151" t="s">
        <v>26</v>
      </c>
      <c r="E12202" s="208" t="s">
        <v>102</v>
      </c>
      <c r="F12202" t="s">
        <v>7</v>
      </c>
      <c r="G12202" s="18">
        <v>20937.5</v>
      </c>
      <c r="H12202" t="s">
        <v>17</v>
      </c>
      <c r="I12202" s="151" t="s">
        <v>562</v>
      </c>
    </row>
    <row r="12203" spans="1:9" x14ac:dyDescent="0.25">
      <c r="A12203" s="151">
        <v>1834</v>
      </c>
      <c r="B12203" s="151">
        <f>A12203+1</f>
        <v>1835</v>
      </c>
      <c r="C12203" s="151" t="s">
        <v>540</v>
      </c>
      <c r="D12203" s="151" t="s">
        <v>26</v>
      </c>
      <c r="E12203" s="208" t="s">
        <v>330</v>
      </c>
      <c r="F12203" t="s">
        <v>7</v>
      </c>
      <c r="G12203" s="18">
        <v>444</v>
      </c>
      <c r="H12203" t="s">
        <v>17</v>
      </c>
      <c r="I12203" s="151" t="s">
        <v>562</v>
      </c>
    </row>
    <row r="12204" spans="1:9" x14ac:dyDescent="0.25">
      <c r="A12204" s="151">
        <v>1834</v>
      </c>
      <c r="B12204" s="151">
        <f>A12204+1</f>
        <v>1835</v>
      </c>
      <c r="C12204" s="151" t="s">
        <v>540</v>
      </c>
      <c r="D12204" s="151" t="s">
        <v>26</v>
      </c>
      <c r="E12204" s="208" t="s">
        <v>331</v>
      </c>
      <c r="F12204" t="s">
        <v>7</v>
      </c>
      <c r="G12204" s="18">
        <v>57</v>
      </c>
      <c r="H12204" t="s">
        <v>17</v>
      </c>
      <c r="I12204" s="151" t="s">
        <v>562</v>
      </c>
    </row>
    <row r="12205" spans="1:9" x14ac:dyDescent="0.25">
      <c r="A12205" s="151">
        <v>1834</v>
      </c>
      <c r="B12205" s="151">
        <f>A12205+1</f>
        <v>1835</v>
      </c>
      <c r="C12205" s="151" t="s">
        <v>540</v>
      </c>
      <c r="D12205" s="151" t="s">
        <v>26</v>
      </c>
      <c r="E12205" s="208" t="s">
        <v>332</v>
      </c>
      <c r="F12205" t="s">
        <v>7</v>
      </c>
      <c r="G12205" s="18">
        <v>328</v>
      </c>
      <c r="H12205" t="s">
        <v>17</v>
      </c>
      <c r="I12205" s="151" t="s">
        <v>562</v>
      </c>
    </row>
    <row r="12206" spans="1:9" x14ac:dyDescent="0.25">
      <c r="A12206" s="151">
        <v>1834</v>
      </c>
      <c r="B12206" s="151">
        <f>A12206+1</f>
        <v>1835</v>
      </c>
      <c r="C12206" s="151" t="s">
        <v>540</v>
      </c>
      <c r="D12206" s="151" t="s">
        <v>26</v>
      </c>
      <c r="E12206" s="208" t="s">
        <v>333</v>
      </c>
      <c r="F12206" t="s">
        <v>7</v>
      </c>
      <c r="G12206" s="18">
        <v>44</v>
      </c>
      <c r="H12206" t="s">
        <v>17</v>
      </c>
      <c r="I12206" s="151" t="s">
        <v>562</v>
      </c>
    </row>
    <row r="12207" spans="1:9" x14ac:dyDescent="0.25">
      <c r="A12207" s="151">
        <v>1834</v>
      </c>
      <c r="B12207" s="151">
        <f>A12207+1</f>
        <v>1835</v>
      </c>
      <c r="C12207" s="151" t="s">
        <v>540</v>
      </c>
      <c r="D12207" s="151" t="s">
        <v>27</v>
      </c>
      <c r="E12207" s="208" t="s">
        <v>155</v>
      </c>
      <c r="F12207" t="s">
        <v>14</v>
      </c>
      <c r="G12207" s="18">
        <v>51899</v>
      </c>
      <c r="H12207" t="s">
        <v>17</v>
      </c>
      <c r="I12207" s="151" t="s">
        <v>562</v>
      </c>
    </row>
    <row r="12208" spans="1:9" x14ac:dyDescent="0.25">
      <c r="A12208" s="151">
        <v>1834</v>
      </c>
      <c r="B12208" s="151">
        <f>A12208+1</f>
        <v>1835</v>
      </c>
      <c r="C12208" s="151" t="s">
        <v>540</v>
      </c>
      <c r="D12208" s="151" t="s">
        <v>27</v>
      </c>
      <c r="E12208" s="208" t="s">
        <v>156</v>
      </c>
      <c r="F12208" t="s">
        <v>14</v>
      </c>
      <c r="G12208" s="18">
        <v>7442</v>
      </c>
      <c r="H12208" t="s">
        <v>17</v>
      </c>
      <c r="I12208" s="151" t="s">
        <v>562</v>
      </c>
    </row>
    <row r="12209" spans="1:9" x14ac:dyDescent="0.25">
      <c r="A12209" s="151">
        <v>1834</v>
      </c>
      <c r="B12209" s="151">
        <f>A12209+1</f>
        <v>1835</v>
      </c>
      <c r="C12209" s="151" t="s">
        <v>540</v>
      </c>
      <c r="D12209" s="151" t="s">
        <v>27</v>
      </c>
      <c r="E12209" s="208" t="s">
        <v>154</v>
      </c>
      <c r="F12209" t="s">
        <v>14</v>
      </c>
      <c r="G12209" s="18">
        <v>1362</v>
      </c>
      <c r="H12209" t="s">
        <v>17</v>
      </c>
      <c r="I12209" s="151" t="s">
        <v>562</v>
      </c>
    </row>
    <row r="12210" spans="1:9" x14ac:dyDescent="0.25">
      <c r="A12210" s="151">
        <v>1834</v>
      </c>
      <c r="B12210" s="151">
        <f>A12210+1</f>
        <v>1835</v>
      </c>
      <c r="C12210" s="151" t="s">
        <v>540</v>
      </c>
      <c r="D12210" s="151" t="s">
        <v>27</v>
      </c>
      <c r="E12210" s="208" t="s">
        <v>150</v>
      </c>
      <c r="F12210" t="s">
        <v>14</v>
      </c>
      <c r="G12210" s="18">
        <v>20019</v>
      </c>
      <c r="H12210" t="s">
        <v>17</v>
      </c>
      <c r="I12210" s="151" t="s">
        <v>562</v>
      </c>
    </row>
    <row r="12211" spans="1:9" x14ac:dyDescent="0.25">
      <c r="A12211" s="151">
        <v>1834</v>
      </c>
      <c r="B12211" s="151">
        <f>A12211+1</f>
        <v>1835</v>
      </c>
      <c r="C12211" s="151" t="s">
        <v>540</v>
      </c>
      <c r="D12211" s="151" t="s">
        <v>27</v>
      </c>
      <c r="E12211" s="208" t="s">
        <v>148</v>
      </c>
      <c r="F12211" t="s">
        <v>14</v>
      </c>
      <c r="G12211" s="18">
        <v>1382</v>
      </c>
      <c r="H12211" t="s">
        <v>17</v>
      </c>
      <c r="I12211" s="151" t="s">
        <v>562</v>
      </c>
    </row>
    <row r="12212" spans="1:9" x14ac:dyDescent="0.25">
      <c r="A12212" s="151">
        <v>1834</v>
      </c>
      <c r="B12212" s="151">
        <f>A12212+1</f>
        <v>1835</v>
      </c>
      <c r="C12212" s="151" t="s">
        <v>540</v>
      </c>
      <c r="D12212" s="151" t="s">
        <v>27</v>
      </c>
      <c r="E12212" s="208" t="s">
        <v>147</v>
      </c>
      <c r="F12212" t="s">
        <v>14</v>
      </c>
      <c r="G12212" s="18">
        <v>658</v>
      </c>
      <c r="H12212" t="s">
        <v>17</v>
      </c>
      <c r="I12212" s="151" t="s">
        <v>562</v>
      </c>
    </row>
    <row r="12213" spans="1:9" x14ac:dyDescent="0.25">
      <c r="A12213" s="151">
        <v>1834</v>
      </c>
      <c r="B12213" s="151">
        <f>A12213+1</f>
        <v>1835</v>
      </c>
      <c r="C12213" s="151" t="s">
        <v>540</v>
      </c>
      <c r="D12213" s="151" t="s">
        <v>27</v>
      </c>
      <c r="E12213" s="208" t="s">
        <v>125</v>
      </c>
      <c r="F12213" t="s">
        <v>14</v>
      </c>
      <c r="G12213" s="18">
        <v>4170.5</v>
      </c>
      <c r="H12213" t="s">
        <v>17</v>
      </c>
      <c r="I12213" s="151" t="s">
        <v>562</v>
      </c>
    </row>
    <row r="12214" spans="1:9" x14ac:dyDescent="0.25">
      <c r="A12214" s="151">
        <v>1834</v>
      </c>
      <c r="B12214" s="151">
        <f>A12214+1</f>
        <v>1835</v>
      </c>
      <c r="C12214" s="151" t="s">
        <v>540</v>
      </c>
      <c r="D12214" s="151" t="s">
        <v>27</v>
      </c>
      <c r="E12214" s="208" t="s">
        <v>122</v>
      </c>
      <c r="F12214" t="s">
        <v>14</v>
      </c>
      <c r="G12214" s="18">
        <v>726.5</v>
      </c>
      <c r="H12214" t="s">
        <v>17</v>
      </c>
      <c r="I12214" s="151" t="s">
        <v>562</v>
      </c>
    </row>
    <row r="12215" spans="1:9" x14ac:dyDescent="0.25">
      <c r="A12215" s="151">
        <v>1834</v>
      </c>
      <c r="B12215" s="151">
        <f>A12215+1</f>
        <v>1835</v>
      </c>
      <c r="C12215" s="151" t="s">
        <v>540</v>
      </c>
      <c r="D12215" s="151" t="s">
        <v>27</v>
      </c>
      <c r="E12215" s="208" t="s">
        <v>121</v>
      </c>
      <c r="F12215" t="s">
        <v>14</v>
      </c>
      <c r="G12215" s="18">
        <v>307</v>
      </c>
      <c r="H12215" s="151" t="s">
        <v>563</v>
      </c>
      <c r="I12215" t="s">
        <v>17</v>
      </c>
    </row>
    <row r="12216" spans="1:9" x14ac:dyDescent="0.25">
      <c r="A12216" s="151">
        <v>1834</v>
      </c>
      <c r="B12216" s="151">
        <f>A12216+1</f>
        <v>1835</v>
      </c>
      <c r="C12216" s="151" t="s">
        <v>540</v>
      </c>
      <c r="D12216" s="151" t="s">
        <v>27</v>
      </c>
      <c r="E12216" s="208" t="s">
        <v>123</v>
      </c>
      <c r="F12216" t="s">
        <v>14</v>
      </c>
      <c r="G12216" s="18">
        <v>392</v>
      </c>
      <c r="H12216" s="151" t="s">
        <v>563</v>
      </c>
      <c r="I12216" t="s">
        <v>17</v>
      </c>
    </row>
    <row r="12217" spans="1:9" x14ac:dyDescent="0.25">
      <c r="A12217" s="151">
        <v>1834</v>
      </c>
      <c r="B12217" s="151">
        <f>A12217+1</f>
        <v>1835</v>
      </c>
      <c r="C12217" s="151" t="s">
        <v>540</v>
      </c>
      <c r="D12217" s="151" t="s">
        <v>27</v>
      </c>
      <c r="E12217" s="208" t="s">
        <v>143</v>
      </c>
      <c r="F12217" t="s">
        <v>14</v>
      </c>
      <c r="G12217" s="18">
        <v>81</v>
      </c>
      <c r="H12217" s="151" t="s">
        <v>563</v>
      </c>
      <c r="I12217" t="s">
        <v>17</v>
      </c>
    </row>
    <row r="12218" spans="1:9" x14ac:dyDescent="0.25">
      <c r="A12218" s="151">
        <v>1834</v>
      </c>
      <c r="B12218" s="151">
        <f>A12218+1</f>
        <v>1835</v>
      </c>
      <c r="C12218" s="151" t="s">
        <v>540</v>
      </c>
      <c r="D12218" s="151" t="s">
        <v>27</v>
      </c>
      <c r="E12218" s="208" t="s">
        <v>142</v>
      </c>
      <c r="F12218" t="s">
        <v>14</v>
      </c>
      <c r="G12218" s="18">
        <v>39842</v>
      </c>
      <c r="H12218" s="151" t="s">
        <v>563</v>
      </c>
      <c r="I12218" t="s">
        <v>17</v>
      </c>
    </row>
    <row r="12219" spans="1:9" x14ac:dyDescent="0.25">
      <c r="A12219" s="151">
        <v>1834</v>
      </c>
      <c r="B12219" s="151">
        <f>A12219+1</f>
        <v>1835</v>
      </c>
      <c r="C12219" s="151" t="s">
        <v>540</v>
      </c>
      <c r="D12219" s="151" t="s">
        <v>27</v>
      </c>
      <c r="E12219" s="208" t="s">
        <v>131</v>
      </c>
      <c r="F12219" t="s">
        <v>14</v>
      </c>
      <c r="G12219" s="18">
        <v>4536</v>
      </c>
      <c r="H12219" s="151" t="s">
        <v>563</v>
      </c>
      <c r="I12219" t="s">
        <v>17</v>
      </c>
    </row>
    <row r="12220" spans="1:9" x14ac:dyDescent="0.25">
      <c r="A12220" s="151">
        <v>1834</v>
      </c>
      <c r="B12220" s="151">
        <f>A12220+1</f>
        <v>1835</v>
      </c>
      <c r="C12220" s="151" t="s">
        <v>540</v>
      </c>
      <c r="D12220" s="151" t="s">
        <v>27</v>
      </c>
      <c r="E12220" s="208" t="s">
        <v>130</v>
      </c>
      <c r="F12220" t="s">
        <v>14</v>
      </c>
      <c r="G12220" s="18">
        <v>103</v>
      </c>
      <c r="H12220" s="151" t="s">
        <v>563</v>
      </c>
      <c r="I12220" t="s">
        <v>17</v>
      </c>
    </row>
    <row r="12221" spans="1:9" x14ac:dyDescent="0.25">
      <c r="A12221" s="151">
        <v>1834</v>
      </c>
      <c r="B12221" s="151">
        <f>A12221+1</f>
        <v>1835</v>
      </c>
      <c r="C12221" s="151" t="s">
        <v>540</v>
      </c>
      <c r="D12221" s="151" t="s">
        <v>27</v>
      </c>
      <c r="E12221" s="208" t="s">
        <v>139</v>
      </c>
      <c r="F12221" t="s">
        <v>14</v>
      </c>
      <c r="G12221" s="18">
        <v>334</v>
      </c>
      <c r="H12221" s="151" t="s">
        <v>563</v>
      </c>
      <c r="I12221" t="s">
        <v>17</v>
      </c>
    </row>
    <row r="12222" spans="1:9" x14ac:dyDescent="0.25">
      <c r="A12222" s="151">
        <v>1834</v>
      </c>
      <c r="B12222" s="151">
        <f>A12222+1</f>
        <v>1835</v>
      </c>
      <c r="C12222" s="151" t="s">
        <v>540</v>
      </c>
      <c r="D12222" s="151" t="s">
        <v>27</v>
      </c>
      <c r="E12222" s="208" t="s">
        <v>127</v>
      </c>
      <c r="F12222" t="s">
        <v>14</v>
      </c>
      <c r="G12222" s="18">
        <v>900</v>
      </c>
      <c r="H12222" s="151" t="s">
        <v>563</v>
      </c>
      <c r="I12222" t="s">
        <v>17</v>
      </c>
    </row>
    <row r="12223" spans="1:9" x14ac:dyDescent="0.25">
      <c r="A12223" s="151">
        <v>1834</v>
      </c>
      <c r="B12223" s="151">
        <f>A12223+1</f>
        <v>1835</v>
      </c>
      <c r="C12223" s="151" t="s">
        <v>540</v>
      </c>
      <c r="D12223" s="151" t="s">
        <v>27</v>
      </c>
      <c r="E12223" s="208" t="s">
        <v>133</v>
      </c>
      <c r="F12223" t="s">
        <v>14</v>
      </c>
      <c r="G12223" s="18">
        <v>3270</v>
      </c>
      <c r="H12223" s="151" t="s">
        <v>563</v>
      </c>
      <c r="I12223" t="s">
        <v>17</v>
      </c>
    </row>
    <row r="12224" spans="1:9" x14ac:dyDescent="0.25">
      <c r="A12224" s="151">
        <v>1834</v>
      </c>
      <c r="B12224" s="151">
        <f>A12224+1</f>
        <v>1835</v>
      </c>
      <c r="C12224" s="151" t="s">
        <v>540</v>
      </c>
      <c r="D12224" s="151" t="s">
        <v>27</v>
      </c>
      <c r="E12224" s="208" t="s">
        <v>74</v>
      </c>
      <c r="F12224" t="s">
        <v>14</v>
      </c>
      <c r="G12224" s="18">
        <v>4428</v>
      </c>
      <c r="H12224" s="151" t="s">
        <v>563</v>
      </c>
      <c r="I12224" t="s">
        <v>17</v>
      </c>
    </row>
    <row r="12225" spans="1:9" x14ac:dyDescent="0.25">
      <c r="A12225" s="151">
        <v>1834</v>
      </c>
      <c r="B12225" s="151">
        <f>A12225+1</f>
        <v>1835</v>
      </c>
      <c r="C12225" s="151" t="s">
        <v>540</v>
      </c>
      <c r="D12225" s="151" t="s">
        <v>27</v>
      </c>
      <c r="E12225" s="208" t="s">
        <v>129</v>
      </c>
      <c r="F12225" t="s">
        <v>14</v>
      </c>
      <c r="G12225" s="18">
        <v>495.5</v>
      </c>
      <c r="H12225" s="151" t="s">
        <v>563</v>
      </c>
      <c r="I12225" t="s">
        <v>17</v>
      </c>
    </row>
    <row r="12226" spans="1:9" x14ac:dyDescent="0.25">
      <c r="A12226" s="151">
        <v>1834</v>
      </c>
      <c r="B12226" s="151">
        <f>A12226+1</f>
        <v>1835</v>
      </c>
      <c r="C12226" s="151" t="s">
        <v>540</v>
      </c>
      <c r="D12226" s="151" t="s">
        <v>27</v>
      </c>
      <c r="E12226" s="208" t="s">
        <v>141</v>
      </c>
      <c r="F12226" t="s">
        <v>14</v>
      </c>
      <c r="G12226" s="18">
        <v>353</v>
      </c>
      <c r="H12226" s="151" t="s">
        <v>563</v>
      </c>
      <c r="I12226" t="s">
        <v>17</v>
      </c>
    </row>
    <row r="12227" spans="1:9" x14ac:dyDescent="0.25">
      <c r="A12227" s="151">
        <v>1834</v>
      </c>
      <c r="B12227" s="151">
        <f>A12227+1</f>
        <v>1835</v>
      </c>
      <c r="C12227" s="151" t="s">
        <v>540</v>
      </c>
      <c r="D12227" s="151" t="s">
        <v>27</v>
      </c>
      <c r="E12227" s="208" t="s">
        <v>135</v>
      </c>
      <c r="F12227" t="s">
        <v>14</v>
      </c>
      <c r="G12227" s="18">
        <v>183</v>
      </c>
      <c r="H12227" s="151" t="s">
        <v>563</v>
      </c>
      <c r="I12227" t="s">
        <v>17</v>
      </c>
    </row>
    <row r="12228" spans="1:9" x14ac:dyDescent="0.25">
      <c r="A12228" s="151">
        <v>1834</v>
      </c>
      <c r="B12228" s="151">
        <f>A12228+1</f>
        <v>1835</v>
      </c>
      <c r="C12228" s="151" t="s">
        <v>540</v>
      </c>
      <c r="D12228" s="151" t="s">
        <v>27</v>
      </c>
      <c r="E12228" s="208" t="s">
        <v>128</v>
      </c>
      <c r="F12228" t="s">
        <v>14</v>
      </c>
      <c r="G12228" s="18">
        <v>237</v>
      </c>
      <c r="H12228" s="151" t="s">
        <v>563</v>
      </c>
      <c r="I12228" t="s">
        <v>17</v>
      </c>
    </row>
    <row r="12229" spans="1:9" x14ac:dyDescent="0.25">
      <c r="A12229" s="151">
        <v>1834</v>
      </c>
      <c r="B12229" s="151">
        <f>A12229+1</f>
        <v>1835</v>
      </c>
      <c r="C12229" s="151" t="s">
        <v>540</v>
      </c>
      <c r="D12229" s="151" t="s">
        <v>27</v>
      </c>
      <c r="E12229" s="208" t="s">
        <v>78</v>
      </c>
      <c r="F12229" t="s">
        <v>14</v>
      </c>
      <c r="G12229" s="18">
        <v>631</v>
      </c>
      <c r="H12229" s="151" t="s">
        <v>563</v>
      </c>
      <c r="I12229" t="s">
        <v>17</v>
      </c>
    </row>
    <row r="12230" spans="1:9" x14ac:dyDescent="0.25">
      <c r="A12230" s="151">
        <v>1834</v>
      </c>
      <c r="B12230" s="151">
        <f>A12230+1</f>
        <v>1835</v>
      </c>
      <c r="C12230" s="151" t="s">
        <v>540</v>
      </c>
      <c r="D12230" s="151" t="s">
        <v>27</v>
      </c>
      <c r="E12230" s="208" t="s">
        <v>119</v>
      </c>
      <c r="F12230" t="s">
        <v>14</v>
      </c>
      <c r="G12230" s="18">
        <v>2648</v>
      </c>
      <c r="H12230" s="151" t="s">
        <v>563</v>
      </c>
      <c r="I12230" t="s">
        <v>17</v>
      </c>
    </row>
    <row r="12231" spans="1:9" x14ac:dyDescent="0.25">
      <c r="A12231" s="151">
        <v>1834</v>
      </c>
      <c r="B12231" s="151">
        <f>A12231+1</f>
        <v>1835</v>
      </c>
      <c r="C12231" s="151" t="s">
        <v>540</v>
      </c>
      <c r="D12231" s="151" t="s">
        <v>27</v>
      </c>
      <c r="E12231" s="208" t="s">
        <v>134</v>
      </c>
      <c r="F12231" t="s">
        <v>14</v>
      </c>
      <c r="G12231" s="18">
        <v>22269</v>
      </c>
      <c r="H12231" s="151" t="s">
        <v>563</v>
      </c>
      <c r="I12231" t="s">
        <v>17</v>
      </c>
    </row>
    <row r="12232" spans="1:9" x14ac:dyDescent="0.25">
      <c r="A12232" s="151">
        <v>1834</v>
      </c>
      <c r="B12232" s="151">
        <f>A12232+1</f>
        <v>1835</v>
      </c>
      <c r="C12232" s="151" t="s">
        <v>540</v>
      </c>
      <c r="D12232" s="151" t="s">
        <v>26</v>
      </c>
      <c r="E12232" s="208" t="s">
        <v>63</v>
      </c>
      <c r="F12232" t="s">
        <v>14</v>
      </c>
      <c r="G12232" s="18">
        <v>816</v>
      </c>
      <c r="H12232" s="151" t="s">
        <v>563</v>
      </c>
      <c r="I12232" t="s">
        <v>17</v>
      </c>
    </row>
    <row r="12233" spans="1:9" x14ac:dyDescent="0.25">
      <c r="A12233" s="151">
        <v>1834</v>
      </c>
      <c r="B12233" s="151">
        <f>A12233+1</f>
        <v>1835</v>
      </c>
      <c r="C12233" s="151" t="s">
        <v>540</v>
      </c>
      <c r="D12233" s="151" t="s">
        <v>26</v>
      </c>
      <c r="E12233" s="208" t="s">
        <v>62</v>
      </c>
      <c r="F12233" t="s">
        <v>14</v>
      </c>
      <c r="G12233" s="18">
        <v>9159</v>
      </c>
      <c r="H12233" s="151" t="s">
        <v>563</v>
      </c>
      <c r="I12233" t="s">
        <v>17</v>
      </c>
    </row>
    <row r="12234" spans="1:9" x14ac:dyDescent="0.25">
      <c r="A12234" s="151">
        <v>1834</v>
      </c>
      <c r="B12234" s="151">
        <f>A12234+1</f>
        <v>1835</v>
      </c>
      <c r="C12234" s="151" t="s">
        <v>540</v>
      </c>
      <c r="D12234" s="151" t="s">
        <v>26</v>
      </c>
      <c r="E12234" s="208" t="s">
        <v>55</v>
      </c>
      <c r="F12234" t="s">
        <v>14</v>
      </c>
      <c r="G12234" s="18">
        <v>2522</v>
      </c>
      <c r="H12234" s="151" t="s">
        <v>563</v>
      </c>
      <c r="I12234" t="s">
        <v>17</v>
      </c>
    </row>
    <row r="12235" spans="1:9" x14ac:dyDescent="0.25">
      <c r="A12235" s="151">
        <v>1834</v>
      </c>
      <c r="B12235" s="151">
        <f>A12235+1</f>
        <v>1835</v>
      </c>
      <c r="C12235" s="151" t="s">
        <v>540</v>
      </c>
      <c r="D12235" s="151" t="s">
        <v>26</v>
      </c>
      <c r="E12235" s="208" t="s">
        <v>36</v>
      </c>
      <c r="F12235" t="s">
        <v>14</v>
      </c>
      <c r="G12235" s="18">
        <v>879.5</v>
      </c>
      <c r="H12235" s="151" t="s">
        <v>563</v>
      </c>
      <c r="I12235" t="s">
        <v>17</v>
      </c>
    </row>
    <row r="12236" spans="1:9" x14ac:dyDescent="0.25">
      <c r="A12236" s="151">
        <v>1834</v>
      </c>
      <c r="B12236" s="151">
        <f>A12236+1</f>
        <v>1835</v>
      </c>
      <c r="C12236" s="151" t="s">
        <v>540</v>
      </c>
      <c r="D12236" s="151" t="s">
        <v>26</v>
      </c>
      <c r="E12236" s="208" t="s">
        <v>40</v>
      </c>
      <c r="F12236" t="s">
        <v>14</v>
      </c>
      <c r="G12236" s="18">
        <v>152992</v>
      </c>
      <c r="H12236" s="151" t="s">
        <v>563</v>
      </c>
      <c r="I12236" t="s">
        <v>17</v>
      </c>
    </row>
    <row r="12237" spans="1:9" x14ac:dyDescent="0.25">
      <c r="A12237" s="151">
        <v>1834</v>
      </c>
      <c r="B12237" s="151">
        <f>A12237+1</f>
        <v>1835</v>
      </c>
      <c r="C12237" s="151" t="s">
        <v>540</v>
      </c>
      <c r="D12237" s="151" t="s">
        <v>26</v>
      </c>
      <c r="E12237" s="208" t="s">
        <v>96</v>
      </c>
      <c r="F12237" t="s">
        <v>14</v>
      </c>
      <c r="G12237" s="18">
        <v>4634.25</v>
      </c>
      <c r="H12237" s="151" t="s">
        <v>563</v>
      </c>
      <c r="I12237" t="s">
        <v>17</v>
      </c>
    </row>
    <row r="12238" spans="1:9" x14ac:dyDescent="0.25">
      <c r="A12238" s="151">
        <v>1834</v>
      </c>
      <c r="B12238" s="151">
        <f>A12238+1</f>
        <v>1835</v>
      </c>
      <c r="C12238" s="151" t="s">
        <v>540</v>
      </c>
      <c r="D12238" s="151" t="s">
        <v>26</v>
      </c>
      <c r="E12238" s="208" t="s">
        <v>98</v>
      </c>
      <c r="F12238" t="s">
        <v>14</v>
      </c>
      <c r="G12238" s="18">
        <v>270</v>
      </c>
      <c r="H12238" t="s">
        <v>561</v>
      </c>
      <c r="I12238" s="151" t="s">
        <v>562</v>
      </c>
    </row>
    <row r="12239" spans="1:9" x14ac:dyDescent="0.25">
      <c r="A12239" s="151">
        <v>1834</v>
      </c>
      <c r="B12239" s="151">
        <f>A12239+1</f>
        <v>1835</v>
      </c>
      <c r="C12239" s="151" t="s">
        <v>540</v>
      </c>
      <c r="D12239" s="151" t="s">
        <v>26</v>
      </c>
      <c r="E12239" s="208" t="s">
        <v>35</v>
      </c>
      <c r="F12239" t="s">
        <v>14</v>
      </c>
      <c r="G12239" s="18">
        <v>332346</v>
      </c>
      <c r="H12239" t="s">
        <v>561</v>
      </c>
      <c r="I12239" s="151" t="s">
        <v>562</v>
      </c>
    </row>
    <row r="12240" spans="1:9" x14ac:dyDescent="0.25">
      <c r="A12240" s="151">
        <v>1834</v>
      </c>
      <c r="B12240" s="151">
        <f>A12240+1</f>
        <v>1835</v>
      </c>
      <c r="C12240" s="151" t="s">
        <v>540</v>
      </c>
      <c r="D12240" s="151" t="s">
        <v>26</v>
      </c>
      <c r="E12240" s="208" t="s">
        <v>442</v>
      </c>
      <c r="F12240" t="s">
        <v>14</v>
      </c>
      <c r="G12240" s="18">
        <v>5813</v>
      </c>
      <c r="H12240" t="s">
        <v>561</v>
      </c>
      <c r="I12240" s="151" t="s">
        <v>562</v>
      </c>
    </row>
    <row r="12241" spans="1:9" x14ac:dyDescent="0.25">
      <c r="A12241" s="151">
        <v>1834</v>
      </c>
      <c r="B12241" s="151">
        <f>A12241+1</f>
        <v>1835</v>
      </c>
      <c r="C12241" s="151" t="s">
        <v>540</v>
      </c>
      <c r="D12241" s="151" t="s">
        <v>26</v>
      </c>
      <c r="E12241" s="208" t="s">
        <v>105</v>
      </c>
      <c r="F12241" t="s">
        <v>14</v>
      </c>
      <c r="G12241" s="18">
        <v>1874508</v>
      </c>
      <c r="H12241" t="s">
        <v>561</v>
      </c>
      <c r="I12241" s="151" t="s">
        <v>562</v>
      </c>
    </row>
    <row r="12242" spans="1:9" x14ac:dyDescent="0.25">
      <c r="A12242" s="151">
        <v>1834</v>
      </c>
      <c r="B12242" s="151">
        <f>A12242+1</f>
        <v>1835</v>
      </c>
      <c r="C12242" s="151" t="s">
        <v>540</v>
      </c>
      <c r="D12242" s="151" t="s">
        <v>26</v>
      </c>
      <c r="E12242" s="208" t="s">
        <v>106</v>
      </c>
      <c r="F12242" t="s">
        <v>14</v>
      </c>
      <c r="G12242" s="18">
        <v>941637</v>
      </c>
      <c r="H12242" t="s">
        <v>561</v>
      </c>
      <c r="I12242" s="151" t="s">
        <v>562</v>
      </c>
    </row>
    <row r="12243" spans="1:9" x14ac:dyDescent="0.25">
      <c r="A12243" s="151">
        <v>1834</v>
      </c>
      <c r="B12243" s="151">
        <f>A12243+1</f>
        <v>1835</v>
      </c>
      <c r="C12243" s="151" t="s">
        <v>540</v>
      </c>
      <c r="D12243" s="151" t="s">
        <v>26</v>
      </c>
      <c r="E12243" s="208" t="s">
        <v>101</v>
      </c>
      <c r="F12243" t="s">
        <v>14</v>
      </c>
      <c r="G12243" s="18">
        <v>2013536</v>
      </c>
      <c r="H12243" t="s">
        <v>561</v>
      </c>
      <c r="I12243" s="151" t="s">
        <v>562</v>
      </c>
    </row>
    <row r="12244" spans="1:9" x14ac:dyDescent="0.25">
      <c r="A12244" s="151">
        <v>1834</v>
      </c>
      <c r="B12244" s="151">
        <f>A12244+1</f>
        <v>1835</v>
      </c>
      <c r="C12244" s="151" t="s">
        <v>540</v>
      </c>
      <c r="D12244" s="151" t="s">
        <v>26</v>
      </c>
      <c r="E12244" s="208" t="s">
        <v>75</v>
      </c>
      <c r="F12244" t="s">
        <v>14</v>
      </c>
      <c r="G12244" s="18">
        <v>2929217</v>
      </c>
      <c r="H12244" t="s">
        <v>561</v>
      </c>
      <c r="I12244" s="151" t="s">
        <v>562</v>
      </c>
    </row>
    <row r="12245" spans="1:9" x14ac:dyDescent="0.25">
      <c r="A12245" s="151">
        <v>1834</v>
      </c>
      <c r="B12245" s="151">
        <f>A12245+1</f>
        <v>1835</v>
      </c>
      <c r="C12245" s="151" t="s">
        <v>540</v>
      </c>
      <c r="D12245" s="151" t="s">
        <v>26</v>
      </c>
      <c r="E12245" s="208" t="s">
        <v>66</v>
      </c>
      <c r="F12245" t="s">
        <v>14</v>
      </c>
      <c r="G12245" s="18">
        <v>15514</v>
      </c>
      <c r="H12245" t="s">
        <v>561</v>
      </c>
      <c r="I12245" s="151" t="s">
        <v>562</v>
      </c>
    </row>
    <row r="12246" spans="1:9" x14ac:dyDescent="0.25">
      <c r="A12246" s="151">
        <v>1834</v>
      </c>
      <c r="B12246" s="151">
        <f>A12246+1</f>
        <v>1835</v>
      </c>
      <c r="C12246" s="151" t="s">
        <v>540</v>
      </c>
      <c r="D12246" s="151" t="s">
        <v>26</v>
      </c>
      <c r="E12246" s="208" t="s">
        <v>28</v>
      </c>
      <c r="F12246" t="s">
        <v>14</v>
      </c>
      <c r="G12246" s="18">
        <v>883.5</v>
      </c>
      <c r="H12246" t="s">
        <v>561</v>
      </c>
      <c r="I12246" s="151" t="s">
        <v>562</v>
      </c>
    </row>
    <row r="12247" spans="1:9" x14ac:dyDescent="0.25">
      <c r="A12247" s="151">
        <v>1834</v>
      </c>
      <c r="B12247" s="151">
        <f>A12247+1</f>
        <v>1835</v>
      </c>
      <c r="C12247" s="151" t="s">
        <v>540</v>
      </c>
      <c r="D12247" s="151" t="s">
        <v>26</v>
      </c>
      <c r="E12247" s="208" t="s">
        <v>89</v>
      </c>
      <c r="F12247" t="s">
        <v>14</v>
      </c>
      <c r="G12247" s="18">
        <v>1904.5</v>
      </c>
      <c r="H12247" t="s">
        <v>561</v>
      </c>
      <c r="I12247" s="151" t="s">
        <v>562</v>
      </c>
    </row>
    <row r="12248" spans="1:9" x14ac:dyDescent="0.25">
      <c r="A12248" s="151">
        <v>1834</v>
      </c>
      <c r="B12248" s="151">
        <f>A12248+1</f>
        <v>1835</v>
      </c>
      <c r="C12248" s="151" t="s">
        <v>540</v>
      </c>
      <c r="D12248" s="151" t="s">
        <v>26</v>
      </c>
      <c r="E12248" s="208" t="s">
        <v>45</v>
      </c>
      <c r="F12248" t="s">
        <v>14</v>
      </c>
      <c r="G12248" s="18">
        <v>1400</v>
      </c>
      <c r="H12248" t="s">
        <v>561</v>
      </c>
      <c r="I12248" s="151" t="s">
        <v>562</v>
      </c>
    </row>
    <row r="12249" spans="1:9" x14ac:dyDescent="0.25">
      <c r="A12249" s="151">
        <v>1834</v>
      </c>
      <c r="B12249" s="151">
        <f>A12249+1</f>
        <v>1835</v>
      </c>
      <c r="C12249" s="151" t="s">
        <v>540</v>
      </c>
      <c r="D12249" s="151" t="s">
        <v>26</v>
      </c>
      <c r="E12249" s="208" t="s">
        <v>48</v>
      </c>
      <c r="F12249" t="s">
        <v>14</v>
      </c>
      <c r="G12249" s="18">
        <v>1456</v>
      </c>
      <c r="H12249" t="s">
        <v>561</v>
      </c>
      <c r="I12249" s="151" t="s">
        <v>562</v>
      </c>
    </row>
    <row r="12250" spans="1:9" x14ac:dyDescent="0.25">
      <c r="A12250" s="151">
        <v>1834</v>
      </c>
      <c r="B12250" s="151">
        <f>A12250+1</f>
        <v>1835</v>
      </c>
      <c r="C12250" s="151" t="s">
        <v>540</v>
      </c>
      <c r="D12250" s="151" t="s">
        <v>26</v>
      </c>
      <c r="E12250" s="208" t="s">
        <v>102</v>
      </c>
      <c r="F12250" t="s">
        <v>14</v>
      </c>
      <c r="G12250" s="18">
        <v>2276</v>
      </c>
      <c r="H12250" t="s">
        <v>561</v>
      </c>
      <c r="I12250" s="151" t="s">
        <v>562</v>
      </c>
    </row>
    <row r="12251" spans="1:9" x14ac:dyDescent="0.25">
      <c r="A12251" s="151">
        <v>1834</v>
      </c>
      <c r="B12251" s="151">
        <f>A12251+1</f>
        <v>1835</v>
      </c>
      <c r="C12251" s="151" t="s">
        <v>540</v>
      </c>
      <c r="D12251" s="151" t="s">
        <v>26</v>
      </c>
      <c r="E12251" s="208" t="s">
        <v>330</v>
      </c>
      <c r="F12251" t="s">
        <v>14</v>
      </c>
      <c r="G12251" s="18">
        <v>219</v>
      </c>
      <c r="H12251" t="s">
        <v>561</v>
      </c>
      <c r="I12251" s="151" t="s">
        <v>562</v>
      </c>
    </row>
    <row r="12252" spans="1:9" x14ac:dyDescent="0.25">
      <c r="A12252" s="151">
        <v>1834</v>
      </c>
      <c r="B12252" s="151">
        <f>A12252+1</f>
        <v>1835</v>
      </c>
      <c r="C12252" s="151" t="s">
        <v>540</v>
      </c>
      <c r="D12252" s="151" t="s">
        <v>26</v>
      </c>
      <c r="E12252" s="208" t="s">
        <v>331</v>
      </c>
      <c r="F12252" t="s">
        <v>14</v>
      </c>
      <c r="G12252" s="18">
        <v>0</v>
      </c>
      <c r="H12252" t="s">
        <v>561</v>
      </c>
      <c r="I12252" s="151" t="s">
        <v>562</v>
      </c>
    </row>
    <row r="12253" spans="1:9" x14ac:dyDescent="0.25">
      <c r="A12253" s="151">
        <v>1834</v>
      </c>
      <c r="B12253" s="151">
        <f>A12253+1</f>
        <v>1835</v>
      </c>
      <c r="C12253" s="151" t="s">
        <v>540</v>
      </c>
      <c r="D12253" s="151" t="s">
        <v>26</v>
      </c>
      <c r="E12253" s="208" t="s">
        <v>332</v>
      </c>
      <c r="F12253" t="s">
        <v>14</v>
      </c>
      <c r="G12253" s="18">
        <v>0</v>
      </c>
      <c r="H12253" t="s">
        <v>561</v>
      </c>
      <c r="I12253" s="151" t="s">
        <v>562</v>
      </c>
    </row>
    <row r="12254" spans="1:9" x14ac:dyDescent="0.25">
      <c r="A12254" s="151">
        <v>1834</v>
      </c>
      <c r="B12254" s="151">
        <f>A12254+1</f>
        <v>1835</v>
      </c>
      <c r="C12254" s="151" t="s">
        <v>540</v>
      </c>
      <c r="D12254" s="151" t="s">
        <v>26</v>
      </c>
      <c r="E12254" s="208" t="s">
        <v>333</v>
      </c>
      <c r="F12254" t="s">
        <v>14</v>
      </c>
      <c r="G12254" s="18">
        <v>2</v>
      </c>
      <c r="H12254" t="s">
        <v>561</v>
      </c>
      <c r="I12254" s="151" t="s">
        <v>562</v>
      </c>
    </row>
    <row r="12255" spans="1:9" x14ac:dyDescent="0.25">
      <c r="A12255" s="151">
        <v>1834</v>
      </c>
      <c r="B12255" s="151">
        <f>A12255+1</f>
        <v>1835</v>
      </c>
      <c r="C12255" s="151" t="s">
        <v>540</v>
      </c>
      <c r="D12255" s="151" t="s">
        <v>27</v>
      </c>
      <c r="E12255" s="208" t="s">
        <v>155</v>
      </c>
      <c r="F12255" t="s">
        <v>15</v>
      </c>
      <c r="G12255" s="18">
        <v>69839</v>
      </c>
      <c r="H12255" t="s">
        <v>561</v>
      </c>
      <c r="I12255" s="151" t="s">
        <v>562</v>
      </c>
    </row>
    <row r="12256" spans="1:9" x14ac:dyDescent="0.25">
      <c r="A12256" s="151">
        <v>1834</v>
      </c>
      <c r="B12256" s="151">
        <f>A12256+1</f>
        <v>1835</v>
      </c>
      <c r="C12256" s="151" t="s">
        <v>540</v>
      </c>
      <c r="D12256" s="151" t="s">
        <v>27</v>
      </c>
      <c r="E12256" s="208" t="s">
        <v>156</v>
      </c>
      <c r="F12256" t="s">
        <v>15</v>
      </c>
      <c r="G12256" s="18">
        <v>8860.5</v>
      </c>
      <c r="H12256" t="s">
        <v>561</v>
      </c>
      <c r="I12256" s="151" t="s">
        <v>562</v>
      </c>
    </row>
    <row r="12257" spans="1:9" x14ac:dyDescent="0.25">
      <c r="A12257" s="151">
        <v>1834</v>
      </c>
      <c r="B12257" s="151">
        <f>A12257+1</f>
        <v>1835</v>
      </c>
      <c r="C12257" s="151" t="s">
        <v>540</v>
      </c>
      <c r="D12257" s="151" t="s">
        <v>27</v>
      </c>
      <c r="E12257" s="208" t="s">
        <v>154</v>
      </c>
      <c r="F12257" t="s">
        <v>15</v>
      </c>
      <c r="G12257" s="18">
        <v>3223.5</v>
      </c>
      <c r="H12257" t="s">
        <v>561</v>
      </c>
      <c r="I12257" s="151" t="s">
        <v>562</v>
      </c>
    </row>
    <row r="12258" spans="1:9" x14ac:dyDescent="0.25">
      <c r="A12258" s="151">
        <v>1834</v>
      </c>
      <c r="B12258" s="151">
        <f>A12258+1</f>
        <v>1835</v>
      </c>
      <c r="C12258" s="151" t="s">
        <v>540</v>
      </c>
      <c r="D12258" s="151" t="s">
        <v>27</v>
      </c>
      <c r="E12258" s="208" t="s">
        <v>150</v>
      </c>
      <c r="F12258" t="s">
        <v>15</v>
      </c>
      <c r="G12258" s="18">
        <v>26380</v>
      </c>
      <c r="H12258" t="s">
        <v>561</v>
      </c>
      <c r="I12258" s="151" t="s">
        <v>562</v>
      </c>
    </row>
    <row r="12259" spans="1:9" x14ac:dyDescent="0.25">
      <c r="A12259" s="151">
        <v>1834</v>
      </c>
      <c r="B12259" s="151">
        <f>A12259+1</f>
        <v>1835</v>
      </c>
      <c r="C12259" s="151" t="s">
        <v>540</v>
      </c>
      <c r="D12259" s="151" t="s">
        <v>27</v>
      </c>
      <c r="E12259" s="208" t="s">
        <v>148</v>
      </c>
      <c r="F12259" t="s">
        <v>15</v>
      </c>
      <c r="G12259" s="18">
        <v>1694</v>
      </c>
      <c r="H12259" t="s">
        <v>561</v>
      </c>
      <c r="I12259" s="151" t="s">
        <v>562</v>
      </c>
    </row>
    <row r="12260" spans="1:9" x14ac:dyDescent="0.25">
      <c r="A12260" s="151">
        <v>1834</v>
      </c>
      <c r="B12260" s="151">
        <f>A12260+1</f>
        <v>1835</v>
      </c>
      <c r="C12260" s="151" t="s">
        <v>540</v>
      </c>
      <c r="D12260" s="151" t="s">
        <v>27</v>
      </c>
      <c r="E12260" s="208" t="s">
        <v>147</v>
      </c>
      <c r="F12260" t="s">
        <v>15</v>
      </c>
      <c r="G12260" s="18">
        <v>820</v>
      </c>
      <c r="H12260" t="s">
        <v>561</v>
      </c>
      <c r="I12260" s="151" t="s">
        <v>562</v>
      </c>
    </row>
    <row r="12261" spans="1:9" x14ac:dyDescent="0.25">
      <c r="A12261" s="151">
        <v>1834</v>
      </c>
      <c r="B12261" s="151">
        <f>A12261+1</f>
        <v>1835</v>
      </c>
      <c r="C12261" s="151" t="s">
        <v>540</v>
      </c>
      <c r="D12261" s="151" t="s">
        <v>27</v>
      </c>
      <c r="E12261" s="208" t="s">
        <v>125</v>
      </c>
      <c r="F12261" t="s">
        <v>15</v>
      </c>
      <c r="G12261" s="18">
        <v>13316</v>
      </c>
      <c r="H12261" t="s">
        <v>561</v>
      </c>
      <c r="I12261" s="151" t="s">
        <v>562</v>
      </c>
    </row>
    <row r="12262" spans="1:9" x14ac:dyDescent="0.25">
      <c r="A12262" s="151">
        <v>1834</v>
      </c>
      <c r="B12262" s="151">
        <f>A12262+1</f>
        <v>1835</v>
      </c>
      <c r="C12262" s="151" t="s">
        <v>540</v>
      </c>
      <c r="D12262" s="151" t="s">
        <v>27</v>
      </c>
      <c r="E12262" s="208" t="s">
        <v>122</v>
      </c>
      <c r="F12262" t="s">
        <v>15</v>
      </c>
      <c r="G12262" s="18">
        <v>3956.5</v>
      </c>
      <c r="H12262" t="s">
        <v>561</v>
      </c>
      <c r="I12262" s="151" t="s">
        <v>562</v>
      </c>
    </row>
    <row r="12263" spans="1:9" x14ac:dyDescent="0.25">
      <c r="A12263" s="151">
        <v>1834</v>
      </c>
      <c r="B12263" s="151">
        <f>A12263+1</f>
        <v>1835</v>
      </c>
      <c r="C12263" s="151" t="s">
        <v>540</v>
      </c>
      <c r="D12263" s="151" t="s">
        <v>27</v>
      </c>
      <c r="E12263" s="208" t="s">
        <v>121</v>
      </c>
      <c r="F12263" t="s">
        <v>15</v>
      </c>
      <c r="G12263" s="18">
        <v>685</v>
      </c>
      <c r="H12263" s="151" t="s">
        <v>563</v>
      </c>
      <c r="I12263" t="s">
        <v>561</v>
      </c>
    </row>
    <row r="12264" spans="1:9" x14ac:dyDescent="0.25">
      <c r="A12264" s="151">
        <v>1834</v>
      </c>
      <c r="B12264" s="151">
        <f>A12264+1</f>
        <v>1835</v>
      </c>
      <c r="C12264" s="151" t="s">
        <v>540</v>
      </c>
      <c r="D12264" s="151" t="s">
        <v>27</v>
      </c>
      <c r="E12264" s="208" t="s">
        <v>123</v>
      </c>
      <c r="F12264" t="s">
        <v>15</v>
      </c>
      <c r="G12264" s="18">
        <v>432</v>
      </c>
      <c r="H12264" s="151" t="s">
        <v>563</v>
      </c>
      <c r="I12264" t="s">
        <v>561</v>
      </c>
    </row>
    <row r="12265" spans="1:9" x14ac:dyDescent="0.25">
      <c r="A12265" s="151">
        <v>1834</v>
      </c>
      <c r="B12265" s="151">
        <f>A12265+1</f>
        <v>1835</v>
      </c>
      <c r="C12265" s="151" t="s">
        <v>540</v>
      </c>
      <c r="D12265" s="151" t="s">
        <v>27</v>
      </c>
      <c r="E12265" s="208" t="s">
        <v>143</v>
      </c>
      <c r="F12265" t="s">
        <v>15</v>
      </c>
      <c r="G12265" s="18">
        <v>369</v>
      </c>
      <c r="H12265" s="151" t="s">
        <v>563</v>
      </c>
      <c r="I12265" t="s">
        <v>561</v>
      </c>
    </row>
    <row r="12266" spans="1:9" x14ac:dyDescent="0.25">
      <c r="A12266" s="151">
        <v>1834</v>
      </c>
      <c r="B12266" s="151">
        <f>A12266+1</f>
        <v>1835</v>
      </c>
      <c r="C12266" s="151" t="s">
        <v>540</v>
      </c>
      <c r="D12266" s="151" t="s">
        <v>27</v>
      </c>
      <c r="E12266" s="208" t="s">
        <v>142</v>
      </c>
      <c r="F12266" t="s">
        <v>15</v>
      </c>
      <c r="G12266" s="18">
        <v>43874</v>
      </c>
      <c r="H12266" s="151" t="s">
        <v>563</v>
      </c>
      <c r="I12266" t="s">
        <v>561</v>
      </c>
    </row>
    <row r="12267" spans="1:9" x14ac:dyDescent="0.25">
      <c r="A12267" s="151">
        <v>1834</v>
      </c>
      <c r="B12267" s="151">
        <f>A12267+1</f>
        <v>1835</v>
      </c>
      <c r="C12267" s="151" t="s">
        <v>540</v>
      </c>
      <c r="D12267" s="151" t="s">
        <v>27</v>
      </c>
      <c r="E12267" s="208" t="s">
        <v>131</v>
      </c>
      <c r="F12267" t="s">
        <v>15</v>
      </c>
      <c r="G12267" s="18">
        <v>4850.5</v>
      </c>
      <c r="H12267" s="151" t="s">
        <v>563</v>
      </c>
      <c r="I12267" t="s">
        <v>561</v>
      </c>
    </row>
    <row r="12268" spans="1:9" x14ac:dyDescent="0.25">
      <c r="A12268" s="151">
        <v>1834</v>
      </c>
      <c r="B12268" s="151">
        <f>A12268+1</f>
        <v>1835</v>
      </c>
      <c r="C12268" s="151" t="s">
        <v>540</v>
      </c>
      <c r="D12268" s="151" t="s">
        <v>27</v>
      </c>
      <c r="E12268" s="208" t="s">
        <v>130</v>
      </c>
      <c r="F12268" t="s">
        <v>15</v>
      </c>
      <c r="G12268" s="18">
        <v>105</v>
      </c>
      <c r="H12268" s="151" t="s">
        <v>563</v>
      </c>
      <c r="I12268" t="s">
        <v>561</v>
      </c>
    </row>
    <row r="12269" spans="1:9" x14ac:dyDescent="0.25">
      <c r="A12269" s="151">
        <v>1834</v>
      </c>
      <c r="B12269" s="151">
        <f>A12269+1</f>
        <v>1835</v>
      </c>
      <c r="C12269" s="151" t="s">
        <v>540</v>
      </c>
      <c r="D12269" s="151" t="s">
        <v>27</v>
      </c>
      <c r="E12269" s="208" t="s">
        <v>139</v>
      </c>
      <c r="F12269" t="s">
        <v>15</v>
      </c>
      <c r="G12269" s="18">
        <v>348</v>
      </c>
      <c r="H12269" s="151" t="s">
        <v>563</v>
      </c>
      <c r="I12269" t="s">
        <v>561</v>
      </c>
    </row>
    <row r="12270" spans="1:9" x14ac:dyDescent="0.25">
      <c r="A12270" s="151">
        <v>1834</v>
      </c>
      <c r="B12270" s="151">
        <f>A12270+1</f>
        <v>1835</v>
      </c>
      <c r="C12270" s="151" t="s">
        <v>540</v>
      </c>
      <c r="D12270" s="151" t="s">
        <v>27</v>
      </c>
      <c r="E12270" s="208" t="s">
        <v>127</v>
      </c>
      <c r="F12270" t="s">
        <v>15</v>
      </c>
      <c r="G12270" s="18">
        <v>1098</v>
      </c>
      <c r="H12270" s="151" t="s">
        <v>563</v>
      </c>
      <c r="I12270" t="s">
        <v>561</v>
      </c>
    </row>
    <row r="12271" spans="1:9" x14ac:dyDescent="0.25">
      <c r="A12271" s="151">
        <v>1834</v>
      </c>
      <c r="B12271" s="151">
        <f>A12271+1</f>
        <v>1835</v>
      </c>
      <c r="C12271" s="151" t="s">
        <v>540</v>
      </c>
      <c r="D12271" s="151" t="s">
        <v>27</v>
      </c>
      <c r="E12271" s="208" t="s">
        <v>133</v>
      </c>
      <c r="F12271" t="s">
        <v>15</v>
      </c>
      <c r="G12271" s="18">
        <v>11375</v>
      </c>
      <c r="H12271" s="151" t="s">
        <v>563</v>
      </c>
      <c r="I12271" t="s">
        <v>561</v>
      </c>
    </row>
    <row r="12272" spans="1:9" x14ac:dyDescent="0.25">
      <c r="A12272" s="151">
        <v>1834</v>
      </c>
      <c r="B12272" s="151">
        <f>A12272+1</f>
        <v>1835</v>
      </c>
      <c r="C12272" s="151" t="s">
        <v>540</v>
      </c>
      <c r="D12272" s="151" t="s">
        <v>27</v>
      </c>
      <c r="E12272" s="208" t="s">
        <v>74</v>
      </c>
      <c r="F12272" t="s">
        <v>15</v>
      </c>
      <c r="G12272" s="18">
        <v>6045</v>
      </c>
      <c r="H12272" s="151" t="s">
        <v>563</v>
      </c>
      <c r="I12272" t="s">
        <v>561</v>
      </c>
    </row>
    <row r="12273" spans="1:9" x14ac:dyDescent="0.25">
      <c r="A12273" s="151">
        <v>1834</v>
      </c>
      <c r="B12273" s="151">
        <f>A12273+1</f>
        <v>1835</v>
      </c>
      <c r="C12273" s="151" t="s">
        <v>540</v>
      </c>
      <c r="D12273" s="151" t="s">
        <v>27</v>
      </c>
      <c r="E12273" s="208" t="s">
        <v>129</v>
      </c>
      <c r="F12273" t="s">
        <v>15</v>
      </c>
      <c r="G12273" s="18">
        <v>1406</v>
      </c>
      <c r="H12273" s="151" t="s">
        <v>563</v>
      </c>
      <c r="I12273" t="s">
        <v>561</v>
      </c>
    </row>
    <row r="12274" spans="1:9" x14ac:dyDescent="0.25">
      <c r="A12274" s="151">
        <v>1834</v>
      </c>
      <c r="B12274" s="151">
        <f>A12274+1</f>
        <v>1835</v>
      </c>
      <c r="C12274" s="151" t="s">
        <v>540</v>
      </c>
      <c r="D12274" s="151" t="s">
        <v>27</v>
      </c>
      <c r="E12274" s="208" t="s">
        <v>141</v>
      </c>
      <c r="F12274" t="s">
        <v>15</v>
      </c>
      <c r="G12274" s="18">
        <v>922</v>
      </c>
      <c r="H12274" s="151" t="s">
        <v>563</v>
      </c>
      <c r="I12274" t="s">
        <v>561</v>
      </c>
    </row>
    <row r="12275" spans="1:9" x14ac:dyDescent="0.25">
      <c r="A12275" s="151">
        <v>1834</v>
      </c>
      <c r="B12275" s="151">
        <f>A12275+1</f>
        <v>1835</v>
      </c>
      <c r="C12275" s="151" t="s">
        <v>540</v>
      </c>
      <c r="D12275" s="151" t="s">
        <v>27</v>
      </c>
      <c r="E12275" s="208" t="s">
        <v>135</v>
      </c>
      <c r="F12275" t="s">
        <v>15</v>
      </c>
      <c r="G12275" s="18">
        <v>258</v>
      </c>
      <c r="H12275" s="151" t="s">
        <v>563</v>
      </c>
      <c r="I12275" t="s">
        <v>561</v>
      </c>
    </row>
    <row r="12276" spans="1:9" x14ac:dyDescent="0.25">
      <c r="A12276" s="151">
        <v>1834</v>
      </c>
      <c r="B12276" s="151">
        <f>A12276+1</f>
        <v>1835</v>
      </c>
      <c r="C12276" s="151" t="s">
        <v>540</v>
      </c>
      <c r="D12276" s="151" t="s">
        <v>27</v>
      </c>
      <c r="E12276" s="208" t="s">
        <v>128</v>
      </c>
      <c r="F12276" t="s">
        <v>15</v>
      </c>
      <c r="G12276" s="18">
        <v>778</v>
      </c>
      <c r="H12276" s="151" t="s">
        <v>563</v>
      </c>
      <c r="I12276" t="s">
        <v>561</v>
      </c>
    </row>
    <row r="12277" spans="1:9" x14ac:dyDescent="0.25">
      <c r="A12277" s="151">
        <v>1834</v>
      </c>
      <c r="B12277" s="151">
        <f>A12277+1</f>
        <v>1835</v>
      </c>
      <c r="C12277" s="151" t="s">
        <v>540</v>
      </c>
      <c r="D12277" s="151" t="s">
        <v>27</v>
      </c>
      <c r="E12277" s="208" t="s">
        <v>78</v>
      </c>
      <c r="F12277" t="s">
        <v>15</v>
      </c>
      <c r="G12277" s="18">
        <v>1638</v>
      </c>
      <c r="H12277" s="151" t="s">
        <v>563</v>
      </c>
      <c r="I12277" t="s">
        <v>561</v>
      </c>
    </row>
    <row r="12278" spans="1:9" x14ac:dyDescent="0.25">
      <c r="A12278" s="151">
        <v>1834</v>
      </c>
      <c r="B12278" s="151">
        <f>A12278+1</f>
        <v>1835</v>
      </c>
      <c r="C12278" s="151" t="s">
        <v>540</v>
      </c>
      <c r="D12278" s="151" t="s">
        <v>27</v>
      </c>
      <c r="E12278" s="208" t="s">
        <v>119</v>
      </c>
      <c r="F12278" t="s">
        <v>15</v>
      </c>
      <c r="G12278" s="18">
        <v>2902</v>
      </c>
      <c r="H12278" s="151" t="s">
        <v>563</v>
      </c>
      <c r="I12278" t="s">
        <v>561</v>
      </c>
    </row>
    <row r="12279" spans="1:9" x14ac:dyDescent="0.25">
      <c r="A12279" s="151">
        <v>1834</v>
      </c>
      <c r="B12279" s="151">
        <f>A12279+1</f>
        <v>1835</v>
      </c>
      <c r="C12279" s="151" t="s">
        <v>540</v>
      </c>
      <c r="D12279" s="151" t="s">
        <v>27</v>
      </c>
      <c r="E12279" s="208" t="s">
        <v>134</v>
      </c>
      <c r="F12279" t="s">
        <v>15</v>
      </c>
      <c r="G12279" s="18">
        <v>26316</v>
      </c>
      <c r="H12279" s="151" t="s">
        <v>563</v>
      </c>
      <c r="I12279" t="s">
        <v>561</v>
      </c>
    </row>
    <row r="12280" spans="1:9" x14ac:dyDescent="0.25">
      <c r="A12280" s="151">
        <v>1834</v>
      </c>
      <c r="B12280" s="151">
        <f>A12280+1</f>
        <v>1835</v>
      </c>
      <c r="C12280" s="151" t="s">
        <v>540</v>
      </c>
      <c r="D12280" s="151" t="s">
        <v>26</v>
      </c>
      <c r="E12280" s="208" t="s">
        <v>63</v>
      </c>
      <c r="F12280" t="s">
        <v>15</v>
      </c>
      <c r="G12280" s="18">
        <v>950.5</v>
      </c>
      <c r="H12280" s="151" t="s">
        <v>563</v>
      </c>
      <c r="I12280" t="s">
        <v>561</v>
      </c>
    </row>
    <row r="12281" spans="1:9" x14ac:dyDescent="0.25">
      <c r="A12281" s="151">
        <v>1834</v>
      </c>
      <c r="B12281" s="151">
        <f>A12281+1</f>
        <v>1835</v>
      </c>
      <c r="C12281" s="151" t="s">
        <v>540</v>
      </c>
      <c r="D12281" s="151" t="s">
        <v>26</v>
      </c>
      <c r="E12281" s="208" t="s">
        <v>62</v>
      </c>
      <c r="F12281" t="s">
        <v>15</v>
      </c>
      <c r="G12281" s="18">
        <v>80545.5</v>
      </c>
      <c r="H12281" s="151" t="s">
        <v>563</v>
      </c>
      <c r="I12281" t="s">
        <v>561</v>
      </c>
    </row>
    <row r="12282" spans="1:9" x14ac:dyDescent="0.25">
      <c r="A12282" s="151">
        <v>1834</v>
      </c>
      <c r="B12282" s="151">
        <f>A12282+1</f>
        <v>1835</v>
      </c>
      <c r="C12282" s="151" t="s">
        <v>540</v>
      </c>
      <c r="D12282" s="151" t="s">
        <v>26</v>
      </c>
      <c r="E12282" s="208" t="s">
        <v>55</v>
      </c>
      <c r="F12282" t="s">
        <v>15</v>
      </c>
      <c r="G12282" s="18">
        <v>7943</v>
      </c>
      <c r="H12282" s="151" t="s">
        <v>563</v>
      </c>
      <c r="I12282" t="s">
        <v>561</v>
      </c>
    </row>
    <row r="12283" spans="1:9" x14ac:dyDescent="0.25">
      <c r="A12283" s="151">
        <v>1834</v>
      </c>
      <c r="B12283" s="151">
        <f>A12283+1</f>
        <v>1835</v>
      </c>
      <c r="C12283" s="151" t="s">
        <v>540</v>
      </c>
      <c r="D12283" s="151" t="s">
        <v>26</v>
      </c>
      <c r="E12283" s="208" t="s">
        <v>36</v>
      </c>
      <c r="F12283" t="s">
        <v>15</v>
      </c>
      <c r="G12283" s="18">
        <v>6159.5</v>
      </c>
      <c r="H12283" s="151" t="s">
        <v>563</v>
      </c>
      <c r="I12283" t="s">
        <v>561</v>
      </c>
    </row>
    <row r="12284" spans="1:9" x14ac:dyDescent="0.25">
      <c r="A12284" s="151">
        <v>1834</v>
      </c>
      <c r="B12284" s="151">
        <f>A12284+1</f>
        <v>1835</v>
      </c>
      <c r="C12284" s="151" t="s">
        <v>540</v>
      </c>
      <c r="D12284" s="151" t="s">
        <v>26</v>
      </c>
      <c r="E12284" s="208" t="s">
        <v>40</v>
      </c>
      <c r="F12284" t="s">
        <v>15</v>
      </c>
      <c r="G12284" s="18">
        <v>210672</v>
      </c>
      <c r="H12284" s="151" t="s">
        <v>563</v>
      </c>
      <c r="I12284" t="s">
        <v>561</v>
      </c>
    </row>
    <row r="12285" spans="1:9" x14ac:dyDescent="0.25">
      <c r="A12285" s="151">
        <v>1834</v>
      </c>
      <c r="B12285" s="151">
        <f>A12285+1</f>
        <v>1835</v>
      </c>
      <c r="C12285" s="151" t="s">
        <v>540</v>
      </c>
      <c r="D12285" s="151" t="s">
        <v>26</v>
      </c>
      <c r="E12285" s="208" t="s">
        <v>96</v>
      </c>
      <c r="F12285" t="s">
        <v>15</v>
      </c>
      <c r="G12285" s="18">
        <v>8568.5</v>
      </c>
      <c r="H12285" s="151" t="s">
        <v>563</v>
      </c>
      <c r="I12285" t="s">
        <v>561</v>
      </c>
    </row>
    <row r="12286" spans="1:9" x14ac:dyDescent="0.25">
      <c r="A12286" s="151">
        <v>1834</v>
      </c>
      <c r="B12286" s="151">
        <f>A12286+1</f>
        <v>1835</v>
      </c>
      <c r="C12286" s="151" t="s">
        <v>540</v>
      </c>
      <c r="D12286" s="151" t="s">
        <v>26</v>
      </c>
      <c r="E12286" s="208" t="s">
        <v>98</v>
      </c>
      <c r="F12286" t="s">
        <v>15</v>
      </c>
      <c r="G12286" s="18">
        <v>14571</v>
      </c>
      <c r="H12286" s="151" t="s">
        <v>563</v>
      </c>
      <c r="I12286" t="s">
        <v>16</v>
      </c>
    </row>
    <row r="12287" spans="1:9" x14ac:dyDescent="0.25">
      <c r="A12287" s="151">
        <v>1834</v>
      </c>
      <c r="B12287" s="151">
        <f>A12287+1</f>
        <v>1835</v>
      </c>
      <c r="C12287" s="151" t="s">
        <v>540</v>
      </c>
      <c r="D12287" s="151" t="s">
        <v>26</v>
      </c>
      <c r="E12287" s="208" t="s">
        <v>35</v>
      </c>
      <c r="F12287" t="s">
        <v>15</v>
      </c>
      <c r="G12287" s="18">
        <v>2372850</v>
      </c>
      <c r="H12287" s="151" t="s">
        <v>563</v>
      </c>
      <c r="I12287" t="s">
        <v>17</v>
      </c>
    </row>
    <row r="12288" spans="1:9" x14ac:dyDescent="0.25">
      <c r="A12288" s="151">
        <v>1834</v>
      </c>
      <c r="B12288" s="151">
        <f>A12288+1</f>
        <v>1835</v>
      </c>
      <c r="C12288" s="151" t="s">
        <v>540</v>
      </c>
      <c r="D12288" s="151" t="s">
        <v>26</v>
      </c>
      <c r="E12288" s="208" t="s">
        <v>442</v>
      </c>
      <c r="F12288" t="s">
        <v>15</v>
      </c>
      <c r="G12288" s="18">
        <v>25923</v>
      </c>
      <c r="H12288" s="151" t="s">
        <v>563</v>
      </c>
      <c r="I12288" t="s">
        <v>561</v>
      </c>
    </row>
    <row r="12289" spans="1:9" x14ac:dyDescent="0.25">
      <c r="A12289" s="151">
        <v>1834</v>
      </c>
      <c r="B12289" s="151">
        <f>A12289+1</f>
        <v>1835</v>
      </c>
      <c r="C12289" s="151" t="s">
        <v>540</v>
      </c>
      <c r="D12289" s="151" t="s">
        <v>26</v>
      </c>
      <c r="E12289" s="208" t="s">
        <v>105</v>
      </c>
      <c r="F12289" t="s">
        <v>15</v>
      </c>
      <c r="G12289" s="18">
        <v>2367114</v>
      </c>
      <c r="H12289" s="151" t="s">
        <v>563</v>
      </c>
      <c r="I12289" t="s">
        <v>16</v>
      </c>
    </row>
    <row r="12290" spans="1:9" x14ac:dyDescent="0.25">
      <c r="A12290" s="151">
        <v>1834</v>
      </c>
      <c r="B12290" s="151">
        <f>A12290+1</f>
        <v>1835</v>
      </c>
      <c r="C12290" s="151" t="s">
        <v>540</v>
      </c>
      <c r="D12290" s="151" t="s">
        <v>26</v>
      </c>
      <c r="E12290" s="208" t="s">
        <v>106</v>
      </c>
      <c r="F12290" t="s">
        <v>15</v>
      </c>
      <c r="G12290" s="18">
        <v>1370524</v>
      </c>
      <c r="H12290" s="151" t="s">
        <v>563</v>
      </c>
      <c r="I12290" t="s">
        <v>17</v>
      </c>
    </row>
    <row r="12291" spans="1:9" x14ac:dyDescent="0.25">
      <c r="A12291" s="151">
        <v>1834</v>
      </c>
      <c r="B12291" s="151">
        <f>A12291+1</f>
        <v>1835</v>
      </c>
      <c r="C12291" s="151" t="s">
        <v>540</v>
      </c>
      <c r="D12291" s="151" t="s">
        <v>26</v>
      </c>
      <c r="E12291" s="208" t="s">
        <v>101</v>
      </c>
      <c r="F12291" t="s">
        <v>15</v>
      </c>
      <c r="G12291" s="18">
        <v>5469194</v>
      </c>
      <c r="H12291" s="151" t="s">
        <v>563</v>
      </c>
      <c r="I12291" t="s">
        <v>561</v>
      </c>
    </row>
    <row r="12292" spans="1:9" x14ac:dyDescent="0.25">
      <c r="A12292" s="151">
        <v>1834</v>
      </c>
      <c r="B12292" s="151">
        <f>A12292+1</f>
        <v>1835</v>
      </c>
      <c r="C12292" s="151" t="s">
        <v>540</v>
      </c>
      <c r="D12292" s="151" t="s">
        <v>26</v>
      </c>
      <c r="E12292" s="208" t="s">
        <v>75</v>
      </c>
      <c r="F12292" t="s">
        <v>15</v>
      </c>
      <c r="G12292" s="18">
        <v>6248776</v>
      </c>
      <c r="H12292" s="151" t="s">
        <v>563</v>
      </c>
      <c r="I12292" t="s">
        <v>16</v>
      </c>
    </row>
    <row r="12293" spans="1:9" x14ac:dyDescent="0.25">
      <c r="A12293" s="151">
        <v>1834</v>
      </c>
      <c r="B12293" s="151">
        <f>A12293+1</f>
        <v>1835</v>
      </c>
      <c r="C12293" s="151" t="s">
        <v>540</v>
      </c>
      <c r="D12293" s="151" t="s">
        <v>26</v>
      </c>
      <c r="E12293" s="208" t="s">
        <v>66</v>
      </c>
      <c r="F12293" t="s">
        <v>15</v>
      </c>
      <c r="G12293" s="18">
        <v>685423</v>
      </c>
      <c r="H12293" s="151" t="s">
        <v>563</v>
      </c>
      <c r="I12293" t="s">
        <v>17</v>
      </c>
    </row>
    <row r="12294" spans="1:9" x14ac:dyDescent="0.25">
      <c r="A12294" s="151">
        <v>1834</v>
      </c>
      <c r="B12294" s="151">
        <f>A12294+1</f>
        <v>1835</v>
      </c>
      <c r="C12294" s="151" t="s">
        <v>540</v>
      </c>
      <c r="D12294" s="151" t="s">
        <v>26</v>
      </c>
      <c r="E12294" s="208" t="s">
        <v>28</v>
      </c>
      <c r="F12294" t="s">
        <v>15</v>
      </c>
      <c r="G12294" s="18">
        <v>2672.25</v>
      </c>
      <c r="H12294" s="151" t="s">
        <v>563</v>
      </c>
      <c r="I12294" t="s">
        <v>561</v>
      </c>
    </row>
    <row r="12295" spans="1:9" x14ac:dyDescent="0.25">
      <c r="A12295" s="151">
        <v>1834</v>
      </c>
      <c r="B12295" s="151">
        <f>A12295+1</f>
        <v>1835</v>
      </c>
      <c r="C12295" s="151" t="s">
        <v>540</v>
      </c>
      <c r="D12295" s="151" t="s">
        <v>26</v>
      </c>
      <c r="E12295" s="208" t="s">
        <v>89</v>
      </c>
      <c r="F12295" t="s">
        <v>15</v>
      </c>
      <c r="G12295" s="18">
        <v>8212</v>
      </c>
      <c r="H12295" s="151" t="s">
        <v>563</v>
      </c>
      <c r="I12295" t="s">
        <v>16</v>
      </c>
    </row>
    <row r="12296" spans="1:9" x14ac:dyDescent="0.25">
      <c r="A12296" s="151">
        <v>1834</v>
      </c>
      <c r="B12296" s="151">
        <f>A12296+1</f>
        <v>1835</v>
      </c>
      <c r="C12296" s="151" t="s">
        <v>540</v>
      </c>
      <c r="D12296" s="151" t="s">
        <v>26</v>
      </c>
      <c r="E12296" s="208" t="s">
        <v>45</v>
      </c>
      <c r="F12296" t="s">
        <v>15</v>
      </c>
      <c r="G12296" s="18">
        <v>12354</v>
      </c>
      <c r="H12296" s="151" t="s">
        <v>563</v>
      </c>
      <c r="I12296" t="s">
        <v>17</v>
      </c>
    </row>
    <row r="12297" spans="1:9" x14ac:dyDescent="0.25">
      <c r="A12297" s="151">
        <v>1834</v>
      </c>
      <c r="B12297" s="151">
        <f>A12297+1</f>
        <v>1835</v>
      </c>
      <c r="C12297" s="151" t="s">
        <v>540</v>
      </c>
      <c r="D12297" s="151" t="s">
        <v>26</v>
      </c>
      <c r="E12297" s="208" t="s">
        <v>48</v>
      </c>
      <c r="F12297" t="s">
        <v>15</v>
      </c>
      <c r="G12297" s="18">
        <v>9154</v>
      </c>
      <c r="H12297" s="151" t="s">
        <v>563</v>
      </c>
      <c r="I12297" t="s">
        <v>561</v>
      </c>
    </row>
    <row r="12298" spans="1:9" x14ac:dyDescent="0.25">
      <c r="A12298" s="151">
        <v>1834</v>
      </c>
      <c r="B12298" s="151">
        <f>A12298+1</f>
        <v>1835</v>
      </c>
      <c r="C12298" s="151" t="s">
        <v>540</v>
      </c>
      <c r="D12298" s="151" t="s">
        <v>26</v>
      </c>
      <c r="E12298" s="208" t="s">
        <v>102</v>
      </c>
      <c r="F12298" t="s">
        <v>15</v>
      </c>
      <c r="G12298" s="18">
        <v>23213.5</v>
      </c>
      <c r="H12298" s="151" t="s">
        <v>563</v>
      </c>
      <c r="I12298" t="s">
        <v>16</v>
      </c>
    </row>
    <row r="12299" spans="1:9" x14ac:dyDescent="0.25">
      <c r="A12299" s="151">
        <v>1834</v>
      </c>
      <c r="B12299" s="151">
        <f>A12299+1</f>
        <v>1835</v>
      </c>
      <c r="C12299" s="151" t="s">
        <v>540</v>
      </c>
      <c r="D12299" s="151" t="s">
        <v>26</v>
      </c>
      <c r="E12299" s="208" t="s">
        <v>330</v>
      </c>
      <c r="F12299" t="s">
        <v>15</v>
      </c>
      <c r="G12299" s="18">
        <v>663</v>
      </c>
      <c r="H12299" s="151" t="s">
        <v>563</v>
      </c>
      <c r="I12299" t="s">
        <v>17</v>
      </c>
    </row>
    <row r="12300" spans="1:9" x14ac:dyDescent="0.25">
      <c r="A12300" s="151">
        <v>1834</v>
      </c>
      <c r="B12300" s="151">
        <f>A12300+1</f>
        <v>1835</v>
      </c>
      <c r="C12300" s="151" t="s">
        <v>540</v>
      </c>
      <c r="D12300" s="151" t="s">
        <v>26</v>
      </c>
      <c r="E12300" s="208" t="s">
        <v>331</v>
      </c>
      <c r="F12300" t="s">
        <v>15</v>
      </c>
      <c r="G12300" s="18">
        <v>57</v>
      </c>
      <c r="H12300" s="151" t="s">
        <v>563</v>
      </c>
      <c r="I12300" t="s">
        <v>561</v>
      </c>
    </row>
    <row r="12301" spans="1:9" x14ac:dyDescent="0.25">
      <c r="A12301" s="151">
        <v>1834</v>
      </c>
      <c r="B12301" s="151">
        <f>A12301+1</f>
        <v>1835</v>
      </c>
      <c r="C12301" s="151" t="s">
        <v>540</v>
      </c>
      <c r="D12301" s="151" t="s">
        <v>26</v>
      </c>
      <c r="E12301" s="208" t="s">
        <v>332</v>
      </c>
      <c r="F12301" t="s">
        <v>15</v>
      </c>
      <c r="G12301" s="18">
        <v>328</v>
      </c>
      <c r="H12301" t="s">
        <v>16</v>
      </c>
      <c r="I12301" s="151" t="s">
        <v>562</v>
      </c>
    </row>
    <row r="12302" spans="1:9" x14ac:dyDescent="0.25">
      <c r="A12302" s="151">
        <v>1834</v>
      </c>
      <c r="B12302" s="151">
        <f>A12302+1</f>
        <v>1835</v>
      </c>
      <c r="C12302" s="151" t="s">
        <v>540</v>
      </c>
      <c r="D12302" s="151" t="s">
        <v>26</v>
      </c>
      <c r="E12302" s="208" t="s">
        <v>333</v>
      </c>
      <c r="F12302" t="s">
        <v>15</v>
      </c>
      <c r="G12302" s="18">
        <v>46</v>
      </c>
      <c r="H12302" t="s">
        <v>16</v>
      </c>
      <c r="I12302" s="151" t="s">
        <v>562</v>
      </c>
    </row>
    <row r="12303" spans="1:9" x14ac:dyDescent="0.25">
      <c r="A12303" s="151">
        <v>1834</v>
      </c>
      <c r="B12303" s="151">
        <f>A12303+1</f>
        <v>1835</v>
      </c>
      <c r="C12303" s="151" t="s">
        <v>540</v>
      </c>
      <c r="D12303" s="151" t="s">
        <v>26</v>
      </c>
      <c r="E12303" s="208" t="s">
        <v>566</v>
      </c>
      <c r="F12303" t="s">
        <v>7</v>
      </c>
      <c r="G12303" s="18">
        <v>202</v>
      </c>
      <c r="H12303" t="s">
        <v>16</v>
      </c>
      <c r="I12303" s="151" t="s">
        <v>562</v>
      </c>
    </row>
    <row r="12304" spans="1:9" x14ac:dyDescent="0.25">
      <c r="A12304" s="151">
        <v>1834</v>
      </c>
      <c r="B12304" s="151">
        <f>A12304+1</f>
        <v>1835</v>
      </c>
      <c r="C12304" s="151" t="s">
        <v>540</v>
      </c>
      <c r="D12304" s="151" t="s">
        <v>26</v>
      </c>
      <c r="E12304" s="208" t="s">
        <v>566</v>
      </c>
      <c r="F12304" t="s">
        <v>14</v>
      </c>
      <c r="G12304" s="18">
        <v>4031</v>
      </c>
      <c r="H12304" t="s">
        <v>16</v>
      </c>
      <c r="I12304" s="151" t="s">
        <v>562</v>
      </c>
    </row>
    <row r="12305" spans="1:9" x14ac:dyDescent="0.25">
      <c r="A12305" s="151">
        <v>1834</v>
      </c>
      <c r="B12305" s="151">
        <f>A12305+1</f>
        <v>1835</v>
      </c>
      <c r="C12305" s="151" t="s">
        <v>540</v>
      </c>
      <c r="D12305" s="151" t="s">
        <v>26</v>
      </c>
      <c r="E12305" s="208" t="s">
        <v>566</v>
      </c>
      <c r="F12305" t="s">
        <v>15</v>
      </c>
      <c r="G12305" s="18">
        <v>4233</v>
      </c>
      <c r="H12305" t="s">
        <v>16</v>
      </c>
      <c r="I12305" s="151" t="s">
        <v>562</v>
      </c>
    </row>
    <row r="12306" spans="1:9" x14ac:dyDescent="0.25">
      <c r="A12306" s="151">
        <v>1835</v>
      </c>
      <c r="B12306" s="151">
        <f>A12306+1</f>
        <v>1836</v>
      </c>
      <c r="C12306" s="151" t="s">
        <v>541</v>
      </c>
      <c r="D12306" s="151" t="s">
        <v>26</v>
      </c>
      <c r="E12306" s="208" t="s">
        <v>572</v>
      </c>
      <c r="F12306" t="s">
        <v>7</v>
      </c>
      <c r="G12306" s="18">
        <v>5032</v>
      </c>
      <c r="H12306" t="s">
        <v>16</v>
      </c>
      <c r="I12306" s="151" t="s">
        <v>562</v>
      </c>
    </row>
    <row r="12307" spans="1:9" x14ac:dyDescent="0.25">
      <c r="A12307" s="151">
        <v>1835</v>
      </c>
      <c r="B12307" s="151">
        <f>A12307+1</f>
        <v>1836</v>
      </c>
      <c r="C12307" s="151" t="s">
        <v>541</v>
      </c>
      <c r="D12307" s="151" t="s">
        <v>26</v>
      </c>
      <c r="E12307" s="208" t="s">
        <v>572</v>
      </c>
      <c r="F12307" t="s">
        <v>14</v>
      </c>
      <c r="G12307" s="18">
        <v>2653</v>
      </c>
      <c r="H12307" t="s">
        <v>16</v>
      </c>
      <c r="I12307" s="151" t="s">
        <v>562</v>
      </c>
    </row>
    <row r="12308" spans="1:9" x14ac:dyDescent="0.25">
      <c r="A12308" s="151">
        <v>1835</v>
      </c>
      <c r="B12308" s="151">
        <f>A12308+1</f>
        <v>1836</v>
      </c>
      <c r="C12308" s="151" t="s">
        <v>541</v>
      </c>
      <c r="D12308" s="151" t="s">
        <v>26</v>
      </c>
      <c r="E12308" s="208" t="s">
        <v>572</v>
      </c>
      <c r="F12308" t="s">
        <v>15</v>
      </c>
      <c r="G12308" s="18">
        <v>7685</v>
      </c>
      <c r="H12308" t="s">
        <v>16</v>
      </c>
      <c r="I12308" s="151" t="s">
        <v>562</v>
      </c>
    </row>
    <row r="12309" spans="1:9" x14ac:dyDescent="0.25">
      <c r="A12309" s="151">
        <v>1835</v>
      </c>
      <c r="B12309" s="151">
        <f>A12309+1</f>
        <v>1836</v>
      </c>
      <c r="C12309" s="151" t="s">
        <v>541</v>
      </c>
      <c r="D12309" s="151" t="s">
        <v>26</v>
      </c>
      <c r="E12309" s="208" t="s">
        <v>571</v>
      </c>
      <c r="F12309" t="s">
        <v>7</v>
      </c>
      <c r="G12309" s="18">
        <v>4467</v>
      </c>
      <c r="H12309" t="s">
        <v>16</v>
      </c>
      <c r="I12309" s="151" t="s">
        <v>562</v>
      </c>
    </row>
    <row r="12310" spans="1:9" x14ac:dyDescent="0.25">
      <c r="A12310" s="151">
        <v>1835</v>
      </c>
      <c r="B12310" s="151">
        <f>A12310+1</f>
        <v>1836</v>
      </c>
      <c r="C12310" s="151" t="s">
        <v>541</v>
      </c>
      <c r="D12310" s="151" t="s">
        <v>26</v>
      </c>
      <c r="E12310" s="208" t="s">
        <v>571</v>
      </c>
      <c r="F12310" t="s">
        <v>14</v>
      </c>
      <c r="G12310" s="18">
        <v>1993</v>
      </c>
      <c r="H12310" t="s">
        <v>16</v>
      </c>
      <c r="I12310" s="151" t="s">
        <v>562</v>
      </c>
    </row>
    <row r="12311" spans="1:9" x14ac:dyDescent="0.25">
      <c r="A12311" s="151">
        <v>1835</v>
      </c>
      <c r="B12311" s="151">
        <f>A12311+1</f>
        <v>1836</v>
      </c>
      <c r="C12311" s="151" t="s">
        <v>541</v>
      </c>
      <c r="D12311" s="151" t="s">
        <v>26</v>
      </c>
      <c r="E12311" s="208" t="s">
        <v>571</v>
      </c>
      <c r="F12311" t="s">
        <v>15</v>
      </c>
      <c r="G12311" s="18">
        <v>6460</v>
      </c>
      <c r="H12311" t="s">
        <v>16</v>
      </c>
      <c r="I12311" s="151" t="s">
        <v>562</v>
      </c>
    </row>
    <row r="12312" spans="1:9" x14ac:dyDescent="0.25">
      <c r="A12312" s="151">
        <v>1835</v>
      </c>
      <c r="B12312" s="151">
        <f>A12312+1</f>
        <v>1836</v>
      </c>
      <c r="C12312" s="151" t="s">
        <v>541</v>
      </c>
      <c r="D12312" s="151" t="s">
        <v>26</v>
      </c>
      <c r="E12312" s="208" t="s">
        <v>567</v>
      </c>
      <c r="F12312" t="s">
        <v>7</v>
      </c>
      <c r="G12312" s="18">
        <v>21390</v>
      </c>
      <c r="H12312" t="s">
        <v>16</v>
      </c>
      <c r="I12312" s="151" t="s">
        <v>562</v>
      </c>
    </row>
    <row r="12313" spans="1:9" x14ac:dyDescent="0.25">
      <c r="A12313" s="151">
        <v>1835</v>
      </c>
      <c r="B12313" s="151">
        <f>A12313+1</f>
        <v>1836</v>
      </c>
      <c r="C12313" s="151" t="s">
        <v>541</v>
      </c>
      <c r="D12313" s="151" t="s">
        <v>26</v>
      </c>
      <c r="E12313" s="208" t="s">
        <v>567</v>
      </c>
      <c r="F12313" t="s">
        <v>14</v>
      </c>
      <c r="G12313" s="18">
        <v>24089</v>
      </c>
      <c r="H12313" t="s">
        <v>16</v>
      </c>
      <c r="I12313" s="151" t="s">
        <v>562</v>
      </c>
    </row>
    <row r="12314" spans="1:9" x14ac:dyDescent="0.25">
      <c r="A12314" s="151">
        <v>1835</v>
      </c>
      <c r="B12314" s="151">
        <f>A12314+1</f>
        <v>1836</v>
      </c>
      <c r="C12314" s="151" t="s">
        <v>541</v>
      </c>
      <c r="D12314" s="151" t="s">
        <v>26</v>
      </c>
      <c r="E12314" s="208" t="s">
        <v>567</v>
      </c>
      <c r="F12314" t="s">
        <v>15</v>
      </c>
      <c r="G12314" s="18">
        <v>45479</v>
      </c>
      <c r="H12314" t="s">
        <v>16</v>
      </c>
      <c r="I12314" s="151" t="s">
        <v>562</v>
      </c>
    </row>
    <row r="12315" spans="1:9" x14ac:dyDescent="0.25">
      <c r="A12315" s="151">
        <v>1835</v>
      </c>
      <c r="B12315" s="151">
        <f>A12315+1</f>
        <v>1836</v>
      </c>
      <c r="C12315" s="151" t="s">
        <v>541</v>
      </c>
      <c r="D12315" s="151" t="s">
        <v>26</v>
      </c>
      <c r="E12315" s="208" t="s">
        <v>568</v>
      </c>
      <c r="F12315" t="s">
        <v>7</v>
      </c>
      <c r="G12315" s="18">
        <v>386</v>
      </c>
      <c r="H12315" t="s">
        <v>16</v>
      </c>
      <c r="I12315" s="151" t="s">
        <v>562</v>
      </c>
    </row>
    <row r="12316" spans="1:9" x14ac:dyDescent="0.25">
      <c r="A12316" s="151">
        <v>1835</v>
      </c>
      <c r="B12316" s="151">
        <f>A12316+1</f>
        <v>1836</v>
      </c>
      <c r="C12316" s="151" t="s">
        <v>541</v>
      </c>
      <c r="D12316" s="151" t="s">
        <v>26</v>
      </c>
      <c r="E12316" s="208" t="s">
        <v>568</v>
      </c>
      <c r="F12316" t="s">
        <v>14</v>
      </c>
      <c r="G12316" s="18">
        <v>509</v>
      </c>
      <c r="H12316" t="s">
        <v>16</v>
      </c>
      <c r="I12316" s="151" t="s">
        <v>562</v>
      </c>
    </row>
    <row r="12317" spans="1:9" x14ac:dyDescent="0.25">
      <c r="A12317" s="151">
        <v>1835</v>
      </c>
      <c r="B12317" s="151">
        <f>A12317+1</f>
        <v>1836</v>
      </c>
      <c r="C12317" s="151" t="s">
        <v>541</v>
      </c>
      <c r="D12317" s="151" t="s">
        <v>26</v>
      </c>
      <c r="E12317" s="208" t="s">
        <v>568</v>
      </c>
      <c r="F12317" t="s">
        <v>15</v>
      </c>
      <c r="G12317" s="18">
        <v>895</v>
      </c>
      <c r="H12317" t="s">
        <v>16</v>
      </c>
      <c r="I12317" s="151" t="s">
        <v>562</v>
      </c>
    </row>
    <row r="12318" spans="1:9" x14ac:dyDescent="0.25">
      <c r="A12318" s="151">
        <v>1835</v>
      </c>
      <c r="B12318" s="151">
        <f>A12318+1</f>
        <v>1836</v>
      </c>
      <c r="C12318" s="151" t="s">
        <v>541</v>
      </c>
      <c r="D12318" s="151" t="s">
        <v>27</v>
      </c>
      <c r="E12318" s="208" t="s">
        <v>155</v>
      </c>
      <c r="F12318" t="s">
        <v>7</v>
      </c>
      <c r="G12318" s="18">
        <v>16925</v>
      </c>
      <c r="H12318" t="s">
        <v>16</v>
      </c>
      <c r="I12318" s="151" t="s">
        <v>562</v>
      </c>
    </row>
    <row r="12319" spans="1:9" x14ac:dyDescent="0.25">
      <c r="A12319" s="151">
        <v>1835</v>
      </c>
      <c r="B12319" s="151">
        <f>A12319+1</f>
        <v>1836</v>
      </c>
      <c r="C12319" s="151" t="s">
        <v>541</v>
      </c>
      <c r="D12319" s="151" t="s">
        <v>27</v>
      </c>
      <c r="E12319" s="208" t="s">
        <v>156</v>
      </c>
      <c r="F12319" t="s">
        <v>7</v>
      </c>
      <c r="G12319" s="18">
        <v>1436</v>
      </c>
      <c r="H12319" t="s">
        <v>16</v>
      </c>
      <c r="I12319" s="151" t="s">
        <v>562</v>
      </c>
    </row>
    <row r="12320" spans="1:9" x14ac:dyDescent="0.25">
      <c r="A12320" s="151">
        <v>1835</v>
      </c>
      <c r="B12320" s="151">
        <f>A12320+1</f>
        <v>1836</v>
      </c>
      <c r="C12320" s="151" t="s">
        <v>541</v>
      </c>
      <c r="D12320" s="151" t="s">
        <v>27</v>
      </c>
      <c r="E12320" s="208" t="s">
        <v>154</v>
      </c>
      <c r="F12320" t="s">
        <v>7</v>
      </c>
      <c r="G12320" s="18">
        <v>2356</v>
      </c>
      <c r="H12320" t="s">
        <v>16</v>
      </c>
      <c r="I12320" s="151" t="s">
        <v>562</v>
      </c>
    </row>
    <row r="12321" spans="1:9" x14ac:dyDescent="0.25">
      <c r="A12321" s="151">
        <v>1835</v>
      </c>
      <c r="B12321" s="151">
        <f>A12321+1</f>
        <v>1836</v>
      </c>
      <c r="C12321" s="151" t="s">
        <v>541</v>
      </c>
      <c r="D12321" s="151" t="s">
        <v>27</v>
      </c>
      <c r="E12321" s="208" t="s">
        <v>150</v>
      </c>
      <c r="F12321" t="s">
        <v>7</v>
      </c>
      <c r="G12321" s="18">
        <v>4901</v>
      </c>
      <c r="H12321" t="s">
        <v>16</v>
      </c>
      <c r="I12321" s="151" t="s">
        <v>562</v>
      </c>
    </row>
    <row r="12322" spans="1:9" x14ac:dyDescent="0.25">
      <c r="A12322" s="151">
        <v>1835</v>
      </c>
      <c r="B12322" s="151">
        <f>A12322+1</f>
        <v>1836</v>
      </c>
      <c r="C12322" s="151" t="s">
        <v>541</v>
      </c>
      <c r="D12322" s="151" t="s">
        <v>27</v>
      </c>
      <c r="E12322" s="208" t="s">
        <v>148</v>
      </c>
      <c r="F12322" t="s">
        <v>7</v>
      </c>
      <c r="G12322" s="18">
        <v>268</v>
      </c>
      <c r="H12322" t="s">
        <v>16</v>
      </c>
      <c r="I12322" s="151" t="s">
        <v>562</v>
      </c>
    </row>
    <row r="12323" spans="1:9" x14ac:dyDescent="0.25">
      <c r="A12323" s="151">
        <v>1835</v>
      </c>
      <c r="B12323" s="151">
        <f>A12323+1</f>
        <v>1836</v>
      </c>
      <c r="C12323" s="151" t="s">
        <v>541</v>
      </c>
      <c r="D12323" s="151" t="s">
        <v>27</v>
      </c>
      <c r="E12323" s="208" t="s">
        <v>147</v>
      </c>
      <c r="F12323" t="s">
        <v>7</v>
      </c>
      <c r="G12323" s="18">
        <v>97</v>
      </c>
      <c r="H12323" t="s">
        <v>16</v>
      </c>
      <c r="I12323" s="151" t="s">
        <v>562</v>
      </c>
    </row>
    <row r="12324" spans="1:9" x14ac:dyDescent="0.25">
      <c r="A12324" s="151">
        <v>1835</v>
      </c>
      <c r="B12324" s="151">
        <f>A12324+1</f>
        <v>1836</v>
      </c>
      <c r="C12324" s="151" t="s">
        <v>541</v>
      </c>
      <c r="D12324" s="151" t="s">
        <v>27</v>
      </c>
      <c r="E12324" s="208" t="s">
        <v>125</v>
      </c>
      <c r="F12324" t="s">
        <v>7</v>
      </c>
      <c r="G12324" s="18">
        <v>7093</v>
      </c>
      <c r="H12324" t="s">
        <v>16</v>
      </c>
      <c r="I12324" s="151" t="s">
        <v>562</v>
      </c>
    </row>
    <row r="12325" spans="1:9" x14ac:dyDescent="0.25">
      <c r="A12325" s="151">
        <v>1835</v>
      </c>
      <c r="B12325" s="151">
        <f>A12325+1</f>
        <v>1836</v>
      </c>
      <c r="C12325" s="151" t="s">
        <v>541</v>
      </c>
      <c r="D12325" s="151" t="s">
        <v>27</v>
      </c>
      <c r="E12325" s="208" t="s">
        <v>122</v>
      </c>
      <c r="F12325" t="s">
        <v>7</v>
      </c>
      <c r="G12325" s="18">
        <v>2234</v>
      </c>
      <c r="H12325" t="s">
        <v>16</v>
      </c>
      <c r="I12325" s="151" t="s">
        <v>562</v>
      </c>
    </row>
    <row r="12326" spans="1:9" x14ac:dyDescent="0.25">
      <c r="A12326" s="151">
        <v>1835</v>
      </c>
      <c r="B12326" s="151">
        <f>A12326+1</f>
        <v>1836</v>
      </c>
      <c r="C12326" s="151" t="s">
        <v>541</v>
      </c>
      <c r="D12326" s="151" t="s">
        <v>27</v>
      </c>
      <c r="E12326" s="208" t="s">
        <v>123</v>
      </c>
      <c r="F12326" t="s">
        <v>7</v>
      </c>
      <c r="G12326" s="18">
        <v>194</v>
      </c>
      <c r="H12326" s="151" t="s">
        <v>563</v>
      </c>
      <c r="I12326" t="s">
        <v>16</v>
      </c>
    </row>
    <row r="12327" spans="1:9" x14ac:dyDescent="0.25">
      <c r="A12327" s="151">
        <v>1835</v>
      </c>
      <c r="B12327" s="151">
        <f>A12327+1</f>
        <v>1836</v>
      </c>
      <c r="C12327" s="151" t="s">
        <v>541</v>
      </c>
      <c r="D12327" s="151" t="s">
        <v>27</v>
      </c>
      <c r="E12327" s="208" t="s">
        <v>121</v>
      </c>
      <c r="F12327" t="s">
        <v>7</v>
      </c>
      <c r="G12327" s="18">
        <v>149</v>
      </c>
      <c r="H12327" s="151" t="s">
        <v>563</v>
      </c>
      <c r="I12327" t="s">
        <v>16</v>
      </c>
    </row>
    <row r="12328" spans="1:9" x14ac:dyDescent="0.25">
      <c r="A12328" s="151">
        <v>1835</v>
      </c>
      <c r="B12328" s="151">
        <f>A12328+1</f>
        <v>1836</v>
      </c>
      <c r="C12328" s="151" t="s">
        <v>541</v>
      </c>
      <c r="D12328" s="151" t="s">
        <v>27</v>
      </c>
      <c r="E12328" s="208" t="s">
        <v>139</v>
      </c>
      <c r="F12328" t="s">
        <v>7</v>
      </c>
      <c r="G12328" s="18">
        <v>0</v>
      </c>
      <c r="H12328" s="151" t="s">
        <v>563</v>
      </c>
      <c r="I12328" t="s">
        <v>16</v>
      </c>
    </row>
    <row r="12329" spans="1:9" x14ac:dyDescent="0.25">
      <c r="A12329" s="151">
        <v>1835</v>
      </c>
      <c r="B12329" s="151">
        <f>A12329+1</f>
        <v>1836</v>
      </c>
      <c r="C12329" s="151" t="s">
        <v>541</v>
      </c>
      <c r="D12329" s="151" t="s">
        <v>27</v>
      </c>
      <c r="E12329" s="208" t="s">
        <v>131</v>
      </c>
      <c r="F12329" t="s">
        <v>7</v>
      </c>
      <c r="G12329" s="18">
        <v>267</v>
      </c>
      <c r="H12329" s="151" t="s">
        <v>563</v>
      </c>
      <c r="I12329" t="s">
        <v>16</v>
      </c>
    </row>
    <row r="12330" spans="1:9" x14ac:dyDescent="0.25">
      <c r="A12330" s="151">
        <v>1835</v>
      </c>
      <c r="B12330" s="151">
        <f>A12330+1</f>
        <v>1836</v>
      </c>
      <c r="C12330" s="151" t="s">
        <v>541</v>
      </c>
      <c r="D12330" s="151" t="s">
        <v>27</v>
      </c>
      <c r="E12330" s="208" t="s">
        <v>130</v>
      </c>
      <c r="F12330" t="s">
        <v>7</v>
      </c>
      <c r="G12330" s="18">
        <v>0</v>
      </c>
      <c r="H12330" s="151" t="s">
        <v>563</v>
      </c>
      <c r="I12330" t="s">
        <v>16</v>
      </c>
    </row>
    <row r="12331" spans="1:9" x14ac:dyDescent="0.25">
      <c r="A12331" s="151">
        <v>1835</v>
      </c>
      <c r="B12331" s="151">
        <f>A12331+1</f>
        <v>1836</v>
      </c>
      <c r="C12331" s="151" t="s">
        <v>541</v>
      </c>
      <c r="D12331" s="151" t="s">
        <v>27</v>
      </c>
      <c r="E12331" s="208" t="s">
        <v>143</v>
      </c>
      <c r="F12331" t="s">
        <v>7</v>
      </c>
      <c r="G12331" s="18">
        <v>513</v>
      </c>
      <c r="H12331" s="151" t="s">
        <v>563</v>
      </c>
      <c r="I12331" t="s">
        <v>16</v>
      </c>
    </row>
    <row r="12332" spans="1:9" x14ac:dyDescent="0.25">
      <c r="A12332" s="151">
        <v>1835</v>
      </c>
      <c r="B12332" s="151">
        <f>A12332+1</f>
        <v>1836</v>
      </c>
      <c r="C12332" s="151" t="s">
        <v>541</v>
      </c>
      <c r="D12332" s="151" t="s">
        <v>27</v>
      </c>
      <c r="E12332" s="208" t="s">
        <v>142</v>
      </c>
      <c r="F12332" t="s">
        <v>7</v>
      </c>
      <c r="G12332" s="18">
        <v>11489</v>
      </c>
      <c r="H12332" s="151" t="s">
        <v>563</v>
      </c>
      <c r="I12332" t="s">
        <v>16</v>
      </c>
    </row>
    <row r="12333" spans="1:9" x14ac:dyDescent="0.25">
      <c r="A12333" s="151">
        <v>1835</v>
      </c>
      <c r="B12333" s="151">
        <f>A12333+1</f>
        <v>1836</v>
      </c>
      <c r="C12333" s="151" t="s">
        <v>541</v>
      </c>
      <c r="D12333" s="151" t="s">
        <v>27</v>
      </c>
      <c r="E12333" s="208" t="s">
        <v>127</v>
      </c>
      <c r="F12333" t="s">
        <v>7</v>
      </c>
      <c r="G12333" s="18">
        <v>227</v>
      </c>
      <c r="H12333" s="151" t="s">
        <v>563</v>
      </c>
      <c r="I12333" t="s">
        <v>16</v>
      </c>
    </row>
    <row r="12334" spans="1:9" x14ac:dyDescent="0.25">
      <c r="A12334" s="151">
        <v>1835</v>
      </c>
      <c r="B12334" s="151">
        <f>A12334+1</f>
        <v>1836</v>
      </c>
      <c r="C12334" s="151" t="s">
        <v>541</v>
      </c>
      <c r="D12334" s="151" t="s">
        <v>27</v>
      </c>
      <c r="E12334" s="208" t="s">
        <v>133</v>
      </c>
      <c r="F12334" t="s">
        <v>7</v>
      </c>
      <c r="G12334" s="18">
        <v>4604</v>
      </c>
      <c r="H12334" s="151" t="s">
        <v>563</v>
      </c>
      <c r="I12334" t="s">
        <v>16</v>
      </c>
    </row>
    <row r="12335" spans="1:9" x14ac:dyDescent="0.25">
      <c r="A12335" s="151">
        <v>1835</v>
      </c>
      <c r="B12335" s="151">
        <f>A12335+1</f>
        <v>1836</v>
      </c>
      <c r="C12335" s="151" t="s">
        <v>541</v>
      </c>
      <c r="D12335" s="151" t="s">
        <v>27</v>
      </c>
      <c r="E12335" s="208" t="s">
        <v>74</v>
      </c>
      <c r="F12335" t="s">
        <v>7</v>
      </c>
      <c r="G12335" s="18">
        <v>1722</v>
      </c>
      <c r="H12335" s="151" t="s">
        <v>563</v>
      </c>
      <c r="I12335" t="s">
        <v>16</v>
      </c>
    </row>
    <row r="12336" spans="1:9" x14ac:dyDescent="0.25">
      <c r="A12336" s="151">
        <v>1835</v>
      </c>
      <c r="B12336" s="151">
        <f>A12336+1</f>
        <v>1836</v>
      </c>
      <c r="C12336" s="151" t="s">
        <v>541</v>
      </c>
      <c r="D12336" s="151" t="s">
        <v>27</v>
      </c>
      <c r="E12336" s="208" t="s">
        <v>129</v>
      </c>
      <c r="F12336" t="s">
        <v>7</v>
      </c>
      <c r="G12336" s="18">
        <v>137</v>
      </c>
      <c r="H12336" s="151" t="s">
        <v>563</v>
      </c>
      <c r="I12336" t="s">
        <v>16</v>
      </c>
    </row>
    <row r="12337" spans="1:9" x14ac:dyDescent="0.25">
      <c r="A12337" s="151">
        <v>1835</v>
      </c>
      <c r="B12337" s="151">
        <f>A12337+1</f>
        <v>1836</v>
      </c>
      <c r="C12337" s="151" t="s">
        <v>541</v>
      </c>
      <c r="D12337" s="151" t="s">
        <v>27</v>
      </c>
      <c r="E12337" s="208" t="s">
        <v>141</v>
      </c>
      <c r="F12337" t="s">
        <v>7</v>
      </c>
      <c r="G12337" s="18">
        <v>455</v>
      </c>
      <c r="H12337" s="151" t="s">
        <v>563</v>
      </c>
      <c r="I12337" t="s">
        <v>16</v>
      </c>
    </row>
    <row r="12338" spans="1:9" x14ac:dyDescent="0.25">
      <c r="A12338" s="151">
        <v>1835</v>
      </c>
      <c r="B12338" s="151">
        <f>A12338+1</f>
        <v>1836</v>
      </c>
      <c r="C12338" s="151" t="s">
        <v>541</v>
      </c>
      <c r="D12338" s="151" t="s">
        <v>27</v>
      </c>
      <c r="E12338" s="208" t="s">
        <v>135</v>
      </c>
      <c r="F12338" t="s">
        <v>7</v>
      </c>
      <c r="G12338" s="18">
        <v>98</v>
      </c>
      <c r="H12338" s="151" t="s">
        <v>563</v>
      </c>
      <c r="I12338" t="s">
        <v>16</v>
      </c>
    </row>
    <row r="12339" spans="1:9" x14ac:dyDescent="0.25">
      <c r="A12339" s="151">
        <v>1835</v>
      </c>
      <c r="B12339" s="151">
        <f>A12339+1</f>
        <v>1836</v>
      </c>
      <c r="C12339" s="151" t="s">
        <v>541</v>
      </c>
      <c r="D12339" s="151" t="s">
        <v>27</v>
      </c>
      <c r="E12339" s="208" t="s">
        <v>128</v>
      </c>
      <c r="F12339" t="s">
        <v>7</v>
      </c>
      <c r="G12339" s="18">
        <v>134</v>
      </c>
      <c r="H12339" s="151" t="s">
        <v>563</v>
      </c>
      <c r="I12339" t="s">
        <v>16</v>
      </c>
    </row>
    <row r="12340" spans="1:9" x14ac:dyDescent="0.25">
      <c r="A12340" s="151">
        <v>1835</v>
      </c>
      <c r="B12340" s="151">
        <f>A12340+1</f>
        <v>1836</v>
      </c>
      <c r="C12340" s="151" t="s">
        <v>541</v>
      </c>
      <c r="D12340" s="151" t="s">
        <v>27</v>
      </c>
      <c r="E12340" s="208" t="s">
        <v>78</v>
      </c>
      <c r="F12340" t="s">
        <v>7</v>
      </c>
      <c r="G12340" s="18">
        <v>696</v>
      </c>
      <c r="H12340" s="151" t="s">
        <v>563</v>
      </c>
      <c r="I12340" t="s">
        <v>16</v>
      </c>
    </row>
    <row r="12341" spans="1:9" x14ac:dyDescent="0.25">
      <c r="A12341" s="151">
        <v>1835</v>
      </c>
      <c r="B12341" s="151">
        <f>A12341+1</f>
        <v>1836</v>
      </c>
      <c r="C12341" s="151" t="s">
        <v>541</v>
      </c>
      <c r="D12341" s="151" t="s">
        <v>27</v>
      </c>
      <c r="E12341" s="208" t="s">
        <v>119</v>
      </c>
      <c r="F12341" t="s">
        <v>7</v>
      </c>
      <c r="G12341" s="18">
        <v>135</v>
      </c>
      <c r="H12341" s="151" t="s">
        <v>563</v>
      </c>
      <c r="I12341" t="s">
        <v>16</v>
      </c>
    </row>
    <row r="12342" spans="1:9" x14ac:dyDescent="0.25">
      <c r="A12342" s="151">
        <v>1835</v>
      </c>
      <c r="B12342" s="151">
        <f>A12342+1</f>
        <v>1836</v>
      </c>
      <c r="C12342" s="151" t="s">
        <v>541</v>
      </c>
      <c r="D12342" s="151" t="s">
        <v>27</v>
      </c>
      <c r="E12342" s="208" t="s">
        <v>134</v>
      </c>
      <c r="F12342" t="s">
        <v>7</v>
      </c>
      <c r="G12342" s="18">
        <v>5572</v>
      </c>
      <c r="H12342" s="151" t="s">
        <v>563</v>
      </c>
      <c r="I12342" t="s">
        <v>16</v>
      </c>
    </row>
    <row r="12343" spans="1:9" x14ac:dyDescent="0.25">
      <c r="A12343" s="151">
        <v>1835</v>
      </c>
      <c r="B12343" s="151">
        <f>A12343+1</f>
        <v>1836</v>
      </c>
      <c r="C12343" s="151" t="s">
        <v>541</v>
      </c>
      <c r="D12343" s="151" t="s">
        <v>26</v>
      </c>
      <c r="E12343" s="208" t="s">
        <v>34</v>
      </c>
      <c r="F12343" t="s">
        <v>7</v>
      </c>
      <c r="G12343" s="18">
        <v>47591</v>
      </c>
      <c r="H12343" s="151" t="s">
        <v>563</v>
      </c>
      <c r="I12343" t="s">
        <v>16</v>
      </c>
    </row>
    <row r="12344" spans="1:9" x14ac:dyDescent="0.25">
      <c r="A12344" s="151">
        <v>1835</v>
      </c>
      <c r="B12344" s="151">
        <f>A12344+1</f>
        <v>1836</v>
      </c>
      <c r="C12344" s="151" t="s">
        <v>541</v>
      </c>
      <c r="D12344" s="151" t="s">
        <v>26</v>
      </c>
      <c r="E12344" s="208" t="s">
        <v>63</v>
      </c>
      <c r="F12344" t="s">
        <v>7</v>
      </c>
      <c r="G12344" s="18">
        <v>20451</v>
      </c>
      <c r="H12344" s="151" t="s">
        <v>563</v>
      </c>
      <c r="I12344" t="s">
        <v>16</v>
      </c>
    </row>
    <row r="12345" spans="1:9" x14ac:dyDescent="0.25">
      <c r="A12345" s="151">
        <v>1835</v>
      </c>
      <c r="B12345" s="151">
        <f>A12345+1</f>
        <v>1836</v>
      </c>
      <c r="C12345" s="151" t="s">
        <v>541</v>
      </c>
      <c r="D12345" s="151" t="s">
        <v>26</v>
      </c>
      <c r="E12345" s="208" t="s">
        <v>62</v>
      </c>
      <c r="F12345" t="s">
        <v>7</v>
      </c>
      <c r="G12345" s="18">
        <v>49657</v>
      </c>
      <c r="H12345" s="151" t="s">
        <v>563</v>
      </c>
      <c r="I12345" t="s">
        <v>16</v>
      </c>
    </row>
    <row r="12346" spans="1:9" x14ac:dyDescent="0.25">
      <c r="A12346" s="151">
        <v>1835</v>
      </c>
      <c r="B12346" s="151">
        <f>A12346+1</f>
        <v>1836</v>
      </c>
      <c r="C12346" s="151" t="s">
        <v>541</v>
      </c>
      <c r="D12346" s="151" t="s">
        <v>26</v>
      </c>
      <c r="E12346" s="208" t="s">
        <v>55</v>
      </c>
      <c r="F12346" t="s">
        <v>7</v>
      </c>
      <c r="G12346" s="18">
        <v>4952</v>
      </c>
      <c r="H12346" s="151" t="s">
        <v>563</v>
      </c>
      <c r="I12346" t="s">
        <v>16</v>
      </c>
    </row>
    <row r="12347" spans="1:9" x14ac:dyDescent="0.25">
      <c r="A12347" s="151">
        <v>1835</v>
      </c>
      <c r="B12347" s="151">
        <f>A12347+1</f>
        <v>1836</v>
      </c>
      <c r="C12347" s="151" t="s">
        <v>541</v>
      </c>
      <c r="D12347" s="151" t="s">
        <v>26</v>
      </c>
      <c r="E12347" s="208" t="s">
        <v>36</v>
      </c>
      <c r="F12347" t="s">
        <v>7</v>
      </c>
      <c r="G12347" s="18">
        <v>3892</v>
      </c>
      <c r="H12347" s="151" t="s">
        <v>563</v>
      </c>
      <c r="I12347" t="s">
        <v>16</v>
      </c>
    </row>
    <row r="12348" spans="1:9" x14ac:dyDescent="0.25">
      <c r="A12348" s="151">
        <v>1835</v>
      </c>
      <c r="B12348" s="151">
        <f>A12348+1</f>
        <v>1836</v>
      </c>
      <c r="C12348" s="151" t="s">
        <v>541</v>
      </c>
      <c r="D12348" s="151" t="s">
        <v>26</v>
      </c>
      <c r="E12348" s="208" t="s">
        <v>35</v>
      </c>
      <c r="F12348" t="s">
        <v>7</v>
      </c>
      <c r="G12348" s="18">
        <v>0</v>
      </c>
      <c r="H12348" s="151" t="s">
        <v>563</v>
      </c>
      <c r="I12348" t="s">
        <v>16</v>
      </c>
    </row>
    <row r="12349" spans="1:9" x14ac:dyDescent="0.25">
      <c r="A12349" s="151">
        <v>1835</v>
      </c>
      <c r="B12349" s="151">
        <f>A12349+1</f>
        <v>1836</v>
      </c>
      <c r="C12349" s="151" t="s">
        <v>541</v>
      </c>
      <c r="D12349" s="151" t="s">
        <v>26</v>
      </c>
      <c r="E12349" s="208" t="s">
        <v>40</v>
      </c>
      <c r="F12349" t="s">
        <v>7</v>
      </c>
      <c r="G12349" s="18">
        <v>0</v>
      </c>
      <c r="H12349" s="151" t="s">
        <v>563</v>
      </c>
      <c r="I12349" t="s">
        <v>16</v>
      </c>
    </row>
    <row r="12350" spans="1:9" x14ac:dyDescent="0.25">
      <c r="A12350" s="151">
        <v>1835</v>
      </c>
      <c r="B12350" s="151">
        <f>A12350+1</f>
        <v>1836</v>
      </c>
      <c r="C12350" s="151" t="s">
        <v>541</v>
      </c>
      <c r="D12350" s="151" t="s">
        <v>26</v>
      </c>
      <c r="E12350" s="208" t="s">
        <v>459</v>
      </c>
      <c r="F12350" t="s">
        <v>7</v>
      </c>
      <c r="G12350" s="18">
        <v>5465</v>
      </c>
      <c r="H12350" s="151" t="s">
        <v>563</v>
      </c>
      <c r="I12350" t="s">
        <v>16</v>
      </c>
    </row>
    <row r="12351" spans="1:9" x14ac:dyDescent="0.25">
      <c r="A12351" s="151">
        <v>1835</v>
      </c>
      <c r="B12351" s="151">
        <f>A12351+1</f>
        <v>1836</v>
      </c>
      <c r="C12351" s="151" t="s">
        <v>541</v>
      </c>
      <c r="D12351" s="151" t="s">
        <v>26</v>
      </c>
      <c r="E12351" s="208" t="s">
        <v>94</v>
      </c>
      <c r="F12351" t="s">
        <v>7</v>
      </c>
      <c r="G12351" s="18">
        <v>0</v>
      </c>
      <c r="H12351" s="151" t="s">
        <v>563</v>
      </c>
      <c r="I12351" t="s">
        <v>16</v>
      </c>
    </row>
    <row r="12352" spans="1:9" x14ac:dyDescent="0.25">
      <c r="A12352" s="151">
        <v>1835</v>
      </c>
      <c r="B12352" s="151">
        <f>A12352+1</f>
        <v>1836</v>
      </c>
      <c r="C12352" s="151" t="s">
        <v>541</v>
      </c>
      <c r="D12352" s="151" t="s">
        <v>26</v>
      </c>
      <c r="E12352" s="208" t="s">
        <v>98</v>
      </c>
      <c r="F12352" t="s">
        <v>7</v>
      </c>
      <c r="G12352" s="18">
        <v>231152</v>
      </c>
      <c r="H12352" t="s">
        <v>17</v>
      </c>
      <c r="I12352" s="151" t="s">
        <v>562</v>
      </c>
    </row>
    <row r="12353" spans="1:9" x14ac:dyDescent="0.25">
      <c r="A12353" s="151">
        <v>1835</v>
      </c>
      <c r="B12353" s="151">
        <f>A12353+1</f>
        <v>1836</v>
      </c>
      <c r="C12353" s="151" t="s">
        <v>541</v>
      </c>
      <c r="D12353" s="151" t="s">
        <v>26</v>
      </c>
      <c r="E12353" s="208" t="s">
        <v>466</v>
      </c>
      <c r="F12353" t="s">
        <v>7</v>
      </c>
      <c r="G12353" s="18">
        <v>9148</v>
      </c>
      <c r="H12353" t="s">
        <v>17</v>
      </c>
      <c r="I12353" s="151" t="s">
        <v>562</v>
      </c>
    </row>
    <row r="12354" spans="1:9" x14ac:dyDescent="0.25">
      <c r="A12354" s="151">
        <v>1835</v>
      </c>
      <c r="B12354" s="151">
        <f>A12354+1</f>
        <v>1836</v>
      </c>
      <c r="C12354" s="151" t="s">
        <v>541</v>
      </c>
      <c r="D12354" s="151" t="s">
        <v>26</v>
      </c>
      <c r="E12354" s="208" t="s">
        <v>105</v>
      </c>
      <c r="F12354" t="s">
        <v>7</v>
      </c>
      <c r="G12354" s="18">
        <v>891889</v>
      </c>
      <c r="H12354" t="s">
        <v>17</v>
      </c>
      <c r="I12354" s="151" t="s">
        <v>562</v>
      </c>
    </row>
    <row r="12355" spans="1:9" x14ac:dyDescent="0.25">
      <c r="A12355" s="151">
        <v>1835</v>
      </c>
      <c r="B12355" s="151">
        <f>A12355+1</f>
        <v>1836</v>
      </c>
      <c r="C12355" s="151" t="s">
        <v>541</v>
      </c>
      <c r="D12355" s="151" t="s">
        <v>26</v>
      </c>
      <c r="E12355" s="208" t="s">
        <v>106</v>
      </c>
      <c r="F12355" t="s">
        <v>7</v>
      </c>
      <c r="G12355" s="18">
        <v>290170</v>
      </c>
      <c r="H12355" t="s">
        <v>17</v>
      </c>
      <c r="I12355" s="151" t="s">
        <v>562</v>
      </c>
    </row>
    <row r="12356" spans="1:9" x14ac:dyDescent="0.25">
      <c r="A12356" s="151">
        <v>1835</v>
      </c>
      <c r="B12356" s="151">
        <f>A12356+1</f>
        <v>1836</v>
      </c>
      <c r="C12356" s="151" t="s">
        <v>541</v>
      </c>
      <c r="D12356" s="151" t="s">
        <v>26</v>
      </c>
      <c r="E12356" s="208" t="s">
        <v>101</v>
      </c>
      <c r="F12356" t="s">
        <v>7</v>
      </c>
      <c r="G12356" s="18">
        <v>3285895</v>
      </c>
      <c r="H12356" t="s">
        <v>17</v>
      </c>
      <c r="I12356" s="151" t="s">
        <v>562</v>
      </c>
    </row>
    <row r="12357" spans="1:9" x14ac:dyDescent="0.25">
      <c r="A12357" s="151">
        <v>1835</v>
      </c>
      <c r="B12357" s="151">
        <f>A12357+1</f>
        <v>1836</v>
      </c>
      <c r="C12357" s="151" t="s">
        <v>541</v>
      </c>
      <c r="D12357" s="151" t="s">
        <v>26</v>
      </c>
      <c r="E12357" s="208" t="s">
        <v>75</v>
      </c>
      <c r="F12357" t="s">
        <v>7</v>
      </c>
      <c r="G12357" s="18">
        <v>3066988</v>
      </c>
      <c r="H12357" t="s">
        <v>17</v>
      </c>
      <c r="I12357" s="151" t="s">
        <v>562</v>
      </c>
    </row>
    <row r="12358" spans="1:9" x14ac:dyDescent="0.25">
      <c r="A12358" s="151">
        <v>1835</v>
      </c>
      <c r="B12358" s="151">
        <f>A12358+1</f>
        <v>1836</v>
      </c>
      <c r="C12358" s="151" t="s">
        <v>541</v>
      </c>
      <c r="D12358" s="151" t="s">
        <v>26</v>
      </c>
      <c r="E12358" s="208" t="s">
        <v>66</v>
      </c>
      <c r="F12358" t="s">
        <v>7</v>
      </c>
      <c r="G12358" s="18">
        <v>226230</v>
      </c>
      <c r="H12358" t="s">
        <v>17</v>
      </c>
      <c r="I12358" s="151" t="s">
        <v>562</v>
      </c>
    </row>
    <row r="12359" spans="1:9" x14ac:dyDescent="0.25">
      <c r="A12359" s="151">
        <v>1835</v>
      </c>
      <c r="B12359" s="151">
        <f>A12359+1</f>
        <v>1836</v>
      </c>
      <c r="C12359" s="151" t="s">
        <v>541</v>
      </c>
      <c r="D12359" s="151" t="s">
        <v>26</v>
      </c>
      <c r="E12359" s="208" t="s">
        <v>460</v>
      </c>
      <c r="F12359" t="s">
        <v>7</v>
      </c>
      <c r="G12359" s="18">
        <v>0</v>
      </c>
      <c r="H12359" t="s">
        <v>17</v>
      </c>
      <c r="I12359" s="151" t="s">
        <v>562</v>
      </c>
    </row>
    <row r="12360" spans="1:9" x14ac:dyDescent="0.25">
      <c r="A12360" s="151">
        <v>1835</v>
      </c>
      <c r="B12360" s="151">
        <f>A12360+1</f>
        <v>1836</v>
      </c>
      <c r="C12360" s="151" t="s">
        <v>541</v>
      </c>
      <c r="D12360" s="151" t="s">
        <v>26</v>
      </c>
      <c r="E12360" s="208" t="s">
        <v>28</v>
      </c>
      <c r="F12360" t="s">
        <v>7</v>
      </c>
      <c r="G12360" s="18">
        <v>4442</v>
      </c>
      <c r="H12360" t="s">
        <v>17</v>
      </c>
      <c r="I12360" s="151" t="s">
        <v>562</v>
      </c>
    </row>
    <row r="12361" spans="1:9" x14ac:dyDescent="0.25">
      <c r="A12361" s="151">
        <v>1835</v>
      </c>
      <c r="B12361" s="151">
        <f>A12361+1</f>
        <v>1836</v>
      </c>
      <c r="C12361" s="151" t="s">
        <v>541</v>
      </c>
      <c r="D12361" s="151" t="s">
        <v>26</v>
      </c>
      <c r="E12361" s="208" t="s">
        <v>89</v>
      </c>
      <c r="F12361" t="s">
        <v>7</v>
      </c>
      <c r="G12361" s="18">
        <v>1818</v>
      </c>
      <c r="H12361" t="s">
        <v>17</v>
      </c>
      <c r="I12361" s="151" t="s">
        <v>562</v>
      </c>
    </row>
    <row r="12362" spans="1:9" x14ac:dyDescent="0.25">
      <c r="A12362" s="151">
        <v>1835</v>
      </c>
      <c r="B12362" s="151">
        <f>A12362+1</f>
        <v>1836</v>
      </c>
      <c r="C12362" s="151" t="s">
        <v>541</v>
      </c>
      <c r="D12362" s="151" t="s">
        <v>26</v>
      </c>
      <c r="E12362" s="208" t="s">
        <v>450</v>
      </c>
      <c r="F12362" t="s">
        <v>7</v>
      </c>
      <c r="G12362" s="18">
        <v>20627</v>
      </c>
      <c r="H12362" t="s">
        <v>17</v>
      </c>
      <c r="I12362" s="151" t="s">
        <v>562</v>
      </c>
    </row>
    <row r="12363" spans="1:9" x14ac:dyDescent="0.25">
      <c r="A12363" s="151">
        <v>1835</v>
      </c>
      <c r="B12363" s="151">
        <f>A12363+1</f>
        <v>1836</v>
      </c>
      <c r="C12363" s="151" t="s">
        <v>541</v>
      </c>
      <c r="D12363" s="151" t="s">
        <v>26</v>
      </c>
      <c r="E12363" s="208" t="s">
        <v>48</v>
      </c>
      <c r="F12363" t="s">
        <v>7</v>
      </c>
      <c r="G12363" s="18">
        <v>16630</v>
      </c>
      <c r="H12363" t="s">
        <v>17</v>
      </c>
      <c r="I12363" s="151" t="s">
        <v>562</v>
      </c>
    </row>
    <row r="12364" spans="1:9" x14ac:dyDescent="0.25">
      <c r="A12364" s="151">
        <v>1835</v>
      </c>
      <c r="B12364" s="151">
        <f>A12364+1</f>
        <v>1836</v>
      </c>
      <c r="C12364" s="151" t="s">
        <v>541</v>
      </c>
      <c r="D12364" s="151" t="s">
        <v>26</v>
      </c>
      <c r="E12364" s="208" t="s">
        <v>102</v>
      </c>
      <c r="F12364" t="s">
        <v>7</v>
      </c>
      <c r="G12364" s="18">
        <v>22030</v>
      </c>
      <c r="H12364" t="s">
        <v>17</v>
      </c>
      <c r="I12364" s="151" t="s">
        <v>562</v>
      </c>
    </row>
    <row r="12365" spans="1:9" x14ac:dyDescent="0.25">
      <c r="A12365" s="151">
        <v>1835</v>
      </c>
      <c r="B12365" s="151">
        <f>A12365+1</f>
        <v>1836</v>
      </c>
      <c r="C12365" s="151" t="s">
        <v>541</v>
      </c>
      <c r="D12365" s="151" t="s">
        <v>26</v>
      </c>
      <c r="E12365" s="208" t="s">
        <v>330</v>
      </c>
      <c r="F12365" t="s">
        <v>7</v>
      </c>
      <c r="G12365" s="18">
        <v>617</v>
      </c>
      <c r="H12365" t="s">
        <v>17</v>
      </c>
      <c r="I12365" s="151" t="s">
        <v>562</v>
      </c>
    </row>
    <row r="12366" spans="1:9" x14ac:dyDescent="0.25">
      <c r="A12366" s="151">
        <v>1835</v>
      </c>
      <c r="B12366" s="151">
        <f>A12366+1</f>
        <v>1836</v>
      </c>
      <c r="C12366" s="151" t="s">
        <v>541</v>
      </c>
      <c r="D12366" s="151" t="s">
        <v>26</v>
      </c>
      <c r="E12366" s="208" t="s">
        <v>331</v>
      </c>
      <c r="F12366" t="s">
        <v>7</v>
      </c>
      <c r="G12366" s="18">
        <v>114</v>
      </c>
      <c r="H12366" t="s">
        <v>17</v>
      </c>
      <c r="I12366" s="151" t="s">
        <v>562</v>
      </c>
    </row>
    <row r="12367" spans="1:9" x14ac:dyDescent="0.25">
      <c r="A12367" s="151">
        <v>1835</v>
      </c>
      <c r="B12367" s="151">
        <f>A12367+1</f>
        <v>1836</v>
      </c>
      <c r="C12367" s="151" t="s">
        <v>541</v>
      </c>
      <c r="D12367" s="151" t="s">
        <v>26</v>
      </c>
      <c r="E12367" s="208" t="s">
        <v>332</v>
      </c>
      <c r="F12367" t="s">
        <v>7</v>
      </c>
      <c r="G12367" s="18">
        <v>392</v>
      </c>
      <c r="H12367" t="s">
        <v>17</v>
      </c>
      <c r="I12367" s="151" t="s">
        <v>562</v>
      </c>
    </row>
    <row r="12368" spans="1:9" x14ac:dyDescent="0.25">
      <c r="A12368" s="151">
        <v>1835</v>
      </c>
      <c r="B12368" s="151">
        <f>A12368+1</f>
        <v>1836</v>
      </c>
      <c r="C12368" s="151" t="s">
        <v>541</v>
      </c>
      <c r="D12368" s="151" t="s">
        <v>26</v>
      </c>
      <c r="E12368" s="208" t="s">
        <v>333</v>
      </c>
      <c r="F12368" t="s">
        <v>7</v>
      </c>
      <c r="G12368" s="18">
        <v>124</v>
      </c>
      <c r="H12368" t="s">
        <v>17</v>
      </c>
      <c r="I12368" s="151" t="s">
        <v>562</v>
      </c>
    </row>
    <row r="12369" spans="1:9" x14ac:dyDescent="0.25">
      <c r="A12369" s="151">
        <v>1835</v>
      </c>
      <c r="B12369" s="151">
        <f>A12369+1</f>
        <v>1836</v>
      </c>
      <c r="C12369" s="151" t="s">
        <v>541</v>
      </c>
      <c r="D12369" s="151" t="s">
        <v>27</v>
      </c>
      <c r="E12369" s="208" t="s">
        <v>155</v>
      </c>
      <c r="F12369" t="s">
        <v>14</v>
      </c>
      <c r="G12369" s="18">
        <v>44362</v>
      </c>
      <c r="H12369" t="s">
        <v>17</v>
      </c>
      <c r="I12369" s="151" t="s">
        <v>562</v>
      </c>
    </row>
    <row r="12370" spans="1:9" x14ac:dyDescent="0.25">
      <c r="A12370" s="151">
        <v>1835</v>
      </c>
      <c r="B12370" s="151">
        <f>A12370+1</f>
        <v>1836</v>
      </c>
      <c r="C12370" s="151" t="s">
        <v>541</v>
      </c>
      <c r="D12370" s="151" t="s">
        <v>27</v>
      </c>
      <c r="E12370" s="208" t="s">
        <v>156</v>
      </c>
      <c r="F12370" t="s">
        <v>14</v>
      </c>
      <c r="G12370" s="18">
        <v>6662</v>
      </c>
      <c r="H12370" t="s">
        <v>17</v>
      </c>
      <c r="I12370" s="151" t="s">
        <v>562</v>
      </c>
    </row>
    <row r="12371" spans="1:9" x14ac:dyDescent="0.25">
      <c r="A12371" s="151">
        <v>1835</v>
      </c>
      <c r="B12371" s="151">
        <f>A12371+1</f>
        <v>1836</v>
      </c>
      <c r="C12371" s="151" t="s">
        <v>541</v>
      </c>
      <c r="D12371" s="151" t="s">
        <v>27</v>
      </c>
      <c r="E12371" s="208" t="s">
        <v>154</v>
      </c>
      <c r="F12371" t="s">
        <v>14</v>
      </c>
      <c r="G12371" s="18">
        <v>1412</v>
      </c>
      <c r="H12371" t="s">
        <v>17</v>
      </c>
      <c r="I12371" s="151" t="s">
        <v>562</v>
      </c>
    </row>
    <row r="12372" spans="1:9" x14ac:dyDescent="0.25">
      <c r="A12372" s="151">
        <v>1835</v>
      </c>
      <c r="B12372" s="151">
        <f>A12372+1</f>
        <v>1836</v>
      </c>
      <c r="C12372" s="151" t="s">
        <v>541</v>
      </c>
      <c r="D12372" s="151" t="s">
        <v>27</v>
      </c>
      <c r="E12372" s="208" t="s">
        <v>150</v>
      </c>
      <c r="F12372" t="s">
        <v>14</v>
      </c>
      <c r="G12372" s="18">
        <v>15071</v>
      </c>
      <c r="H12372" t="s">
        <v>17</v>
      </c>
      <c r="I12372" s="151" t="s">
        <v>562</v>
      </c>
    </row>
    <row r="12373" spans="1:9" x14ac:dyDescent="0.25">
      <c r="A12373" s="151">
        <v>1835</v>
      </c>
      <c r="B12373" s="151">
        <f>A12373+1</f>
        <v>1836</v>
      </c>
      <c r="C12373" s="151" t="s">
        <v>541</v>
      </c>
      <c r="D12373" s="151" t="s">
        <v>27</v>
      </c>
      <c r="E12373" s="208" t="s">
        <v>148</v>
      </c>
      <c r="F12373" t="s">
        <v>14</v>
      </c>
      <c r="G12373" s="18">
        <v>789</v>
      </c>
      <c r="H12373" t="s">
        <v>17</v>
      </c>
      <c r="I12373" s="151" t="s">
        <v>562</v>
      </c>
    </row>
    <row r="12374" spans="1:9" x14ac:dyDescent="0.25">
      <c r="A12374" s="151">
        <v>1835</v>
      </c>
      <c r="B12374" s="151">
        <f>A12374+1</f>
        <v>1836</v>
      </c>
      <c r="C12374" s="151" t="s">
        <v>541</v>
      </c>
      <c r="D12374" s="151" t="s">
        <v>27</v>
      </c>
      <c r="E12374" s="208" t="s">
        <v>147</v>
      </c>
      <c r="F12374" t="s">
        <v>14</v>
      </c>
      <c r="G12374" s="18">
        <v>371</v>
      </c>
      <c r="H12374" t="s">
        <v>17</v>
      </c>
      <c r="I12374" s="151" t="s">
        <v>562</v>
      </c>
    </row>
    <row r="12375" spans="1:9" x14ac:dyDescent="0.25">
      <c r="A12375" s="151">
        <v>1835</v>
      </c>
      <c r="B12375" s="151">
        <f>A12375+1</f>
        <v>1836</v>
      </c>
      <c r="C12375" s="151" t="s">
        <v>541</v>
      </c>
      <c r="D12375" s="151" t="s">
        <v>27</v>
      </c>
      <c r="E12375" s="208" t="s">
        <v>125</v>
      </c>
      <c r="F12375" t="s">
        <v>14</v>
      </c>
      <c r="G12375" s="18">
        <v>9299</v>
      </c>
      <c r="H12375" t="s">
        <v>17</v>
      </c>
      <c r="I12375" s="151" t="s">
        <v>562</v>
      </c>
    </row>
    <row r="12376" spans="1:9" x14ac:dyDescent="0.25">
      <c r="A12376" s="151">
        <v>1835</v>
      </c>
      <c r="B12376" s="151">
        <f>A12376+1</f>
        <v>1836</v>
      </c>
      <c r="C12376" s="151" t="s">
        <v>541</v>
      </c>
      <c r="D12376" s="151" t="s">
        <v>27</v>
      </c>
      <c r="E12376" s="208" t="s">
        <v>122</v>
      </c>
      <c r="F12376" t="s">
        <v>14</v>
      </c>
      <c r="G12376" s="18">
        <v>1066</v>
      </c>
      <c r="H12376" t="s">
        <v>17</v>
      </c>
      <c r="I12376" s="151" t="s">
        <v>562</v>
      </c>
    </row>
    <row r="12377" spans="1:9" x14ac:dyDescent="0.25">
      <c r="A12377" s="151">
        <v>1835</v>
      </c>
      <c r="B12377" s="151">
        <f>A12377+1</f>
        <v>1836</v>
      </c>
      <c r="C12377" s="151" t="s">
        <v>541</v>
      </c>
      <c r="D12377" s="151" t="s">
        <v>27</v>
      </c>
      <c r="E12377" s="208" t="s">
        <v>123</v>
      </c>
      <c r="F12377" t="s">
        <v>14</v>
      </c>
      <c r="G12377" s="18">
        <v>432</v>
      </c>
      <c r="H12377" s="151" t="s">
        <v>563</v>
      </c>
      <c r="I12377" t="s">
        <v>17</v>
      </c>
    </row>
    <row r="12378" spans="1:9" x14ac:dyDescent="0.25">
      <c r="A12378" s="151">
        <v>1835</v>
      </c>
      <c r="B12378" s="151">
        <f>A12378+1</f>
        <v>1836</v>
      </c>
      <c r="C12378" s="151" t="s">
        <v>541</v>
      </c>
      <c r="D12378" s="151" t="s">
        <v>27</v>
      </c>
      <c r="E12378" s="208" t="s">
        <v>121</v>
      </c>
      <c r="F12378" t="s">
        <v>14</v>
      </c>
      <c r="G12378" s="18">
        <v>8</v>
      </c>
      <c r="H12378" s="151" t="s">
        <v>563</v>
      </c>
      <c r="I12378" t="s">
        <v>17</v>
      </c>
    </row>
    <row r="12379" spans="1:9" x14ac:dyDescent="0.25">
      <c r="A12379" s="151">
        <v>1835</v>
      </c>
      <c r="B12379" s="151">
        <f>A12379+1</f>
        <v>1836</v>
      </c>
      <c r="C12379" s="151" t="s">
        <v>541</v>
      </c>
      <c r="D12379" s="151" t="s">
        <v>27</v>
      </c>
      <c r="E12379" s="208" t="s">
        <v>139</v>
      </c>
      <c r="F12379" t="s">
        <v>14</v>
      </c>
      <c r="G12379" s="18">
        <v>180</v>
      </c>
      <c r="H12379" s="151" t="s">
        <v>563</v>
      </c>
      <c r="I12379" t="s">
        <v>17</v>
      </c>
    </row>
    <row r="12380" spans="1:9" x14ac:dyDescent="0.25">
      <c r="A12380" s="151">
        <v>1835</v>
      </c>
      <c r="B12380" s="151">
        <f>A12380+1</f>
        <v>1836</v>
      </c>
      <c r="C12380" s="151" t="s">
        <v>541</v>
      </c>
      <c r="D12380" s="151" t="s">
        <v>27</v>
      </c>
      <c r="E12380" s="208" t="s">
        <v>131</v>
      </c>
      <c r="F12380" t="s">
        <v>14</v>
      </c>
      <c r="G12380" s="18">
        <v>5184.5</v>
      </c>
      <c r="H12380" s="151" t="s">
        <v>563</v>
      </c>
      <c r="I12380" t="s">
        <v>17</v>
      </c>
    </row>
    <row r="12381" spans="1:9" x14ac:dyDescent="0.25">
      <c r="A12381" s="151">
        <v>1835</v>
      </c>
      <c r="B12381" s="151">
        <f>A12381+1</f>
        <v>1836</v>
      </c>
      <c r="C12381" s="151" t="s">
        <v>541</v>
      </c>
      <c r="D12381" s="151" t="s">
        <v>27</v>
      </c>
      <c r="E12381" s="208" t="s">
        <v>130</v>
      </c>
      <c r="F12381" t="s">
        <v>14</v>
      </c>
      <c r="G12381" s="18">
        <v>90</v>
      </c>
      <c r="H12381" s="151" t="s">
        <v>563</v>
      </c>
      <c r="I12381" t="s">
        <v>17</v>
      </c>
    </row>
    <row r="12382" spans="1:9" x14ac:dyDescent="0.25">
      <c r="A12382" s="151">
        <v>1835</v>
      </c>
      <c r="B12382" s="151">
        <f>A12382+1</f>
        <v>1836</v>
      </c>
      <c r="C12382" s="151" t="s">
        <v>541</v>
      </c>
      <c r="D12382" s="151" t="s">
        <v>27</v>
      </c>
      <c r="E12382" s="208" t="s">
        <v>143</v>
      </c>
      <c r="F12382" t="s">
        <v>14</v>
      </c>
      <c r="G12382" s="18">
        <v>51</v>
      </c>
      <c r="H12382" s="151" t="s">
        <v>563</v>
      </c>
      <c r="I12382" t="s">
        <v>17</v>
      </c>
    </row>
    <row r="12383" spans="1:9" x14ac:dyDescent="0.25">
      <c r="A12383" s="151">
        <v>1835</v>
      </c>
      <c r="B12383" s="151">
        <f>A12383+1</f>
        <v>1836</v>
      </c>
      <c r="C12383" s="151" t="s">
        <v>541</v>
      </c>
      <c r="D12383" s="151" t="s">
        <v>27</v>
      </c>
      <c r="E12383" s="208" t="s">
        <v>142</v>
      </c>
      <c r="F12383" t="s">
        <v>14</v>
      </c>
      <c r="G12383" s="18">
        <v>51143</v>
      </c>
      <c r="H12383" s="151" t="s">
        <v>563</v>
      </c>
      <c r="I12383" t="s">
        <v>17</v>
      </c>
    </row>
    <row r="12384" spans="1:9" x14ac:dyDescent="0.25">
      <c r="A12384" s="151">
        <v>1835</v>
      </c>
      <c r="B12384" s="151">
        <f>A12384+1</f>
        <v>1836</v>
      </c>
      <c r="C12384" s="151" t="s">
        <v>541</v>
      </c>
      <c r="D12384" s="151" t="s">
        <v>27</v>
      </c>
      <c r="E12384" s="208" t="s">
        <v>127</v>
      </c>
      <c r="F12384" t="s">
        <v>14</v>
      </c>
      <c r="G12384" s="18">
        <v>13</v>
      </c>
      <c r="H12384" s="151" t="s">
        <v>563</v>
      </c>
      <c r="I12384" t="s">
        <v>17</v>
      </c>
    </row>
    <row r="12385" spans="1:9" x14ac:dyDescent="0.25">
      <c r="A12385" s="151">
        <v>1835</v>
      </c>
      <c r="B12385" s="151">
        <f>A12385+1</f>
        <v>1836</v>
      </c>
      <c r="C12385" s="151" t="s">
        <v>541</v>
      </c>
      <c r="D12385" s="151" t="s">
        <v>27</v>
      </c>
      <c r="E12385" s="208" t="s">
        <v>133</v>
      </c>
      <c r="F12385" t="s">
        <v>14</v>
      </c>
      <c r="G12385" s="18">
        <v>4997</v>
      </c>
      <c r="H12385" s="151" t="s">
        <v>563</v>
      </c>
      <c r="I12385" t="s">
        <v>17</v>
      </c>
    </row>
    <row r="12386" spans="1:9" x14ac:dyDescent="0.25">
      <c r="A12386" s="151">
        <v>1835</v>
      </c>
      <c r="B12386" s="151">
        <f>A12386+1</f>
        <v>1836</v>
      </c>
      <c r="C12386" s="151" t="s">
        <v>541</v>
      </c>
      <c r="D12386" s="151" t="s">
        <v>27</v>
      </c>
      <c r="E12386" s="208" t="s">
        <v>74</v>
      </c>
      <c r="F12386" t="s">
        <v>14</v>
      </c>
      <c r="G12386" s="18">
        <v>4005</v>
      </c>
      <c r="H12386" s="151" t="s">
        <v>563</v>
      </c>
      <c r="I12386" t="s">
        <v>17</v>
      </c>
    </row>
    <row r="12387" spans="1:9" x14ac:dyDescent="0.25">
      <c r="A12387" s="151">
        <v>1835</v>
      </c>
      <c r="B12387" s="151">
        <f>A12387+1</f>
        <v>1836</v>
      </c>
      <c r="C12387" s="151" t="s">
        <v>541</v>
      </c>
      <c r="D12387" s="151" t="s">
        <v>27</v>
      </c>
      <c r="E12387" s="208" t="s">
        <v>129</v>
      </c>
      <c r="F12387" t="s">
        <v>14</v>
      </c>
      <c r="G12387" s="18">
        <v>419.5</v>
      </c>
      <c r="H12387" s="151" t="s">
        <v>563</v>
      </c>
      <c r="I12387" t="s">
        <v>17</v>
      </c>
    </row>
    <row r="12388" spans="1:9" x14ac:dyDescent="0.25">
      <c r="A12388" s="151">
        <v>1835</v>
      </c>
      <c r="B12388" s="151">
        <f>A12388+1</f>
        <v>1836</v>
      </c>
      <c r="C12388" s="151" t="s">
        <v>541</v>
      </c>
      <c r="D12388" s="151" t="s">
        <v>27</v>
      </c>
      <c r="E12388" s="208" t="s">
        <v>141</v>
      </c>
      <c r="F12388" t="s">
        <v>14</v>
      </c>
      <c r="G12388" s="18">
        <v>110.5</v>
      </c>
      <c r="H12388" s="151" t="s">
        <v>563</v>
      </c>
      <c r="I12388" t="s">
        <v>17</v>
      </c>
    </row>
    <row r="12389" spans="1:9" x14ac:dyDescent="0.25">
      <c r="A12389" s="151">
        <v>1835</v>
      </c>
      <c r="B12389" s="151">
        <f>A12389+1</f>
        <v>1836</v>
      </c>
      <c r="C12389" s="151" t="s">
        <v>541</v>
      </c>
      <c r="D12389" s="151" t="s">
        <v>27</v>
      </c>
      <c r="E12389" s="208" t="s">
        <v>135</v>
      </c>
      <c r="F12389" t="s">
        <v>14</v>
      </c>
      <c r="G12389" s="18">
        <v>103.5</v>
      </c>
      <c r="H12389" s="151" t="s">
        <v>563</v>
      </c>
      <c r="I12389" t="s">
        <v>17</v>
      </c>
    </row>
    <row r="12390" spans="1:9" x14ac:dyDescent="0.25">
      <c r="A12390" s="151">
        <v>1835</v>
      </c>
      <c r="B12390" s="151">
        <f>A12390+1</f>
        <v>1836</v>
      </c>
      <c r="C12390" s="151" t="s">
        <v>541</v>
      </c>
      <c r="D12390" s="151" t="s">
        <v>27</v>
      </c>
      <c r="E12390" s="208" t="s">
        <v>128</v>
      </c>
      <c r="F12390" t="s">
        <v>14</v>
      </c>
      <c r="G12390" s="18">
        <v>174.5</v>
      </c>
      <c r="H12390" s="151" t="s">
        <v>563</v>
      </c>
      <c r="I12390" t="s">
        <v>17</v>
      </c>
    </row>
    <row r="12391" spans="1:9" x14ac:dyDescent="0.25">
      <c r="A12391" s="151">
        <v>1835</v>
      </c>
      <c r="B12391" s="151">
        <f>A12391+1</f>
        <v>1836</v>
      </c>
      <c r="C12391" s="151" t="s">
        <v>541</v>
      </c>
      <c r="D12391" s="151" t="s">
        <v>27</v>
      </c>
      <c r="E12391" s="208" t="s">
        <v>78</v>
      </c>
      <c r="F12391" t="s">
        <v>14</v>
      </c>
      <c r="G12391" s="18">
        <v>4441</v>
      </c>
      <c r="H12391" s="151" t="s">
        <v>563</v>
      </c>
      <c r="I12391" t="s">
        <v>17</v>
      </c>
    </row>
    <row r="12392" spans="1:9" x14ac:dyDescent="0.25">
      <c r="A12392" s="151">
        <v>1835</v>
      </c>
      <c r="B12392" s="151">
        <f>A12392+1</f>
        <v>1836</v>
      </c>
      <c r="C12392" s="151" t="s">
        <v>541</v>
      </c>
      <c r="D12392" s="151" t="s">
        <v>27</v>
      </c>
      <c r="E12392" s="208" t="s">
        <v>119</v>
      </c>
      <c r="F12392" t="s">
        <v>14</v>
      </c>
      <c r="G12392" s="18">
        <v>1143</v>
      </c>
      <c r="H12392" s="151" t="s">
        <v>563</v>
      </c>
      <c r="I12392" t="s">
        <v>17</v>
      </c>
    </row>
    <row r="12393" spans="1:9" x14ac:dyDescent="0.25">
      <c r="A12393" s="151">
        <v>1835</v>
      </c>
      <c r="B12393" s="151">
        <f>A12393+1</f>
        <v>1836</v>
      </c>
      <c r="C12393" s="151" t="s">
        <v>541</v>
      </c>
      <c r="D12393" s="151" t="s">
        <v>27</v>
      </c>
      <c r="E12393" s="208" t="s">
        <v>134</v>
      </c>
      <c r="F12393" t="s">
        <v>14</v>
      </c>
      <c r="G12393" s="18">
        <v>37176</v>
      </c>
      <c r="H12393" s="151" t="s">
        <v>563</v>
      </c>
      <c r="I12393" t="s">
        <v>17</v>
      </c>
    </row>
    <row r="12394" spans="1:9" x14ac:dyDescent="0.25">
      <c r="A12394" s="151">
        <v>1835</v>
      </c>
      <c r="B12394" s="151">
        <f>A12394+1</f>
        <v>1836</v>
      </c>
      <c r="C12394" s="151" t="s">
        <v>541</v>
      </c>
      <c r="D12394" s="151" t="s">
        <v>26</v>
      </c>
      <c r="E12394" s="208" t="s">
        <v>34</v>
      </c>
      <c r="F12394" t="s">
        <v>14</v>
      </c>
      <c r="G12394" s="18">
        <v>4833</v>
      </c>
      <c r="H12394" s="151" t="s">
        <v>563</v>
      </c>
      <c r="I12394" t="s">
        <v>17</v>
      </c>
    </row>
    <row r="12395" spans="1:9" x14ac:dyDescent="0.25">
      <c r="A12395" s="151">
        <v>1835</v>
      </c>
      <c r="B12395" s="151">
        <f>A12395+1</f>
        <v>1836</v>
      </c>
      <c r="C12395" s="151" t="s">
        <v>541</v>
      </c>
      <c r="D12395" s="151" t="s">
        <v>26</v>
      </c>
      <c r="E12395" s="208" t="s">
        <v>63</v>
      </c>
      <c r="F12395" t="s">
        <v>14</v>
      </c>
      <c r="G12395" s="18">
        <v>494</v>
      </c>
      <c r="H12395" s="151" t="s">
        <v>563</v>
      </c>
      <c r="I12395" t="s">
        <v>17</v>
      </c>
    </row>
    <row r="12396" spans="1:9" x14ac:dyDescent="0.25">
      <c r="A12396" s="151">
        <v>1835</v>
      </c>
      <c r="B12396" s="151">
        <f>A12396+1</f>
        <v>1836</v>
      </c>
      <c r="C12396" s="151" t="s">
        <v>541</v>
      </c>
      <c r="D12396" s="151" t="s">
        <v>26</v>
      </c>
      <c r="E12396" s="208" t="s">
        <v>62</v>
      </c>
      <c r="F12396" t="s">
        <v>14</v>
      </c>
      <c r="G12396" s="18">
        <v>6694</v>
      </c>
      <c r="H12396" s="151" t="s">
        <v>563</v>
      </c>
      <c r="I12396" t="s">
        <v>17</v>
      </c>
    </row>
    <row r="12397" spans="1:9" x14ac:dyDescent="0.25">
      <c r="A12397" s="151">
        <v>1835</v>
      </c>
      <c r="B12397" s="151">
        <f>A12397+1</f>
        <v>1836</v>
      </c>
      <c r="C12397" s="151" t="s">
        <v>541</v>
      </c>
      <c r="D12397" s="151" t="s">
        <v>26</v>
      </c>
      <c r="E12397" s="208" t="s">
        <v>55</v>
      </c>
      <c r="F12397" t="s">
        <v>14</v>
      </c>
      <c r="G12397" s="18">
        <v>1932</v>
      </c>
      <c r="H12397" s="151" t="s">
        <v>563</v>
      </c>
      <c r="I12397" t="s">
        <v>17</v>
      </c>
    </row>
    <row r="12398" spans="1:9" x14ac:dyDescent="0.25">
      <c r="A12398" s="151">
        <v>1835</v>
      </c>
      <c r="B12398" s="151">
        <f>A12398+1</f>
        <v>1836</v>
      </c>
      <c r="C12398" s="151" t="s">
        <v>541</v>
      </c>
      <c r="D12398" s="151" t="s">
        <v>26</v>
      </c>
      <c r="E12398" s="208" t="s">
        <v>36</v>
      </c>
      <c r="F12398" t="s">
        <v>14</v>
      </c>
      <c r="G12398" s="18">
        <v>517</v>
      </c>
      <c r="H12398" s="151" t="s">
        <v>563</v>
      </c>
      <c r="I12398" t="s">
        <v>17</v>
      </c>
    </row>
    <row r="12399" spans="1:9" x14ac:dyDescent="0.25">
      <c r="A12399" s="151">
        <v>1835</v>
      </c>
      <c r="B12399" s="151">
        <f>A12399+1</f>
        <v>1836</v>
      </c>
      <c r="C12399" s="151" t="s">
        <v>541</v>
      </c>
      <c r="D12399" s="151" t="s">
        <v>26</v>
      </c>
      <c r="E12399" s="208" t="s">
        <v>35</v>
      </c>
      <c r="F12399" t="s">
        <v>14</v>
      </c>
      <c r="G12399" s="18">
        <v>110</v>
      </c>
      <c r="H12399" s="151" t="s">
        <v>563</v>
      </c>
      <c r="I12399" t="s">
        <v>17</v>
      </c>
    </row>
    <row r="12400" spans="1:9" x14ac:dyDescent="0.25">
      <c r="A12400" s="151">
        <v>1835</v>
      </c>
      <c r="B12400" s="151">
        <f>A12400+1</f>
        <v>1836</v>
      </c>
      <c r="C12400" s="151" t="s">
        <v>541</v>
      </c>
      <c r="D12400" s="151" t="s">
        <v>26</v>
      </c>
      <c r="E12400" s="208" t="s">
        <v>40</v>
      </c>
      <c r="F12400" t="s">
        <v>14</v>
      </c>
      <c r="G12400" s="18">
        <v>84672</v>
      </c>
      <c r="H12400" s="151" t="s">
        <v>563</v>
      </c>
      <c r="I12400" t="s">
        <v>17</v>
      </c>
    </row>
    <row r="12401" spans="1:9" x14ac:dyDescent="0.25">
      <c r="A12401" s="151">
        <v>1835</v>
      </c>
      <c r="B12401" s="151">
        <f>A12401+1</f>
        <v>1836</v>
      </c>
      <c r="C12401" s="151" t="s">
        <v>541</v>
      </c>
      <c r="D12401" s="151" t="s">
        <v>26</v>
      </c>
      <c r="E12401" s="208" t="s">
        <v>459</v>
      </c>
      <c r="F12401" t="s">
        <v>14</v>
      </c>
      <c r="G12401" s="18">
        <v>302</v>
      </c>
      <c r="H12401" s="151" t="s">
        <v>563</v>
      </c>
      <c r="I12401" t="s">
        <v>17</v>
      </c>
    </row>
    <row r="12402" spans="1:9" x14ac:dyDescent="0.25">
      <c r="A12402" s="151">
        <v>1835</v>
      </c>
      <c r="B12402" s="151">
        <f>A12402+1</f>
        <v>1836</v>
      </c>
      <c r="C12402" s="151" t="s">
        <v>541</v>
      </c>
      <c r="D12402" s="151" t="s">
        <v>26</v>
      </c>
      <c r="E12402" s="208" t="s">
        <v>94</v>
      </c>
      <c r="F12402" t="s">
        <v>14</v>
      </c>
      <c r="G12402" s="18">
        <v>60</v>
      </c>
      <c r="H12402" s="151" t="s">
        <v>563</v>
      </c>
      <c r="I12402" t="s">
        <v>17</v>
      </c>
    </row>
    <row r="12403" spans="1:9" x14ac:dyDescent="0.25">
      <c r="A12403" s="151">
        <v>1835</v>
      </c>
      <c r="B12403" s="151">
        <f>A12403+1</f>
        <v>1836</v>
      </c>
      <c r="C12403" s="151" t="s">
        <v>541</v>
      </c>
      <c r="D12403" s="151" t="s">
        <v>26</v>
      </c>
      <c r="E12403" s="208" t="s">
        <v>98</v>
      </c>
      <c r="F12403" t="s">
        <v>14</v>
      </c>
      <c r="G12403" s="18">
        <v>323062</v>
      </c>
      <c r="H12403" t="s">
        <v>561</v>
      </c>
      <c r="I12403" s="151" t="s">
        <v>562</v>
      </c>
    </row>
    <row r="12404" spans="1:9" x14ac:dyDescent="0.25">
      <c r="A12404" s="151">
        <v>1835</v>
      </c>
      <c r="B12404" s="151">
        <f>A12404+1</f>
        <v>1836</v>
      </c>
      <c r="C12404" s="151" t="s">
        <v>541</v>
      </c>
      <c r="D12404" s="151" t="s">
        <v>26</v>
      </c>
      <c r="E12404" s="208" t="s">
        <v>466</v>
      </c>
      <c r="F12404" t="s">
        <v>14</v>
      </c>
      <c r="G12404" s="18">
        <v>4524</v>
      </c>
      <c r="H12404" t="s">
        <v>561</v>
      </c>
      <c r="I12404" s="151" t="s">
        <v>562</v>
      </c>
    </row>
    <row r="12405" spans="1:9" x14ac:dyDescent="0.25">
      <c r="A12405" s="151">
        <v>1835</v>
      </c>
      <c r="B12405" s="151">
        <f>A12405+1</f>
        <v>1836</v>
      </c>
      <c r="C12405" s="151" t="s">
        <v>541</v>
      </c>
      <c r="D12405" s="151" t="s">
        <v>26</v>
      </c>
      <c r="E12405" s="208" t="s">
        <v>105</v>
      </c>
      <c r="F12405" t="s">
        <v>14</v>
      </c>
      <c r="G12405" s="18">
        <v>1796344</v>
      </c>
      <c r="H12405" t="s">
        <v>561</v>
      </c>
      <c r="I12405" s="151" t="s">
        <v>562</v>
      </c>
    </row>
    <row r="12406" spans="1:9" x14ac:dyDescent="0.25">
      <c r="A12406" s="151">
        <v>1835</v>
      </c>
      <c r="B12406" s="151">
        <f>A12406+1</f>
        <v>1836</v>
      </c>
      <c r="C12406" s="151" t="s">
        <v>541</v>
      </c>
      <c r="D12406" s="151" t="s">
        <v>26</v>
      </c>
      <c r="E12406" s="208" t="s">
        <v>106</v>
      </c>
      <c r="F12406" t="s">
        <v>14</v>
      </c>
      <c r="G12406" s="18">
        <v>788313</v>
      </c>
      <c r="H12406" t="s">
        <v>561</v>
      </c>
      <c r="I12406" s="151" t="s">
        <v>562</v>
      </c>
    </row>
    <row r="12407" spans="1:9" x14ac:dyDescent="0.25">
      <c r="A12407" s="151">
        <v>1835</v>
      </c>
      <c r="B12407" s="151">
        <f>A12407+1</f>
        <v>1836</v>
      </c>
      <c r="C12407" s="151" t="s">
        <v>541</v>
      </c>
      <c r="D12407" s="151" t="s">
        <v>26</v>
      </c>
      <c r="E12407" s="208" t="s">
        <v>101</v>
      </c>
      <c r="F12407" t="s">
        <v>14</v>
      </c>
      <c r="G12407" s="18">
        <v>3578346</v>
      </c>
      <c r="H12407" t="s">
        <v>561</v>
      </c>
      <c r="I12407" s="151" t="s">
        <v>562</v>
      </c>
    </row>
    <row r="12408" spans="1:9" x14ac:dyDescent="0.25">
      <c r="A12408" s="151">
        <v>1835</v>
      </c>
      <c r="B12408" s="151">
        <f>A12408+1</f>
        <v>1836</v>
      </c>
      <c r="C12408" s="151" t="s">
        <v>541</v>
      </c>
      <c r="D12408" s="151" t="s">
        <v>26</v>
      </c>
      <c r="E12408" s="208" t="s">
        <v>75</v>
      </c>
      <c r="F12408" t="s">
        <v>14</v>
      </c>
      <c r="G12408" s="18">
        <v>3634229</v>
      </c>
      <c r="H12408" t="s">
        <v>561</v>
      </c>
      <c r="I12408" s="151" t="s">
        <v>562</v>
      </c>
    </row>
    <row r="12409" spans="1:9" x14ac:dyDescent="0.25">
      <c r="A12409" s="151">
        <v>1835</v>
      </c>
      <c r="B12409" s="151">
        <f>A12409+1</f>
        <v>1836</v>
      </c>
      <c r="C12409" s="151" t="s">
        <v>541</v>
      </c>
      <c r="D12409" s="151" t="s">
        <v>26</v>
      </c>
      <c r="E12409" s="208" t="s">
        <v>66</v>
      </c>
      <c r="F12409" t="s">
        <v>14</v>
      </c>
      <c r="G12409" s="18">
        <v>10784</v>
      </c>
      <c r="H12409" t="s">
        <v>561</v>
      </c>
      <c r="I12409" s="151" t="s">
        <v>562</v>
      </c>
    </row>
    <row r="12410" spans="1:9" x14ac:dyDescent="0.25">
      <c r="A12410" s="151">
        <v>1835</v>
      </c>
      <c r="B12410" s="151">
        <f>A12410+1</f>
        <v>1836</v>
      </c>
      <c r="C12410" s="151" t="s">
        <v>541</v>
      </c>
      <c r="D12410" s="151" t="s">
        <v>26</v>
      </c>
      <c r="E12410" s="208" t="s">
        <v>460</v>
      </c>
      <c r="F12410" t="s">
        <v>14</v>
      </c>
      <c r="G12410" s="18">
        <v>4592</v>
      </c>
      <c r="H12410" t="s">
        <v>561</v>
      </c>
      <c r="I12410" s="151" t="s">
        <v>562</v>
      </c>
    </row>
    <row r="12411" spans="1:9" x14ac:dyDescent="0.25">
      <c r="A12411" s="151">
        <v>1835</v>
      </c>
      <c r="B12411" s="151">
        <f>A12411+1</f>
        <v>1836</v>
      </c>
      <c r="C12411" s="151" t="s">
        <v>541</v>
      </c>
      <c r="D12411" s="151" t="s">
        <v>26</v>
      </c>
      <c r="E12411" s="208" t="s">
        <v>28</v>
      </c>
      <c r="F12411" t="s">
        <v>14</v>
      </c>
      <c r="G12411" s="18">
        <v>658.5</v>
      </c>
      <c r="H12411" t="s">
        <v>561</v>
      </c>
      <c r="I12411" s="151" t="s">
        <v>562</v>
      </c>
    </row>
    <row r="12412" spans="1:9" x14ac:dyDescent="0.25">
      <c r="A12412" s="151">
        <v>1835</v>
      </c>
      <c r="B12412" s="151">
        <f>A12412+1</f>
        <v>1836</v>
      </c>
      <c r="C12412" s="151" t="s">
        <v>541</v>
      </c>
      <c r="D12412" s="151" t="s">
        <v>26</v>
      </c>
      <c r="E12412" s="208" t="s">
        <v>89</v>
      </c>
      <c r="F12412" t="s">
        <v>14</v>
      </c>
      <c r="G12412" s="18">
        <v>1562.5</v>
      </c>
      <c r="H12412" t="s">
        <v>561</v>
      </c>
      <c r="I12412" s="151" t="s">
        <v>562</v>
      </c>
    </row>
    <row r="12413" spans="1:9" x14ac:dyDescent="0.25">
      <c r="A12413" s="151">
        <v>1835</v>
      </c>
      <c r="B12413" s="151">
        <f>A12413+1</f>
        <v>1836</v>
      </c>
      <c r="C12413" s="151" t="s">
        <v>541</v>
      </c>
      <c r="D12413" s="151" t="s">
        <v>26</v>
      </c>
      <c r="E12413" s="208" t="s">
        <v>450</v>
      </c>
      <c r="F12413" t="s">
        <v>14</v>
      </c>
      <c r="G12413" s="18">
        <v>2711.5</v>
      </c>
      <c r="H12413" t="s">
        <v>561</v>
      </c>
      <c r="I12413" s="151" t="s">
        <v>562</v>
      </c>
    </row>
    <row r="12414" spans="1:9" x14ac:dyDescent="0.25">
      <c r="A12414" s="151">
        <v>1835</v>
      </c>
      <c r="B12414" s="151">
        <f>A12414+1</f>
        <v>1836</v>
      </c>
      <c r="C12414" s="151" t="s">
        <v>541</v>
      </c>
      <c r="D12414" s="151" t="s">
        <v>26</v>
      </c>
      <c r="E12414" s="208" t="s">
        <v>48</v>
      </c>
      <c r="F12414" t="s">
        <v>14</v>
      </c>
      <c r="G12414" s="18">
        <v>1800</v>
      </c>
      <c r="H12414" t="s">
        <v>561</v>
      </c>
      <c r="I12414" s="151" t="s">
        <v>562</v>
      </c>
    </row>
    <row r="12415" spans="1:9" x14ac:dyDescent="0.25">
      <c r="A12415" s="151">
        <v>1835</v>
      </c>
      <c r="B12415" s="151">
        <f>A12415+1</f>
        <v>1836</v>
      </c>
      <c r="C12415" s="151" t="s">
        <v>541</v>
      </c>
      <c r="D12415" s="151" t="s">
        <v>26</v>
      </c>
      <c r="E12415" s="208" t="s">
        <v>102</v>
      </c>
      <c r="F12415" t="s">
        <v>14</v>
      </c>
      <c r="G12415" s="18">
        <v>1346</v>
      </c>
      <c r="H12415" t="s">
        <v>561</v>
      </c>
      <c r="I12415" s="151" t="s">
        <v>562</v>
      </c>
    </row>
    <row r="12416" spans="1:9" x14ac:dyDescent="0.25">
      <c r="A12416" s="151">
        <v>1835</v>
      </c>
      <c r="B12416" s="151">
        <f>A12416+1</f>
        <v>1836</v>
      </c>
      <c r="C12416" s="151" t="s">
        <v>541</v>
      </c>
      <c r="D12416" s="151" t="s">
        <v>26</v>
      </c>
      <c r="E12416" s="208" t="s">
        <v>330</v>
      </c>
      <c r="F12416" t="s">
        <v>14</v>
      </c>
      <c r="G12416" s="18">
        <v>1116</v>
      </c>
      <c r="H12416" t="s">
        <v>561</v>
      </c>
      <c r="I12416" s="151" t="s">
        <v>562</v>
      </c>
    </row>
    <row r="12417" spans="1:9" x14ac:dyDescent="0.25">
      <c r="A12417" s="151">
        <v>1835</v>
      </c>
      <c r="B12417" s="151">
        <f>A12417+1</f>
        <v>1836</v>
      </c>
      <c r="C12417" s="151" t="s">
        <v>541</v>
      </c>
      <c r="D12417" s="151" t="s">
        <v>26</v>
      </c>
      <c r="E12417" s="208" t="s">
        <v>331</v>
      </c>
      <c r="F12417" t="s">
        <v>14</v>
      </c>
      <c r="G12417" s="18">
        <v>92</v>
      </c>
      <c r="H12417" t="s">
        <v>561</v>
      </c>
      <c r="I12417" s="151" t="s">
        <v>562</v>
      </c>
    </row>
    <row r="12418" spans="1:9" x14ac:dyDescent="0.25">
      <c r="A12418" s="151">
        <v>1835</v>
      </c>
      <c r="B12418" s="151">
        <f>A12418+1</f>
        <v>1836</v>
      </c>
      <c r="C12418" s="151" t="s">
        <v>541</v>
      </c>
      <c r="D12418" s="151" t="s">
        <v>26</v>
      </c>
      <c r="E12418" s="208" t="s">
        <v>332</v>
      </c>
      <c r="F12418" t="s">
        <v>14</v>
      </c>
      <c r="G12418" s="18">
        <v>32</v>
      </c>
      <c r="H12418" t="s">
        <v>561</v>
      </c>
      <c r="I12418" s="151" t="s">
        <v>562</v>
      </c>
    </row>
    <row r="12419" spans="1:9" x14ac:dyDescent="0.25">
      <c r="A12419" s="151">
        <v>1835</v>
      </c>
      <c r="B12419" s="151">
        <f>A12419+1</f>
        <v>1836</v>
      </c>
      <c r="C12419" s="151" t="s">
        <v>541</v>
      </c>
      <c r="D12419" s="151" t="s">
        <v>26</v>
      </c>
      <c r="E12419" s="208" t="s">
        <v>333</v>
      </c>
      <c r="F12419" t="s">
        <v>14</v>
      </c>
      <c r="G12419" s="18">
        <v>20</v>
      </c>
      <c r="H12419" t="s">
        <v>561</v>
      </c>
      <c r="I12419" s="151" t="s">
        <v>562</v>
      </c>
    </row>
    <row r="12420" spans="1:9" x14ac:dyDescent="0.25">
      <c r="A12420" s="151">
        <v>1835</v>
      </c>
      <c r="B12420" s="151">
        <f>A12420+1</f>
        <v>1836</v>
      </c>
      <c r="C12420" s="151" t="s">
        <v>541</v>
      </c>
      <c r="D12420" s="151" t="s">
        <v>27</v>
      </c>
      <c r="E12420" s="208" t="s">
        <v>155</v>
      </c>
      <c r="F12420" t="s">
        <v>15</v>
      </c>
      <c r="G12420" s="18">
        <v>61287</v>
      </c>
      <c r="H12420" t="s">
        <v>561</v>
      </c>
      <c r="I12420" s="151" t="s">
        <v>562</v>
      </c>
    </row>
    <row r="12421" spans="1:9" x14ac:dyDescent="0.25">
      <c r="A12421" s="151">
        <v>1835</v>
      </c>
      <c r="B12421" s="151">
        <f>A12421+1</f>
        <v>1836</v>
      </c>
      <c r="C12421" s="151" t="s">
        <v>541</v>
      </c>
      <c r="D12421" s="151" t="s">
        <v>27</v>
      </c>
      <c r="E12421" s="208" t="s">
        <v>156</v>
      </c>
      <c r="F12421" t="s">
        <v>15</v>
      </c>
      <c r="G12421" s="18">
        <v>8098</v>
      </c>
      <c r="H12421" t="s">
        <v>561</v>
      </c>
      <c r="I12421" s="151" t="s">
        <v>562</v>
      </c>
    </row>
    <row r="12422" spans="1:9" x14ac:dyDescent="0.25">
      <c r="A12422" s="151">
        <v>1835</v>
      </c>
      <c r="B12422" s="151">
        <f>A12422+1</f>
        <v>1836</v>
      </c>
      <c r="C12422" s="151" t="s">
        <v>541</v>
      </c>
      <c r="D12422" s="151" t="s">
        <v>27</v>
      </c>
      <c r="E12422" s="208" t="s">
        <v>154</v>
      </c>
      <c r="F12422" t="s">
        <v>15</v>
      </c>
      <c r="G12422" s="18">
        <v>3768</v>
      </c>
      <c r="H12422" t="s">
        <v>561</v>
      </c>
      <c r="I12422" s="151" t="s">
        <v>562</v>
      </c>
    </row>
    <row r="12423" spans="1:9" x14ac:dyDescent="0.25">
      <c r="A12423" s="151">
        <v>1835</v>
      </c>
      <c r="B12423" s="151">
        <f>A12423+1</f>
        <v>1836</v>
      </c>
      <c r="C12423" s="151" t="s">
        <v>541</v>
      </c>
      <c r="D12423" s="151" t="s">
        <v>27</v>
      </c>
      <c r="E12423" s="208" t="s">
        <v>150</v>
      </c>
      <c r="F12423" t="s">
        <v>15</v>
      </c>
      <c r="G12423" s="18">
        <v>19972</v>
      </c>
      <c r="H12423" t="s">
        <v>561</v>
      </c>
      <c r="I12423" s="151" t="s">
        <v>562</v>
      </c>
    </row>
    <row r="12424" spans="1:9" x14ac:dyDescent="0.25">
      <c r="A12424" s="151">
        <v>1835</v>
      </c>
      <c r="B12424" s="151">
        <f>A12424+1</f>
        <v>1836</v>
      </c>
      <c r="C12424" s="151" t="s">
        <v>541</v>
      </c>
      <c r="D12424" s="151" t="s">
        <v>27</v>
      </c>
      <c r="E12424" s="208" t="s">
        <v>148</v>
      </c>
      <c r="F12424" t="s">
        <v>15</v>
      </c>
      <c r="G12424" s="18">
        <v>1057</v>
      </c>
      <c r="H12424" t="s">
        <v>561</v>
      </c>
      <c r="I12424" s="151" t="s">
        <v>562</v>
      </c>
    </row>
    <row r="12425" spans="1:9" x14ac:dyDescent="0.25">
      <c r="A12425" s="151">
        <v>1835</v>
      </c>
      <c r="B12425" s="151">
        <f>A12425+1</f>
        <v>1836</v>
      </c>
      <c r="C12425" s="151" t="s">
        <v>541</v>
      </c>
      <c r="D12425" s="151" t="s">
        <v>27</v>
      </c>
      <c r="E12425" s="208" t="s">
        <v>147</v>
      </c>
      <c r="F12425" t="s">
        <v>15</v>
      </c>
      <c r="G12425" s="18">
        <v>468</v>
      </c>
      <c r="H12425" t="s">
        <v>561</v>
      </c>
      <c r="I12425" s="151" t="s">
        <v>562</v>
      </c>
    </row>
    <row r="12426" spans="1:9" x14ac:dyDescent="0.25">
      <c r="A12426" s="151">
        <v>1835</v>
      </c>
      <c r="B12426" s="151">
        <f>A12426+1</f>
        <v>1836</v>
      </c>
      <c r="C12426" s="151" t="s">
        <v>541</v>
      </c>
      <c r="D12426" s="151" t="s">
        <v>27</v>
      </c>
      <c r="E12426" s="208" t="s">
        <v>125</v>
      </c>
      <c r="F12426" t="s">
        <v>15</v>
      </c>
      <c r="G12426" s="18">
        <v>16392</v>
      </c>
      <c r="H12426" t="s">
        <v>561</v>
      </c>
      <c r="I12426" s="151" t="s">
        <v>562</v>
      </c>
    </row>
    <row r="12427" spans="1:9" x14ac:dyDescent="0.25">
      <c r="A12427" s="151">
        <v>1835</v>
      </c>
      <c r="B12427" s="151">
        <f>A12427+1</f>
        <v>1836</v>
      </c>
      <c r="C12427" s="151" t="s">
        <v>541</v>
      </c>
      <c r="D12427" s="151" t="s">
        <v>27</v>
      </c>
      <c r="E12427" s="208" t="s">
        <v>122</v>
      </c>
      <c r="F12427" t="s">
        <v>15</v>
      </c>
      <c r="G12427" s="18">
        <v>3300</v>
      </c>
      <c r="H12427" t="s">
        <v>561</v>
      </c>
      <c r="I12427" s="151" t="s">
        <v>562</v>
      </c>
    </row>
    <row r="12428" spans="1:9" x14ac:dyDescent="0.25">
      <c r="A12428" s="151">
        <v>1835</v>
      </c>
      <c r="B12428" s="151">
        <f>A12428+1</f>
        <v>1836</v>
      </c>
      <c r="C12428" s="151" t="s">
        <v>541</v>
      </c>
      <c r="D12428" s="151" t="s">
        <v>27</v>
      </c>
      <c r="E12428" s="208" t="s">
        <v>123</v>
      </c>
      <c r="F12428" t="s">
        <v>15</v>
      </c>
      <c r="G12428" s="18">
        <v>626</v>
      </c>
      <c r="H12428" s="151" t="s">
        <v>563</v>
      </c>
      <c r="I12428" t="s">
        <v>561</v>
      </c>
    </row>
    <row r="12429" spans="1:9" x14ac:dyDescent="0.25">
      <c r="A12429" s="151">
        <v>1835</v>
      </c>
      <c r="B12429" s="151">
        <f>A12429+1</f>
        <v>1836</v>
      </c>
      <c r="C12429" s="151" t="s">
        <v>541</v>
      </c>
      <c r="D12429" s="151" t="s">
        <v>27</v>
      </c>
      <c r="E12429" s="208" t="s">
        <v>121</v>
      </c>
      <c r="F12429" t="s">
        <v>15</v>
      </c>
      <c r="G12429" s="18">
        <v>157</v>
      </c>
      <c r="H12429" s="151" t="s">
        <v>563</v>
      </c>
      <c r="I12429" t="s">
        <v>561</v>
      </c>
    </row>
    <row r="12430" spans="1:9" x14ac:dyDescent="0.25">
      <c r="A12430" s="151">
        <v>1835</v>
      </c>
      <c r="B12430" s="151">
        <f>A12430+1</f>
        <v>1836</v>
      </c>
      <c r="C12430" s="151" t="s">
        <v>541</v>
      </c>
      <c r="D12430" s="151" t="s">
        <v>27</v>
      </c>
      <c r="E12430" s="208" t="s">
        <v>139</v>
      </c>
      <c r="F12430" t="s">
        <v>15</v>
      </c>
      <c r="G12430" s="18">
        <v>180</v>
      </c>
      <c r="H12430" s="151" t="s">
        <v>563</v>
      </c>
      <c r="I12430" t="s">
        <v>561</v>
      </c>
    </row>
    <row r="12431" spans="1:9" x14ac:dyDescent="0.25">
      <c r="A12431" s="151">
        <v>1835</v>
      </c>
      <c r="B12431" s="151">
        <f>A12431+1</f>
        <v>1836</v>
      </c>
      <c r="C12431" s="151" t="s">
        <v>541</v>
      </c>
      <c r="D12431" s="151" t="s">
        <v>27</v>
      </c>
      <c r="E12431" s="208" t="s">
        <v>131</v>
      </c>
      <c r="F12431" t="s">
        <v>15</v>
      </c>
      <c r="G12431" s="18">
        <v>5451.5</v>
      </c>
      <c r="H12431" s="151" t="s">
        <v>563</v>
      </c>
      <c r="I12431" t="s">
        <v>561</v>
      </c>
    </row>
    <row r="12432" spans="1:9" x14ac:dyDescent="0.25">
      <c r="A12432" s="151">
        <v>1835</v>
      </c>
      <c r="B12432" s="151">
        <f>A12432+1</f>
        <v>1836</v>
      </c>
      <c r="C12432" s="151" t="s">
        <v>541</v>
      </c>
      <c r="D12432" s="151" t="s">
        <v>27</v>
      </c>
      <c r="E12432" s="208" t="s">
        <v>130</v>
      </c>
      <c r="F12432" t="s">
        <v>15</v>
      </c>
      <c r="G12432" s="18">
        <v>90</v>
      </c>
      <c r="H12432" s="151" t="s">
        <v>563</v>
      </c>
      <c r="I12432" t="s">
        <v>561</v>
      </c>
    </row>
    <row r="12433" spans="1:9" x14ac:dyDescent="0.25">
      <c r="A12433" s="151">
        <v>1835</v>
      </c>
      <c r="B12433" s="151">
        <f>A12433+1</f>
        <v>1836</v>
      </c>
      <c r="C12433" s="151" t="s">
        <v>541</v>
      </c>
      <c r="D12433" s="151" t="s">
        <v>27</v>
      </c>
      <c r="E12433" s="208" t="s">
        <v>143</v>
      </c>
      <c r="F12433" t="s">
        <v>15</v>
      </c>
      <c r="G12433" s="18">
        <v>564</v>
      </c>
      <c r="H12433" s="151" t="s">
        <v>563</v>
      </c>
      <c r="I12433" t="s">
        <v>561</v>
      </c>
    </row>
    <row r="12434" spans="1:9" x14ac:dyDescent="0.25">
      <c r="A12434" s="151">
        <v>1835</v>
      </c>
      <c r="B12434" s="151">
        <f>A12434+1</f>
        <v>1836</v>
      </c>
      <c r="C12434" s="151" t="s">
        <v>541</v>
      </c>
      <c r="D12434" s="151" t="s">
        <v>27</v>
      </c>
      <c r="E12434" s="208" t="s">
        <v>142</v>
      </c>
      <c r="F12434" t="s">
        <v>15</v>
      </c>
      <c r="G12434" s="18">
        <v>62632</v>
      </c>
      <c r="H12434" s="151" t="s">
        <v>563</v>
      </c>
      <c r="I12434" t="s">
        <v>561</v>
      </c>
    </row>
    <row r="12435" spans="1:9" x14ac:dyDescent="0.25">
      <c r="A12435" s="151">
        <v>1835</v>
      </c>
      <c r="B12435" s="151">
        <f>A12435+1</f>
        <v>1836</v>
      </c>
      <c r="C12435" s="151" t="s">
        <v>541</v>
      </c>
      <c r="D12435" s="151" t="s">
        <v>27</v>
      </c>
      <c r="E12435" s="208" t="s">
        <v>127</v>
      </c>
      <c r="F12435" t="s">
        <v>15</v>
      </c>
      <c r="G12435" s="18">
        <v>240</v>
      </c>
      <c r="H12435" s="151" t="s">
        <v>563</v>
      </c>
      <c r="I12435" t="s">
        <v>561</v>
      </c>
    </row>
    <row r="12436" spans="1:9" x14ac:dyDescent="0.25">
      <c r="A12436" s="151">
        <v>1835</v>
      </c>
      <c r="B12436" s="151">
        <f>A12436+1</f>
        <v>1836</v>
      </c>
      <c r="C12436" s="151" t="s">
        <v>541</v>
      </c>
      <c r="D12436" s="151" t="s">
        <v>27</v>
      </c>
      <c r="E12436" s="208" t="s">
        <v>133</v>
      </c>
      <c r="F12436" t="s">
        <v>15</v>
      </c>
      <c r="G12436" s="18">
        <v>9601</v>
      </c>
      <c r="H12436" s="151" t="s">
        <v>563</v>
      </c>
      <c r="I12436" t="s">
        <v>561</v>
      </c>
    </row>
    <row r="12437" spans="1:9" x14ac:dyDescent="0.25">
      <c r="A12437" s="151">
        <v>1835</v>
      </c>
      <c r="B12437" s="151">
        <f>A12437+1</f>
        <v>1836</v>
      </c>
      <c r="C12437" s="151" t="s">
        <v>541</v>
      </c>
      <c r="D12437" s="151" t="s">
        <v>27</v>
      </c>
      <c r="E12437" s="208" t="s">
        <v>74</v>
      </c>
      <c r="F12437" t="s">
        <v>15</v>
      </c>
      <c r="G12437" s="18">
        <v>5727</v>
      </c>
      <c r="H12437" s="151" t="s">
        <v>563</v>
      </c>
      <c r="I12437" t="s">
        <v>561</v>
      </c>
    </row>
    <row r="12438" spans="1:9" x14ac:dyDescent="0.25">
      <c r="A12438" s="151">
        <v>1835</v>
      </c>
      <c r="B12438" s="151">
        <f>A12438+1</f>
        <v>1836</v>
      </c>
      <c r="C12438" s="151" t="s">
        <v>541</v>
      </c>
      <c r="D12438" s="151" t="s">
        <v>27</v>
      </c>
      <c r="E12438" s="208" t="s">
        <v>129</v>
      </c>
      <c r="F12438" t="s">
        <v>15</v>
      </c>
      <c r="G12438" s="18">
        <v>556.5</v>
      </c>
      <c r="H12438" s="151" t="s">
        <v>563</v>
      </c>
      <c r="I12438" t="s">
        <v>561</v>
      </c>
    </row>
    <row r="12439" spans="1:9" x14ac:dyDescent="0.25">
      <c r="A12439" s="151">
        <v>1835</v>
      </c>
      <c r="B12439" s="151">
        <f>A12439+1</f>
        <v>1836</v>
      </c>
      <c r="C12439" s="151" t="s">
        <v>541</v>
      </c>
      <c r="D12439" s="151" t="s">
        <v>27</v>
      </c>
      <c r="E12439" s="208" t="s">
        <v>141</v>
      </c>
      <c r="F12439" t="s">
        <v>15</v>
      </c>
      <c r="G12439" s="18">
        <v>565.5</v>
      </c>
      <c r="H12439" s="151" t="s">
        <v>563</v>
      </c>
      <c r="I12439" t="s">
        <v>561</v>
      </c>
    </row>
    <row r="12440" spans="1:9" x14ac:dyDescent="0.25">
      <c r="A12440" s="151">
        <v>1835</v>
      </c>
      <c r="B12440" s="151">
        <f>A12440+1</f>
        <v>1836</v>
      </c>
      <c r="C12440" s="151" t="s">
        <v>541</v>
      </c>
      <c r="D12440" s="151" t="s">
        <v>27</v>
      </c>
      <c r="E12440" s="208" t="s">
        <v>135</v>
      </c>
      <c r="F12440" t="s">
        <v>15</v>
      </c>
      <c r="G12440" s="18">
        <v>201.5</v>
      </c>
      <c r="H12440" s="151" t="s">
        <v>563</v>
      </c>
      <c r="I12440" t="s">
        <v>561</v>
      </c>
    </row>
    <row r="12441" spans="1:9" x14ac:dyDescent="0.25">
      <c r="A12441" s="151">
        <v>1835</v>
      </c>
      <c r="B12441" s="151">
        <f>A12441+1</f>
        <v>1836</v>
      </c>
      <c r="C12441" s="151" t="s">
        <v>541</v>
      </c>
      <c r="D12441" s="151" t="s">
        <v>27</v>
      </c>
      <c r="E12441" s="208" t="s">
        <v>128</v>
      </c>
      <c r="F12441" t="s">
        <v>15</v>
      </c>
      <c r="G12441" s="18">
        <v>308.5</v>
      </c>
      <c r="H12441" s="151" t="s">
        <v>563</v>
      </c>
      <c r="I12441" t="s">
        <v>561</v>
      </c>
    </row>
    <row r="12442" spans="1:9" x14ac:dyDescent="0.25">
      <c r="A12442" s="151">
        <v>1835</v>
      </c>
      <c r="B12442" s="151">
        <f>A12442+1</f>
        <v>1836</v>
      </c>
      <c r="C12442" s="151" t="s">
        <v>541</v>
      </c>
      <c r="D12442" s="151" t="s">
        <v>27</v>
      </c>
      <c r="E12442" s="208" t="s">
        <v>78</v>
      </c>
      <c r="F12442" t="s">
        <v>15</v>
      </c>
      <c r="G12442" s="18">
        <v>5137</v>
      </c>
      <c r="H12442" s="151" t="s">
        <v>563</v>
      </c>
      <c r="I12442" t="s">
        <v>561</v>
      </c>
    </row>
    <row r="12443" spans="1:9" x14ac:dyDescent="0.25">
      <c r="A12443" s="151">
        <v>1835</v>
      </c>
      <c r="B12443" s="151">
        <f>A12443+1</f>
        <v>1836</v>
      </c>
      <c r="C12443" s="151" t="s">
        <v>541</v>
      </c>
      <c r="D12443" s="151" t="s">
        <v>27</v>
      </c>
      <c r="E12443" s="208" t="s">
        <v>119</v>
      </c>
      <c r="F12443" t="s">
        <v>15</v>
      </c>
      <c r="G12443" s="18">
        <v>1278</v>
      </c>
      <c r="H12443" s="151" t="s">
        <v>563</v>
      </c>
      <c r="I12443" t="s">
        <v>561</v>
      </c>
    </row>
    <row r="12444" spans="1:9" x14ac:dyDescent="0.25">
      <c r="A12444" s="151">
        <v>1835</v>
      </c>
      <c r="B12444" s="151">
        <f>A12444+1</f>
        <v>1836</v>
      </c>
      <c r="C12444" s="151" t="s">
        <v>541</v>
      </c>
      <c r="D12444" s="151" t="s">
        <v>27</v>
      </c>
      <c r="E12444" s="208" t="s">
        <v>134</v>
      </c>
      <c r="F12444" t="s">
        <v>15</v>
      </c>
      <c r="G12444" s="18">
        <v>42748</v>
      </c>
      <c r="H12444" s="151" t="s">
        <v>563</v>
      </c>
      <c r="I12444" t="s">
        <v>561</v>
      </c>
    </row>
    <row r="12445" spans="1:9" x14ac:dyDescent="0.25">
      <c r="A12445" s="151">
        <v>1835</v>
      </c>
      <c r="B12445" s="151">
        <f>A12445+1</f>
        <v>1836</v>
      </c>
      <c r="C12445" s="151" t="s">
        <v>541</v>
      </c>
      <c r="D12445" s="151" t="s">
        <v>26</v>
      </c>
      <c r="E12445" s="208" t="s">
        <v>34</v>
      </c>
      <c r="F12445" t="s">
        <v>15</v>
      </c>
      <c r="G12445" s="18">
        <v>52424</v>
      </c>
      <c r="H12445" s="151" t="s">
        <v>563</v>
      </c>
      <c r="I12445" t="s">
        <v>561</v>
      </c>
    </row>
    <row r="12446" spans="1:9" x14ac:dyDescent="0.25">
      <c r="A12446" s="151">
        <v>1835</v>
      </c>
      <c r="B12446" s="151">
        <f>A12446+1</f>
        <v>1836</v>
      </c>
      <c r="C12446" s="151" t="s">
        <v>541</v>
      </c>
      <c r="D12446" s="151" t="s">
        <v>26</v>
      </c>
      <c r="E12446" s="208" t="s">
        <v>63</v>
      </c>
      <c r="F12446" t="s">
        <v>15</v>
      </c>
      <c r="G12446" s="18">
        <v>20945</v>
      </c>
      <c r="H12446" s="151" t="s">
        <v>563</v>
      </c>
      <c r="I12446" t="s">
        <v>561</v>
      </c>
    </row>
    <row r="12447" spans="1:9" x14ac:dyDescent="0.25">
      <c r="A12447" s="151">
        <v>1835</v>
      </c>
      <c r="B12447" s="151">
        <f>A12447+1</f>
        <v>1836</v>
      </c>
      <c r="C12447" s="151" t="s">
        <v>541</v>
      </c>
      <c r="D12447" s="151" t="s">
        <v>26</v>
      </c>
      <c r="E12447" s="208" t="s">
        <v>62</v>
      </c>
      <c r="F12447" t="s">
        <v>15</v>
      </c>
      <c r="G12447" s="18">
        <v>56351</v>
      </c>
      <c r="H12447" s="151" t="s">
        <v>563</v>
      </c>
      <c r="I12447" t="s">
        <v>561</v>
      </c>
    </row>
    <row r="12448" spans="1:9" x14ac:dyDescent="0.25">
      <c r="A12448" s="151">
        <v>1835</v>
      </c>
      <c r="B12448" s="151">
        <f>A12448+1</f>
        <v>1836</v>
      </c>
      <c r="C12448" s="151" t="s">
        <v>541</v>
      </c>
      <c r="D12448" s="151" t="s">
        <v>26</v>
      </c>
      <c r="E12448" s="208" t="s">
        <v>55</v>
      </c>
      <c r="F12448" t="s">
        <v>15</v>
      </c>
      <c r="G12448" s="18">
        <v>6884</v>
      </c>
      <c r="H12448" s="151" t="s">
        <v>563</v>
      </c>
      <c r="I12448" t="s">
        <v>561</v>
      </c>
    </row>
    <row r="12449" spans="1:9" x14ac:dyDescent="0.25">
      <c r="A12449" s="151">
        <v>1835</v>
      </c>
      <c r="B12449" s="151">
        <f>A12449+1</f>
        <v>1836</v>
      </c>
      <c r="C12449" s="151" t="s">
        <v>541</v>
      </c>
      <c r="D12449" s="151" t="s">
        <v>26</v>
      </c>
      <c r="E12449" s="208" t="s">
        <v>36</v>
      </c>
      <c r="F12449" t="s">
        <v>15</v>
      </c>
      <c r="G12449" s="18">
        <v>4409</v>
      </c>
      <c r="H12449" s="151" t="s">
        <v>563</v>
      </c>
      <c r="I12449" t="s">
        <v>561</v>
      </c>
    </row>
    <row r="12450" spans="1:9" x14ac:dyDescent="0.25">
      <c r="A12450" s="151">
        <v>1835</v>
      </c>
      <c r="B12450" s="151">
        <f>A12450+1</f>
        <v>1836</v>
      </c>
      <c r="C12450" s="151" t="s">
        <v>541</v>
      </c>
      <c r="D12450" s="151" t="s">
        <v>26</v>
      </c>
      <c r="E12450" s="208" t="s">
        <v>35</v>
      </c>
      <c r="F12450" t="s">
        <v>15</v>
      </c>
      <c r="G12450" s="18">
        <v>110</v>
      </c>
      <c r="H12450" s="151" t="s">
        <v>563</v>
      </c>
      <c r="I12450" t="s">
        <v>561</v>
      </c>
    </row>
    <row r="12451" spans="1:9" x14ac:dyDescent="0.25">
      <c r="A12451" s="151">
        <v>1835</v>
      </c>
      <c r="B12451" s="151">
        <f>A12451+1</f>
        <v>1836</v>
      </c>
      <c r="C12451" s="151" t="s">
        <v>541</v>
      </c>
      <c r="D12451" s="151" t="s">
        <v>26</v>
      </c>
      <c r="E12451" s="208" t="s">
        <v>40</v>
      </c>
      <c r="F12451" t="s">
        <v>15</v>
      </c>
      <c r="G12451" s="18">
        <v>84672</v>
      </c>
      <c r="H12451" s="151" t="s">
        <v>563</v>
      </c>
      <c r="I12451" t="s">
        <v>561</v>
      </c>
    </row>
    <row r="12452" spans="1:9" x14ac:dyDescent="0.25">
      <c r="A12452" s="151">
        <v>1835</v>
      </c>
      <c r="B12452" s="151">
        <f>A12452+1</f>
        <v>1836</v>
      </c>
      <c r="C12452" s="151" t="s">
        <v>541</v>
      </c>
      <c r="D12452" s="151" t="s">
        <v>26</v>
      </c>
      <c r="E12452" s="208" t="s">
        <v>459</v>
      </c>
      <c r="F12452" t="s">
        <v>15</v>
      </c>
      <c r="G12452" s="18">
        <v>5767</v>
      </c>
      <c r="H12452" s="151" t="s">
        <v>563</v>
      </c>
      <c r="I12452" t="s">
        <v>561</v>
      </c>
    </row>
    <row r="12453" spans="1:9" x14ac:dyDescent="0.25">
      <c r="A12453" s="151">
        <v>1835</v>
      </c>
      <c r="B12453" s="151">
        <f>A12453+1</f>
        <v>1836</v>
      </c>
      <c r="C12453" s="151" t="s">
        <v>541</v>
      </c>
      <c r="D12453" s="151" t="s">
        <v>26</v>
      </c>
      <c r="E12453" s="208" t="s">
        <v>94</v>
      </c>
      <c r="F12453" t="s">
        <v>15</v>
      </c>
      <c r="G12453" s="18">
        <v>60</v>
      </c>
      <c r="H12453" s="151" t="s">
        <v>563</v>
      </c>
      <c r="I12453" t="s">
        <v>561</v>
      </c>
    </row>
    <row r="12454" spans="1:9" x14ac:dyDescent="0.25">
      <c r="A12454" s="151">
        <v>1835</v>
      </c>
      <c r="B12454" s="151">
        <f>A12454+1</f>
        <v>1836</v>
      </c>
      <c r="C12454" s="151" t="s">
        <v>541</v>
      </c>
      <c r="D12454" s="151" t="s">
        <v>26</v>
      </c>
      <c r="E12454" s="208" t="s">
        <v>98</v>
      </c>
      <c r="F12454" t="s">
        <v>15</v>
      </c>
      <c r="G12454" s="18">
        <v>554214</v>
      </c>
      <c r="H12454" s="151" t="s">
        <v>563</v>
      </c>
      <c r="I12454" t="s">
        <v>16</v>
      </c>
    </row>
    <row r="12455" spans="1:9" x14ac:dyDescent="0.25">
      <c r="A12455" s="151">
        <v>1835</v>
      </c>
      <c r="B12455" s="151">
        <f>A12455+1</f>
        <v>1836</v>
      </c>
      <c r="C12455" s="151" t="s">
        <v>541</v>
      </c>
      <c r="D12455" s="151" t="s">
        <v>26</v>
      </c>
      <c r="E12455" s="208" t="s">
        <v>466</v>
      </c>
      <c r="F12455" t="s">
        <v>15</v>
      </c>
      <c r="G12455" s="18">
        <v>13672</v>
      </c>
      <c r="H12455" s="151" t="s">
        <v>563</v>
      </c>
      <c r="I12455" t="s">
        <v>17</v>
      </c>
    </row>
    <row r="12456" spans="1:9" x14ac:dyDescent="0.25">
      <c r="A12456" s="151">
        <v>1835</v>
      </c>
      <c r="B12456" s="151">
        <f>A12456+1</f>
        <v>1836</v>
      </c>
      <c r="C12456" s="151" t="s">
        <v>541</v>
      </c>
      <c r="D12456" s="151" t="s">
        <v>26</v>
      </c>
      <c r="E12456" s="208" t="s">
        <v>105</v>
      </c>
      <c r="F12456" t="s">
        <v>15</v>
      </c>
      <c r="G12456" s="18">
        <v>2688233</v>
      </c>
      <c r="H12456" s="151" t="s">
        <v>563</v>
      </c>
      <c r="I12456" t="s">
        <v>561</v>
      </c>
    </row>
    <row r="12457" spans="1:9" x14ac:dyDescent="0.25">
      <c r="A12457" s="151">
        <v>1835</v>
      </c>
      <c r="B12457" s="151">
        <f>A12457+1</f>
        <v>1836</v>
      </c>
      <c r="C12457" s="151" t="s">
        <v>541</v>
      </c>
      <c r="D12457" s="151" t="s">
        <v>26</v>
      </c>
      <c r="E12457" s="208" t="s">
        <v>106</v>
      </c>
      <c r="F12457" t="s">
        <v>15</v>
      </c>
      <c r="G12457" s="18">
        <v>1078483</v>
      </c>
      <c r="H12457" s="151" t="s">
        <v>563</v>
      </c>
      <c r="I12457" t="s">
        <v>16</v>
      </c>
    </row>
    <row r="12458" spans="1:9" x14ac:dyDescent="0.25">
      <c r="A12458" s="151">
        <v>1835</v>
      </c>
      <c r="B12458" s="151">
        <f>A12458+1</f>
        <v>1836</v>
      </c>
      <c r="C12458" s="151" t="s">
        <v>541</v>
      </c>
      <c r="D12458" s="151" t="s">
        <v>26</v>
      </c>
      <c r="E12458" s="208" t="s">
        <v>101</v>
      </c>
      <c r="F12458" t="s">
        <v>15</v>
      </c>
      <c r="G12458" s="18">
        <v>6864241</v>
      </c>
      <c r="H12458" s="151" t="s">
        <v>563</v>
      </c>
      <c r="I12458" t="s">
        <v>17</v>
      </c>
    </row>
    <row r="12459" spans="1:9" x14ac:dyDescent="0.25">
      <c r="A12459" s="151">
        <v>1835</v>
      </c>
      <c r="B12459" s="151">
        <f>A12459+1</f>
        <v>1836</v>
      </c>
      <c r="C12459" s="151" t="s">
        <v>541</v>
      </c>
      <c r="D12459" s="151" t="s">
        <v>26</v>
      </c>
      <c r="E12459" s="208" t="s">
        <v>75</v>
      </c>
      <c r="F12459" t="s">
        <v>15</v>
      </c>
      <c r="G12459" s="18">
        <v>6701217</v>
      </c>
      <c r="H12459" s="151" t="s">
        <v>563</v>
      </c>
      <c r="I12459" t="s">
        <v>561</v>
      </c>
    </row>
    <row r="12460" spans="1:9" x14ac:dyDescent="0.25">
      <c r="A12460" s="151">
        <v>1835</v>
      </c>
      <c r="B12460" s="151">
        <f>A12460+1</f>
        <v>1836</v>
      </c>
      <c r="C12460" s="151" t="s">
        <v>541</v>
      </c>
      <c r="D12460" s="151" t="s">
        <v>26</v>
      </c>
      <c r="E12460" s="208" t="s">
        <v>66</v>
      </c>
      <c r="F12460" t="s">
        <v>15</v>
      </c>
      <c r="G12460" s="18">
        <v>237014</v>
      </c>
      <c r="H12460" s="151" t="s">
        <v>563</v>
      </c>
      <c r="I12460" t="s">
        <v>16</v>
      </c>
    </row>
    <row r="12461" spans="1:9" x14ac:dyDescent="0.25">
      <c r="A12461" s="151">
        <v>1835</v>
      </c>
      <c r="B12461" s="151">
        <f>A12461+1</f>
        <v>1836</v>
      </c>
      <c r="C12461" s="151" t="s">
        <v>541</v>
      </c>
      <c r="D12461" s="151" t="s">
        <v>26</v>
      </c>
      <c r="E12461" s="208" t="s">
        <v>460</v>
      </c>
      <c r="F12461" t="s">
        <v>15</v>
      </c>
      <c r="G12461" s="18">
        <v>4592</v>
      </c>
      <c r="H12461" s="151" t="s">
        <v>563</v>
      </c>
      <c r="I12461" t="s">
        <v>17</v>
      </c>
    </row>
    <row r="12462" spans="1:9" x14ac:dyDescent="0.25">
      <c r="A12462" s="151">
        <v>1835</v>
      </c>
      <c r="B12462" s="151">
        <f>A12462+1</f>
        <v>1836</v>
      </c>
      <c r="C12462" s="151" t="s">
        <v>541</v>
      </c>
      <c r="D12462" s="151" t="s">
        <v>26</v>
      </c>
      <c r="E12462" s="208" t="s">
        <v>28</v>
      </c>
      <c r="F12462" t="s">
        <v>15</v>
      </c>
      <c r="G12462" s="18">
        <v>5100.5</v>
      </c>
      <c r="H12462" s="151" t="s">
        <v>563</v>
      </c>
      <c r="I12462" t="s">
        <v>561</v>
      </c>
    </row>
    <row r="12463" spans="1:9" x14ac:dyDescent="0.25">
      <c r="A12463" s="151">
        <v>1835</v>
      </c>
      <c r="B12463" s="151">
        <f>A12463+1</f>
        <v>1836</v>
      </c>
      <c r="C12463" s="151" t="s">
        <v>541</v>
      </c>
      <c r="D12463" s="151" t="s">
        <v>26</v>
      </c>
      <c r="E12463" s="208" t="s">
        <v>89</v>
      </c>
      <c r="F12463" t="s">
        <v>15</v>
      </c>
      <c r="G12463" s="18">
        <v>3380.5</v>
      </c>
      <c r="H12463" s="151" t="s">
        <v>563</v>
      </c>
      <c r="I12463" t="s">
        <v>16</v>
      </c>
    </row>
    <row r="12464" spans="1:9" x14ac:dyDescent="0.25">
      <c r="A12464" s="151">
        <v>1835</v>
      </c>
      <c r="B12464" s="151">
        <f>A12464+1</f>
        <v>1836</v>
      </c>
      <c r="C12464" s="151" t="s">
        <v>541</v>
      </c>
      <c r="D12464" s="151" t="s">
        <v>26</v>
      </c>
      <c r="E12464" s="208" t="s">
        <v>450</v>
      </c>
      <c r="F12464" t="s">
        <v>15</v>
      </c>
      <c r="G12464" s="18">
        <v>23338.5</v>
      </c>
      <c r="H12464" s="151" t="s">
        <v>563</v>
      </c>
      <c r="I12464" t="s">
        <v>17</v>
      </c>
    </row>
    <row r="12465" spans="1:9" x14ac:dyDescent="0.25">
      <c r="A12465" s="151">
        <v>1835</v>
      </c>
      <c r="B12465" s="151">
        <f>A12465+1</f>
        <v>1836</v>
      </c>
      <c r="C12465" s="151" t="s">
        <v>541</v>
      </c>
      <c r="D12465" s="151" t="s">
        <v>26</v>
      </c>
      <c r="E12465" s="208" t="s">
        <v>48</v>
      </c>
      <c r="F12465" t="s">
        <v>15</v>
      </c>
      <c r="G12465" s="18">
        <v>18430</v>
      </c>
      <c r="H12465" s="151" t="s">
        <v>563</v>
      </c>
      <c r="I12465" t="s">
        <v>561</v>
      </c>
    </row>
    <row r="12466" spans="1:9" x14ac:dyDescent="0.25">
      <c r="A12466" s="151">
        <v>1835</v>
      </c>
      <c r="B12466" s="151">
        <f>A12466+1</f>
        <v>1836</v>
      </c>
      <c r="C12466" s="151" t="s">
        <v>541</v>
      </c>
      <c r="D12466" s="151" t="s">
        <v>26</v>
      </c>
      <c r="E12466" s="208" t="s">
        <v>102</v>
      </c>
      <c r="F12466" t="s">
        <v>15</v>
      </c>
      <c r="G12466" s="18">
        <v>23376</v>
      </c>
      <c r="H12466" s="151" t="s">
        <v>563</v>
      </c>
      <c r="I12466" t="s">
        <v>16</v>
      </c>
    </row>
    <row r="12467" spans="1:9" x14ac:dyDescent="0.25">
      <c r="A12467" s="151">
        <v>1835</v>
      </c>
      <c r="B12467" s="151">
        <f>A12467+1</f>
        <v>1836</v>
      </c>
      <c r="C12467" s="151" t="s">
        <v>541</v>
      </c>
      <c r="D12467" s="151" t="s">
        <v>26</v>
      </c>
      <c r="E12467" s="208" t="s">
        <v>330</v>
      </c>
      <c r="F12467" t="s">
        <v>15</v>
      </c>
      <c r="G12467" s="18">
        <v>1733</v>
      </c>
      <c r="H12467" s="151" t="s">
        <v>563</v>
      </c>
      <c r="I12467" t="s">
        <v>17</v>
      </c>
    </row>
    <row r="12468" spans="1:9" x14ac:dyDescent="0.25">
      <c r="A12468" s="151">
        <v>1835</v>
      </c>
      <c r="B12468" s="151">
        <f>A12468+1</f>
        <v>1836</v>
      </c>
      <c r="C12468" s="151" t="s">
        <v>541</v>
      </c>
      <c r="D12468" s="151" t="s">
        <v>26</v>
      </c>
      <c r="E12468" s="208" t="s">
        <v>331</v>
      </c>
      <c r="F12468" t="s">
        <v>15</v>
      </c>
      <c r="G12468" s="18">
        <v>206</v>
      </c>
      <c r="H12468" s="151" t="s">
        <v>563</v>
      </c>
      <c r="I12468" t="s">
        <v>561</v>
      </c>
    </row>
    <row r="12469" spans="1:9" x14ac:dyDescent="0.25">
      <c r="A12469" s="151">
        <v>1835</v>
      </c>
      <c r="B12469" s="151">
        <f>A12469+1</f>
        <v>1836</v>
      </c>
      <c r="C12469" s="151" t="s">
        <v>541</v>
      </c>
      <c r="D12469" s="151" t="s">
        <v>26</v>
      </c>
      <c r="E12469" s="208" t="s">
        <v>332</v>
      </c>
      <c r="F12469" t="s">
        <v>15</v>
      </c>
      <c r="G12469" s="18">
        <v>424</v>
      </c>
      <c r="H12469" t="s">
        <v>16</v>
      </c>
      <c r="I12469" s="151" t="s">
        <v>562</v>
      </c>
    </row>
    <row r="12470" spans="1:9" x14ac:dyDescent="0.25">
      <c r="A12470" s="151">
        <v>1835</v>
      </c>
      <c r="B12470" s="151">
        <f>A12470+1</f>
        <v>1836</v>
      </c>
      <c r="C12470" s="151" t="s">
        <v>541</v>
      </c>
      <c r="D12470" s="151" t="s">
        <v>26</v>
      </c>
      <c r="E12470" s="208" t="s">
        <v>333</v>
      </c>
      <c r="F12470" t="s">
        <v>15</v>
      </c>
      <c r="G12470" s="18">
        <v>144</v>
      </c>
      <c r="H12470" t="s">
        <v>16</v>
      </c>
      <c r="I12470" s="151" t="s">
        <v>562</v>
      </c>
    </row>
    <row r="12471" spans="1:9" x14ac:dyDescent="0.25">
      <c r="A12471" s="151">
        <v>1835</v>
      </c>
      <c r="B12471" s="151">
        <f>A12471+1</f>
        <v>1836</v>
      </c>
      <c r="C12471" s="151" t="s">
        <v>541</v>
      </c>
      <c r="D12471" s="151" t="s">
        <v>26</v>
      </c>
      <c r="E12471" s="208" t="s">
        <v>566</v>
      </c>
      <c r="F12471" t="s">
        <v>7</v>
      </c>
      <c r="G12471" s="18">
        <v>230</v>
      </c>
      <c r="H12471" t="s">
        <v>16</v>
      </c>
      <c r="I12471" s="151" t="s">
        <v>562</v>
      </c>
    </row>
    <row r="12472" spans="1:9" x14ac:dyDescent="0.25">
      <c r="A12472" s="151">
        <v>1835</v>
      </c>
      <c r="B12472" s="151">
        <f>A12472+1</f>
        <v>1836</v>
      </c>
      <c r="C12472" s="151" t="s">
        <v>541</v>
      </c>
      <c r="D12472" s="151" t="s">
        <v>26</v>
      </c>
      <c r="E12472" s="208" t="s">
        <v>566</v>
      </c>
      <c r="F12472" t="s">
        <v>14</v>
      </c>
      <c r="G12472" s="18">
        <v>77</v>
      </c>
      <c r="H12472" t="s">
        <v>16</v>
      </c>
      <c r="I12472" s="151" t="s">
        <v>562</v>
      </c>
    </row>
    <row r="12473" spans="1:9" x14ac:dyDescent="0.25">
      <c r="A12473" s="151">
        <v>1835</v>
      </c>
      <c r="B12473" s="151">
        <f>A12473+1</f>
        <v>1836</v>
      </c>
      <c r="C12473" s="151" t="s">
        <v>541</v>
      </c>
      <c r="D12473" s="151" t="s">
        <v>26</v>
      </c>
      <c r="E12473" s="208" t="s">
        <v>566</v>
      </c>
      <c r="F12473" t="s">
        <v>15</v>
      </c>
      <c r="G12473" s="18">
        <v>307</v>
      </c>
      <c r="H12473" t="s">
        <v>16</v>
      </c>
      <c r="I12473" s="151" t="s">
        <v>562</v>
      </c>
    </row>
    <row r="12474" spans="1:9" x14ac:dyDescent="0.25">
      <c r="A12474" s="151">
        <v>1836</v>
      </c>
      <c r="B12474" s="151">
        <f>A12474+1</f>
        <v>1837</v>
      </c>
      <c r="C12474" s="151" t="s">
        <v>542</v>
      </c>
      <c r="D12474" s="151" t="s">
        <v>26</v>
      </c>
      <c r="E12474" s="208" t="s">
        <v>572</v>
      </c>
      <c r="F12474" t="s">
        <v>7</v>
      </c>
      <c r="G12474" s="18">
        <v>6591</v>
      </c>
      <c r="H12474" t="s">
        <v>16</v>
      </c>
      <c r="I12474" s="151" t="s">
        <v>562</v>
      </c>
    </row>
    <row r="12475" spans="1:9" x14ac:dyDescent="0.25">
      <c r="A12475" s="151">
        <v>1836</v>
      </c>
      <c r="B12475" s="151">
        <f>A12475+1</f>
        <v>1837</v>
      </c>
      <c r="C12475" s="151" t="s">
        <v>542</v>
      </c>
      <c r="D12475" s="151" t="s">
        <v>26</v>
      </c>
      <c r="E12475" s="208" t="s">
        <v>572</v>
      </c>
      <c r="F12475" t="s">
        <v>14</v>
      </c>
      <c r="G12475" s="18">
        <v>2100</v>
      </c>
      <c r="H12475" t="s">
        <v>16</v>
      </c>
      <c r="I12475" s="151" t="s">
        <v>562</v>
      </c>
    </row>
    <row r="12476" spans="1:9" x14ac:dyDescent="0.25">
      <c r="A12476" s="151">
        <v>1836</v>
      </c>
      <c r="B12476" s="151">
        <f>A12476+1</f>
        <v>1837</v>
      </c>
      <c r="C12476" s="151" t="s">
        <v>542</v>
      </c>
      <c r="D12476" s="151" t="s">
        <v>26</v>
      </c>
      <c r="E12476" s="208" t="s">
        <v>572</v>
      </c>
      <c r="F12476" t="s">
        <v>15</v>
      </c>
      <c r="G12476" s="18">
        <v>8691</v>
      </c>
      <c r="H12476" t="s">
        <v>16</v>
      </c>
      <c r="I12476" s="151" t="s">
        <v>562</v>
      </c>
    </row>
    <row r="12477" spans="1:9" x14ac:dyDescent="0.25">
      <c r="A12477" s="151">
        <v>1836</v>
      </c>
      <c r="B12477" s="151">
        <f>A12477+1</f>
        <v>1837</v>
      </c>
      <c r="C12477" s="151" t="s">
        <v>542</v>
      </c>
      <c r="D12477" s="151" t="s">
        <v>26</v>
      </c>
      <c r="E12477" s="208" t="s">
        <v>571</v>
      </c>
      <c r="F12477" t="s">
        <v>7</v>
      </c>
      <c r="G12477" s="18">
        <v>6876</v>
      </c>
      <c r="H12477" t="s">
        <v>16</v>
      </c>
      <c r="I12477" s="151" t="s">
        <v>562</v>
      </c>
    </row>
    <row r="12478" spans="1:9" x14ac:dyDescent="0.25">
      <c r="A12478" s="151">
        <v>1836</v>
      </c>
      <c r="B12478" s="151">
        <f>A12478+1</f>
        <v>1837</v>
      </c>
      <c r="C12478" s="151" t="s">
        <v>542</v>
      </c>
      <c r="D12478" s="151" t="s">
        <v>26</v>
      </c>
      <c r="E12478" s="208" t="s">
        <v>571</v>
      </c>
      <c r="F12478" t="s">
        <v>14</v>
      </c>
      <c r="G12478" s="18">
        <v>2890</v>
      </c>
      <c r="H12478" t="s">
        <v>16</v>
      </c>
      <c r="I12478" s="151" t="s">
        <v>562</v>
      </c>
    </row>
    <row r="12479" spans="1:9" x14ac:dyDescent="0.25">
      <c r="A12479" s="151">
        <v>1836</v>
      </c>
      <c r="B12479" s="151">
        <f>A12479+1</f>
        <v>1837</v>
      </c>
      <c r="C12479" s="151" t="s">
        <v>542</v>
      </c>
      <c r="D12479" s="151" t="s">
        <v>26</v>
      </c>
      <c r="E12479" s="208" t="s">
        <v>571</v>
      </c>
      <c r="F12479" t="s">
        <v>15</v>
      </c>
      <c r="G12479" s="18">
        <v>9766</v>
      </c>
      <c r="H12479" t="s">
        <v>16</v>
      </c>
      <c r="I12479" s="151" t="s">
        <v>562</v>
      </c>
    </row>
    <row r="12480" spans="1:9" x14ac:dyDescent="0.25">
      <c r="A12480" s="151">
        <v>1836</v>
      </c>
      <c r="B12480" s="151">
        <f>A12480+1</f>
        <v>1837</v>
      </c>
      <c r="C12480" s="151" t="s">
        <v>542</v>
      </c>
      <c r="D12480" s="151" t="s">
        <v>26</v>
      </c>
      <c r="E12480" s="208" t="s">
        <v>567</v>
      </c>
      <c r="F12480" t="s">
        <v>7</v>
      </c>
      <c r="G12480" s="18">
        <v>21653</v>
      </c>
      <c r="H12480" t="s">
        <v>16</v>
      </c>
      <c r="I12480" s="151" t="s">
        <v>562</v>
      </c>
    </row>
    <row r="12481" spans="1:9" x14ac:dyDescent="0.25">
      <c r="A12481" s="151">
        <v>1836</v>
      </c>
      <c r="B12481" s="151">
        <f>A12481+1</f>
        <v>1837</v>
      </c>
      <c r="C12481" s="151" t="s">
        <v>542</v>
      </c>
      <c r="D12481" s="151" t="s">
        <v>26</v>
      </c>
      <c r="E12481" s="208" t="s">
        <v>567</v>
      </c>
      <c r="F12481" t="s">
        <v>14</v>
      </c>
      <c r="G12481" s="18">
        <v>20623</v>
      </c>
      <c r="H12481" t="s">
        <v>16</v>
      </c>
      <c r="I12481" s="151" t="s">
        <v>562</v>
      </c>
    </row>
    <row r="12482" spans="1:9" x14ac:dyDescent="0.25">
      <c r="A12482" s="151">
        <v>1836</v>
      </c>
      <c r="B12482" s="151">
        <f>A12482+1</f>
        <v>1837</v>
      </c>
      <c r="C12482" s="151" t="s">
        <v>542</v>
      </c>
      <c r="D12482" s="151" t="s">
        <v>26</v>
      </c>
      <c r="E12482" s="208" t="s">
        <v>567</v>
      </c>
      <c r="F12482" t="s">
        <v>15</v>
      </c>
      <c r="G12482" s="18">
        <v>42276</v>
      </c>
      <c r="H12482" t="s">
        <v>16</v>
      </c>
      <c r="I12482" s="151" t="s">
        <v>562</v>
      </c>
    </row>
    <row r="12483" spans="1:9" x14ac:dyDescent="0.25">
      <c r="A12483" s="151">
        <v>1836</v>
      </c>
      <c r="B12483" s="151">
        <f>A12483+1</f>
        <v>1837</v>
      </c>
      <c r="C12483" s="151" t="s">
        <v>542</v>
      </c>
      <c r="D12483" s="151" t="s">
        <v>26</v>
      </c>
      <c r="E12483" s="208" t="s">
        <v>568</v>
      </c>
      <c r="F12483" t="s">
        <v>7</v>
      </c>
      <c r="G12483" s="18">
        <v>445</v>
      </c>
      <c r="H12483" t="s">
        <v>16</v>
      </c>
      <c r="I12483" s="151" t="s">
        <v>562</v>
      </c>
    </row>
    <row r="12484" spans="1:9" x14ac:dyDescent="0.25">
      <c r="A12484" s="151">
        <v>1836</v>
      </c>
      <c r="B12484" s="151">
        <f>A12484+1</f>
        <v>1837</v>
      </c>
      <c r="C12484" s="151" t="s">
        <v>542</v>
      </c>
      <c r="D12484" s="151" t="s">
        <v>26</v>
      </c>
      <c r="E12484" s="208" t="s">
        <v>568</v>
      </c>
      <c r="F12484" t="s">
        <v>14</v>
      </c>
      <c r="G12484" s="18">
        <v>678</v>
      </c>
      <c r="H12484" t="s">
        <v>16</v>
      </c>
      <c r="I12484" s="151" t="s">
        <v>562</v>
      </c>
    </row>
    <row r="12485" spans="1:9" x14ac:dyDescent="0.25">
      <c r="A12485" s="151">
        <v>1836</v>
      </c>
      <c r="B12485" s="151">
        <f>A12485+1</f>
        <v>1837</v>
      </c>
      <c r="C12485" s="151" t="s">
        <v>542</v>
      </c>
      <c r="D12485" s="151" t="s">
        <v>26</v>
      </c>
      <c r="E12485" s="208" t="s">
        <v>568</v>
      </c>
      <c r="F12485" t="s">
        <v>15</v>
      </c>
      <c r="G12485" s="18">
        <v>1123</v>
      </c>
      <c r="H12485" t="s">
        <v>16</v>
      </c>
      <c r="I12485" s="151" t="s">
        <v>562</v>
      </c>
    </row>
    <row r="12486" spans="1:9" x14ac:dyDescent="0.25">
      <c r="A12486" s="151">
        <v>1836</v>
      </c>
      <c r="B12486" s="151">
        <f>A12486+1</f>
        <v>1837</v>
      </c>
      <c r="C12486" s="151" t="s">
        <v>542</v>
      </c>
      <c r="D12486" s="151" t="s">
        <v>27</v>
      </c>
      <c r="E12486" s="208" t="s">
        <v>155</v>
      </c>
      <c r="F12486" t="s">
        <v>7</v>
      </c>
      <c r="G12486" s="18">
        <v>7632</v>
      </c>
      <c r="H12486" t="s">
        <v>16</v>
      </c>
      <c r="I12486" s="151" t="s">
        <v>562</v>
      </c>
    </row>
    <row r="12487" spans="1:9" x14ac:dyDescent="0.25">
      <c r="A12487" s="151">
        <v>1836</v>
      </c>
      <c r="B12487" s="151">
        <f>A12487+1</f>
        <v>1837</v>
      </c>
      <c r="C12487" s="151" t="s">
        <v>542</v>
      </c>
      <c r="D12487" s="151" t="s">
        <v>27</v>
      </c>
      <c r="E12487" s="208" t="s">
        <v>156</v>
      </c>
      <c r="F12487" t="s">
        <v>7</v>
      </c>
      <c r="G12487" s="18">
        <v>2143.5</v>
      </c>
      <c r="H12487" t="s">
        <v>16</v>
      </c>
      <c r="I12487" s="151" t="s">
        <v>562</v>
      </c>
    </row>
    <row r="12488" spans="1:9" x14ac:dyDescent="0.25">
      <c r="A12488" s="151">
        <v>1836</v>
      </c>
      <c r="B12488" s="151">
        <f>A12488+1</f>
        <v>1837</v>
      </c>
      <c r="C12488" s="151" t="s">
        <v>542</v>
      </c>
      <c r="D12488" s="151" t="s">
        <v>27</v>
      </c>
      <c r="E12488" s="208" t="s">
        <v>154</v>
      </c>
      <c r="F12488" t="s">
        <v>7</v>
      </c>
      <c r="G12488" s="18">
        <v>670</v>
      </c>
      <c r="H12488" t="s">
        <v>16</v>
      </c>
      <c r="I12488" s="151" t="s">
        <v>562</v>
      </c>
    </row>
    <row r="12489" spans="1:9" x14ac:dyDescent="0.25">
      <c r="A12489" s="151">
        <v>1836</v>
      </c>
      <c r="B12489" s="151">
        <f>A12489+1</f>
        <v>1837</v>
      </c>
      <c r="C12489" s="151" t="s">
        <v>542</v>
      </c>
      <c r="D12489" s="151" t="s">
        <v>27</v>
      </c>
      <c r="E12489" s="208" t="s">
        <v>150</v>
      </c>
      <c r="F12489" t="s">
        <v>7</v>
      </c>
      <c r="G12489" s="18">
        <v>2609</v>
      </c>
      <c r="H12489" t="s">
        <v>16</v>
      </c>
      <c r="I12489" s="151" t="s">
        <v>562</v>
      </c>
    </row>
    <row r="12490" spans="1:9" x14ac:dyDescent="0.25">
      <c r="A12490" s="151">
        <v>1836</v>
      </c>
      <c r="B12490" s="151">
        <f>A12490+1</f>
        <v>1837</v>
      </c>
      <c r="C12490" s="151" t="s">
        <v>542</v>
      </c>
      <c r="D12490" s="151" t="s">
        <v>27</v>
      </c>
      <c r="E12490" s="208" t="s">
        <v>148</v>
      </c>
      <c r="F12490" t="s">
        <v>7</v>
      </c>
      <c r="G12490" s="18">
        <v>275</v>
      </c>
      <c r="H12490" t="s">
        <v>16</v>
      </c>
      <c r="I12490" s="151" t="s">
        <v>562</v>
      </c>
    </row>
    <row r="12491" spans="1:9" x14ac:dyDescent="0.25">
      <c r="A12491" s="151">
        <v>1836</v>
      </c>
      <c r="B12491" s="151">
        <f>A12491+1</f>
        <v>1837</v>
      </c>
      <c r="C12491" s="151" t="s">
        <v>542</v>
      </c>
      <c r="D12491" s="151" t="s">
        <v>27</v>
      </c>
      <c r="E12491" s="208" t="s">
        <v>147</v>
      </c>
      <c r="F12491" t="s">
        <v>7</v>
      </c>
      <c r="G12491" s="18">
        <v>56.5</v>
      </c>
      <c r="H12491" t="s">
        <v>16</v>
      </c>
      <c r="I12491" s="151" t="s">
        <v>562</v>
      </c>
    </row>
    <row r="12492" spans="1:9" x14ac:dyDescent="0.25">
      <c r="A12492" s="151">
        <v>1836</v>
      </c>
      <c r="B12492" s="151">
        <f>A12492+1</f>
        <v>1837</v>
      </c>
      <c r="C12492" s="151" t="s">
        <v>542</v>
      </c>
      <c r="D12492" s="151" t="s">
        <v>27</v>
      </c>
      <c r="E12492" s="208" t="s">
        <v>125</v>
      </c>
      <c r="F12492" t="s">
        <v>7</v>
      </c>
      <c r="G12492" s="18">
        <v>5284</v>
      </c>
      <c r="H12492" t="s">
        <v>16</v>
      </c>
      <c r="I12492" s="151" t="s">
        <v>562</v>
      </c>
    </row>
    <row r="12493" spans="1:9" x14ac:dyDescent="0.25">
      <c r="A12493" s="151">
        <v>1836</v>
      </c>
      <c r="B12493" s="151">
        <f>A12493+1</f>
        <v>1837</v>
      </c>
      <c r="C12493" s="151" t="s">
        <v>542</v>
      </c>
      <c r="D12493" s="151" t="s">
        <v>27</v>
      </c>
      <c r="E12493" s="208" t="s">
        <v>122</v>
      </c>
      <c r="F12493" t="s">
        <v>7</v>
      </c>
      <c r="G12493" s="18">
        <v>1774.5</v>
      </c>
      <c r="H12493" t="s">
        <v>16</v>
      </c>
      <c r="I12493" s="151" t="s">
        <v>562</v>
      </c>
    </row>
    <row r="12494" spans="1:9" x14ac:dyDescent="0.25">
      <c r="A12494" s="151">
        <v>1836</v>
      </c>
      <c r="B12494" s="151">
        <f>A12494+1</f>
        <v>1837</v>
      </c>
      <c r="C12494" s="151" t="s">
        <v>542</v>
      </c>
      <c r="D12494" s="151" t="s">
        <v>27</v>
      </c>
      <c r="E12494" s="208" t="s">
        <v>123</v>
      </c>
      <c r="F12494" t="s">
        <v>7</v>
      </c>
      <c r="G12494" s="18">
        <v>110</v>
      </c>
      <c r="H12494" s="151" t="s">
        <v>563</v>
      </c>
      <c r="I12494" t="s">
        <v>16</v>
      </c>
    </row>
    <row r="12495" spans="1:9" x14ac:dyDescent="0.25">
      <c r="A12495" s="151">
        <v>1836</v>
      </c>
      <c r="B12495" s="151">
        <f>A12495+1</f>
        <v>1837</v>
      </c>
      <c r="C12495" s="151" t="s">
        <v>542</v>
      </c>
      <c r="D12495" s="151" t="s">
        <v>27</v>
      </c>
      <c r="E12495" s="208" t="s">
        <v>121</v>
      </c>
      <c r="F12495" t="s">
        <v>7</v>
      </c>
      <c r="G12495" s="18">
        <v>540.5</v>
      </c>
      <c r="H12495" s="151" t="s">
        <v>563</v>
      </c>
      <c r="I12495" t="s">
        <v>16</v>
      </c>
    </row>
    <row r="12496" spans="1:9" x14ac:dyDescent="0.25">
      <c r="A12496" s="151">
        <v>1836</v>
      </c>
      <c r="B12496" s="151">
        <f>A12496+1</f>
        <v>1837</v>
      </c>
      <c r="C12496" s="151" t="s">
        <v>542</v>
      </c>
      <c r="D12496" s="151" t="s">
        <v>27</v>
      </c>
      <c r="E12496" s="208" t="s">
        <v>139</v>
      </c>
      <c r="F12496" t="s">
        <v>7</v>
      </c>
      <c r="G12496" s="18">
        <v>0</v>
      </c>
      <c r="H12496" s="151" t="s">
        <v>563</v>
      </c>
      <c r="I12496" t="s">
        <v>16</v>
      </c>
    </row>
    <row r="12497" spans="1:9" x14ac:dyDescent="0.25">
      <c r="A12497" s="151">
        <v>1836</v>
      </c>
      <c r="B12497" s="151">
        <f>A12497+1</f>
        <v>1837</v>
      </c>
      <c r="C12497" s="151" t="s">
        <v>542</v>
      </c>
      <c r="D12497" s="151" t="s">
        <v>27</v>
      </c>
      <c r="E12497" s="208" t="s">
        <v>131</v>
      </c>
      <c r="F12497" t="s">
        <v>7</v>
      </c>
      <c r="G12497" s="18">
        <v>532.5</v>
      </c>
      <c r="H12497" s="151" t="s">
        <v>563</v>
      </c>
      <c r="I12497" t="s">
        <v>16</v>
      </c>
    </row>
    <row r="12498" spans="1:9" x14ac:dyDescent="0.25">
      <c r="A12498" s="151">
        <v>1836</v>
      </c>
      <c r="B12498" s="151">
        <f>A12498+1</f>
        <v>1837</v>
      </c>
      <c r="C12498" s="151" t="s">
        <v>542</v>
      </c>
      <c r="D12498" s="151" t="s">
        <v>27</v>
      </c>
      <c r="E12498" s="208" t="s">
        <v>130</v>
      </c>
      <c r="F12498" t="s">
        <v>7</v>
      </c>
      <c r="G12498" s="18">
        <v>1</v>
      </c>
      <c r="H12498" s="151" t="s">
        <v>563</v>
      </c>
      <c r="I12498" t="s">
        <v>16</v>
      </c>
    </row>
    <row r="12499" spans="1:9" x14ac:dyDescent="0.25">
      <c r="A12499" s="151">
        <v>1836</v>
      </c>
      <c r="B12499" s="151">
        <f>A12499+1</f>
        <v>1837</v>
      </c>
      <c r="C12499" s="151" t="s">
        <v>542</v>
      </c>
      <c r="D12499" s="151" t="s">
        <v>27</v>
      </c>
      <c r="E12499" s="208" t="s">
        <v>143</v>
      </c>
      <c r="F12499" t="s">
        <v>7</v>
      </c>
      <c r="G12499" s="18">
        <v>285</v>
      </c>
      <c r="H12499" s="151" t="s">
        <v>563</v>
      </c>
      <c r="I12499" t="s">
        <v>16</v>
      </c>
    </row>
    <row r="12500" spans="1:9" x14ac:dyDescent="0.25">
      <c r="A12500" s="151">
        <v>1836</v>
      </c>
      <c r="B12500" s="151">
        <f>A12500+1</f>
        <v>1837</v>
      </c>
      <c r="C12500" s="151" t="s">
        <v>542</v>
      </c>
      <c r="D12500" s="151" t="s">
        <v>27</v>
      </c>
      <c r="E12500" s="208" t="s">
        <v>142</v>
      </c>
      <c r="F12500" t="s">
        <v>7</v>
      </c>
      <c r="G12500" s="18">
        <v>6490</v>
      </c>
      <c r="H12500" s="151" t="s">
        <v>563</v>
      </c>
      <c r="I12500" t="s">
        <v>16</v>
      </c>
    </row>
    <row r="12501" spans="1:9" x14ac:dyDescent="0.25">
      <c r="A12501" s="151">
        <v>1836</v>
      </c>
      <c r="B12501" s="151">
        <f>A12501+1</f>
        <v>1837</v>
      </c>
      <c r="C12501" s="151" t="s">
        <v>542</v>
      </c>
      <c r="D12501" s="151" t="s">
        <v>27</v>
      </c>
      <c r="E12501" s="208" t="s">
        <v>127</v>
      </c>
      <c r="F12501" t="s">
        <v>7</v>
      </c>
      <c r="G12501" s="18">
        <v>0</v>
      </c>
      <c r="H12501" s="151" t="s">
        <v>563</v>
      </c>
      <c r="I12501" t="s">
        <v>16</v>
      </c>
    </row>
    <row r="12502" spans="1:9" x14ac:dyDescent="0.25">
      <c r="A12502" s="151">
        <v>1836</v>
      </c>
      <c r="B12502" s="151">
        <f>A12502+1</f>
        <v>1837</v>
      </c>
      <c r="C12502" s="151" t="s">
        <v>542</v>
      </c>
      <c r="D12502" s="151" t="s">
        <v>27</v>
      </c>
      <c r="E12502" s="208" t="s">
        <v>133</v>
      </c>
      <c r="F12502" t="s">
        <v>7</v>
      </c>
      <c r="G12502" s="18">
        <v>11530</v>
      </c>
      <c r="H12502" s="151" t="s">
        <v>563</v>
      </c>
      <c r="I12502" t="s">
        <v>16</v>
      </c>
    </row>
    <row r="12503" spans="1:9" x14ac:dyDescent="0.25">
      <c r="A12503" s="151">
        <v>1836</v>
      </c>
      <c r="B12503" s="151">
        <f>A12503+1</f>
        <v>1837</v>
      </c>
      <c r="C12503" s="151" t="s">
        <v>542</v>
      </c>
      <c r="D12503" s="151" t="s">
        <v>27</v>
      </c>
      <c r="E12503" s="208" t="s">
        <v>74</v>
      </c>
      <c r="F12503" t="s">
        <v>7</v>
      </c>
      <c r="G12503" s="18">
        <v>1059.5</v>
      </c>
      <c r="H12503" s="151" t="s">
        <v>563</v>
      </c>
      <c r="I12503" t="s">
        <v>16</v>
      </c>
    </row>
    <row r="12504" spans="1:9" x14ac:dyDescent="0.25">
      <c r="A12504" s="151">
        <v>1836</v>
      </c>
      <c r="B12504" s="151">
        <f>A12504+1</f>
        <v>1837</v>
      </c>
      <c r="C12504" s="151" t="s">
        <v>542</v>
      </c>
      <c r="D12504" s="151" t="s">
        <v>27</v>
      </c>
      <c r="E12504" s="208" t="s">
        <v>129</v>
      </c>
      <c r="F12504" t="s">
        <v>7</v>
      </c>
      <c r="G12504" s="18">
        <v>79.5</v>
      </c>
      <c r="H12504" s="151" t="s">
        <v>563</v>
      </c>
      <c r="I12504" t="s">
        <v>16</v>
      </c>
    </row>
    <row r="12505" spans="1:9" x14ac:dyDescent="0.25">
      <c r="A12505" s="151">
        <v>1836</v>
      </c>
      <c r="B12505" s="151">
        <f>A12505+1</f>
        <v>1837</v>
      </c>
      <c r="C12505" s="151" t="s">
        <v>542</v>
      </c>
      <c r="D12505" s="151" t="s">
        <v>27</v>
      </c>
      <c r="E12505" s="208" t="s">
        <v>141</v>
      </c>
      <c r="F12505" t="s">
        <v>7</v>
      </c>
      <c r="G12505" s="18">
        <v>44</v>
      </c>
      <c r="H12505" s="151" t="s">
        <v>563</v>
      </c>
      <c r="I12505" t="s">
        <v>16</v>
      </c>
    </row>
    <row r="12506" spans="1:9" x14ac:dyDescent="0.25">
      <c r="A12506" s="151">
        <v>1836</v>
      </c>
      <c r="B12506" s="151">
        <f>A12506+1</f>
        <v>1837</v>
      </c>
      <c r="C12506" s="151" t="s">
        <v>542</v>
      </c>
      <c r="D12506" s="151" t="s">
        <v>27</v>
      </c>
      <c r="E12506" s="208" t="s">
        <v>135</v>
      </c>
      <c r="F12506" t="s">
        <v>7</v>
      </c>
      <c r="G12506" s="18">
        <v>64</v>
      </c>
      <c r="H12506" s="151" t="s">
        <v>563</v>
      </c>
      <c r="I12506" t="s">
        <v>16</v>
      </c>
    </row>
    <row r="12507" spans="1:9" x14ac:dyDescent="0.25">
      <c r="A12507" s="151">
        <v>1836</v>
      </c>
      <c r="B12507" s="151">
        <f>A12507+1</f>
        <v>1837</v>
      </c>
      <c r="C12507" s="151" t="s">
        <v>542</v>
      </c>
      <c r="D12507" s="151" t="s">
        <v>27</v>
      </c>
      <c r="E12507" s="208" t="s">
        <v>128</v>
      </c>
      <c r="F12507" t="s">
        <v>7</v>
      </c>
      <c r="G12507" s="18">
        <v>46</v>
      </c>
      <c r="H12507" s="151" t="s">
        <v>563</v>
      </c>
      <c r="I12507" t="s">
        <v>16</v>
      </c>
    </row>
    <row r="12508" spans="1:9" x14ac:dyDescent="0.25">
      <c r="A12508" s="151">
        <v>1836</v>
      </c>
      <c r="B12508" s="151">
        <f>A12508+1</f>
        <v>1837</v>
      </c>
      <c r="C12508" s="151" t="s">
        <v>542</v>
      </c>
      <c r="D12508" s="151" t="s">
        <v>27</v>
      </c>
      <c r="E12508" s="208" t="s">
        <v>78</v>
      </c>
      <c r="F12508" t="s">
        <v>7</v>
      </c>
      <c r="G12508" s="18">
        <v>330</v>
      </c>
      <c r="H12508" s="151" t="s">
        <v>563</v>
      </c>
      <c r="I12508" t="s">
        <v>16</v>
      </c>
    </row>
    <row r="12509" spans="1:9" x14ac:dyDescent="0.25">
      <c r="A12509" s="151">
        <v>1836</v>
      </c>
      <c r="B12509" s="151">
        <f>A12509+1</f>
        <v>1837</v>
      </c>
      <c r="C12509" s="151" t="s">
        <v>542</v>
      </c>
      <c r="D12509" s="151" t="s">
        <v>27</v>
      </c>
      <c r="E12509" s="208" t="s">
        <v>119</v>
      </c>
      <c r="F12509" t="s">
        <v>7</v>
      </c>
      <c r="G12509" s="18">
        <v>863</v>
      </c>
      <c r="H12509" s="151" t="s">
        <v>563</v>
      </c>
      <c r="I12509" t="s">
        <v>16</v>
      </c>
    </row>
    <row r="12510" spans="1:9" x14ac:dyDescent="0.25">
      <c r="A12510" s="151">
        <v>1836</v>
      </c>
      <c r="B12510" s="151">
        <f>A12510+1</f>
        <v>1837</v>
      </c>
      <c r="C12510" s="151" t="s">
        <v>542</v>
      </c>
      <c r="D12510" s="151" t="s">
        <v>27</v>
      </c>
      <c r="E12510" s="208" t="s">
        <v>134</v>
      </c>
      <c r="F12510" t="s">
        <v>7</v>
      </c>
      <c r="G12510" s="18">
        <v>1873</v>
      </c>
      <c r="H12510" s="151" t="s">
        <v>563</v>
      </c>
      <c r="I12510" t="s">
        <v>16</v>
      </c>
    </row>
    <row r="12511" spans="1:9" x14ac:dyDescent="0.25">
      <c r="A12511" s="151">
        <v>1836</v>
      </c>
      <c r="B12511" s="151">
        <f>A12511+1</f>
        <v>1837</v>
      </c>
      <c r="C12511" s="151" t="s">
        <v>542</v>
      </c>
      <c r="D12511" s="151" t="s">
        <v>26</v>
      </c>
      <c r="E12511" s="208" t="s">
        <v>34</v>
      </c>
      <c r="F12511" t="s">
        <v>7</v>
      </c>
      <c r="G12511" s="18">
        <v>25201</v>
      </c>
      <c r="H12511" s="151" t="s">
        <v>563</v>
      </c>
      <c r="I12511" t="s">
        <v>16</v>
      </c>
    </row>
    <row r="12512" spans="1:9" x14ac:dyDescent="0.25">
      <c r="A12512" s="151">
        <v>1836</v>
      </c>
      <c r="B12512" s="151">
        <f>A12512+1</f>
        <v>1837</v>
      </c>
      <c r="C12512" s="151" t="s">
        <v>542</v>
      </c>
      <c r="D12512" s="151" t="s">
        <v>26</v>
      </c>
      <c r="E12512" s="208" t="s">
        <v>63</v>
      </c>
      <c r="F12512" t="s">
        <v>7</v>
      </c>
      <c r="G12512" s="18">
        <v>44282</v>
      </c>
      <c r="H12512" s="151" t="s">
        <v>563</v>
      </c>
      <c r="I12512" t="s">
        <v>16</v>
      </c>
    </row>
    <row r="12513" spans="1:9" x14ac:dyDescent="0.25">
      <c r="A12513" s="151">
        <v>1836</v>
      </c>
      <c r="B12513" s="151">
        <f>A12513+1</f>
        <v>1837</v>
      </c>
      <c r="C12513" s="151" t="s">
        <v>542</v>
      </c>
      <c r="D12513" s="151" t="s">
        <v>26</v>
      </c>
      <c r="E12513" s="208" t="s">
        <v>55</v>
      </c>
      <c r="F12513" t="s">
        <v>7</v>
      </c>
      <c r="G12513" s="18">
        <v>8470</v>
      </c>
      <c r="H12513" s="151" t="s">
        <v>563</v>
      </c>
      <c r="I12513" t="s">
        <v>16</v>
      </c>
    </row>
    <row r="12514" spans="1:9" x14ac:dyDescent="0.25">
      <c r="A12514" s="151">
        <v>1836</v>
      </c>
      <c r="B12514" s="151">
        <f>A12514+1</f>
        <v>1837</v>
      </c>
      <c r="C12514" s="151" t="s">
        <v>542</v>
      </c>
      <c r="D12514" s="151" t="s">
        <v>26</v>
      </c>
      <c r="E12514" s="208" t="s">
        <v>36</v>
      </c>
      <c r="F12514" t="s">
        <v>7</v>
      </c>
      <c r="G12514" s="18">
        <v>6665</v>
      </c>
      <c r="H12514" s="151" t="s">
        <v>563</v>
      </c>
      <c r="I12514" t="s">
        <v>16</v>
      </c>
    </row>
    <row r="12515" spans="1:9" x14ac:dyDescent="0.25">
      <c r="A12515" s="151">
        <v>1836</v>
      </c>
      <c r="B12515" s="151">
        <f>A12515+1</f>
        <v>1837</v>
      </c>
      <c r="C12515" s="151" t="s">
        <v>542</v>
      </c>
      <c r="D12515" s="151" t="s">
        <v>26</v>
      </c>
      <c r="E12515" s="208" t="s">
        <v>35</v>
      </c>
      <c r="F12515" t="s">
        <v>7</v>
      </c>
      <c r="G12515" s="18">
        <v>265</v>
      </c>
      <c r="H12515" s="151" t="s">
        <v>563</v>
      </c>
      <c r="I12515" t="s">
        <v>16</v>
      </c>
    </row>
    <row r="12516" spans="1:9" x14ac:dyDescent="0.25">
      <c r="A12516" s="151">
        <v>1836</v>
      </c>
      <c r="B12516" s="151">
        <f>A12516+1</f>
        <v>1837</v>
      </c>
      <c r="C12516" s="151" t="s">
        <v>542</v>
      </c>
      <c r="D12516" s="151" t="s">
        <v>26</v>
      </c>
      <c r="E12516" s="208" t="s">
        <v>40</v>
      </c>
      <c r="F12516" t="s">
        <v>7</v>
      </c>
      <c r="G12516" s="18">
        <v>49616</v>
      </c>
      <c r="H12516" s="151" t="s">
        <v>563</v>
      </c>
      <c r="I12516" t="s">
        <v>16</v>
      </c>
    </row>
    <row r="12517" spans="1:9" x14ac:dyDescent="0.25">
      <c r="A12517" s="151">
        <v>1836</v>
      </c>
      <c r="B12517" s="151">
        <f>A12517+1</f>
        <v>1837</v>
      </c>
      <c r="C12517" s="151" t="s">
        <v>542</v>
      </c>
      <c r="D12517" s="151" t="s">
        <v>26</v>
      </c>
      <c r="E12517" s="208" t="s">
        <v>96</v>
      </c>
      <c r="F12517" t="s">
        <v>7</v>
      </c>
      <c r="G12517" s="18">
        <v>9416</v>
      </c>
      <c r="H12517" t="s">
        <v>17</v>
      </c>
      <c r="I12517" s="151" t="s">
        <v>562</v>
      </c>
    </row>
    <row r="12518" spans="1:9" x14ac:dyDescent="0.25">
      <c r="A12518" s="151">
        <v>1836</v>
      </c>
      <c r="B12518" s="151">
        <f>A12518+1</f>
        <v>1837</v>
      </c>
      <c r="C12518" s="151" t="s">
        <v>542</v>
      </c>
      <c r="D12518" s="151" t="s">
        <v>26</v>
      </c>
      <c r="E12518" s="208" t="s">
        <v>98</v>
      </c>
      <c r="F12518" t="s">
        <v>7</v>
      </c>
      <c r="G12518" s="18">
        <v>141790</v>
      </c>
      <c r="H12518" t="s">
        <v>17</v>
      </c>
      <c r="I12518" s="151" t="s">
        <v>562</v>
      </c>
    </row>
    <row r="12519" spans="1:9" x14ac:dyDescent="0.25">
      <c r="A12519" s="151">
        <v>1836</v>
      </c>
      <c r="B12519" s="151">
        <f>A12519+1</f>
        <v>1837</v>
      </c>
      <c r="C12519" s="151" t="s">
        <v>542</v>
      </c>
      <c r="D12519" s="151" t="s">
        <v>26</v>
      </c>
      <c r="E12519" s="208" t="s">
        <v>466</v>
      </c>
      <c r="F12519" t="s">
        <v>7</v>
      </c>
      <c r="G12519" s="18">
        <v>10568</v>
      </c>
      <c r="H12519" t="s">
        <v>17</v>
      </c>
      <c r="I12519" s="151" t="s">
        <v>562</v>
      </c>
    </row>
    <row r="12520" spans="1:9" x14ac:dyDescent="0.25">
      <c r="A12520" s="151">
        <v>1836</v>
      </c>
      <c r="B12520" s="151">
        <f>A12520+1</f>
        <v>1837</v>
      </c>
      <c r="C12520" s="151" t="s">
        <v>542</v>
      </c>
      <c r="D12520" s="151" t="s">
        <v>26</v>
      </c>
      <c r="E12520" s="208" t="s">
        <v>105</v>
      </c>
      <c r="F12520" t="s">
        <v>7</v>
      </c>
      <c r="G12520" s="18">
        <v>1071799</v>
      </c>
      <c r="H12520" t="s">
        <v>17</v>
      </c>
      <c r="I12520" s="151" t="s">
        <v>562</v>
      </c>
    </row>
    <row r="12521" spans="1:9" x14ac:dyDescent="0.25">
      <c r="A12521" s="151">
        <v>1836</v>
      </c>
      <c r="B12521" s="151">
        <f>A12521+1</f>
        <v>1837</v>
      </c>
      <c r="C12521" s="151" t="s">
        <v>542</v>
      </c>
      <c r="D12521" s="151" t="s">
        <v>26</v>
      </c>
      <c r="E12521" s="208" t="s">
        <v>106</v>
      </c>
      <c r="F12521" t="s">
        <v>7</v>
      </c>
      <c r="G12521" s="18">
        <v>787151</v>
      </c>
      <c r="H12521" t="s">
        <v>17</v>
      </c>
      <c r="I12521" s="151" t="s">
        <v>562</v>
      </c>
    </row>
    <row r="12522" spans="1:9" x14ac:dyDescent="0.25">
      <c r="A12522" s="151">
        <v>1836</v>
      </c>
      <c r="B12522" s="151">
        <f>A12522+1</f>
        <v>1837</v>
      </c>
      <c r="C12522" s="151" t="s">
        <v>542</v>
      </c>
      <c r="D12522" s="151" t="s">
        <v>26</v>
      </c>
      <c r="E12522" s="208" t="s">
        <v>101</v>
      </c>
      <c r="F12522" t="s">
        <v>7</v>
      </c>
      <c r="G12522" s="18">
        <v>6182822</v>
      </c>
      <c r="H12522" t="s">
        <v>17</v>
      </c>
      <c r="I12522" s="151" t="s">
        <v>562</v>
      </c>
    </row>
    <row r="12523" spans="1:9" x14ac:dyDescent="0.25">
      <c r="A12523" s="151">
        <v>1836</v>
      </c>
      <c r="B12523" s="151">
        <f>A12523+1</f>
        <v>1837</v>
      </c>
      <c r="C12523" s="151" t="s">
        <v>542</v>
      </c>
      <c r="D12523" s="151" t="s">
        <v>26</v>
      </c>
      <c r="E12523" s="208" t="s">
        <v>75</v>
      </c>
      <c r="F12523" t="s">
        <v>7</v>
      </c>
      <c r="G12523" s="18">
        <v>4528904</v>
      </c>
      <c r="H12523" t="s">
        <v>17</v>
      </c>
      <c r="I12523" s="151" t="s">
        <v>562</v>
      </c>
    </row>
    <row r="12524" spans="1:9" x14ac:dyDescent="0.25">
      <c r="A12524" s="151">
        <v>1836</v>
      </c>
      <c r="B12524" s="151">
        <f>A12524+1</f>
        <v>1837</v>
      </c>
      <c r="C12524" s="151" t="s">
        <v>542</v>
      </c>
      <c r="D12524" s="151" t="s">
        <v>26</v>
      </c>
      <c r="E12524" s="208" t="s">
        <v>66</v>
      </c>
      <c r="F12524" t="s">
        <v>7</v>
      </c>
      <c r="G12524" s="18">
        <v>226250</v>
      </c>
      <c r="H12524" t="s">
        <v>17</v>
      </c>
      <c r="I12524" s="151" t="s">
        <v>562</v>
      </c>
    </row>
    <row r="12525" spans="1:9" x14ac:dyDescent="0.25">
      <c r="A12525" s="151">
        <v>1836</v>
      </c>
      <c r="B12525" s="151">
        <f>A12525+1</f>
        <v>1837</v>
      </c>
      <c r="C12525" s="151" t="s">
        <v>542</v>
      </c>
      <c r="D12525" s="151" t="s">
        <v>26</v>
      </c>
      <c r="E12525" s="208" t="s">
        <v>28</v>
      </c>
      <c r="F12525" t="s">
        <v>7</v>
      </c>
      <c r="G12525" s="18">
        <v>1851</v>
      </c>
      <c r="H12525" t="s">
        <v>17</v>
      </c>
      <c r="I12525" s="151" t="s">
        <v>562</v>
      </c>
    </row>
    <row r="12526" spans="1:9" x14ac:dyDescent="0.25">
      <c r="A12526" s="151">
        <v>1836</v>
      </c>
      <c r="B12526" s="151">
        <f>A12526+1</f>
        <v>1837</v>
      </c>
      <c r="C12526" s="151" t="s">
        <v>542</v>
      </c>
      <c r="D12526" s="151" t="s">
        <v>26</v>
      </c>
      <c r="E12526" s="208" t="s">
        <v>89</v>
      </c>
      <c r="F12526" t="s">
        <v>7</v>
      </c>
      <c r="G12526" s="18">
        <v>7188</v>
      </c>
      <c r="H12526" t="s">
        <v>17</v>
      </c>
      <c r="I12526" s="151" t="s">
        <v>562</v>
      </c>
    </row>
    <row r="12527" spans="1:9" x14ac:dyDescent="0.25">
      <c r="A12527" s="151">
        <v>1836</v>
      </c>
      <c r="B12527" s="151">
        <f>A12527+1</f>
        <v>1837</v>
      </c>
      <c r="C12527" s="151" t="s">
        <v>542</v>
      </c>
      <c r="D12527" s="151" t="s">
        <v>26</v>
      </c>
      <c r="E12527" s="208" t="s">
        <v>450</v>
      </c>
      <c r="F12527" t="s">
        <v>7</v>
      </c>
      <c r="G12527" s="18">
        <v>13206</v>
      </c>
      <c r="H12527" t="s">
        <v>17</v>
      </c>
      <c r="I12527" s="151" t="s">
        <v>562</v>
      </c>
    </row>
    <row r="12528" spans="1:9" x14ac:dyDescent="0.25">
      <c r="A12528" s="151">
        <v>1836</v>
      </c>
      <c r="B12528" s="151">
        <f>A12528+1</f>
        <v>1837</v>
      </c>
      <c r="C12528" s="151" t="s">
        <v>542</v>
      </c>
      <c r="D12528" s="151" t="s">
        <v>26</v>
      </c>
      <c r="E12528" s="208" t="s">
        <v>48</v>
      </c>
      <c r="F12528" t="s">
        <v>7</v>
      </c>
      <c r="G12528" s="18">
        <v>13729</v>
      </c>
      <c r="H12528" t="s">
        <v>17</v>
      </c>
      <c r="I12528" s="151" t="s">
        <v>562</v>
      </c>
    </row>
    <row r="12529" spans="1:9" x14ac:dyDescent="0.25">
      <c r="A12529" s="151">
        <v>1836</v>
      </c>
      <c r="B12529" s="151">
        <f>A12529+1</f>
        <v>1837</v>
      </c>
      <c r="C12529" s="151" t="s">
        <v>542</v>
      </c>
      <c r="D12529" s="151" t="s">
        <v>26</v>
      </c>
      <c r="E12529" s="208" t="s">
        <v>102</v>
      </c>
      <c r="F12529" t="s">
        <v>7</v>
      </c>
      <c r="G12529" s="18">
        <v>18253</v>
      </c>
      <c r="H12529" t="s">
        <v>17</v>
      </c>
      <c r="I12529" s="151" t="s">
        <v>562</v>
      </c>
    </row>
    <row r="12530" spans="1:9" x14ac:dyDescent="0.25">
      <c r="A12530" s="151">
        <v>1836</v>
      </c>
      <c r="B12530" s="151">
        <f>A12530+1</f>
        <v>1837</v>
      </c>
      <c r="C12530" s="151" t="s">
        <v>542</v>
      </c>
      <c r="D12530" s="151" t="s">
        <v>26</v>
      </c>
      <c r="E12530" s="208" t="s">
        <v>330</v>
      </c>
      <c r="F12530" t="s">
        <v>7</v>
      </c>
      <c r="G12530" s="18">
        <v>782</v>
      </c>
      <c r="H12530" t="s">
        <v>17</v>
      </c>
      <c r="I12530" s="151" t="s">
        <v>562</v>
      </c>
    </row>
    <row r="12531" spans="1:9" x14ac:dyDescent="0.25">
      <c r="A12531" s="151">
        <v>1836</v>
      </c>
      <c r="B12531" s="151">
        <f>A12531+1</f>
        <v>1837</v>
      </c>
      <c r="C12531" s="151" t="s">
        <v>542</v>
      </c>
      <c r="D12531" s="151" t="s">
        <v>26</v>
      </c>
      <c r="E12531" s="208" t="s">
        <v>331</v>
      </c>
      <c r="F12531" t="s">
        <v>7</v>
      </c>
      <c r="G12531" s="18">
        <v>157</v>
      </c>
      <c r="H12531" t="s">
        <v>17</v>
      </c>
      <c r="I12531" s="151" t="s">
        <v>562</v>
      </c>
    </row>
    <row r="12532" spans="1:9" x14ac:dyDescent="0.25">
      <c r="A12532" s="151">
        <v>1836</v>
      </c>
      <c r="B12532" s="151">
        <f>A12532+1</f>
        <v>1837</v>
      </c>
      <c r="C12532" s="151" t="s">
        <v>542</v>
      </c>
      <c r="D12532" s="151" t="s">
        <v>26</v>
      </c>
      <c r="E12532" s="208" t="s">
        <v>332</v>
      </c>
      <c r="F12532" t="s">
        <v>7</v>
      </c>
      <c r="G12532" s="18">
        <v>520</v>
      </c>
      <c r="H12532" t="s">
        <v>17</v>
      </c>
      <c r="I12532" s="151" t="s">
        <v>562</v>
      </c>
    </row>
    <row r="12533" spans="1:9" x14ac:dyDescent="0.25">
      <c r="A12533" s="151">
        <v>1836</v>
      </c>
      <c r="B12533" s="151">
        <f>A12533+1</f>
        <v>1837</v>
      </c>
      <c r="C12533" s="151" t="s">
        <v>542</v>
      </c>
      <c r="D12533" s="151" t="s">
        <v>26</v>
      </c>
      <c r="E12533" s="208" t="s">
        <v>333</v>
      </c>
      <c r="F12533" t="s">
        <v>7</v>
      </c>
      <c r="G12533" s="18">
        <v>651</v>
      </c>
      <c r="H12533" t="s">
        <v>17</v>
      </c>
      <c r="I12533" s="151" t="s">
        <v>562</v>
      </c>
    </row>
    <row r="12534" spans="1:9" x14ac:dyDescent="0.25">
      <c r="A12534" s="151">
        <v>1836</v>
      </c>
      <c r="B12534" s="151">
        <f>A12534+1</f>
        <v>1837</v>
      </c>
      <c r="C12534" s="151" t="s">
        <v>542</v>
      </c>
      <c r="D12534" s="151" t="s">
        <v>27</v>
      </c>
      <c r="E12534" s="208" t="s">
        <v>155</v>
      </c>
      <c r="F12534" t="s">
        <v>14</v>
      </c>
      <c r="G12534" s="18">
        <v>48588</v>
      </c>
      <c r="H12534" t="s">
        <v>17</v>
      </c>
      <c r="I12534" s="151" t="s">
        <v>562</v>
      </c>
    </row>
    <row r="12535" spans="1:9" x14ac:dyDescent="0.25">
      <c r="A12535" s="151">
        <v>1836</v>
      </c>
      <c r="B12535" s="151">
        <f>A12535+1</f>
        <v>1837</v>
      </c>
      <c r="C12535" s="151" t="s">
        <v>542</v>
      </c>
      <c r="D12535" s="151" t="s">
        <v>27</v>
      </c>
      <c r="E12535" s="208" t="s">
        <v>156</v>
      </c>
      <c r="F12535" t="s">
        <v>14</v>
      </c>
      <c r="G12535" s="18">
        <v>6615</v>
      </c>
      <c r="H12535" t="s">
        <v>17</v>
      </c>
      <c r="I12535" s="151" t="s">
        <v>562</v>
      </c>
    </row>
    <row r="12536" spans="1:9" x14ac:dyDescent="0.25">
      <c r="A12536" s="151">
        <v>1836</v>
      </c>
      <c r="B12536" s="151">
        <f>A12536+1</f>
        <v>1837</v>
      </c>
      <c r="C12536" s="151" t="s">
        <v>542</v>
      </c>
      <c r="D12536" s="151" t="s">
        <v>27</v>
      </c>
      <c r="E12536" s="208" t="s">
        <v>154</v>
      </c>
      <c r="F12536" t="s">
        <v>14</v>
      </c>
      <c r="G12536" s="18">
        <v>1227.5</v>
      </c>
      <c r="H12536" t="s">
        <v>17</v>
      </c>
      <c r="I12536" s="151" t="s">
        <v>562</v>
      </c>
    </row>
    <row r="12537" spans="1:9" x14ac:dyDescent="0.25">
      <c r="A12537" s="151">
        <v>1836</v>
      </c>
      <c r="B12537" s="151">
        <f>A12537+1</f>
        <v>1837</v>
      </c>
      <c r="C12537" s="151" t="s">
        <v>542</v>
      </c>
      <c r="D12537" s="151" t="s">
        <v>27</v>
      </c>
      <c r="E12537" s="208" t="s">
        <v>150</v>
      </c>
      <c r="F12537" t="s">
        <v>14</v>
      </c>
      <c r="G12537" s="18">
        <v>17135</v>
      </c>
      <c r="H12537" t="s">
        <v>17</v>
      </c>
      <c r="I12537" s="151" t="s">
        <v>562</v>
      </c>
    </row>
    <row r="12538" spans="1:9" x14ac:dyDescent="0.25">
      <c r="A12538" s="151">
        <v>1836</v>
      </c>
      <c r="B12538" s="151">
        <f>A12538+1</f>
        <v>1837</v>
      </c>
      <c r="C12538" s="151" t="s">
        <v>542</v>
      </c>
      <c r="D12538" s="151" t="s">
        <v>27</v>
      </c>
      <c r="E12538" s="208" t="s">
        <v>148</v>
      </c>
      <c r="F12538" t="s">
        <v>14</v>
      </c>
      <c r="G12538" s="18">
        <v>2400</v>
      </c>
      <c r="H12538" t="s">
        <v>17</v>
      </c>
      <c r="I12538" s="151" t="s">
        <v>562</v>
      </c>
    </row>
    <row r="12539" spans="1:9" x14ac:dyDescent="0.25">
      <c r="A12539" s="151">
        <v>1836</v>
      </c>
      <c r="B12539" s="151">
        <f>A12539+1</f>
        <v>1837</v>
      </c>
      <c r="C12539" s="151" t="s">
        <v>542</v>
      </c>
      <c r="D12539" s="151" t="s">
        <v>27</v>
      </c>
      <c r="E12539" s="208" t="s">
        <v>147</v>
      </c>
      <c r="F12539" t="s">
        <v>14</v>
      </c>
      <c r="G12539" s="18">
        <v>331</v>
      </c>
      <c r="H12539" t="s">
        <v>17</v>
      </c>
      <c r="I12539" s="151" t="s">
        <v>562</v>
      </c>
    </row>
    <row r="12540" spans="1:9" x14ac:dyDescent="0.25">
      <c r="A12540" s="151">
        <v>1836</v>
      </c>
      <c r="B12540" s="151">
        <f>A12540+1</f>
        <v>1837</v>
      </c>
      <c r="C12540" s="151" t="s">
        <v>542</v>
      </c>
      <c r="D12540" s="151" t="s">
        <v>27</v>
      </c>
      <c r="E12540" s="208" t="s">
        <v>125</v>
      </c>
      <c r="F12540" t="s">
        <v>14</v>
      </c>
      <c r="G12540" s="18">
        <v>4689</v>
      </c>
      <c r="H12540" t="s">
        <v>17</v>
      </c>
      <c r="I12540" s="151" t="s">
        <v>562</v>
      </c>
    </row>
    <row r="12541" spans="1:9" x14ac:dyDescent="0.25">
      <c r="A12541" s="151">
        <v>1836</v>
      </c>
      <c r="B12541" s="151">
        <f>A12541+1</f>
        <v>1837</v>
      </c>
      <c r="C12541" s="151" t="s">
        <v>542</v>
      </c>
      <c r="D12541" s="151" t="s">
        <v>27</v>
      </c>
      <c r="E12541" s="208" t="s">
        <v>122</v>
      </c>
      <c r="F12541" t="s">
        <v>14</v>
      </c>
      <c r="G12541" s="18">
        <v>867</v>
      </c>
      <c r="H12541" t="s">
        <v>17</v>
      </c>
      <c r="I12541" s="151" t="s">
        <v>562</v>
      </c>
    </row>
    <row r="12542" spans="1:9" x14ac:dyDescent="0.25">
      <c r="A12542" s="151">
        <v>1836</v>
      </c>
      <c r="B12542" s="151">
        <f>A12542+1</f>
        <v>1837</v>
      </c>
      <c r="C12542" s="151" t="s">
        <v>542</v>
      </c>
      <c r="D12542" s="151" t="s">
        <v>27</v>
      </c>
      <c r="E12542" s="208" t="s">
        <v>123</v>
      </c>
      <c r="F12542" t="s">
        <v>14</v>
      </c>
      <c r="G12542" s="18">
        <v>586</v>
      </c>
      <c r="H12542" s="151" t="s">
        <v>563</v>
      </c>
      <c r="I12542" t="s">
        <v>17</v>
      </c>
    </row>
    <row r="12543" spans="1:9" x14ac:dyDescent="0.25">
      <c r="A12543" s="151">
        <v>1836</v>
      </c>
      <c r="B12543" s="151">
        <f>A12543+1</f>
        <v>1837</v>
      </c>
      <c r="C12543" s="151" t="s">
        <v>542</v>
      </c>
      <c r="D12543" s="151" t="s">
        <v>27</v>
      </c>
      <c r="E12543" s="208" t="s">
        <v>121</v>
      </c>
      <c r="F12543" t="s">
        <v>14</v>
      </c>
      <c r="G12543" s="18">
        <v>48</v>
      </c>
      <c r="H12543" s="151" t="s">
        <v>563</v>
      </c>
      <c r="I12543" t="s">
        <v>17</v>
      </c>
    </row>
    <row r="12544" spans="1:9" x14ac:dyDescent="0.25">
      <c r="A12544" s="151">
        <v>1836</v>
      </c>
      <c r="B12544" s="151">
        <f>A12544+1</f>
        <v>1837</v>
      </c>
      <c r="C12544" s="151" t="s">
        <v>542</v>
      </c>
      <c r="D12544" s="151" t="s">
        <v>27</v>
      </c>
      <c r="E12544" s="208" t="s">
        <v>139</v>
      </c>
      <c r="F12544" t="s">
        <v>14</v>
      </c>
      <c r="G12544" s="18">
        <v>176</v>
      </c>
      <c r="H12544" s="151" t="s">
        <v>563</v>
      </c>
      <c r="I12544" t="s">
        <v>17</v>
      </c>
    </row>
    <row r="12545" spans="1:9" x14ac:dyDescent="0.25">
      <c r="A12545" s="151">
        <v>1836</v>
      </c>
      <c r="B12545" s="151">
        <f>A12545+1</f>
        <v>1837</v>
      </c>
      <c r="C12545" s="151" t="s">
        <v>542</v>
      </c>
      <c r="D12545" s="151" t="s">
        <v>27</v>
      </c>
      <c r="E12545" s="208" t="s">
        <v>131</v>
      </c>
      <c r="F12545" t="s">
        <v>14</v>
      </c>
      <c r="G12545" s="18">
        <v>7840</v>
      </c>
      <c r="H12545" s="151" t="s">
        <v>563</v>
      </c>
      <c r="I12545" t="s">
        <v>17</v>
      </c>
    </row>
    <row r="12546" spans="1:9" x14ac:dyDescent="0.25">
      <c r="A12546" s="151">
        <v>1836</v>
      </c>
      <c r="B12546" s="151">
        <f>A12546+1</f>
        <v>1837</v>
      </c>
      <c r="C12546" s="151" t="s">
        <v>542</v>
      </c>
      <c r="D12546" s="151" t="s">
        <v>27</v>
      </c>
      <c r="E12546" s="208" t="s">
        <v>130</v>
      </c>
      <c r="F12546" t="s">
        <v>14</v>
      </c>
      <c r="G12546" s="18">
        <v>100</v>
      </c>
      <c r="H12546" s="151" t="s">
        <v>563</v>
      </c>
      <c r="I12546" t="s">
        <v>17</v>
      </c>
    </row>
    <row r="12547" spans="1:9" x14ac:dyDescent="0.25">
      <c r="A12547" s="151">
        <v>1836</v>
      </c>
      <c r="B12547" s="151">
        <f>A12547+1</f>
        <v>1837</v>
      </c>
      <c r="C12547" s="151" t="s">
        <v>542</v>
      </c>
      <c r="D12547" s="151" t="s">
        <v>27</v>
      </c>
      <c r="E12547" s="208" t="s">
        <v>143</v>
      </c>
      <c r="F12547" t="s">
        <v>14</v>
      </c>
      <c r="G12547" s="18">
        <v>39</v>
      </c>
      <c r="H12547" s="151" t="s">
        <v>563</v>
      </c>
      <c r="I12547" t="s">
        <v>17</v>
      </c>
    </row>
    <row r="12548" spans="1:9" x14ac:dyDescent="0.25">
      <c r="A12548" s="151">
        <v>1836</v>
      </c>
      <c r="B12548" s="151">
        <f>A12548+1</f>
        <v>1837</v>
      </c>
      <c r="C12548" s="151" t="s">
        <v>542</v>
      </c>
      <c r="D12548" s="151" t="s">
        <v>27</v>
      </c>
      <c r="E12548" s="208" t="s">
        <v>142</v>
      </c>
      <c r="F12548" t="s">
        <v>14</v>
      </c>
      <c r="G12548" s="18">
        <v>41950</v>
      </c>
      <c r="H12548" s="151" t="s">
        <v>563</v>
      </c>
      <c r="I12548" t="s">
        <v>17</v>
      </c>
    </row>
    <row r="12549" spans="1:9" x14ac:dyDescent="0.25">
      <c r="A12549" s="151">
        <v>1836</v>
      </c>
      <c r="B12549" s="151">
        <f>A12549+1</f>
        <v>1837</v>
      </c>
      <c r="C12549" s="151" t="s">
        <v>542</v>
      </c>
      <c r="D12549" s="151" t="s">
        <v>27</v>
      </c>
      <c r="E12549" s="208" t="s">
        <v>127</v>
      </c>
      <c r="F12549" t="s">
        <v>14</v>
      </c>
      <c r="G12549" s="18">
        <v>48</v>
      </c>
      <c r="H12549" s="151" t="s">
        <v>563</v>
      </c>
      <c r="I12549" t="s">
        <v>17</v>
      </c>
    </row>
    <row r="12550" spans="1:9" x14ac:dyDescent="0.25">
      <c r="A12550" s="151">
        <v>1836</v>
      </c>
      <c r="B12550" s="151">
        <f>A12550+1</f>
        <v>1837</v>
      </c>
      <c r="C12550" s="151" t="s">
        <v>542</v>
      </c>
      <c r="D12550" s="151" t="s">
        <v>27</v>
      </c>
      <c r="E12550" s="208" t="s">
        <v>133</v>
      </c>
      <c r="F12550" t="s">
        <v>14</v>
      </c>
      <c r="G12550" s="18">
        <v>4462</v>
      </c>
      <c r="H12550" s="151" t="s">
        <v>563</v>
      </c>
      <c r="I12550" t="s">
        <v>17</v>
      </c>
    </row>
    <row r="12551" spans="1:9" x14ac:dyDescent="0.25">
      <c r="A12551" s="151">
        <v>1836</v>
      </c>
      <c r="B12551" s="151">
        <f>A12551+1</f>
        <v>1837</v>
      </c>
      <c r="C12551" s="151" t="s">
        <v>542</v>
      </c>
      <c r="D12551" s="151" t="s">
        <v>27</v>
      </c>
      <c r="E12551" s="208" t="s">
        <v>74</v>
      </c>
      <c r="F12551" t="s">
        <v>14</v>
      </c>
      <c r="G12551" s="18">
        <v>6381</v>
      </c>
      <c r="H12551" s="151" t="s">
        <v>563</v>
      </c>
      <c r="I12551" t="s">
        <v>17</v>
      </c>
    </row>
    <row r="12552" spans="1:9" x14ac:dyDescent="0.25">
      <c r="A12552" s="151">
        <v>1836</v>
      </c>
      <c r="B12552" s="151">
        <f>A12552+1</f>
        <v>1837</v>
      </c>
      <c r="C12552" s="151" t="s">
        <v>542</v>
      </c>
      <c r="D12552" s="151" t="s">
        <v>27</v>
      </c>
      <c r="E12552" s="208" t="s">
        <v>129</v>
      </c>
      <c r="F12552" t="s">
        <v>14</v>
      </c>
      <c r="G12552" s="18">
        <v>432.5</v>
      </c>
      <c r="H12552" s="151" t="s">
        <v>563</v>
      </c>
      <c r="I12552" t="s">
        <v>17</v>
      </c>
    </row>
    <row r="12553" spans="1:9" x14ac:dyDescent="0.25">
      <c r="A12553" s="151">
        <v>1836</v>
      </c>
      <c r="B12553" s="151">
        <f>A12553+1</f>
        <v>1837</v>
      </c>
      <c r="C12553" s="151" t="s">
        <v>542</v>
      </c>
      <c r="D12553" s="151" t="s">
        <v>27</v>
      </c>
      <c r="E12553" s="208" t="s">
        <v>141</v>
      </c>
      <c r="F12553" t="s">
        <v>14</v>
      </c>
      <c r="G12553" s="18">
        <v>130</v>
      </c>
      <c r="H12553" s="151" t="s">
        <v>563</v>
      </c>
      <c r="I12553" t="s">
        <v>17</v>
      </c>
    </row>
    <row r="12554" spans="1:9" x14ac:dyDescent="0.25">
      <c r="A12554" s="151">
        <v>1836</v>
      </c>
      <c r="B12554" s="151">
        <f>A12554+1</f>
        <v>1837</v>
      </c>
      <c r="C12554" s="151" t="s">
        <v>542</v>
      </c>
      <c r="D12554" s="151" t="s">
        <v>27</v>
      </c>
      <c r="E12554" s="208" t="s">
        <v>135</v>
      </c>
      <c r="F12554" t="s">
        <v>14</v>
      </c>
      <c r="G12554" s="18">
        <v>41.5</v>
      </c>
      <c r="H12554" s="151" t="s">
        <v>563</v>
      </c>
      <c r="I12554" t="s">
        <v>17</v>
      </c>
    </row>
    <row r="12555" spans="1:9" x14ac:dyDescent="0.25">
      <c r="A12555" s="151">
        <v>1836</v>
      </c>
      <c r="B12555" s="151">
        <f>A12555+1</f>
        <v>1837</v>
      </c>
      <c r="C12555" s="151" t="s">
        <v>542</v>
      </c>
      <c r="D12555" s="151" t="s">
        <v>27</v>
      </c>
      <c r="E12555" s="208" t="s">
        <v>128</v>
      </c>
      <c r="F12555" t="s">
        <v>14</v>
      </c>
      <c r="G12555" s="18">
        <v>69</v>
      </c>
      <c r="H12555" s="151" t="s">
        <v>563</v>
      </c>
      <c r="I12555" t="s">
        <v>17</v>
      </c>
    </row>
    <row r="12556" spans="1:9" x14ac:dyDescent="0.25">
      <c r="A12556" s="151">
        <v>1836</v>
      </c>
      <c r="B12556" s="151">
        <f>A12556+1</f>
        <v>1837</v>
      </c>
      <c r="C12556" s="151" t="s">
        <v>542</v>
      </c>
      <c r="D12556" s="151" t="s">
        <v>27</v>
      </c>
      <c r="E12556" s="208" t="s">
        <v>78</v>
      </c>
      <c r="F12556" t="s">
        <v>14</v>
      </c>
      <c r="G12556" s="18">
        <v>2255</v>
      </c>
      <c r="H12556" s="151" t="s">
        <v>563</v>
      </c>
      <c r="I12556" t="s">
        <v>17</v>
      </c>
    </row>
    <row r="12557" spans="1:9" x14ac:dyDescent="0.25">
      <c r="A12557" s="151">
        <v>1836</v>
      </c>
      <c r="B12557" s="151">
        <f>A12557+1</f>
        <v>1837</v>
      </c>
      <c r="C12557" s="151" t="s">
        <v>542</v>
      </c>
      <c r="D12557" s="151" t="s">
        <v>27</v>
      </c>
      <c r="E12557" s="208" t="s">
        <v>119</v>
      </c>
      <c r="F12557" t="s">
        <v>14</v>
      </c>
      <c r="G12557" s="18">
        <v>3004</v>
      </c>
      <c r="H12557" s="151" t="s">
        <v>563</v>
      </c>
      <c r="I12557" t="s">
        <v>17</v>
      </c>
    </row>
    <row r="12558" spans="1:9" x14ac:dyDescent="0.25">
      <c r="A12558" s="151">
        <v>1836</v>
      </c>
      <c r="B12558" s="151">
        <f>A12558+1</f>
        <v>1837</v>
      </c>
      <c r="C12558" s="151" t="s">
        <v>542</v>
      </c>
      <c r="D12558" s="151" t="s">
        <v>27</v>
      </c>
      <c r="E12558" s="208" t="s">
        <v>134</v>
      </c>
      <c r="F12558" t="s">
        <v>14</v>
      </c>
      <c r="G12558" s="18">
        <v>16699</v>
      </c>
      <c r="H12558" s="151" t="s">
        <v>563</v>
      </c>
      <c r="I12558" t="s">
        <v>17</v>
      </c>
    </row>
    <row r="12559" spans="1:9" x14ac:dyDescent="0.25">
      <c r="A12559" s="151">
        <v>1836</v>
      </c>
      <c r="B12559" s="151">
        <f>A12559+1</f>
        <v>1837</v>
      </c>
      <c r="C12559" s="151" t="s">
        <v>542</v>
      </c>
      <c r="D12559" s="151" t="s">
        <v>26</v>
      </c>
      <c r="E12559" s="208" t="s">
        <v>34</v>
      </c>
      <c r="F12559" t="s">
        <v>14</v>
      </c>
      <c r="G12559" s="18">
        <v>7220</v>
      </c>
      <c r="H12559" s="151" t="s">
        <v>563</v>
      </c>
      <c r="I12559" t="s">
        <v>17</v>
      </c>
    </row>
    <row r="12560" spans="1:9" x14ac:dyDescent="0.25">
      <c r="A12560" s="151">
        <v>1836</v>
      </c>
      <c r="B12560" s="151">
        <f>A12560+1</f>
        <v>1837</v>
      </c>
      <c r="C12560" s="151" t="s">
        <v>542</v>
      </c>
      <c r="D12560" s="151" t="s">
        <v>26</v>
      </c>
      <c r="E12560" s="208" t="s">
        <v>63</v>
      </c>
      <c r="F12560" t="s">
        <v>14</v>
      </c>
      <c r="G12560" s="18">
        <v>1959</v>
      </c>
      <c r="H12560" s="151" t="s">
        <v>563</v>
      </c>
      <c r="I12560" t="s">
        <v>17</v>
      </c>
    </row>
    <row r="12561" spans="1:9" x14ac:dyDescent="0.25">
      <c r="A12561" s="151">
        <v>1836</v>
      </c>
      <c r="B12561" s="151">
        <f>A12561+1</f>
        <v>1837</v>
      </c>
      <c r="C12561" s="151" t="s">
        <v>542</v>
      </c>
      <c r="D12561" s="151" t="s">
        <v>26</v>
      </c>
      <c r="E12561" s="208" t="s">
        <v>55</v>
      </c>
      <c r="F12561" t="s">
        <v>14</v>
      </c>
      <c r="G12561" s="18">
        <v>2545</v>
      </c>
      <c r="H12561" s="151" t="s">
        <v>563</v>
      </c>
      <c r="I12561" t="s">
        <v>17</v>
      </c>
    </row>
    <row r="12562" spans="1:9" x14ac:dyDescent="0.25">
      <c r="A12562" s="151">
        <v>1836</v>
      </c>
      <c r="B12562" s="151">
        <f>A12562+1</f>
        <v>1837</v>
      </c>
      <c r="C12562" s="151" t="s">
        <v>542</v>
      </c>
      <c r="D12562" s="151" t="s">
        <v>26</v>
      </c>
      <c r="E12562" s="208" t="s">
        <v>36</v>
      </c>
      <c r="F12562" t="s">
        <v>14</v>
      </c>
      <c r="G12562" s="18">
        <v>1049</v>
      </c>
      <c r="H12562" s="151" t="s">
        <v>563</v>
      </c>
      <c r="I12562" t="s">
        <v>17</v>
      </c>
    </row>
    <row r="12563" spans="1:9" x14ac:dyDescent="0.25">
      <c r="A12563" s="151">
        <v>1836</v>
      </c>
      <c r="B12563" s="151">
        <f>A12563+1</f>
        <v>1837</v>
      </c>
      <c r="C12563" s="151" t="s">
        <v>542</v>
      </c>
      <c r="D12563" s="151" t="s">
        <v>26</v>
      </c>
      <c r="E12563" s="208" t="s">
        <v>35</v>
      </c>
      <c r="F12563" t="s">
        <v>14</v>
      </c>
      <c r="G12563" s="18">
        <v>85</v>
      </c>
      <c r="H12563" s="151" t="s">
        <v>563</v>
      </c>
      <c r="I12563" t="s">
        <v>17</v>
      </c>
    </row>
    <row r="12564" spans="1:9" x14ac:dyDescent="0.25">
      <c r="A12564" s="151">
        <v>1836</v>
      </c>
      <c r="B12564" s="151">
        <f>A12564+1</f>
        <v>1837</v>
      </c>
      <c r="C12564" s="151" t="s">
        <v>542</v>
      </c>
      <c r="D12564" s="151" t="s">
        <v>26</v>
      </c>
      <c r="E12564" s="208" t="s">
        <v>40</v>
      </c>
      <c r="F12564" t="s">
        <v>14</v>
      </c>
      <c r="G12564" s="18">
        <v>153664</v>
      </c>
      <c r="H12564" s="151" t="s">
        <v>563</v>
      </c>
      <c r="I12564" t="s">
        <v>17</v>
      </c>
    </row>
    <row r="12565" spans="1:9" x14ac:dyDescent="0.25">
      <c r="A12565" s="151">
        <v>1836</v>
      </c>
      <c r="B12565" s="151">
        <f>A12565+1</f>
        <v>1837</v>
      </c>
      <c r="C12565" s="151" t="s">
        <v>542</v>
      </c>
      <c r="D12565" s="151" t="s">
        <v>26</v>
      </c>
      <c r="E12565" s="208" t="s">
        <v>96</v>
      </c>
      <c r="F12565" t="s">
        <v>14</v>
      </c>
      <c r="G12565" s="18">
        <v>747</v>
      </c>
      <c r="H12565" t="s">
        <v>561</v>
      </c>
      <c r="I12565" s="151" t="s">
        <v>562</v>
      </c>
    </row>
    <row r="12566" spans="1:9" x14ac:dyDescent="0.25">
      <c r="A12566" s="151">
        <v>1836</v>
      </c>
      <c r="B12566" s="151">
        <f>A12566+1</f>
        <v>1837</v>
      </c>
      <c r="C12566" s="151" t="s">
        <v>542</v>
      </c>
      <c r="D12566" s="151" t="s">
        <v>26</v>
      </c>
      <c r="E12566" s="208" t="s">
        <v>98</v>
      </c>
      <c r="F12566" t="s">
        <v>14</v>
      </c>
      <c r="G12566" s="18">
        <v>363342</v>
      </c>
      <c r="H12566" t="s">
        <v>561</v>
      </c>
      <c r="I12566" s="151" t="s">
        <v>562</v>
      </c>
    </row>
    <row r="12567" spans="1:9" x14ac:dyDescent="0.25">
      <c r="A12567" s="151">
        <v>1836</v>
      </c>
      <c r="B12567" s="151">
        <f>A12567+1</f>
        <v>1837</v>
      </c>
      <c r="C12567" s="151" t="s">
        <v>542</v>
      </c>
      <c r="D12567" s="151" t="s">
        <v>26</v>
      </c>
      <c r="E12567" s="208" t="s">
        <v>466</v>
      </c>
      <c r="F12567" t="s">
        <v>14</v>
      </c>
      <c r="G12567" s="18">
        <v>6344</v>
      </c>
      <c r="H12567" t="s">
        <v>561</v>
      </c>
      <c r="I12567" s="151" t="s">
        <v>562</v>
      </c>
    </row>
    <row r="12568" spans="1:9" x14ac:dyDescent="0.25">
      <c r="A12568" s="151">
        <v>1836</v>
      </c>
      <c r="B12568" s="151">
        <f>A12568+1</f>
        <v>1837</v>
      </c>
      <c r="C12568" s="151" t="s">
        <v>542</v>
      </c>
      <c r="D12568" s="151" t="s">
        <v>26</v>
      </c>
      <c r="E12568" s="208" t="s">
        <v>105</v>
      </c>
      <c r="F12568" t="s">
        <v>14</v>
      </c>
      <c r="G12568" s="18">
        <v>1333221</v>
      </c>
      <c r="H12568" t="s">
        <v>561</v>
      </c>
      <c r="I12568" s="151" t="s">
        <v>562</v>
      </c>
    </row>
    <row r="12569" spans="1:9" x14ac:dyDescent="0.25">
      <c r="A12569" s="151">
        <v>1836</v>
      </c>
      <c r="B12569" s="151">
        <f>A12569+1</f>
        <v>1837</v>
      </c>
      <c r="C12569" s="151" t="s">
        <v>542</v>
      </c>
      <c r="D12569" s="151" t="s">
        <v>26</v>
      </c>
      <c r="E12569" s="208" t="s">
        <v>106</v>
      </c>
      <c r="F12569" t="s">
        <v>14</v>
      </c>
      <c r="G12569" s="18">
        <v>819088</v>
      </c>
      <c r="H12569" t="s">
        <v>561</v>
      </c>
      <c r="I12569" s="151" t="s">
        <v>562</v>
      </c>
    </row>
    <row r="12570" spans="1:9" x14ac:dyDescent="0.25">
      <c r="A12570" s="151">
        <v>1836</v>
      </c>
      <c r="B12570" s="151">
        <f>A12570+1</f>
        <v>1837</v>
      </c>
      <c r="C12570" s="151" t="s">
        <v>542</v>
      </c>
      <c r="D12570" s="151" t="s">
        <v>26</v>
      </c>
      <c r="E12570" s="208" t="s">
        <v>101</v>
      </c>
      <c r="F12570" t="s">
        <v>14</v>
      </c>
      <c r="G12570" s="18">
        <v>5634588</v>
      </c>
      <c r="H12570" t="s">
        <v>561</v>
      </c>
      <c r="I12570" s="151" t="s">
        <v>562</v>
      </c>
    </row>
    <row r="12571" spans="1:9" x14ac:dyDescent="0.25">
      <c r="A12571" s="151">
        <v>1836</v>
      </c>
      <c r="B12571" s="151">
        <f>A12571+1</f>
        <v>1837</v>
      </c>
      <c r="C12571" s="151" t="s">
        <v>542</v>
      </c>
      <c r="D12571" s="151" t="s">
        <v>26</v>
      </c>
      <c r="E12571" s="208" t="s">
        <v>75</v>
      </c>
      <c r="F12571" t="s">
        <v>14</v>
      </c>
      <c r="G12571" s="18">
        <v>4607214</v>
      </c>
      <c r="H12571" t="s">
        <v>561</v>
      </c>
      <c r="I12571" s="151" t="s">
        <v>562</v>
      </c>
    </row>
    <row r="12572" spans="1:9" x14ac:dyDescent="0.25">
      <c r="A12572" s="151">
        <v>1836</v>
      </c>
      <c r="B12572" s="151">
        <f>A12572+1</f>
        <v>1837</v>
      </c>
      <c r="C12572" s="151" t="s">
        <v>542</v>
      </c>
      <c r="D12572" s="151" t="s">
        <v>26</v>
      </c>
      <c r="E12572" s="208" t="s">
        <v>66</v>
      </c>
      <c r="F12572" t="s">
        <v>14</v>
      </c>
      <c r="G12572" s="18">
        <v>445050</v>
      </c>
      <c r="H12572" t="s">
        <v>561</v>
      </c>
      <c r="I12572" s="151" t="s">
        <v>562</v>
      </c>
    </row>
    <row r="12573" spans="1:9" x14ac:dyDescent="0.25">
      <c r="A12573" s="151">
        <v>1836</v>
      </c>
      <c r="B12573" s="151">
        <f>A12573+1</f>
        <v>1837</v>
      </c>
      <c r="C12573" s="151" t="s">
        <v>542</v>
      </c>
      <c r="D12573" s="151" t="s">
        <v>26</v>
      </c>
      <c r="E12573" s="208" t="s">
        <v>28</v>
      </c>
      <c r="F12573" t="s">
        <v>14</v>
      </c>
      <c r="G12573" s="18">
        <v>819</v>
      </c>
      <c r="H12573" t="s">
        <v>561</v>
      </c>
      <c r="I12573" s="151" t="s">
        <v>562</v>
      </c>
    </row>
    <row r="12574" spans="1:9" x14ac:dyDescent="0.25">
      <c r="A12574" s="151">
        <v>1836</v>
      </c>
      <c r="B12574" s="151">
        <f>A12574+1</f>
        <v>1837</v>
      </c>
      <c r="C12574" s="151" t="s">
        <v>542</v>
      </c>
      <c r="D12574" s="151" t="s">
        <v>26</v>
      </c>
      <c r="E12574" s="208" t="s">
        <v>89</v>
      </c>
      <c r="F12574" t="s">
        <v>14</v>
      </c>
      <c r="G12574" s="18">
        <v>1458</v>
      </c>
      <c r="H12574" t="s">
        <v>561</v>
      </c>
      <c r="I12574" s="151" t="s">
        <v>562</v>
      </c>
    </row>
    <row r="12575" spans="1:9" x14ac:dyDescent="0.25">
      <c r="A12575" s="151">
        <v>1836</v>
      </c>
      <c r="B12575" s="151">
        <f>A12575+1</f>
        <v>1837</v>
      </c>
      <c r="C12575" s="151" t="s">
        <v>542</v>
      </c>
      <c r="D12575" s="151" t="s">
        <v>26</v>
      </c>
      <c r="E12575" s="208" t="s">
        <v>450</v>
      </c>
      <c r="F12575" t="s">
        <v>14</v>
      </c>
      <c r="G12575" s="18">
        <v>847</v>
      </c>
      <c r="H12575" t="s">
        <v>561</v>
      </c>
      <c r="I12575" s="151" t="s">
        <v>562</v>
      </c>
    </row>
    <row r="12576" spans="1:9" x14ac:dyDescent="0.25">
      <c r="A12576" s="151">
        <v>1836</v>
      </c>
      <c r="B12576" s="151">
        <f>A12576+1</f>
        <v>1837</v>
      </c>
      <c r="C12576" s="151" t="s">
        <v>542</v>
      </c>
      <c r="D12576" s="151" t="s">
        <v>26</v>
      </c>
      <c r="E12576" s="208" t="s">
        <v>48</v>
      </c>
      <c r="F12576" t="s">
        <v>14</v>
      </c>
      <c r="G12576" s="18">
        <v>1719</v>
      </c>
      <c r="H12576" t="s">
        <v>561</v>
      </c>
      <c r="I12576" s="151" t="s">
        <v>562</v>
      </c>
    </row>
    <row r="12577" spans="1:9" x14ac:dyDescent="0.25">
      <c r="A12577" s="151">
        <v>1836</v>
      </c>
      <c r="B12577" s="151">
        <f>A12577+1</f>
        <v>1837</v>
      </c>
      <c r="C12577" s="151" t="s">
        <v>542</v>
      </c>
      <c r="D12577" s="151" t="s">
        <v>26</v>
      </c>
      <c r="E12577" s="208" t="s">
        <v>102</v>
      </c>
      <c r="F12577" t="s">
        <v>14</v>
      </c>
      <c r="G12577" s="18">
        <v>2341</v>
      </c>
      <c r="H12577" t="s">
        <v>561</v>
      </c>
      <c r="I12577" s="151" t="s">
        <v>562</v>
      </c>
    </row>
    <row r="12578" spans="1:9" x14ac:dyDescent="0.25">
      <c r="A12578" s="151">
        <v>1836</v>
      </c>
      <c r="B12578" s="151">
        <f>A12578+1</f>
        <v>1837</v>
      </c>
      <c r="C12578" s="151" t="s">
        <v>542</v>
      </c>
      <c r="D12578" s="151" t="s">
        <v>26</v>
      </c>
      <c r="E12578" s="208" t="s">
        <v>330</v>
      </c>
      <c r="F12578" t="s">
        <v>14</v>
      </c>
      <c r="G12578" s="18">
        <v>2222</v>
      </c>
      <c r="H12578" t="s">
        <v>561</v>
      </c>
      <c r="I12578" s="151" t="s">
        <v>562</v>
      </c>
    </row>
    <row r="12579" spans="1:9" x14ac:dyDescent="0.25">
      <c r="A12579" s="151">
        <v>1836</v>
      </c>
      <c r="B12579" s="151">
        <f>A12579+1</f>
        <v>1837</v>
      </c>
      <c r="C12579" s="151" t="s">
        <v>542</v>
      </c>
      <c r="D12579" s="151" t="s">
        <v>26</v>
      </c>
      <c r="E12579" s="208" t="s">
        <v>331</v>
      </c>
      <c r="F12579" t="s">
        <v>14</v>
      </c>
      <c r="G12579" s="18">
        <v>1163</v>
      </c>
      <c r="H12579" t="s">
        <v>561</v>
      </c>
      <c r="I12579" s="151" t="s">
        <v>562</v>
      </c>
    </row>
    <row r="12580" spans="1:9" x14ac:dyDescent="0.25">
      <c r="A12580" s="151">
        <v>1836</v>
      </c>
      <c r="B12580" s="151">
        <f>A12580+1</f>
        <v>1837</v>
      </c>
      <c r="C12580" s="151" t="s">
        <v>542</v>
      </c>
      <c r="D12580" s="151" t="s">
        <v>26</v>
      </c>
      <c r="E12580" s="208" t="s">
        <v>332</v>
      </c>
      <c r="F12580" t="s">
        <v>14</v>
      </c>
      <c r="G12580" s="18">
        <v>13</v>
      </c>
      <c r="H12580" t="s">
        <v>561</v>
      </c>
      <c r="I12580" s="151" t="s">
        <v>562</v>
      </c>
    </row>
    <row r="12581" spans="1:9" x14ac:dyDescent="0.25">
      <c r="A12581" s="151">
        <v>1836</v>
      </c>
      <c r="B12581" s="151">
        <f>A12581+1</f>
        <v>1837</v>
      </c>
      <c r="C12581" s="151" t="s">
        <v>542</v>
      </c>
      <c r="D12581" s="151" t="s">
        <v>26</v>
      </c>
      <c r="E12581" s="208" t="s">
        <v>333</v>
      </c>
      <c r="F12581" t="s">
        <v>14</v>
      </c>
      <c r="G12581" s="18">
        <v>235</v>
      </c>
      <c r="H12581" t="s">
        <v>561</v>
      </c>
      <c r="I12581" s="151" t="s">
        <v>562</v>
      </c>
    </row>
    <row r="12582" spans="1:9" x14ac:dyDescent="0.25">
      <c r="A12582" s="151">
        <v>1836</v>
      </c>
      <c r="B12582" s="151">
        <f>A12582+1</f>
        <v>1837</v>
      </c>
      <c r="C12582" s="151" t="s">
        <v>542</v>
      </c>
      <c r="D12582" s="151" t="s">
        <v>27</v>
      </c>
      <c r="E12582" s="208" t="s">
        <v>155</v>
      </c>
      <c r="F12582" t="s">
        <v>15</v>
      </c>
      <c r="G12582" s="18">
        <v>56220</v>
      </c>
      <c r="H12582" t="s">
        <v>561</v>
      </c>
      <c r="I12582" s="151" t="s">
        <v>562</v>
      </c>
    </row>
    <row r="12583" spans="1:9" x14ac:dyDescent="0.25">
      <c r="A12583" s="151">
        <v>1836</v>
      </c>
      <c r="B12583" s="151">
        <f>A12583+1</f>
        <v>1837</v>
      </c>
      <c r="C12583" s="151" t="s">
        <v>542</v>
      </c>
      <c r="D12583" s="151" t="s">
        <v>27</v>
      </c>
      <c r="E12583" s="208" t="s">
        <v>156</v>
      </c>
      <c r="F12583" t="s">
        <v>15</v>
      </c>
      <c r="G12583" s="18">
        <v>8758.5</v>
      </c>
      <c r="H12583" t="s">
        <v>561</v>
      </c>
      <c r="I12583" s="151" t="s">
        <v>562</v>
      </c>
    </row>
    <row r="12584" spans="1:9" x14ac:dyDescent="0.25">
      <c r="A12584" s="151">
        <v>1836</v>
      </c>
      <c r="B12584" s="151">
        <f>A12584+1</f>
        <v>1837</v>
      </c>
      <c r="C12584" s="151" t="s">
        <v>542</v>
      </c>
      <c r="D12584" s="151" t="s">
        <v>27</v>
      </c>
      <c r="E12584" s="208" t="s">
        <v>154</v>
      </c>
      <c r="F12584" t="s">
        <v>15</v>
      </c>
      <c r="G12584" s="18">
        <v>1897.5</v>
      </c>
      <c r="H12584" t="s">
        <v>561</v>
      </c>
      <c r="I12584" s="151" t="s">
        <v>562</v>
      </c>
    </row>
    <row r="12585" spans="1:9" x14ac:dyDescent="0.25">
      <c r="A12585" s="151">
        <v>1836</v>
      </c>
      <c r="B12585" s="151">
        <f>A12585+1</f>
        <v>1837</v>
      </c>
      <c r="C12585" s="151" t="s">
        <v>542</v>
      </c>
      <c r="D12585" s="151" t="s">
        <v>27</v>
      </c>
      <c r="E12585" s="208" t="s">
        <v>150</v>
      </c>
      <c r="F12585" t="s">
        <v>15</v>
      </c>
      <c r="G12585" s="18">
        <v>19744</v>
      </c>
      <c r="H12585" t="s">
        <v>561</v>
      </c>
      <c r="I12585" s="151" t="s">
        <v>562</v>
      </c>
    </row>
    <row r="12586" spans="1:9" x14ac:dyDescent="0.25">
      <c r="A12586" s="151">
        <v>1836</v>
      </c>
      <c r="B12586" s="151">
        <f>A12586+1</f>
        <v>1837</v>
      </c>
      <c r="C12586" s="151" t="s">
        <v>542</v>
      </c>
      <c r="D12586" s="151" t="s">
        <v>27</v>
      </c>
      <c r="E12586" s="208" t="s">
        <v>148</v>
      </c>
      <c r="F12586" t="s">
        <v>15</v>
      </c>
      <c r="G12586" s="18">
        <v>2675</v>
      </c>
      <c r="H12586" t="s">
        <v>561</v>
      </c>
      <c r="I12586" s="151" t="s">
        <v>562</v>
      </c>
    </row>
    <row r="12587" spans="1:9" x14ac:dyDescent="0.25">
      <c r="A12587" s="151">
        <v>1836</v>
      </c>
      <c r="B12587" s="151">
        <f>A12587+1</f>
        <v>1837</v>
      </c>
      <c r="C12587" s="151" t="s">
        <v>542</v>
      </c>
      <c r="D12587" s="151" t="s">
        <v>27</v>
      </c>
      <c r="E12587" s="208" t="s">
        <v>147</v>
      </c>
      <c r="F12587" t="s">
        <v>15</v>
      </c>
      <c r="G12587" s="18">
        <v>387.5</v>
      </c>
      <c r="H12587" t="s">
        <v>561</v>
      </c>
      <c r="I12587" s="151" t="s">
        <v>562</v>
      </c>
    </row>
    <row r="12588" spans="1:9" x14ac:dyDescent="0.25">
      <c r="A12588" s="151">
        <v>1836</v>
      </c>
      <c r="B12588" s="151">
        <f>A12588+1</f>
        <v>1837</v>
      </c>
      <c r="C12588" s="151" t="s">
        <v>542</v>
      </c>
      <c r="D12588" s="151" t="s">
        <v>27</v>
      </c>
      <c r="E12588" s="208" t="s">
        <v>125</v>
      </c>
      <c r="F12588" t="s">
        <v>15</v>
      </c>
      <c r="G12588" s="18">
        <v>9973</v>
      </c>
      <c r="H12588" t="s">
        <v>561</v>
      </c>
      <c r="I12588" s="151" t="s">
        <v>562</v>
      </c>
    </row>
    <row r="12589" spans="1:9" x14ac:dyDescent="0.25">
      <c r="A12589" s="151">
        <v>1836</v>
      </c>
      <c r="B12589" s="151">
        <f>A12589+1</f>
        <v>1837</v>
      </c>
      <c r="C12589" s="151" t="s">
        <v>542</v>
      </c>
      <c r="D12589" s="151" t="s">
        <v>27</v>
      </c>
      <c r="E12589" s="208" t="s">
        <v>122</v>
      </c>
      <c r="F12589" t="s">
        <v>15</v>
      </c>
      <c r="G12589" s="18">
        <v>2641.5</v>
      </c>
      <c r="H12589" t="s">
        <v>561</v>
      </c>
      <c r="I12589" s="151" t="s">
        <v>562</v>
      </c>
    </row>
    <row r="12590" spans="1:9" x14ac:dyDescent="0.25">
      <c r="A12590" s="151">
        <v>1836</v>
      </c>
      <c r="B12590" s="151">
        <f>A12590+1</f>
        <v>1837</v>
      </c>
      <c r="C12590" s="151" t="s">
        <v>542</v>
      </c>
      <c r="D12590" s="151" t="s">
        <v>27</v>
      </c>
      <c r="E12590" s="208" t="s">
        <v>123</v>
      </c>
      <c r="F12590" t="s">
        <v>15</v>
      </c>
      <c r="G12590" s="18">
        <v>696</v>
      </c>
      <c r="H12590" s="151" t="s">
        <v>563</v>
      </c>
      <c r="I12590" t="s">
        <v>561</v>
      </c>
    </row>
    <row r="12591" spans="1:9" x14ac:dyDescent="0.25">
      <c r="A12591" s="151">
        <v>1836</v>
      </c>
      <c r="B12591" s="151">
        <f>A12591+1</f>
        <v>1837</v>
      </c>
      <c r="C12591" s="151" t="s">
        <v>542</v>
      </c>
      <c r="D12591" s="151" t="s">
        <v>27</v>
      </c>
      <c r="E12591" s="208" t="s">
        <v>121</v>
      </c>
      <c r="F12591" t="s">
        <v>15</v>
      </c>
      <c r="G12591" s="18">
        <v>588.5</v>
      </c>
      <c r="H12591" s="151" t="s">
        <v>563</v>
      </c>
      <c r="I12591" t="s">
        <v>561</v>
      </c>
    </row>
    <row r="12592" spans="1:9" x14ac:dyDescent="0.25">
      <c r="A12592" s="151">
        <v>1836</v>
      </c>
      <c r="B12592" s="151">
        <f>A12592+1</f>
        <v>1837</v>
      </c>
      <c r="C12592" s="151" t="s">
        <v>542</v>
      </c>
      <c r="D12592" s="151" t="s">
        <v>27</v>
      </c>
      <c r="E12592" s="208" t="s">
        <v>139</v>
      </c>
      <c r="F12592" t="s">
        <v>15</v>
      </c>
      <c r="G12592" s="18">
        <v>176</v>
      </c>
      <c r="H12592" s="151" t="s">
        <v>563</v>
      </c>
      <c r="I12592" t="s">
        <v>561</v>
      </c>
    </row>
    <row r="12593" spans="1:9" x14ac:dyDescent="0.25">
      <c r="A12593" s="151">
        <v>1836</v>
      </c>
      <c r="B12593" s="151">
        <f>A12593+1</f>
        <v>1837</v>
      </c>
      <c r="C12593" s="151" t="s">
        <v>542</v>
      </c>
      <c r="D12593" s="151" t="s">
        <v>27</v>
      </c>
      <c r="E12593" s="208" t="s">
        <v>131</v>
      </c>
      <c r="F12593" t="s">
        <v>15</v>
      </c>
      <c r="G12593" s="18">
        <v>8372.5</v>
      </c>
      <c r="H12593" s="151" t="s">
        <v>563</v>
      </c>
      <c r="I12593" t="s">
        <v>561</v>
      </c>
    </row>
    <row r="12594" spans="1:9" x14ac:dyDescent="0.25">
      <c r="A12594" s="151">
        <v>1836</v>
      </c>
      <c r="B12594" s="151">
        <f>A12594+1</f>
        <v>1837</v>
      </c>
      <c r="C12594" s="151" t="s">
        <v>542</v>
      </c>
      <c r="D12594" s="151" t="s">
        <v>27</v>
      </c>
      <c r="E12594" s="208" t="s">
        <v>130</v>
      </c>
      <c r="F12594" t="s">
        <v>15</v>
      </c>
      <c r="G12594" s="18">
        <v>101</v>
      </c>
      <c r="H12594" s="151" t="s">
        <v>563</v>
      </c>
      <c r="I12594" t="s">
        <v>561</v>
      </c>
    </row>
    <row r="12595" spans="1:9" x14ac:dyDescent="0.25">
      <c r="A12595" s="151">
        <v>1836</v>
      </c>
      <c r="B12595" s="151">
        <f>A12595+1</f>
        <v>1837</v>
      </c>
      <c r="C12595" s="151" t="s">
        <v>542</v>
      </c>
      <c r="D12595" s="151" t="s">
        <v>27</v>
      </c>
      <c r="E12595" s="208" t="s">
        <v>143</v>
      </c>
      <c r="F12595" t="s">
        <v>15</v>
      </c>
      <c r="G12595" s="18">
        <v>324</v>
      </c>
      <c r="H12595" s="151" t="s">
        <v>563</v>
      </c>
      <c r="I12595" t="s">
        <v>561</v>
      </c>
    </row>
    <row r="12596" spans="1:9" x14ac:dyDescent="0.25">
      <c r="A12596" s="151">
        <v>1836</v>
      </c>
      <c r="B12596" s="151">
        <f>A12596+1</f>
        <v>1837</v>
      </c>
      <c r="C12596" s="151" t="s">
        <v>542</v>
      </c>
      <c r="D12596" s="151" t="s">
        <v>27</v>
      </c>
      <c r="E12596" s="208" t="s">
        <v>142</v>
      </c>
      <c r="F12596" t="s">
        <v>15</v>
      </c>
      <c r="G12596" s="18">
        <v>48440</v>
      </c>
      <c r="H12596" s="151" t="s">
        <v>563</v>
      </c>
      <c r="I12596" t="s">
        <v>561</v>
      </c>
    </row>
    <row r="12597" spans="1:9" x14ac:dyDescent="0.25">
      <c r="A12597" s="151">
        <v>1836</v>
      </c>
      <c r="B12597" s="151">
        <f>A12597+1</f>
        <v>1837</v>
      </c>
      <c r="C12597" s="151" t="s">
        <v>542</v>
      </c>
      <c r="D12597" s="151" t="s">
        <v>27</v>
      </c>
      <c r="E12597" s="208" t="s">
        <v>127</v>
      </c>
      <c r="F12597" t="s">
        <v>15</v>
      </c>
      <c r="G12597" s="18">
        <v>48</v>
      </c>
      <c r="H12597" s="151" t="s">
        <v>563</v>
      </c>
      <c r="I12597" t="s">
        <v>561</v>
      </c>
    </row>
    <row r="12598" spans="1:9" x14ac:dyDescent="0.25">
      <c r="A12598" s="151">
        <v>1836</v>
      </c>
      <c r="B12598" s="151">
        <f>A12598+1</f>
        <v>1837</v>
      </c>
      <c r="C12598" s="151" t="s">
        <v>542</v>
      </c>
      <c r="D12598" s="151" t="s">
        <v>27</v>
      </c>
      <c r="E12598" s="208" t="s">
        <v>133</v>
      </c>
      <c r="F12598" t="s">
        <v>15</v>
      </c>
      <c r="G12598" s="18">
        <v>15992</v>
      </c>
      <c r="H12598" s="151" t="s">
        <v>563</v>
      </c>
      <c r="I12598" t="s">
        <v>561</v>
      </c>
    </row>
    <row r="12599" spans="1:9" x14ac:dyDescent="0.25">
      <c r="A12599" s="151">
        <v>1836</v>
      </c>
      <c r="B12599" s="151">
        <f>A12599+1</f>
        <v>1837</v>
      </c>
      <c r="C12599" s="151" t="s">
        <v>542</v>
      </c>
      <c r="D12599" s="151" t="s">
        <v>27</v>
      </c>
      <c r="E12599" s="208" t="s">
        <v>74</v>
      </c>
      <c r="F12599" t="s">
        <v>15</v>
      </c>
      <c r="G12599" s="18">
        <v>7440.5</v>
      </c>
      <c r="H12599" s="151" t="s">
        <v>563</v>
      </c>
      <c r="I12599" t="s">
        <v>561</v>
      </c>
    </row>
    <row r="12600" spans="1:9" x14ac:dyDescent="0.25">
      <c r="A12600" s="151">
        <v>1836</v>
      </c>
      <c r="B12600" s="151">
        <f>A12600+1</f>
        <v>1837</v>
      </c>
      <c r="C12600" s="151" t="s">
        <v>542</v>
      </c>
      <c r="D12600" s="151" t="s">
        <v>27</v>
      </c>
      <c r="E12600" s="208" t="s">
        <v>129</v>
      </c>
      <c r="F12600" t="s">
        <v>15</v>
      </c>
      <c r="G12600" s="18">
        <v>512</v>
      </c>
      <c r="H12600" s="151" t="s">
        <v>563</v>
      </c>
      <c r="I12600" t="s">
        <v>561</v>
      </c>
    </row>
    <row r="12601" spans="1:9" x14ac:dyDescent="0.25">
      <c r="A12601" s="151">
        <v>1836</v>
      </c>
      <c r="B12601" s="151">
        <f>A12601+1</f>
        <v>1837</v>
      </c>
      <c r="C12601" s="151" t="s">
        <v>542</v>
      </c>
      <c r="D12601" s="151" t="s">
        <v>27</v>
      </c>
      <c r="E12601" s="208" t="s">
        <v>141</v>
      </c>
      <c r="F12601" t="s">
        <v>15</v>
      </c>
      <c r="G12601" s="18">
        <v>174</v>
      </c>
      <c r="H12601" s="151" t="s">
        <v>563</v>
      </c>
      <c r="I12601" t="s">
        <v>561</v>
      </c>
    </row>
    <row r="12602" spans="1:9" x14ac:dyDescent="0.25">
      <c r="A12602" s="151">
        <v>1836</v>
      </c>
      <c r="B12602" s="151">
        <f>A12602+1</f>
        <v>1837</v>
      </c>
      <c r="C12602" s="151" t="s">
        <v>542</v>
      </c>
      <c r="D12602" s="151" t="s">
        <v>27</v>
      </c>
      <c r="E12602" s="208" t="s">
        <v>135</v>
      </c>
      <c r="F12602" t="s">
        <v>15</v>
      </c>
      <c r="G12602" s="18">
        <v>105.5</v>
      </c>
      <c r="H12602" s="151" t="s">
        <v>563</v>
      </c>
      <c r="I12602" t="s">
        <v>561</v>
      </c>
    </row>
    <row r="12603" spans="1:9" x14ac:dyDescent="0.25">
      <c r="A12603" s="151">
        <v>1836</v>
      </c>
      <c r="B12603" s="151">
        <f>A12603+1</f>
        <v>1837</v>
      </c>
      <c r="C12603" s="151" t="s">
        <v>542</v>
      </c>
      <c r="D12603" s="151" t="s">
        <v>27</v>
      </c>
      <c r="E12603" s="208" t="s">
        <v>128</v>
      </c>
      <c r="F12603" t="s">
        <v>15</v>
      </c>
      <c r="G12603" s="18">
        <v>115</v>
      </c>
      <c r="H12603" s="151" t="s">
        <v>563</v>
      </c>
      <c r="I12603" t="s">
        <v>561</v>
      </c>
    </row>
    <row r="12604" spans="1:9" x14ac:dyDescent="0.25">
      <c r="A12604" s="151">
        <v>1836</v>
      </c>
      <c r="B12604" s="151">
        <f>A12604+1</f>
        <v>1837</v>
      </c>
      <c r="C12604" s="151" t="s">
        <v>542</v>
      </c>
      <c r="D12604" s="151" t="s">
        <v>27</v>
      </c>
      <c r="E12604" s="208" t="s">
        <v>78</v>
      </c>
      <c r="F12604" t="s">
        <v>15</v>
      </c>
      <c r="G12604" s="18">
        <v>2585</v>
      </c>
      <c r="H12604" s="151" t="s">
        <v>563</v>
      </c>
      <c r="I12604" t="s">
        <v>561</v>
      </c>
    </row>
    <row r="12605" spans="1:9" x14ac:dyDescent="0.25">
      <c r="A12605" s="151">
        <v>1836</v>
      </c>
      <c r="B12605" s="151">
        <f>A12605+1</f>
        <v>1837</v>
      </c>
      <c r="C12605" s="151" t="s">
        <v>542</v>
      </c>
      <c r="D12605" s="151" t="s">
        <v>27</v>
      </c>
      <c r="E12605" s="208" t="s">
        <v>119</v>
      </c>
      <c r="F12605" t="s">
        <v>15</v>
      </c>
      <c r="G12605" s="18">
        <v>3867</v>
      </c>
      <c r="H12605" s="151" t="s">
        <v>563</v>
      </c>
      <c r="I12605" t="s">
        <v>561</v>
      </c>
    </row>
    <row r="12606" spans="1:9" x14ac:dyDescent="0.25">
      <c r="A12606" s="151">
        <v>1836</v>
      </c>
      <c r="B12606" s="151">
        <f>A12606+1</f>
        <v>1837</v>
      </c>
      <c r="C12606" s="151" t="s">
        <v>542</v>
      </c>
      <c r="D12606" s="151" t="s">
        <v>27</v>
      </c>
      <c r="E12606" s="208" t="s">
        <v>134</v>
      </c>
      <c r="F12606" t="s">
        <v>15</v>
      </c>
      <c r="G12606" s="18">
        <v>18572</v>
      </c>
      <c r="H12606" s="151" t="s">
        <v>563</v>
      </c>
      <c r="I12606" t="s">
        <v>561</v>
      </c>
    </row>
    <row r="12607" spans="1:9" x14ac:dyDescent="0.25">
      <c r="A12607" s="151">
        <v>1836</v>
      </c>
      <c r="B12607" s="151">
        <f>A12607+1</f>
        <v>1837</v>
      </c>
      <c r="C12607" s="151" t="s">
        <v>542</v>
      </c>
      <c r="D12607" s="151" t="s">
        <v>26</v>
      </c>
      <c r="E12607" s="208" t="s">
        <v>34</v>
      </c>
      <c r="F12607" t="s">
        <v>15</v>
      </c>
      <c r="G12607" s="18">
        <v>32421</v>
      </c>
      <c r="H12607" s="151" t="s">
        <v>563</v>
      </c>
      <c r="I12607" t="s">
        <v>561</v>
      </c>
    </row>
    <row r="12608" spans="1:9" x14ac:dyDescent="0.25">
      <c r="A12608" s="151">
        <v>1836</v>
      </c>
      <c r="B12608" s="151">
        <f>A12608+1</f>
        <v>1837</v>
      </c>
      <c r="C12608" s="151" t="s">
        <v>542</v>
      </c>
      <c r="D12608" s="151" t="s">
        <v>26</v>
      </c>
      <c r="E12608" s="208" t="s">
        <v>63</v>
      </c>
      <c r="F12608" t="s">
        <v>15</v>
      </c>
      <c r="G12608" s="18">
        <v>46241</v>
      </c>
      <c r="H12608" s="151" t="s">
        <v>563</v>
      </c>
      <c r="I12608" t="s">
        <v>561</v>
      </c>
    </row>
    <row r="12609" spans="1:9" x14ac:dyDescent="0.25">
      <c r="A12609" s="151">
        <v>1836</v>
      </c>
      <c r="B12609" s="151">
        <f>A12609+1</f>
        <v>1837</v>
      </c>
      <c r="C12609" s="151" t="s">
        <v>542</v>
      </c>
      <c r="D12609" s="151" t="s">
        <v>26</v>
      </c>
      <c r="E12609" s="208" t="s">
        <v>62</v>
      </c>
      <c r="F12609" t="s">
        <v>15</v>
      </c>
      <c r="G12609" s="18">
        <v>76573</v>
      </c>
      <c r="H12609" s="151" t="s">
        <v>563</v>
      </c>
      <c r="I12609" t="s">
        <v>561</v>
      </c>
    </row>
    <row r="12610" spans="1:9" x14ac:dyDescent="0.25">
      <c r="A12610" s="151">
        <v>1836</v>
      </c>
      <c r="B12610" s="151">
        <f>A12610+1</f>
        <v>1837</v>
      </c>
      <c r="C12610" s="151" t="s">
        <v>542</v>
      </c>
      <c r="D12610" s="151" t="s">
        <v>26</v>
      </c>
      <c r="E12610" s="208" t="s">
        <v>55</v>
      </c>
      <c r="F12610" t="s">
        <v>15</v>
      </c>
      <c r="G12610" s="18">
        <v>11015</v>
      </c>
      <c r="H12610" s="151" t="s">
        <v>563</v>
      </c>
      <c r="I12610" t="s">
        <v>561</v>
      </c>
    </row>
    <row r="12611" spans="1:9" x14ac:dyDescent="0.25">
      <c r="A12611" s="151">
        <v>1836</v>
      </c>
      <c r="B12611" s="151">
        <f>A12611+1</f>
        <v>1837</v>
      </c>
      <c r="C12611" s="151" t="s">
        <v>542</v>
      </c>
      <c r="D12611" s="151" t="s">
        <v>26</v>
      </c>
      <c r="E12611" s="208" t="s">
        <v>36</v>
      </c>
      <c r="F12611" t="s">
        <v>15</v>
      </c>
      <c r="G12611" s="18">
        <v>7714</v>
      </c>
      <c r="H12611" s="151" t="s">
        <v>563</v>
      </c>
      <c r="I12611" t="s">
        <v>561</v>
      </c>
    </row>
    <row r="12612" spans="1:9" x14ac:dyDescent="0.25">
      <c r="A12612" s="151">
        <v>1836</v>
      </c>
      <c r="B12612" s="151">
        <f>A12612+1</f>
        <v>1837</v>
      </c>
      <c r="C12612" s="151" t="s">
        <v>542</v>
      </c>
      <c r="D12612" s="151" t="s">
        <v>26</v>
      </c>
      <c r="E12612" s="208" t="s">
        <v>35</v>
      </c>
      <c r="F12612" t="s">
        <v>15</v>
      </c>
      <c r="G12612" s="18">
        <v>350</v>
      </c>
      <c r="H12612" s="151" t="s">
        <v>563</v>
      </c>
      <c r="I12612" t="s">
        <v>561</v>
      </c>
    </row>
    <row r="12613" spans="1:9" x14ac:dyDescent="0.25">
      <c r="A12613" s="151">
        <v>1836</v>
      </c>
      <c r="B12613" s="151">
        <f>A12613+1</f>
        <v>1837</v>
      </c>
      <c r="C12613" s="151" t="s">
        <v>542</v>
      </c>
      <c r="D12613" s="151" t="s">
        <v>26</v>
      </c>
      <c r="E12613" s="208" t="s">
        <v>40</v>
      </c>
      <c r="F12613" t="s">
        <v>15</v>
      </c>
      <c r="G12613" s="18">
        <v>203280</v>
      </c>
      <c r="H12613" s="151" t="s">
        <v>563</v>
      </c>
      <c r="I12613" t="s">
        <v>561</v>
      </c>
    </row>
    <row r="12614" spans="1:9" x14ac:dyDescent="0.25">
      <c r="A12614" s="151">
        <v>1836</v>
      </c>
      <c r="B12614" s="151">
        <f>A12614+1</f>
        <v>1837</v>
      </c>
      <c r="C12614" s="151" t="s">
        <v>542</v>
      </c>
      <c r="D12614" s="151" t="s">
        <v>26</v>
      </c>
      <c r="E12614" s="208" t="s">
        <v>96</v>
      </c>
      <c r="F12614" t="s">
        <v>15</v>
      </c>
      <c r="G12614" s="18">
        <v>10163</v>
      </c>
      <c r="H12614" s="151" t="s">
        <v>563</v>
      </c>
      <c r="I12614" t="s">
        <v>16</v>
      </c>
    </row>
    <row r="12615" spans="1:9" x14ac:dyDescent="0.25">
      <c r="A12615" s="151">
        <v>1836</v>
      </c>
      <c r="B12615" s="151">
        <f>A12615+1</f>
        <v>1837</v>
      </c>
      <c r="C12615" s="151" t="s">
        <v>542</v>
      </c>
      <c r="D12615" s="151" t="s">
        <v>26</v>
      </c>
      <c r="E12615" s="208" t="s">
        <v>98</v>
      </c>
      <c r="F12615" t="s">
        <v>15</v>
      </c>
      <c r="G12615" s="18">
        <v>505132</v>
      </c>
      <c r="H12615" s="151" t="s">
        <v>563</v>
      </c>
      <c r="I12615" t="s">
        <v>17</v>
      </c>
    </row>
    <row r="12616" spans="1:9" x14ac:dyDescent="0.25">
      <c r="A12616" s="151">
        <v>1836</v>
      </c>
      <c r="B12616" s="151">
        <f>A12616+1</f>
        <v>1837</v>
      </c>
      <c r="C12616" s="151" t="s">
        <v>542</v>
      </c>
      <c r="D12616" s="151" t="s">
        <v>26</v>
      </c>
      <c r="E12616" s="208" t="s">
        <v>466</v>
      </c>
      <c r="F12616" t="s">
        <v>15</v>
      </c>
      <c r="G12616" s="18">
        <v>16912</v>
      </c>
      <c r="H12616" s="151" t="s">
        <v>563</v>
      </c>
      <c r="I12616" t="s">
        <v>561</v>
      </c>
    </row>
    <row r="12617" spans="1:9" x14ac:dyDescent="0.25">
      <c r="A12617" s="151">
        <v>1836</v>
      </c>
      <c r="B12617" s="151">
        <f>A12617+1</f>
        <v>1837</v>
      </c>
      <c r="C12617" s="151" t="s">
        <v>542</v>
      </c>
      <c r="D12617" s="151" t="s">
        <v>26</v>
      </c>
      <c r="E12617" s="208" t="s">
        <v>105</v>
      </c>
      <c r="F12617" t="s">
        <v>15</v>
      </c>
      <c r="G12617" s="18">
        <v>2405020</v>
      </c>
      <c r="H12617" s="151" t="s">
        <v>563</v>
      </c>
      <c r="I12617" t="s">
        <v>16</v>
      </c>
    </row>
    <row r="12618" spans="1:9" x14ac:dyDescent="0.25">
      <c r="A12618" s="151">
        <v>1836</v>
      </c>
      <c r="B12618" s="151">
        <f>A12618+1</f>
        <v>1837</v>
      </c>
      <c r="C12618" s="151" t="s">
        <v>542</v>
      </c>
      <c r="D12618" s="151" t="s">
        <v>26</v>
      </c>
      <c r="E12618" s="208" t="s">
        <v>106</v>
      </c>
      <c r="F12618" t="s">
        <v>15</v>
      </c>
      <c r="G12618" s="18">
        <v>1606239</v>
      </c>
      <c r="H12618" s="151" t="s">
        <v>563</v>
      </c>
      <c r="I12618" t="s">
        <v>17</v>
      </c>
    </row>
    <row r="12619" spans="1:9" x14ac:dyDescent="0.25">
      <c r="A12619" s="151">
        <v>1836</v>
      </c>
      <c r="B12619" s="151">
        <f>A12619+1</f>
        <v>1837</v>
      </c>
      <c r="C12619" s="151" t="s">
        <v>542</v>
      </c>
      <c r="D12619" s="151" t="s">
        <v>26</v>
      </c>
      <c r="E12619" s="208" t="s">
        <v>101</v>
      </c>
      <c r="F12619" t="s">
        <v>15</v>
      </c>
      <c r="G12619" s="18">
        <v>11817410</v>
      </c>
      <c r="H12619" s="151" t="s">
        <v>563</v>
      </c>
      <c r="I12619" t="s">
        <v>561</v>
      </c>
    </row>
    <row r="12620" spans="1:9" x14ac:dyDescent="0.25">
      <c r="A12620" s="151">
        <v>1836</v>
      </c>
      <c r="B12620" s="151">
        <f>A12620+1</f>
        <v>1837</v>
      </c>
      <c r="C12620" s="151" t="s">
        <v>542</v>
      </c>
      <c r="D12620" s="151" t="s">
        <v>26</v>
      </c>
      <c r="E12620" s="208" t="s">
        <v>75</v>
      </c>
      <c r="F12620" t="s">
        <v>15</v>
      </c>
      <c r="G12620" s="18">
        <v>9136118</v>
      </c>
      <c r="H12620" s="151" t="s">
        <v>563</v>
      </c>
      <c r="I12620" t="s">
        <v>16</v>
      </c>
    </row>
    <row r="12621" spans="1:9" x14ac:dyDescent="0.25">
      <c r="A12621" s="151">
        <v>1836</v>
      </c>
      <c r="B12621" s="151">
        <f>A12621+1</f>
        <v>1837</v>
      </c>
      <c r="C12621" s="151" t="s">
        <v>542</v>
      </c>
      <c r="D12621" s="151" t="s">
        <v>26</v>
      </c>
      <c r="E12621" s="208" t="s">
        <v>66</v>
      </c>
      <c r="F12621" t="s">
        <v>15</v>
      </c>
      <c r="G12621" s="18">
        <v>671300</v>
      </c>
      <c r="H12621" s="151" t="s">
        <v>563</v>
      </c>
      <c r="I12621" t="s">
        <v>17</v>
      </c>
    </row>
    <row r="12622" spans="1:9" x14ac:dyDescent="0.25">
      <c r="A12622" s="151">
        <v>1836</v>
      </c>
      <c r="B12622" s="151">
        <f>A12622+1</f>
        <v>1837</v>
      </c>
      <c r="C12622" s="151" t="s">
        <v>542</v>
      </c>
      <c r="D12622" s="151" t="s">
        <v>26</v>
      </c>
      <c r="E12622" s="208" t="s">
        <v>28</v>
      </c>
      <c r="F12622" t="s">
        <v>15</v>
      </c>
      <c r="G12622" s="18">
        <v>2670</v>
      </c>
      <c r="H12622" s="151" t="s">
        <v>563</v>
      </c>
      <c r="I12622" t="s">
        <v>561</v>
      </c>
    </row>
    <row r="12623" spans="1:9" x14ac:dyDescent="0.25">
      <c r="A12623" s="151">
        <v>1836</v>
      </c>
      <c r="B12623" s="151">
        <f>A12623+1</f>
        <v>1837</v>
      </c>
      <c r="C12623" s="151" t="s">
        <v>542</v>
      </c>
      <c r="D12623" s="151" t="s">
        <v>26</v>
      </c>
      <c r="E12623" s="208" t="s">
        <v>89</v>
      </c>
      <c r="F12623" t="s">
        <v>15</v>
      </c>
      <c r="G12623" s="18">
        <v>8646</v>
      </c>
      <c r="H12623" s="151" t="s">
        <v>563</v>
      </c>
      <c r="I12623" t="s">
        <v>16</v>
      </c>
    </row>
    <row r="12624" spans="1:9" x14ac:dyDescent="0.25">
      <c r="A12624" s="151">
        <v>1836</v>
      </c>
      <c r="B12624" s="151">
        <f>A12624+1</f>
        <v>1837</v>
      </c>
      <c r="C12624" s="151" t="s">
        <v>542</v>
      </c>
      <c r="D12624" s="151" t="s">
        <v>26</v>
      </c>
      <c r="E12624" s="208" t="s">
        <v>450</v>
      </c>
      <c r="F12624" t="s">
        <v>15</v>
      </c>
      <c r="G12624" s="18">
        <v>14053</v>
      </c>
      <c r="H12624" s="151" t="s">
        <v>563</v>
      </c>
      <c r="I12624" t="s">
        <v>17</v>
      </c>
    </row>
    <row r="12625" spans="1:9" x14ac:dyDescent="0.25">
      <c r="A12625" s="151">
        <v>1836</v>
      </c>
      <c r="B12625" s="151">
        <f>A12625+1</f>
        <v>1837</v>
      </c>
      <c r="C12625" s="151" t="s">
        <v>542</v>
      </c>
      <c r="D12625" s="151" t="s">
        <v>26</v>
      </c>
      <c r="E12625" s="208" t="s">
        <v>48</v>
      </c>
      <c r="F12625" t="s">
        <v>15</v>
      </c>
      <c r="G12625" s="18">
        <v>15448</v>
      </c>
      <c r="H12625" s="151" t="s">
        <v>563</v>
      </c>
      <c r="I12625" t="s">
        <v>561</v>
      </c>
    </row>
    <row r="12626" spans="1:9" x14ac:dyDescent="0.25">
      <c r="A12626" s="151">
        <v>1836</v>
      </c>
      <c r="B12626" s="151">
        <f>A12626+1</f>
        <v>1837</v>
      </c>
      <c r="C12626" s="151" t="s">
        <v>542</v>
      </c>
      <c r="D12626" s="151" t="s">
        <v>26</v>
      </c>
      <c r="E12626" s="208" t="s">
        <v>102</v>
      </c>
      <c r="F12626" t="s">
        <v>15</v>
      </c>
      <c r="G12626" s="18">
        <v>20594</v>
      </c>
      <c r="H12626" s="151" t="s">
        <v>563</v>
      </c>
      <c r="I12626" t="s">
        <v>16</v>
      </c>
    </row>
    <row r="12627" spans="1:9" x14ac:dyDescent="0.25">
      <c r="A12627" s="151">
        <v>1836</v>
      </c>
      <c r="B12627" s="151">
        <f>A12627+1</f>
        <v>1837</v>
      </c>
      <c r="C12627" s="151" t="s">
        <v>542</v>
      </c>
      <c r="D12627" s="151" t="s">
        <v>26</v>
      </c>
      <c r="E12627" s="208" t="s">
        <v>330</v>
      </c>
      <c r="F12627" t="s">
        <v>15</v>
      </c>
      <c r="G12627" s="18">
        <v>3004</v>
      </c>
      <c r="H12627" s="151" t="s">
        <v>563</v>
      </c>
      <c r="I12627" t="s">
        <v>17</v>
      </c>
    </row>
    <row r="12628" spans="1:9" x14ac:dyDescent="0.25">
      <c r="A12628" s="151">
        <v>1836</v>
      </c>
      <c r="B12628" s="151">
        <f>A12628+1</f>
        <v>1837</v>
      </c>
      <c r="C12628" s="151" t="s">
        <v>542</v>
      </c>
      <c r="D12628" s="151" t="s">
        <v>26</v>
      </c>
      <c r="E12628" s="208" t="s">
        <v>331</v>
      </c>
      <c r="F12628" t="s">
        <v>15</v>
      </c>
      <c r="G12628" s="18">
        <v>1320</v>
      </c>
      <c r="H12628" s="151" t="s">
        <v>563</v>
      </c>
      <c r="I12628" t="s">
        <v>561</v>
      </c>
    </row>
    <row r="12629" spans="1:9" x14ac:dyDescent="0.25">
      <c r="A12629" s="151">
        <v>1836</v>
      </c>
      <c r="B12629" s="151">
        <f>A12629+1</f>
        <v>1837</v>
      </c>
      <c r="C12629" s="151" t="s">
        <v>542</v>
      </c>
      <c r="D12629" s="151" t="s">
        <v>26</v>
      </c>
      <c r="E12629" s="208" t="s">
        <v>332</v>
      </c>
      <c r="F12629" t="s">
        <v>15</v>
      </c>
      <c r="G12629" s="18">
        <v>533</v>
      </c>
      <c r="H12629" t="s">
        <v>16</v>
      </c>
      <c r="I12629" s="151" t="s">
        <v>562</v>
      </c>
    </row>
    <row r="12630" spans="1:9" x14ac:dyDescent="0.25">
      <c r="A12630" s="151">
        <v>1836</v>
      </c>
      <c r="B12630" s="151">
        <f>A12630+1</f>
        <v>1837</v>
      </c>
      <c r="C12630" s="151" t="s">
        <v>542</v>
      </c>
      <c r="D12630" s="151" t="s">
        <v>26</v>
      </c>
      <c r="E12630" s="208" t="s">
        <v>333</v>
      </c>
      <c r="F12630" t="s">
        <v>15</v>
      </c>
      <c r="G12630" s="18">
        <v>886</v>
      </c>
      <c r="H12630" t="s">
        <v>16</v>
      </c>
      <c r="I12630" s="151" t="s">
        <v>562</v>
      </c>
    </row>
    <row r="12631" spans="1:9" x14ac:dyDescent="0.25">
      <c r="A12631" s="151">
        <v>1836</v>
      </c>
      <c r="B12631" s="151">
        <f>A12631+1</f>
        <v>1837</v>
      </c>
      <c r="C12631" s="151" t="s">
        <v>542</v>
      </c>
      <c r="D12631" s="151" t="s">
        <v>26</v>
      </c>
      <c r="E12631" s="208" t="s">
        <v>566</v>
      </c>
      <c r="F12631" t="s">
        <v>7</v>
      </c>
      <c r="G12631" s="18">
        <v>278</v>
      </c>
      <c r="H12631" t="s">
        <v>16</v>
      </c>
      <c r="I12631" s="151" t="s">
        <v>562</v>
      </c>
    </row>
    <row r="12632" spans="1:9" x14ac:dyDescent="0.25">
      <c r="A12632" s="151">
        <v>1836</v>
      </c>
      <c r="B12632" s="151">
        <f>A12632+1</f>
        <v>1837</v>
      </c>
      <c r="C12632" s="151" t="s">
        <v>542</v>
      </c>
      <c r="D12632" s="151" t="s">
        <v>26</v>
      </c>
      <c r="E12632" s="208" t="s">
        <v>566</v>
      </c>
      <c r="F12632" t="s">
        <v>14</v>
      </c>
      <c r="G12632" s="18">
        <v>32</v>
      </c>
      <c r="H12632" t="s">
        <v>16</v>
      </c>
      <c r="I12632" s="151" t="s">
        <v>562</v>
      </c>
    </row>
    <row r="12633" spans="1:9" x14ac:dyDescent="0.25">
      <c r="A12633" s="151">
        <v>1836</v>
      </c>
      <c r="B12633" s="151">
        <f>A12633+1</f>
        <v>1837</v>
      </c>
      <c r="C12633" s="151" t="s">
        <v>542</v>
      </c>
      <c r="D12633" s="151" t="s">
        <v>26</v>
      </c>
      <c r="E12633" s="208" t="s">
        <v>566</v>
      </c>
      <c r="F12633" t="s">
        <v>15</v>
      </c>
      <c r="G12633" s="18">
        <v>310</v>
      </c>
      <c r="H12633" t="s">
        <v>16</v>
      </c>
      <c r="I12633" s="151" t="s">
        <v>562</v>
      </c>
    </row>
    <row r="12634" spans="1:9" x14ac:dyDescent="0.25">
      <c r="A12634" s="151">
        <v>1837</v>
      </c>
      <c r="B12634" s="151">
        <f>A12634+1</f>
        <v>1838</v>
      </c>
      <c r="C12634" s="151" t="s">
        <v>543</v>
      </c>
      <c r="D12634" s="151" t="s">
        <v>560</v>
      </c>
      <c r="E12634" s="208" t="s">
        <v>572</v>
      </c>
      <c r="F12634" t="s">
        <v>7</v>
      </c>
      <c r="G12634" s="18">
        <v>7159</v>
      </c>
      <c r="H12634" t="s">
        <v>16</v>
      </c>
      <c r="I12634" s="151" t="s">
        <v>562</v>
      </c>
    </row>
    <row r="12635" spans="1:9" x14ac:dyDescent="0.25">
      <c r="A12635" s="151">
        <v>1837</v>
      </c>
      <c r="B12635" s="151">
        <f>A12635+1</f>
        <v>1838</v>
      </c>
      <c r="C12635" s="151" t="s">
        <v>543</v>
      </c>
      <c r="D12635" s="151" t="s">
        <v>560</v>
      </c>
      <c r="E12635" s="208" t="s">
        <v>572</v>
      </c>
      <c r="F12635" t="s">
        <v>14</v>
      </c>
      <c r="G12635" s="18">
        <v>2228</v>
      </c>
      <c r="H12635" t="s">
        <v>16</v>
      </c>
      <c r="I12635" s="151" t="s">
        <v>562</v>
      </c>
    </row>
    <row r="12636" spans="1:9" x14ac:dyDescent="0.25">
      <c r="A12636" s="151">
        <v>1837</v>
      </c>
      <c r="B12636" s="151">
        <f>A12636+1</f>
        <v>1838</v>
      </c>
      <c r="C12636" s="151" t="s">
        <v>543</v>
      </c>
      <c r="D12636" s="151" t="s">
        <v>560</v>
      </c>
      <c r="E12636" s="208" t="s">
        <v>572</v>
      </c>
      <c r="F12636" t="s">
        <v>15</v>
      </c>
      <c r="G12636" s="18">
        <v>9387</v>
      </c>
      <c r="H12636" t="s">
        <v>16</v>
      </c>
      <c r="I12636" s="151" t="s">
        <v>562</v>
      </c>
    </row>
    <row r="12637" spans="1:9" x14ac:dyDescent="0.25">
      <c r="A12637" s="151">
        <v>1837</v>
      </c>
      <c r="B12637" s="151">
        <f>A12637+1</f>
        <v>1838</v>
      </c>
      <c r="C12637" s="151" t="s">
        <v>543</v>
      </c>
      <c r="D12637" s="151" t="s">
        <v>560</v>
      </c>
      <c r="E12637" s="208" t="s">
        <v>571</v>
      </c>
      <c r="F12637" t="s">
        <v>7</v>
      </c>
      <c r="G12637" s="18">
        <v>6626</v>
      </c>
      <c r="H12637" t="s">
        <v>16</v>
      </c>
      <c r="I12637" s="151" t="s">
        <v>562</v>
      </c>
    </row>
    <row r="12638" spans="1:9" x14ac:dyDescent="0.25">
      <c r="A12638" s="151">
        <v>1837</v>
      </c>
      <c r="B12638" s="151">
        <f>A12638+1</f>
        <v>1838</v>
      </c>
      <c r="C12638" s="151" t="s">
        <v>543</v>
      </c>
      <c r="D12638" s="151" t="s">
        <v>560</v>
      </c>
      <c r="E12638" s="208" t="s">
        <v>571</v>
      </c>
      <c r="F12638" t="s">
        <v>14</v>
      </c>
      <c r="G12638" s="18">
        <v>3007</v>
      </c>
      <c r="H12638" t="s">
        <v>16</v>
      </c>
      <c r="I12638" s="151" t="s">
        <v>562</v>
      </c>
    </row>
    <row r="12639" spans="1:9" x14ac:dyDescent="0.25">
      <c r="A12639" s="151">
        <v>1837</v>
      </c>
      <c r="B12639" s="151">
        <f>A12639+1</f>
        <v>1838</v>
      </c>
      <c r="C12639" s="151" t="s">
        <v>543</v>
      </c>
      <c r="D12639" s="151" t="s">
        <v>560</v>
      </c>
      <c r="E12639" s="208" t="s">
        <v>571</v>
      </c>
      <c r="F12639" t="s">
        <v>15</v>
      </c>
      <c r="G12639" s="18">
        <v>9633</v>
      </c>
      <c r="H12639" t="s">
        <v>16</v>
      </c>
      <c r="I12639" s="151" t="s">
        <v>562</v>
      </c>
    </row>
    <row r="12640" spans="1:9" x14ac:dyDescent="0.25">
      <c r="A12640" s="151">
        <v>1837</v>
      </c>
      <c r="B12640" s="151">
        <f>A12640+1</f>
        <v>1838</v>
      </c>
      <c r="C12640" s="151" t="s">
        <v>543</v>
      </c>
      <c r="D12640" s="151" t="s">
        <v>560</v>
      </c>
      <c r="E12640" s="208" t="s">
        <v>567</v>
      </c>
      <c r="F12640" t="s">
        <v>7</v>
      </c>
      <c r="G12640" s="18">
        <v>18042</v>
      </c>
      <c r="H12640" t="s">
        <v>16</v>
      </c>
      <c r="I12640" s="151" t="s">
        <v>562</v>
      </c>
    </row>
    <row r="12641" spans="1:9" x14ac:dyDescent="0.25">
      <c r="A12641" s="151">
        <v>1837</v>
      </c>
      <c r="B12641" s="151">
        <f>A12641+1</f>
        <v>1838</v>
      </c>
      <c r="C12641" s="151" t="s">
        <v>543</v>
      </c>
      <c r="D12641" s="151" t="s">
        <v>560</v>
      </c>
      <c r="E12641" s="208" t="s">
        <v>567</v>
      </c>
      <c r="F12641" t="s">
        <v>14</v>
      </c>
      <c r="G12641" s="18">
        <v>23515</v>
      </c>
      <c r="H12641" t="s">
        <v>16</v>
      </c>
      <c r="I12641" s="151" t="s">
        <v>562</v>
      </c>
    </row>
    <row r="12642" spans="1:9" x14ac:dyDescent="0.25">
      <c r="A12642" s="151">
        <v>1837</v>
      </c>
      <c r="B12642" s="151">
        <f>A12642+1</f>
        <v>1838</v>
      </c>
      <c r="C12642" s="151" t="s">
        <v>543</v>
      </c>
      <c r="D12642" s="151" t="s">
        <v>560</v>
      </c>
      <c r="E12642" s="208" t="s">
        <v>567</v>
      </c>
      <c r="F12642" t="s">
        <v>15</v>
      </c>
      <c r="G12642" s="18">
        <v>41557</v>
      </c>
      <c r="H12642" t="s">
        <v>16</v>
      </c>
      <c r="I12642" s="151" t="s">
        <v>562</v>
      </c>
    </row>
    <row r="12643" spans="1:9" x14ac:dyDescent="0.25">
      <c r="A12643" s="151">
        <v>1837</v>
      </c>
      <c r="B12643" s="151">
        <f>A12643+1</f>
        <v>1838</v>
      </c>
      <c r="C12643" s="151" t="s">
        <v>543</v>
      </c>
      <c r="D12643" s="151" t="s">
        <v>560</v>
      </c>
      <c r="E12643" s="208" t="s">
        <v>568</v>
      </c>
      <c r="F12643" t="s">
        <v>7</v>
      </c>
      <c r="G12643" s="18">
        <v>646</v>
      </c>
      <c r="H12643" t="s">
        <v>16</v>
      </c>
      <c r="I12643" s="151" t="s">
        <v>562</v>
      </c>
    </row>
    <row r="12644" spans="1:9" x14ac:dyDescent="0.25">
      <c r="A12644" s="151">
        <v>1837</v>
      </c>
      <c r="B12644" s="151">
        <f>A12644+1</f>
        <v>1838</v>
      </c>
      <c r="C12644" s="151" t="s">
        <v>543</v>
      </c>
      <c r="D12644" s="151" t="s">
        <v>560</v>
      </c>
      <c r="E12644" s="208" t="s">
        <v>568</v>
      </c>
      <c r="F12644" t="s">
        <v>14</v>
      </c>
      <c r="G12644" s="18">
        <v>658</v>
      </c>
      <c r="H12644" t="s">
        <v>16</v>
      </c>
      <c r="I12644" s="151" t="s">
        <v>562</v>
      </c>
    </row>
    <row r="12645" spans="1:9" x14ac:dyDescent="0.25">
      <c r="A12645" s="151">
        <v>1837</v>
      </c>
      <c r="B12645" s="151">
        <f>A12645+1</f>
        <v>1838</v>
      </c>
      <c r="C12645" s="151" t="s">
        <v>543</v>
      </c>
      <c r="D12645" s="151" t="s">
        <v>560</v>
      </c>
      <c r="E12645" s="208" t="s">
        <v>568</v>
      </c>
      <c r="F12645" t="s">
        <v>15</v>
      </c>
      <c r="G12645" s="18">
        <v>1304</v>
      </c>
      <c r="H12645" t="s">
        <v>16</v>
      </c>
      <c r="I12645" s="151" t="s">
        <v>562</v>
      </c>
    </row>
    <row r="12646" spans="1:9" x14ac:dyDescent="0.25">
      <c r="A12646" s="151">
        <v>1837</v>
      </c>
      <c r="B12646" s="151">
        <f>A12646+1</f>
        <v>1838</v>
      </c>
      <c r="C12646" s="151" t="s">
        <v>543</v>
      </c>
      <c r="D12646" s="151" t="s">
        <v>27</v>
      </c>
      <c r="E12646" s="208" t="s">
        <v>155</v>
      </c>
      <c r="F12646" t="s">
        <v>7</v>
      </c>
      <c r="G12646" s="18">
        <v>4774</v>
      </c>
      <c r="H12646" t="s">
        <v>16</v>
      </c>
      <c r="I12646" s="151" t="s">
        <v>562</v>
      </c>
    </row>
    <row r="12647" spans="1:9" x14ac:dyDescent="0.25">
      <c r="A12647" s="151">
        <v>1837</v>
      </c>
      <c r="B12647" s="151">
        <f>A12647+1</f>
        <v>1838</v>
      </c>
      <c r="C12647" s="151" t="s">
        <v>543</v>
      </c>
      <c r="D12647" s="151" t="s">
        <v>27</v>
      </c>
      <c r="E12647" s="208" t="s">
        <v>156</v>
      </c>
      <c r="F12647" t="s">
        <v>7</v>
      </c>
      <c r="G12647" s="18">
        <v>673</v>
      </c>
      <c r="H12647" t="s">
        <v>16</v>
      </c>
      <c r="I12647" s="151" t="s">
        <v>562</v>
      </c>
    </row>
    <row r="12648" spans="1:9" x14ac:dyDescent="0.25">
      <c r="A12648" s="151">
        <v>1837</v>
      </c>
      <c r="B12648" s="151">
        <f>A12648+1</f>
        <v>1838</v>
      </c>
      <c r="C12648" s="151" t="s">
        <v>543</v>
      </c>
      <c r="D12648" s="151" t="s">
        <v>27</v>
      </c>
      <c r="E12648" s="208" t="s">
        <v>154</v>
      </c>
      <c r="F12648" t="s">
        <v>7</v>
      </c>
      <c r="G12648" s="18">
        <v>1374.5</v>
      </c>
      <c r="H12648" t="s">
        <v>16</v>
      </c>
      <c r="I12648" s="151" t="s">
        <v>562</v>
      </c>
    </row>
    <row r="12649" spans="1:9" x14ac:dyDescent="0.25">
      <c r="A12649" s="151">
        <v>1837</v>
      </c>
      <c r="B12649" s="151">
        <f>A12649+1</f>
        <v>1838</v>
      </c>
      <c r="C12649" s="151" t="s">
        <v>543</v>
      </c>
      <c r="D12649" s="151" t="s">
        <v>27</v>
      </c>
      <c r="E12649" s="208" t="s">
        <v>150</v>
      </c>
      <c r="F12649" t="s">
        <v>7</v>
      </c>
      <c r="G12649" s="18">
        <v>2268</v>
      </c>
      <c r="H12649" t="s">
        <v>16</v>
      </c>
      <c r="I12649" s="151" t="s">
        <v>562</v>
      </c>
    </row>
    <row r="12650" spans="1:9" x14ac:dyDescent="0.25">
      <c r="A12650" s="151">
        <v>1837</v>
      </c>
      <c r="B12650" s="151">
        <f>A12650+1</f>
        <v>1838</v>
      </c>
      <c r="C12650" s="151" t="s">
        <v>543</v>
      </c>
      <c r="D12650" s="151" t="s">
        <v>27</v>
      </c>
      <c r="E12650" s="208" t="s">
        <v>148</v>
      </c>
      <c r="F12650" t="s">
        <v>7</v>
      </c>
      <c r="G12650" s="18">
        <v>201</v>
      </c>
      <c r="H12650" t="s">
        <v>16</v>
      </c>
      <c r="I12650" s="151" t="s">
        <v>562</v>
      </c>
    </row>
    <row r="12651" spans="1:9" x14ac:dyDescent="0.25">
      <c r="A12651" s="151">
        <v>1837</v>
      </c>
      <c r="B12651" s="151">
        <f>A12651+1</f>
        <v>1838</v>
      </c>
      <c r="C12651" s="151" t="s">
        <v>543</v>
      </c>
      <c r="D12651" s="151" t="s">
        <v>27</v>
      </c>
      <c r="E12651" s="208" t="s">
        <v>147</v>
      </c>
      <c r="F12651" t="s">
        <v>7</v>
      </c>
      <c r="G12651" s="18">
        <v>20.25</v>
      </c>
      <c r="H12651" t="s">
        <v>16</v>
      </c>
      <c r="I12651" s="151" t="s">
        <v>562</v>
      </c>
    </row>
    <row r="12652" spans="1:9" x14ac:dyDescent="0.25">
      <c r="A12652" s="151">
        <v>1837</v>
      </c>
      <c r="B12652" s="151">
        <f>A12652+1</f>
        <v>1838</v>
      </c>
      <c r="C12652" s="151" t="s">
        <v>543</v>
      </c>
      <c r="D12652" s="151" t="s">
        <v>27</v>
      </c>
      <c r="E12652" s="208" t="s">
        <v>125</v>
      </c>
      <c r="F12652" t="s">
        <v>7</v>
      </c>
      <c r="G12652" s="18">
        <v>6220</v>
      </c>
      <c r="H12652" t="s">
        <v>16</v>
      </c>
      <c r="I12652" s="151" t="s">
        <v>562</v>
      </c>
    </row>
    <row r="12653" spans="1:9" x14ac:dyDescent="0.25">
      <c r="A12653" s="151">
        <v>1837</v>
      </c>
      <c r="B12653" s="151">
        <f>A12653+1</f>
        <v>1838</v>
      </c>
      <c r="C12653" s="151" t="s">
        <v>543</v>
      </c>
      <c r="D12653" s="151" t="s">
        <v>27</v>
      </c>
      <c r="E12653" s="208" t="s">
        <v>122</v>
      </c>
      <c r="F12653" t="s">
        <v>7</v>
      </c>
      <c r="G12653" s="18">
        <v>2853.5</v>
      </c>
      <c r="H12653" t="s">
        <v>16</v>
      </c>
      <c r="I12653" s="151" t="s">
        <v>562</v>
      </c>
    </row>
    <row r="12654" spans="1:9" x14ac:dyDescent="0.25">
      <c r="A12654" s="151">
        <v>1837</v>
      </c>
      <c r="B12654" s="151">
        <f>A12654+1</f>
        <v>1838</v>
      </c>
      <c r="C12654" s="151" t="s">
        <v>543</v>
      </c>
      <c r="D12654" s="151" t="s">
        <v>27</v>
      </c>
      <c r="E12654" s="208" t="s">
        <v>123</v>
      </c>
      <c r="F12654" t="s">
        <v>7</v>
      </c>
      <c r="G12654" s="18">
        <v>554.25</v>
      </c>
      <c r="H12654" s="151" t="s">
        <v>563</v>
      </c>
      <c r="I12654" t="s">
        <v>16</v>
      </c>
    </row>
    <row r="12655" spans="1:9" x14ac:dyDescent="0.25">
      <c r="A12655" s="151">
        <v>1837</v>
      </c>
      <c r="B12655" s="151">
        <f>A12655+1</f>
        <v>1838</v>
      </c>
      <c r="C12655" s="151" t="s">
        <v>543</v>
      </c>
      <c r="D12655" s="151" t="s">
        <v>27</v>
      </c>
      <c r="E12655" s="208" t="s">
        <v>121</v>
      </c>
      <c r="F12655" t="s">
        <v>7</v>
      </c>
      <c r="G12655" s="18">
        <v>289</v>
      </c>
      <c r="H12655" s="151" t="s">
        <v>563</v>
      </c>
      <c r="I12655" t="s">
        <v>16</v>
      </c>
    </row>
    <row r="12656" spans="1:9" x14ac:dyDescent="0.25">
      <c r="A12656" s="151">
        <v>1837</v>
      </c>
      <c r="B12656" s="151">
        <f>A12656+1</f>
        <v>1838</v>
      </c>
      <c r="C12656" s="151" t="s">
        <v>543</v>
      </c>
      <c r="D12656" s="151" t="s">
        <v>27</v>
      </c>
      <c r="E12656" s="208" t="s">
        <v>139</v>
      </c>
      <c r="F12656" t="s">
        <v>7</v>
      </c>
      <c r="G12656" s="18">
        <v>0</v>
      </c>
      <c r="H12656" s="151" t="s">
        <v>563</v>
      </c>
      <c r="I12656" t="s">
        <v>16</v>
      </c>
    </row>
    <row r="12657" spans="1:9" x14ac:dyDescent="0.25">
      <c r="A12657" s="151">
        <v>1837</v>
      </c>
      <c r="B12657" s="151">
        <f>A12657+1</f>
        <v>1838</v>
      </c>
      <c r="C12657" s="151" t="s">
        <v>543</v>
      </c>
      <c r="D12657" s="151" t="s">
        <v>27</v>
      </c>
      <c r="E12657" s="208" t="s">
        <v>131</v>
      </c>
      <c r="F12657" t="s">
        <v>7</v>
      </c>
      <c r="G12657" s="18">
        <v>123</v>
      </c>
      <c r="H12657" s="151" t="s">
        <v>563</v>
      </c>
      <c r="I12657" t="s">
        <v>16</v>
      </c>
    </row>
    <row r="12658" spans="1:9" x14ac:dyDescent="0.25">
      <c r="A12658" s="151">
        <v>1837</v>
      </c>
      <c r="B12658" s="151">
        <f>A12658+1</f>
        <v>1838</v>
      </c>
      <c r="C12658" s="151" t="s">
        <v>543</v>
      </c>
      <c r="D12658" s="151" t="s">
        <v>27</v>
      </c>
      <c r="E12658" s="208" t="s">
        <v>130</v>
      </c>
      <c r="F12658" t="s">
        <v>7</v>
      </c>
      <c r="G12658" s="18">
        <v>0</v>
      </c>
      <c r="H12658" s="151" t="s">
        <v>563</v>
      </c>
      <c r="I12658" t="s">
        <v>16</v>
      </c>
    </row>
    <row r="12659" spans="1:9" x14ac:dyDescent="0.25">
      <c r="A12659" s="151">
        <v>1837</v>
      </c>
      <c r="B12659" s="151">
        <f>A12659+1</f>
        <v>1838</v>
      </c>
      <c r="C12659" s="151" t="s">
        <v>543</v>
      </c>
      <c r="D12659" s="151" t="s">
        <v>27</v>
      </c>
      <c r="E12659" s="208" t="s">
        <v>143</v>
      </c>
      <c r="F12659" t="s">
        <v>7</v>
      </c>
      <c r="G12659" s="18">
        <v>32</v>
      </c>
      <c r="H12659" s="151" t="s">
        <v>563</v>
      </c>
      <c r="I12659" t="s">
        <v>16</v>
      </c>
    </row>
    <row r="12660" spans="1:9" x14ac:dyDescent="0.25">
      <c r="A12660" s="151">
        <v>1837</v>
      </c>
      <c r="B12660" s="151">
        <f>A12660+1</f>
        <v>1838</v>
      </c>
      <c r="C12660" s="151" t="s">
        <v>543</v>
      </c>
      <c r="D12660" s="151" t="s">
        <v>27</v>
      </c>
      <c r="E12660" s="208" t="s">
        <v>142</v>
      </c>
      <c r="F12660" t="s">
        <v>7</v>
      </c>
      <c r="G12660" s="18">
        <v>4320</v>
      </c>
      <c r="H12660" s="151" t="s">
        <v>563</v>
      </c>
      <c r="I12660" t="s">
        <v>16</v>
      </c>
    </row>
    <row r="12661" spans="1:9" x14ac:dyDescent="0.25">
      <c r="A12661" s="151">
        <v>1837</v>
      </c>
      <c r="B12661" s="151">
        <f>A12661+1</f>
        <v>1838</v>
      </c>
      <c r="C12661" s="151" t="s">
        <v>543</v>
      </c>
      <c r="D12661" s="151" t="s">
        <v>27</v>
      </c>
      <c r="E12661" s="208" t="s">
        <v>127</v>
      </c>
      <c r="F12661" t="s">
        <v>7</v>
      </c>
      <c r="G12661" s="18">
        <v>43</v>
      </c>
      <c r="H12661" s="151" t="s">
        <v>563</v>
      </c>
      <c r="I12661" t="s">
        <v>16</v>
      </c>
    </row>
    <row r="12662" spans="1:9" x14ac:dyDescent="0.25">
      <c r="A12662" s="151">
        <v>1837</v>
      </c>
      <c r="B12662" s="151">
        <f>A12662+1</f>
        <v>1838</v>
      </c>
      <c r="C12662" s="151" t="s">
        <v>543</v>
      </c>
      <c r="D12662" s="151" t="s">
        <v>27</v>
      </c>
      <c r="E12662" s="208" t="s">
        <v>133</v>
      </c>
      <c r="F12662" t="s">
        <v>7</v>
      </c>
      <c r="G12662" s="18">
        <v>7554</v>
      </c>
      <c r="H12662" s="151" t="s">
        <v>563</v>
      </c>
      <c r="I12662" t="s">
        <v>16</v>
      </c>
    </row>
    <row r="12663" spans="1:9" x14ac:dyDescent="0.25">
      <c r="A12663" s="151">
        <v>1837</v>
      </c>
      <c r="B12663" s="151">
        <f>A12663+1</f>
        <v>1838</v>
      </c>
      <c r="C12663" s="151" t="s">
        <v>543</v>
      </c>
      <c r="D12663" s="151" t="s">
        <v>27</v>
      </c>
      <c r="E12663" s="208" t="s">
        <v>74</v>
      </c>
      <c r="F12663" t="s">
        <v>7</v>
      </c>
      <c r="G12663" s="18">
        <v>803</v>
      </c>
      <c r="H12663" s="151" t="s">
        <v>563</v>
      </c>
      <c r="I12663" t="s">
        <v>16</v>
      </c>
    </row>
    <row r="12664" spans="1:9" x14ac:dyDescent="0.25">
      <c r="A12664" s="151">
        <v>1837</v>
      </c>
      <c r="B12664" s="151">
        <f>A12664+1</f>
        <v>1838</v>
      </c>
      <c r="C12664" s="151" t="s">
        <v>543</v>
      </c>
      <c r="D12664" s="151" t="s">
        <v>27</v>
      </c>
      <c r="E12664" s="208" t="s">
        <v>129</v>
      </c>
      <c r="F12664" t="s">
        <v>7</v>
      </c>
      <c r="G12664" s="18">
        <v>75</v>
      </c>
      <c r="H12664" s="151" t="s">
        <v>563</v>
      </c>
      <c r="I12664" t="s">
        <v>16</v>
      </c>
    </row>
    <row r="12665" spans="1:9" x14ac:dyDescent="0.25">
      <c r="A12665" s="151">
        <v>1837</v>
      </c>
      <c r="B12665" s="151">
        <f>A12665+1</f>
        <v>1838</v>
      </c>
      <c r="C12665" s="151" t="s">
        <v>543</v>
      </c>
      <c r="D12665" s="151" t="s">
        <v>27</v>
      </c>
      <c r="E12665" s="208" t="s">
        <v>141</v>
      </c>
      <c r="F12665" t="s">
        <v>7</v>
      </c>
      <c r="G12665" s="18">
        <v>160</v>
      </c>
      <c r="H12665" s="151" t="s">
        <v>563</v>
      </c>
      <c r="I12665" t="s">
        <v>16</v>
      </c>
    </row>
    <row r="12666" spans="1:9" x14ac:dyDescent="0.25">
      <c r="A12666" s="151">
        <v>1837</v>
      </c>
      <c r="B12666" s="151">
        <f>A12666+1</f>
        <v>1838</v>
      </c>
      <c r="C12666" s="151" t="s">
        <v>543</v>
      </c>
      <c r="D12666" s="151" t="s">
        <v>27</v>
      </c>
      <c r="E12666" s="208" t="s">
        <v>135</v>
      </c>
      <c r="F12666" t="s">
        <v>7</v>
      </c>
      <c r="G12666" s="18">
        <v>66</v>
      </c>
      <c r="H12666" s="151" t="s">
        <v>563</v>
      </c>
      <c r="I12666" t="s">
        <v>16</v>
      </c>
    </row>
    <row r="12667" spans="1:9" x14ac:dyDescent="0.25">
      <c r="A12667" s="151">
        <v>1837</v>
      </c>
      <c r="B12667" s="151">
        <f>A12667+1</f>
        <v>1838</v>
      </c>
      <c r="C12667" s="151" t="s">
        <v>543</v>
      </c>
      <c r="D12667" s="151" t="s">
        <v>27</v>
      </c>
      <c r="E12667" s="208" t="s">
        <v>128</v>
      </c>
      <c r="F12667" t="s">
        <v>7</v>
      </c>
      <c r="G12667" s="18">
        <v>4</v>
      </c>
      <c r="H12667" s="151" t="s">
        <v>563</v>
      </c>
      <c r="I12667" t="s">
        <v>16</v>
      </c>
    </row>
    <row r="12668" spans="1:9" x14ac:dyDescent="0.25">
      <c r="A12668" s="151">
        <v>1837</v>
      </c>
      <c r="B12668" s="151">
        <f>A12668+1</f>
        <v>1838</v>
      </c>
      <c r="C12668" s="151" t="s">
        <v>543</v>
      </c>
      <c r="D12668" s="151" t="s">
        <v>27</v>
      </c>
      <c r="E12668" s="208" t="s">
        <v>78</v>
      </c>
      <c r="F12668" t="s">
        <v>7</v>
      </c>
      <c r="G12668" s="18">
        <v>297</v>
      </c>
      <c r="H12668" s="151" t="s">
        <v>563</v>
      </c>
      <c r="I12668" t="s">
        <v>16</v>
      </c>
    </row>
    <row r="12669" spans="1:9" x14ac:dyDescent="0.25">
      <c r="A12669" s="151">
        <v>1837</v>
      </c>
      <c r="B12669" s="151">
        <f>A12669+1</f>
        <v>1838</v>
      </c>
      <c r="C12669" s="151" t="s">
        <v>543</v>
      </c>
      <c r="D12669" s="151" t="s">
        <v>27</v>
      </c>
      <c r="E12669" s="208" t="s">
        <v>119</v>
      </c>
      <c r="F12669" t="s">
        <v>7</v>
      </c>
      <c r="G12669" s="18">
        <v>0</v>
      </c>
      <c r="H12669" s="151" t="s">
        <v>563</v>
      </c>
      <c r="I12669" t="s">
        <v>16</v>
      </c>
    </row>
    <row r="12670" spans="1:9" x14ac:dyDescent="0.25">
      <c r="A12670" s="151">
        <v>1837</v>
      </c>
      <c r="B12670" s="151">
        <f>A12670+1</f>
        <v>1838</v>
      </c>
      <c r="C12670" s="151" t="s">
        <v>543</v>
      </c>
      <c r="D12670" s="151" t="s">
        <v>27</v>
      </c>
      <c r="E12670" s="208" t="s">
        <v>134</v>
      </c>
      <c r="F12670" t="s">
        <v>7</v>
      </c>
      <c r="G12670" s="18">
        <v>380</v>
      </c>
      <c r="H12670" s="151" t="s">
        <v>563</v>
      </c>
      <c r="I12670" t="s">
        <v>16</v>
      </c>
    </row>
    <row r="12671" spans="1:9" x14ac:dyDescent="0.25">
      <c r="A12671" s="151">
        <v>1837</v>
      </c>
      <c r="B12671" s="151">
        <f>A12671+1</f>
        <v>1838</v>
      </c>
      <c r="C12671" s="151" t="s">
        <v>543</v>
      </c>
      <c r="D12671" s="151" t="s">
        <v>560</v>
      </c>
      <c r="E12671" s="208" t="s">
        <v>34</v>
      </c>
      <c r="F12671" t="s">
        <v>7</v>
      </c>
      <c r="G12671" s="18">
        <v>24557</v>
      </c>
      <c r="H12671" s="151" t="s">
        <v>563</v>
      </c>
      <c r="I12671" t="s">
        <v>16</v>
      </c>
    </row>
    <row r="12672" spans="1:9" x14ac:dyDescent="0.25">
      <c r="A12672" s="151">
        <v>1837</v>
      </c>
      <c r="B12672" s="151">
        <f>A12672+1</f>
        <v>1838</v>
      </c>
      <c r="C12672" s="151" t="s">
        <v>543</v>
      </c>
      <c r="D12672" s="151" t="s">
        <v>560</v>
      </c>
      <c r="E12672" s="208" t="s">
        <v>63</v>
      </c>
      <c r="F12672" t="s">
        <v>7</v>
      </c>
      <c r="G12672" s="18">
        <v>6654</v>
      </c>
      <c r="H12672" s="151" t="s">
        <v>563</v>
      </c>
      <c r="I12672" t="s">
        <v>16</v>
      </c>
    </row>
    <row r="12673" spans="1:9" x14ac:dyDescent="0.25">
      <c r="A12673" s="151">
        <v>1837</v>
      </c>
      <c r="B12673" s="151">
        <f>A12673+1</f>
        <v>1838</v>
      </c>
      <c r="C12673" s="151" t="s">
        <v>543</v>
      </c>
      <c r="D12673" s="151" t="s">
        <v>560</v>
      </c>
      <c r="E12673" s="208" t="s">
        <v>62</v>
      </c>
      <c r="F12673" t="s">
        <v>7</v>
      </c>
      <c r="G12673" s="18">
        <v>60468</v>
      </c>
      <c r="H12673" s="151" t="s">
        <v>563</v>
      </c>
      <c r="I12673" t="s">
        <v>16</v>
      </c>
    </row>
    <row r="12674" spans="1:9" x14ac:dyDescent="0.25">
      <c r="A12674" s="151">
        <v>1837</v>
      </c>
      <c r="B12674" s="151">
        <f>A12674+1</f>
        <v>1838</v>
      </c>
      <c r="C12674" s="151" t="s">
        <v>543</v>
      </c>
      <c r="D12674" s="151" t="s">
        <v>560</v>
      </c>
      <c r="E12674" s="208" t="s">
        <v>55</v>
      </c>
      <c r="F12674" t="s">
        <v>7</v>
      </c>
      <c r="G12674" s="18">
        <v>8303</v>
      </c>
      <c r="H12674" s="151" t="s">
        <v>563</v>
      </c>
      <c r="I12674" t="s">
        <v>16</v>
      </c>
    </row>
    <row r="12675" spans="1:9" x14ac:dyDescent="0.25">
      <c r="A12675" s="151">
        <v>1837</v>
      </c>
      <c r="B12675" s="151">
        <f>A12675+1</f>
        <v>1838</v>
      </c>
      <c r="C12675" s="151" t="s">
        <v>543</v>
      </c>
      <c r="D12675" s="151" t="s">
        <v>560</v>
      </c>
      <c r="E12675" s="208" t="s">
        <v>36</v>
      </c>
      <c r="F12675" t="s">
        <v>7</v>
      </c>
      <c r="G12675" s="18">
        <v>5661</v>
      </c>
      <c r="H12675" s="151" t="s">
        <v>563</v>
      </c>
      <c r="I12675" t="s">
        <v>16</v>
      </c>
    </row>
    <row r="12676" spans="1:9" x14ac:dyDescent="0.25">
      <c r="A12676" s="151">
        <v>1837</v>
      </c>
      <c r="B12676" s="151">
        <f>A12676+1</f>
        <v>1838</v>
      </c>
      <c r="C12676" s="151" t="s">
        <v>543</v>
      </c>
      <c r="D12676" s="151" t="s">
        <v>560</v>
      </c>
      <c r="E12676" s="208" t="s">
        <v>35</v>
      </c>
      <c r="F12676" t="s">
        <v>7</v>
      </c>
      <c r="G12676" s="18">
        <v>355</v>
      </c>
      <c r="H12676" s="151" t="s">
        <v>563</v>
      </c>
      <c r="I12676" t="s">
        <v>16</v>
      </c>
    </row>
    <row r="12677" spans="1:9" x14ac:dyDescent="0.25">
      <c r="A12677" s="151">
        <v>1837</v>
      </c>
      <c r="B12677" s="151">
        <f>A12677+1</f>
        <v>1838</v>
      </c>
      <c r="C12677" s="151" t="s">
        <v>543</v>
      </c>
      <c r="D12677" s="151" t="s">
        <v>560</v>
      </c>
      <c r="E12677" s="208" t="s">
        <v>40</v>
      </c>
      <c r="F12677" t="s">
        <v>7</v>
      </c>
      <c r="G12677" s="18">
        <v>0</v>
      </c>
      <c r="H12677" s="151" t="s">
        <v>563</v>
      </c>
      <c r="I12677" t="s">
        <v>16</v>
      </c>
    </row>
    <row r="12678" spans="1:9" x14ac:dyDescent="0.25">
      <c r="A12678" s="151">
        <v>1837</v>
      </c>
      <c r="B12678" s="151">
        <f>A12678+1</f>
        <v>1838</v>
      </c>
      <c r="C12678" s="151" t="s">
        <v>543</v>
      </c>
      <c r="D12678" s="151" t="s">
        <v>560</v>
      </c>
      <c r="E12678" s="208" t="s">
        <v>96</v>
      </c>
      <c r="F12678" t="s">
        <v>7</v>
      </c>
      <c r="G12678" s="18">
        <v>17105</v>
      </c>
      <c r="H12678" t="s">
        <v>17</v>
      </c>
      <c r="I12678" s="151" t="s">
        <v>562</v>
      </c>
    </row>
    <row r="12679" spans="1:9" x14ac:dyDescent="0.25">
      <c r="A12679" s="151">
        <v>1837</v>
      </c>
      <c r="B12679" s="151">
        <f>A12679+1</f>
        <v>1838</v>
      </c>
      <c r="C12679" s="151" t="s">
        <v>543</v>
      </c>
      <c r="D12679" s="151" t="s">
        <v>560</v>
      </c>
      <c r="E12679" s="208" t="s">
        <v>98</v>
      </c>
      <c r="F12679" t="s">
        <v>7</v>
      </c>
      <c r="G12679" s="18">
        <v>12350</v>
      </c>
      <c r="H12679" t="s">
        <v>17</v>
      </c>
      <c r="I12679" s="151" t="s">
        <v>562</v>
      </c>
    </row>
    <row r="12680" spans="1:9" x14ac:dyDescent="0.25">
      <c r="A12680" s="151">
        <v>1837</v>
      </c>
      <c r="B12680" s="151">
        <f>A12680+1</f>
        <v>1838</v>
      </c>
      <c r="C12680" s="151" t="s">
        <v>543</v>
      </c>
      <c r="D12680" s="151" t="s">
        <v>560</v>
      </c>
      <c r="E12680" s="208" t="s">
        <v>52</v>
      </c>
      <c r="F12680" t="s">
        <v>7</v>
      </c>
      <c r="G12680" s="18">
        <v>24228</v>
      </c>
      <c r="H12680" t="s">
        <v>17</v>
      </c>
      <c r="I12680" s="151" t="s">
        <v>562</v>
      </c>
    </row>
    <row r="12681" spans="1:9" x14ac:dyDescent="0.25">
      <c r="A12681" s="151">
        <v>1837</v>
      </c>
      <c r="B12681" s="151">
        <f>A12681+1</f>
        <v>1838</v>
      </c>
      <c r="C12681" s="151" t="s">
        <v>543</v>
      </c>
      <c r="D12681" s="151" t="s">
        <v>560</v>
      </c>
      <c r="E12681" s="208" t="s">
        <v>105</v>
      </c>
      <c r="F12681" t="s">
        <v>7</v>
      </c>
      <c r="G12681" s="18">
        <v>439171</v>
      </c>
      <c r="H12681" t="s">
        <v>17</v>
      </c>
      <c r="I12681" s="151" t="s">
        <v>562</v>
      </c>
    </row>
    <row r="12682" spans="1:9" x14ac:dyDescent="0.25">
      <c r="A12682" s="151">
        <v>1837</v>
      </c>
      <c r="B12682" s="151">
        <f>A12682+1</f>
        <v>1838</v>
      </c>
      <c r="C12682" s="151" t="s">
        <v>543</v>
      </c>
      <c r="D12682" s="151" t="s">
        <v>560</v>
      </c>
      <c r="E12682" s="208" t="s">
        <v>106</v>
      </c>
      <c r="F12682" t="s">
        <v>7</v>
      </c>
      <c r="G12682" s="18">
        <v>189455</v>
      </c>
      <c r="H12682" t="s">
        <v>17</v>
      </c>
      <c r="I12682" s="151" t="s">
        <v>562</v>
      </c>
    </row>
    <row r="12683" spans="1:9" x14ac:dyDescent="0.25">
      <c r="A12683" s="151">
        <v>1837</v>
      </c>
      <c r="B12683" s="151">
        <f>A12683+1</f>
        <v>1838</v>
      </c>
      <c r="C12683" s="151" t="s">
        <v>543</v>
      </c>
      <c r="D12683" s="151" t="s">
        <v>560</v>
      </c>
      <c r="E12683" s="208" t="s">
        <v>101</v>
      </c>
      <c r="F12683" t="s">
        <v>7</v>
      </c>
      <c r="G12683" s="18">
        <v>3995958</v>
      </c>
      <c r="H12683" t="s">
        <v>17</v>
      </c>
      <c r="I12683" s="151" t="s">
        <v>562</v>
      </c>
    </row>
    <row r="12684" spans="1:9" x14ac:dyDescent="0.25">
      <c r="A12684" s="151">
        <v>1837</v>
      </c>
      <c r="B12684" s="151">
        <f>A12684+1</f>
        <v>1838</v>
      </c>
      <c r="C12684" s="151" t="s">
        <v>543</v>
      </c>
      <c r="D12684" s="151" t="s">
        <v>560</v>
      </c>
      <c r="E12684" s="208" t="s">
        <v>75</v>
      </c>
      <c r="F12684" t="s">
        <v>7</v>
      </c>
      <c r="G12684" s="18">
        <v>3472378</v>
      </c>
      <c r="H12684" t="s">
        <v>17</v>
      </c>
      <c r="I12684" s="151" t="s">
        <v>562</v>
      </c>
    </row>
    <row r="12685" spans="1:9" x14ac:dyDescent="0.25">
      <c r="A12685" s="151">
        <v>1837</v>
      </c>
      <c r="B12685" s="151">
        <f>A12685+1</f>
        <v>1838</v>
      </c>
      <c r="C12685" s="151" t="s">
        <v>543</v>
      </c>
      <c r="D12685" s="151" t="s">
        <v>560</v>
      </c>
      <c r="E12685" s="208" t="s">
        <v>66</v>
      </c>
      <c r="F12685" t="s">
        <v>7</v>
      </c>
      <c r="G12685" s="18">
        <v>742300</v>
      </c>
      <c r="H12685" t="s">
        <v>17</v>
      </c>
      <c r="I12685" s="151" t="s">
        <v>562</v>
      </c>
    </row>
    <row r="12686" spans="1:9" x14ac:dyDescent="0.25">
      <c r="A12686" s="151">
        <v>1837</v>
      </c>
      <c r="B12686" s="151">
        <f>A12686+1</f>
        <v>1838</v>
      </c>
      <c r="C12686" s="151" t="s">
        <v>543</v>
      </c>
      <c r="D12686" s="151" t="s">
        <v>560</v>
      </c>
      <c r="E12686" s="208" t="s">
        <v>28</v>
      </c>
      <c r="F12686" t="s">
        <v>7</v>
      </c>
      <c r="G12686" s="18">
        <v>1977</v>
      </c>
      <c r="H12686" t="s">
        <v>17</v>
      </c>
      <c r="I12686" s="151" t="s">
        <v>562</v>
      </c>
    </row>
    <row r="12687" spans="1:9" x14ac:dyDescent="0.25">
      <c r="A12687" s="151">
        <v>1837</v>
      </c>
      <c r="B12687" s="151">
        <f>A12687+1</f>
        <v>1838</v>
      </c>
      <c r="C12687" s="151" t="s">
        <v>543</v>
      </c>
      <c r="D12687" s="151" t="s">
        <v>560</v>
      </c>
      <c r="E12687" s="208" t="s">
        <v>89</v>
      </c>
      <c r="F12687" t="s">
        <v>7</v>
      </c>
      <c r="G12687" s="18">
        <v>7384</v>
      </c>
      <c r="H12687" t="s">
        <v>17</v>
      </c>
      <c r="I12687" s="151" t="s">
        <v>562</v>
      </c>
    </row>
    <row r="12688" spans="1:9" x14ac:dyDescent="0.25">
      <c r="A12688" s="151">
        <v>1837</v>
      </c>
      <c r="B12688" s="151">
        <f>A12688+1</f>
        <v>1838</v>
      </c>
      <c r="C12688" s="151" t="s">
        <v>543</v>
      </c>
      <c r="D12688" s="151" t="s">
        <v>560</v>
      </c>
      <c r="E12688" s="208" t="s">
        <v>450</v>
      </c>
      <c r="F12688" t="s">
        <v>7</v>
      </c>
      <c r="G12688" s="18">
        <v>17113</v>
      </c>
      <c r="H12688" t="s">
        <v>17</v>
      </c>
      <c r="I12688" s="151" t="s">
        <v>562</v>
      </c>
    </row>
    <row r="12689" spans="1:9" x14ac:dyDescent="0.25">
      <c r="A12689" s="151">
        <v>1837</v>
      </c>
      <c r="B12689" s="151">
        <f>A12689+1</f>
        <v>1838</v>
      </c>
      <c r="C12689" s="151" t="s">
        <v>543</v>
      </c>
      <c r="D12689" s="151" t="s">
        <v>560</v>
      </c>
      <c r="E12689" s="208" t="s">
        <v>48</v>
      </c>
      <c r="F12689" t="s">
        <v>7</v>
      </c>
      <c r="G12689" s="18">
        <v>7975</v>
      </c>
      <c r="H12689" t="s">
        <v>17</v>
      </c>
      <c r="I12689" s="151" t="s">
        <v>562</v>
      </c>
    </row>
    <row r="12690" spans="1:9" x14ac:dyDescent="0.25">
      <c r="A12690" s="151">
        <v>1837</v>
      </c>
      <c r="B12690" s="151">
        <f>A12690+1</f>
        <v>1838</v>
      </c>
      <c r="C12690" s="151" t="s">
        <v>543</v>
      </c>
      <c r="D12690" s="151" t="s">
        <v>560</v>
      </c>
      <c r="E12690" s="208" t="s">
        <v>102</v>
      </c>
      <c r="F12690" t="s">
        <v>7</v>
      </c>
      <c r="G12690" s="18">
        <v>10341</v>
      </c>
      <c r="H12690" t="s">
        <v>17</v>
      </c>
      <c r="I12690" s="151" t="s">
        <v>562</v>
      </c>
    </row>
    <row r="12691" spans="1:9" x14ac:dyDescent="0.25">
      <c r="A12691" s="151">
        <v>1837</v>
      </c>
      <c r="B12691" s="151">
        <f>A12691+1</f>
        <v>1838</v>
      </c>
      <c r="C12691" s="151" t="s">
        <v>543</v>
      </c>
      <c r="D12691" s="151" t="s">
        <v>560</v>
      </c>
      <c r="E12691" s="208" t="s">
        <v>330</v>
      </c>
      <c r="F12691" t="s">
        <v>7</v>
      </c>
      <c r="G12691" s="18">
        <v>1019</v>
      </c>
      <c r="H12691" t="s">
        <v>17</v>
      </c>
      <c r="I12691" s="151" t="s">
        <v>562</v>
      </c>
    </row>
    <row r="12692" spans="1:9" x14ac:dyDescent="0.25">
      <c r="A12692" s="151">
        <v>1837</v>
      </c>
      <c r="B12692" s="151">
        <f>A12692+1</f>
        <v>1838</v>
      </c>
      <c r="C12692" s="151" t="s">
        <v>543</v>
      </c>
      <c r="D12692" s="151" t="s">
        <v>560</v>
      </c>
      <c r="E12692" s="208" t="s">
        <v>331</v>
      </c>
      <c r="F12692" t="s">
        <v>7</v>
      </c>
      <c r="G12692" s="18">
        <v>431</v>
      </c>
      <c r="H12692" t="s">
        <v>17</v>
      </c>
      <c r="I12692" s="151" t="s">
        <v>562</v>
      </c>
    </row>
    <row r="12693" spans="1:9" x14ac:dyDescent="0.25">
      <c r="A12693" s="151">
        <v>1837</v>
      </c>
      <c r="B12693" s="151">
        <f>A12693+1</f>
        <v>1838</v>
      </c>
      <c r="C12693" s="151" t="s">
        <v>543</v>
      </c>
      <c r="D12693" s="151" t="s">
        <v>560</v>
      </c>
      <c r="E12693" s="208" t="s">
        <v>332</v>
      </c>
      <c r="F12693" t="s">
        <v>7</v>
      </c>
      <c r="G12693" s="18">
        <v>334</v>
      </c>
      <c r="H12693" t="s">
        <v>17</v>
      </c>
      <c r="I12693" s="151" t="s">
        <v>562</v>
      </c>
    </row>
    <row r="12694" spans="1:9" x14ac:dyDescent="0.25">
      <c r="A12694" s="151">
        <v>1837</v>
      </c>
      <c r="B12694" s="151">
        <f>A12694+1</f>
        <v>1838</v>
      </c>
      <c r="C12694" s="151" t="s">
        <v>543</v>
      </c>
      <c r="D12694" s="151" t="s">
        <v>560</v>
      </c>
      <c r="E12694" s="208" t="s">
        <v>333</v>
      </c>
      <c r="F12694" t="s">
        <v>7</v>
      </c>
      <c r="G12694" s="18">
        <v>1899</v>
      </c>
      <c r="H12694" t="s">
        <v>17</v>
      </c>
      <c r="I12694" s="151" t="s">
        <v>562</v>
      </c>
    </row>
    <row r="12695" spans="1:9" x14ac:dyDescent="0.25">
      <c r="A12695" s="151">
        <v>1837</v>
      </c>
      <c r="B12695" s="151">
        <f>A12695+1</f>
        <v>1838</v>
      </c>
      <c r="C12695" s="151" t="s">
        <v>543</v>
      </c>
      <c r="D12695" s="151" t="s">
        <v>27</v>
      </c>
      <c r="E12695" s="208" t="s">
        <v>155</v>
      </c>
      <c r="F12695" t="s">
        <v>14</v>
      </c>
      <c r="G12695" s="18">
        <v>44244</v>
      </c>
      <c r="H12695" t="s">
        <v>17</v>
      </c>
      <c r="I12695" s="151" t="s">
        <v>562</v>
      </c>
    </row>
    <row r="12696" spans="1:9" x14ac:dyDescent="0.25">
      <c r="A12696" s="151">
        <v>1837</v>
      </c>
      <c r="B12696" s="151">
        <f>A12696+1</f>
        <v>1838</v>
      </c>
      <c r="C12696" s="151" t="s">
        <v>543</v>
      </c>
      <c r="D12696" s="151" t="s">
        <v>27</v>
      </c>
      <c r="E12696" s="208" t="s">
        <v>156</v>
      </c>
      <c r="F12696" t="s">
        <v>14</v>
      </c>
      <c r="G12696" s="18">
        <v>8302</v>
      </c>
      <c r="H12696" t="s">
        <v>17</v>
      </c>
      <c r="I12696" s="151" t="s">
        <v>562</v>
      </c>
    </row>
    <row r="12697" spans="1:9" x14ac:dyDescent="0.25">
      <c r="A12697" s="151">
        <v>1837</v>
      </c>
      <c r="B12697" s="151">
        <f>A12697+1</f>
        <v>1838</v>
      </c>
      <c r="C12697" s="151" t="s">
        <v>543</v>
      </c>
      <c r="D12697" s="151" t="s">
        <v>27</v>
      </c>
      <c r="E12697" s="208" t="s">
        <v>154</v>
      </c>
      <c r="F12697" t="s">
        <v>14</v>
      </c>
      <c r="G12697" s="18">
        <v>1823</v>
      </c>
      <c r="H12697" t="s">
        <v>17</v>
      </c>
      <c r="I12697" s="151" t="s">
        <v>562</v>
      </c>
    </row>
    <row r="12698" spans="1:9" x14ac:dyDescent="0.25">
      <c r="A12698" s="151">
        <v>1837</v>
      </c>
      <c r="B12698" s="151">
        <f>A12698+1</f>
        <v>1838</v>
      </c>
      <c r="C12698" s="151" t="s">
        <v>543</v>
      </c>
      <c r="D12698" s="151" t="s">
        <v>27</v>
      </c>
      <c r="E12698" s="208" t="s">
        <v>150</v>
      </c>
      <c r="F12698" t="s">
        <v>14</v>
      </c>
      <c r="G12698" s="18">
        <v>21518</v>
      </c>
      <c r="H12698" t="s">
        <v>17</v>
      </c>
      <c r="I12698" s="151" t="s">
        <v>562</v>
      </c>
    </row>
    <row r="12699" spans="1:9" x14ac:dyDescent="0.25">
      <c r="A12699" s="151">
        <v>1837</v>
      </c>
      <c r="B12699" s="151">
        <f>A12699+1</f>
        <v>1838</v>
      </c>
      <c r="C12699" s="151" t="s">
        <v>543</v>
      </c>
      <c r="D12699" s="151" t="s">
        <v>27</v>
      </c>
      <c r="E12699" s="208" t="s">
        <v>148</v>
      </c>
      <c r="F12699" t="s">
        <v>14</v>
      </c>
      <c r="G12699" s="18">
        <v>619</v>
      </c>
      <c r="H12699" t="s">
        <v>17</v>
      </c>
      <c r="I12699" s="151" t="s">
        <v>562</v>
      </c>
    </row>
    <row r="12700" spans="1:9" x14ac:dyDescent="0.25">
      <c r="A12700" s="151">
        <v>1837</v>
      </c>
      <c r="B12700" s="151">
        <f>A12700+1</f>
        <v>1838</v>
      </c>
      <c r="C12700" s="151" t="s">
        <v>543</v>
      </c>
      <c r="D12700" s="151" t="s">
        <v>27</v>
      </c>
      <c r="E12700" s="208" t="s">
        <v>147</v>
      </c>
      <c r="F12700" t="s">
        <v>14</v>
      </c>
      <c r="G12700" s="18">
        <v>782.5</v>
      </c>
      <c r="H12700" t="s">
        <v>17</v>
      </c>
      <c r="I12700" s="151" t="s">
        <v>562</v>
      </c>
    </row>
    <row r="12701" spans="1:9" x14ac:dyDescent="0.25">
      <c r="A12701" s="151">
        <v>1837</v>
      </c>
      <c r="B12701" s="151">
        <f>A12701+1</f>
        <v>1838</v>
      </c>
      <c r="C12701" s="151" t="s">
        <v>543</v>
      </c>
      <c r="D12701" s="151" t="s">
        <v>27</v>
      </c>
      <c r="E12701" s="208" t="s">
        <v>125</v>
      </c>
      <c r="F12701" t="s">
        <v>14</v>
      </c>
      <c r="G12701" s="18">
        <v>9532</v>
      </c>
      <c r="H12701" t="s">
        <v>17</v>
      </c>
      <c r="I12701" s="151" t="s">
        <v>562</v>
      </c>
    </row>
    <row r="12702" spans="1:9" x14ac:dyDescent="0.25">
      <c r="A12702" s="151">
        <v>1837</v>
      </c>
      <c r="B12702" s="151">
        <f>A12702+1</f>
        <v>1838</v>
      </c>
      <c r="C12702" s="151" t="s">
        <v>543</v>
      </c>
      <c r="D12702" s="151" t="s">
        <v>27</v>
      </c>
      <c r="E12702" s="208" t="s">
        <v>122</v>
      </c>
      <c r="F12702" t="s">
        <v>14</v>
      </c>
      <c r="G12702" s="18">
        <v>1135.5</v>
      </c>
      <c r="H12702" t="s">
        <v>17</v>
      </c>
      <c r="I12702" s="151" t="s">
        <v>562</v>
      </c>
    </row>
    <row r="12703" spans="1:9" x14ac:dyDescent="0.25">
      <c r="A12703" s="151">
        <v>1837</v>
      </c>
      <c r="B12703" s="151">
        <f>A12703+1</f>
        <v>1838</v>
      </c>
      <c r="C12703" s="151" t="s">
        <v>543</v>
      </c>
      <c r="D12703" s="151" t="s">
        <v>27</v>
      </c>
      <c r="E12703" s="208" t="s">
        <v>123</v>
      </c>
      <c r="F12703" t="s">
        <v>14</v>
      </c>
      <c r="G12703" s="18">
        <v>286</v>
      </c>
      <c r="H12703" s="151" t="s">
        <v>563</v>
      </c>
      <c r="I12703" t="s">
        <v>17</v>
      </c>
    </row>
    <row r="12704" spans="1:9" x14ac:dyDescent="0.25">
      <c r="A12704" s="151">
        <v>1837</v>
      </c>
      <c r="B12704" s="151">
        <f>A12704+1</f>
        <v>1838</v>
      </c>
      <c r="C12704" s="151" t="s">
        <v>543</v>
      </c>
      <c r="D12704" s="151" t="s">
        <v>27</v>
      </c>
      <c r="E12704" s="208" t="s">
        <v>121</v>
      </c>
      <c r="F12704" t="s">
        <v>14</v>
      </c>
      <c r="G12704" s="18">
        <v>61</v>
      </c>
      <c r="H12704" s="151" t="s">
        <v>563</v>
      </c>
      <c r="I12704" t="s">
        <v>17</v>
      </c>
    </row>
    <row r="12705" spans="1:9" x14ac:dyDescent="0.25">
      <c r="A12705" s="151">
        <v>1837</v>
      </c>
      <c r="B12705" s="151">
        <f>A12705+1</f>
        <v>1838</v>
      </c>
      <c r="C12705" s="151" t="s">
        <v>543</v>
      </c>
      <c r="D12705" s="151" t="s">
        <v>27</v>
      </c>
      <c r="E12705" s="208" t="s">
        <v>139</v>
      </c>
      <c r="F12705" t="s">
        <v>14</v>
      </c>
      <c r="G12705" s="18">
        <v>116</v>
      </c>
      <c r="H12705" s="151" t="s">
        <v>563</v>
      </c>
      <c r="I12705" t="s">
        <v>17</v>
      </c>
    </row>
    <row r="12706" spans="1:9" x14ac:dyDescent="0.25">
      <c r="A12706" s="151">
        <v>1837</v>
      </c>
      <c r="B12706" s="151">
        <f>A12706+1</f>
        <v>1838</v>
      </c>
      <c r="C12706" s="151" t="s">
        <v>543</v>
      </c>
      <c r="D12706" s="151" t="s">
        <v>27</v>
      </c>
      <c r="E12706" s="208" t="s">
        <v>131</v>
      </c>
      <c r="F12706" t="s">
        <v>14</v>
      </c>
      <c r="G12706" s="18">
        <v>5068</v>
      </c>
      <c r="H12706" s="151" t="s">
        <v>563</v>
      </c>
      <c r="I12706" t="s">
        <v>17</v>
      </c>
    </row>
    <row r="12707" spans="1:9" x14ac:dyDescent="0.25">
      <c r="A12707" s="151">
        <v>1837</v>
      </c>
      <c r="B12707" s="151">
        <f>A12707+1</f>
        <v>1838</v>
      </c>
      <c r="C12707" s="151" t="s">
        <v>543</v>
      </c>
      <c r="D12707" s="151" t="s">
        <v>27</v>
      </c>
      <c r="E12707" s="208" t="s">
        <v>130</v>
      </c>
      <c r="F12707" t="s">
        <v>14</v>
      </c>
      <c r="G12707" s="18">
        <v>6</v>
      </c>
      <c r="H12707" s="151" t="s">
        <v>563</v>
      </c>
      <c r="I12707" t="s">
        <v>17</v>
      </c>
    </row>
    <row r="12708" spans="1:9" x14ac:dyDescent="0.25">
      <c r="A12708" s="151">
        <v>1837</v>
      </c>
      <c r="B12708" s="151">
        <f>A12708+1</f>
        <v>1838</v>
      </c>
      <c r="C12708" s="151" t="s">
        <v>543</v>
      </c>
      <c r="D12708" s="151" t="s">
        <v>27</v>
      </c>
      <c r="E12708" s="208" t="s">
        <v>143</v>
      </c>
      <c r="F12708" t="s">
        <v>14</v>
      </c>
      <c r="G12708" s="18">
        <v>117</v>
      </c>
      <c r="H12708" s="151" t="s">
        <v>563</v>
      </c>
      <c r="I12708" t="s">
        <v>17</v>
      </c>
    </row>
    <row r="12709" spans="1:9" x14ac:dyDescent="0.25">
      <c r="A12709" s="151">
        <v>1837</v>
      </c>
      <c r="B12709" s="151">
        <f>A12709+1</f>
        <v>1838</v>
      </c>
      <c r="C12709" s="151" t="s">
        <v>543</v>
      </c>
      <c r="D12709" s="151" t="s">
        <v>27</v>
      </c>
      <c r="E12709" s="208" t="s">
        <v>142</v>
      </c>
      <c r="F12709" t="s">
        <v>14</v>
      </c>
      <c r="G12709" s="18">
        <v>13247</v>
      </c>
      <c r="H12709" s="151" t="s">
        <v>563</v>
      </c>
      <c r="I12709" t="s">
        <v>17</v>
      </c>
    </row>
    <row r="12710" spans="1:9" x14ac:dyDescent="0.25">
      <c r="A12710" s="151">
        <v>1837</v>
      </c>
      <c r="B12710" s="151">
        <f>A12710+1</f>
        <v>1838</v>
      </c>
      <c r="C12710" s="151" t="s">
        <v>543</v>
      </c>
      <c r="D12710" s="151" t="s">
        <v>27</v>
      </c>
      <c r="E12710" s="208" t="s">
        <v>127</v>
      </c>
      <c r="F12710" t="s">
        <v>14</v>
      </c>
      <c r="G12710" s="18">
        <v>5</v>
      </c>
      <c r="H12710" s="151" t="s">
        <v>563</v>
      </c>
      <c r="I12710" t="s">
        <v>17</v>
      </c>
    </row>
    <row r="12711" spans="1:9" x14ac:dyDescent="0.25">
      <c r="A12711" s="151">
        <v>1837</v>
      </c>
      <c r="B12711" s="151">
        <f>A12711+1</f>
        <v>1838</v>
      </c>
      <c r="C12711" s="151" t="s">
        <v>543</v>
      </c>
      <c r="D12711" s="151" t="s">
        <v>27</v>
      </c>
      <c r="E12711" s="208" t="s">
        <v>133</v>
      </c>
      <c r="F12711" t="s">
        <v>14</v>
      </c>
      <c r="G12711" s="18">
        <v>4595</v>
      </c>
      <c r="H12711" s="151" t="s">
        <v>563</v>
      </c>
      <c r="I12711" t="s">
        <v>17</v>
      </c>
    </row>
    <row r="12712" spans="1:9" x14ac:dyDescent="0.25">
      <c r="A12712" s="151">
        <v>1837</v>
      </c>
      <c r="B12712" s="151">
        <f>A12712+1</f>
        <v>1838</v>
      </c>
      <c r="C12712" s="151" t="s">
        <v>543</v>
      </c>
      <c r="D12712" s="151" t="s">
        <v>27</v>
      </c>
      <c r="E12712" s="208" t="s">
        <v>74</v>
      </c>
      <c r="F12712" t="s">
        <v>14</v>
      </c>
      <c r="G12712" s="18">
        <v>5601</v>
      </c>
      <c r="H12712" s="151" t="s">
        <v>563</v>
      </c>
      <c r="I12712" t="s">
        <v>17</v>
      </c>
    </row>
    <row r="12713" spans="1:9" x14ac:dyDescent="0.25">
      <c r="A12713" s="151">
        <v>1837</v>
      </c>
      <c r="B12713" s="151">
        <f>A12713+1</f>
        <v>1838</v>
      </c>
      <c r="C12713" s="151" t="s">
        <v>543</v>
      </c>
      <c r="D12713" s="151" t="s">
        <v>27</v>
      </c>
      <c r="E12713" s="208" t="s">
        <v>129</v>
      </c>
      <c r="F12713" t="s">
        <v>14</v>
      </c>
      <c r="G12713" s="18">
        <v>388.5</v>
      </c>
      <c r="H12713" s="151" t="s">
        <v>563</v>
      </c>
      <c r="I12713" t="s">
        <v>17</v>
      </c>
    </row>
    <row r="12714" spans="1:9" x14ac:dyDescent="0.25">
      <c r="A12714" s="151">
        <v>1837</v>
      </c>
      <c r="B12714" s="151">
        <f>A12714+1</f>
        <v>1838</v>
      </c>
      <c r="C12714" s="151" t="s">
        <v>543</v>
      </c>
      <c r="D12714" s="151" t="s">
        <v>27</v>
      </c>
      <c r="E12714" s="208" t="s">
        <v>141</v>
      </c>
      <c r="F12714" t="s">
        <v>14</v>
      </c>
      <c r="G12714" s="18">
        <v>120.5</v>
      </c>
      <c r="H12714" s="151" t="s">
        <v>563</v>
      </c>
      <c r="I12714" t="s">
        <v>17</v>
      </c>
    </row>
    <row r="12715" spans="1:9" x14ac:dyDescent="0.25">
      <c r="A12715" s="151">
        <v>1837</v>
      </c>
      <c r="B12715" s="151">
        <f>A12715+1</f>
        <v>1838</v>
      </c>
      <c r="C12715" s="151" t="s">
        <v>543</v>
      </c>
      <c r="D12715" s="151" t="s">
        <v>27</v>
      </c>
      <c r="E12715" s="208" t="s">
        <v>135</v>
      </c>
      <c r="F12715" t="s">
        <v>14</v>
      </c>
      <c r="G12715" s="18">
        <v>74</v>
      </c>
      <c r="H12715" s="151" t="s">
        <v>563</v>
      </c>
      <c r="I12715" t="s">
        <v>17</v>
      </c>
    </row>
    <row r="12716" spans="1:9" x14ac:dyDescent="0.25">
      <c r="A12716" s="151">
        <v>1837</v>
      </c>
      <c r="B12716" s="151">
        <f>A12716+1</f>
        <v>1838</v>
      </c>
      <c r="C12716" s="151" t="s">
        <v>543</v>
      </c>
      <c r="D12716" s="151" t="s">
        <v>27</v>
      </c>
      <c r="E12716" s="208" t="s">
        <v>128</v>
      </c>
      <c r="F12716" t="s">
        <v>14</v>
      </c>
      <c r="G12716" s="18">
        <v>20</v>
      </c>
      <c r="H12716" s="151" t="s">
        <v>563</v>
      </c>
      <c r="I12716" t="s">
        <v>17</v>
      </c>
    </row>
    <row r="12717" spans="1:9" x14ac:dyDescent="0.25">
      <c r="A12717" s="151">
        <v>1837</v>
      </c>
      <c r="B12717" s="151">
        <f>A12717+1</f>
        <v>1838</v>
      </c>
      <c r="C12717" s="151" t="s">
        <v>543</v>
      </c>
      <c r="D12717" s="151" t="s">
        <v>27</v>
      </c>
      <c r="E12717" s="208" t="s">
        <v>78</v>
      </c>
      <c r="F12717" t="s">
        <v>14</v>
      </c>
      <c r="G12717" s="18">
        <v>812</v>
      </c>
      <c r="H12717" s="151" t="s">
        <v>563</v>
      </c>
      <c r="I12717" t="s">
        <v>17</v>
      </c>
    </row>
    <row r="12718" spans="1:9" x14ac:dyDescent="0.25">
      <c r="A12718" s="151">
        <v>1837</v>
      </c>
      <c r="B12718" s="151">
        <f>A12718+1</f>
        <v>1838</v>
      </c>
      <c r="C12718" s="151" t="s">
        <v>543</v>
      </c>
      <c r="D12718" s="151" t="s">
        <v>27</v>
      </c>
      <c r="E12718" s="208" t="s">
        <v>119</v>
      </c>
      <c r="F12718" t="s">
        <v>14</v>
      </c>
      <c r="G12718" s="18">
        <v>210</v>
      </c>
      <c r="H12718" s="151" t="s">
        <v>563</v>
      </c>
      <c r="I12718" t="s">
        <v>17</v>
      </c>
    </row>
    <row r="12719" spans="1:9" x14ac:dyDescent="0.25">
      <c r="A12719" s="151">
        <v>1837</v>
      </c>
      <c r="B12719" s="151">
        <f>A12719+1</f>
        <v>1838</v>
      </c>
      <c r="C12719" s="151" t="s">
        <v>543</v>
      </c>
      <c r="D12719" s="151" t="s">
        <v>27</v>
      </c>
      <c r="E12719" s="208" t="s">
        <v>134</v>
      </c>
      <c r="F12719" t="s">
        <v>14</v>
      </c>
      <c r="G12719" s="18">
        <v>12221</v>
      </c>
      <c r="H12719" s="151" t="s">
        <v>563</v>
      </c>
      <c r="I12719" t="s">
        <v>17</v>
      </c>
    </row>
    <row r="12720" spans="1:9" x14ac:dyDescent="0.25">
      <c r="A12720" s="151">
        <v>1837</v>
      </c>
      <c r="B12720" s="151">
        <f>A12720+1</f>
        <v>1838</v>
      </c>
      <c r="C12720" s="151" t="s">
        <v>543</v>
      </c>
      <c r="D12720" s="151" t="s">
        <v>560</v>
      </c>
      <c r="E12720" s="208" t="s">
        <v>34</v>
      </c>
      <c r="F12720" t="s">
        <v>14</v>
      </c>
      <c r="G12720" s="18">
        <v>4097</v>
      </c>
      <c r="H12720" s="151" t="s">
        <v>563</v>
      </c>
      <c r="I12720" t="s">
        <v>17</v>
      </c>
    </row>
    <row r="12721" spans="1:9" x14ac:dyDescent="0.25">
      <c r="A12721" s="151">
        <v>1837</v>
      </c>
      <c r="B12721" s="151">
        <f>A12721+1</f>
        <v>1838</v>
      </c>
      <c r="C12721" s="151" t="s">
        <v>543</v>
      </c>
      <c r="D12721" s="151" t="s">
        <v>560</v>
      </c>
      <c r="E12721" s="208" t="s">
        <v>63</v>
      </c>
      <c r="F12721" t="s">
        <v>14</v>
      </c>
      <c r="G12721" s="18">
        <v>479</v>
      </c>
      <c r="H12721" s="151" t="s">
        <v>563</v>
      </c>
      <c r="I12721" t="s">
        <v>17</v>
      </c>
    </row>
    <row r="12722" spans="1:9" x14ac:dyDescent="0.25">
      <c r="A12722" s="151">
        <v>1837</v>
      </c>
      <c r="B12722" s="151">
        <f>A12722+1</f>
        <v>1838</v>
      </c>
      <c r="C12722" s="151" t="s">
        <v>543</v>
      </c>
      <c r="D12722" s="151" t="s">
        <v>560</v>
      </c>
      <c r="E12722" s="208" t="s">
        <v>62</v>
      </c>
      <c r="F12722" t="s">
        <v>14</v>
      </c>
      <c r="G12722" s="18">
        <v>8643</v>
      </c>
      <c r="H12722" s="151" t="s">
        <v>563</v>
      </c>
      <c r="I12722" t="s">
        <v>17</v>
      </c>
    </row>
    <row r="12723" spans="1:9" x14ac:dyDescent="0.25">
      <c r="A12723" s="151">
        <v>1837</v>
      </c>
      <c r="B12723" s="151">
        <f>A12723+1</f>
        <v>1838</v>
      </c>
      <c r="C12723" s="151" t="s">
        <v>543</v>
      </c>
      <c r="D12723" s="151" t="s">
        <v>560</v>
      </c>
      <c r="E12723" s="208" t="s">
        <v>55</v>
      </c>
      <c r="F12723" t="s">
        <v>14</v>
      </c>
      <c r="G12723" s="18">
        <v>3266</v>
      </c>
      <c r="H12723" s="151" t="s">
        <v>563</v>
      </c>
      <c r="I12723" t="s">
        <v>17</v>
      </c>
    </row>
    <row r="12724" spans="1:9" x14ac:dyDescent="0.25">
      <c r="A12724" s="151">
        <v>1837</v>
      </c>
      <c r="B12724" s="151">
        <f>A12724+1</f>
        <v>1838</v>
      </c>
      <c r="C12724" s="151" t="s">
        <v>543</v>
      </c>
      <c r="D12724" s="151" t="s">
        <v>560</v>
      </c>
      <c r="E12724" s="208" t="s">
        <v>36</v>
      </c>
      <c r="F12724" t="s">
        <v>14</v>
      </c>
      <c r="G12724" s="18">
        <v>1222</v>
      </c>
      <c r="H12724" s="151" t="s">
        <v>563</v>
      </c>
      <c r="I12724" t="s">
        <v>17</v>
      </c>
    </row>
    <row r="12725" spans="1:9" x14ac:dyDescent="0.25">
      <c r="A12725" s="151">
        <v>1837</v>
      </c>
      <c r="B12725" s="151">
        <f>A12725+1</f>
        <v>1838</v>
      </c>
      <c r="C12725" s="151" t="s">
        <v>543</v>
      </c>
      <c r="D12725" s="151" t="s">
        <v>560</v>
      </c>
      <c r="E12725" s="208" t="s">
        <v>35</v>
      </c>
      <c r="F12725" t="s">
        <v>14</v>
      </c>
      <c r="G12725" s="18">
        <v>38</v>
      </c>
      <c r="H12725" s="151" t="s">
        <v>563</v>
      </c>
      <c r="I12725" t="s">
        <v>17</v>
      </c>
    </row>
    <row r="12726" spans="1:9" x14ac:dyDescent="0.25">
      <c r="A12726" s="151">
        <v>1837</v>
      </c>
      <c r="B12726" s="151">
        <f>A12726+1</f>
        <v>1838</v>
      </c>
      <c r="C12726" s="151" t="s">
        <v>543</v>
      </c>
      <c r="D12726" s="151" t="s">
        <v>560</v>
      </c>
      <c r="E12726" s="208" t="s">
        <v>40</v>
      </c>
      <c r="F12726" t="s">
        <v>14</v>
      </c>
      <c r="G12726" s="18">
        <v>120400</v>
      </c>
      <c r="H12726" s="151" t="s">
        <v>563</v>
      </c>
      <c r="I12726" t="s">
        <v>17</v>
      </c>
    </row>
    <row r="12727" spans="1:9" x14ac:dyDescent="0.25">
      <c r="A12727" s="151">
        <v>1837</v>
      </c>
      <c r="B12727" s="151">
        <f>A12727+1</f>
        <v>1838</v>
      </c>
      <c r="C12727" s="151" t="s">
        <v>543</v>
      </c>
      <c r="D12727" s="151" t="s">
        <v>560</v>
      </c>
      <c r="E12727" s="208" t="s">
        <v>96</v>
      </c>
      <c r="F12727" t="s">
        <v>14</v>
      </c>
      <c r="G12727" s="18">
        <v>582</v>
      </c>
      <c r="H12727" t="s">
        <v>561</v>
      </c>
      <c r="I12727" s="151" t="s">
        <v>562</v>
      </c>
    </row>
    <row r="12728" spans="1:9" x14ac:dyDescent="0.25">
      <c r="A12728" s="151">
        <v>1837</v>
      </c>
      <c r="B12728" s="151">
        <f>A12728+1</f>
        <v>1838</v>
      </c>
      <c r="C12728" s="151" t="s">
        <v>543</v>
      </c>
      <c r="D12728" s="151" t="s">
        <v>560</v>
      </c>
      <c r="E12728" s="208" t="s">
        <v>98</v>
      </c>
      <c r="F12728" t="s">
        <v>14</v>
      </c>
      <c r="G12728" s="18">
        <v>252732</v>
      </c>
      <c r="H12728" t="s">
        <v>561</v>
      </c>
      <c r="I12728" s="151" t="s">
        <v>562</v>
      </c>
    </row>
    <row r="12729" spans="1:9" x14ac:dyDescent="0.25">
      <c r="A12729" s="151">
        <v>1837</v>
      </c>
      <c r="B12729" s="151">
        <f>A12729+1</f>
        <v>1838</v>
      </c>
      <c r="C12729" s="151" t="s">
        <v>543</v>
      </c>
      <c r="D12729" s="151" t="s">
        <v>560</v>
      </c>
      <c r="E12729" s="208" t="s">
        <v>52</v>
      </c>
      <c r="F12729" t="s">
        <v>14</v>
      </c>
      <c r="G12729" s="18">
        <v>8813</v>
      </c>
      <c r="H12729" t="s">
        <v>561</v>
      </c>
      <c r="I12729" s="151" t="s">
        <v>562</v>
      </c>
    </row>
    <row r="12730" spans="1:9" x14ac:dyDescent="0.25">
      <c r="A12730" s="151">
        <v>1837</v>
      </c>
      <c r="B12730" s="151">
        <f>A12730+1</f>
        <v>1838</v>
      </c>
      <c r="C12730" s="151" t="s">
        <v>543</v>
      </c>
      <c r="D12730" s="151" t="s">
        <v>560</v>
      </c>
      <c r="E12730" s="208" t="s">
        <v>105</v>
      </c>
      <c r="F12730" t="s">
        <v>14</v>
      </c>
      <c r="G12730" s="18">
        <v>1578319</v>
      </c>
      <c r="H12730" t="s">
        <v>561</v>
      </c>
      <c r="I12730" s="151" t="s">
        <v>562</v>
      </c>
    </row>
    <row r="12731" spans="1:9" x14ac:dyDescent="0.25">
      <c r="A12731" s="151">
        <v>1837</v>
      </c>
      <c r="B12731" s="151">
        <f>A12731+1</f>
        <v>1838</v>
      </c>
      <c r="C12731" s="151" t="s">
        <v>543</v>
      </c>
      <c r="D12731" s="151" t="s">
        <v>560</v>
      </c>
      <c r="E12731" s="208" t="s">
        <v>106</v>
      </c>
      <c r="F12731" t="s">
        <v>14</v>
      </c>
      <c r="G12731" s="18">
        <v>1094116</v>
      </c>
      <c r="H12731" t="s">
        <v>561</v>
      </c>
      <c r="I12731" s="151" t="s">
        <v>562</v>
      </c>
    </row>
    <row r="12732" spans="1:9" x14ac:dyDescent="0.25">
      <c r="A12732" s="151">
        <v>1837</v>
      </c>
      <c r="B12732" s="151">
        <f>A12732+1</f>
        <v>1838</v>
      </c>
      <c r="C12732" s="151" t="s">
        <v>543</v>
      </c>
      <c r="D12732" s="151" t="s">
        <v>560</v>
      </c>
      <c r="E12732" s="208" t="s">
        <v>101</v>
      </c>
      <c r="F12732" t="s">
        <v>14</v>
      </c>
      <c r="G12732" s="18">
        <v>5411653</v>
      </c>
      <c r="H12732" t="s">
        <v>561</v>
      </c>
      <c r="I12732" s="151" t="s">
        <v>562</v>
      </c>
    </row>
    <row r="12733" spans="1:9" x14ac:dyDescent="0.25">
      <c r="A12733" s="151">
        <v>1837</v>
      </c>
      <c r="B12733" s="151">
        <f>A12733+1</f>
        <v>1838</v>
      </c>
      <c r="C12733" s="151" t="s">
        <v>543</v>
      </c>
      <c r="D12733" s="151" t="s">
        <v>560</v>
      </c>
      <c r="E12733" s="208" t="s">
        <v>75</v>
      </c>
      <c r="F12733" t="s">
        <v>14</v>
      </c>
      <c r="G12733" s="18">
        <v>12533694</v>
      </c>
      <c r="H12733" t="s">
        <v>561</v>
      </c>
      <c r="I12733" s="151" t="s">
        <v>562</v>
      </c>
    </row>
    <row r="12734" spans="1:9" x14ac:dyDescent="0.25">
      <c r="A12734" s="151">
        <v>1837</v>
      </c>
      <c r="B12734" s="151">
        <f>A12734+1</f>
        <v>1838</v>
      </c>
      <c r="C12734" s="151" t="s">
        <v>543</v>
      </c>
      <c r="D12734" s="151" t="s">
        <v>560</v>
      </c>
      <c r="E12734" s="208" t="s">
        <v>66</v>
      </c>
      <c r="F12734" t="s">
        <v>14</v>
      </c>
      <c r="G12734" s="18">
        <v>83334</v>
      </c>
      <c r="H12734" t="s">
        <v>561</v>
      </c>
      <c r="I12734" s="151" t="s">
        <v>562</v>
      </c>
    </row>
    <row r="12735" spans="1:9" x14ac:dyDescent="0.25">
      <c r="A12735" s="151">
        <v>1837</v>
      </c>
      <c r="B12735" s="151">
        <f>A12735+1</f>
        <v>1838</v>
      </c>
      <c r="C12735" s="151" t="s">
        <v>543</v>
      </c>
      <c r="D12735" s="151" t="s">
        <v>560</v>
      </c>
      <c r="E12735" s="208" t="s">
        <v>28</v>
      </c>
      <c r="F12735" t="s">
        <v>14</v>
      </c>
      <c r="G12735" s="18">
        <v>694</v>
      </c>
      <c r="H12735" t="s">
        <v>561</v>
      </c>
      <c r="I12735" s="151" t="s">
        <v>562</v>
      </c>
    </row>
    <row r="12736" spans="1:9" x14ac:dyDescent="0.25">
      <c r="A12736" s="151">
        <v>1837</v>
      </c>
      <c r="B12736" s="151">
        <f>A12736+1</f>
        <v>1838</v>
      </c>
      <c r="C12736" s="151" t="s">
        <v>543</v>
      </c>
      <c r="D12736" s="151" t="s">
        <v>560</v>
      </c>
      <c r="E12736" s="208" t="s">
        <v>89</v>
      </c>
      <c r="F12736" t="s">
        <v>14</v>
      </c>
      <c r="G12736" s="18">
        <v>1915</v>
      </c>
      <c r="H12736" t="s">
        <v>561</v>
      </c>
      <c r="I12736" s="151" t="s">
        <v>562</v>
      </c>
    </row>
    <row r="12737" spans="1:9" x14ac:dyDescent="0.25">
      <c r="A12737" s="151">
        <v>1837</v>
      </c>
      <c r="B12737" s="151">
        <f>A12737+1</f>
        <v>1838</v>
      </c>
      <c r="C12737" s="151" t="s">
        <v>543</v>
      </c>
      <c r="D12737" s="151" t="s">
        <v>560</v>
      </c>
      <c r="E12737" s="208" t="s">
        <v>450</v>
      </c>
      <c r="F12737" t="s">
        <v>14</v>
      </c>
      <c r="G12737" s="18">
        <v>884</v>
      </c>
      <c r="H12737" t="s">
        <v>561</v>
      </c>
      <c r="I12737" s="151" t="s">
        <v>562</v>
      </c>
    </row>
    <row r="12738" spans="1:9" x14ac:dyDescent="0.25">
      <c r="A12738" s="151">
        <v>1837</v>
      </c>
      <c r="B12738" s="151">
        <f>A12738+1</f>
        <v>1838</v>
      </c>
      <c r="C12738" s="151" t="s">
        <v>543</v>
      </c>
      <c r="D12738" s="151" t="s">
        <v>560</v>
      </c>
      <c r="E12738" s="208" t="s">
        <v>48</v>
      </c>
      <c r="F12738" t="s">
        <v>14</v>
      </c>
      <c r="G12738" s="18">
        <v>837</v>
      </c>
      <c r="H12738" t="s">
        <v>561</v>
      </c>
      <c r="I12738" s="151" t="s">
        <v>562</v>
      </c>
    </row>
    <row r="12739" spans="1:9" x14ac:dyDescent="0.25">
      <c r="A12739" s="151">
        <v>1837</v>
      </c>
      <c r="B12739" s="151">
        <f>A12739+1</f>
        <v>1838</v>
      </c>
      <c r="C12739" s="151" t="s">
        <v>543</v>
      </c>
      <c r="D12739" s="151" t="s">
        <v>560</v>
      </c>
      <c r="E12739" s="208" t="s">
        <v>102</v>
      </c>
      <c r="F12739" t="s">
        <v>14</v>
      </c>
      <c r="G12739" s="18">
        <v>1009</v>
      </c>
      <c r="H12739" t="s">
        <v>561</v>
      </c>
      <c r="I12739" s="151" t="s">
        <v>562</v>
      </c>
    </row>
    <row r="12740" spans="1:9" x14ac:dyDescent="0.25">
      <c r="A12740" s="151">
        <v>1837</v>
      </c>
      <c r="B12740" s="151">
        <f>A12740+1</f>
        <v>1838</v>
      </c>
      <c r="C12740" s="151" t="s">
        <v>543</v>
      </c>
      <c r="D12740" s="151" t="s">
        <v>560</v>
      </c>
      <c r="E12740" s="208" t="s">
        <v>330</v>
      </c>
      <c r="F12740" t="s">
        <v>14</v>
      </c>
      <c r="G12740" s="18">
        <v>2171</v>
      </c>
      <c r="H12740" t="s">
        <v>561</v>
      </c>
      <c r="I12740" s="151" t="s">
        <v>562</v>
      </c>
    </row>
    <row r="12741" spans="1:9" x14ac:dyDescent="0.25">
      <c r="A12741" s="151">
        <v>1837</v>
      </c>
      <c r="B12741" s="151">
        <f>A12741+1</f>
        <v>1838</v>
      </c>
      <c r="C12741" s="151" t="s">
        <v>543</v>
      </c>
      <c r="D12741" s="151" t="s">
        <v>560</v>
      </c>
      <c r="E12741" s="208" t="s">
        <v>331</v>
      </c>
      <c r="F12741" t="s">
        <v>14</v>
      </c>
      <c r="G12741" s="18">
        <v>557</v>
      </c>
      <c r="H12741" t="s">
        <v>561</v>
      </c>
      <c r="I12741" s="151" t="s">
        <v>562</v>
      </c>
    </row>
    <row r="12742" spans="1:9" x14ac:dyDescent="0.25">
      <c r="A12742" s="151">
        <v>1837</v>
      </c>
      <c r="B12742" s="151">
        <f>A12742+1</f>
        <v>1838</v>
      </c>
      <c r="C12742" s="151" t="s">
        <v>543</v>
      </c>
      <c r="D12742" s="151" t="s">
        <v>560</v>
      </c>
      <c r="E12742" s="208" t="s">
        <v>332</v>
      </c>
      <c r="F12742" t="s">
        <v>14</v>
      </c>
      <c r="G12742" s="18">
        <v>65</v>
      </c>
      <c r="H12742" t="s">
        <v>561</v>
      </c>
      <c r="I12742" s="151" t="s">
        <v>562</v>
      </c>
    </row>
    <row r="12743" spans="1:9" x14ac:dyDescent="0.25">
      <c r="A12743" s="151">
        <v>1837</v>
      </c>
      <c r="B12743" s="151">
        <f>A12743+1</f>
        <v>1838</v>
      </c>
      <c r="C12743" s="151" t="s">
        <v>543</v>
      </c>
      <c r="D12743" s="151" t="s">
        <v>560</v>
      </c>
      <c r="E12743" s="208" t="s">
        <v>333</v>
      </c>
      <c r="F12743" t="s">
        <v>14</v>
      </c>
      <c r="G12743" s="18">
        <v>768</v>
      </c>
      <c r="H12743" t="s">
        <v>561</v>
      </c>
      <c r="I12743" s="151" t="s">
        <v>562</v>
      </c>
    </row>
    <row r="12744" spans="1:9" x14ac:dyDescent="0.25">
      <c r="A12744" s="151">
        <v>1837</v>
      </c>
      <c r="B12744" s="151">
        <f>A12744+1</f>
        <v>1838</v>
      </c>
      <c r="C12744" s="151" t="s">
        <v>543</v>
      </c>
      <c r="D12744" s="151" t="s">
        <v>27</v>
      </c>
      <c r="E12744" s="208" t="s">
        <v>155</v>
      </c>
      <c r="F12744" t="s">
        <v>15</v>
      </c>
      <c r="G12744" s="18">
        <v>49018</v>
      </c>
      <c r="H12744" t="s">
        <v>561</v>
      </c>
      <c r="I12744" s="151" t="s">
        <v>562</v>
      </c>
    </row>
    <row r="12745" spans="1:9" x14ac:dyDescent="0.25">
      <c r="A12745" s="151">
        <v>1837</v>
      </c>
      <c r="B12745" s="151">
        <f>A12745+1</f>
        <v>1838</v>
      </c>
      <c r="C12745" s="151" t="s">
        <v>543</v>
      </c>
      <c r="D12745" s="151" t="s">
        <v>27</v>
      </c>
      <c r="E12745" s="208" t="s">
        <v>156</v>
      </c>
      <c r="F12745" t="s">
        <v>15</v>
      </c>
      <c r="G12745" s="18">
        <v>8975</v>
      </c>
      <c r="H12745" t="s">
        <v>561</v>
      </c>
      <c r="I12745" s="151" t="s">
        <v>562</v>
      </c>
    </row>
    <row r="12746" spans="1:9" x14ac:dyDescent="0.25">
      <c r="A12746" s="151">
        <v>1837</v>
      </c>
      <c r="B12746" s="151">
        <f>A12746+1</f>
        <v>1838</v>
      </c>
      <c r="C12746" s="151" t="s">
        <v>543</v>
      </c>
      <c r="D12746" s="151" t="s">
        <v>27</v>
      </c>
      <c r="E12746" s="208" t="s">
        <v>154</v>
      </c>
      <c r="F12746" t="s">
        <v>15</v>
      </c>
      <c r="G12746" s="18">
        <v>3197.5</v>
      </c>
      <c r="H12746" t="s">
        <v>561</v>
      </c>
      <c r="I12746" s="151" t="s">
        <v>562</v>
      </c>
    </row>
    <row r="12747" spans="1:9" x14ac:dyDescent="0.25">
      <c r="A12747" s="151">
        <v>1837</v>
      </c>
      <c r="B12747" s="151">
        <f>A12747+1</f>
        <v>1838</v>
      </c>
      <c r="C12747" s="151" t="s">
        <v>543</v>
      </c>
      <c r="D12747" s="151" t="s">
        <v>27</v>
      </c>
      <c r="E12747" s="208" t="s">
        <v>150</v>
      </c>
      <c r="F12747" t="s">
        <v>15</v>
      </c>
      <c r="G12747" s="18">
        <v>23786</v>
      </c>
      <c r="H12747" t="s">
        <v>561</v>
      </c>
      <c r="I12747" s="151" t="s">
        <v>562</v>
      </c>
    </row>
    <row r="12748" spans="1:9" x14ac:dyDescent="0.25">
      <c r="A12748" s="151">
        <v>1837</v>
      </c>
      <c r="B12748" s="151">
        <f>A12748+1</f>
        <v>1838</v>
      </c>
      <c r="C12748" s="151" t="s">
        <v>543</v>
      </c>
      <c r="D12748" s="151" t="s">
        <v>27</v>
      </c>
      <c r="E12748" s="208" t="s">
        <v>148</v>
      </c>
      <c r="F12748" t="s">
        <v>15</v>
      </c>
      <c r="G12748" s="18">
        <v>820</v>
      </c>
      <c r="H12748" t="s">
        <v>561</v>
      </c>
      <c r="I12748" s="151" t="s">
        <v>562</v>
      </c>
    </row>
    <row r="12749" spans="1:9" x14ac:dyDescent="0.25">
      <c r="A12749" s="151">
        <v>1837</v>
      </c>
      <c r="B12749" s="151">
        <f>A12749+1</f>
        <v>1838</v>
      </c>
      <c r="C12749" s="151" t="s">
        <v>543</v>
      </c>
      <c r="D12749" s="151" t="s">
        <v>27</v>
      </c>
      <c r="E12749" s="208" t="s">
        <v>147</v>
      </c>
      <c r="F12749" t="s">
        <v>15</v>
      </c>
      <c r="G12749" s="18">
        <v>802.75</v>
      </c>
      <c r="H12749" t="s">
        <v>561</v>
      </c>
      <c r="I12749" s="151" t="s">
        <v>562</v>
      </c>
    </row>
    <row r="12750" spans="1:9" x14ac:dyDescent="0.25">
      <c r="A12750" s="151">
        <v>1837</v>
      </c>
      <c r="B12750" s="151">
        <f>A12750+1</f>
        <v>1838</v>
      </c>
      <c r="C12750" s="151" t="s">
        <v>543</v>
      </c>
      <c r="D12750" s="151" t="s">
        <v>27</v>
      </c>
      <c r="E12750" s="208" t="s">
        <v>125</v>
      </c>
      <c r="F12750" t="s">
        <v>15</v>
      </c>
      <c r="G12750" s="18">
        <v>15752</v>
      </c>
      <c r="H12750" t="s">
        <v>561</v>
      </c>
      <c r="I12750" s="151" t="s">
        <v>562</v>
      </c>
    </row>
    <row r="12751" spans="1:9" x14ac:dyDescent="0.25">
      <c r="A12751" s="151">
        <v>1837</v>
      </c>
      <c r="B12751" s="151">
        <f>A12751+1</f>
        <v>1838</v>
      </c>
      <c r="C12751" s="151" t="s">
        <v>543</v>
      </c>
      <c r="D12751" s="151" t="s">
        <v>27</v>
      </c>
      <c r="E12751" s="208" t="s">
        <v>122</v>
      </c>
      <c r="F12751" t="s">
        <v>15</v>
      </c>
      <c r="G12751" s="18">
        <v>3989</v>
      </c>
      <c r="H12751" t="s">
        <v>561</v>
      </c>
      <c r="I12751" s="151" t="s">
        <v>562</v>
      </c>
    </row>
    <row r="12752" spans="1:9" x14ac:dyDescent="0.25">
      <c r="A12752" s="151">
        <v>1837</v>
      </c>
      <c r="B12752" s="151">
        <f>A12752+1</f>
        <v>1838</v>
      </c>
      <c r="C12752" s="151" t="s">
        <v>543</v>
      </c>
      <c r="D12752" s="151" t="s">
        <v>27</v>
      </c>
      <c r="E12752" s="208" t="s">
        <v>123</v>
      </c>
      <c r="F12752" t="s">
        <v>15</v>
      </c>
      <c r="G12752" s="18">
        <v>840.25</v>
      </c>
      <c r="H12752" s="151" t="s">
        <v>563</v>
      </c>
      <c r="I12752" t="s">
        <v>561</v>
      </c>
    </row>
    <row r="12753" spans="1:9" x14ac:dyDescent="0.25">
      <c r="A12753" s="151">
        <v>1837</v>
      </c>
      <c r="B12753" s="151">
        <f>A12753+1</f>
        <v>1838</v>
      </c>
      <c r="C12753" s="151" t="s">
        <v>543</v>
      </c>
      <c r="D12753" s="151" t="s">
        <v>27</v>
      </c>
      <c r="E12753" s="208" t="s">
        <v>121</v>
      </c>
      <c r="F12753" t="s">
        <v>15</v>
      </c>
      <c r="G12753" s="18">
        <v>350</v>
      </c>
      <c r="H12753" s="151" t="s">
        <v>563</v>
      </c>
      <c r="I12753" t="s">
        <v>561</v>
      </c>
    </row>
    <row r="12754" spans="1:9" x14ac:dyDescent="0.25">
      <c r="A12754" s="151">
        <v>1837</v>
      </c>
      <c r="B12754" s="151">
        <f>A12754+1</f>
        <v>1838</v>
      </c>
      <c r="C12754" s="151" t="s">
        <v>543</v>
      </c>
      <c r="D12754" s="151" t="s">
        <v>27</v>
      </c>
      <c r="E12754" s="208" t="s">
        <v>139</v>
      </c>
      <c r="F12754" t="s">
        <v>15</v>
      </c>
      <c r="G12754" s="18">
        <v>116</v>
      </c>
      <c r="H12754" s="151" t="s">
        <v>563</v>
      </c>
      <c r="I12754" t="s">
        <v>561</v>
      </c>
    </row>
    <row r="12755" spans="1:9" x14ac:dyDescent="0.25">
      <c r="A12755" s="151">
        <v>1837</v>
      </c>
      <c r="B12755" s="151">
        <f>A12755+1</f>
        <v>1838</v>
      </c>
      <c r="C12755" s="151" t="s">
        <v>543</v>
      </c>
      <c r="D12755" s="151" t="s">
        <v>27</v>
      </c>
      <c r="E12755" s="208" t="s">
        <v>131</v>
      </c>
      <c r="F12755" t="s">
        <v>15</v>
      </c>
      <c r="G12755" s="18">
        <v>5191</v>
      </c>
      <c r="H12755" s="151" t="s">
        <v>563</v>
      </c>
      <c r="I12755" t="s">
        <v>561</v>
      </c>
    </row>
    <row r="12756" spans="1:9" x14ac:dyDescent="0.25">
      <c r="A12756" s="151">
        <v>1837</v>
      </c>
      <c r="B12756" s="151">
        <f>A12756+1</f>
        <v>1838</v>
      </c>
      <c r="C12756" s="151" t="s">
        <v>543</v>
      </c>
      <c r="D12756" s="151" t="s">
        <v>27</v>
      </c>
      <c r="E12756" s="208" t="s">
        <v>130</v>
      </c>
      <c r="F12756" t="s">
        <v>15</v>
      </c>
      <c r="G12756" s="18">
        <v>6</v>
      </c>
      <c r="H12756" s="151" t="s">
        <v>563</v>
      </c>
      <c r="I12756" t="s">
        <v>561</v>
      </c>
    </row>
    <row r="12757" spans="1:9" x14ac:dyDescent="0.25">
      <c r="A12757" s="151">
        <v>1837</v>
      </c>
      <c r="B12757" s="151">
        <f>A12757+1</f>
        <v>1838</v>
      </c>
      <c r="C12757" s="151" t="s">
        <v>543</v>
      </c>
      <c r="D12757" s="151" t="s">
        <v>27</v>
      </c>
      <c r="E12757" s="208" t="s">
        <v>143</v>
      </c>
      <c r="F12757" t="s">
        <v>15</v>
      </c>
      <c r="G12757" s="18">
        <v>149</v>
      </c>
      <c r="H12757" s="151" t="s">
        <v>563</v>
      </c>
      <c r="I12757" t="s">
        <v>561</v>
      </c>
    </row>
    <row r="12758" spans="1:9" x14ac:dyDescent="0.25">
      <c r="A12758" s="151">
        <v>1837</v>
      </c>
      <c r="B12758" s="151">
        <f>A12758+1</f>
        <v>1838</v>
      </c>
      <c r="C12758" s="151" t="s">
        <v>543</v>
      </c>
      <c r="D12758" s="151" t="s">
        <v>27</v>
      </c>
      <c r="E12758" s="208" t="s">
        <v>142</v>
      </c>
      <c r="F12758" t="s">
        <v>15</v>
      </c>
      <c r="G12758" s="18">
        <v>17567</v>
      </c>
      <c r="H12758" s="151" t="s">
        <v>563</v>
      </c>
      <c r="I12758" t="s">
        <v>561</v>
      </c>
    </row>
    <row r="12759" spans="1:9" x14ac:dyDescent="0.25">
      <c r="A12759" s="151">
        <v>1837</v>
      </c>
      <c r="B12759" s="151">
        <f>A12759+1</f>
        <v>1838</v>
      </c>
      <c r="C12759" s="151" t="s">
        <v>543</v>
      </c>
      <c r="D12759" s="151" t="s">
        <v>27</v>
      </c>
      <c r="E12759" s="208" t="s">
        <v>127</v>
      </c>
      <c r="F12759" t="s">
        <v>15</v>
      </c>
      <c r="G12759" s="18">
        <v>48</v>
      </c>
      <c r="H12759" s="151" t="s">
        <v>563</v>
      </c>
      <c r="I12759" t="s">
        <v>561</v>
      </c>
    </row>
    <row r="12760" spans="1:9" x14ac:dyDescent="0.25">
      <c r="A12760" s="151">
        <v>1837</v>
      </c>
      <c r="B12760" s="151">
        <f>A12760+1</f>
        <v>1838</v>
      </c>
      <c r="C12760" s="151" t="s">
        <v>543</v>
      </c>
      <c r="D12760" s="151" t="s">
        <v>27</v>
      </c>
      <c r="E12760" s="208" t="s">
        <v>133</v>
      </c>
      <c r="F12760" t="s">
        <v>15</v>
      </c>
      <c r="G12760" s="18">
        <v>12149</v>
      </c>
      <c r="H12760" s="151" t="s">
        <v>563</v>
      </c>
      <c r="I12760" t="s">
        <v>561</v>
      </c>
    </row>
    <row r="12761" spans="1:9" x14ac:dyDescent="0.25">
      <c r="A12761" s="151">
        <v>1837</v>
      </c>
      <c r="B12761" s="151">
        <f>A12761+1</f>
        <v>1838</v>
      </c>
      <c r="C12761" s="151" t="s">
        <v>543</v>
      </c>
      <c r="D12761" s="151" t="s">
        <v>27</v>
      </c>
      <c r="E12761" s="208" t="s">
        <v>74</v>
      </c>
      <c r="F12761" t="s">
        <v>15</v>
      </c>
      <c r="G12761" s="18">
        <v>6404</v>
      </c>
      <c r="H12761" s="151" t="s">
        <v>563</v>
      </c>
      <c r="I12761" t="s">
        <v>561</v>
      </c>
    </row>
    <row r="12762" spans="1:9" x14ac:dyDescent="0.25">
      <c r="A12762" s="151">
        <v>1837</v>
      </c>
      <c r="B12762" s="151">
        <f>A12762+1</f>
        <v>1838</v>
      </c>
      <c r="C12762" s="151" t="s">
        <v>543</v>
      </c>
      <c r="D12762" s="151" t="s">
        <v>27</v>
      </c>
      <c r="E12762" s="208" t="s">
        <v>129</v>
      </c>
      <c r="F12762" t="s">
        <v>15</v>
      </c>
      <c r="G12762" s="18">
        <v>463.5</v>
      </c>
      <c r="H12762" s="151" t="s">
        <v>563</v>
      </c>
      <c r="I12762" t="s">
        <v>561</v>
      </c>
    </row>
    <row r="12763" spans="1:9" x14ac:dyDescent="0.25">
      <c r="A12763" s="151">
        <v>1837</v>
      </c>
      <c r="B12763" s="151">
        <f>A12763+1</f>
        <v>1838</v>
      </c>
      <c r="C12763" s="151" t="s">
        <v>543</v>
      </c>
      <c r="D12763" s="151" t="s">
        <v>27</v>
      </c>
      <c r="E12763" s="208" t="s">
        <v>141</v>
      </c>
      <c r="F12763" t="s">
        <v>15</v>
      </c>
      <c r="G12763" s="18">
        <v>280.5</v>
      </c>
      <c r="H12763" s="151" t="s">
        <v>563</v>
      </c>
      <c r="I12763" t="s">
        <v>561</v>
      </c>
    </row>
    <row r="12764" spans="1:9" x14ac:dyDescent="0.25">
      <c r="A12764" s="151">
        <v>1837</v>
      </c>
      <c r="B12764" s="151">
        <f>A12764+1</f>
        <v>1838</v>
      </c>
      <c r="C12764" s="151" t="s">
        <v>543</v>
      </c>
      <c r="D12764" s="151" t="s">
        <v>27</v>
      </c>
      <c r="E12764" s="208" t="s">
        <v>135</v>
      </c>
      <c r="F12764" t="s">
        <v>15</v>
      </c>
      <c r="G12764" s="18">
        <v>140</v>
      </c>
      <c r="H12764" s="151" t="s">
        <v>563</v>
      </c>
      <c r="I12764" t="s">
        <v>561</v>
      </c>
    </row>
    <row r="12765" spans="1:9" x14ac:dyDescent="0.25">
      <c r="A12765" s="151">
        <v>1837</v>
      </c>
      <c r="B12765" s="151">
        <f>A12765+1</f>
        <v>1838</v>
      </c>
      <c r="C12765" s="151" t="s">
        <v>543</v>
      </c>
      <c r="D12765" s="151" t="s">
        <v>27</v>
      </c>
      <c r="E12765" s="208" t="s">
        <v>128</v>
      </c>
      <c r="F12765" t="s">
        <v>15</v>
      </c>
      <c r="G12765" s="18">
        <v>24</v>
      </c>
      <c r="H12765" s="151" t="s">
        <v>563</v>
      </c>
      <c r="I12765" t="s">
        <v>561</v>
      </c>
    </row>
    <row r="12766" spans="1:9" x14ac:dyDescent="0.25">
      <c r="A12766" s="151">
        <v>1837</v>
      </c>
      <c r="B12766" s="151">
        <f>A12766+1</f>
        <v>1838</v>
      </c>
      <c r="C12766" s="151" t="s">
        <v>543</v>
      </c>
      <c r="D12766" s="151" t="s">
        <v>27</v>
      </c>
      <c r="E12766" s="208" t="s">
        <v>78</v>
      </c>
      <c r="F12766" t="s">
        <v>15</v>
      </c>
      <c r="G12766" s="18">
        <v>1109</v>
      </c>
      <c r="H12766" s="151" t="s">
        <v>563</v>
      </c>
      <c r="I12766" t="s">
        <v>561</v>
      </c>
    </row>
    <row r="12767" spans="1:9" x14ac:dyDescent="0.25">
      <c r="A12767" s="151">
        <v>1837</v>
      </c>
      <c r="B12767" s="151">
        <f>A12767+1</f>
        <v>1838</v>
      </c>
      <c r="C12767" s="151" t="s">
        <v>543</v>
      </c>
      <c r="D12767" s="151" t="s">
        <v>27</v>
      </c>
      <c r="E12767" s="208" t="s">
        <v>119</v>
      </c>
      <c r="F12767" t="s">
        <v>15</v>
      </c>
      <c r="G12767" s="18">
        <v>210</v>
      </c>
      <c r="H12767" s="151" t="s">
        <v>563</v>
      </c>
      <c r="I12767" t="s">
        <v>561</v>
      </c>
    </row>
    <row r="12768" spans="1:9" x14ac:dyDescent="0.25">
      <c r="A12768" s="151">
        <v>1837</v>
      </c>
      <c r="B12768" s="151">
        <f>A12768+1</f>
        <v>1838</v>
      </c>
      <c r="C12768" s="151" t="s">
        <v>543</v>
      </c>
      <c r="D12768" s="151" t="s">
        <v>27</v>
      </c>
      <c r="E12768" s="208" t="s">
        <v>134</v>
      </c>
      <c r="F12768" t="s">
        <v>15</v>
      </c>
      <c r="G12768" s="18">
        <v>12601</v>
      </c>
      <c r="H12768" s="151" t="s">
        <v>563</v>
      </c>
      <c r="I12768" t="s">
        <v>561</v>
      </c>
    </row>
    <row r="12769" spans="1:9" x14ac:dyDescent="0.25">
      <c r="A12769" s="151">
        <v>1837</v>
      </c>
      <c r="B12769" s="151">
        <f>A12769+1</f>
        <v>1838</v>
      </c>
      <c r="C12769" s="151" t="s">
        <v>543</v>
      </c>
      <c r="D12769" s="151" t="s">
        <v>560</v>
      </c>
      <c r="E12769" s="208" t="s">
        <v>34</v>
      </c>
      <c r="F12769" t="s">
        <v>15</v>
      </c>
      <c r="G12769" s="18">
        <v>28654</v>
      </c>
      <c r="H12769" s="151" t="s">
        <v>563</v>
      </c>
      <c r="I12769" t="s">
        <v>561</v>
      </c>
    </row>
    <row r="12770" spans="1:9" x14ac:dyDescent="0.25">
      <c r="A12770" s="151">
        <v>1837</v>
      </c>
      <c r="B12770" s="151">
        <f>A12770+1</f>
        <v>1838</v>
      </c>
      <c r="C12770" s="151" t="s">
        <v>543</v>
      </c>
      <c r="D12770" s="151" t="s">
        <v>560</v>
      </c>
      <c r="E12770" s="208" t="s">
        <v>63</v>
      </c>
      <c r="F12770" t="s">
        <v>15</v>
      </c>
      <c r="G12770" s="18">
        <v>7133</v>
      </c>
      <c r="H12770" s="151" t="s">
        <v>563</v>
      </c>
      <c r="I12770" t="s">
        <v>561</v>
      </c>
    </row>
    <row r="12771" spans="1:9" x14ac:dyDescent="0.25">
      <c r="A12771" s="151">
        <v>1837</v>
      </c>
      <c r="B12771" s="151">
        <f>A12771+1</f>
        <v>1838</v>
      </c>
      <c r="C12771" s="151" t="s">
        <v>543</v>
      </c>
      <c r="D12771" s="151" t="s">
        <v>560</v>
      </c>
      <c r="E12771" s="208" t="s">
        <v>62</v>
      </c>
      <c r="F12771" t="s">
        <v>15</v>
      </c>
      <c r="G12771" s="18">
        <v>69111</v>
      </c>
      <c r="H12771" s="151" t="s">
        <v>563</v>
      </c>
      <c r="I12771" t="s">
        <v>561</v>
      </c>
    </row>
    <row r="12772" spans="1:9" x14ac:dyDescent="0.25">
      <c r="A12772" s="151">
        <v>1837</v>
      </c>
      <c r="B12772" s="151">
        <f>A12772+1</f>
        <v>1838</v>
      </c>
      <c r="C12772" s="151" t="s">
        <v>543</v>
      </c>
      <c r="D12772" s="151" t="s">
        <v>560</v>
      </c>
      <c r="E12772" s="208" t="s">
        <v>55</v>
      </c>
      <c r="F12772" t="s">
        <v>15</v>
      </c>
      <c r="G12772" s="18">
        <v>11569</v>
      </c>
      <c r="H12772" s="151" t="s">
        <v>563</v>
      </c>
      <c r="I12772" t="s">
        <v>561</v>
      </c>
    </row>
    <row r="12773" spans="1:9" x14ac:dyDescent="0.25">
      <c r="A12773" s="151">
        <v>1837</v>
      </c>
      <c r="B12773" s="151">
        <f>A12773+1</f>
        <v>1838</v>
      </c>
      <c r="C12773" s="151" t="s">
        <v>543</v>
      </c>
      <c r="D12773" s="151" t="s">
        <v>560</v>
      </c>
      <c r="E12773" s="208" t="s">
        <v>36</v>
      </c>
      <c r="F12773" t="s">
        <v>15</v>
      </c>
      <c r="G12773" s="18">
        <v>6883</v>
      </c>
      <c r="H12773" s="151" t="s">
        <v>563</v>
      </c>
      <c r="I12773" t="s">
        <v>561</v>
      </c>
    </row>
    <row r="12774" spans="1:9" x14ac:dyDescent="0.25">
      <c r="A12774" s="151">
        <v>1837</v>
      </c>
      <c r="B12774" s="151">
        <f>A12774+1</f>
        <v>1838</v>
      </c>
      <c r="C12774" s="151" t="s">
        <v>543</v>
      </c>
      <c r="D12774" s="151" t="s">
        <v>560</v>
      </c>
      <c r="E12774" s="208" t="s">
        <v>35</v>
      </c>
      <c r="F12774" t="s">
        <v>15</v>
      </c>
      <c r="G12774" s="18">
        <v>393</v>
      </c>
      <c r="H12774" s="151" t="s">
        <v>563</v>
      </c>
      <c r="I12774" t="s">
        <v>561</v>
      </c>
    </row>
    <row r="12775" spans="1:9" x14ac:dyDescent="0.25">
      <c r="A12775" s="151">
        <v>1837</v>
      </c>
      <c r="B12775" s="151">
        <f>A12775+1</f>
        <v>1838</v>
      </c>
      <c r="C12775" s="151" t="s">
        <v>543</v>
      </c>
      <c r="D12775" s="151" t="s">
        <v>560</v>
      </c>
      <c r="E12775" s="208" t="s">
        <v>40</v>
      </c>
      <c r="F12775" t="s">
        <v>15</v>
      </c>
      <c r="G12775" s="18">
        <v>120400</v>
      </c>
      <c r="H12775" s="151" t="s">
        <v>563</v>
      </c>
      <c r="I12775" t="s">
        <v>561</v>
      </c>
    </row>
    <row r="12776" spans="1:9" x14ac:dyDescent="0.25">
      <c r="A12776" s="151">
        <v>1837</v>
      </c>
      <c r="B12776" s="151">
        <f>A12776+1</f>
        <v>1838</v>
      </c>
      <c r="C12776" s="151" t="s">
        <v>543</v>
      </c>
      <c r="D12776" s="151" t="s">
        <v>560</v>
      </c>
      <c r="E12776" s="208" t="s">
        <v>96</v>
      </c>
      <c r="F12776" t="s">
        <v>15</v>
      </c>
      <c r="G12776" s="18">
        <v>17687</v>
      </c>
      <c r="H12776" s="151" t="s">
        <v>563</v>
      </c>
      <c r="I12776" t="s">
        <v>16</v>
      </c>
    </row>
    <row r="12777" spans="1:9" x14ac:dyDescent="0.25">
      <c r="A12777" s="151">
        <v>1837</v>
      </c>
      <c r="B12777" s="151">
        <f>A12777+1</f>
        <v>1838</v>
      </c>
      <c r="C12777" s="151" t="s">
        <v>543</v>
      </c>
      <c r="D12777" s="151" t="s">
        <v>560</v>
      </c>
      <c r="E12777" s="208" t="s">
        <v>98</v>
      </c>
      <c r="F12777" t="s">
        <v>15</v>
      </c>
      <c r="G12777" s="18">
        <v>265082</v>
      </c>
      <c r="H12777" s="151" t="s">
        <v>563</v>
      </c>
      <c r="I12777" t="s">
        <v>17</v>
      </c>
    </row>
    <row r="12778" spans="1:9" x14ac:dyDescent="0.25">
      <c r="A12778" s="151">
        <v>1837</v>
      </c>
      <c r="B12778" s="151">
        <f>A12778+1</f>
        <v>1838</v>
      </c>
      <c r="C12778" s="151" t="s">
        <v>543</v>
      </c>
      <c r="D12778" s="151" t="s">
        <v>560</v>
      </c>
      <c r="E12778" s="208" t="s">
        <v>52</v>
      </c>
      <c r="F12778" t="s">
        <v>15</v>
      </c>
      <c r="G12778" s="18">
        <v>33041</v>
      </c>
      <c r="H12778" s="151" t="s">
        <v>563</v>
      </c>
      <c r="I12778" t="s">
        <v>561</v>
      </c>
    </row>
    <row r="12779" spans="1:9" x14ac:dyDescent="0.25">
      <c r="A12779" s="151">
        <v>1837</v>
      </c>
      <c r="B12779" s="151">
        <f>A12779+1</f>
        <v>1838</v>
      </c>
      <c r="C12779" s="151" t="s">
        <v>543</v>
      </c>
      <c r="D12779" s="151" t="s">
        <v>560</v>
      </c>
      <c r="E12779" s="208" t="s">
        <v>105</v>
      </c>
      <c r="F12779" t="s">
        <v>15</v>
      </c>
      <c r="G12779" s="18">
        <v>2017490</v>
      </c>
      <c r="H12779" s="151" t="s">
        <v>563</v>
      </c>
      <c r="I12779" t="s">
        <v>16</v>
      </c>
    </row>
    <row r="12780" spans="1:9" x14ac:dyDescent="0.25">
      <c r="A12780" s="151">
        <v>1837</v>
      </c>
      <c r="B12780" s="151">
        <f>A12780+1</f>
        <v>1838</v>
      </c>
      <c r="C12780" s="151" t="s">
        <v>543</v>
      </c>
      <c r="D12780" s="151" t="s">
        <v>560</v>
      </c>
      <c r="E12780" s="208" t="s">
        <v>106</v>
      </c>
      <c r="F12780" t="s">
        <v>15</v>
      </c>
      <c r="G12780" s="18">
        <v>1283571</v>
      </c>
      <c r="H12780" s="151" t="s">
        <v>563</v>
      </c>
      <c r="I12780" t="s">
        <v>17</v>
      </c>
    </row>
    <row r="12781" spans="1:9" x14ac:dyDescent="0.25">
      <c r="A12781" s="151">
        <v>1837</v>
      </c>
      <c r="B12781" s="151">
        <f>A12781+1</f>
        <v>1838</v>
      </c>
      <c r="C12781" s="151" t="s">
        <v>543</v>
      </c>
      <c r="D12781" s="151" t="s">
        <v>560</v>
      </c>
      <c r="E12781" s="208" t="s">
        <v>101</v>
      </c>
      <c r="F12781" t="s">
        <v>15</v>
      </c>
      <c r="G12781" s="18">
        <v>9407611</v>
      </c>
      <c r="H12781" s="151" t="s">
        <v>563</v>
      </c>
      <c r="I12781" t="s">
        <v>561</v>
      </c>
    </row>
    <row r="12782" spans="1:9" x14ac:dyDescent="0.25">
      <c r="A12782" s="151">
        <v>1837</v>
      </c>
      <c r="B12782" s="151">
        <f>A12782+1</f>
        <v>1838</v>
      </c>
      <c r="C12782" s="151" t="s">
        <v>543</v>
      </c>
      <c r="D12782" s="151" t="s">
        <v>560</v>
      </c>
      <c r="E12782" s="208" t="s">
        <v>75</v>
      </c>
      <c r="F12782" t="s">
        <v>15</v>
      </c>
      <c r="G12782" s="18">
        <v>16006072</v>
      </c>
      <c r="H12782" s="151" t="s">
        <v>563</v>
      </c>
      <c r="I12782" t="s">
        <v>16</v>
      </c>
    </row>
    <row r="12783" spans="1:9" x14ac:dyDescent="0.25">
      <c r="A12783" s="151">
        <v>1837</v>
      </c>
      <c r="B12783" s="151">
        <f>A12783+1</f>
        <v>1838</v>
      </c>
      <c r="C12783" s="151" t="s">
        <v>543</v>
      </c>
      <c r="D12783" s="151" t="s">
        <v>560</v>
      </c>
      <c r="E12783" s="208" t="s">
        <v>66</v>
      </c>
      <c r="F12783" t="s">
        <v>15</v>
      </c>
      <c r="G12783" s="18">
        <v>825634</v>
      </c>
      <c r="H12783" s="151" t="s">
        <v>563</v>
      </c>
      <c r="I12783" t="s">
        <v>17</v>
      </c>
    </row>
    <row r="12784" spans="1:9" x14ac:dyDescent="0.25">
      <c r="A12784" s="151">
        <v>1837</v>
      </c>
      <c r="B12784" s="151">
        <f>A12784+1</f>
        <v>1838</v>
      </c>
      <c r="C12784" s="151" t="s">
        <v>543</v>
      </c>
      <c r="D12784" s="151" t="s">
        <v>560</v>
      </c>
      <c r="E12784" s="208" t="s">
        <v>28</v>
      </c>
      <c r="F12784" t="s">
        <v>15</v>
      </c>
      <c r="G12784" s="18">
        <v>2671</v>
      </c>
      <c r="H12784" s="151" t="s">
        <v>563</v>
      </c>
      <c r="I12784" t="s">
        <v>561</v>
      </c>
    </row>
    <row r="12785" spans="1:9" x14ac:dyDescent="0.25">
      <c r="A12785" s="151">
        <v>1837</v>
      </c>
      <c r="B12785" s="151">
        <f>A12785+1</f>
        <v>1838</v>
      </c>
      <c r="C12785" s="151" t="s">
        <v>543</v>
      </c>
      <c r="D12785" s="151" t="s">
        <v>560</v>
      </c>
      <c r="E12785" s="208" t="s">
        <v>89</v>
      </c>
      <c r="F12785" t="s">
        <v>15</v>
      </c>
      <c r="G12785" s="18">
        <v>9299</v>
      </c>
      <c r="H12785" s="151" t="s">
        <v>563</v>
      </c>
      <c r="I12785" t="s">
        <v>16</v>
      </c>
    </row>
    <row r="12786" spans="1:9" x14ac:dyDescent="0.25">
      <c r="A12786" s="151">
        <v>1837</v>
      </c>
      <c r="B12786" s="151">
        <f>A12786+1</f>
        <v>1838</v>
      </c>
      <c r="C12786" s="151" t="s">
        <v>543</v>
      </c>
      <c r="D12786" s="151" t="s">
        <v>560</v>
      </c>
      <c r="E12786" s="208" t="s">
        <v>450</v>
      </c>
      <c r="F12786" t="s">
        <v>15</v>
      </c>
      <c r="G12786" s="18">
        <v>17997</v>
      </c>
      <c r="H12786" s="151" t="s">
        <v>563</v>
      </c>
      <c r="I12786" t="s">
        <v>17</v>
      </c>
    </row>
    <row r="12787" spans="1:9" x14ac:dyDescent="0.25">
      <c r="A12787" s="151">
        <v>1837</v>
      </c>
      <c r="B12787" s="151">
        <f>A12787+1</f>
        <v>1838</v>
      </c>
      <c r="C12787" s="151" t="s">
        <v>543</v>
      </c>
      <c r="D12787" s="151" t="s">
        <v>560</v>
      </c>
      <c r="E12787" s="208" t="s">
        <v>48</v>
      </c>
      <c r="F12787" t="s">
        <v>15</v>
      </c>
      <c r="G12787" s="18">
        <v>8812</v>
      </c>
      <c r="H12787" s="151" t="s">
        <v>563</v>
      </c>
      <c r="I12787" t="s">
        <v>561</v>
      </c>
    </row>
    <row r="12788" spans="1:9" x14ac:dyDescent="0.25">
      <c r="A12788" s="151">
        <v>1837</v>
      </c>
      <c r="B12788" s="151">
        <f>A12788+1</f>
        <v>1838</v>
      </c>
      <c r="C12788" s="151" t="s">
        <v>543</v>
      </c>
      <c r="D12788" s="151" t="s">
        <v>560</v>
      </c>
      <c r="E12788" s="208" t="s">
        <v>102</v>
      </c>
      <c r="F12788" t="s">
        <v>15</v>
      </c>
      <c r="G12788" s="18">
        <v>11350</v>
      </c>
      <c r="H12788" s="151" t="s">
        <v>563</v>
      </c>
      <c r="I12788" t="s">
        <v>16</v>
      </c>
    </row>
    <row r="12789" spans="1:9" x14ac:dyDescent="0.25">
      <c r="A12789" s="151">
        <v>1837</v>
      </c>
      <c r="B12789" s="151">
        <f>A12789+1</f>
        <v>1838</v>
      </c>
      <c r="C12789" s="151" t="s">
        <v>543</v>
      </c>
      <c r="D12789" s="151" t="s">
        <v>560</v>
      </c>
      <c r="E12789" s="208" t="s">
        <v>330</v>
      </c>
      <c r="F12789" t="s">
        <v>15</v>
      </c>
      <c r="G12789" s="18">
        <v>3190</v>
      </c>
      <c r="H12789" s="151" t="s">
        <v>563</v>
      </c>
      <c r="I12789" t="s">
        <v>17</v>
      </c>
    </row>
    <row r="12790" spans="1:9" x14ac:dyDescent="0.25">
      <c r="A12790" s="151">
        <v>1837</v>
      </c>
      <c r="B12790" s="151">
        <f>A12790+1</f>
        <v>1838</v>
      </c>
      <c r="C12790" s="151" t="s">
        <v>543</v>
      </c>
      <c r="D12790" s="151" t="s">
        <v>560</v>
      </c>
      <c r="E12790" s="208" t="s">
        <v>331</v>
      </c>
      <c r="F12790" t="s">
        <v>15</v>
      </c>
      <c r="G12790" s="18">
        <v>988</v>
      </c>
      <c r="H12790" s="151" t="s">
        <v>563</v>
      </c>
      <c r="I12790" t="s">
        <v>561</v>
      </c>
    </row>
    <row r="12791" spans="1:9" x14ac:dyDescent="0.25">
      <c r="A12791" s="151">
        <v>1837</v>
      </c>
      <c r="B12791" s="151">
        <f>A12791+1</f>
        <v>1838</v>
      </c>
      <c r="C12791" s="151" t="s">
        <v>543</v>
      </c>
      <c r="D12791" s="151" t="s">
        <v>560</v>
      </c>
      <c r="E12791" s="208" t="s">
        <v>332</v>
      </c>
      <c r="F12791" t="s">
        <v>15</v>
      </c>
      <c r="G12791" s="18">
        <v>399</v>
      </c>
      <c r="H12791" t="s">
        <v>16</v>
      </c>
      <c r="I12791" s="151" t="s">
        <v>562</v>
      </c>
    </row>
    <row r="12792" spans="1:9" x14ac:dyDescent="0.25">
      <c r="A12792" s="151">
        <v>1837</v>
      </c>
      <c r="B12792" s="151">
        <f>A12792+1</f>
        <v>1838</v>
      </c>
      <c r="C12792" s="151" t="s">
        <v>543</v>
      </c>
      <c r="D12792" s="151" t="s">
        <v>560</v>
      </c>
      <c r="E12792" s="208" t="s">
        <v>333</v>
      </c>
      <c r="F12792" t="s">
        <v>15</v>
      </c>
      <c r="G12792" s="18">
        <v>2667</v>
      </c>
      <c r="H12792" t="s">
        <v>16</v>
      </c>
      <c r="I12792" s="151" t="s">
        <v>562</v>
      </c>
    </row>
    <row r="12793" spans="1:9" x14ac:dyDescent="0.25">
      <c r="A12793" s="151">
        <v>1837</v>
      </c>
      <c r="B12793" s="151">
        <f>A12793+1</f>
        <v>1838</v>
      </c>
      <c r="C12793" s="151" t="s">
        <v>543</v>
      </c>
      <c r="D12793" s="151" t="s">
        <v>560</v>
      </c>
      <c r="E12793" s="208" t="s">
        <v>566</v>
      </c>
      <c r="F12793" t="s">
        <v>7</v>
      </c>
      <c r="G12793" s="18">
        <v>776</v>
      </c>
      <c r="H12793" t="s">
        <v>16</v>
      </c>
      <c r="I12793" s="151" t="s">
        <v>562</v>
      </c>
    </row>
    <row r="12794" spans="1:9" x14ac:dyDescent="0.25">
      <c r="A12794" s="151">
        <v>1837</v>
      </c>
      <c r="B12794" s="151">
        <f>A12794+1</f>
        <v>1838</v>
      </c>
      <c r="C12794" s="151" t="s">
        <v>543</v>
      </c>
      <c r="D12794" s="151" t="s">
        <v>560</v>
      </c>
      <c r="E12794" s="208" t="s">
        <v>566</v>
      </c>
      <c r="F12794" t="s">
        <v>14</v>
      </c>
      <c r="G12794" s="18">
        <v>70</v>
      </c>
      <c r="H12794" t="s">
        <v>16</v>
      </c>
      <c r="I12794" s="151" t="s">
        <v>562</v>
      </c>
    </row>
    <row r="12795" spans="1:9" x14ac:dyDescent="0.25">
      <c r="A12795" s="151">
        <v>1837</v>
      </c>
      <c r="B12795" s="151">
        <f>A12795+1</f>
        <v>1838</v>
      </c>
      <c r="C12795" s="151" t="s">
        <v>543</v>
      </c>
      <c r="D12795" s="151" t="s">
        <v>560</v>
      </c>
      <c r="E12795" s="208" t="s">
        <v>566</v>
      </c>
      <c r="F12795" t="s">
        <v>15</v>
      </c>
      <c r="G12795" s="18">
        <v>846</v>
      </c>
      <c r="H12795" t="s">
        <v>16</v>
      </c>
      <c r="I12795" s="151" t="s">
        <v>562</v>
      </c>
    </row>
    <row r="12796" spans="1:9" x14ac:dyDescent="0.25">
      <c r="A12796" s="151">
        <v>1838</v>
      </c>
      <c r="B12796" s="151">
        <f>A12796+1</f>
        <v>1839</v>
      </c>
      <c r="C12796" s="151" t="s">
        <v>544</v>
      </c>
      <c r="D12796" s="151" t="s">
        <v>560</v>
      </c>
      <c r="E12796" s="208" t="s">
        <v>572</v>
      </c>
      <c r="F12796" t="s">
        <v>7</v>
      </c>
      <c r="G12796" s="18">
        <v>9720</v>
      </c>
      <c r="H12796" t="s">
        <v>16</v>
      </c>
      <c r="I12796" s="151" t="s">
        <v>562</v>
      </c>
    </row>
    <row r="12797" spans="1:9" x14ac:dyDescent="0.25">
      <c r="A12797" s="151">
        <v>1838</v>
      </c>
      <c r="B12797" s="151">
        <f>A12797+1</f>
        <v>1839</v>
      </c>
      <c r="C12797" s="151" t="s">
        <v>544</v>
      </c>
      <c r="D12797" s="151" t="s">
        <v>560</v>
      </c>
      <c r="E12797" s="208" t="s">
        <v>572</v>
      </c>
      <c r="F12797" t="s">
        <v>14</v>
      </c>
      <c r="G12797" s="18">
        <v>9213</v>
      </c>
      <c r="H12797" t="s">
        <v>16</v>
      </c>
      <c r="I12797" s="151" t="s">
        <v>562</v>
      </c>
    </row>
    <row r="12798" spans="1:9" x14ac:dyDescent="0.25">
      <c r="A12798" s="151">
        <v>1838</v>
      </c>
      <c r="B12798" s="151">
        <f>A12798+1</f>
        <v>1839</v>
      </c>
      <c r="C12798" s="151" t="s">
        <v>544</v>
      </c>
      <c r="D12798" s="151" t="s">
        <v>560</v>
      </c>
      <c r="E12798" s="208" t="s">
        <v>572</v>
      </c>
      <c r="F12798" t="s">
        <v>15</v>
      </c>
      <c r="G12798" s="18">
        <v>18933</v>
      </c>
      <c r="H12798" t="s">
        <v>16</v>
      </c>
      <c r="I12798" s="151" t="s">
        <v>562</v>
      </c>
    </row>
    <row r="12799" spans="1:9" x14ac:dyDescent="0.25">
      <c r="A12799" s="151">
        <v>1838</v>
      </c>
      <c r="B12799" s="151">
        <f>A12799+1</f>
        <v>1839</v>
      </c>
      <c r="C12799" s="151" t="s">
        <v>544</v>
      </c>
      <c r="D12799" s="151" t="s">
        <v>560</v>
      </c>
      <c r="E12799" s="208" t="s">
        <v>571</v>
      </c>
      <c r="F12799" t="s">
        <v>7</v>
      </c>
      <c r="G12799" s="18">
        <v>12322</v>
      </c>
      <c r="H12799" t="s">
        <v>16</v>
      </c>
      <c r="I12799" s="151" t="s">
        <v>562</v>
      </c>
    </row>
    <row r="12800" spans="1:9" x14ac:dyDescent="0.25">
      <c r="A12800" s="151">
        <v>1838</v>
      </c>
      <c r="B12800" s="151">
        <f>A12800+1</f>
        <v>1839</v>
      </c>
      <c r="C12800" s="151" t="s">
        <v>544</v>
      </c>
      <c r="D12800" s="151" t="s">
        <v>560</v>
      </c>
      <c r="E12800" s="208" t="s">
        <v>571</v>
      </c>
      <c r="F12800" t="s">
        <v>14</v>
      </c>
      <c r="G12800" s="18">
        <v>7975</v>
      </c>
      <c r="H12800" t="s">
        <v>16</v>
      </c>
      <c r="I12800" s="151" t="s">
        <v>562</v>
      </c>
    </row>
    <row r="12801" spans="1:9" x14ac:dyDescent="0.25">
      <c r="A12801" s="151">
        <v>1838</v>
      </c>
      <c r="B12801" s="151">
        <f>A12801+1</f>
        <v>1839</v>
      </c>
      <c r="C12801" s="151" t="s">
        <v>544</v>
      </c>
      <c r="D12801" s="151" t="s">
        <v>560</v>
      </c>
      <c r="E12801" s="208" t="s">
        <v>571</v>
      </c>
      <c r="F12801" t="s">
        <v>15</v>
      </c>
      <c r="G12801" s="18">
        <v>20297</v>
      </c>
      <c r="H12801" t="s">
        <v>16</v>
      </c>
      <c r="I12801" s="151" t="s">
        <v>562</v>
      </c>
    </row>
    <row r="12802" spans="1:9" x14ac:dyDescent="0.25">
      <c r="A12802" s="151">
        <v>1838</v>
      </c>
      <c r="B12802" s="151">
        <f>A12802+1</f>
        <v>1839</v>
      </c>
      <c r="C12802" s="151" t="s">
        <v>544</v>
      </c>
      <c r="D12802" s="151" t="s">
        <v>560</v>
      </c>
      <c r="E12802" s="208" t="s">
        <v>567</v>
      </c>
      <c r="F12802" t="s">
        <v>7</v>
      </c>
      <c r="G12802" s="18">
        <v>7804</v>
      </c>
      <c r="H12802" t="s">
        <v>16</v>
      </c>
      <c r="I12802" s="151" t="s">
        <v>562</v>
      </c>
    </row>
    <row r="12803" spans="1:9" x14ac:dyDescent="0.25">
      <c r="A12803" s="151">
        <v>1838</v>
      </c>
      <c r="B12803" s="151">
        <f>A12803+1</f>
        <v>1839</v>
      </c>
      <c r="C12803" s="151" t="s">
        <v>544</v>
      </c>
      <c r="D12803" s="151" t="s">
        <v>560</v>
      </c>
      <c r="E12803" s="208" t="s">
        <v>567</v>
      </c>
      <c r="F12803" t="s">
        <v>14</v>
      </c>
      <c r="G12803" s="18">
        <v>14806</v>
      </c>
      <c r="H12803" t="s">
        <v>16</v>
      </c>
      <c r="I12803" s="151" t="s">
        <v>562</v>
      </c>
    </row>
    <row r="12804" spans="1:9" x14ac:dyDescent="0.25">
      <c r="A12804" s="151">
        <v>1838</v>
      </c>
      <c r="B12804" s="151">
        <f>A12804+1</f>
        <v>1839</v>
      </c>
      <c r="C12804" s="151" t="s">
        <v>544</v>
      </c>
      <c r="D12804" s="151" t="s">
        <v>560</v>
      </c>
      <c r="E12804" s="208" t="s">
        <v>567</v>
      </c>
      <c r="F12804" t="s">
        <v>15</v>
      </c>
      <c r="G12804" s="18">
        <v>22610</v>
      </c>
      <c r="H12804" t="s">
        <v>16</v>
      </c>
      <c r="I12804" s="151" t="s">
        <v>562</v>
      </c>
    </row>
    <row r="12805" spans="1:9" x14ac:dyDescent="0.25">
      <c r="A12805" s="151">
        <v>1838</v>
      </c>
      <c r="B12805" s="151">
        <f>A12805+1</f>
        <v>1839</v>
      </c>
      <c r="C12805" s="151" t="s">
        <v>544</v>
      </c>
      <c r="D12805" s="151" t="s">
        <v>560</v>
      </c>
      <c r="E12805" s="208" t="s">
        <v>568</v>
      </c>
      <c r="F12805" t="s">
        <v>7</v>
      </c>
      <c r="G12805" s="18">
        <v>2972</v>
      </c>
      <c r="H12805" t="s">
        <v>16</v>
      </c>
      <c r="I12805" s="151" t="s">
        <v>562</v>
      </c>
    </row>
    <row r="12806" spans="1:9" x14ac:dyDescent="0.25">
      <c r="A12806" s="151">
        <v>1838</v>
      </c>
      <c r="B12806" s="151">
        <f>A12806+1</f>
        <v>1839</v>
      </c>
      <c r="C12806" s="151" t="s">
        <v>544</v>
      </c>
      <c r="D12806" s="151" t="s">
        <v>560</v>
      </c>
      <c r="E12806" s="208" t="s">
        <v>568</v>
      </c>
      <c r="F12806" t="s">
        <v>14</v>
      </c>
      <c r="G12806" s="18">
        <v>842</v>
      </c>
      <c r="H12806" t="s">
        <v>16</v>
      </c>
      <c r="I12806" s="151" t="s">
        <v>562</v>
      </c>
    </row>
    <row r="12807" spans="1:9" x14ac:dyDescent="0.25">
      <c r="A12807" s="151">
        <v>1838</v>
      </c>
      <c r="B12807" s="151">
        <f>A12807+1</f>
        <v>1839</v>
      </c>
      <c r="C12807" s="151" t="s">
        <v>544</v>
      </c>
      <c r="D12807" s="151" t="s">
        <v>560</v>
      </c>
      <c r="E12807" s="208" t="s">
        <v>568</v>
      </c>
      <c r="F12807" t="s">
        <v>15</v>
      </c>
      <c r="G12807" s="18">
        <v>3814</v>
      </c>
      <c r="H12807" t="s">
        <v>16</v>
      </c>
      <c r="I12807" s="151" t="s">
        <v>562</v>
      </c>
    </row>
    <row r="12808" spans="1:9" x14ac:dyDescent="0.25">
      <c r="A12808" s="151">
        <v>1838</v>
      </c>
      <c r="B12808" s="151">
        <f>A12808+1</f>
        <v>1839</v>
      </c>
      <c r="C12808" s="151" t="s">
        <v>544</v>
      </c>
      <c r="D12808" s="151" t="s">
        <v>27</v>
      </c>
      <c r="E12808" s="208" t="s">
        <v>155</v>
      </c>
      <c r="F12808" t="s">
        <v>7</v>
      </c>
      <c r="G12808" s="18">
        <v>4064</v>
      </c>
      <c r="H12808" t="s">
        <v>16</v>
      </c>
      <c r="I12808" s="151" t="s">
        <v>562</v>
      </c>
    </row>
    <row r="12809" spans="1:9" x14ac:dyDescent="0.25">
      <c r="A12809" s="151">
        <v>1838</v>
      </c>
      <c r="B12809" s="151">
        <f>A12809+1</f>
        <v>1839</v>
      </c>
      <c r="C12809" s="151" t="s">
        <v>544</v>
      </c>
      <c r="D12809" s="151" t="s">
        <v>27</v>
      </c>
      <c r="E12809" s="208" t="s">
        <v>156</v>
      </c>
      <c r="F12809" t="s">
        <v>7</v>
      </c>
      <c r="G12809" s="18">
        <v>673</v>
      </c>
      <c r="H12809" t="s">
        <v>16</v>
      </c>
      <c r="I12809" s="151" t="s">
        <v>562</v>
      </c>
    </row>
    <row r="12810" spans="1:9" x14ac:dyDescent="0.25">
      <c r="A12810" s="151">
        <v>1838</v>
      </c>
      <c r="B12810" s="151">
        <f>A12810+1</f>
        <v>1839</v>
      </c>
      <c r="C12810" s="151" t="s">
        <v>544</v>
      </c>
      <c r="D12810" s="151" t="s">
        <v>27</v>
      </c>
      <c r="E12810" s="208" t="s">
        <v>154</v>
      </c>
      <c r="F12810" t="s">
        <v>7</v>
      </c>
      <c r="G12810" s="18">
        <v>626</v>
      </c>
      <c r="H12810" t="s">
        <v>16</v>
      </c>
      <c r="I12810" s="151" t="s">
        <v>562</v>
      </c>
    </row>
    <row r="12811" spans="1:9" x14ac:dyDescent="0.25">
      <c r="A12811" s="151">
        <v>1838</v>
      </c>
      <c r="B12811" s="151">
        <f>A12811+1</f>
        <v>1839</v>
      </c>
      <c r="C12811" s="151" t="s">
        <v>544</v>
      </c>
      <c r="D12811" s="151" t="s">
        <v>27</v>
      </c>
      <c r="E12811" s="208" t="s">
        <v>150</v>
      </c>
      <c r="F12811" t="s">
        <v>7</v>
      </c>
      <c r="G12811" s="18">
        <v>1392</v>
      </c>
      <c r="H12811" t="s">
        <v>16</v>
      </c>
      <c r="I12811" s="151" t="s">
        <v>562</v>
      </c>
    </row>
    <row r="12812" spans="1:9" x14ac:dyDescent="0.25">
      <c r="A12812" s="151">
        <v>1838</v>
      </c>
      <c r="B12812" s="151">
        <f>A12812+1</f>
        <v>1839</v>
      </c>
      <c r="C12812" s="151" t="s">
        <v>544</v>
      </c>
      <c r="D12812" s="151" t="s">
        <v>27</v>
      </c>
      <c r="E12812" s="208" t="s">
        <v>148</v>
      </c>
      <c r="F12812" t="s">
        <v>7</v>
      </c>
      <c r="G12812" s="18">
        <v>220</v>
      </c>
      <c r="H12812" t="s">
        <v>16</v>
      </c>
      <c r="I12812" s="151" t="s">
        <v>562</v>
      </c>
    </row>
    <row r="12813" spans="1:9" x14ac:dyDescent="0.25">
      <c r="A12813" s="151">
        <v>1838</v>
      </c>
      <c r="B12813" s="151">
        <f>A12813+1</f>
        <v>1839</v>
      </c>
      <c r="C12813" s="151" t="s">
        <v>544</v>
      </c>
      <c r="D12813" s="151" t="s">
        <v>27</v>
      </c>
      <c r="E12813" s="208" t="s">
        <v>147</v>
      </c>
      <c r="F12813" t="s">
        <v>7</v>
      </c>
      <c r="G12813" s="18">
        <v>26</v>
      </c>
      <c r="H12813" t="s">
        <v>16</v>
      </c>
      <c r="I12813" s="151" t="s">
        <v>562</v>
      </c>
    </row>
    <row r="12814" spans="1:9" x14ac:dyDescent="0.25">
      <c r="A12814" s="151">
        <v>1838</v>
      </c>
      <c r="B12814" s="151">
        <f>A12814+1</f>
        <v>1839</v>
      </c>
      <c r="C12814" s="151" t="s">
        <v>544</v>
      </c>
      <c r="D12814" s="151" t="s">
        <v>27</v>
      </c>
      <c r="E12814" s="208" t="s">
        <v>125</v>
      </c>
      <c r="F12814" t="s">
        <v>7</v>
      </c>
      <c r="G12814" s="18">
        <v>6165</v>
      </c>
      <c r="H12814" t="s">
        <v>16</v>
      </c>
      <c r="I12814" s="151" t="s">
        <v>562</v>
      </c>
    </row>
    <row r="12815" spans="1:9" x14ac:dyDescent="0.25">
      <c r="A12815" s="151">
        <v>1838</v>
      </c>
      <c r="B12815" s="151">
        <f>A12815+1</f>
        <v>1839</v>
      </c>
      <c r="C12815" s="151" t="s">
        <v>544</v>
      </c>
      <c r="D12815" s="151" t="s">
        <v>27</v>
      </c>
      <c r="E12815" s="208" t="s">
        <v>123</v>
      </c>
      <c r="F12815" t="s">
        <v>7</v>
      </c>
      <c r="G12815" s="18">
        <v>534</v>
      </c>
      <c r="H12815" t="s">
        <v>16</v>
      </c>
      <c r="I12815" s="151" t="s">
        <v>562</v>
      </c>
    </row>
    <row r="12816" spans="1:9" x14ac:dyDescent="0.25">
      <c r="A12816" s="151">
        <v>1838</v>
      </c>
      <c r="B12816" s="151">
        <f>A12816+1</f>
        <v>1839</v>
      </c>
      <c r="C12816" s="151" t="s">
        <v>544</v>
      </c>
      <c r="D12816" s="151" t="s">
        <v>27</v>
      </c>
      <c r="E12816" s="208" t="s">
        <v>122</v>
      </c>
      <c r="F12816" t="s">
        <v>7</v>
      </c>
      <c r="G12816" s="18">
        <v>1844</v>
      </c>
      <c r="H12816" s="151" t="s">
        <v>563</v>
      </c>
      <c r="I12816" t="s">
        <v>16</v>
      </c>
    </row>
    <row r="12817" spans="1:9" x14ac:dyDescent="0.25">
      <c r="A12817" s="151">
        <v>1838</v>
      </c>
      <c r="B12817" s="151">
        <f>A12817+1</f>
        <v>1839</v>
      </c>
      <c r="C12817" s="151" t="s">
        <v>544</v>
      </c>
      <c r="D12817" s="151" t="s">
        <v>27</v>
      </c>
      <c r="E12817" s="208" t="s">
        <v>121</v>
      </c>
      <c r="F12817" t="s">
        <v>7</v>
      </c>
      <c r="G12817" s="18">
        <v>185</v>
      </c>
      <c r="H12817" s="151" t="s">
        <v>563</v>
      </c>
      <c r="I12817" t="s">
        <v>16</v>
      </c>
    </row>
    <row r="12818" spans="1:9" x14ac:dyDescent="0.25">
      <c r="A12818" s="151">
        <v>1838</v>
      </c>
      <c r="B12818" s="151">
        <f>A12818+1</f>
        <v>1839</v>
      </c>
      <c r="C12818" s="151" t="s">
        <v>544</v>
      </c>
      <c r="D12818" s="151" t="s">
        <v>27</v>
      </c>
      <c r="E12818" s="208" t="s">
        <v>139</v>
      </c>
      <c r="F12818" t="s">
        <v>7</v>
      </c>
      <c r="G12818" s="18">
        <v>0</v>
      </c>
      <c r="H12818" s="151" t="s">
        <v>563</v>
      </c>
      <c r="I12818" t="s">
        <v>16</v>
      </c>
    </row>
    <row r="12819" spans="1:9" x14ac:dyDescent="0.25">
      <c r="A12819" s="151">
        <v>1838</v>
      </c>
      <c r="B12819" s="151">
        <f>A12819+1</f>
        <v>1839</v>
      </c>
      <c r="C12819" s="151" t="s">
        <v>544</v>
      </c>
      <c r="D12819" s="151" t="s">
        <v>27</v>
      </c>
      <c r="E12819" s="208" t="s">
        <v>131</v>
      </c>
      <c r="F12819" t="s">
        <v>7</v>
      </c>
      <c r="G12819" s="18">
        <v>166</v>
      </c>
      <c r="H12819" s="151" t="s">
        <v>563</v>
      </c>
      <c r="I12819" t="s">
        <v>16</v>
      </c>
    </row>
    <row r="12820" spans="1:9" x14ac:dyDescent="0.25">
      <c r="A12820" s="151">
        <v>1838</v>
      </c>
      <c r="B12820" s="151">
        <f>A12820+1</f>
        <v>1839</v>
      </c>
      <c r="C12820" s="151" t="s">
        <v>544</v>
      </c>
      <c r="D12820" s="151" t="s">
        <v>27</v>
      </c>
      <c r="E12820" s="208" t="s">
        <v>130</v>
      </c>
      <c r="F12820" t="s">
        <v>7</v>
      </c>
      <c r="G12820" s="18">
        <v>0</v>
      </c>
      <c r="H12820" s="151" t="s">
        <v>563</v>
      </c>
      <c r="I12820" t="s">
        <v>16</v>
      </c>
    </row>
    <row r="12821" spans="1:9" x14ac:dyDescent="0.25">
      <c r="A12821" s="151">
        <v>1838</v>
      </c>
      <c r="B12821" s="151">
        <f>A12821+1</f>
        <v>1839</v>
      </c>
      <c r="C12821" s="151" t="s">
        <v>544</v>
      </c>
      <c r="D12821" s="151" t="s">
        <v>27</v>
      </c>
      <c r="E12821" s="208" t="s">
        <v>143</v>
      </c>
      <c r="F12821" t="s">
        <v>7</v>
      </c>
      <c r="G12821" s="18">
        <v>42</v>
      </c>
      <c r="H12821" s="151" t="s">
        <v>563</v>
      </c>
      <c r="I12821" t="s">
        <v>16</v>
      </c>
    </row>
    <row r="12822" spans="1:9" x14ac:dyDescent="0.25">
      <c r="A12822" s="151">
        <v>1838</v>
      </c>
      <c r="B12822" s="151">
        <f>A12822+1</f>
        <v>1839</v>
      </c>
      <c r="C12822" s="151" t="s">
        <v>544</v>
      </c>
      <c r="D12822" s="151" t="s">
        <v>27</v>
      </c>
      <c r="E12822" s="208" t="s">
        <v>142</v>
      </c>
      <c r="F12822" t="s">
        <v>7</v>
      </c>
      <c r="G12822" s="18">
        <v>3155</v>
      </c>
      <c r="H12822" s="151" t="s">
        <v>563</v>
      </c>
      <c r="I12822" t="s">
        <v>16</v>
      </c>
    </row>
    <row r="12823" spans="1:9" x14ac:dyDescent="0.25">
      <c r="A12823" s="151">
        <v>1838</v>
      </c>
      <c r="B12823" s="151">
        <f>A12823+1</f>
        <v>1839</v>
      </c>
      <c r="C12823" s="151" t="s">
        <v>544</v>
      </c>
      <c r="D12823" s="151" t="s">
        <v>27</v>
      </c>
      <c r="E12823" s="208" t="s">
        <v>127</v>
      </c>
      <c r="F12823" t="s">
        <v>7</v>
      </c>
      <c r="G12823" s="18">
        <v>1498</v>
      </c>
      <c r="H12823" s="151" t="s">
        <v>563</v>
      </c>
      <c r="I12823" t="s">
        <v>16</v>
      </c>
    </row>
    <row r="12824" spans="1:9" x14ac:dyDescent="0.25">
      <c r="A12824" s="151">
        <v>1838</v>
      </c>
      <c r="B12824" s="151">
        <f>A12824+1</f>
        <v>1839</v>
      </c>
      <c r="C12824" s="151" t="s">
        <v>544</v>
      </c>
      <c r="D12824" s="151" t="s">
        <v>27</v>
      </c>
      <c r="E12824" s="208" t="s">
        <v>133</v>
      </c>
      <c r="F12824" t="s">
        <v>7</v>
      </c>
      <c r="G12824" s="18">
        <v>2094</v>
      </c>
      <c r="H12824" s="151" t="s">
        <v>563</v>
      </c>
      <c r="I12824" t="s">
        <v>16</v>
      </c>
    </row>
    <row r="12825" spans="1:9" x14ac:dyDescent="0.25">
      <c r="A12825" s="151">
        <v>1838</v>
      </c>
      <c r="B12825" s="151">
        <f>A12825+1</f>
        <v>1839</v>
      </c>
      <c r="C12825" s="151" t="s">
        <v>544</v>
      </c>
      <c r="D12825" s="151" t="s">
        <v>27</v>
      </c>
      <c r="E12825" s="208" t="s">
        <v>74</v>
      </c>
      <c r="F12825" t="s">
        <v>7</v>
      </c>
      <c r="G12825" s="18">
        <v>1345</v>
      </c>
      <c r="H12825" s="151" t="s">
        <v>563</v>
      </c>
      <c r="I12825" t="s">
        <v>16</v>
      </c>
    </row>
    <row r="12826" spans="1:9" x14ac:dyDescent="0.25">
      <c r="A12826" s="151">
        <v>1838</v>
      </c>
      <c r="B12826" s="151">
        <f>A12826+1</f>
        <v>1839</v>
      </c>
      <c r="C12826" s="151" t="s">
        <v>544</v>
      </c>
      <c r="D12826" s="151" t="s">
        <v>27</v>
      </c>
      <c r="E12826" s="208" t="s">
        <v>129</v>
      </c>
      <c r="F12826" t="s">
        <v>7</v>
      </c>
      <c r="G12826" s="18">
        <v>350</v>
      </c>
      <c r="H12826" s="151" t="s">
        <v>563</v>
      </c>
      <c r="I12826" t="s">
        <v>16</v>
      </c>
    </row>
    <row r="12827" spans="1:9" x14ac:dyDescent="0.25">
      <c r="A12827" s="151">
        <v>1838</v>
      </c>
      <c r="B12827" s="151">
        <f>A12827+1</f>
        <v>1839</v>
      </c>
      <c r="C12827" s="151" t="s">
        <v>544</v>
      </c>
      <c r="D12827" s="151" t="s">
        <v>27</v>
      </c>
      <c r="E12827" s="208" t="s">
        <v>141</v>
      </c>
      <c r="F12827" t="s">
        <v>7</v>
      </c>
      <c r="G12827" s="18">
        <v>67</v>
      </c>
      <c r="H12827" s="151" t="s">
        <v>563</v>
      </c>
      <c r="I12827" t="s">
        <v>16</v>
      </c>
    </row>
    <row r="12828" spans="1:9" x14ac:dyDescent="0.25">
      <c r="A12828" s="151">
        <v>1838</v>
      </c>
      <c r="B12828" s="151">
        <f>A12828+1</f>
        <v>1839</v>
      </c>
      <c r="C12828" s="151" t="s">
        <v>544</v>
      </c>
      <c r="D12828" s="151" t="s">
        <v>27</v>
      </c>
      <c r="E12828" s="208" t="s">
        <v>135</v>
      </c>
      <c r="F12828" t="s">
        <v>7</v>
      </c>
      <c r="G12828" s="18">
        <v>179</v>
      </c>
      <c r="H12828" s="151" t="s">
        <v>563</v>
      </c>
      <c r="I12828" t="s">
        <v>16</v>
      </c>
    </row>
    <row r="12829" spans="1:9" x14ac:dyDescent="0.25">
      <c r="A12829" s="151">
        <v>1838</v>
      </c>
      <c r="B12829" s="151">
        <f>A12829+1</f>
        <v>1839</v>
      </c>
      <c r="C12829" s="151" t="s">
        <v>544</v>
      </c>
      <c r="D12829" s="151" t="s">
        <v>27</v>
      </c>
      <c r="E12829" s="208" t="s">
        <v>128</v>
      </c>
      <c r="F12829" t="s">
        <v>7</v>
      </c>
      <c r="G12829" s="18">
        <v>50</v>
      </c>
      <c r="H12829" s="151" t="s">
        <v>563</v>
      </c>
      <c r="I12829" t="s">
        <v>16</v>
      </c>
    </row>
    <row r="12830" spans="1:9" x14ac:dyDescent="0.25">
      <c r="A12830" s="151">
        <v>1838</v>
      </c>
      <c r="B12830" s="151">
        <f>A12830+1</f>
        <v>1839</v>
      </c>
      <c r="C12830" s="151" t="s">
        <v>544</v>
      </c>
      <c r="D12830" s="151" t="s">
        <v>27</v>
      </c>
      <c r="E12830" s="208" t="s">
        <v>78</v>
      </c>
      <c r="F12830" t="s">
        <v>7</v>
      </c>
      <c r="G12830" s="18">
        <v>64</v>
      </c>
      <c r="H12830" s="151" t="s">
        <v>563</v>
      </c>
      <c r="I12830" t="s">
        <v>16</v>
      </c>
    </row>
    <row r="12831" spans="1:9" x14ac:dyDescent="0.25">
      <c r="A12831" s="151">
        <v>1838</v>
      </c>
      <c r="B12831" s="151">
        <f>A12831+1</f>
        <v>1839</v>
      </c>
      <c r="C12831" s="151" t="s">
        <v>544</v>
      </c>
      <c r="D12831" s="151" t="s">
        <v>27</v>
      </c>
      <c r="E12831" s="208" t="s">
        <v>119</v>
      </c>
      <c r="F12831" t="s">
        <v>7</v>
      </c>
      <c r="G12831" s="18">
        <v>36</v>
      </c>
      <c r="H12831" s="151" t="s">
        <v>563</v>
      </c>
      <c r="I12831" t="s">
        <v>16</v>
      </c>
    </row>
    <row r="12832" spans="1:9" x14ac:dyDescent="0.25">
      <c r="A12832" s="151">
        <v>1838</v>
      </c>
      <c r="B12832" s="151">
        <f>A12832+1</f>
        <v>1839</v>
      </c>
      <c r="C12832" s="151" t="s">
        <v>544</v>
      </c>
      <c r="D12832" s="151" t="s">
        <v>27</v>
      </c>
      <c r="E12832" s="208" t="s">
        <v>134</v>
      </c>
      <c r="F12832" t="s">
        <v>7</v>
      </c>
      <c r="G12832" s="18">
        <v>162</v>
      </c>
      <c r="H12832" s="151" t="s">
        <v>563</v>
      </c>
      <c r="I12832" t="s">
        <v>16</v>
      </c>
    </row>
    <row r="12833" spans="1:9" x14ac:dyDescent="0.25">
      <c r="A12833" s="151">
        <v>1838</v>
      </c>
      <c r="B12833" s="151">
        <f>A12833+1</f>
        <v>1839</v>
      </c>
      <c r="C12833" s="151" t="s">
        <v>544</v>
      </c>
      <c r="D12833" s="151" t="s">
        <v>26</v>
      </c>
      <c r="E12833" s="208" t="s">
        <v>34</v>
      </c>
      <c r="F12833" t="s">
        <v>7</v>
      </c>
      <c r="G12833" s="18">
        <v>13197</v>
      </c>
      <c r="H12833" s="151" t="s">
        <v>563</v>
      </c>
      <c r="I12833" t="s">
        <v>16</v>
      </c>
    </row>
    <row r="12834" spans="1:9" x14ac:dyDescent="0.25">
      <c r="A12834" s="151">
        <v>1838</v>
      </c>
      <c r="B12834" s="151">
        <f>A12834+1</f>
        <v>1839</v>
      </c>
      <c r="C12834" s="151" t="s">
        <v>544</v>
      </c>
      <c r="D12834" s="151" t="s">
        <v>26</v>
      </c>
      <c r="E12834" s="208" t="s">
        <v>63</v>
      </c>
      <c r="F12834" t="s">
        <v>7</v>
      </c>
      <c r="G12834" s="18">
        <v>7515</v>
      </c>
      <c r="H12834" s="151" t="s">
        <v>563</v>
      </c>
      <c r="I12834" t="s">
        <v>16</v>
      </c>
    </row>
    <row r="12835" spans="1:9" x14ac:dyDescent="0.25">
      <c r="A12835" s="151">
        <v>1838</v>
      </c>
      <c r="B12835" s="151">
        <f>A12835+1</f>
        <v>1839</v>
      </c>
      <c r="C12835" s="151" t="s">
        <v>544</v>
      </c>
      <c r="D12835" s="151" t="s">
        <v>26</v>
      </c>
      <c r="E12835" s="208" t="s">
        <v>62</v>
      </c>
      <c r="F12835" t="s">
        <v>7</v>
      </c>
      <c r="G12835" s="18">
        <v>48000</v>
      </c>
      <c r="H12835" s="151" t="s">
        <v>563</v>
      </c>
      <c r="I12835" t="s">
        <v>16</v>
      </c>
    </row>
    <row r="12836" spans="1:9" x14ac:dyDescent="0.25">
      <c r="A12836" s="151">
        <v>1838</v>
      </c>
      <c r="B12836" s="151">
        <f>A12836+1</f>
        <v>1839</v>
      </c>
      <c r="C12836" s="151" t="s">
        <v>544</v>
      </c>
      <c r="D12836" s="151" t="s">
        <v>26</v>
      </c>
      <c r="E12836" s="208" t="s">
        <v>55</v>
      </c>
      <c r="F12836" t="s">
        <v>7</v>
      </c>
      <c r="G12836" s="18">
        <v>4996</v>
      </c>
      <c r="H12836" s="151" t="s">
        <v>563</v>
      </c>
      <c r="I12836" t="s">
        <v>16</v>
      </c>
    </row>
    <row r="12837" spans="1:9" x14ac:dyDescent="0.25">
      <c r="A12837" s="151">
        <v>1838</v>
      </c>
      <c r="B12837" s="151">
        <f>A12837+1</f>
        <v>1839</v>
      </c>
      <c r="C12837" s="151" t="s">
        <v>544</v>
      </c>
      <c r="D12837" s="151" t="s">
        <v>26</v>
      </c>
      <c r="E12837" s="208" t="s">
        <v>36</v>
      </c>
      <c r="F12837" t="s">
        <v>7</v>
      </c>
      <c r="G12837" s="18">
        <v>7464</v>
      </c>
      <c r="H12837" s="151" t="s">
        <v>563</v>
      </c>
      <c r="I12837" t="s">
        <v>16</v>
      </c>
    </row>
    <row r="12838" spans="1:9" x14ac:dyDescent="0.25">
      <c r="A12838" s="151">
        <v>1838</v>
      </c>
      <c r="B12838" s="151">
        <f>A12838+1</f>
        <v>1839</v>
      </c>
      <c r="C12838" s="151" t="s">
        <v>544</v>
      </c>
      <c r="D12838" s="151" t="s">
        <v>26</v>
      </c>
      <c r="E12838" s="208" t="s">
        <v>35</v>
      </c>
      <c r="F12838" t="s">
        <v>7</v>
      </c>
      <c r="G12838" s="18">
        <v>573</v>
      </c>
      <c r="H12838" s="151" t="s">
        <v>563</v>
      </c>
      <c r="I12838" t="s">
        <v>16</v>
      </c>
    </row>
    <row r="12839" spans="1:9" x14ac:dyDescent="0.25">
      <c r="A12839" s="151">
        <v>1838</v>
      </c>
      <c r="B12839" s="151">
        <f>A12839+1</f>
        <v>1839</v>
      </c>
      <c r="C12839" s="151" t="s">
        <v>544</v>
      </c>
      <c r="D12839" s="151" t="s">
        <v>26</v>
      </c>
      <c r="E12839" s="208" t="s">
        <v>40</v>
      </c>
      <c r="F12839" t="s">
        <v>7</v>
      </c>
      <c r="G12839" s="18">
        <v>1120</v>
      </c>
      <c r="H12839" s="151" t="s">
        <v>563</v>
      </c>
      <c r="I12839" t="s">
        <v>16</v>
      </c>
    </row>
    <row r="12840" spans="1:9" x14ac:dyDescent="0.25">
      <c r="A12840" s="151">
        <v>1838</v>
      </c>
      <c r="B12840" s="151">
        <f>A12840+1</f>
        <v>1839</v>
      </c>
      <c r="C12840" s="151" t="s">
        <v>544</v>
      </c>
      <c r="D12840" s="151" t="s">
        <v>26</v>
      </c>
      <c r="E12840" s="208" t="s">
        <v>96</v>
      </c>
      <c r="F12840" t="s">
        <v>7</v>
      </c>
      <c r="G12840" s="18">
        <v>6647</v>
      </c>
      <c r="H12840" t="s">
        <v>17</v>
      </c>
      <c r="I12840" s="151" t="s">
        <v>562</v>
      </c>
    </row>
    <row r="12841" spans="1:9" x14ac:dyDescent="0.25">
      <c r="A12841" s="151">
        <v>1838</v>
      </c>
      <c r="B12841" s="151">
        <f>A12841+1</f>
        <v>1839</v>
      </c>
      <c r="C12841" s="151" t="s">
        <v>544</v>
      </c>
      <c r="D12841" s="151" t="s">
        <v>26</v>
      </c>
      <c r="E12841" s="208" t="s">
        <v>98</v>
      </c>
      <c r="F12841" t="s">
        <v>7</v>
      </c>
      <c r="G12841" s="18">
        <v>6064</v>
      </c>
      <c r="H12841" t="s">
        <v>17</v>
      </c>
      <c r="I12841" s="151" t="s">
        <v>562</v>
      </c>
    </row>
    <row r="12842" spans="1:9" x14ac:dyDescent="0.25">
      <c r="A12842" s="151">
        <v>1838</v>
      </c>
      <c r="B12842" s="151">
        <f>A12842+1</f>
        <v>1839</v>
      </c>
      <c r="C12842" s="151" t="s">
        <v>544</v>
      </c>
      <c r="D12842" s="151" t="s">
        <v>26</v>
      </c>
      <c r="E12842" s="208" t="s">
        <v>52</v>
      </c>
      <c r="F12842" t="s">
        <v>7</v>
      </c>
      <c r="G12842" s="18">
        <v>39797</v>
      </c>
      <c r="H12842" t="s">
        <v>17</v>
      </c>
      <c r="I12842" s="151" t="s">
        <v>562</v>
      </c>
    </row>
    <row r="12843" spans="1:9" x14ac:dyDescent="0.25">
      <c r="A12843" s="151">
        <v>1838</v>
      </c>
      <c r="B12843" s="151">
        <f>A12843+1</f>
        <v>1839</v>
      </c>
      <c r="C12843" s="151" t="s">
        <v>544</v>
      </c>
      <c r="D12843" s="151" t="s">
        <v>26</v>
      </c>
      <c r="E12843" s="208" t="s">
        <v>105</v>
      </c>
      <c r="F12843" t="s">
        <v>7</v>
      </c>
      <c r="G12843" s="18">
        <v>491949</v>
      </c>
      <c r="H12843" t="s">
        <v>17</v>
      </c>
      <c r="I12843" s="151" t="s">
        <v>562</v>
      </c>
    </row>
    <row r="12844" spans="1:9" x14ac:dyDescent="0.25">
      <c r="A12844" s="151">
        <v>1838</v>
      </c>
      <c r="B12844" s="151">
        <f>A12844+1</f>
        <v>1839</v>
      </c>
      <c r="C12844" s="151" t="s">
        <v>544</v>
      </c>
      <c r="D12844" s="151" t="s">
        <v>26</v>
      </c>
      <c r="E12844" s="208" t="s">
        <v>106</v>
      </c>
      <c r="F12844" t="s">
        <v>7</v>
      </c>
      <c r="G12844" s="18">
        <v>429792</v>
      </c>
      <c r="H12844" t="s">
        <v>17</v>
      </c>
      <c r="I12844" s="151" t="s">
        <v>562</v>
      </c>
    </row>
    <row r="12845" spans="1:9" x14ac:dyDescent="0.25">
      <c r="A12845" s="151">
        <v>1838</v>
      </c>
      <c r="B12845" s="151">
        <f>A12845+1</f>
        <v>1839</v>
      </c>
      <c r="C12845" s="151" t="s">
        <v>544</v>
      </c>
      <c r="D12845" s="151" t="s">
        <v>26</v>
      </c>
      <c r="E12845" s="208" t="s">
        <v>101</v>
      </c>
      <c r="F12845" t="s">
        <v>7</v>
      </c>
      <c r="G12845" s="18">
        <v>3315450</v>
      </c>
      <c r="H12845" t="s">
        <v>17</v>
      </c>
      <c r="I12845" s="151" t="s">
        <v>562</v>
      </c>
    </row>
    <row r="12846" spans="1:9" x14ac:dyDescent="0.25">
      <c r="A12846" s="151">
        <v>1838</v>
      </c>
      <c r="B12846" s="151">
        <f>A12846+1</f>
        <v>1839</v>
      </c>
      <c r="C12846" s="151" t="s">
        <v>544</v>
      </c>
      <c r="D12846" s="151" t="s">
        <v>26</v>
      </c>
      <c r="E12846" s="208" t="s">
        <v>75</v>
      </c>
      <c r="F12846" t="s">
        <v>7</v>
      </c>
      <c r="G12846" s="18">
        <v>3617474</v>
      </c>
      <c r="H12846" t="s">
        <v>17</v>
      </c>
      <c r="I12846" s="151" t="s">
        <v>562</v>
      </c>
    </row>
    <row r="12847" spans="1:9" x14ac:dyDescent="0.25">
      <c r="A12847" s="151">
        <v>1838</v>
      </c>
      <c r="B12847" s="151">
        <f>A12847+1</f>
        <v>1839</v>
      </c>
      <c r="C12847" s="151" t="s">
        <v>544</v>
      </c>
      <c r="D12847" s="151" t="s">
        <v>26</v>
      </c>
      <c r="E12847" s="208" t="s">
        <v>66</v>
      </c>
      <c r="F12847" t="s">
        <v>7</v>
      </c>
      <c r="G12847" s="18">
        <v>356950</v>
      </c>
      <c r="H12847" t="s">
        <v>17</v>
      </c>
      <c r="I12847" s="151" t="s">
        <v>562</v>
      </c>
    </row>
    <row r="12848" spans="1:9" x14ac:dyDescent="0.25">
      <c r="A12848" s="151">
        <v>1838</v>
      </c>
      <c r="B12848" s="151">
        <f>A12848+1</f>
        <v>1839</v>
      </c>
      <c r="C12848" s="151" t="s">
        <v>544</v>
      </c>
      <c r="D12848" s="151" t="s">
        <v>26</v>
      </c>
      <c r="E12848" s="208" t="s">
        <v>28</v>
      </c>
      <c r="F12848" t="s">
        <v>7</v>
      </c>
      <c r="G12848" s="18">
        <v>5289</v>
      </c>
      <c r="H12848" t="s">
        <v>17</v>
      </c>
      <c r="I12848" s="151" t="s">
        <v>562</v>
      </c>
    </row>
    <row r="12849" spans="1:9" x14ac:dyDescent="0.25">
      <c r="A12849" s="151">
        <v>1838</v>
      </c>
      <c r="B12849" s="151">
        <f>A12849+1</f>
        <v>1839</v>
      </c>
      <c r="C12849" s="151" t="s">
        <v>544</v>
      </c>
      <c r="D12849" s="151" t="s">
        <v>26</v>
      </c>
      <c r="E12849" s="208" t="s">
        <v>89</v>
      </c>
      <c r="F12849" t="s">
        <v>7</v>
      </c>
      <c r="G12849" s="18">
        <v>10286</v>
      </c>
      <c r="H12849" t="s">
        <v>17</v>
      </c>
      <c r="I12849" s="151" t="s">
        <v>562</v>
      </c>
    </row>
    <row r="12850" spans="1:9" x14ac:dyDescent="0.25">
      <c r="A12850" s="151">
        <v>1838</v>
      </c>
      <c r="B12850" s="151">
        <f>A12850+1</f>
        <v>1839</v>
      </c>
      <c r="C12850" s="151" t="s">
        <v>544</v>
      </c>
      <c r="D12850" s="151" t="s">
        <v>26</v>
      </c>
      <c r="E12850" s="208" t="s">
        <v>450</v>
      </c>
      <c r="F12850" t="s">
        <v>7</v>
      </c>
      <c r="G12850" s="18">
        <v>12607</v>
      </c>
      <c r="H12850" t="s">
        <v>17</v>
      </c>
      <c r="I12850" s="151" t="s">
        <v>562</v>
      </c>
    </row>
    <row r="12851" spans="1:9" x14ac:dyDescent="0.25">
      <c r="A12851" s="151">
        <v>1838</v>
      </c>
      <c r="B12851" s="151">
        <f>A12851+1</f>
        <v>1839</v>
      </c>
      <c r="C12851" s="151" t="s">
        <v>544</v>
      </c>
      <c r="D12851" s="151" t="s">
        <v>26</v>
      </c>
      <c r="E12851" s="208" t="s">
        <v>48</v>
      </c>
      <c r="F12851" t="s">
        <v>7</v>
      </c>
      <c r="G12851" s="18">
        <v>19023</v>
      </c>
      <c r="H12851" t="s">
        <v>17</v>
      </c>
      <c r="I12851" s="151" t="s">
        <v>562</v>
      </c>
    </row>
    <row r="12852" spans="1:9" x14ac:dyDescent="0.25">
      <c r="A12852" s="151">
        <v>1838</v>
      </c>
      <c r="B12852" s="151">
        <f>A12852+1</f>
        <v>1839</v>
      </c>
      <c r="C12852" s="151" t="s">
        <v>544</v>
      </c>
      <c r="D12852" s="151" t="s">
        <v>26</v>
      </c>
      <c r="E12852" s="208" t="s">
        <v>102</v>
      </c>
      <c r="F12852" t="s">
        <v>7</v>
      </c>
      <c r="G12852" s="18">
        <v>27796</v>
      </c>
      <c r="H12852" t="s">
        <v>17</v>
      </c>
      <c r="I12852" s="151" t="s">
        <v>562</v>
      </c>
    </row>
    <row r="12853" spans="1:9" x14ac:dyDescent="0.25">
      <c r="A12853" s="151">
        <v>1838</v>
      </c>
      <c r="B12853" s="151">
        <f>A12853+1</f>
        <v>1839</v>
      </c>
      <c r="C12853" s="151" t="s">
        <v>544</v>
      </c>
      <c r="D12853" s="151" t="s">
        <v>26</v>
      </c>
      <c r="E12853" s="208" t="s">
        <v>330</v>
      </c>
      <c r="F12853" t="s">
        <v>7</v>
      </c>
      <c r="G12853" s="18">
        <v>2554</v>
      </c>
      <c r="H12853" t="s">
        <v>17</v>
      </c>
      <c r="I12853" s="151" t="s">
        <v>562</v>
      </c>
    </row>
    <row r="12854" spans="1:9" x14ac:dyDescent="0.25">
      <c r="A12854" s="151">
        <v>1838</v>
      </c>
      <c r="B12854" s="151">
        <f>A12854+1</f>
        <v>1839</v>
      </c>
      <c r="C12854" s="151" t="s">
        <v>544</v>
      </c>
      <c r="D12854" s="151" t="s">
        <v>26</v>
      </c>
      <c r="E12854" s="208" t="s">
        <v>331</v>
      </c>
      <c r="F12854" t="s">
        <v>7</v>
      </c>
      <c r="G12854" s="18">
        <v>399</v>
      </c>
      <c r="H12854" t="s">
        <v>17</v>
      </c>
      <c r="I12854" s="151" t="s">
        <v>562</v>
      </c>
    </row>
    <row r="12855" spans="1:9" x14ac:dyDescent="0.25">
      <c r="A12855" s="151">
        <v>1838</v>
      </c>
      <c r="B12855" s="151">
        <f>A12855+1</f>
        <v>1839</v>
      </c>
      <c r="C12855" s="151" t="s">
        <v>544</v>
      </c>
      <c r="D12855" s="151" t="s">
        <v>26</v>
      </c>
      <c r="E12855" s="208" t="s">
        <v>332</v>
      </c>
      <c r="F12855" t="s">
        <v>7</v>
      </c>
      <c r="G12855" s="18">
        <v>317</v>
      </c>
      <c r="H12855" t="s">
        <v>17</v>
      </c>
      <c r="I12855" s="151" t="s">
        <v>562</v>
      </c>
    </row>
    <row r="12856" spans="1:9" x14ac:dyDescent="0.25">
      <c r="A12856" s="151">
        <v>1838</v>
      </c>
      <c r="B12856" s="151">
        <f>A12856+1</f>
        <v>1839</v>
      </c>
      <c r="C12856" s="151" t="s">
        <v>544</v>
      </c>
      <c r="D12856" s="151" t="s">
        <v>26</v>
      </c>
      <c r="E12856" s="208" t="s">
        <v>333</v>
      </c>
      <c r="F12856" t="s">
        <v>7</v>
      </c>
      <c r="G12856" s="18">
        <v>1478</v>
      </c>
      <c r="H12856" t="s">
        <v>17</v>
      </c>
      <c r="I12856" s="151" t="s">
        <v>562</v>
      </c>
    </row>
    <row r="12857" spans="1:9" x14ac:dyDescent="0.25">
      <c r="A12857" s="151">
        <v>1838</v>
      </c>
      <c r="B12857" s="151">
        <f>A12857+1</f>
        <v>1839</v>
      </c>
      <c r="C12857" s="151" t="s">
        <v>544</v>
      </c>
      <c r="D12857" s="151" t="s">
        <v>27</v>
      </c>
      <c r="E12857" s="208" t="s">
        <v>155</v>
      </c>
      <c r="F12857" t="s">
        <v>14</v>
      </c>
      <c r="G12857" s="18">
        <v>38155</v>
      </c>
      <c r="H12857" t="s">
        <v>17</v>
      </c>
      <c r="I12857" s="151" t="s">
        <v>562</v>
      </c>
    </row>
    <row r="12858" spans="1:9" x14ac:dyDescent="0.25">
      <c r="A12858" s="151">
        <v>1838</v>
      </c>
      <c r="B12858" s="151">
        <f>A12858+1</f>
        <v>1839</v>
      </c>
      <c r="C12858" s="151" t="s">
        <v>544</v>
      </c>
      <c r="D12858" s="151" t="s">
        <v>27</v>
      </c>
      <c r="E12858" s="208" t="s">
        <v>156</v>
      </c>
      <c r="F12858" t="s">
        <v>14</v>
      </c>
      <c r="G12858" s="18">
        <v>5289</v>
      </c>
      <c r="H12858" t="s">
        <v>17</v>
      </c>
      <c r="I12858" s="151" t="s">
        <v>562</v>
      </c>
    </row>
    <row r="12859" spans="1:9" x14ac:dyDescent="0.25">
      <c r="A12859" s="151">
        <v>1838</v>
      </c>
      <c r="B12859" s="151">
        <f>A12859+1</f>
        <v>1839</v>
      </c>
      <c r="C12859" s="151" t="s">
        <v>544</v>
      </c>
      <c r="D12859" s="151" t="s">
        <v>27</v>
      </c>
      <c r="E12859" s="208" t="s">
        <v>154</v>
      </c>
      <c r="F12859" t="s">
        <v>14</v>
      </c>
      <c r="G12859" s="18">
        <v>963</v>
      </c>
      <c r="H12859" t="s">
        <v>17</v>
      </c>
      <c r="I12859" s="151" t="s">
        <v>562</v>
      </c>
    </row>
    <row r="12860" spans="1:9" x14ac:dyDescent="0.25">
      <c r="A12860" s="151">
        <v>1838</v>
      </c>
      <c r="B12860" s="151">
        <f>A12860+1</f>
        <v>1839</v>
      </c>
      <c r="C12860" s="151" t="s">
        <v>544</v>
      </c>
      <c r="D12860" s="151" t="s">
        <v>27</v>
      </c>
      <c r="E12860" s="208" t="s">
        <v>150</v>
      </c>
      <c r="F12860" t="s">
        <v>14</v>
      </c>
      <c r="G12860" s="18">
        <v>14087</v>
      </c>
      <c r="H12860" t="s">
        <v>17</v>
      </c>
      <c r="I12860" s="151" t="s">
        <v>562</v>
      </c>
    </row>
    <row r="12861" spans="1:9" x14ac:dyDescent="0.25">
      <c r="A12861" s="151">
        <v>1838</v>
      </c>
      <c r="B12861" s="151">
        <f>A12861+1</f>
        <v>1839</v>
      </c>
      <c r="C12861" s="151" t="s">
        <v>544</v>
      </c>
      <c r="D12861" s="151" t="s">
        <v>27</v>
      </c>
      <c r="E12861" s="208" t="s">
        <v>148</v>
      </c>
      <c r="F12861" t="s">
        <v>14</v>
      </c>
      <c r="G12861" s="18">
        <v>480</v>
      </c>
      <c r="H12861" t="s">
        <v>17</v>
      </c>
      <c r="I12861" s="151" t="s">
        <v>562</v>
      </c>
    </row>
    <row r="12862" spans="1:9" x14ac:dyDescent="0.25">
      <c r="A12862" s="151">
        <v>1838</v>
      </c>
      <c r="B12862" s="151">
        <f>A12862+1</f>
        <v>1839</v>
      </c>
      <c r="C12862" s="151" t="s">
        <v>544</v>
      </c>
      <c r="D12862" s="151" t="s">
        <v>27</v>
      </c>
      <c r="E12862" s="208" t="s">
        <v>147</v>
      </c>
      <c r="F12862" t="s">
        <v>14</v>
      </c>
      <c r="G12862" s="18">
        <v>186</v>
      </c>
      <c r="H12862" t="s">
        <v>17</v>
      </c>
      <c r="I12862" s="151" t="s">
        <v>562</v>
      </c>
    </row>
    <row r="12863" spans="1:9" x14ac:dyDescent="0.25">
      <c r="A12863" s="151">
        <v>1838</v>
      </c>
      <c r="B12863" s="151">
        <f>A12863+1</f>
        <v>1839</v>
      </c>
      <c r="C12863" s="151" t="s">
        <v>544</v>
      </c>
      <c r="D12863" s="151" t="s">
        <v>27</v>
      </c>
      <c r="E12863" s="208" t="s">
        <v>125</v>
      </c>
      <c r="F12863" t="s">
        <v>14</v>
      </c>
      <c r="G12863" s="18">
        <v>4345</v>
      </c>
      <c r="H12863" t="s">
        <v>17</v>
      </c>
      <c r="I12863" s="151" t="s">
        <v>562</v>
      </c>
    </row>
    <row r="12864" spans="1:9" x14ac:dyDescent="0.25">
      <c r="A12864" s="151">
        <v>1838</v>
      </c>
      <c r="B12864" s="151">
        <f>A12864+1</f>
        <v>1839</v>
      </c>
      <c r="C12864" s="151" t="s">
        <v>544</v>
      </c>
      <c r="D12864" s="151" t="s">
        <v>27</v>
      </c>
      <c r="E12864" s="208" t="s">
        <v>123</v>
      </c>
      <c r="F12864" t="s">
        <v>14</v>
      </c>
      <c r="G12864" s="18">
        <v>490</v>
      </c>
      <c r="H12864" t="s">
        <v>17</v>
      </c>
      <c r="I12864" s="151" t="s">
        <v>562</v>
      </c>
    </row>
    <row r="12865" spans="1:9" x14ac:dyDescent="0.25">
      <c r="A12865" s="151">
        <v>1838</v>
      </c>
      <c r="B12865" s="151">
        <f>A12865+1</f>
        <v>1839</v>
      </c>
      <c r="C12865" s="151" t="s">
        <v>544</v>
      </c>
      <c r="D12865" s="151" t="s">
        <v>27</v>
      </c>
      <c r="E12865" s="208" t="s">
        <v>122</v>
      </c>
      <c r="F12865" t="s">
        <v>14</v>
      </c>
      <c r="G12865" s="18">
        <v>372</v>
      </c>
      <c r="H12865" s="151" t="s">
        <v>563</v>
      </c>
      <c r="I12865" t="s">
        <v>17</v>
      </c>
    </row>
    <row r="12866" spans="1:9" x14ac:dyDescent="0.25">
      <c r="A12866" s="151">
        <v>1838</v>
      </c>
      <c r="B12866" s="151">
        <f>A12866+1</f>
        <v>1839</v>
      </c>
      <c r="C12866" s="151" t="s">
        <v>544</v>
      </c>
      <c r="D12866" s="151" t="s">
        <v>27</v>
      </c>
      <c r="E12866" s="208" t="s">
        <v>121</v>
      </c>
      <c r="F12866" t="s">
        <v>14</v>
      </c>
      <c r="G12866" s="18">
        <v>2</v>
      </c>
      <c r="H12866" s="151" t="s">
        <v>563</v>
      </c>
      <c r="I12866" t="s">
        <v>17</v>
      </c>
    </row>
    <row r="12867" spans="1:9" x14ac:dyDescent="0.25">
      <c r="A12867" s="151">
        <v>1838</v>
      </c>
      <c r="B12867" s="151">
        <f>A12867+1</f>
        <v>1839</v>
      </c>
      <c r="C12867" s="151" t="s">
        <v>544</v>
      </c>
      <c r="D12867" s="151" t="s">
        <v>27</v>
      </c>
      <c r="E12867" s="208" t="s">
        <v>139</v>
      </c>
      <c r="F12867" t="s">
        <v>14</v>
      </c>
      <c r="G12867" s="18">
        <v>19</v>
      </c>
      <c r="H12867" s="151" t="s">
        <v>563</v>
      </c>
      <c r="I12867" t="s">
        <v>17</v>
      </c>
    </row>
    <row r="12868" spans="1:9" x14ac:dyDescent="0.25">
      <c r="A12868" s="151">
        <v>1838</v>
      </c>
      <c r="B12868" s="151">
        <f>A12868+1</f>
        <v>1839</v>
      </c>
      <c r="C12868" s="151" t="s">
        <v>544</v>
      </c>
      <c r="D12868" s="151" t="s">
        <v>27</v>
      </c>
      <c r="E12868" s="208" t="s">
        <v>131</v>
      </c>
      <c r="F12868" t="s">
        <v>14</v>
      </c>
      <c r="G12868" s="18">
        <v>4987</v>
      </c>
      <c r="H12868" s="151" t="s">
        <v>563</v>
      </c>
      <c r="I12868" t="s">
        <v>17</v>
      </c>
    </row>
    <row r="12869" spans="1:9" x14ac:dyDescent="0.25">
      <c r="A12869" s="151">
        <v>1838</v>
      </c>
      <c r="B12869" s="151">
        <f>A12869+1</f>
        <v>1839</v>
      </c>
      <c r="C12869" s="151" t="s">
        <v>544</v>
      </c>
      <c r="D12869" s="151" t="s">
        <v>27</v>
      </c>
      <c r="E12869" s="208" t="s">
        <v>130</v>
      </c>
      <c r="F12869" t="s">
        <v>14</v>
      </c>
      <c r="G12869" s="18">
        <v>341</v>
      </c>
      <c r="H12869" s="151" t="s">
        <v>563</v>
      </c>
      <c r="I12869" t="s">
        <v>17</v>
      </c>
    </row>
    <row r="12870" spans="1:9" x14ac:dyDescent="0.25">
      <c r="A12870" s="151">
        <v>1838</v>
      </c>
      <c r="B12870" s="151">
        <f>A12870+1</f>
        <v>1839</v>
      </c>
      <c r="C12870" s="151" t="s">
        <v>544</v>
      </c>
      <c r="D12870" s="151" t="s">
        <v>27</v>
      </c>
      <c r="E12870" s="208" t="s">
        <v>143</v>
      </c>
      <c r="F12870" t="s">
        <v>14</v>
      </c>
      <c r="G12870" s="18">
        <v>182</v>
      </c>
      <c r="H12870" s="151" t="s">
        <v>563</v>
      </c>
      <c r="I12870" t="s">
        <v>17</v>
      </c>
    </row>
    <row r="12871" spans="1:9" x14ac:dyDescent="0.25">
      <c r="A12871" s="151">
        <v>1838</v>
      </c>
      <c r="B12871" s="151">
        <f>A12871+1</f>
        <v>1839</v>
      </c>
      <c r="C12871" s="151" t="s">
        <v>544</v>
      </c>
      <c r="D12871" s="151" t="s">
        <v>27</v>
      </c>
      <c r="E12871" s="208" t="s">
        <v>142</v>
      </c>
      <c r="F12871" t="s">
        <v>14</v>
      </c>
      <c r="G12871" s="18">
        <v>19704</v>
      </c>
      <c r="H12871" s="151" t="s">
        <v>563</v>
      </c>
      <c r="I12871" t="s">
        <v>17</v>
      </c>
    </row>
    <row r="12872" spans="1:9" x14ac:dyDescent="0.25">
      <c r="A12872" s="151">
        <v>1838</v>
      </c>
      <c r="B12872" s="151">
        <f>A12872+1</f>
        <v>1839</v>
      </c>
      <c r="C12872" s="151" t="s">
        <v>544</v>
      </c>
      <c r="D12872" s="151" t="s">
        <v>27</v>
      </c>
      <c r="E12872" s="208" t="s">
        <v>127</v>
      </c>
      <c r="F12872" t="s">
        <v>14</v>
      </c>
      <c r="G12872" s="18">
        <v>5</v>
      </c>
      <c r="H12872" s="151" t="s">
        <v>563</v>
      </c>
      <c r="I12872" t="s">
        <v>17</v>
      </c>
    </row>
    <row r="12873" spans="1:9" x14ac:dyDescent="0.25">
      <c r="A12873" s="151">
        <v>1838</v>
      </c>
      <c r="B12873" s="151">
        <f>A12873+1</f>
        <v>1839</v>
      </c>
      <c r="C12873" s="151" t="s">
        <v>544</v>
      </c>
      <c r="D12873" s="151" t="s">
        <v>27</v>
      </c>
      <c r="E12873" s="208" t="s">
        <v>133</v>
      </c>
      <c r="F12873" t="s">
        <v>14</v>
      </c>
      <c r="G12873" s="18">
        <v>13609</v>
      </c>
      <c r="H12873" s="151" t="s">
        <v>563</v>
      </c>
      <c r="I12873" t="s">
        <v>17</v>
      </c>
    </row>
    <row r="12874" spans="1:9" x14ac:dyDescent="0.25">
      <c r="A12874" s="151">
        <v>1838</v>
      </c>
      <c r="B12874" s="151">
        <f>A12874+1</f>
        <v>1839</v>
      </c>
      <c r="C12874" s="151" t="s">
        <v>544</v>
      </c>
      <c r="D12874" s="151" t="s">
        <v>27</v>
      </c>
      <c r="E12874" s="208" t="s">
        <v>74</v>
      </c>
      <c r="F12874" t="s">
        <v>14</v>
      </c>
      <c r="G12874" s="18">
        <v>8670</v>
      </c>
      <c r="H12874" s="151" t="s">
        <v>563</v>
      </c>
      <c r="I12874" t="s">
        <v>17</v>
      </c>
    </row>
    <row r="12875" spans="1:9" x14ac:dyDescent="0.25">
      <c r="A12875" s="151">
        <v>1838</v>
      </c>
      <c r="B12875" s="151">
        <f>A12875+1</f>
        <v>1839</v>
      </c>
      <c r="C12875" s="151" t="s">
        <v>544</v>
      </c>
      <c r="D12875" s="151" t="s">
        <v>27</v>
      </c>
      <c r="E12875" s="208" t="s">
        <v>129</v>
      </c>
      <c r="F12875" t="s">
        <v>14</v>
      </c>
      <c r="G12875" s="18">
        <v>911</v>
      </c>
      <c r="H12875" s="151" t="s">
        <v>563</v>
      </c>
      <c r="I12875" t="s">
        <v>17</v>
      </c>
    </row>
    <row r="12876" spans="1:9" x14ac:dyDescent="0.25">
      <c r="A12876" s="151">
        <v>1838</v>
      </c>
      <c r="B12876" s="151">
        <f>A12876+1</f>
        <v>1839</v>
      </c>
      <c r="C12876" s="151" t="s">
        <v>544</v>
      </c>
      <c r="D12876" s="151" t="s">
        <v>27</v>
      </c>
      <c r="E12876" s="208" t="s">
        <v>141</v>
      </c>
      <c r="F12876" t="s">
        <v>14</v>
      </c>
      <c r="G12876" s="18">
        <v>46</v>
      </c>
      <c r="H12876" s="151" t="s">
        <v>563</v>
      </c>
      <c r="I12876" t="s">
        <v>17</v>
      </c>
    </row>
    <row r="12877" spans="1:9" x14ac:dyDescent="0.25">
      <c r="A12877" s="151">
        <v>1838</v>
      </c>
      <c r="B12877" s="151">
        <f>A12877+1</f>
        <v>1839</v>
      </c>
      <c r="C12877" s="151" t="s">
        <v>544</v>
      </c>
      <c r="D12877" s="151" t="s">
        <v>27</v>
      </c>
      <c r="E12877" s="208" t="s">
        <v>135</v>
      </c>
      <c r="F12877" t="s">
        <v>14</v>
      </c>
      <c r="G12877" s="18">
        <v>85</v>
      </c>
      <c r="H12877" s="151" t="s">
        <v>563</v>
      </c>
      <c r="I12877" t="s">
        <v>17</v>
      </c>
    </row>
    <row r="12878" spans="1:9" x14ac:dyDescent="0.25">
      <c r="A12878" s="151">
        <v>1838</v>
      </c>
      <c r="B12878" s="151">
        <f>A12878+1</f>
        <v>1839</v>
      </c>
      <c r="C12878" s="151" t="s">
        <v>544</v>
      </c>
      <c r="D12878" s="151" t="s">
        <v>27</v>
      </c>
      <c r="E12878" s="208" t="s">
        <v>128</v>
      </c>
      <c r="F12878" t="s">
        <v>14</v>
      </c>
      <c r="G12878" s="18">
        <v>125</v>
      </c>
      <c r="H12878" s="151" t="s">
        <v>563</v>
      </c>
      <c r="I12878" t="s">
        <v>17</v>
      </c>
    </row>
    <row r="12879" spans="1:9" x14ac:dyDescent="0.25">
      <c r="A12879" s="151">
        <v>1838</v>
      </c>
      <c r="B12879" s="151">
        <f>A12879+1</f>
        <v>1839</v>
      </c>
      <c r="C12879" s="151" t="s">
        <v>544</v>
      </c>
      <c r="D12879" s="151" t="s">
        <v>27</v>
      </c>
      <c r="E12879" s="208" t="s">
        <v>78</v>
      </c>
      <c r="F12879" t="s">
        <v>14</v>
      </c>
      <c r="G12879" s="18">
        <v>2886</v>
      </c>
      <c r="H12879" s="151" t="s">
        <v>563</v>
      </c>
      <c r="I12879" t="s">
        <v>17</v>
      </c>
    </row>
    <row r="12880" spans="1:9" x14ac:dyDescent="0.25">
      <c r="A12880" s="151">
        <v>1838</v>
      </c>
      <c r="B12880" s="151">
        <f>A12880+1</f>
        <v>1839</v>
      </c>
      <c r="C12880" s="151" t="s">
        <v>544</v>
      </c>
      <c r="D12880" s="151" t="s">
        <v>27</v>
      </c>
      <c r="E12880" s="208" t="s">
        <v>119</v>
      </c>
      <c r="F12880" t="s">
        <v>14</v>
      </c>
      <c r="G12880" s="18">
        <v>795</v>
      </c>
      <c r="H12880" s="151" t="s">
        <v>563</v>
      </c>
      <c r="I12880" t="s">
        <v>17</v>
      </c>
    </row>
    <row r="12881" spans="1:9" x14ac:dyDescent="0.25">
      <c r="A12881" s="151">
        <v>1838</v>
      </c>
      <c r="B12881" s="151">
        <f>A12881+1</f>
        <v>1839</v>
      </c>
      <c r="C12881" s="151" t="s">
        <v>544</v>
      </c>
      <c r="D12881" s="151" t="s">
        <v>27</v>
      </c>
      <c r="E12881" s="208" t="s">
        <v>134</v>
      </c>
      <c r="F12881" t="s">
        <v>14</v>
      </c>
      <c r="G12881" s="18">
        <v>11827</v>
      </c>
      <c r="H12881" s="151" t="s">
        <v>563</v>
      </c>
      <c r="I12881" t="s">
        <v>17</v>
      </c>
    </row>
    <row r="12882" spans="1:9" x14ac:dyDescent="0.25">
      <c r="A12882" s="151">
        <v>1838</v>
      </c>
      <c r="B12882" s="151">
        <f>A12882+1</f>
        <v>1839</v>
      </c>
      <c r="C12882" s="151" t="s">
        <v>544</v>
      </c>
      <c r="D12882" s="151" t="s">
        <v>560</v>
      </c>
      <c r="E12882" s="208" t="s">
        <v>34</v>
      </c>
      <c r="F12882" t="s">
        <v>14</v>
      </c>
      <c r="G12882" s="18">
        <v>5932</v>
      </c>
      <c r="H12882" s="151" t="s">
        <v>563</v>
      </c>
      <c r="I12882" t="s">
        <v>17</v>
      </c>
    </row>
    <row r="12883" spans="1:9" x14ac:dyDescent="0.25">
      <c r="A12883" s="151">
        <v>1838</v>
      </c>
      <c r="B12883" s="151">
        <f>A12883+1</f>
        <v>1839</v>
      </c>
      <c r="C12883" s="151" t="s">
        <v>544</v>
      </c>
      <c r="D12883" s="151" t="s">
        <v>560</v>
      </c>
      <c r="E12883" s="208" t="s">
        <v>63</v>
      </c>
      <c r="F12883" t="s">
        <v>14</v>
      </c>
      <c r="G12883" s="18">
        <v>1225</v>
      </c>
      <c r="H12883" s="151" t="s">
        <v>563</v>
      </c>
      <c r="I12883" t="s">
        <v>17</v>
      </c>
    </row>
    <row r="12884" spans="1:9" x14ac:dyDescent="0.25">
      <c r="A12884" s="151">
        <v>1838</v>
      </c>
      <c r="B12884" s="151">
        <f>A12884+1</f>
        <v>1839</v>
      </c>
      <c r="C12884" s="151" t="s">
        <v>544</v>
      </c>
      <c r="D12884" s="151" t="s">
        <v>560</v>
      </c>
      <c r="E12884" s="208" t="s">
        <v>62</v>
      </c>
      <c r="F12884" t="s">
        <v>14</v>
      </c>
      <c r="G12884" s="18">
        <v>16525</v>
      </c>
      <c r="H12884" s="151" t="s">
        <v>563</v>
      </c>
      <c r="I12884" t="s">
        <v>17</v>
      </c>
    </row>
    <row r="12885" spans="1:9" x14ac:dyDescent="0.25">
      <c r="A12885" s="151">
        <v>1838</v>
      </c>
      <c r="B12885" s="151">
        <f>A12885+1</f>
        <v>1839</v>
      </c>
      <c r="C12885" s="151" t="s">
        <v>544</v>
      </c>
      <c r="D12885" s="151" t="s">
        <v>560</v>
      </c>
      <c r="E12885" s="208" t="s">
        <v>55</v>
      </c>
      <c r="F12885" t="s">
        <v>14</v>
      </c>
      <c r="G12885" s="18">
        <v>3429</v>
      </c>
      <c r="H12885" s="151" t="s">
        <v>563</v>
      </c>
      <c r="I12885" t="s">
        <v>17</v>
      </c>
    </row>
    <row r="12886" spans="1:9" x14ac:dyDescent="0.25">
      <c r="A12886" s="151">
        <v>1838</v>
      </c>
      <c r="B12886" s="151">
        <f>A12886+1</f>
        <v>1839</v>
      </c>
      <c r="C12886" s="151" t="s">
        <v>544</v>
      </c>
      <c r="D12886" s="151" t="s">
        <v>560</v>
      </c>
      <c r="E12886" s="208" t="s">
        <v>36</v>
      </c>
      <c r="F12886" t="s">
        <v>14</v>
      </c>
      <c r="G12886" s="18">
        <v>2360</v>
      </c>
      <c r="H12886" s="151" t="s">
        <v>563</v>
      </c>
      <c r="I12886" t="s">
        <v>17</v>
      </c>
    </row>
    <row r="12887" spans="1:9" x14ac:dyDescent="0.25">
      <c r="A12887" s="151">
        <v>1838</v>
      </c>
      <c r="B12887" s="151">
        <f>A12887+1</f>
        <v>1839</v>
      </c>
      <c r="C12887" s="151" t="s">
        <v>544</v>
      </c>
      <c r="D12887" s="151" t="s">
        <v>560</v>
      </c>
      <c r="E12887" s="208" t="s">
        <v>35</v>
      </c>
      <c r="F12887" t="s">
        <v>14</v>
      </c>
      <c r="G12887" s="18">
        <v>110</v>
      </c>
      <c r="H12887" s="151" t="s">
        <v>563</v>
      </c>
      <c r="I12887" t="s">
        <v>17</v>
      </c>
    </row>
    <row r="12888" spans="1:9" x14ac:dyDescent="0.25">
      <c r="A12888" s="151">
        <v>1838</v>
      </c>
      <c r="B12888" s="151">
        <f>A12888+1</f>
        <v>1839</v>
      </c>
      <c r="C12888" s="151" t="s">
        <v>544</v>
      </c>
      <c r="D12888" s="151" t="s">
        <v>560</v>
      </c>
      <c r="E12888" s="208" t="s">
        <v>40</v>
      </c>
      <c r="F12888" t="s">
        <v>14</v>
      </c>
      <c r="G12888" s="18">
        <v>168112</v>
      </c>
      <c r="H12888" s="151" t="s">
        <v>563</v>
      </c>
      <c r="I12888" t="s">
        <v>17</v>
      </c>
    </row>
    <row r="12889" spans="1:9" x14ac:dyDescent="0.25">
      <c r="A12889" s="151">
        <v>1838</v>
      </c>
      <c r="B12889" s="151">
        <f>A12889+1</f>
        <v>1839</v>
      </c>
      <c r="C12889" s="151" t="s">
        <v>544</v>
      </c>
      <c r="D12889" s="151" t="s">
        <v>560</v>
      </c>
      <c r="E12889" s="208" t="s">
        <v>96</v>
      </c>
      <c r="F12889" t="s">
        <v>14</v>
      </c>
      <c r="G12889" s="18">
        <v>1945</v>
      </c>
      <c r="H12889" t="s">
        <v>561</v>
      </c>
      <c r="I12889" s="151" t="s">
        <v>562</v>
      </c>
    </row>
    <row r="12890" spans="1:9" x14ac:dyDescent="0.25">
      <c r="A12890" s="151">
        <v>1838</v>
      </c>
      <c r="B12890" s="151">
        <f>A12890+1</f>
        <v>1839</v>
      </c>
      <c r="C12890" s="151" t="s">
        <v>544</v>
      </c>
      <c r="D12890" s="151" t="s">
        <v>560</v>
      </c>
      <c r="E12890" s="208" t="s">
        <v>98</v>
      </c>
      <c r="F12890" t="s">
        <v>14</v>
      </c>
      <c r="G12890" s="18">
        <v>441119</v>
      </c>
      <c r="H12890" t="s">
        <v>561</v>
      </c>
      <c r="I12890" s="151" t="s">
        <v>562</v>
      </c>
    </row>
    <row r="12891" spans="1:9" x14ac:dyDescent="0.25">
      <c r="A12891" s="151">
        <v>1838</v>
      </c>
      <c r="B12891" s="151">
        <f>A12891+1</f>
        <v>1839</v>
      </c>
      <c r="C12891" s="151" t="s">
        <v>544</v>
      </c>
      <c r="D12891" s="151" t="s">
        <v>560</v>
      </c>
      <c r="E12891" s="208" t="s">
        <v>52</v>
      </c>
      <c r="F12891" t="s">
        <v>14</v>
      </c>
      <c r="G12891" s="18">
        <v>9667</v>
      </c>
      <c r="H12891" t="s">
        <v>561</v>
      </c>
      <c r="I12891" s="151" t="s">
        <v>562</v>
      </c>
    </row>
    <row r="12892" spans="1:9" x14ac:dyDescent="0.25">
      <c r="A12892" s="151">
        <v>1838</v>
      </c>
      <c r="B12892" s="151">
        <f>A12892+1</f>
        <v>1839</v>
      </c>
      <c r="C12892" s="151" t="s">
        <v>544</v>
      </c>
      <c r="D12892" s="151" t="s">
        <v>560</v>
      </c>
      <c r="E12892" s="208" t="s">
        <v>105</v>
      </c>
      <c r="F12892" t="s">
        <v>14</v>
      </c>
      <c r="G12892" s="18">
        <v>1095551</v>
      </c>
      <c r="H12892" t="s">
        <v>561</v>
      </c>
      <c r="I12892" s="151" t="s">
        <v>562</v>
      </c>
    </row>
    <row r="12893" spans="1:9" x14ac:dyDescent="0.25">
      <c r="A12893" s="151">
        <v>1838</v>
      </c>
      <c r="B12893" s="151">
        <f>A12893+1</f>
        <v>1839</v>
      </c>
      <c r="C12893" s="151" t="s">
        <v>544</v>
      </c>
      <c r="D12893" s="151" t="s">
        <v>560</v>
      </c>
      <c r="E12893" s="208" t="s">
        <v>106</v>
      </c>
      <c r="F12893" t="s">
        <v>14</v>
      </c>
      <c r="G12893" s="18">
        <v>677263</v>
      </c>
      <c r="H12893" t="s">
        <v>561</v>
      </c>
      <c r="I12893" s="151" t="s">
        <v>562</v>
      </c>
    </row>
    <row r="12894" spans="1:9" x14ac:dyDescent="0.25">
      <c r="A12894" s="151">
        <v>1838</v>
      </c>
      <c r="B12894" s="151">
        <f>A12894+1</f>
        <v>1839</v>
      </c>
      <c r="C12894" s="151" t="s">
        <v>544</v>
      </c>
      <c r="D12894" s="151" t="s">
        <v>560</v>
      </c>
      <c r="E12894" s="208" t="s">
        <v>101</v>
      </c>
      <c r="F12894" t="s">
        <v>14</v>
      </c>
      <c r="G12894" s="18">
        <v>4595515</v>
      </c>
      <c r="H12894" t="s">
        <v>561</v>
      </c>
      <c r="I12894" s="151" t="s">
        <v>562</v>
      </c>
    </row>
    <row r="12895" spans="1:9" x14ac:dyDescent="0.25">
      <c r="A12895" s="151">
        <v>1838</v>
      </c>
      <c r="B12895" s="151">
        <f>A12895+1</f>
        <v>1839</v>
      </c>
      <c r="C12895" s="151" t="s">
        <v>544</v>
      </c>
      <c r="D12895" s="151" t="s">
        <v>560</v>
      </c>
      <c r="E12895" s="208" t="s">
        <v>75</v>
      </c>
      <c r="F12895" t="s">
        <v>14</v>
      </c>
      <c r="G12895" s="18">
        <v>4757297</v>
      </c>
      <c r="H12895" t="s">
        <v>561</v>
      </c>
      <c r="I12895" s="151" t="s">
        <v>562</v>
      </c>
    </row>
    <row r="12896" spans="1:9" x14ac:dyDescent="0.25">
      <c r="A12896" s="151">
        <v>1838</v>
      </c>
      <c r="B12896" s="151">
        <f>A12896+1</f>
        <v>1839</v>
      </c>
      <c r="C12896" s="151" t="s">
        <v>544</v>
      </c>
      <c r="D12896" s="151" t="s">
        <v>560</v>
      </c>
      <c r="E12896" s="208" t="s">
        <v>66</v>
      </c>
      <c r="F12896" t="s">
        <v>14</v>
      </c>
      <c r="G12896" s="18">
        <v>503337</v>
      </c>
      <c r="H12896" t="s">
        <v>561</v>
      </c>
      <c r="I12896" s="151" t="s">
        <v>562</v>
      </c>
    </row>
    <row r="12897" spans="1:9" x14ac:dyDescent="0.25">
      <c r="A12897" s="151">
        <v>1838</v>
      </c>
      <c r="B12897" s="151">
        <f>A12897+1</f>
        <v>1839</v>
      </c>
      <c r="C12897" s="151" t="s">
        <v>544</v>
      </c>
      <c r="D12897" s="151" t="s">
        <v>560</v>
      </c>
      <c r="E12897" s="208" t="s">
        <v>28</v>
      </c>
      <c r="F12897" t="s">
        <v>14</v>
      </c>
      <c r="G12897" s="18">
        <v>1259</v>
      </c>
      <c r="H12897" t="s">
        <v>561</v>
      </c>
      <c r="I12897" s="151" t="s">
        <v>562</v>
      </c>
    </row>
    <row r="12898" spans="1:9" x14ac:dyDescent="0.25">
      <c r="A12898" s="151">
        <v>1838</v>
      </c>
      <c r="B12898" s="151">
        <f>A12898+1</f>
        <v>1839</v>
      </c>
      <c r="C12898" s="151" t="s">
        <v>544</v>
      </c>
      <c r="D12898" s="151" t="s">
        <v>560</v>
      </c>
      <c r="E12898" s="208" t="s">
        <v>89</v>
      </c>
      <c r="F12898" t="s">
        <v>14</v>
      </c>
      <c r="G12898" s="18">
        <v>4367</v>
      </c>
      <c r="H12898" t="s">
        <v>561</v>
      </c>
      <c r="I12898" s="151" t="s">
        <v>562</v>
      </c>
    </row>
    <row r="12899" spans="1:9" x14ac:dyDescent="0.25">
      <c r="A12899" s="151">
        <v>1838</v>
      </c>
      <c r="B12899" s="151">
        <f>A12899+1</f>
        <v>1839</v>
      </c>
      <c r="C12899" s="151" t="s">
        <v>544</v>
      </c>
      <c r="D12899" s="151" t="s">
        <v>560</v>
      </c>
      <c r="E12899" s="208" t="s">
        <v>450</v>
      </c>
      <c r="F12899" t="s">
        <v>14</v>
      </c>
      <c r="G12899" s="18">
        <v>3229</v>
      </c>
      <c r="H12899" t="s">
        <v>561</v>
      </c>
      <c r="I12899" s="151" t="s">
        <v>562</v>
      </c>
    </row>
    <row r="12900" spans="1:9" x14ac:dyDescent="0.25">
      <c r="A12900" s="151">
        <v>1838</v>
      </c>
      <c r="B12900" s="151">
        <f>A12900+1</f>
        <v>1839</v>
      </c>
      <c r="C12900" s="151" t="s">
        <v>544</v>
      </c>
      <c r="D12900" s="151" t="s">
        <v>560</v>
      </c>
      <c r="E12900" s="208" t="s">
        <v>48</v>
      </c>
      <c r="F12900" t="s">
        <v>14</v>
      </c>
      <c r="G12900" s="18">
        <v>3849</v>
      </c>
      <c r="H12900" t="s">
        <v>561</v>
      </c>
      <c r="I12900" s="151" t="s">
        <v>562</v>
      </c>
    </row>
    <row r="12901" spans="1:9" x14ac:dyDescent="0.25">
      <c r="A12901" s="151">
        <v>1838</v>
      </c>
      <c r="B12901" s="151">
        <f>A12901+1</f>
        <v>1839</v>
      </c>
      <c r="C12901" s="151" t="s">
        <v>544</v>
      </c>
      <c r="D12901" s="151" t="s">
        <v>560</v>
      </c>
      <c r="E12901" s="208" t="s">
        <v>102</v>
      </c>
      <c r="F12901" t="s">
        <v>14</v>
      </c>
      <c r="G12901" s="18">
        <v>5781</v>
      </c>
      <c r="H12901" t="s">
        <v>561</v>
      </c>
      <c r="I12901" s="151" t="s">
        <v>562</v>
      </c>
    </row>
    <row r="12902" spans="1:9" x14ac:dyDescent="0.25">
      <c r="A12902" s="151">
        <v>1838</v>
      </c>
      <c r="B12902" s="151">
        <f>A12902+1</f>
        <v>1839</v>
      </c>
      <c r="C12902" s="151" t="s">
        <v>544</v>
      </c>
      <c r="D12902" s="151" t="s">
        <v>560</v>
      </c>
      <c r="E12902" s="208" t="s">
        <v>330</v>
      </c>
      <c r="F12902" t="s">
        <v>14</v>
      </c>
      <c r="G12902" s="18">
        <v>2356</v>
      </c>
      <c r="H12902" t="s">
        <v>561</v>
      </c>
      <c r="I12902" s="151" t="s">
        <v>562</v>
      </c>
    </row>
    <row r="12903" spans="1:9" x14ac:dyDescent="0.25">
      <c r="A12903" s="151">
        <v>1838</v>
      </c>
      <c r="B12903" s="151">
        <f>A12903+1</f>
        <v>1839</v>
      </c>
      <c r="C12903" s="151" t="s">
        <v>544</v>
      </c>
      <c r="D12903" s="151" t="s">
        <v>560</v>
      </c>
      <c r="E12903" s="208" t="s">
        <v>331</v>
      </c>
      <c r="F12903" t="s">
        <v>14</v>
      </c>
      <c r="G12903" s="18">
        <v>230</v>
      </c>
      <c r="H12903" t="s">
        <v>561</v>
      </c>
      <c r="I12903" s="151" t="s">
        <v>562</v>
      </c>
    </row>
    <row r="12904" spans="1:9" x14ac:dyDescent="0.25">
      <c r="A12904" s="151">
        <v>1838</v>
      </c>
      <c r="B12904" s="151">
        <f>A12904+1</f>
        <v>1839</v>
      </c>
      <c r="C12904" s="151" t="s">
        <v>544</v>
      </c>
      <c r="D12904" s="151" t="s">
        <v>560</v>
      </c>
      <c r="E12904" s="208" t="s">
        <v>332</v>
      </c>
      <c r="F12904" t="s">
        <v>14</v>
      </c>
      <c r="G12904" s="18">
        <v>7</v>
      </c>
      <c r="H12904" t="s">
        <v>561</v>
      </c>
      <c r="I12904" s="151" t="s">
        <v>562</v>
      </c>
    </row>
    <row r="12905" spans="1:9" x14ac:dyDescent="0.25">
      <c r="A12905" s="151">
        <v>1838</v>
      </c>
      <c r="B12905" s="151">
        <f>A12905+1</f>
        <v>1839</v>
      </c>
      <c r="C12905" s="151" t="s">
        <v>544</v>
      </c>
      <c r="D12905" s="151" t="s">
        <v>560</v>
      </c>
      <c r="E12905" s="208" t="s">
        <v>333</v>
      </c>
      <c r="F12905" t="s">
        <v>14</v>
      </c>
      <c r="G12905" s="18">
        <v>298</v>
      </c>
      <c r="H12905" t="s">
        <v>561</v>
      </c>
      <c r="I12905" s="151" t="s">
        <v>562</v>
      </c>
    </row>
    <row r="12906" spans="1:9" x14ac:dyDescent="0.25">
      <c r="A12906" s="151">
        <v>1838</v>
      </c>
      <c r="B12906" s="151">
        <f>A12906+1</f>
        <v>1839</v>
      </c>
      <c r="C12906" s="151" t="s">
        <v>544</v>
      </c>
      <c r="D12906" s="151" t="s">
        <v>27</v>
      </c>
      <c r="E12906" s="208" t="s">
        <v>155</v>
      </c>
      <c r="F12906" t="s">
        <v>15</v>
      </c>
      <c r="G12906" s="18">
        <v>42219</v>
      </c>
      <c r="H12906" t="s">
        <v>561</v>
      </c>
      <c r="I12906" s="151" t="s">
        <v>562</v>
      </c>
    </row>
    <row r="12907" spans="1:9" x14ac:dyDescent="0.25">
      <c r="A12907" s="151">
        <v>1838</v>
      </c>
      <c r="B12907" s="151">
        <f>A12907+1</f>
        <v>1839</v>
      </c>
      <c r="C12907" s="151" t="s">
        <v>544</v>
      </c>
      <c r="D12907" s="151" t="s">
        <v>27</v>
      </c>
      <c r="E12907" s="208" t="s">
        <v>156</v>
      </c>
      <c r="F12907" t="s">
        <v>15</v>
      </c>
      <c r="G12907" s="18">
        <v>5962</v>
      </c>
      <c r="H12907" t="s">
        <v>561</v>
      </c>
      <c r="I12907" s="151" t="s">
        <v>562</v>
      </c>
    </row>
    <row r="12908" spans="1:9" x14ac:dyDescent="0.25">
      <c r="A12908" s="151">
        <v>1838</v>
      </c>
      <c r="B12908" s="151">
        <f>A12908+1</f>
        <v>1839</v>
      </c>
      <c r="C12908" s="151" t="s">
        <v>544</v>
      </c>
      <c r="D12908" s="151" t="s">
        <v>27</v>
      </c>
      <c r="E12908" s="208" t="s">
        <v>154</v>
      </c>
      <c r="F12908" t="s">
        <v>15</v>
      </c>
      <c r="G12908" s="18">
        <v>1589</v>
      </c>
      <c r="H12908" t="s">
        <v>561</v>
      </c>
      <c r="I12908" s="151" t="s">
        <v>562</v>
      </c>
    </row>
    <row r="12909" spans="1:9" x14ac:dyDescent="0.25">
      <c r="A12909" s="151">
        <v>1838</v>
      </c>
      <c r="B12909" s="151">
        <f>A12909+1</f>
        <v>1839</v>
      </c>
      <c r="C12909" s="151" t="s">
        <v>544</v>
      </c>
      <c r="D12909" s="151" t="s">
        <v>27</v>
      </c>
      <c r="E12909" s="208" t="s">
        <v>150</v>
      </c>
      <c r="F12909" t="s">
        <v>15</v>
      </c>
      <c r="G12909" s="18">
        <v>15479</v>
      </c>
      <c r="H12909" t="s">
        <v>561</v>
      </c>
      <c r="I12909" s="151" t="s">
        <v>562</v>
      </c>
    </row>
    <row r="12910" spans="1:9" x14ac:dyDescent="0.25">
      <c r="A12910" s="151">
        <v>1838</v>
      </c>
      <c r="B12910" s="151">
        <f>A12910+1</f>
        <v>1839</v>
      </c>
      <c r="C12910" s="151" t="s">
        <v>544</v>
      </c>
      <c r="D12910" s="151" t="s">
        <v>27</v>
      </c>
      <c r="E12910" s="208" t="s">
        <v>148</v>
      </c>
      <c r="F12910" t="s">
        <v>15</v>
      </c>
      <c r="G12910" s="18">
        <v>700</v>
      </c>
      <c r="H12910" t="s">
        <v>561</v>
      </c>
      <c r="I12910" s="151" t="s">
        <v>562</v>
      </c>
    </row>
    <row r="12911" spans="1:9" x14ac:dyDescent="0.25">
      <c r="A12911" s="151">
        <v>1838</v>
      </c>
      <c r="B12911" s="151">
        <f>A12911+1</f>
        <v>1839</v>
      </c>
      <c r="C12911" s="151" t="s">
        <v>544</v>
      </c>
      <c r="D12911" s="151" t="s">
        <v>27</v>
      </c>
      <c r="E12911" s="208" t="s">
        <v>147</v>
      </c>
      <c r="F12911" t="s">
        <v>15</v>
      </c>
      <c r="G12911" s="18">
        <v>212</v>
      </c>
      <c r="H12911" t="s">
        <v>561</v>
      </c>
      <c r="I12911" s="151" t="s">
        <v>562</v>
      </c>
    </row>
    <row r="12912" spans="1:9" x14ac:dyDescent="0.25">
      <c r="A12912" s="151">
        <v>1838</v>
      </c>
      <c r="B12912" s="151">
        <f>A12912+1</f>
        <v>1839</v>
      </c>
      <c r="C12912" s="151" t="s">
        <v>544</v>
      </c>
      <c r="D12912" s="151" t="s">
        <v>27</v>
      </c>
      <c r="E12912" s="208" t="s">
        <v>125</v>
      </c>
      <c r="F12912" t="s">
        <v>15</v>
      </c>
      <c r="G12912" s="18">
        <v>10510</v>
      </c>
      <c r="H12912" t="s">
        <v>561</v>
      </c>
      <c r="I12912" s="151" t="s">
        <v>562</v>
      </c>
    </row>
    <row r="12913" spans="1:9" x14ac:dyDescent="0.25">
      <c r="A12913" s="151">
        <v>1838</v>
      </c>
      <c r="B12913" s="151">
        <f>A12913+1</f>
        <v>1839</v>
      </c>
      <c r="C12913" s="151" t="s">
        <v>544</v>
      </c>
      <c r="D12913" s="151" t="s">
        <v>27</v>
      </c>
      <c r="E12913" s="208" t="s">
        <v>123</v>
      </c>
      <c r="F12913" t="s">
        <v>15</v>
      </c>
      <c r="G12913" s="18">
        <v>1024</v>
      </c>
      <c r="H12913" t="s">
        <v>561</v>
      </c>
      <c r="I12913" s="151" t="s">
        <v>562</v>
      </c>
    </row>
    <row r="12914" spans="1:9" x14ac:dyDescent="0.25">
      <c r="A12914" s="151">
        <v>1838</v>
      </c>
      <c r="B12914" s="151">
        <f>A12914+1</f>
        <v>1839</v>
      </c>
      <c r="C12914" s="151" t="s">
        <v>544</v>
      </c>
      <c r="D12914" s="151" t="s">
        <v>27</v>
      </c>
      <c r="E12914" s="208" t="s">
        <v>122</v>
      </c>
      <c r="F12914" t="s">
        <v>15</v>
      </c>
      <c r="G12914" s="18">
        <v>2216</v>
      </c>
      <c r="H12914" s="151" t="s">
        <v>563</v>
      </c>
      <c r="I12914" t="s">
        <v>561</v>
      </c>
    </row>
    <row r="12915" spans="1:9" x14ac:dyDescent="0.25">
      <c r="A12915" s="151">
        <v>1838</v>
      </c>
      <c r="B12915" s="151">
        <f>A12915+1</f>
        <v>1839</v>
      </c>
      <c r="C12915" s="151" t="s">
        <v>544</v>
      </c>
      <c r="D12915" s="151" t="s">
        <v>27</v>
      </c>
      <c r="E12915" s="208" t="s">
        <v>121</v>
      </c>
      <c r="F12915" t="s">
        <v>15</v>
      </c>
      <c r="G12915" s="18">
        <v>187</v>
      </c>
      <c r="H12915" s="151" t="s">
        <v>563</v>
      </c>
      <c r="I12915" t="s">
        <v>561</v>
      </c>
    </row>
    <row r="12916" spans="1:9" x14ac:dyDescent="0.25">
      <c r="A12916" s="151">
        <v>1838</v>
      </c>
      <c r="B12916" s="151">
        <f>A12916+1</f>
        <v>1839</v>
      </c>
      <c r="C12916" s="151" t="s">
        <v>544</v>
      </c>
      <c r="D12916" s="151" t="s">
        <v>27</v>
      </c>
      <c r="E12916" s="208" t="s">
        <v>139</v>
      </c>
      <c r="F12916" t="s">
        <v>15</v>
      </c>
      <c r="G12916" s="18">
        <v>19</v>
      </c>
      <c r="H12916" s="151" t="s">
        <v>563</v>
      </c>
      <c r="I12916" t="s">
        <v>561</v>
      </c>
    </row>
    <row r="12917" spans="1:9" x14ac:dyDescent="0.25">
      <c r="A12917" s="151">
        <v>1838</v>
      </c>
      <c r="B12917" s="151">
        <f>A12917+1</f>
        <v>1839</v>
      </c>
      <c r="C12917" s="151" t="s">
        <v>544</v>
      </c>
      <c r="D12917" s="151" t="s">
        <v>27</v>
      </c>
      <c r="E12917" s="208" t="s">
        <v>131</v>
      </c>
      <c r="F12917" t="s">
        <v>15</v>
      </c>
      <c r="G12917" s="18">
        <v>5153</v>
      </c>
      <c r="H12917" s="151" t="s">
        <v>563</v>
      </c>
      <c r="I12917" t="s">
        <v>561</v>
      </c>
    </row>
    <row r="12918" spans="1:9" x14ac:dyDescent="0.25">
      <c r="A12918" s="151">
        <v>1838</v>
      </c>
      <c r="B12918" s="151">
        <f>A12918+1</f>
        <v>1839</v>
      </c>
      <c r="C12918" s="151" t="s">
        <v>544</v>
      </c>
      <c r="D12918" s="151" t="s">
        <v>27</v>
      </c>
      <c r="E12918" s="208" t="s">
        <v>130</v>
      </c>
      <c r="F12918" t="s">
        <v>15</v>
      </c>
      <c r="G12918" s="18">
        <v>341</v>
      </c>
      <c r="H12918" s="151" t="s">
        <v>563</v>
      </c>
      <c r="I12918" t="s">
        <v>561</v>
      </c>
    </row>
    <row r="12919" spans="1:9" x14ac:dyDescent="0.25">
      <c r="A12919" s="151">
        <v>1838</v>
      </c>
      <c r="B12919" s="151">
        <f>A12919+1</f>
        <v>1839</v>
      </c>
      <c r="C12919" s="151" t="s">
        <v>544</v>
      </c>
      <c r="D12919" s="151" t="s">
        <v>27</v>
      </c>
      <c r="E12919" s="208" t="s">
        <v>143</v>
      </c>
      <c r="F12919" t="s">
        <v>15</v>
      </c>
      <c r="G12919" s="18">
        <v>224</v>
      </c>
      <c r="H12919" s="151" t="s">
        <v>563</v>
      </c>
      <c r="I12919" t="s">
        <v>561</v>
      </c>
    </row>
    <row r="12920" spans="1:9" x14ac:dyDescent="0.25">
      <c r="A12920" s="151">
        <v>1838</v>
      </c>
      <c r="B12920" s="151">
        <f>A12920+1</f>
        <v>1839</v>
      </c>
      <c r="C12920" s="151" t="s">
        <v>544</v>
      </c>
      <c r="D12920" s="151" t="s">
        <v>27</v>
      </c>
      <c r="E12920" s="208" t="s">
        <v>142</v>
      </c>
      <c r="F12920" t="s">
        <v>15</v>
      </c>
      <c r="G12920" s="18">
        <v>22859</v>
      </c>
      <c r="H12920" s="151" t="s">
        <v>563</v>
      </c>
      <c r="I12920" t="s">
        <v>561</v>
      </c>
    </row>
    <row r="12921" spans="1:9" x14ac:dyDescent="0.25">
      <c r="A12921" s="151">
        <v>1838</v>
      </c>
      <c r="B12921" s="151">
        <f>A12921+1</f>
        <v>1839</v>
      </c>
      <c r="C12921" s="151" t="s">
        <v>544</v>
      </c>
      <c r="D12921" s="151" t="s">
        <v>27</v>
      </c>
      <c r="E12921" s="208" t="s">
        <v>127</v>
      </c>
      <c r="F12921" t="s">
        <v>15</v>
      </c>
      <c r="G12921" s="18">
        <v>1503</v>
      </c>
      <c r="H12921" s="151" t="s">
        <v>563</v>
      </c>
      <c r="I12921" t="s">
        <v>561</v>
      </c>
    </row>
    <row r="12922" spans="1:9" x14ac:dyDescent="0.25">
      <c r="A12922" s="151">
        <v>1838</v>
      </c>
      <c r="B12922" s="151">
        <f>A12922+1</f>
        <v>1839</v>
      </c>
      <c r="C12922" s="151" t="s">
        <v>544</v>
      </c>
      <c r="D12922" s="151" t="s">
        <v>27</v>
      </c>
      <c r="E12922" s="208" t="s">
        <v>133</v>
      </c>
      <c r="F12922" t="s">
        <v>15</v>
      </c>
      <c r="G12922" s="18">
        <v>15703</v>
      </c>
      <c r="H12922" s="151" t="s">
        <v>563</v>
      </c>
      <c r="I12922" t="s">
        <v>561</v>
      </c>
    </row>
    <row r="12923" spans="1:9" x14ac:dyDescent="0.25">
      <c r="A12923" s="151">
        <v>1838</v>
      </c>
      <c r="B12923" s="151">
        <f>A12923+1</f>
        <v>1839</v>
      </c>
      <c r="C12923" s="151" t="s">
        <v>544</v>
      </c>
      <c r="D12923" s="151" t="s">
        <v>27</v>
      </c>
      <c r="E12923" s="208" t="s">
        <v>74</v>
      </c>
      <c r="F12923" t="s">
        <v>15</v>
      </c>
      <c r="G12923" s="18">
        <v>10015</v>
      </c>
      <c r="H12923" s="151" t="s">
        <v>563</v>
      </c>
      <c r="I12923" t="s">
        <v>561</v>
      </c>
    </row>
    <row r="12924" spans="1:9" x14ac:dyDescent="0.25">
      <c r="A12924" s="151">
        <v>1838</v>
      </c>
      <c r="B12924" s="151">
        <f>A12924+1</f>
        <v>1839</v>
      </c>
      <c r="C12924" s="151" t="s">
        <v>544</v>
      </c>
      <c r="D12924" s="151" t="s">
        <v>27</v>
      </c>
      <c r="E12924" s="208" t="s">
        <v>129</v>
      </c>
      <c r="F12924" t="s">
        <v>15</v>
      </c>
      <c r="G12924" s="18">
        <v>1261</v>
      </c>
      <c r="H12924" s="151" t="s">
        <v>563</v>
      </c>
      <c r="I12924" t="s">
        <v>16</v>
      </c>
    </row>
    <row r="12925" spans="1:9" x14ac:dyDescent="0.25">
      <c r="A12925" s="151">
        <v>1838</v>
      </c>
      <c r="B12925" s="151">
        <f>A12925+1</f>
        <v>1839</v>
      </c>
      <c r="C12925" s="151" t="s">
        <v>544</v>
      </c>
      <c r="D12925" s="151" t="s">
        <v>27</v>
      </c>
      <c r="E12925" s="208" t="s">
        <v>141</v>
      </c>
      <c r="F12925" t="s">
        <v>15</v>
      </c>
      <c r="G12925" s="18">
        <v>113</v>
      </c>
      <c r="H12925" s="151" t="s">
        <v>563</v>
      </c>
      <c r="I12925" t="s">
        <v>17</v>
      </c>
    </row>
    <row r="12926" spans="1:9" x14ac:dyDescent="0.25">
      <c r="A12926" s="151">
        <v>1838</v>
      </c>
      <c r="B12926" s="151">
        <f>A12926+1</f>
        <v>1839</v>
      </c>
      <c r="C12926" s="151" t="s">
        <v>544</v>
      </c>
      <c r="D12926" s="151" t="s">
        <v>27</v>
      </c>
      <c r="E12926" s="208" t="s">
        <v>135</v>
      </c>
      <c r="F12926" t="s">
        <v>15</v>
      </c>
      <c r="G12926" s="18">
        <v>264</v>
      </c>
      <c r="H12926" s="151" t="s">
        <v>563</v>
      </c>
      <c r="I12926" t="s">
        <v>561</v>
      </c>
    </row>
    <row r="12927" spans="1:9" x14ac:dyDescent="0.25">
      <c r="A12927" s="151">
        <v>1838</v>
      </c>
      <c r="B12927" s="151">
        <f>A12927+1</f>
        <v>1839</v>
      </c>
      <c r="C12927" s="151" t="s">
        <v>544</v>
      </c>
      <c r="D12927" s="151" t="s">
        <v>27</v>
      </c>
      <c r="E12927" s="208" t="s">
        <v>128</v>
      </c>
      <c r="F12927" t="s">
        <v>15</v>
      </c>
      <c r="G12927" s="18">
        <v>175</v>
      </c>
      <c r="H12927" s="151" t="s">
        <v>563</v>
      </c>
      <c r="I12927" t="s">
        <v>561</v>
      </c>
    </row>
    <row r="12928" spans="1:9" x14ac:dyDescent="0.25">
      <c r="A12928" s="151">
        <v>1838</v>
      </c>
      <c r="B12928" s="151">
        <f>A12928+1</f>
        <v>1839</v>
      </c>
      <c r="C12928" s="151" t="s">
        <v>544</v>
      </c>
      <c r="D12928" s="151" t="s">
        <v>27</v>
      </c>
      <c r="E12928" s="208" t="s">
        <v>78</v>
      </c>
      <c r="F12928" t="s">
        <v>15</v>
      </c>
      <c r="G12928" s="18">
        <v>2950</v>
      </c>
      <c r="H12928" s="151" t="s">
        <v>563</v>
      </c>
      <c r="I12928" t="s">
        <v>561</v>
      </c>
    </row>
    <row r="12929" spans="1:9" x14ac:dyDescent="0.25">
      <c r="A12929" s="151">
        <v>1838</v>
      </c>
      <c r="B12929" s="151">
        <f>A12929+1</f>
        <v>1839</v>
      </c>
      <c r="C12929" s="151" t="s">
        <v>544</v>
      </c>
      <c r="D12929" s="151" t="s">
        <v>27</v>
      </c>
      <c r="E12929" s="208" t="s">
        <v>119</v>
      </c>
      <c r="F12929" t="s">
        <v>15</v>
      </c>
      <c r="G12929" s="18">
        <v>831</v>
      </c>
      <c r="H12929" s="151" t="s">
        <v>563</v>
      </c>
      <c r="I12929" t="s">
        <v>561</v>
      </c>
    </row>
    <row r="12930" spans="1:9" x14ac:dyDescent="0.25">
      <c r="A12930" s="151">
        <v>1838</v>
      </c>
      <c r="B12930" s="151">
        <f>A12930+1</f>
        <v>1839</v>
      </c>
      <c r="C12930" s="151" t="s">
        <v>544</v>
      </c>
      <c r="D12930" s="151" t="s">
        <v>27</v>
      </c>
      <c r="E12930" s="208" t="s">
        <v>134</v>
      </c>
      <c r="F12930" t="s">
        <v>15</v>
      </c>
      <c r="G12930" s="18">
        <v>11989</v>
      </c>
      <c r="H12930" s="151" t="s">
        <v>563</v>
      </c>
      <c r="I12930" t="s">
        <v>561</v>
      </c>
    </row>
    <row r="12931" spans="1:9" x14ac:dyDescent="0.25">
      <c r="A12931" s="151">
        <v>1838</v>
      </c>
      <c r="B12931" s="151">
        <f>A12931+1</f>
        <v>1839</v>
      </c>
      <c r="C12931" s="151" t="s">
        <v>544</v>
      </c>
      <c r="D12931" s="151" t="s">
        <v>26</v>
      </c>
      <c r="E12931" s="208" t="s">
        <v>34</v>
      </c>
      <c r="F12931" t="s">
        <v>15</v>
      </c>
      <c r="G12931" s="18">
        <v>19129</v>
      </c>
      <c r="H12931" s="151" t="s">
        <v>563</v>
      </c>
      <c r="I12931" t="s">
        <v>561</v>
      </c>
    </row>
    <row r="12932" spans="1:9" x14ac:dyDescent="0.25">
      <c r="A12932" s="151">
        <v>1838</v>
      </c>
      <c r="B12932" s="151">
        <f>A12932+1</f>
        <v>1839</v>
      </c>
      <c r="C12932" s="151" t="s">
        <v>544</v>
      </c>
      <c r="D12932" s="151" t="s">
        <v>26</v>
      </c>
      <c r="E12932" s="208" t="s">
        <v>63</v>
      </c>
      <c r="F12932" t="s">
        <v>15</v>
      </c>
      <c r="G12932" s="18">
        <v>8740</v>
      </c>
      <c r="H12932" s="151" t="s">
        <v>563</v>
      </c>
      <c r="I12932" t="s">
        <v>561</v>
      </c>
    </row>
    <row r="12933" spans="1:9" x14ac:dyDescent="0.25">
      <c r="A12933" s="151">
        <v>1838</v>
      </c>
      <c r="B12933" s="151">
        <f>A12933+1</f>
        <v>1839</v>
      </c>
      <c r="C12933" s="151" t="s">
        <v>544</v>
      </c>
      <c r="D12933" s="151" t="s">
        <v>26</v>
      </c>
      <c r="E12933" s="208" t="s">
        <v>62</v>
      </c>
      <c r="F12933" t="s">
        <v>15</v>
      </c>
      <c r="G12933" s="18">
        <v>64525</v>
      </c>
      <c r="H12933" s="151" t="s">
        <v>563</v>
      </c>
      <c r="I12933" t="s">
        <v>561</v>
      </c>
    </row>
    <row r="12934" spans="1:9" x14ac:dyDescent="0.25">
      <c r="A12934" s="151">
        <v>1838</v>
      </c>
      <c r="B12934" s="151">
        <f>A12934+1</f>
        <v>1839</v>
      </c>
      <c r="C12934" s="151" t="s">
        <v>544</v>
      </c>
      <c r="D12934" s="151" t="s">
        <v>26</v>
      </c>
      <c r="E12934" s="208" t="s">
        <v>55</v>
      </c>
      <c r="F12934" t="s">
        <v>15</v>
      </c>
      <c r="G12934" s="18">
        <v>8425</v>
      </c>
      <c r="H12934" s="151" t="s">
        <v>563</v>
      </c>
      <c r="I12934" t="s">
        <v>561</v>
      </c>
    </row>
    <row r="12935" spans="1:9" x14ac:dyDescent="0.25">
      <c r="A12935" s="151">
        <v>1838</v>
      </c>
      <c r="B12935" s="151">
        <f>A12935+1</f>
        <v>1839</v>
      </c>
      <c r="C12935" s="151" t="s">
        <v>544</v>
      </c>
      <c r="D12935" s="151" t="s">
        <v>26</v>
      </c>
      <c r="E12935" s="208" t="s">
        <v>36</v>
      </c>
      <c r="F12935" t="s">
        <v>15</v>
      </c>
      <c r="G12935" s="18">
        <v>9824</v>
      </c>
      <c r="H12935" s="151" t="s">
        <v>563</v>
      </c>
      <c r="I12935" t="s">
        <v>561</v>
      </c>
    </row>
    <row r="12936" spans="1:9" x14ac:dyDescent="0.25">
      <c r="A12936" s="151">
        <v>1838</v>
      </c>
      <c r="B12936" s="151">
        <f>A12936+1</f>
        <v>1839</v>
      </c>
      <c r="C12936" s="151" t="s">
        <v>544</v>
      </c>
      <c r="D12936" s="151" t="s">
        <v>26</v>
      </c>
      <c r="E12936" s="208" t="s">
        <v>35</v>
      </c>
      <c r="F12936" t="s">
        <v>15</v>
      </c>
      <c r="G12936" s="18">
        <v>683</v>
      </c>
      <c r="H12936" s="151" t="s">
        <v>563</v>
      </c>
      <c r="I12936" t="s">
        <v>561</v>
      </c>
    </row>
    <row r="12937" spans="1:9" x14ac:dyDescent="0.25">
      <c r="A12937" s="151">
        <v>1838</v>
      </c>
      <c r="B12937" s="151">
        <f>A12937+1</f>
        <v>1839</v>
      </c>
      <c r="C12937" s="151" t="s">
        <v>544</v>
      </c>
      <c r="D12937" s="151" t="s">
        <v>26</v>
      </c>
      <c r="E12937" s="208" t="s">
        <v>40</v>
      </c>
      <c r="F12937" t="s">
        <v>15</v>
      </c>
      <c r="G12937" s="18">
        <v>169232</v>
      </c>
      <c r="H12937" s="151" t="s">
        <v>563</v>
      </c>
      <c r="I12937" t="s">
        <v>561</v>
      </c>
    </row>
    <row r="12938" spans="1:9" x14ac:dyDescent="0.25">
      <c r="A12938" s="151">
        <v>1838</v>
      </c>
      <c r="B12938" s="151">
        <f>A12938+1</f>
        <v>1839</v>
      </c>
      <c r="C12938" s="151" t="s">
        <v>544</v>
      </c>
      <c r="D12938" s="151" t="s">
        <v>26</v>
      </c>
      <c r="E12938" s="208" t="s">
        <v>96</v>
      </c>
      <c r="F12938" t="s">
        <v>15</v>
      </c>
      <c r="G12938" s="18">
        <v>8592</v>
      </c>
      <c r="H12938" s="151" t="s">
        <v>563</v>
      </c>
      <c r="I12938" t="s">
        <v>561</v>
      </c>
    </row>
    <row r="12939" spans="1:9" x14ac:dyDescent="0.25">
      <c r="A12939" s="151">
        <v>1838</v>
      </c>
      <c r="B12939" s="151">
        <f>A12939+1</f>
        <v>1839</v>
      </c>
      <c r="C12939" s="151" t="s">
        <v>544</v>
      </c>
      <c r="D12939" s="151" t="s">
        <v>26</v>
      </c>
      <c r="E12939" s="208" t="s">
        <v>98</v>
      </c>
      <c r="F12939" t="s">
        <v>15</v>
      </c>
      <c r="G12939" s="18">
        <v>447183</v>
      </c>
      <c r="H12939" s="151" t="s">
        <v>563</v>
      </c>
      <c r="I12939" t="s">
        <v>561</v>
      </c>
    </row>
    <row r="12940" spans="1:9" x14ac:dyDescent="0.25">
      <c r="A12940" s="151">
        <v>1838</v>
      </c>
      <c r="B12940" s="151">
        <f>A12940+1</f>
        <v>1839</v>
      </c>
      <c r="C12940" s="151" t="s">
        <v>544</v>
      </c>
      <c r="D12940" s="151" t="s">
        <v>26</v>
      </c>
      <c r="E12940" s="208" t="s">
        <v>52</v>
      </c>
      <c r="F12940" t="s">
        <v>15</v>
      </c>
      <c r="G12940" s="18">
        <v>49464</v>
      </c>
      <c r="H12940" s="151" t="s">
        <v>563</v>
      </c>
      <c r="I12940" t="s">
        <v>561</v>
      </c>
    </row>
    <row r="12941" spans="1:9" x14ac:dyDescent="0.25">
      <c r="A12941" s="151">
        <v>1838</v>
      </c>
      <c r="B12941" s="151">
        <f>A12941+1</f>
        <v>1839</v>
      </c>
      <c r="C12941" s="151" t="s">
        <v>544</v>
      </c>
      <c r="D12941" s="151" t="s">
        <v>26</v>
      </c>
      <c r="E12941" s="208" t="s">
        <v>566</v>
      </c>
      <c r="F12941" t="s">
        <v>7</v>
      </c>
      <c r="G12941" s="18">
        <v>2414</v>
      </c>
      <c r="H12941" s="151" t="s">
        <v>563</v>
      </c>
      <c r="I12941" t="s">
        <v>561</v>
      </c>
    </row>
    <row r="12942" spans="1:9" x14ac:dyDescent="0.25">
      <c r="A12942" s="151">
        <v>1838</v>
      </c>
      <c r="B12942" s="151">
        <f>A12942+1</f>
        <v>1839</v>
      </c>
      <c r="C12942" s="151" t="s">
        <v>544</v>
      </c>
      <c r="D12942" s="151" t="s">
        <v>26</v>
      </c>
      <c r="E12942" s="208" t="s">
        <v>566</v>
      </c>
      <c r="F12942" t="s">
        <v>14</v>
      </c>
      <c r="G12942" s="18">
        <v>505</v>
      </c>
      <c r="H12942" s="151" t="s">
        <v>563</v>
      </c>
      <c r="I12942" t="s">
        <v>561</v>
      </c>
    </row>
    <row r="12943" spans="1:9" x14ac:dyDescent="0.25">
      <c r="A12943" s="151">
        <v>1838</v>
      </c>
      <c r="B12943" s="151">
        <f>A12943+1</f>
        <v>1839</v>
      </c>
      <c r="C12943" s="151" t="s">
        <v>544</v>
      </c>
      <c r="D12943" s="151" t="s">
        <v>26</v>
      </c>
      <c r="E12943" s="208" t="s">
        <v>566</v>
      </c>
      <c r="F12943" t="s">
        <v>15</v>
      </c>
      <c r="G12943" s="18">
        <v>2919</v>
      </c>
      <c r="H12943" s="151" t="s">
        <v>563</v>
      </c>
      <c r="I12943" t="s">
        <v>561</v>
      </c>
    </row>
    <row r="12944" spans="1:9" x14ac:dyDescent="0.25">
      <c r="A12944" s="151">
        <v>1838</v>
      </c>
      <c r="B12944" s="151">
        <f>A12944+1</f>
        <v>1839</v>
      </c>
      <c r="C12944" s="151" t="s">
        <v>544</v>
      </c>
      <c r="D12944" s="151" t="s">
        <v>26</v>
      </c>
      <c r="E12944" s="208" t="s">
        <v>105</v>
      </c>
      <c r="F12944" t="s">
        <v>15</v>
      </c>
      <c r="G12944" s="18">
        <v>1587500</v>
      </c>
      <c r="H12944" s="151" t="s">
        <v>563</v>
      </c>
      <c r="I12944" t="s">
        <v>561</v>
      </c>
    </row>
    <row r="12945" spans="1:9" x14ac:dyDescent="0.25">
      <c r="A12945" s="151">
        <v>1838</v>
      </c>
      <c r="B12945" s="151">
        <f>A12945+1</f>
        <v>1839</v>
      </c>
      <c r="C12945" s="151" t="s">
        <v>544</v>
      </c>
      <c r="D12945" s="151" t="s">
        <v>26</v>
      </c>
      <c r="E12945" s="208" t="s">
        <v>106</v>
      </c>
      <c r="F12945" t="s">
        <v>15</v>
      </c>
      <c r="G12945" s="18">
        <v>1107055</v>
      </c>
      <c r="H12945" s="151" t="s">
        <v>563</v>
      </c>
      <c r="I12945" t="s">
        <v>561</v>
      </c>
    </row>
    <row r="12946" spans="1:9" x14ac:dyDescent="0.25">
      <c r="A12946" s="151">
        <v>1838</v>
      </c>
      <c r="B12946" s="151">
        <f>A12946+1</f>
        <v>1839</v>
      </c>
      <c r="C12946" s="151" t="s">
        <v>544</v>
      </c>
      <c r="D12946" s="151" t="s">
        <v>26</v>
      </c>
      <c r="E12946" s="208" t="s">
        <v>101</v>
      </c>
      <c r="F12946" t="s">
        <v>15</v>
      </c>
      <c r="G12946" s="18">
        <v>7910965</v>
      </c>
      <c r="H12946" s="151" t="s">
        <v>563</v>
      </c>
      <c r="I12946" t="s">
        <v>561</v>
      </c>
    </row>
    <row r="12947" spans="1:9" x14ac:dyDescent="0.25">
      <c r="A12947" s="151">
        <v>1838</v>
      </c>
      <c r="B12947" s="151">
        <f>A12947+1</f>
        <v>1839</v>
      </c>
      <c r="C12947" s="151" t="s">
        <v>544</v>
      </c>
      <c r="D12947" s="151" t="s">
        <v>26</v>
      </c>
      <c r="E12947" s="208" t="s">
        <v>75</v>
      </c>
      <c r="F12947" t="s">
        <v>15</v>
      </c>
      <c r="G12947" s="18">
        <v>8374771</v>
      </c>
      <c r="H12947" s="151" t="s">
        <v>563</v>
      </c>
      <c r="I12947" t="s">
        <v>561</v>
      </c>
    </row>
    <row r="12948" spans="1:9" x14ac:dyDescent="0.25">
      <c r="A12948" s="151">
        <v>1838</v>
      </c>
      <c r="B12948" s="151">
        <f>A12948+1</f>
        <v>1839</v>
      </c>
      <c r="C12948" s="151" t="s">
        <v>544</v>
      </c>
      <c r="D12948" s="151" t="s">
        <v>26</v>
      </c>
      <c r="E12948" s="208" t="s">
        <v>66</v>
      </c>
      <c r="F12948" t="s">
        <v>15</v>
      </c>
      <c r="G12948" s="18">
        <v>860287</v>
      </c>
      <c r="H12948" s="151" t="s">
        <v>563</v>
      </c>
      <c r="I12948" t="s">
        <v>561</v>
      </c>
    </row>
    <row r="12949" spans="1:9" x14ac:dyDescent="0.25">
      <c r="A12949" s="151">
        <v>1838</v>
      </c>
      <c r="B12949" s="151">
        <f>A12949+1</f>
        <v>1839</v>
      </c>
      <c r="C12949" s="151" t="s">
        <v>544</v>
      </c>
      <c r="D12949" s="151" t="s">
        <v>26</v>
      </c>
      <c r="E12949" s="208" t="s">
        <v>28</v>
      </c>
      <c r="F12949" t="s">
        <v>15</v>
      </c>
      <c r="G12949" s="18">
        <v>6548</v>
      </c>
      <c r="H12949" s="151" t="s">
        <v>563</v>
      </c>
      <c r="I12949" t="s">
        <v>561</v>
      </c>
    </row>
    <row r="12950" spans="1:9" x14ac:dyDescent="0.25">
      <c r="A12950" s="151">
        <v>1838</v>
      </c>
      <c r="B12950" s="151">
        <f>A12950+1</f>
        <v>1839</v>
      </c>
      <c r="C12950" s="151" t="s">
        <v>544</v>
      </c>
      <c r="D12950" s="151" t="s">
        <v>26</v>
      </c>
      <c r="E12950" s="208" t="s">
        <v>89</v>
      </c>
      <c r="F12950" t="s">
        <v>15</v>
      </c>
      <c r="G12950" s="18">
        <v>14653</v>
      </c>
      <c r="H12950" s="151" t="s">
        <v>563</v>
      </c>
      <c r="I12950" t="s">
        <v>561</v>
      </c>
    </row>
    <row r="12951" spans="1:9" x14ac:dyDescent="0.25">
      <c r="A12951" s="151">
        <v>1838</v>
      </c>
      <c r="B12951" s="151">
        <f>A12951+1</f>
        <v>1839</v>
      </c>
      <c r="C12951" s="151" t="s">
        <v>544</v>
      </c>
      <c r="D12951" s="151" t="s">
        <v>26</v>
      </c>
      <c r="E12951" s="208" t="s">
        <v>450</v>
      </c>
      <c r="F12951" t="s">
        <v>15</v>
      </c>
      <c r="G12951" s="18">
        <v>15836</v>
      </c>
      <c r="H12951" s="151" t="s">
        <v>563</v>
      </c>
      <c r="I12951" t="s">
        <v>561</v>
      </c>
    </row>
    <row r="12952" spans="1:9" x14ac:dyDescent="0.25">
      <c r="A12952" s="151">
        <v>1838</v>
      </c>
      <c r="B12952" s="151">
        <f>A12952+1</f>
        <v>1839</v>
      </c>
      <c r="C12952" s="151" t="s">
        <v>544</v>
      </c>
      <c r="D12952" s="151" t="s">
        <v>26</v>
      </c>
      <c r="E12952" s="208" t="s">
        <v>48</v>
      </c>
      <c r="F12952" t="s">
        <v>15</v>
      </c>
      <c r="G12952" s="18">
        <v>22872</v>
      </c>
      <c r="H12952" s="151" t="s">
        <v>563</v>
      </c>
      <c r="I12952" t="s">
        <v>561</v>
      </c>
    </row>
    <row r="12953" spans="1:9" x14ac:dyDescent="0.25">
      <c r="A12953" s="151">
        <v>1838</v>
      </c>
      <c r="B12953" s="151">
        <f>A12953+1</f>
        <v>1839</v>
      </c>
      <c r="C12953" s="151" t="s">
        <v>544</v>
      </c>
      <c r="D12953" s="151" t="s">
        <v>26</v>
      </c>
      <c r="E12953" s="208" t="s">
        <v>102</v>
      </c>
      <c r="F12953" t="s">
        <v>15</v>
      </c>
      <c r="G12953" s="18">
        <v>33577</v>
      </c>
      <c r="H12953" s="151" t="s">
        <v>563</v>
      </c>
      <c r="I12953" t="s">
        <v>561</v>
      </c>
    </row>
    <row r="12954" spans="1:9" x14ac:dyDescent="0.25">
      <c r="A12954" s="151">
        <v>1838</v>
      </c>
      <c r="B12954" s="151">
        <f>A12954+1</f>
        <v>1839</v>
      </c>
      <c r="C12954" s="151" t="s">
        <v>544</v>
      </c>
      <c r="D12954" s="151" t="s">
        <v>26</v>
      </c>
      <c r="E12954" s="208" t="s">
        <v>330</v>
      </c>
      <c r="F12954" t="s">
        <v>15</v>
      </c>
      <c r="G12954" s="18">
        <v>4910</v>
      </c>
      <c r="H12954" s="151" t="s">
        <v>563</v>
      </c>
      <c r="I12954" t="s">
        <v>561</v>
      </c>
    </row>
    <row r="12955" spans="1:9" x14ac:dyDescent="0.25">
      <c r="A12955" s="151">
        <v>1838</v>
      </c>
      <c r="B12955" s="151">
        <f>A12955+1</f>
        <v>1839</v>
      </c>
      <c r="C12955" s="151" t="s">
        <v>544</v>
      </c>
      <c r="D12955" s="151" t="s">
        <v>26</v>
      </c>
      <c r="E12955" s="208" t="s">
        <v>331</v>
      </c>
      <c r="F12955" t="s">
        <v>15</v>
      </c>
      <c r="G12955" s="18">
        <v>629</v>
      </c>
      <c r="H12955" s="151" t="s">
        <v>563</v>
      </c>
      <c r="I12955" t="s">
        <v>561</v>
      </c>
    </row>
    <row r="12956" spans="1:9" x14ac:dyDescent="0.25">
      <c r="A12956" s="151">
        <v>1838</v>
      </c>
      <c r="B12956" s="151">
        <f>A12956+1</f>
        <v>1839</v>
      </c>
      <c r="C12956" s="151" t="s">
        <v>544</v>
      </c>
      <c r="D12956" s="151" t="s">
        <v>26</v>
      </c>
      <c r="E12956" s="208" t="s">
        <v>332</v>
      </c>
      <c r="F12956" t="s">
        <v>15</v>
      </c>
      <c r="G12956" s="18">
        <v>324</v>
      </c>
      <c r="H12956" s="151" t="s">
        <v>563</v>
      </c>
      <c r="I12956" t="s">
        <v>561</v>
      </c>
    </row>
    <row r="12957" spans="1:9" x14ac:dyDescent="0.25">
      <c r="A12957" s="151">
        <v>1838</v>
      </c>
      <c r="B12957" s="151">
        <v>1839</v>
      </c>
      <c r="C12957" s="151" t="s">
        <v>544</v>
      </c>
      <c r="D12957" s="151" t="s">
        <v>26</v>
      </c>
      <c r="E12957" s="208" t="s">
        <v>333</v>
      </c>
      <c r="F12957" t="s">
        <v>15</v>
      </c>
      <c r="G12957" s="18">
        <v>1776</v>
      </c>
      <c r="H12957" s="151" t="s">
        <v>563</v>
      </c>
      <c r="I12957" t="s">
        <v>561</v>
      </c>
    </row>
    <row r="12958" spans="1:9" x14ac:dyDescent="0.25">
      <c r="A12958">
        <v>1839</v>
      </c>
      <c r="B12958" s="151">
        <v>1840</v>
      </c>
      <c r="C12958" s="151" t="s">
        <v>632</v>
      </c>
      <c r="D12958" s="151" t="s">
        <v>26</v>
      </c>
      <c r="E12958" s="151" t="s">
        <v>62</v>
      </c>
      <c r="F12958" t="s">
        <v>15</v>
      </c>
      <c r="G12958" s="18">
        <v>131581</v>
      </c>
      <c r="H12958" s="151" t="s">
        <v>563</v>
      </c>
      <c r="I12958" t="s">
        <v>561</v>
      </c>
    </row>
    <row r="12959" spans="1:9" x14ac:dyDescent="0.25">
      <c r="A12959">
        <v>1839</v>
      </c>
      <c r="B12959" s="151">
        <v>1840</v>
      </c>
      <c r="C12959" s="151" t="s">
        <v>632</v>
      </c>
      <c r="D12959" s="151" t="s">
        <v>26</v>
      </c>
      <c r="E12959" s="151" t="s">
        <v>40</v>
      </c>
      <c r="F12959" t="s">
        <v>15</v>
      </c>
      <c r="G12959" s="18">
        <v>4620158</v>
      </c>
      <c r="H12959" s="151" t="s">
        <v>563</v>
      </c>
      <c r="I12959" t="s">
        <v>561</v>
      </c>
    </row>
    <row r="12960" spans="1:9" x14ac:dyDescent="0.25">
      <c r="A12960">
        <v>1839</v>
      </c>
      <c r="B12960" s="151">
        <v>1840</v>
      </c>
      <c r="C12960" s="151" t="s">
        <v>632</v>
      </c>
      <c r="D12960" s="151" t="s">
        <v>26</v>
      </c>
      <c r="E12960" s="151" t="s">
        <v>55</v>
      </c>
      <c r="F12960" t="s">
        <v>15</v>
      </c>
      <c r="G12960" s="18">
        <v>101747</v>
      </c>
      <c r="H12960" s="151" t="s">
        <v>563</v>
      </c>
      <c r="I12960" t="s">
        <v>561</v>
      </c>
    </row>
    <row r="12961" spans="1:9" x14ac:dyDescent="0.25">
      <c r="A12961">
        <v>1839</v>
      </c>
      <c r="B12961" s="151">
        <v>1840</v>
      </c>
      <c r="C12961" s="151" t="s">
        <v>632</v>
      </c>
      <c r="D12961" s="151" t="s">
        <v>26</v>
      </c>
      <c r="E12961" s="151" t="s">
        <v>98</v>
      </c>
      <c r="F12961" t="s">
        <v>15</v>
      </c>
      <c r="G12961" s="18">
        <v>8074331</v>
      </c>
      <c r="H12961" s="151" t="s">
        <v>563</v>
      </c>
      <c r="I12961" t="s">
        <v>561</v>
      </c>
    </row>
    <row r="12962" spans="1:9" x14ac:dyDescent="0.25">
      <c r="A12962">
        <v>1839</v>
      </c>
      <c r="B12962">
        <v>1840</v>
      </c>
      <c r="C12962" s="151" t="s">
        <v>632</v>
      </c>
      <c r="D12962" s="151" t="s">
        <v>26</v>
      </c>
      <c r="E12962" t="s">
        <v>53</v>
      </c>
      <c r="F12962" t="s">
        <v>15</v>
      </c>
      <c r="G12962" s="18">
        <v>75433</v>
      </c>
      <c r="H12962" s="151" t="s">
        <v>563</v>
      </c>
      <c r="I12962" t="s">
        <v>561</v>
      </c>
    </row>
    <row r="12963" spans="1:9" x14ac:dyDescent="0.25">
      <c r="A12963">
        <v>1839</v>
      </c>
      <c r="B12963">
        <v>1840</v>
      </c>
      <c r="C12963" s="151" t="s">
        <v>632</v>
      </c>
      <c r="D12963" s="151" t="s">
        <v>26</v>
      </c>
      <c r="E12963" t="s">
        <v>28</v>
      </c>
      <c r="F12963" t="s">
        <v>15</v>
      </c>
      <c r="G12963" s="18">
        <v>3134</v>
      </c>
      <c r="H12963" s="151" t="s">
        <v>563</v>
      </c>
      <c r="I12963" t="s">
        <v>561</v>
      </c>
    </row>
    <row r="12964" spans="1:9" x14ac:dyDescent="0.25">
      <c r="A12964">
        <v>1839</v>
      </c>
      <c r="B12964">
        <v>1840</v>
      </c>
      <c r="C12964" s="151" t="s">
        <v>632</v>
      </c>
      <c r="D12964" s="151" t="s">
        <v>26</v>
      </c>
      <c r="E12964" t="s">
        <v>89</v>
      </c>
      <c r="F12964" t="s">
        <v>15</v>
      </c>
      <c r="G12964" s="18">
        <v>21182</v>
      </c>
      <c r="H12964" s="151" t="s">
        <v>563</v>
      </c>
      <c r="I12964" t="s">
        <v>561</v>
      </c>
    </row>
    <row r="12965" spans="1:9" x14ac:dyDescent="0.25">
      <c r="A12965">
        <v>1839</v>
      </c>
      <c r="B12965">
        <v>1840</v>
      </c>
      <c r="C12965" s="151" t="s">
        <v>632</v>
      </c>
      <c r="D12965" s="151" t="s">
        <v>26</v>
      </c>
      <c r="E12965" t="s">
        <v>662</v>
      </c>
      <c r="F12965" t="s">
        <v>15</v>
      </c>
      <c r="G12965" s="18">
        <v>28365</v>
      </c>
      <c r="H12965" s="151" t="s">
        <v>563</v>
      </c>
      <c r="I12965" t="s">
        <v>561</v>
      </c>
    </row>
    <row r="12966" spans="1:9" x14ac:dyDescent="0.25">
      <c r="A12966">
        <v>1839</v>
      </c>
      <c r="B12966">
        <v>1840</v>
      </c>
      <c r="C12966" s="151" t="s">
        <v>632</v>
      </c>
      <c r="D12966" s="151" t="s">
        <v>26</v>
      </c>
      <c r="E12966" t="s">
        <v>663</v>
      </c>
      <c r="F12966" t="s">
        <v>15</v>
      </c>
      <c r="G12966" s="18">
        <v>130077</v>
      </c>
      <c r="H12966" s="151" t="s">
        <v>563</v>
      </c>
      <c r="I12966" t="s">
        <v>561</v>
      </c>
    </row>
    <row r="12967" spans="1:9" x14ac:dyDescent="0.25">
      <c r="A12967">
        <v>1839</v>
      </c>
      <c r="B12967">
        <v>1840</v>
      </c>
      <c r="C12967" s="151" t="s">
        <v>632</v>
      </c>
      <c r="D12967" s="151" t="s">
        <v>26</v>
      </c>
      <c r="E12967" t="s">
        <v>450</v>
      </c>
      <c r="F12967" t="s">
        <v>15</v>
      </c>
      <c r="G12967" s="18">
        <v>21150</v>
      </c>
      <c r="H12967" s="151" t="s">
        <v>563</v>
      </c>
      <c r="I12967" t="s">
        <v>561</v>
      </c>
    </row>
    <row r="12968" spans="1:9" x14ac:dyDescent="0.25">
      <c r="A12968">
        <v>1839</v>
      </c>
      <c r="B12968">
        <v>1840</v>
      </c>
      <c r="C12968" s="151" t="s">
        <v>632</v>
      </c>
      <c r="D12968" s="151" t="s">
        <v>26</v>
      </c>
      <c r="E12968" t="s">
        <v>102</v>
      </c>
      <c r="F12968" t="s">
        <v>15</v>
      </c>
      <c r="G12968" s="18">
        <v>38864</v>
      </c>
      <c r="H12968" s="151" t="s">
        <v>563</v>
      </c>
      <c r="I12968" t="s">
        <v>561</v>
      </c>
    </row>
    <row r="12969" spans="1:9" x14ac:dyDescent="0.25">
      <c r="A12969">
        <v>1839</v>
      </c>
      <c r="B12969">
        <v>1840</v>
      </c>
      <c r="C12969" s="151" t="s">
        <v>632</v>
      </c>
      <c r="D12969" s="151" t="s">
        <v>26</v>
      </c>
      <c r="E12969" t="s">
        <v>48</v>
      </c>
      <c r="F12969" t="s">
        <v>15</v>
      </c>
      <c r="G12969" s="18">
        <v>13634</v>
      </c>
      <c r="H12969" s="151" t="s">
        <v>563</v>
      </c>
      <c r="I12969" t="s">
        <v>561</v>
      </c>
    </row>
    <row r="12970" spans="1:9" x14ac:dyDescent="0.25">
      <c r="A12970">
        <v>1839</v>
      </c>
      <c r="B12970">
        <v>1840</v>
      </c>
      <c r="C12970" s="151" t="s">
        <v>632</v>
      </c>
      <c r="D12970" s="151" t="s">
        <v>26</v>
      </c>
      <c r="E12970" t="s">
        <v>34</v>
      </c>
      <c r="F12970" t="s">
        <v>15</v>
      </c>
      <c r="G12970" s="18">
        <v>64003</v>
      </c>
      <c r="H12970" s="151" t="s">
        <v>563</v>
      </c>
      <c r="I12970" t="s">
        <v>561</v>
      </c>
    </row>
    <row r="12971" spans="1:9" x14ac:dyDescent="0.25">
      <c r="A12971">
        <v>1839</v>
      </c>
      <c r="B12971">
        <v>1840</v>
      </c>
      <c r="C12971" s="151" t="s">
        <v>632</v>
      </c>
      <c r="D12971" s="151" t="s">
        <v>26</v>
      </c>
      <c r="E12971" t="s">
        <v>63</v>
      </c>
      <c r="F12971" t="s">
        <v>15</v>
      </c>
      <c r="G12971" s="18">
        <v>5981</v>
      </c>
      <c r="H12971" s="151" t="s">
        <v>563</v>
      </c>
      <c r="I12971" t="s">
        <v>561</v>
      </c>
    </row>
    <row r="12972" spans="1:9" x14ac:dyDescent="0.25">
      <c r="A12972">
        <v>1839</v>
      </c>
      <c r="B12972">
        <v>1840</v>
      </c>
      <c r="C12972" s="151" t="s">
        <v>632</v>
      </c>
      <c r="D12972" s="151" t="s">
        <v>26</v>
      </c>
      <c r="E12972" t="s">
        <v>105</v>
      </c>
      <c r="F12972" t="s">
        <v>15</v>
      </c>
      <c r="G12972" s="18">
        <v>5056365</v>
      </c>
      <c r="H12972" s="151" t="s">
        <v>563</v>
      </c>
      <c r="I12972" t="s">
        <v>561</v>
      </c>
    </row>
    <row r="12973" spans="1:9" x14ac:dyDescent="0.25">
      <c r="A12973">
        <v>1839</v>
      </c>
      <c r="B12973">
        <v>1840</v>
      </c>
      <c r="C12973" s="151" t="s">
        <v>632</v>
      </c>
      <c r="D12973" s="151" t="s">
        <v>26</v>
      </c>
      <c r="E12973" t="s">
        <v>106</v>
      </c>
      <c r="F12973" t="s">
        <v>15</v>
      </c>
      <c r="G12973" s="18">
        <v>502389</v>
      </c>
      <c r="H12973" s="151" t="s">
        <v>563</v>
      </c>
      <c r="I12973" t="s">
        <v>561</v>
      </c>
    </row>
    <row r="12974" spans="1:9" x14ac:dyDescent="0.25">
      <c r="A12974">
        <v>1839</v>
      </c>
      <c r="B12974">
        <v>1840</v>
      </c>
      <c r="C12974" s="151" t="s">
        <v>632</v>
      </c>
      <c r="D12974" s="151" t="s">
        <v>26</v>
      </c>
      <c r="E12974" t="s">
        <v>107</v>
      </c>
      <c r="F12974" t="s">
        <v>15</v>
      </c>
      <c r="G12974" s="18">
        <v>5558754</v>
      </c>
      <c r="H12974" s="151" t="s">
        <v>563</v>
      </c>
      <c r="I12974" t="s">
        <v>561</v>
      </c>
    </row>
    <row r="12975" spans="1:9" x14ac:dyDescent="0.25">
      <c r="A12975">
        <v>1839</v>
      </c>
      <c r="B12975">
        <v>1840</v>
      </c>
      <c r="C12975" s="151" t="s">
        <v>632</v>
      </c>
      <c r="D12975" s="151" t="s">
        <v>26</v>
      </c>
      <c r="E12975" t="s">
        <v>75</v>
      </c>
      <c r="F12975" t="s">
        <v>15</v>
      </c>
      <c r="G12975" s="18">
        <v>6356325</v>
      </c>
      <c r="H12975" s="151" t="s">
        <v>563</v>
      </c>
      <c r="I12975" t="s">
        <v>561</v>
      </c>
    </row>
    <row r="12976" spans="1:9" x14ac:dyDescent="0.25">
      <c r="A12976">
        <v>1839</v>
      </c>
      <c r="B12976">
        <v>1840</v>
      </c>
      <c r="C12976" s="151" t="s">
        <v>632</v>
      </c>
      <c r="D12976" s="151" t="s">
        <v>26</v>
      </c>
      <c r="E12976" t="s">
        <v>101</v>
      </c>
      <c r="F12976" t="s">
        <v>15</v>
      </c>
      <c r="G12976" s="18">
        <v>8331318</v>
      </c>
      <c r="H12976" s="151" t="s">
        <v>563</v>
      </c>
      <c r="I12976" t="s">
        <v>561</v>
      </c>
    </row>
    <row r="12977" spans="1:9" x14ac:dyDescent="0.25">
      <c r="A12977">
        <v>1839</v>
      </c>
      <c r="B12977">
        <v>1840</v>
      </c>
      <c r="C12977" s="151" t="s">
        <v>632</v>
      </c>
      <c r="D12977" s="151" t="s">
        <v>26</v>
      </c>
      <c r="E12977" t="s">
        <v>66</v>
      </c>
      <c r="F12977" t="s">
        <v>15</v>
      </c>
      <c r="G12977" s="18">
        <v>1015381</v>
      </c>
      <c r="H12977" s="151" t="s">
        <v>563</v>
      </c>
      <c r="I12977" t="s">
        <v>561</v>
      </c>
    </row>
    <row r="12978" spans="1:9" x14ac:dyDescent="0.25">
      <c r="A12978">
        <v>1839</v>
      </c>
      <c r="B12978">
        <v>1840</v>
      </c>
      <c r="C12978" s="151" t="s">
        <v>632</v>
      </c>
      <c r="D12978" s="151" t="s">
        <v>26</v>
      </c>
      <c r="E12978" t="s">
        <v>330</v>
      </c>
      <c r="F12978" t="s">
        <v>15</v>
      </c>
      <c r="G12978" s="18">
        <v>2184</v>
      </c>
      <c r="H12978" s="151" t="s">
        <v>563</v>
      </c>
      <c r="I12978" t="s">
        <v>561</v>
      </c>
    </row>
    <row r="12979" spans="1:9" x14ac:dyDescent="0.25">
      <c r="A12979">
        <v>1839</v>
      </c>
      <c r="B12979">
        <v>1840</v>
      </c>
      <c r="C12979" s="151" t="s">
        <v>632</v>
      </c>
      <c r="D12979" s="151" t="s">
        <v>26</v>
      </c>
      <c r="E12979" t="s">
        <v>331</v>
      </c>
      <c r="F12979" t="s">
        <v>15</v>
      </c>
      <c r="G12979" s="18">
        <v>168</v>
      </c>
      <c r="H12979" s="151" t="s">
        <v>563</v>
      </c>
      <c r="I12979" t="s">
        <v>561</v>
      </c>
    </row>
    <row r="12980" spans="1:9" x14ac:dyDescent="0.25">
      <c r="A12980">
        <v>1839</v>
      </c>
      <c r="B12980">
        <v>1840</v>
      </c>
      <c r="C12980" s="151" t="s">
        <v>632</v>
      </c>
      <c r="D12980" s="151" t="s">
        <v>26</v>
      </c>
      <c r="E12980" t="s">
        <v>332</v>
      </c>
      <c r="F12980" t="s">
        <v>15</v>
      </c>
      <c r="G12980" s="18">
        <v>255</v>
      </c>
      <c r="H12980" s="151" t="s">
        <v>563</v>
      </c>
      <c r="I12980" t="s">
        <v>561</v>
      </c>
    </row>
    <row r="12981" spans="1:9" x14ac:dyDescent="0.25">
      <c r="A12981">
        <v>1839</v>
      </c>
      <c r="B12981">
        <v>1840</v>
      </c>
      <c r="C12981" s="151" t="s">
        <v>632</v>
      </c>
      <c r="D12981" s="151" t="s">
        <v>26</v>
      </c>
      <c r="E12981" t="s">
        <v>333</v>
      </c>
      <c r="F12981" t="s">
        <v>15</v>
      </c>
      <c r="G12981" s="18">
        <v>151</v>
      </c>
      <c r="H12981" s="151" t="s">
        <v>563</v>
      </c>
      <c r="I12981" t="s">
        <v>561</v>
      </c>
    </row>
    <row r="12982" spans="1:9" x14ac:dyDescent="0.25">
      <c r="A12982">
        <v>1840</v>
      </c>
      <c r="B12982" s="151">
        <v>1841</v>
      </c>
      <c r="C12982" s="151" t="s">
        <v>633</v>
      </c>
      <c r="D12982" s="151" t="s">
        <v>26</v>
      </c>
      <c r="E12982" s="151" t="s">
        <v>62</v>
      </c>
      <c r="F12982" t="s">
        <v>15</v>
      </c>
      <c r="G12982" s="18">
        <v>127820</v>
      </c>
      <c r="H12982" s="151" t="s">
        <v>563</v>
      </c>
      <c r="I12982" t="s">
        <v>561</v>
      </c>
    </row>
    <row r="12983" spans="1:9" x14ac:dyDescent="0.25">
      <c r="A12983">
        <v>1840</v>
      </c>
      <c r="B12983" s="151">
        <v>1841</v>
      </c>
      <c r="C12983" s="151" t="s">
        <v>633</v>
      </c>
      <c r="D12983" s="151" t="s">
        <v>26</v>
      </c>
      <c r="E12983" s="151" t="s">
        <v>40</v>
      </c>
      <c r="F12983" t="s">
        <v>15</v>
      </c>
      <c r="G12983" s="18">
        <v>1116917</v>
      </c>
      <c r="H12983" s="151" t="s">
        <v>563</v>
      </c>
      <c r="I12983" t="s">
        <v>561</v>
      </c>
    </row>
    <row r="12984" spans="1:9" x14ac:dyDescent="0.25">
      <c r="A12984">
        <v>1840</v>
      </c>
      <c r="B12984" s="151">
        <v>1841</v>
      </c>
      <c r="C12984" s="151" t="s">
        <v>633</v>
      </c>
      <c r="D12984" s="151" t="s">
        <v>26</v>
      </c>
      <c r="E12984" s="151" t="s">
        <v>55</v>
      </c>
      <c r="F12984" t="s">
        <v>15</v>
      </c>
      <c r="G12984" s="18">
        <v>25995</v>
      </c>
      <c r="H12984" s="151" t="s">
        <v>563</v>
      </c>
      <c r="I12984" t="s">
        <v>561</v>
      </c>
    </row>
    <row r="12985" spans="1:9" x14ac:dyDescent="0.25">
      <c r="A12985">
        <v>1840</v>
      </c>
      <c r="B12985" s="151">
        <v>1841</v>
      </c>
      <c r="C12985" s="151" t="s">
        <v>633</v>
      </c>
      <c r="D12985" s="151" t="s">
        <v>26</v>
      </c>
      <c r="E12985" s="151" t="s">
        <v>98</v>
      </c>
      <c r="F12985" t="s">
        <v>15</v>
      </c>
      <c r="G12985" s="18">
        <v>3280167</v>
      </c>
      <c r="H12985" s="151" t="s">
        <v>563</v>
      </c>
      <c r="I12985" t="s">
        <v>561</v>
      </c>
    </row>
    <row r="12986" spans="1:9" x14ac:dyDescent="0.25">
      <c r="A12986">
        <v>1840</v>
      </c>
      <c r="B12986">
        <v>1841</v>
      </c>
      <c r="C12986" s="151" t="s">
        <v>633</v>
      </c>
      <c r="D12986" s="151" t="s">
        <v>26</v>
      </c>
      <c r="E12986" t="s">
        <v>53</v>
      </c>
      <c r="F12986" t="s">
        <v>15</v>
      </c>
      <c r="G12986" s="18">
        <v>83718</v>
      </c>
      <c r="H12986" s="151" t="s">
        <v>563</v>
      </c>
      <c r="I12986" t="s">
        <v>561</v>
      </c>
    </row>
    <row r="12987" spans="1:9" x14ac:dyDescent="0.25">
      <c r="A12987">
        <v>1840</v>
      </c>
      <c r="B12987">
        <v>1841</v>
      </c>
      <c r="C12987" s="151" t="s">
        <v>633</v>
      </c>
      <c r="D12987" s="151" t="s">
        <v>26</v>
      </c>
      <c r="E12987" t="s">
        <v>28</v>
      </c>
      <c r="F12987" t="s">
        <v>15</v>
      </c>
      <c r="G12987" s="18">
        <v>3455</v>
      </c>
      <c r="H12987" s="151" t="s">
        <v>563</v>
      </c>
      <c r="I12987" t="s">
        <v>561</v>
      </c>
    </row>
    <row r="12988" spans="1:9" x14ac:dyDescent="0.25">
      <c r="A12988">
        <v>1840</v>
      </c>
      <c r="B12988">
        <v>1841</v>
      </c>
      <c r="C12988" s="151" t="s">
        <v>633</v>
      </c>
      <c r="D12988" s="151" t="s">
        <v>26</v>
      </c>
      <c r="E12988" t="s">
        <v>89</v>
      </c>
      <c r="F12988" t="s">
        <v>15</v>
      </c>
      <c r="G12988" s="18">
        <v>21185</v>
      </c>
      <c r="H12988" s="151" t="s">
        <v>563</v>
      </c>
      <c r="I12988" t="s">
        <v>561</v>
      </c>
    </row>
    <row r="12989" spans="1:9" x14ac:dyDescent="0.25">
      <c r="A12989">
        <v>1840</v>
      </c>
      <c r="B12989">
        <v>1841</v>
      </c>
      <c r="C12989" s="151" t="s">
        <v>633</v>
      </c>
      <c r="D12989" s="151" t="s">
        <v>26</v>
      </c>
      <c r="E12989" t="s">
        <v>662</v>
      </c>
      <c r="F12989" t="s">
        <v>15</v>
      </c>
      <c r="G12989" s="18">
        <v>32370</v>
      </c>
      <c r="H12989" s="151" t="s">
        <v>563</v>
      </c>
      <c r="I12989" t="s">
        <v>561</v>
      </c>
    </row>
    <row r="12990" spans="1:9" x14ac:dyDescent="0.25">
      <c r="A12990">
        <v>1840</v>
      </c>
      <c r="B12990">
        <v>1841</v>
      </c>
      <c r="C12990" s="151" t="s">
        <v>633</v>
      </c>
      <c r="D12990" s="151" t="s">
        <v>26</v>
      </c>
      <c r="E12990" t="s">
        <v>663</v>
      </c>
      <c r="F12990" t="s">
        <v>15</v>
      </c>
      <c r="G12990" s="18">
        <v>111120</v>
      </c>
      <c r="H12990" s="151" t="s">
        <v>563</v>
      </c>
      <c r="I12990" t="s">
        <v>561</v>
      </c>
    </row>
    <row r="12991" spans="1:9" x14ac:dyDescent="0.25">
      <c r="A12991">
        <v>1840</v>
      </c>
      <c r="B12991">
        <v>1841</v>
      </c>
      <c r="C12991" s="151" t="s">
        <v>633</v>
      </c>
      <c r="D12991" s="151" t="s">
        <v>26</v>
      </c>
      <c r="E12991" t="s">
        <v>450</v>
      </c>
      <c r="F12991" t="s">
        <v>15</v>
      </c>
      <c r="G12991" s="18">
        <v>21046</v>
      </c>
      <c r="H12991" s="151" t="s">
        <v>563</v>
      </c>
      <c r="I12991" t="s">
        <v>561</v>
      </c>
    </row>
    <row r="12992" spans="1:9" x14ac:dyDescent="0.25">
      <c r="A12992">
        <v>1840</v>
      </c>
      <c r="B12992">
        <v>1841</v>
      </c>
      <c r="C12992" s="151" t="s">
        <v>633</v>
      </c>
      <c r="D12992" s="151" t="s">
        <v>26</v>
      </c>
      <c r="E12992" t="s">
        <v>102</v>
      </c>
      <c r="F12992" t="s">
        <v>15</v>
      </c>
      <c r="G12992" s="18">
        <v>47101</v>
      </c>
      <c r="H12992" s="151" t="s">
        <v>563</v>
      </c>
      <c r="I12992" t="s">
        <v>561</v>
      </c>
    </row>
    <row r="12993" spans="1:9" x14ac:dyDescent="0.25">
      <c r="A12993">
        <v>1840</v>
      </c>
      <c r="B12993">
        <v>1841</v>
      </c>
      <c r="C12993" s="151" t="s">
        <v>633</v>
      </c>
      <c r="D12993" s="151" t="s">
        <v>26</v>
      </c>
      <c r="E12993" t="s">
        <v>48</v>
      </c>
      <c r="F12993" t="s">
        <v>15</v>
      </c>
      <c r="G12993" s="18">
        <v>13292</v>
      </c>
      <c r="H12993" s="151" t="s">
        <v>563</v>
      </c>
      <c r="I12993" t="s">
        <v>561</v>
      </c>
    </row>
    <row r="12994" spans="1:9" x14ac:dyDescent="0.25">
      <c r="A12994">
        <v>1840</v>
      </c>
      <c r="B12994">
        <v>1841</v>
      </c>
      <c r="C12994" s="151" t="s">
        <v>633</v>
      </c>
      <c r="D12994" s="151" t="s">
        <v>26</v>
      </c>
      <c r="E12994" t="s">
        <v>34</v>
      </c>
      <c r="F12994" t="s">
        <v>15</v>
      </c>
      <c r="G12994" s="18">
        <v>36658</v>
      </c>
      <c r="H12994" s="151" t="s">
        <v>563</v>
      </c>
      <c r="I12994" t="s">
        <v>561</v>
      </c>
    </row>
    <row r="12995" spans="1:9" x14ac:dyDescent="0.25">
      <c r="A12995">
        <v>1840</v>
      </c>
      <c r="B12995">
        <v>1841</v>
      </c>
      <c r="C12995" s="151" t="s">
        <v>633</v>
      </c>
      <c r="D12995" s="151" t="s">
        <v>26</v>
      </c>
      <c r="E12995" t="s">
        <v>63</v>
      </c>
      <c r="F12995" t="s">
        <v>15</v>
      </c>
      <c r="G12995" s="18">
        <v>19963</v>
      </c>
      <c r="H12995" s="151" t="s">
        <v>563</v>
      </c>
      <c r="I12995" t="s">
        <v>561</v>
      </c>
    </row>
    <row r="12996" spans="1:9" x14ac:dyDescent="0.25">
      <c r="A12996">
        <v>1840</v>
      </c>
      <c r="B12996">
        <v>1841</v>
      </c>
      <c r="C12996" s="151" t="s">
        <v>633</v>
      </c>
      <c r="D12996" s="151" t="s">
        <v>26</v>
      </c>
      <c r="E12996" t="s">
        <v>105</v>
      </c>
      <c r="F12996" t="s">
        <v>15</v>
      </c>
      <c r="G12996" s="18">
        <v>1064823</v>
      </c>
      <c r="H12996" s="151" t="s">
        <v>563</v>
      </c>
      <c r="I12996" t="s">
        <v>561</v>
      </c>
    </row>
    <row r="12997" spans="1:9" x14ac:dyDescent="0.25">
      <c r="A12997">
        <v>1840</v>
      </c>
      <c r="B12997">
        <v>1841</v>
      </c>
      <c r="C12997" s="151" t="s">
        <v>633</v>
      </c>
      <c r="D12997" s="151" t="s">
        <v>26</v>
      </c>
      <c r="E12997" t="s">
        <v>106</v>
      </c>
      <c r="F12997" t="s">
        <v>15</v>
      </c>
      <c r="G12997" s="18">
        <v>509192</v>
      </c>
      <c r="H12997" s="151" t="s">
        <v>563</v>
      </c>
      <c r="I12997" t="s">
        <v>561</v>
      </c>
    </row>
    <row r="12998" spans="1:9" x14ac:dyDescent="0.25">
      <c r="A12998">
        <v>1840</v>
      </c>
      <c r="B12998">
        <v>1841</v>
      </c>
      <c r="C12998" s="151" t="s">
        <v>633</v>
      </c>
      <c r="D12998" s="151" t="s">
        <v>26</v>
      </c>
      <c r="E12998" t="s">
        <v>107</v>
      </c>
      <c r="F12998" t="s">
        <v>15</v>
      </c>
      <c r="G12998" s="18">
        <v>1574015</v>
      </c>
      <c r="H12998" s="151" t="s">
        <v>563</v>
      </c>
      <c r="I12998" t="s">
        <v>561</v>
      </c>
    </row>
    <row r="12999" spans="1:9" x14ac:dyDescent="0.25">
      <c r="A12999">
        <v>1840</v>
      </c>
      <c r="B12999">
        <v>1841</v>
      </c>
      <c r="C12999" s="151" t="s">
        <v>633</v>
      </c>
      <c r="D12999" s="151" t="s">
        <v>26</v>
      </c>
      <c r="E12999" t="s">
        <v>75</v>
      </c>
      <c r="F12999" t="s">
        <v>15</v>
      </c>
      <c r="G12999" s="18">
        <v>10108327</v>
      </c>
      <c r="H12999" s="151" t="s">
        <v>563</v>
      </c>
      <c r="I12999" t="s">
        <v>561</v>
      </c>
    </row>
    <row r="13000" spans="1:9" x14ac:dyDescent="0.25">
      <c r="A13000">
        <v>1840</v>
      </c>
      <c r="B13000">
        <v>1841</v>
      </c>
      <c r="C13000" s="151" t="s">
        <v>633</v>
      </c>
      <c r="D13000" s="151" t="s">
        <v>26</v>
      </c>
      <c r="E13000" t="s">
        <v>101</v>
      </c>
      <c r="F13000" t="s">
        <v>15</v>
      </c>
      <c r="G13000" s="18">
        <v>14815163</v>
      </c>
      <c r="H13000" s="151" t="s">
        <v>563</v>
      </c>
      <c r="I13000" t="s">
        <v>561</v>
      </c>
    </row>
    <row r="13001" spans="1:9" x14ac:dyDescent="0.25">
      <c r="A13001">
        <v>1840</v>
      </c>
      <c r="B13001">
        <v>1841</v>
      </c>
      <c r="C13001" s="151" t="s">
        <v>633</v>
      </c>
      <c r="D13001" s="151" t="s">
        <v>26</v>
      </c>
      <c r="E13001" t="s">
        <v>66</v>
      </c>
      <c r="F13001" t="s">
        <v>15</v>
      </c>
      <c r="G13001" s="18">
        <v>928053</v>
      </c>
      <c r="H13001" s="151" t="s">
        <v>563</v>
      </c>
      <c r="I13001" t="s">
        <v>561</v>
      </c>
    </row>
    <row r="13002" spans="1:9" x14ac:dyDescent="0.25">
      <c r="A13002">
        <v>1840</v>
      </c>
      <c r="B13002">
        <v>1841</v>
      </c>
      <c r="C13002" s="151" t="s">
        <v>633</v>
      </c>
      <c r="D13002" s="151" t="s">
        <v>26</v>
      </c>
      <c r="E13002" t="s">
        <v>330</v>
      </c>
      <c r="F13002" t="s">
        <v>15</v>
      </c>
      <c r="G13002" s="18">
        <v>1739</v>
      </c>
      <c r="H13002" s="151" t="s">
        <v>563</v>
      </c>
      <c r="I13002" t="s">
        <v>561</v>
      </c>
    </row>
    <row r="13003" spans="1:9" x14ac:dyDescent="0.25">
      <c r="A13003">
        <v>1840</v>
      </c>
      <c r="B13003">
        <v>1841</v>
      </c>
      <c r="C13003" s="151" t="s">
        <v>633</v>
      </c>
      <c r="D13003" s="151" t="s">
        <v>26</v>
      </c>
      <c r="E13003" t="s">
        <v>331</v>
      </c>
      <c r="F13003" t="s">
        <v>15</v>
      </c>
      <c r="G13003" s="18">
        <v>37</v>
      </c>
      <c r="H13003" s="151" t="s">
        <v>563</v>
      </c>
      <c r="I13003" t="s">
        <v>561</v>
      </c>
    </row>
    <row r="13004" spans="1:9" x14ac:dyDescent="0.25">
      <c r="A13004">
        <v>1840</v>
      </c>
      <c r="B13004">
        <v>1841</v>
      </c>
      <c r="C13004" s="151" t="s">
        <v>633</v>
      </c>
      <c r="D13004" s="151" t="s">
        <v>26</v>
      </c>
      <c r="E13004" t="s">
        <v>332</v>
      </c>
      <c r="F13004" t="s">
        <v>15</v>
      </c>
      <c r="G13004" s="18">
        <v>375</v>
      </c>
      <c r="H13004" s="151" t="s">
        <v>563</v>
      </c>
      <c r="I13004" t="s">
        <v>561</v>
      </c>
    </row>
    <row r="13005" spans="1:9" x14ac:dyDescent="0.25">
      <c r="A13005">
        <v>1840</v>
      </c>
      <c r="B13005">
        <v>1841</v>
      </c>
      <c r="C13005" s="151" t="s">
        <v>633</v>
      </c>
      <c r="D13005" s="151" t="s">
        <v>26</v>
      </c>
      <c r="E13005" t="s">
        <v>333</v>
      </c>
      <c r="F13005" t="s">
        <v>15</v>
      </c>
      <c r="G13005" s="18">
        <v>489</v>
      </c>
      <c r="H13005" s="151" t="s">
        <v>563</v>
      </c>
      <c r="I13005" t="s">
        <v>561</v>
      </c>
    </row>
    <row r="13006" spans="1:9" x14ac:dyDescent="0.25">
      <c r="A13006">
        <v>1840</v>
      </c>
      <c r="B13006">
        <v>1841</v>
      </c>
      <c r="C13006" s="151" t="s">
        <v>633</v>
      </c>
      <c r="D13006" s="151" t="s">
        <v>26</v>
      </c>
      <c r="E13006" t="s">
        <v>664</v>
      </c>
      <c r="F13006" t="s">
        <v>15</v>
      </c>
      <c r="G13006" s="18">
        <v>1301</v>
      </c>
      <c r="H13006" s="151" t="s">
        <v>563</v>
      </c>
      <c r="I13006" t="s">
        <v>561</v>
      </c>
    </row>
    <row r="13007" spans="1:9" x14ac:dyDescent="0.25">
      <c r="A13007">
        <v>1840</v>
      </c>
      <c r="B13007">
        <v>1841</v>
      </c>
      <c r="C13007" s="151" t="s">
        <v>633</v>
      </c>
      <c r="D13007" s="151" t="s">
        <v>26</v>
      </c>
      <c r="E13007" t="s">
        <v>665</v>
      </c>
      <c r="F13007" t="s">
        <v>15</v>
      </c>
      <c r="G13007" s="18">
        <v>246</v>
      </c>
      <c r="H13007" s="151" t="s">
        <v>563</v>
      </c>
      <c r="I13007" t="s">
        <v>561</v>
      </c>
    </row>
    <row r="13008" spans="1:9" x14ac:dyDescent="0.25">
      <c r="A13008">
        <v>1840</v>
      </c>
      <c r="B13008">
        <v>1841</v>
      </c>
      <c r="C13008" s="151" t="s">
        <v>633</v>
      </c>
      <c r="D13008" s="151" t="s">
        <v>26</v>
      </c>
      <c r="E13008" t="s">
        <v>113</v>
      </c>
      <c r="F13008" t="s">
        <v>15</v>
      </c>
      <c r="G13008" s="18">
        <v>294</v>
      </c>
      <c r="H13008" s="151" t="s">
        <v>563</v>
      </c>
      <c r="I13008" t="s">
        <v>561</v>
      </c>
    </row>
    <row r="13009" spans="1:9" x14ac:dyDescent="0.25">
      <c r="A13009">
        <v>1840</v>
      </c>
      <c r="B13009">
        <v>1841</v>
      </c>
      <c r="C13009" s="151" t="s">
        <v>633</v>
      </c>
      <c r="D13009" s="151" t="s">
        <v>26</v>
      </c>
      <c r="E13009" t="s">
        <v>112</v>
      </c>
      <c r="F13009" t="s">
        <v>15</v>
      </c>
      <c r="G13009" s="18">
        <v>214</v>
      </c>
      <c r="H13009" s="151" t="s">
        <v>563</v>
      </c>
      <c r="I13009" t="s">
        <v>561</v>
      </c>
    </row>
    <row r="13010" spans="1:9" x14ac:dyDescent="0.25">
      <c r="A13010">
        <v>1841</v>
      </c>
      <c r="B13010" s="151">
        <v>1842</v>
      </c>
      <c r="C13010" s="151" t="s">
        <v>634</v>
      </c>
      <c r="D13010" s="151" t="s">
        <v>26</v>
      </c>
      <c r="E13010" s="151" t="s">
        <v>62</v>
      </c>
      <c r="F13010" t="s">
        <v>15</v>
      </c>
      <c r="G13010" s="18">
        <v>97486</v>
      </c>
      <c r="H13010" s="151" t="s">
        <v>563</v>
      </c>
      <c r="I13010" t="s">
        <v>561</v>
      </c>
    </row>
    <row r="13011" spans="1:9" x14ac:dyDescent="0.25">
      <c r="A13011">
        <v>1841</v>
      </c>
      <c r="B13011" s="151">
        <v>1842</v>
      </c>
      <c r="C13011" s="151" t="s">
        <v>634</v>
      </c>
      <c r="D13011" s="151" t="s">
        <v>26</v>
      </c>
      <c r="E13011" s="151" t="s">
        <v>40</v>
      </c>
      <c r="F13011" t="s">
        <v>15</v>
      </c>
      <c r="G13011" s="18">
        <v>1076343</v>
      </c>
      <c r="H13011" s="151" t="s">
        <v>563</v>
      </c>
      <c r="I13011" t="s">
        <v>561</v>
      </c>
    </row>
    <row r="13012" spans="1:9" x14ac:dyDescent="0.25">
      <c r="A13012">
        <v>1841</v>
      </c>
      <c r="B13012" s="151">
        <v>1842</v>
      </c>
      <c r="C13012" s="151" t="s">
        <v>634</v>
      </c>
      <c r="D13012" s="151" t="s">
        <v>26</v>
      </c>
      <c r="E13012" s="151" t="s">
        <v>55</v>
      </c>
      <c r="F13012" t="s">
        <v>15</v>
      </c>
      <c r="G13012" s="18">
        <v>11272</v>
      </c>
      <c r="H13012" s="151" t="s">
        <v>563</v>
      </c>
      <c r="I13012" t="s">
        <v>561</v>
      </c>
    </row>
    <row r="13013" spans="1:9" x14ac:dyDescent="0.25">
      <c r="A13013">
        <v>1841</v>
      </c>
      <c r="B13013" s="151">
        <v>1842</v>
      </c>
      <c r="C13013" s="151" t="s">
        <v>634</v>
      </c>
      <c r="D13013" s="151" t="s">
        <v>26</v>
      </c>
      <c r="E13013" s="151" t="s">
        <v>98</v>
      </c>
      <c r="F13013" t="s">
        <v>15</v>
      </c>
      <c r="G13013" s="18">
        <v>3822147</v>
      </c>
      <c r="H13013" s="151" t="s">
        <v>563</v>
      </c>
      <c r="I13013" t="s">
        <v>561</v>
      </c>
    </row>
    <row r="13014" spans="1:9" x14ac:dyDescent="0.25">
      <c r="A13014">
        <v>1841</v>
      </c>
      <c r="B13014">
        <v>1842</v>
      </c>
      <c r="C13014" s="151" t="s">
        <v>634</v>
      </c>
      <c r="D13014" s="151" t="s">
        <v>26</v>
      </c>
      <c r="E13014" t="s">
        <v>53</v>
      </c>
      <c r="F13014" t="s">
        <v>15</v>
      </c>
      <c r="G13014" s="18">
        <v>78895</v>
      </c>
      <c r="H13014" s="151" t="s">
        <v>563</v>
      </c>
      <c r="I13014" t="s">
        <v>561</v>
      </c>
    </row>
    <row r="13015" spans="1:9" x14ac:dyDescent="0.25">
      <c r="A13015">
        <v>1841</v>
      </c>
      <c r="B13015">
        <v>1842</v>
      </c>
      <c r="C13015" s="151" t="s">
        <v>634</v>
      </c>
      <c r="D13015" s="151" t="s">
        <v>26</v>
      </c>
      <c r="E13015" t="s">
        <v>28</v>
      </c>
      <c r="F13015" t="s">
        <v>15</v>
      </c>
      <c r="G13015" s="18">
        <v>4099</v>
      </c>
      <c r="H13015" s="151" t="s">
        <v>563</v>
      </c>
      <c r="I13015" t="s">
        <v>561</v>
      </c>
    </row>
    <row r="13016" spans="1:9" x14ac:dyDescent="0.25">
      <c r="A13016">
        <v>1841</v>
      </c>
      <c r="B13016">
        <v>1842</v>
      </c>
      <c r="C13016" s="151" t="s">
        <v>634</v>
      </c>
      <c r="D13016" s="151" t="s">
        <v>26</v>
      </c>
      <c r="E13016" t="s">
        <v>89</v>
      </c>
      <c r="F13016" t="s">
        <v>15</v>
      </c>
      <c r="G13016" s="18">
        <v>35313</v>
      </c>
      <c r="H13016" s="151" t="s">
        <v>563</v>
      </c>
      <c r="I13016" t="s">
        <v>561</v>
      </c>
    </row>
    <row r="13017" spans="1:9" x14ac:dyDescent="0.25">
      <c r="A13017">
        <v>1841</v>
      </c>
      <c r="B13017">
        <v>1842</v>
      </c>
      <c r="C13017" s="151" t="s">
        <v>634</v>
      </c>
      <c r="D13017" s="151" t="s">
        <v>26</v>
      </c>
      <c r="E13017" t="s">
        <v>662</v>
      </c>
      <c r="F13017" t="s">
        <v>15</v>
      </c>
      <c r="G13017" s="18">
        <v>50663</v>
      </c>
      <c r="H13017" s="151" t="s">
        <v>563</v>
      </c>
      <c r="I13017" t="s">
        <v>561</v>
      </c>
    </row>
    <row r="13018" spans="1:9" x14ac:dyDescent="0.25">
      <c r="A13018">
        <v>1841</v>
      </c>
      <c r="B13018">
        <v>1842</v>
      </c>
      <c r="C13018" s="151" t="s">
        <v>634</v>
      </c>
      <c r="D13018" s="151" t="s">
        <v>26</v>
      </c>
      <c r="E13018" t="s">
        <v>663</v>
      </c>
      <c r="F13018" t="s">
        <v>15</v>
      </c>
      <c r="G13018" s="18">
        <v>150015</v>
      </c>
      <c r="H13018" s="151" t="s">
        <v>563</v>
      </c>
      <c r="I13018" t="s">
        <v>561</v>
      </c>
    </row>
    <row r="13019" spans="1:9" x14ac:dyDescent="0.25">
      <c r="A13019">
        <v>1841</v>
      </c>
      <c r="B13019">
        <v>1842</v>
      </c>
      <c r="C13019" s="151" t="s">
        <v>634</v>
      </c>
      <c r="D13019" s="151" t="s">
        <v>26</v>
      </c>
      <c r="E13019" t="s">
        <v>450</v>
      </c>
      <c r="F13019" t="s">
        <v>15</v>
      </c>
      <c r="G13019" s="18">
        <v>29086</v>
      </c>
      <c r="H13019" s="151" t="s">
        <v>563</v>
      </c>
      <c r="I13019" t="s">
        <v>561</v>
      </c>
    </row>
    <row r="13020" spans="1:9" x14ac:dyDescent="0.25">
      <c r="A13020">
        <v>1841</v>
      </c>
      <c r="B13020">
        <v>1842</v>
      </c>
      <c r="C13020" s="151" t="s">
        <v>634</v>
      </c>
      <c r="D13020" s="151" t="s">
        <v>26</v>
      </c>
      <c r="E13020" t="s">
        <v>102</v>
      </c>
      <c r="F13020" t="s">
        <v>15</v>
      </c>
      <c r="G13020" s="18">
        <v>28650</v>
      </c>
      <c r="H13020" s="151" t="s">
        <v>563</v>
      </c>
      <c r="I13020" t="s">
        <v>561</v>
      </c>
    </row>
    <row r="13021" spans="1:9" x14ac:dyDescent="0.25">
      <c r="A13021">
        <v>1841</v>
      </c>
      <c r="B13021">
        <v>1842</v>
      </c>
      <c r="C13021" s="151" t="s">
        <v>634</v>
      </c>
      <c r="D13021" s="151" t="s">
        <v>26</v>
      </c>
      <c r="E13021" t="s">
        <v>48</v>
      </c>
      <c r="F13021" t="s">
        <v>15</v>
      </c>
      <c r="G13021" s="18">
        <v>17273</v>
      </c>
      <c r="H13021" s="151" t="s">
        <v>563</v>
      </c>
      <c r="I13021" t="s">
        <v>561</v>
      </c>
    </row>
    <row r="13022" spans="1:9" x14ac:dyDescent="0.25">
      <c r="A13022">
        <v>1841</v>
      </c>
      <c r="B13022">
        <v>1842</v>
      </c>
      <c r="C13022" s="151" t="s">
        <v>634</v>
      </c>
      <c r="D13022" s="151" t="s">
        <v>26</v>
      </c>
      <c r="E13022" t="s">
        <v>34</v>
      </c>
      <c r="F13022" t="s">
        <v>15</v>
      </c>
      <c r="G13022" s="18">
        <v>53603</v>
      </c>
      <c r="H13022" s="151" t="s">
        <v>563</v>
      </c>
      <c r="I13022" t="s">
        <v>561</v>
      </c>
    </row>
    <row r="13023" spans="1:9" x14ac:dyDescent="0.25">
      <c r="A13023">
        <v>1841</v>
      </c>
      <c r="B13023">
        <v>1842</v>
      </c>
      <c r="C13023" s="151" t="s">
        <v>634</v>
      </c>
      <c r="D13023" s="151" t="s">
        <v>26</v>
      </c>
      <c r="E13023" t="s">
        <v>63</v>
      </c>
      <c r="F13023" t="s">
        <v>15</v>
      </c>
      <c r="G13023" s="18">
        <v>22312</v>
      </c>
      <c r="H13023" s="151" t="s">
        <v>563</v>
      </c>
      <c r="I13023" t="s">
        <v>561</v>
      </c>
    </row>
    <row r="13024" spans="1:9" x14ac:dyDescent="0.25">
      <c r="A13024">
        <v>1841</v>
      </c>
      <c r="B13024">
        <v>1842</v>
      </c>
      <c r="C13024" s="151" t="s">
        <v>634</v>
      </c>
      <c r="D13024" s="151" t="s">
        <v>26</v>
      </c>
      <c r="E13024" t="s">
        <v>105</v>
      </c>
      <c r="F13024" t="s">
        <v>15</v>
      </c>
      <c r="G13024" s="18">
        <v>1810100</v>
      </c>
      <c r="H13024" s="151" t="s">
        <v>563</v>
      </c>
      <c r="I13024" t="s">
        <v>561</v>
      </c>
    </row>
    <row r="13025" spans="1:9" x14ac:dyDescent="0.25">
      <c r="A13025">
        <v>1841</v>
      </c>
      <c r="B13025">
        <v>1842</v>
      </c>
      <c r="C13025" s="151" t="s">
        <v>634</v>
      </c>
      <c r="D13025" s="151" t="s">
        <v>26</v>
      </c>
      <c r="E13025" t="s">
        <v>106</v>
      </c>
      <c r="F13025" t="s">
        <v>15</v>
      </c>
      <c r="G13025" s="18">
        <v>887983</v>
      </c>
      <c r="H13025" s="151" t="s">
        <v>563</v>
      </c>
      <c r="I13025" t="s">
        <v>561</v>
      </c>
    </row>
    <row r="13026" spans="1:9" x14ac:dyDescent="0.25">
      <c r="A13026">
        <v>1841</v>
      </c>
      <c r="B13026">
        <v>1842</v>
      </c>
      <c r="C13026" s="151" t="s">
        <v>634</v>
      </c>
      <c r="D13026" s="151" t="s">
        <v>26</v>
      </c>
      <c r="E13026" t="s">
        <v>107</v>
      </c>
      <c r="F13026" t="s">
        <v>15</v>
      </c>
      <c r="G13026" s="18">
        <v>2698083</v>
      </c>
      <c r="H13026" s="151" t="s">
        <v>563</v>
      </c>
      <c r="I13026" t="s">
        <v>561</v>
      </c>
    </row>
    <row r="13027" spans="1:9" x14ac:dyDescent="0.25">
      <c r="A13027">
        <v>1841</v>
      </c>
      <c r="B13027">
        <v>1842</v>
      </c>
      <c r="C13027" s="151" t="s">
        <v>634</v>
      </c>
      <c r="D13027" s="151" t="s">
        <v>26</v>
      </c>
      <c r="E13027" t="s">
        <v>75</v>
      </c>
      <c r="F13027" t="s">
        <v>15</v>
      </c>
      <c r="G13027" s="18">
        <v>11014909</v>
      </c>
      <c r="H13027" s="151" t="s">
        <v>563</v>
      </c>
      <c r="I13027" t="s">
        <v>561</v>
      </c>
    </row>
    <row r="13028" spans="1:9" x14ac:dyDescent="0.25">
      <c r="A13028">
        <v>1841</v>
      </c>
      <c r="B13028">
        <v>1842</v>
      </c>
      <c r="C13028" s="151" t="s">
        <v>634</v>
      </c>
      <c r="D13028" s="151" t="s">
        <v>26</v>
      </c>
      <c r="E13028" t="s">
        <v>101</v>
      </c>
      <c r="F13028" t="s">
        <v>15</v>
      </c>
      <c r="G13028" s="18">
        <v>11920553</v>
      </c>
      <c r="H13028" s="151" t="s">
        <v>563</v>
      </c>
      <c r="I13028" t="s">
        <v>561</v>
      </c>
    </row>
    <row r="13029" spans="1:9" x14ac:dyDescent="0.25">
      <c r="A13029">
        <v>1841</v>
      </c>
      <c r="B13029">
        <v>1842</v>
      </c>
      <c r="C13029" s="151" t="s">
        <v>634</v>
      </c>
      <c r="D13029" s="151" t="s">
        <v>26</v>
      </c>
      <c r="E13029" t="s">
        <v>66</v>
      </c>
      <c r="F13029" t="s">
        <v>15</v>
      </c>
      <c r="G13029" s="18">
        <v>839123</v>
      </c>
      <c r="H13029" s="151" t="s">
        <v>563</v>
      </c>
      <c r="I13029" t="s">
        <v>561</v>
      </c>
    </row>
    <row r="13030" spans="1:9" x14ac:dyDescent="0.25">
      <c r="A13030">
        <v>1841</v>
      </c>
      <c r="B13030">
        <v>1842</v>
      </c>
      <c r="C13030" s="151" t="s">
        <v>634</v>
      </c>
      <c r="D13030" s="151" t="s">
        <v>26</v>
      </c>
      <c r="E13030" t="s">
        <v>330</v>
      </c>
      <c r="F13030" t="s">
        <v>15</v>
      </c>
      <c r="G13030" s="18">
        <v>1630</v>
      </c>
      <c r="H13030" s="151" t="s">
        <v>563</v>
      </c>
      <c r="I13030" t="s">
        <v>561</v>
      </c>
    </row>
    <row r="13031" spans="1:9" x14ac:dyDescent="0.25">
      <c r="A13031">
        <v>1841</v>
      </c>
      <c r="B13031">
        <v>1842</v>
      </c>
      <c r="C13031" s="151" t="s">
        <v>634</v>
      </c>
      <c r="D13031" s="151" t="s">
        <v>26</v>
      </c>
      <c r="E13031" t="s">
        <v>331</v>
      </c>
      <c r="F13031" t="s">
        <v>15</v>
      </c>
      <c r="G13031" s="18">
        <v>71</v>
      </c>
      <c r="H13031" s="151" t="s">
        <v>563</v>
      </c>
      <c r="I13031" t="s">
        <v>561</v>
      </c>
    </row>
    <row r="13032" spans="1:9" x14ac:dyDescent="0.25">
      <c r="A13032">
        <v>1841</v>
      </c>
      <c r="B13032">
        <v>1842</v>
      </c>
      <c r="C13032" s="151" t="s">
        <v>634</v>
      </c>
      <c r="D13032" s="151" t="s">
        <v>26</v>
      </c>
      <c r="E13032" t="s">
        <v>332</v>
      </c>
      <c r="F13032" t="s">
        <v>15</v>
      </c>
      <c r="G13032" s="18">
        <v>480</v>
      </c>
      <c r="H13032" s="151" t="s">
        <v>563</v>
      </c>
      <c r="I13032" t="s">
        <v>561</v>
      </c>
    </row>
    <row r="13033" spans="1:9" x14ac:dyDescent="0.25">
      <c r="A13033">
        <v>1841</v>
      </c>
      <c r="B13033">
        <v>1842</v>
      </c>
      <c r="C13033" s="151" t="s">
        <v>634</v>
      </c>
      <c r="D13033" s="151" t="s">
        <v>26</v>
      </c>
      <c r="E13033" t="s">
        <v>333</v>
      </c>
      <c r="F13033" t="s">
        <v>15</v>
      </c>
      <c r="G13033" s="18">
        <v>689</v>
      </c>
      <c r="H13033" s="151" t="s">
        <v>563</v>
      </c>
      <c r="I13033" t="s">
        <v>561</v>
      </c>
    </row>
    <row r="13034" spans="1:9" x14ac:dyDescent="0.25">
      <c r="A13034">
        <v>1841</v>
      </c>
      <c r="B13034">
        <v>1842</v>
      </c>
      <c r="C13034" s="151" t="s">
        <v>634</v>
      </c>
      <c r="D13034" s="151" t="s">
        <v>26</v>
      </c>
      <c r="E13034" t="s">
        <v>113</v>
      </c>
      <c r="F13034" t="s">
        <v>15</v>
      </c>
      <c r="G13034" s="18">
        <v>559</v>
      </c>
      <c r="H13034" s="151" t="s">
        <v>563</v>
      </c>
      <c r="I13034" t="s">
        <v>561</v>
      </c>
    </row>
    <row r="13035" spans="1:9" x14ac:dyDescent="0.25">
      <c r="A13035">
        <v>1841</v>
      </c>
      <c r="B13035">
        <v>1842</v>
      </c>
      <c r="C13035" s="151" t="s">
        <v>634</v>
      </c>
      <c r="D13035" s="151" t="s">
        <v>26</v>
      </c>
      <c r="E13035" t="s">
        <v>112</v>
      </c>
      <c r="F13035" t="s">
        <v>15</v>
      </c>
      <c r="G13035" s="18">
        <v>141</v>
      </c>
      <c r="H13035" s="151" t="s">
        <v>563</v>
      </c>
      <c r="I13035" t="s">
        <v>561</v>
      </c>
    </row>
    <row r="13036" spans="1:9" x14ac:dyDescent="0.25">
      <c r="A13036">
        <v>1842</v>
      </c>
      <c r="B13036" s="151">
        <v>1843</v>
      </c>
      <c r="C13036" s="151" t="s">
        <v>635</v>
      </c>
      <c r="D13036" s="151" t="s">
        <v>26</v>
      </c>
      <c r="E13036" s="151" t="s">
        <v>62</v>
      </c>
      <c r="F13036" t="s">
        <v>15</v>
      </c>
      <c r="G13036" s="18">
        <v>106369</v>
      </c>
      <c r="H13036" s="151" t="s">
        <v>563</v>
      </c>
      <c r="I13036" t="s">
        <v>561</v>
      </c>
    </row>
    <row r="13037" spans="1:9" x14ac:dyDescent="0.25">
      <c r="A13037">
        <v>1842</v>
      </c>
      <c r="B13037" s="151">
        <v>1843</v>
      </c>
      <c r="C13037" s="151" t="s">
        <v>635</v>
      </c>
      <c r="D13037" s="151" t="s">
        <v>26</v>
      </c>
      <c r="E13037" s="151" t="s">
        <v>40</v>
      </c>
      <c r="F13037" t="s">
        <v>15</v>
      </c>
      <c r="G13037" s="18">
        <v>1573779</v>
      </c>
      <c r="H13037" s="151" t="s">
        <v>563</v>
      </c>
      <c r="I13037" t="s">
        <v>561</v>
      </c>
    </row>
    <row r="13038" spans="1:9" x14ac:dyDescent="0.25">
      <c r="A13038">
        <v>1842</v>
      </c>
      <c r="B13038" s="151">
        <v>1843</v>
      </c>
      <c r="C13038" s="151" t="s">
        <v>635</v>
      </c>
      <c r="D13038" s="151" t="s">
        <v>26</v>
      </c>
      <c r="E13038" s="151" t="s">
        <v>55</v>
      </c>
      <c r="F13038" t="s">
        <v>15</v>
      </c>
      <c r="G13038" s="18">
        <v>13268</v>
      </c>
      <c r="H13038" s="151" t="s">
        <v>563</v>
      </c>
      <c r="I13038" t="s">
        <v>561</v>
      </c>
    </row>
    <row r="13039" spans="1:9" x14ac:dyDescent="0.25">
      <c r="A13039">
        <v>1842</v>
      </c>
      <c r="B13039" s="151">
        <v>1843</v>
      </c>
      <c r="C13039" s="151" t="s">
        <v>635</v>
      </c>
      <c r="D13039" s="151" t="s">
        <v>26</v>
      </c>
      <c r="E13039" s="151" t="s">
        <v>98</v>
      </c>
      <c r="F13039" t="s">
        <v>15</v>
      </c>
      <c r="G13039" s="18">
        <v>1821117</v>
      </c>
      <c r="H13039" s="151" t="s">
        <v>563</v>
      </c>
      <c r="I13039" t="s">
        <v>561</v>
      </c>
    </row>
    <row r="13040" spans="1:9" x14ac:dyDescent="0.25">
      <c r="A13040">
        <v>1842</v>
      </c>
      <c r="B13040">
        <v>1843</v>
      </c>
      <c r="C13040" s="151" t="s">
        <v>635</v>
      </c>
      <c r="D13040" s="151" t="s">
        <v>26</v>
      </c>
      <c r="E13040" t="s">
        <v>53</v>
      </c>
      <c r="F13040" t="s">
        <v>15</v>
      </c>
      <c r="G13040" s="18">
        <v>68637</v>
      </c>
      <c r="H13040" s="151" t="s">
        <v>563</v>
      </c>
      <c r="I13040" t="s">
        <v>561</v>
      </c>
    </row>
    <row r="13041" spans="1:9" x14ac:dyDescent="0.25">
      <c r="A13041">
        <v>1842</v>
      </c>
      <c r="B13041">
        <v>1843</v>
      </c>
      <c r="C13041" s="151" t="s">
        <v>635</v>
      </c>
      <c r="D13041" s="151" t="s">
        <v>26</v>
      </c>
      <c r="E13041" t="s">
        <v>28</v>
      </c>
      <c r="F13041" t="s">
        <v>15</v>
      </c>
      <c r="G13041" s="18">
        <v>2198</v>
      </c>
      <c r="H13041" s="151" t="s">
        <v>563</v>
      </c>
      <c r="I13041" t="s">
        <v>561</v>
      </c>
    </row>
    <row r="13042" spans="1:9" x14ac:dyDescent="0.25">
      <c r="A13042">
        <v>1842</v>
      </c>
      <c r="B13042">
        <v>1843</v>
      </c>
      <c r="C13042" s="151" t="s">
        <v>635</v>
      </c>
      <c r="D13042" s="151" t="s">
        <v>26</v>
      </c>
      <c r="E13042" t="s">
        <v>89</v>
      </c>
      <c r="F13042" t="s">
        <v>15</v>
      </c>
      <c r="G13042" s="18">
        <v>25308</v>
      </c>
      <c r="H13042" s="151" t="s">
        <v>563</v>
      </c>
      <c r="I13042" t="s">
        <v>561</v>
      </c>
    </row>
    <row r="13043" spans="1:9" x14ac:dyDescent="0.25">
      <c r="A13043">
        <v>1842</v>
      </c>
      <c r="B13043">
        <v>1843</v>
      </c>
      <c r="C13043" s="151" t="s">
        <v>635</v>
      </c>
      <c r="D13043" s="151" t="s">
        <v>26</v>
      </c>
      <c r="E13043" t="s">
        <v>662</v>
      </c>
      <c r="F13043" t="s">
        <v>15</v>
      </c>
      <c r="G13043" s="18">
        <v>40559</v>
      </c>
      <c r="H13043" s="151" t="s">
        <v>563</v>
      </c>
      <c r="I13043" t="s">
        <v>561</v>
      </c>
    </row>
    <row r="13044" spans="1:9" x14ac:dyDescent="0.25">
      <c r="A13044">
        <v>1842</v>
      </c>
      <c r="B13044">
        <v>1843</v>
      </c>
      <c r="C13044" s="151" t="s">
        <v>635</v>
      </c>
      <c r="D13044" s="151" t="s">
        <v>26</v>
      </c>
      <c r="E13044" t="s">
        <v>663</v>
      </c>
      <c r="F13044" t="s">
        <v>15</v>
      </c>
      <c r="G13044" s="18">
        <v>140652</v>
      </c>
      <c r="H13044" s="151" t="s">
        <v>563</v>
      </c>
      <c r="I13044" t="s">
        <v>561</v>
      </c>
    </row>
    <row r="13045" spans="1:9" x14ac:dyDescent="0.25">
      <c r="A13045">
        <v>1842</v>
      </c>
      <c r="B13045">
        <v>1843</v>
      </c>
      <c r="C13045" s="151" t="s">
        <v>635</v>
      </c>
      <c r="D13045" s="151" t="s">
        <v>26</v>
      </c>
      <c r="E13045" t="s">
        <v>450</v>
      </c>
      <c r="F13045" t="s">
        <v>15</v>
      </c>
      <c r="G13045" s="18">
        <v>34588</v>
      </c>
      <c r="H13045" s="151" t="s">
        <v>563</v>
      </c>
      <c r="I13045" t="s">
        <v>561</v>
      </c>
    </row>
    <row r="13046" spans="1:9" x14ac:dyDescent="0.25">
      <c r="A13046">
        <v>1842</v>
      </c>
      <c r="B13046">
        <v>1843</v>
      </c>
      <c r="C13046" s="151" t="s">
        <v>635</v>
      </c>
      <c r="D13046" s="151" t="s">
        <v>26</v>
      </c>
      <c r="E13046" t="s">
        <v>102</v>
      </c>
      <c r="F13046" t="s">
        <v>15</v>
      </c>
      <c r="G13046" s="18">
        <v>35870</v>
      </c>
      <c r="H13046" s="151" t="s">
        <v>563</v>
      </c>
      <c r="I13046" t="s">
        <v>561</v>
      </c>
    </row>
    <row r="13047" spans="1:9" x14ac:dyDescent="0.25">
      <c r="A13047">
        <v>1842</v>
      </c>
      <c r="B13047">
        <v>1843</v>
      </c>
      <c r="C13047" s="151" t="s">
        <v>635</v>
      </c>
      <c r="D13047" s="151" t="s">
        <v>26</v>
      </c>
      <c r="E13047" t="s">
        <v>48</v>
      </c>
      <c r="F13047" t="s">
        <v>15</v>
      </c>
      <c r="G13047" s="18">
        <v>30967</v>
      </c>
      <c r="H13047" s="151" t="s">
        <v>563</v>
      </c>
      <c r="I13047" t="s">
        <v>561</v>
      </c>
    </row>
    <row r="13048" spans="1:9" x14ac:dyDescent="0.25">
      <c r="A13048">
        <v>1842</v>
      </c>
      <c r="B13048">
        <v>1843</v>
      </c>
      <c r="C13048" s="151" t="s">
        <v>635</v>
      </c>
      <c r="D13048" s="151" t="s">
        <v>26</v>
      </c>
      <c r="E13048" t="s">
        <v>34</v>
      </c>
      <c r="F13048" t="s">
        <v>15</v>
      </c>
      <c r="G13048" s="18">
        <v>35171</v>
      </c>
      <c r="H13048" s="151" t="s">
        <v>563</v>
      </c>
      <c r="I13048" t="s">
        <v>561</v>
      </c>
    </row>
    <row r="13049" spans="1:9" x14ac:dyDescent="0.25">
      <c r="A13049">
        <v>1842</v>
      </c>
      <c r="B13049">
        <v>1843</v>
      </c>
      <c r="C13049" s="151" t="s">
        <v>635</v>
      </c>
      <c r="D13049" s="151" t="s">
        <v>26</v>
      </c>
      <c r="E13049" t="s">
        <v>63</v>
      </c>
      <c r="F13049" t="s">
        <v>15</v>
      </c>
      <c r="G13049" s="18">
        <v>14381</v>
      </c>
      <c r="H13049" s="151" t="s">
        <v>563</v>
      </c>
      <c r="I13049" t="s">
        <v>561</v>
      </c>
    </row>
    <row r="13050" spans="1:9" x14ac:dyDescent="0.25">
      <c r="A13050">
        <v>1842</v>
      </c>
      <c r="B13050">
        <v>1843</v>
      </c>
      <c r="C13050" s="151" t="s">
        <v>635</v>
      </c>
      <c r="D13050" s="151" t="s">
        <v>26</v>
      </c>
      <c r="E13050" t="s">
        <v>105</v>
      </c>
      <c r="F13050" t="s">
        <v>15</v>
      </c>
      <c r="G13050" s="18">
        <v>2149992</v>
      </c>
      <c r="H13050" s="151" t="s">
        <v>563</v>
      </c>
      <c r="I13050" t="s">
        <v>561</v>
      </c>
    </row>
    <row r="13051" spans="1:9" x14ac:dyDescent="0.25">
      <c r="A13051">
        <v>1842</v>
      </c>
      <c r="B13051">
        <v>1843</v>
      </c>
      <c r="C13051" s="151" t="s">
        <v>635</v>
      </c>
      <c r="D13051" s="151" t="s">
        <v>26</v>
      </c>
      <c r="E13051" t="s">
        <v>106</v>
      </c>
      <c r="F13051" t="s">
        <v>15</v>
      </c>
      <c r="G13051" s="18">
        <v>1313327</v>
      </c>
      <c r="H13051" s="151" t="s">
        <v>563</v>
      </c>
      <c r="I13051" t="s">
        <v>561</v>
      </c>
    </row>
    <row r="13052" spans="1:9" x14ac:dyDescent="0.25">
      <c r="A13052">
        <v>1842</v>
      </c>
      <c r="B13052">
        <v>1843</v>
      </c>
      <c r="C13052" s="151" t="s">
        <v>635</v>
      </c>
      <c r="D13052" s="151" t="s">
        <v>26</v>
      </c>
      <c r="E13052" t="s">
        <v>107</v>
      </c>
      <c r="F13052" t="s">
        <v>15</v>
      </c>
      <c r="G13052" s="18">
        <v>3463319</v>
      </c>
      <c r="H13052" s="151" t="s">
        <v>563</v>
      </c>
      <c r="I13052" t="s">
        <v>561</v>
      </c>
    </row>
    <row r="13053" spans="1:9" x14ac:dyDescent="0.25">
      <c r="A13053">
        <v>1842</v>
      </c>
      <c r="B13053">
        <v>1843</v>
      </c>
      <c r="C13053" s="151" t="s">
        <v>635</v>
      </c>
      <c r="D13053" s="151" t="s">
        <v>26</v>
      </c>
      <c r="E13053" t="s">
        <v>75</v>
      </c>
      <c r="F13053" t="s">
        <v>15</v>
      </c>
      <c r="G13053" s="18">
        <v>7158512</v>
      </c>
      <c r="H13053" s="151" t="s">
        <v>563</v>
      </c>
      <c r="I13053" t="s">
        <v>561</v>
      </c>
    </row>
    <row r="13054" spans="1:9" x14ac:dyDescent="0.25">
      <c r="A13054">
        <v>1842</v>
      </c>
      <c r="B13054">
        <v>1843</v>
      </c>
      <c r="C13054" s="151" t="s">
        <v>635</v>
      </c>
      <c r="D13054" s="151" t="s">
        <v>26</v>
      </c>
      <c r="E13054" t="s">
        <v>101</v>
      </c>
      <c r="F13054" t="s">
        <v>15</v>
      </c>
      <c r="G13054" s="18">
        <v>9828010</v>
      </c>
      <c r="H13054" s="151" t="s">
        <v>563</v>
      </c>
      <c r="I13054" t="s">
        <v>561</v>
      </c>
    </row>
    <row r="13055" spans="1:9" x14ac:dyDescent="0.25">
      <c r="A13055">
        <v>1842</v>
      </c>
      <c r="B13055">
        <v>1843</v>
      </c>
      <c r="C13055" s="151" t="s">
        <v>635</v>
      </c>
      <c r="D13055" s="151" t="s">
        <v>26</v>
      </c>
      <c r="E13055" t="s">
        <v>66</v>
      </c>
      <c r="F13055" t="s">
        <v>15</v>
      </c>
      <c r="G13055" s="18">
        <v>1074302</v>
      </c>
      <c r="H13055" s="151" t="s">
        <v>563</v>
      </c>
      <c r="I13055" t="s">
        <v>561</v>
      </c>
    </row>
    <row r="13056" spans="1:9" x14ac:dyDescent="0.25">
      <c r="A13056">
        <v>1842</v>
      </c>
      <c r="B13056">
        <v>1843</v>
      </c>
      <c r="C13056" s="151" t="s">
        <v>635</v>
      </c>
      <c r="D13056" s="151" t="s">
        <v>26</v>
      </c>
      <c r="E13056" t="s">
        <v>330</v>
      </c>
      <c r="F13056" t="s">
        <v>15</v>
      </c>
      <c r="G13056" s="18">
        <v>1849</v>
      </c>
      <c r="H13056" s="151" t="s">
        <v>563</v>
      </c>
      <c r="I13056" t="s">
        <v>561</v>
      </c>
    </row>
    <row r="13057" spans="1:9" x14ac:dyDescent="0.25">
      <c r="A13057">
        <v>1842</v>
      </c>
      <c r="B13057">
        <v>1843</v>
      </c>
      <c r="C13057" s="151" t="s">
        <v>635</v>
      </c>
      <c r="D13057" s="151" t="s">
        <v>26</v>
      </c>
      <c r="E13057" t="s">
        <v>331</v>
      </c>
      <c r="F13057" t="s">
        <v>15</v>
      </c>
      <c r="G13057" s="18">
        <v>69</v>
      </c>
      <c r="H13057" s="151" t="s">
        <v>563</v>
      </c>
      <c r="I13057" t="s">
        <v>561</v>
      </c>
    </row>
    <row r="13058" spans="1:9" x14ac:dyDescent="0.25">
      <c r="A13058">
        <v>1842</v>
      </c>
      <c r="B13058">
        <v>1843</v>
      </c>
      <c r="C13058" s="151" t="s">
        <v>635</v>
      </c>
      <c r="D13058" s="151" t="s">
        <v>26</v>
      </c>
      <c r="E13058" t="s">
        <v>332</v>
      </c>
      <c r="F13058" t="s">
        <v>15</v>
      </c>
      <c r="G13058" s="18">
        <v>411</v>
      </c>
      <c r="H13058" s="151" t="s">
        <v>563</v>
      </c>
      <c r="I13058" t="s">
        <v>561</v>
      </c>
    </row>
    <row r="13059" spans="1:9" x14ac:dyDescent="0.25">
      <c r="A13059">
        <v>1842</v>
      </c>
      <c r="B13059">
        <v>1843</v>
      </c>
      <c r="C13059" s="151" t="s">
        <v>635</v>
      </c>
      <c r="D13059" s="151" t="s">
        <v>26</v>
      </c>
      <c r="E13059" t="s">
        <v>333</v>
      </c>
      <c r="F13059" t="s">
        <v>15</v>
      </c>
      <c r="G13059" s="18">
        <v>1639</v>
      </c>
      <c r="H13059" s="151" t="s">
        <v>563</v>
      </c>
      <c r="I13059" t="s">
        <v>561</v>
      </c>
    </row>
    <row r="13060" spans="1:9" x14ac:dyDescent="0.25">
      <c r="A13060">
        <v>1842</v>
      </c>
      <c r="B13060">
        <v>1843</v>
      </c>
      <c r="C13060" s="151" t="s">
        <v>635</v>
      </c>
      <c r="D13060" s="151" t="s">
        <v>26</v>
      </c>
      <c r="E13060" t="s">
        <v>113</v>
      </c>
      <c r="F13060" t="s">
        <v>15</v>
      </c>
      <c r="G13060" s="18">
        <v>220</v>
      </c>
      <c r="H13060" s="151" t="s">
        <v>563</v>
      </c>
      <c r="I13060" t="s">
        <v>561</v>
      </c>
    </row>
    <row r="13061" spans="1:9" x14ac:dyDescent="0.25">
      <c r="A13061">
        <v>1842</v>
      </c>
      <c r="B13061">
        <v>1843</v>
      </c>
      <c r="C13061" s="151" t="s">
        <v>635</v>
      </c>
      <c r="D13061" s="151" t="s">
        <v>26</v>
      </c>
      <c r="E13061" t="s">
        <v>112</v>
      </c>
      <c r="F13061" t="s">
        <v>15</v>
      </c>
      <c r="G13061" s="18">
        <v>103</v>
      </c>
      <c r="H13061" s="151" t="s">
        <v>563</v>
      </c>
      <c r="I13061" t="s">
        <v>561</v>
      </c>
    </row>
    <row r="13062" spans="1:9" x14ac:dyDescent="0.25">
      <c r="A13062">
        <v>1843</v>
      </c>
      <c r="B13062" s="151">
        <v>1844</v>
      </c>
      <c r="C13062" s="151" t="s">
        <v>636</v>
      </c>
      <c r="D13062" s="151" t="s">
        <v>26</v>
      </c>
      <c r="E13062" s="151" t="s">
        <v>62</v>
      </c>
      <c r="F13062" t="s">
        <v>15</v>
      </c>
      <c r="G13062" s="18">
        <v>139610</v>
      </c>
      <c r="H13062" s="151" t="s">
        <v>563</v>
      </c>
      <c r="I13062" t="s">
        <v>561</v>
      </c>
    </row>
    <row r="13063" spans="1:9" x14ac:dyDescent="0.25">
      <c r="A13063">
        <v>1843</v>
      </c>
      <c r="B13063" s="151">
        <v>1844</v>
      </c>
      <c r="C13063" s="151" t="s">
        <v>636</v>
      </c>
      <c r="D13063" s="151" t="s">
        <v>26</v>
      </c>
      <c r="E13063" s="151" t="s">
        <v>40</v>
      </c>
      <c r="F13063" t="s">
        <v>15</v>
      </c>
      <c r="G13063" s="18">
        <v>1966359</v>
      </c>
      <c r="H13063" s="151" t="s">
        <v>563</v>
      </c>
      <c r="I13063" t="s">
        <v>561</v>
      </c>
    </row>
    <row r="13064" spans="1:9" x14ac:dyDescent="0.25">
      <c r="A13064">
        <v>1843</v>
      </c>
      <c r="B13064" s="151">
        <v>1844</v>
      </c>
      <c r="C13064" s="151" t="s">
        <v>636</v>
      </c>
      <c r="D13064" s="151" t="s">
        <v>26</v>
      </c>
      <c r="E13064" s="151" t="s">
        <v>55</v>
      </c>
      <c r="F13064" t="s">
        <v>15</v>
      </c>
      <c r="G13064" s="18">
        <v>32337</v>
      </c>
      <c r="H13064" s="151" t="s">
        <v>563</v>
      </c>
      <c r="I13064" t="s">
        <v>561</v>
      </c>
    </row>
    <row r="13065" spans="1:9" x14ac:dyDescent="0.25">
      <c r="A13065">
        <v>1843</v>
      </c>
      <c r="B13065" s="151">
        <v>1844</v>
      </c>
      <c r="C13065" s="151" t="s">
        <v>636</v>
      </c>
      <c r="D13065" s="151" t="s">
        <v>26</v>
      </c>
      <c r="E13065" s="151" t="s">
        <v>98</v>
      </c>
      <c r="F13065" t="s">
        <v>15</v>
      </c>
      <c r="G13065" s="18">
        <v>2181911</v>
      </c>
      <c r="H13065" s="151" t="s">
        <v>563</v>
      </c>
      <c r="I13065" t="s">
        <v>561</v>
      </c>
    </row>
    <row r="13066" spans="1:9" x14ac:dyDescent="0.25">
      <c r="A13066">
        <v>1843</v>
      </c>
      <c r="B13066">
        <v>1844</v>
      </c>
      <c r="C13066" s="151" t="s">
        <v>636</v>
      </c>
      <c r="D13066" s="151" t="s">
        <v>26</v>
      </c>
      <c r="E13066" t="s">
        <v>53</v>
      </c>
      <c r="F13066" t="s">
        <v>15</v>
      </c>
      <c r="G13066" s="18">
        <v>79863</v>
      </c>
      <c r="H13066" s="151" t="s">
        <v>563</v>
      </c>
      <c r="I13066" t="s">
        <v>561</v>
      </c>
    </row>
    <row r="13067" spans="1:9" x14ac:dyDescent="0.25">
      <c r="A13067">
        <v>1843</v>
      </c>
      <c r="B13067">
        <v>1844</v>
      </c>
      <c r="C13067" s="151" t="s">
        <v>636</v>
      </c>
      <c r="D13067" s="151" t="s">
        <v>26</v>
      </c>
      <c r="E13067" t="s">
        <v>28</v>
      </c>
      <c r="F13067" t="s">
        <v>15</v>
      </c>
      <c r="G13067" s="18">
        <v>3901</v>
      </c>
      <c r="H13067" s="151" t="s">
        <v>563</v>
      </c>
      <c r="I13067" t="s">
        <v>561</v>
      </c>
    </row>
    <row r="13068" spans="1:9" x14ac:dyDescent="0.25">
      <c r="A13068">
        <v>1843</v>
      </c>
      <c r="B13068">
        <v>1844</v>
      </c>
      <c r="C13068" s="151" t="s">
        <v>636</v>
      </c>
      <c r="D13068" s="151" t="s">
        <v>26</v>
      </c>
      <c r="E13068" t="s">
        <v>89</v>
      </c>
      <c r="F13068" t="s">
        <v>15</v>
      </c>
      <c r="G13068" s="18">
        <v>29803</v>
      </c>
      <c r="H13068" s="151" t="s">
        <v>563</v>
      </c>
      <c r="I13068" t="s">
        <v>561</v>
      </c>
    </row>
    <row r="13069" spans="1:9" x14ac:dyDescent="0.25">
      <c r="A13069">
        <v>1843</v>
      </c>
      <c r="B13069">
        <v>1844</v>
      </c>
      <c r="C13069" s="151" t="s">
        <v>636</v>
      </c>
      <c r="D13069" s="151" t="s">
        <v>26</v>
      </c>
      <c r="E13069" t="s">
        <v>662</v>
      </c>
      <c r="F13069" t="s">
        <v>15</v>
      </c>
      <c r="G13069" s="18">
        <v>37061</v>
      </c>
      <c r="H13069" s="151" t="s">
        <v>563</v>
      </c>
      <c r="I13069" t="s">
        <v>561</v>
      </c>
    </row>
    <row r="13070" spans="1:9" x14ac:dyDescent="0.25">
      <c r="A13070">
        <v>1843</v>
      </c>
      <c r="B13070">
        <v>1844</v>
      </c>
      <c r="C13070" s="151" t="s">
        <v>636</v>
      </c>
      <c r="D13070" s="151" t="s">
        <v>26</v>
      </c>
      <c r="E13070" t="s">
        <v>663</v>
      </c>
      <c r="F13070" t="s">
        <v>15</v>
      </c>
      <c r="G13070" s="18">
        <v>142598</v>
      </c>
      <c r="H13070" s="151" t="s">
        <v>563</v>
      </c>
      <c r="I13070" t="s">
        <v>561</v>
      </c>
    </row>
    <row r="13071" spans="1:9" x14ac:dyDescent="0.25">
      <c r="A13071">
        <v>1843</v>
      </c>
      <c r="B13071">
        <v>1844</v>
      </c>
      <c r="C13071" s="151" t="s">
        <v>636</v>
      </c>
      <c r="D13071" s="151" t="s">
        <v>26</v>
      </c>
      <c r="E13071" t="s">
        <v>450</v>
      </c>
      <c r="F13071" t="s">
        <v>15</v>
      </c>
      <c r="G13071" s="18">
        <v>26472</v>
      </c>
      <c r="H13071" s="151" t="s">
        <v>563</v>
      </c>
      <c r="I13071" t="s">
        <v>561</v>
      </c>
    </row>
    <row r="13072" spans="1:9" x14ac:dyDescent="0.25">
      <c r="A13072">
        <v>1843</v>
      </c>
      <c r="B13072">
        <v>1844</v>
      </c>
      <c r="C13072" s="151" t="s">
        <v>636</v>
      </c>
      <c r="D13072" s="151" t="s">
        <v>26</v>
      </c>
      <c r="E13072" t="s">
        <v>102</v>
      </c>
      <c r="F13072" t="s">
        <v>15</v>
      </c>
      <c r="G13072" s="18">
        <v>30934</v>
      </c>
      <c r="H13072" s="151" t="s">
        <v>563</v>
      </c>
      <c r="I13072" t="s">
        <v>561</v>
      </c>
    </row>
    <row r="13073" spans="1:9" x14ac:dyDescent="0.25">
      <c r="A13073">
        <v>1843</v>
      </c>
      <c r="B13073">
        <v>1844</v>
      </c>
      <c r="C13073" s="151" t="s">
        <v>636</v>
      </c>
      <c r="D13073" s="151" t="s">
        <v>26</v>
      </c>
      <c r="E13073" t="s">
        <v>48</v>
      </c>
      <c r="F13073" t="s">
        <v>15</v>
      </c>
      <c r="G13073" s="18">
        <v>16028</v>
      </c>
      <c r="H13073" s="151" t="s">
        <v>563</v>
      </c>
      <c r="I13073" t="s">
        <v>561</v>
      </c>
    </row>
    <row r="13074" spans="1:9" x14ac:dyDescent="0.25">
      <c r="A13074">
        <v>1843</v>
      </c>
      <c r="B13074">
        <v>1844</v>
      </c>
      <c r="C13074" s="151" t="s">
        <v>636</v>
      </c>
      <c r="D13074" s="151" t="s">
        <v>26</v>
      </c>
      <c r="E13074" t="s">
        <v>34</v>
      </c>
      <c r="F13074" t="s">
        <v>15</v>
      </c>
      <c r="G13074" s="18">
        <v>23284</v>
      </c>
      <c r="H13074" s="151" t="s">
        <v>563</v>
      </c>
      <c r="I13074" t="s">
        <v>561</v>
      </c>
    </row>
    <row r="13075" spans="1:9" x14ac:dyDescent="0.25">
      <c r="A13075">
        <v>1843</v>
      </c>
      <c r="B13075">
        <v>1844</v>
      </c>
      <c r="C13075" s="151" t="s">
        <v>636</v>
      </c>
      <c r="D13075" s="151" t="s">
        <v>26</v>
      </c>
      <c r="E13075" t="s">
        <v>63</v>
      </c>
      <c r="F13075" t="s">
        <v>15</v>
      </c>
      <c r="G13075" s="18">
        <v>5216</v>
      </c>
      <c r="H13075" s="151" t="s">
        <v>563</v>
      </c>
      <c r="I13075" t="s">
        <v>561</v>
      </c>
    </row>
    <row r="13076" spans="1:9" x14ac:dyDescent="0.25">
      <c r="A13076">
        <v>1843</v>
      </c>
      <c r="B13076">
        <v>1844</v>
      </c>
      <c r="C13076" s="151" t="s">
        <v>636</v>
      </c>
      <c r="D13076" s="151" t="s">
        <v>26</v>
      </c>
      <c r="E13076" t="s">
        <v>105</v>
      </c>
      <c r="F13076" t="s">
        <v>15</v>
      </c>
      <c r="G13076" s="18">
        <v>567374</v>
      </c>
      <c r="H13076" s="151" t="s">
        <v>563</v>
      </c>
      <c r="I13076" t="s">
        <v>561</v>
      </c>
    </row>
    <row r="13077" spans="1:9" x14ac:dyDescent="0.25">
      <c r="A13077">
        <v>1843</v>
      </c>
      <c r="B13077">
        <v>1844</v>
      </c>
      <c r="C13077" s="151" t="s">
        <v>636</v>
      </c>
      <c r="D13077" s="151" t="s">
        <v>26</v>
      </c>
      <c r="E13077" t="s">
        <v>106</v>
      </c>
      <c r="F13077" t="s">
        <v>15</v>
      </c>
      <c r="G13077" s="18">
        <v>159888</v>
      </c>
      <c r="H13077" s="151" t="s">
        <v>563</v>
      </c>
      <c r="I13077" t="s">
        <v>561</v>
      </c>
    </row>
    <row r="13078" spans="1:9" x14ac:dyDescent="0.25">
      <c r="A13078">
        <v>1843</v>
      </c>
      <c r="B13078">
        <v>1844</v>
      </c>
      <c r="C13078" s="151" t="s">
        <v>636</v>
      </c>
      <c r="D13078" s="151" t="s">
        <v>26</v>
      </c>
      <c r="E13078" t="s">
        <v>107</v>
      </c>
      <c r="F13078" t="s">
        <v>15</v>
      </c>
      <c r="G13078" s="18">
        <v>727262</v>
      </c>
      <c r="H13078" s="151" t="s">
        <v>563</v>
      </c>
      <c r="I13078" t="s">
        <v>561</v>
      </c>
    </row>
    <row r="13079" spans="1:9" x14ac:dyDescent="0.25">
      <c r="A13079">
        <v>1843</v>
      </c>
      <c r="B13079">
        <v>1844</v>
      </c>
      <c r="C13079" s="151" t="s">
        <v>636</v>
      </c>
      <c r="D13079" s="151" t="s">
        <v>26</v>
      </c>
      <c r="E13079" t="s">
        <v>75</v>
      </c>
      <c r="F13079" t="s">
        <v>15</v>
      </c>
      <c r="G13079" s="18">
        <v>7526293</v>
      </c>
      <c r="H13079" s="151" t="s">
        <v>563</v>
      </c>
      <c r="I13079" t="s">
        <v>561</v>
      </c>
    </row>
    <row r="13080" spans="1:9" x14ac:dyDescent="0.25">
      <c r="A13080">
        <v>1843</v>
      </c>
      <c r="B13080">
        <v>1844</v>
      </c>
      <c r="C13080" s="151" t="s">
        <v>636</v>
      </c>
      <c r="D13080" s="151" t="s">
        <v>26</v>
      </c>
      <c r="E13080" t="s">
        <v>101</v>
      </c>
      <c r="F13080" t="s">
        <v>15</v>
      </c>
      <c r="G13080" s="18">
        <v>6743092</v>
      </c>
      <c r="H13080" s="151" t="s">
        <v>563</v>
      </c>
      <c r="I13080" t="s">
        <v>561</v>
      </c>
    </row>
    <row r="13081" spans="1:9" x14ac:dyDescent="0.25">
      <c r="A13081">
        <v>1843</v>
      </c>
      <c r="B13081">
        <v>1844</v>
      </c>
      <c r="C13081" s="151" t="s">
        <v>636</v>
      </c>
      <c r="D13081" s="151" t="s">
        <v>26</v>
      </c>
      <c r="E13081" t="s">
        <v>66</v>
      </c>
      <c r="F13081" t="s">
        <v>15</v>
      </c>
      <c r="G13081" s="18">
        <v>1140555</v>
      </c>
      <c r="H13081" s="151" t="s">
        <v>563</v>
      </c>
      <c r="I13081" t="s">
        <v>561</v>
      </c>
    </row>
    <row r="13082" spans="1:9" x14ac:dyDescent="0.25">
      <c r="A13082">
        <v>1843</v>
      </c>
      <c r="B13082">
        <v>1844</v>
      </c>
      <c r="C13082" s="151" t="s">
        <v>636</v>
      </c>
      <c r="D13082" s="151" t="s">
        <v>26</v>
      </c>
      <c r="E13082" t="s">
        <v>330</v>
      </c>
      <c r="F13082" t="s">
        <v>15</v>
      </c>
      <c r="G13082" s="18">
        <v>1010</v>
      </c>
      <c r="H13082" s="151" t="s">
        <v>563</v>
      </c>
      <c r="I13082" t="s">
        <v>561</v>
      </c>
    </row>
    <row r="13083" spans="1:9" x14ac:dyDescent="0.25">
      <c r="A13083">
        <v>1843</v>
      </c>
      <c r="B13083">
        <v>1844</v>
      </c>
      <c r="C13083" s="151" t="s">
        <v>636</v>
      </c>
      <c r="D13083" s="151" t="s">
        <v>26</v>
      </c>
      <c r="E13083" t="s">
        <v>331</v>
      </c>
      <c r="F13083" t="s">
        <v>15</v>
      </c>
      <c r="G13083" s="18">
        <v>85</v>
      </c>
      <c r="H13083" s="151" t="s">
        <v>563</v>
      </c>
      <c r="I13083" t="s">
        <v>561</v>
      </c>
    </row>
    <row r="13084" spans="1:9" x14ac:dyDescent="0.25">
      <c r="A13084">
        <v>1843</v>
      </c>
      <c r="B13084">
        <v>1844</v>
      </c>
      <c r="C13084" s="151" t="s">
        <v>636</v>
      </c>
      <c r="D13084" s="151" t="s">
        <v>26</v>
      </c>
      <c r="E13084" t="s">
        <v>332</v>
      </c>
      <c r="F13084" t="s">
        <v>15</v>
      </c>
      <c r="G13084" s="18">
        <v>286</v>
      </c>
      <c r="H13084" s="151" t="s">
        <v>563</v>
      </c>
      <c r="I13084" t="s">
        <v>561</v>
      </c>
    </row>
    <row r="13085" spans="1:9" x14ac:dyDescent="0.25">
      <c r="A13085">
        <v>1843</v>
      </c>
      <c r="B13085">
        <v>1844</v>
      </c>
      <c r="C13085" s="151" t="s">
        <v>636</v>
      </c>
      <c r="D13085" s="151" t="s">
        <v>26</v>
      </c>
      <c r="E13085" t="s">
        <v>333</v>
      </c>
      <c r="F13085" t="s">
        <v>15</v>
      </c>
      <c r="G13085" s="18">
        <v>1583</v>
      </c>
      <c r="H13085" s="151" t="s">
        <v>563</v>
      </c>
      <c r="I13085" t="s">
        <v>561</v>
      </c>
    </row>
    <row r="13086" spans="1:9" x14ac:dyDescent="0.25">
      <c r="A13086">
        <v>1843</v>
      </c>
      <c r="B13086">
        <v>1844</v>
      </c>
      <c r="C13086" s="151" t="s">
        <v>636</v>
      </c>
      <c r="D13086" s="151" t="s">
        <v>26</v>
      </c>
      <c r="E13086" t="s">
        <v>664</v>
      </c>
      <c r="F13086" t="s">
        <v>15</v>
      </c>
      <c r="G13086" s="18">
        <v>997</v>
      </c>
      <c r="H13086" s="151" t="s">
        <v>563</v>
      </c>
      <c r="I13086" t="s">
        <v>561</v>
      </c>
    </row>
    <row r="13087" spans="1:9" x14ac:dyDescent="0.25">
      <c r="A13087">
        <v>1843</v>
      </c>
      <c r="B13087">
        <v>1844</v>
      </c>
      <c r="C13087" s="151" t="s">
        <v>636</v>
      </c>
      <c r="D13087" s="151" t="s">
        <v>26</v>
      </c>
      <c r="E13087" t="s">
        <v>665</v>
      </c>
      <c r="F13087" t="s">
        <v>15</v>
      </c>
      <c r="G13087" s="18">
        <v>173</v>
      </c>
      <c r="H13087" s="151" t="s">
        <v>563</v>
      </c>
      <c r="I13087" t="s">
        <v>561</v>
      </c>
    </row>
    <row r="13088" spans="1:9" x14ac:dyDescent="0.25">
      <c r="A13088">
        <v>1843</v>
      </c>
      <c r="B13088">
        <v>1844</v>
      </c>
      <c r="C13088" s="151" t="s">
        <v>636</v>
      </c>
      <c r="D13088" s="151" t="s">
        <v>26</v>
      </c>
      <c r="E13088" t="s">
        <v>113</v>
      </c>
      <c r="F13088" t="s">
        <v>15</v>
      </c>
      <c r="G13088" s="18">
        <v>308</v>
      </c>
      <c r="H13088" s="151" t="s">
        <v>563</v>
      </c>
      <c r="I13088" t="s">
        <v>561</v>
      </c>
    </row>
    <row r="13089" spans="1:9" x14ac:dyDescent="0.25">
      <c r="A13089">
        <f>B13089-1</f>
        <v>1843</v>
      </c>
      <c r="B13089">
        <v>1844</v>
      </c>
      <c r="C13089" s="151" t="str">
        <f>IF(LEFT(A13089,2)=LEFT(B13089,2),_xlfn.TEXTJOIN("-",TRUE,A13089,RIGHT(B13089,2)),_xlfn.TEXTJOIN("-",TRUE,A13089,B13089))</f>
        <v>1843-44</v>
      </c>
      <c r="D13089" s="151" t="s">
        <v>26</v>
      </c>
      <c r="E13089" t="s">
        <v>112</v>
      </c>
      <c r="F13089" t="s">
        <v>15</v>
      </c>
      <c r="G13089" s="18">
        <v>135</v>
      </c>
      <c r="H13089" s="151" t="s">
        <v>563</v>
      </c>
      <c r="I13089" t="s">
        <v>561</v>
      </c>
    </row>
    <row r="13090" spans="1:9" x14ac:dyDescent="0.25">
      <c r="A13090">
        <v>1844</v>
      </c>
      <c r="B13090" s="151">
        <v>1845</v>
      </c>
      <c r="C13090" s="151" t="s">
        <v>637</v>
      </c>
      <c r="D13090" s="151" t="s">
        <v>26</v>
      </c>
      <c r="E13090" s="151" t="s">
        <v>62</v>
      </c>
      <c r="F13090" t="s">
        <v>15</v>
      </c>
      <c r="G13090" s="18">
        <v>117027</v>
      </c>
      <c r="H13090" s="151" t="s">
        <v>563</v>
      </c>
      <c r="I13090" t="s">
        <v>561</v>
      </c>
    </row>
    <row r="13091" spans="1:9" x14ac:dyDescent="0.25">
      <c r="A13091">
        <v>1844</v>
      </c>
      <c r="B13091" s="151">
        <v>1845</v>
      </c>
      <c r="C13091" s="151" t="s">
        <v>637</v>
      </c>
      <c r="D13091" s="151" t="s">
        <v>26</v>
      </c>
      <c r="E13091" s="151" t="s">
        <v>40</v>
      </c>
      <c r="F13091" t="s">
        <v>15</v>
      </c>
      <c r="G13091" s="18">
        <v>1282923</v>
      </c>
      <c r="H13091" s="151" t="s">
        <v>563</v>
      </c>
      <c r="I13091" t="s">
        <v>561</v>
      </c>
    </row>
    <row r="13092" spans="1:9" x14ac:dyDescent="0.25">
      <c r="A13092">
        <v>1844</v>
      </c>
      <c r="B13092" s="151">
        <v>1845</v>
      </c>
      <c r="C13092" s="151" t="s">
        <v>637</v>
      </c>
      <c r="D13092" s="151" t="s">
        <v>26</v>
      </c>
      <c r="E13092" s="151" t="s">
        <v>55</v>
      </c>
      <c r="F13092" t="s">
        <v>15</v>
      </c>
      <c r="G13092" s="18">
        <v>19070</v>
      </c>
      <c r="H13092" s="151" t="s">
        <v>563</v>
      </c>
      <c r="I13092" t="s">
        <v>561</v>
      </c>
    </row>
    <row r="13093" spans="1:9" x14ac:dyDescent="0.25">
      <c r="A13093">
        <v>1844</v>
      </c>
      <c r="B13093">
        <v>1845</v>
      </c>
      <c r="C13093" s="151" t="s">
        <v>637</v>
      </c>
      <c r="D13093" s="151" t="s">
        <v>26</v>
      </c>
      <c r="E13093" t="s">
        <v>98</v>
      </c>
      <c r="F13093" t="s">
        <v>15</v>
      </c>
      <c r="G13093" s="18">
        <v>3655393</v>
      </c>
      <c r="H13093" s="151" t="s">
        <v>563</v>
      </c>
      <c r="I13093" t="s">
        <v>561</v>
      </c>
    </row>
    <row r="13094" spans="1:9" x14ac:dyDescent="0.25">
      <c r="A13094">
        <v>1844</v>
      </c>
      <c r="B13094">
        <v>1845</v>
      </c>
      <c r="C13094" s="151" t="s">
        <v>637</v>
      </c>
      <c r="D13094" s="151" t="s">
        <v>26</v>
      </c>
      <c r="E13094" t="s">
        <v>53</v>
      </c>
      <c r="F13094" t="s">
        <v>15</v>
      </c>
      <c r="G13094" s="18">
        <v>75916</v>
      </c>
      <c r="H13094" s="151" t="s">
        <v>563</v>
      </c>
      <c r="I13094" t="s">
        <v>561</v>
      </c>
    </row>
    <row r="13095" spans="1:9" x14ac:dyDescent="0.25">
      <c r="A13095">
        <v>1844</v>
      </c>
      <c r="B13095">
        <v>1845</v>
      </c>
      <c r="C13095" s="151" t="s">
        <v>637</v>
      </c>
      <c r="D13095" s="151" t="s">
        <v>26</v>
      </c>
      <c r="E13095" t="s">
        <v>28</v>
      </c>
      <c r="F13095" t="s">
        <v>15</v>
      </c>
      <c r="G13095" s="18">
        <v>2622</v>
      </c>
      <c r="H13095" s="151" t="s">
        <v>563</v>
      </c>
      <c r="I13095" t="s">
        <v>561</v>
      </c>
    </row>
    <row r="13096" spans="1:9" x14ac:dyDescent="0.25">
      <c r="A13096">
        <v>1844</v>
      </c>
      <c r="B13096">
        <v>1845</v>
      </c>
      <c r="C13096" s="151" t="s">
        <v>637</v>
      </c>
      <c r="D13096" s="151" t="s">
        <v>26</v>
      </c>
      <c r="E13096" t="s">
        <v>89</v>
      </c>
      <c r="F13096" t="s">
        <v>15</v>
      </c>
      <c r="G13096" s="18">
        <v>15213</v>
      </c>
      <c r="H13096" s="151" t="s">
        <v>563</v>
      </c>
      <c r="I13096" t="s">
        <v>561</v>
      </c>
    </row>
    <row r="13097" spans="1:9" x14ac:dyDescent="0.25">
      <c r="A13097">
        <v>1844</v>
      </c>
      <c r="B13097">
        <v>1845</v>
      </c>
      <c r="C13097" s="151" t="s">
        <v>637</v>
      </c>
      <c r="D13097" s="151" t="s">
        <v>26</v>
      </c>
      <c r="E13097" t="s">
        <v>662</v>
      </c>
      <c r="F13097" t="s">
        <v>15</v>
      </c>
      <c r="G13097" s="18">
        <v>35316</v>
      </c>
      <c r="H13097" s="151" t="s">
        <v>563</v>
      </c>
      <c r="I13097" t="s">
        <v>561</v>
      </c>
    </row>
    <row r="13098" spans="1:9" x14ac:dyDescent="0.25">
      <c r="A13098">
        <v>1844</v>
      </c>
      <c r="B13098">
        <v>1845</v>
      </c>
      <c r="C13098" s="151" t="s">
        <v>637</v>
      </c>
      <c r="D13098" s="151" t="s">
        <v>26</v>
      </c>
      <c r="E13098" t="s">
        <v>663</v>
      </c>
      <c r="F13098" t="s">
        <v>15</v>
      </c>
      <c r="G13098" s="18">
        <v>177658</v>
      </c>
      <c r="H13098" s="151" t="s">
        <v>563</v>
      </c>
      <c r="I13098" t="s">
        <v>561</v>
      </c>
    </row>
    <row r="13099" spans="1:9" x14ac:dyDescent="0.25">
      <c r="A13099">
        <v>1844</v>
      </c>
      <c r="B13099">
        <v>1845</v>
      </c>
      <c r="C13099" s="151" t="s">
        <v>637</v>
      </c>
      <c r="D13099" s="151" t="s">
        <v>26</v>
      </c>
      <c r="E13099" t="s">
        <v>450</v>
      </c>
      <c r="F13099" t="s">
        <v>15</v>
      </c>
      <c r="G13099" s="18">
        <v>29776</v>
      </c>
      <c r="H13099" s="151" t="s">
        <v>563</v>
      </c>
      <c r="I13099" t="s">
        <v>561</v>
      </c>
    </row>
    <row r="13100" spans="1:9" x14ac:dyDescent="0.25">
      <c r="A13100">
        <v>1844</v>
      </c>
      <c r="B13100">
        <v>1845</v>
      </c>
      <c r="C13100" s="151" t="s">
        <v>637</v>
      </c>
      <c r="D13100" s="151" t="s">
        <v>26</v>
      </c>
      <c r="E13100" t="s">
        <v>102</v>
      </c>
      <c r="F13100" t="s">
        <v>15</v>
      </c>
      <c r="G13100" s="18">
        <v>52277</v>
      </c>
      <c r="H13100" s="151" t="s">
        <v>563</v>
      </c>
      <c r="I13100" t="s">
        <v>561</v>
      </c>
    </row>
    <row r="13101" spans="1:9" x14ac:dyDescent="0.25">
      <c r="A13101">
        <v>1844</v>
      </c>
      <c r="B13101">
        <v>1845</v>
      </c>
      <c r="C13101" s="151" t="s">
        <v>637</v>
      </c>
      <c r="D13101" s="151" t="s">
        <v>26</v>
      </c>
      <c r="E13101" t="s">
        <v>48</v>
      </c>
      <c r="F13101" t="s">
        <v>15</v>
      </c>
      <c r="G13101" s="18">
        <v>21045</v>
      </c>
      <c r="H13101" s="151" t="s">
        <v>563</v>
      </c>
      <c r="I13101" t="s">
        <v>561</v>
      </c>
    </row>
    <row r="13102" spans="1:9" x14ac:dyDescent="0.25">
      <c r="A13102">
        <v>1844</v>
      </c>
      <c r="B13102">
        <v>1845</v>
      </c>
      <c r="C13102" s="151" t="s">
        <v>637</v>
      </c>
      <c r="D13102" s="151" t="s">
        <v>26</v>
      </c>
      <c r="E13102" t="s">
        <v>34</v>
      </c>
      <c r="F13102" t="s">
        <v>15</v>
      </c>
      <c r="G13102" s="18">
        <v>52931</v>
      </c>
      <c r="H13102" s="151" t="s">
        <v>563</v>
      </c>
      <c r="I13102" t="s">
        <v>561</v>
      </c>
    </row>
    <row r="13103" spans="1:9" x14ac:dyDescent="0.25">
      <c r="A13103">
        <v>1844</v>
      </c>
      <c r="B13103">
        <v>1845</v>
      </c>
      <c r="C13103" s="151" t="s">
        <v>637</v>
      </c>
      <c r="D13103" s="151" t="s">
        <v>26</v>
      </c>
      <c r="E13103" t="s">
        <v>63</v>
      </c>
      <c r="F13103" t="s">
        <v>15</v>
      </c>
      <c r="G13103" s="18">
        <v>4526</v>
      </c>
      <c r="H13103" s="151" t="s">
        <v>563</v>
      </c>
      <c r="I13103" t="s">
        <v>561</v>
      </c>
    </row>
    <row r="13104" spans="1:9" x14ac:dyDescent="0.25">
      <c r="A13104">
        <v>1844</v>
      </c>
      <c r="B13104">
        <v>1845</v>
      </c>
      <c r="C13104" s="151" t="s">
        <v>637</v>
      </c>
      <c r="D13104" s="151" t="s">
        <v>26</v>
      </c>
      <c r="E13104" t="s">
        <v>105</v>
      </c>
      <c r="F13104" t="s">
        <v>15</v>
      </c>
      <c r="G13104" s="18">
        <v>965901</v>
      </c>
      <c r="H13104" s="151" t="s">
        <v>563</v>
      </c>
      <c r="I13104" t="s">
        <v>561</v>
      </c>
    </row>
    <row r="13105" spans="1:9" x14ac:dyDescent="0.25">
      <c r="A13105">
        <v>1844</v>
      </c>
      <c r="B13105">
        <v>1845</v>
      </c>
      <c r="C13105" s="151" t="s">
        <v>637</v>
      </c>
      <c r="D13105" s="151" t="s">
        <v>26</v>
      </c>
      <c r="E13105" t="s">
        <v>106</v>
      </c>
      <c r="F13105" t="s">
        <v>15</v>
      </c>
      <c r="G13105" s="18">
        <v>602630</v>
      </c>
      <c r="H13105" s="151" t="s">
        <v>563</v>
      </c>
      <c r="I13105" t="s">
        <v>561</v>
      </c>
    </row>
    <row r="13106" spans="1:9" x14ac:dyDescent="0.25">
      <c r="A13106">
        <v>1844</v>
      </c>
      <c r="B13106">
        <v>1845</v>
      </c>
      <c r="C13106" s="151" t="s">
        <v>637</v>
      </c>
      <c r="D13106" s="151" t="s">
        <v>26</v>
      </c>
      <c r="E13106" t="s">
        <v>107</v>
      </c>
      <c r="F13106" t="s">
        <v>15</v>
      </c>
      <c r="G13106" s="18">
        <v>1568531</v>
      </c>
      <c r="H13106" s="151" t="s">
        <v>563</v>
      </c>
      <c r="I13106" t="s">
        <v>561</v>
      </c>
    </row>
    <row r="13107" spans="1:9" x14ac:dyDescent="0.25">
      <c r="A13107">
        <v>1844</v>
      </c>
      <c r="B13107">
        <v>1845</v>
      </c>
      <c r="C13107" s="151" t="s">
        <v>637</v>
      </c>
      <c r="D13107" s="151" t="s">
        <v>26</v>
      </c>
      <c r="E13107" t="s">
        <v>75</v>
      </c>
      <c r="F13107" t="s">
        <v>15</v>
      </c>
      <c r="G13107" s="18">
        <v>9008221</v>
      </c>
      <c r="H13107" s="151" t="s">
        <v>563</v>
      </c>
      <c r="I13107" t="s">
        <v>561</v>
      </c>
    </row>
    <row r="13108" spans="1:9" x14ac:dyDescent="0.25">
      <c r="A13108">
        <v>1844</v>
      </c>
      <c r="B13108">
        <v>1845</v>
      </c>
      <c r="C13108" s="151" t="s">
        <v>637</v>
      </c>
      <c r="D13108" s="151" t="s">
        <v>26</v>
      </c>
      <c r="E13108" t="s">
        <v>101</v>
      </c>
      <c r="F13108" t="s">
        <v>15</v>
      </c>
      <c r="G13108" s="18">
        <v>7668018</v>
      </c>
      <c r="H13108" s="151" t="s">
        <v>563</v>
      </c>
      <c r="I13108" t="s">
        <v>561</v>
      </c>
    </row>
    <row r="13109" spans="1:9" x14ac:dyDescent="0.25">
      <c r="A13109">
        <v>1844</v>
      </c>
      <c r="B13109">
        <v>1845</v>
      </c>
      <c r="C13109" s="151" t="s">
        <v>637</v>
      </c>
      <c r="D13109" s="151" t="s">
        <v>26</v>
      </c>
      <c r="E13109" t="s">
        <v>66</v>
      </c>
      <c r="F13109" t="s">
        <v>15</v>
      </c>
      <c r="G13109" s="18">
        <v>951435</v>
      </c>
      <c r="H13109" s="151" t="s">
        <v>563</v>
      </c>
      <c r="I13109" t="s">
        <v>561</v>
      </c>
    </row>
    <row r="13110" spans="1:9" x14ac:dyDescent="0.25">
      <c r="A13110">
        <v>1844</v>
      </c>
      <c r="B13110">
        <v>1845</v>
      </c>
      <c r="C13110" s="151" t="s">
        <v>637</v>
      </c>
      <c r="D13110" s="151" t="s">
        <v>26</v>
      </c>
      <c r="E13110" t="s">
        <v>330</v>
      </c>
      <c r="F13110" t="s">
        <v>15</v>
      </c>
      <c r="G13110" s="18">
        <v>456</v>
      </c>
      <c r="H13110" s="151" t="s">
        <v>563</v>
      </c>
      <c r="I13110" t="s">
        <v>561</v>
      </c>
    </row>
    <row r="13111" spans="1:9" x14ac:dyDescent="0.25">
      <c r="A13111">
        <v>1844</v>
      </c>
      <c r="B13111">
        <v>1845</v>
      </c>
      <c r="C13111" s="151" t="s">
        <v>637</v>
      </c>
      <c r="D13111" s="151" t="s">
        <v>26</v>
      </c>
      <c r="E13111" t="s">
        <v>331</v>
      </c>
      <c r="F13111" t="s">
        <v>15</v>
      </c>
      <c r="G13111" s="18">
        <v>90</v>
      </c>
      <c r="H13111" s="151" t="s">
        <v>563</v>
      </c>
      <c r="I13111" t="s">
        <v>561</v>
      </c>
    </row>
    <row r="13112" spans="1:9" x14ac:dyDescent="0.25">
      <c r="A13112">
        <v>1844</v>
      </c>
      <c r="B13112">
        <v>1845</v>
      </c>
      <c r="C13112" s="151" t="s">
        <v>637</v>
      </c>
      <c r="D13112" s="151" t="s">
        <v>26</v>
      </c>
      <c r="E13112" t="s">
        <v>332</v>
      </c>
      <c r="F13112" t="s">
        <v>15</v>
      </c>
      <c r="G13112" s="18">
        <v>266</v>
      </c>
      <c r="H13112" s="151" t="s">
        <v>563</v>
      </c>
      <c r="I13112" t="s">
        <v>561</v>
      </c>
    </row>
    <row r="13113" spans="1:9" x14ac:dyDescent="0.25">
      <c r="A13113">
        <v>1844</v>
      </c>
      <c r="B13113">
        <v>1845</v>
      </c>
      <c r="C13113" s="151" t="str">
        <f>IF(LEFT(A13113,2)=LEFT(B13113,2),_xlfn.TEXTJOIN("-",TRUE,A13113,RIGHT(B13113,2)),_xlfn.TEXTJOIN("-",TRUE,A13113,B13113))</f>
        <v>1844-45</v>
      </c>
      <c r="D13113" s="151" t="s">
        <v>26</v>
      </c>
      <c r="E13113" t="s">
        <v>333</v>
      </c>
      <c r="F13113" t="s">
        <v>15</v>
      </c>
      <c r="G13113" s="18">
        <v>1937</v>
      </c>
      <c r="H13113" s="151" t="s">
        <v>563</v>
      </c>
      <c r="I13113" t="s">
        <v>561</v>
      </c>
    </row>
    <row r="13114" spans="1:9" x14ac:dyDescent="0.25">
      <c r="C13114" s="151" t="str">
        <f>IF(LEFT(A13114,2)=LEFT(B13114,2),_xlfn.TEXTJOIN("-",TRUE,A13114,RIGHT(B13114,2)),_xlfn.TEXTJOIN("-",TRUE,A13114,B13114))</f>
        <v/>
      </c>
    </row>
    <row r="13115" spans="1:9" x14ac:dyDescent="0.25">
      <c r="C13115" s="151" t="str">
        <f>IF(LEFT(A13115,2)=LEFT(B13115,2),_xlfn.TEXTJOIN("-",TRUE,A13115,RIGHT(B13115,2)),_xlfn.TEXTJOIN("-",TRUE,A13115,B13115))</f>
        <v/>
      </c>
    </row>
  </sheetData>
  <autoFilter ref="A1:G12940" xr:uid="{3ACB02CD-F21B-406B-927E-FED0DEC6A195}">
    <sortState xmlns:xlrd2="http://schemas.microsoft.com/office/spreadsheetml/2017/richdata2" ref="A2:G13113">
      <sortCondition ref="A1:A12940"/>
    </sortState>
  </autoFilter>
  <phoneticPr fontId="9" type="noConversion"/>
  <conditionalFormatting sqref="E1:E1048576">
    <cfRule type="expression" dxfId="12" priority="2">
      <formula>OR(COUNTIF(commodities,E1),ISBLANK(E1))</formula>
    </cfRule>
  </conditionalFormatting>
  <conditionalFormatting sqref="E1">
    <cfRule type="expression" dxfId="11" priority="1">
      <formula>"E1=""Commodity"""</formula>
    </cfRule>
  </conditionalFormatting>
  <dataValidations disablePrompts="1" count="1">
    <dataValidation type="list" allowBlank="1" showInputMessage="1" showErrorMessage="1" sqref="K12941" xr:uid="{DED61EC3-8E51-41F9-95BB-1C970ACE9066}">
      <formula1>commodities</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E39FE-922D-4D1C-8307-124A80E47DCF}">
  <sheetPr codeName="Sheet1"/>
  <dimension ref="A1:I187"/>
  <sheetViews>
    <sheetView workbookViewId="0">
      <pane ySplit="1" topLeftCell="A2" activePane="bottomLeft" state="frozen"/>
      <selection pane="bottomLeft" activeCell="G11" sqref="G11"/>
    </sheetView>
  </sheetViews>
  <sheetFormatPr defaultRowHeight="15" x14ac:dyDescent="0.25"/>
  <cols>
    <col min="1" max="1" width="4.28515625" style="172" bestFit="1" customWidth="1"/>
    <col min="2" max="2" width="11.28515625" style="172" bestFit="1" customWidth="1"/>
    <col min="3" max="3" width="11" style="13" bestFit="1" customWidth="1"/>
    <col min="4" max="4" width="12" style="67" bestFit="1" customWidth="1"/>
    <col min="5" max="5" width="11.140625" style="67" bestFit="1" customWidth="1"/>
    <col min="6" max="6" width="75.28515625" style="80" bestFit="1" customWidth="1"/>
    <col min="7" max="7" width="13.7109375" style="12" bestFit="1" customWidth="1"/>
    <col min="8" max="8" width="8" style="12" bestFit="1" customWidth="1"/>
    <col min="9" max="9" width="39.140625" style="12" bestFit="1" customWidth="1"/>
    <col min="10" max="16384" width="9.140625" style="12"/>
  </cols>
  <sheetData>
    <row r="1" spans="1:9" s="48" customFormat="1" ht="22.5" customHeight="1" x14ac:dyDescent="0.25">
      <c r="A1" s="95" t="s">
        <v>163</v>
      </c>
      <c r="B1" s="162" t="s">
        <v>181</v>
      </c>
      <c r="C1" s="162" t="s">
        <v>346</v>
      </c>
      <c r="D1" s="96" t="s">
        <v>349</v>
      </c>
      <c r="E1" s="96" t="s">
        <v>348</v>
      </c>
      <c r="F1" s="97" t="s">
        <v>345</v>
      </c>
      <c r="G1" s="96" t="s">
        <v>344</v>
      </c>
      <c r="H1" s="96" t="s">
        <v>347</v>
      </c>
      <c r="I1" s="98" t="s">
        <v>162</v>
      </c>
    </row>
    <row r="2" spans="1:9" ht="30" x14ac:dyDescent="0.25">
      <c r="A2" s="163">
        <v>1</v>
      </c>
      <c r="B2" s="163" t="s">
        <v>209</v>
      </c>
      <c r="C2" s="56">
        <v>183000</v>
      </c>
      <c r="D2" s="79">
        <v>1771</v>
      </c>
      <c r="E2" s="79">
        <v>1773</v>
      </c>
      <c r="F2" s="83" t="s">
        <v>193</v>
      </c>
      <c r="G2" s="140" t="s">
        <v>584</v>
      </c>
      <c r="H2" s="55"/>
      <c r="I2" s="57"/>
    </row>
    <row r="3" spans="1:9" ht="30" x14ac:dyDescent="0.25">
      <c r="A3" s="163">
        <v>2</v>
      </c>
      <c r="B3" s="163" t="s">
        <v>227</v>
      </c>
      <c r="C3" s="60" t="s">
        <v>232</v>
      </c>
      <c r="D3" s="79">
        <v>1796</v>
      </c>
      <c r="E3" s="79">
        <v>1797</v>
      </c>
      <c r="F3" s="83" t="s">
        <v>262</v>
      </c>
      <c r="G3" s="140" t="s">
        <v>585</v>
      </c>
      <c r="H3" s="55"/>
      <c r="I3" s="57"/>
    </row>
    <row r="4" spans="1:9" ht="30" x14ac:dyDescent="0.25">
      <c r="A4" s="163">
        <v>3</v>
      </c>
      <c r="B4" s="163" t="s">
        <v>227</v>
      </c>
      <c r="C4" s="56">
        <v>124015</v>
      </c>
      <c r="D4" s="79">
        <v>1796</v>
      </c>
      <c r="E4" s="79">
        <v>1797</v>
      </c>
      <c r="F4" s="83" t="s">
        <v>233</v>
      </c>
      <c r="G4" s="140" t="s">
        <v>309</v>
      </c>
      <c r="H4" s="55"/>
      <c r="I4" s="57" t="s">
        <v>301</v>
      </c>
    </row>
    <row r="5" spans="1:9" x14ac:dyDescent="0.25">
      <c r="A5" s="163">
        <v>4</v>
      </c>
      <c r="B5" s="163" t="s">
        <v>227</v>
      </c>
      <c r="C5" s="56">
        <v>154505</v>
      </c>
      <c r="D5" s="79">
        <v>1797</v>
      </c>
      <c r="E5" s="79">
        <v>1798</v>
      </c>
      <c r="F5" s="83" t="s">
        <v>228</v>
      </c>
      <c r="G5" s="140" t="s">
        <v>587</v>
      </c>
      <c r="H5" s="55"/>
      <c r="I5" s="57"/>
    </row>
    <row r="6" spans="1:9" x14ac:dyDescent="0.25">
      <c r="A6" s="163">
        <v>5</v>
      </c>
      <c r="B6" s="163" t="s">
        <v>227</v>
      </c>
      <c r="C6" s="56">
        <v>121816</v>
      </c>
      <c r="D6" s="79">
        <v>1799</v>
      </c>
      <c r="E6" s="79">
        <v>1800</v>
      </c>
      <c r="F6" s="83" t="s">
        <v>229</v>
      </c>
      <c r="G6" s="140" t="s">
        <v>310</v>
      </c>
      <c r="H6" s="55"/>
      <c r="I6" s="57"/>
    </row>
    <row r="7" spans="1:9" ht="15.75" thickBot="1" x14ac:dyDescent="0.3">
      <c r="A7" s="163">
        <v>6</v>
      </c>
      <c r="B7" s="163" t="s">
        <v>227</v>
      </c>
      <c r="C7" s="56">
        <v>121816</v>
      </c>
      <c r="D7" s="79">
        <v>1799</v>
      </c>
      <c r="E7" s="79">
        <v>1801</v>
      </c>
      <c r="F7" s="83" t="s">
        <v>230</v>
      </c>
      <c r="G7" s="140" t="s">
        <v>308</v>
      </c>
      <c r="H7" s="55"/>
      <c r="I7" s="57"/>
    </row>
    <row r="8" spans="1:9" x14ac:dyDescent="0.25">
      <c r="A8" s="164">
        <v>7</v>
      </c>
      <c r="B8" s="164" t="s">
        <v>227</v>
      </c>
      <c r="C8" s="50">
        <v>122124</v>
      </c>
      <c r="D8" s="68">
        <v>1800</v>
      </c>
      <c r="E8" s="69">
        <v>1801</v>
      </c>
      <c r="F8" s="81" t="s">
        <v>229</v>
      </c>
      <c r="G8" s="158" t="s">
        <v>307</v>
      </c>
      <c r="H8" s="49"/>
      <c r="I8" s="51"/>
    </row>
    <row r="9" spans="1:9" ht="15.75" thickBot="1" x14ac:dyDescent="0.3">
      <c r="A9" s="165">
        <v>8</v>
      </c>
      <c r="B9" s="165" t="s">
        <v>227</v>
      </c>
      <c r="C9" s="53">
        <v>122124</v>
      </c>
      <c r="D9" s="70">
        <v>1800</v>
      </c>
      <c r="E9" s="70">
        <v>1801</v>
      </c>
      <c r="F9" s="82" t="s">
        <v>231</v>
      </c>
      <c r="G9" s="159" t="s">
        <v>306</v>
      </c>
      <c r="H9" s="52"/>
      <c r="I9" s="54"/>
    </row>
    <row r="10" spans="1:9" x14ac:dyDescent="0.25">
      <c r="A10" s="164">
        <v>9</v>
      </c>
      <c r="B10" s="164" t="s">
        <v>209</v>
      </c>
      <c r="C10" s="50">
        <v>183132</v>
      </c>
      <c r="D10" s="71">
        <v>1801</v>
      </c>
      <c r="E10" s="72">
        <v>1802</v>
      </c>
      <c r="F10" s="81" t="s">
        <v>190</v>
      </c>
      <c r="G10" s="158" t="s">
        <v>312</v>
      </c>
      <c r="H10" s="49" t="s">
        <v>317</v>
      </c>
      <c r="I10" s="51"/>
    </row>
    <row r="11" spans="1:9" ht="30" x14ac:dyDescent="0.25">
      <c r="A11" s="163">
        <v>10</v>
      </c>
      <c r="B11" s="163" t="s">
        <v>209</v>
      </c>
      <c r="C11" s="56">
        <v>183135</v>
      </c>
      <c r="D11" s="74">
        <v>1801</v>
      </c>
      <c r="E11" s="74">
        <v>1802</v>
      </c>
      <c r="F11" s="83" t="s">
        <v>175</v>
      </c>
      <c r="G11" s="140" t="s">
        <v>313</v>
      </c>
      <c r="H11" s="55" t="s">
        <v>318</v>
      </c>
      <c r="I11" s="57"/>
    </row>
    <row r="12" spans="1:9" x14ac:dyDescent="0.25">
      <c r="A12" s="163">
        <v>11</v>
      </c>
      <c r="B12" s="163" t="s">
        <v>209</v>
      </c>
      <c r="C12" s="56">
        <v>183135</v>
      </c>
      <c r="D12" s="74">
        <v>1801</v>
      </c>
      <c r="E12" s="74">
        <v>1802</v>
      </c>
      <c r="F12" s="83" t="s">
        <v>176</v>
      </c>
      <c r="G12" s="140" t="s">
        <v>312</v>
      </c>
      <c r="H12" s="55" t="s">
        <v>317</v>
      </c>
      <c r="I12" s="57"/>
    </row>
    <row r="13" spans="1:9" x14ac:dyDescent="0.25">
      <c r="A13" s="163">
        <v>12</v>
      </c>
      <c r="B13" s="163" t="s">
        <v>209</v>
      </c>
      <c r="C13" s="56">
        <v>183138</v>
      </c>
      <c r="D13" s="74">
        <v>1801</v>
      </c>
      <c r="E13" s="74">
        <v>1802</v>
      </c>
      <c r="F13" s="83" t="s">
        <v>177</v>
      </c>
      <c r="G13" s="140" t="s">
        <v>313</v>
      </c>
      <c r="H13" s="55" t="s">
        <v>318</v>
      </c>
      <c r="I13" s="57"/>
    </row>
    <row r="14" spans="1:9" ht="30" x14ac:dyDescent="0.25">
      <c r="A14" s="163">
        <v>13</v>
      </c>
      <c r="B14" s="163" t="s">
        <v>209</v>
      </c>
      <c r="C14" s="56">
        <v>183147</v>
      </c>
      <c r="D14" s="74">
        <v>1801</v>
      </c>
      <c r="E14" s="74">
        <v>1802</v>
      </c>
      <c r="F14" s="83" t="s">
        <v>179</v>
      </c>
      <c r="G14" s="140" t="s">
        <v>313</v>
      </c>
      <c r="H14" s="55" t="s">
        <v>318</v>
      </c>
      <c r="I14" s="57"/>
    </row>
    <row r="15" spans="1:9" ht="15.75" thickBot="1" x14ac:dyDescent="0.3">
      <c r="A15" s="165">
        <v>14</v>
      </c>
      <c r="B15" s="165" t="s">
        <v>209</v>
      </c>
      <c r="C15" s="53">
        <v>183142</v>
      </c>
      <c r="D15" s="75">
        <v>1801</v>
      </c>
      <c r="E15" s="75">
        <v>1802</v>
      </c>
      <c r="F15" s="82" t="s">
        <v>178</v>
      </c>
      <c r="G15" s="52"/>
      <c r="H15" s="52" t="s">
        <v>317</v>
      </c>
      <c r="I15" s="54" t="s">
        <v>316</v>
      </c>
    </row>
    <row r="16" spans="1:9" ht="30" x14ac:dyDescent="0.25">
      <c r="A16" s="164">
        <v>15</v>
      </c>
      <c r="B16" s="164" t="s">
        <v>209</v>
      </c>
      <c r="C16" s="58">
        <v>183008</v>
      </c>
      <c r="D16" s="76">
        <v>1801</v>
      </c>
      <c r="E16" s="76">
        <v>1804</v>
      </c>
      <c r="F16" s="84" t="s">
        <v>194</v>
      </c>
      <c r="G16" s="59"/>
      <c r="H16" s="49"/>
      <c r="I16" s="124"/>
    </row>
    <row r="17" spans="1:9" x14ac:dyDescent="0.25">
      <c r="A17" s="163">
        <v>16</v>
      </c>
      <c r="B17" s="163" t="s">
        <v>209</v>
      </c>
      <c r="C17" s="56">
        <v>152235</v>
      </c>
      <c r="D17" s="77">
        <v>1801</v>
      </c>
      <c r="E17" s="77">
        <v>1804</v>
      </c>
      <c r="F17" s="85" t="s">
        <v>224</v>
      </c>
      <c r="G17" s="55"/>
      <c r="H17" s="55"/>
      <c r="I17" s="57"/>
    </row>
    <row r="18" spans="1:9" ht="30" x14ac:dyDescent="0.25">
      <c r="A18" s="163">
        <v>17</v>
      </c>
      <c r="B18" s="163" t="s">
        <v>209</v>
      </c>
      <c r="C18" s="60">
        <v>152241</v>
      </c>
      <c r="D18" s="77">
        <v>1801</v>
      </c>
      <c r="E18" s="77">
        <v>1804</v>
      </c>
      <c r="F18" s="85" t="s">
        <v>195</v>
      </c>
      <c r="G18" s="55"/>
      <c r="H18" s="55"/>
      <c r="I18" s="57"/>
    </row>
    <row r="19" spans="1:9" ht="30" x14ac:dyDescent="0.25">
      <c r="A19" s="163">
        <v>18</v>
      </c>
      <c r="B19" s="163" t="s">
        <v>209</v>
      </c>
      <c r="C19" s="56">
        <v>152237</v>
      </c>
      <c r="D19" s="77">
        <v>1801</v>
      </c>
      <c r="E19" s="77">
        <v>1804</v>
      </c>
      <c r="F19" s="85" t="s">
        <v>196</v>
      </c>
      <c r="G19" s="55"/>
      <c r="H19" s="55"/>
      <c r="I19" s="57"/>
    </row>
    <row r="20" spans="1:9" ht="30" x14ac:dyDescent="0.25">
      <c r="A20" s="163">
        <v>19</v>
      </c>
      <c r="B20" s="163" t="s">
        <v>209</v>
      </c>
      <c r="C20" s="56">
        <v>115001</v>
      </c>
      <c r="D20" s="77">
        <v>1801</v>
      </c>
      <c r="E20" s="77">
        <v>1804</v>
      </c>
      <c r="F20" s="85" t="s">
        <v>225</v>
      </c>
      <c r="G20" s="55"/>
      <c r="H20" s="55"/>
      <c r="I20" s="57"/>
    </row>
    <row r="21" spans="1:9" ht="30" x14ac:dyDescent="0.25">
      <c r="A21" s="163">
        <v>20</v>
      </c>
      <c r="B21" s="163" t="s">
        <v>209</v>
      </c>
      <c r="C21" s="56">
        <v>115005</v>
      </c>
      <c r="D21" s="77">
        <v>1801</v>
      </c>
      <c r="E21" s="77">
        <v>1804</v>
      </c>
      <c r="F21" s="85" t="s">
        <v>197</v>
      </c>
      <c r="G21" s="55"/>
      <c r="H21" s="55"/>
      <c r="I21" s="57"/>
    </row>
    <row r="22" spans="1:9" ht="15.75" thickBot="1" x14ac:dyDescent="0.3">
      <c r="A22" s="165">
        <v>21</v>
      </c>
      <c r="B22" s="165" t="s">
        <v>209</v>
      </c>
      <c r="C22" s="53">
        <v>115009</v>
      </c>
      <c r="D22" s="78">
        <v>1801</v>
      </c>
      <c r="E22" s="78">
        <v>1804</v>
      </c>
      <c r="F22" s="86" t="s">
        <v>226</v>
      </c>
      <c r="G22" s="52"/>
      <c r="H22" s="52"/>
      <c r="I22" s="54"/>
    </row>
    <row r="23" spans="1:9" x14ac:dyDescent="0.25">
      <c r="A23" s="164">
        <v>22</v>
      </c>
      <c r="B23" s="164" t="s">
        <v>209</v>
      </c>
      <c r="C23" s="61">
        <v>183206</v>
      </c>
      <c r="D23" s="71">
        <v>1802</v>
      </c>
      <c r="E23" s="72">
        <v>1803</v>
      </c>
      <c r="F23" s="87" t="s">
        <v>214</v>
      </c>
      <c r="G23" s="160" t="s">
        <v>320</v>
      </c>
      <c r="H23" s="62" t="s">
        <v>317</v>
      </c>
      <c r="I23" s="51"/>
    </row>
    <row r="24" spans="1:9" x14ac:dyDescent="0.25">
      <c r="A24" s="163">
        <v>23</v>
      </c>
      <c r="B24" s="163" t="s">
        <v>209</v>
      </c>
      <c r="C24" s="63">
        <v>183208</v>
      </c>
      <c r="D24" s="73">
        <v>1802</v>
      </c>
      <c r="E24" s="74">
        <v>1803</v>
      </c>
      <c r="F24" s="88" t="s">
        <v>180</v>
      </c>
      <c r="G24" s="161" t="s">
        <v>321</v>
      </c>
      <c r="H24" s="64" t="s">
        <v>318</v>
      </c>
      <c r="I24" s="57"/>
    </row>
    <row r="25" spans="1:9" x14ac:dyDescent="0.25">
      <c r="A25" s="163">
        <v>24</v>
      </c>
      <c r="B25" s="163" t="s">
        <v>209</v>
      </c>
      <c r="C25" s="63">
        <v>183211</v>
      </c>
      <c r="D25" s="74">
        <v>1802</v>
      </c>
      <c r="E25" s="74">
        <v>1803</v>
      </c>
      <c r="F25" s="88" t="s">
        <v>208</v>
      </c>
      <c r="G25" s="161" t="s">
        <v>320</v>
      </c>
      <c r="H25" s="64" t="s">
        <v>317</v>
      </c>
      <c r="I25" s="57" t="s">
        <v>322</v>
      </c>
    </row>
    <row r="26" spans="1:9" ht="30" x14ac:dyDescent="0.25">
      <c r="A26" s="163">
        <v>25</v>
      </c>
      <c r="B26" s="163" t="s">
        <v>209</v>
      </c>
      <c r="C26" s="63">
        <v>183215</v>
      </c>
      <c r="D26" s="74">
        <v>1802</v>
      </c>
      <c r="E26" s="74">
        <v>1803</v>
      </c>
      <c r="F26" s="88" t="s">
        <v>182</v>
      </c>
      <c r="G26" s="161" t="s">
        <v>320</v>
      </c>
      <c r="H26" s="64" t="s">
        <v>317</v>
      </c>
      <c r="I26" s="57" t="s">
        <v>322</v>
      </c>
    </row>
    <row r="27" spans="1:9" ht="30" x14ac:dyDescent="0.25">
      <c r="A27" s="163">
        <v>26</v>
      </c>
      <c r="B27" s="163" t="s">
        <v>209</v>
      </c>
      <c r="C27" s="63">
        <v>183219</v>
      </c>
      <c r="D27" s="74">
        <v>1802</v>
      </c>
      <c r="E27" s="74">
        <v>1803</v>
      </c>
      <c r="F27" s="88" t="s">
        <v>183</v>
      </c>
      <c r="G27" s="161" t="s">
        <v>321</v>
      </c>
      <c r="H27" s="64" t="s">
        <v>318</v>
      </c>
      <c r="I27" s="57"/>
    </row>
    <row r="28" spans="1:9" x14ac:dyDescent="0.25">
      <c r="A28" s="163">
        <v>27</v>
      </c>
      <c r="B28" s="163" t="s">
        <v>209</v>
      </c>
      <c r="C28" s="63">
        <v>183228</v>
      </c>
      <c r="D28" s="74">
        <v>1802</v>
      </c>
      <c r="E28" s="74">
        <v>1803</v>
      </c>
      <c r="F28" s="88" t="s">
        <v>184</v>
      </c>
      <c r="G28" s="161" t="s">
        <v>321</v>
      </c>
      <c r="H28" s="64" t="s">
        <v>318</v>
      </c>
      <c r="I28" s="57"/>
    </row>
    <row r="29" spans="1:9" ht="30.75" thickBot="1" x14ac:dyDescent="0.3">
      <c r="A29" s="165">
        <v>28</v>
      </c>
      <c r="B29" s="165" t="s">
        <v>209</v>
      </c>
      <c r="C29" s="53">
        <v>183230</v>
      </c>
      <c r="D29" s="70">
        <v>1802</v>
      </c>
      <c r="E29" s="70">
        <v>1803</v>
      </c>
      <c r="F29" s="82" t="s">
        <v>185</v>
      </c>
      <c r="G29" s="52" t="s">
        <v>302</v>
      </c>
      <c r="H29" s="52"/>
      <c r="I29" s="54"/>
    </row>
    <row r="30" spans="1:9" ht="30" x14ac:dyDescent="0.25">
      <c r="A30" s="166">
        <v>29</v>
      </c>
      <c r="B30" s="166" t="s">
        <v>209</v>
      </c>
      <c r="C30" s="61">
        <v>183248</v>
      </c>
      <c r="D30" s="71">
        <v>1803</v>
      </c>
      <c r="E30" s="72">
        <v>1804</v>
      </c>
      <c r="F30" s="87" t="s">
        <v>186</v>
      </c>
      <c r="G30" s="158" t="s">
        <v>325</v>
      </c>
      <c r="H30" s="49" t="s">
        <v>318</v>
      </c>
      <c r="I30" s="51"/>
    </row>
    <row r="31" spans="1:9" ht="30" x14ac:dyDescent="0.25">
      <c r="A31" s="167">
        <v>30</v>
      </c>
      <c r="B31" s="167" t="s">
        <v>209</v>
      </c>
      <c r="C31" s="63">
        <v>183250</v>
      </c>
      <c r="D31" s="74">
        <v>1803</v>
      </c>
      <c r="E31" s="74">
        <v>1804</v>
      </c>
      <c r="F31" s="88" t="s">
        <v>187</v>
      </c>
      <c r="G31" s="140" t="s">
        <v>325</v>
      </c>
      <c r="H31" s="55" t="s">
        <v>318</v>
      </c>
      <c r="I31" s="57"/>
    </row>
    <row r="32" spans="1:9" x14ac:dyDescent="0.25">
      <c r="A32" s="167">
        <v>31</v>
      </c>
      <c r="B32" s="167" t="s">
        <v>209</v>
      </c>
      <c r="C32" s="63">
        <v>183253</v>
      </c>
      <c r="D32" s="74">
        <v>1803</v>
      </c>
      <c r="E32" s="74">
        <v>1804</v>
      </c>
      <c r="F32" s="88" t="s">
        <v>188</v>
      </c>
      <c r="G32" s="55"/>
      <c r="H32" s="55" t="s">
        <v>317</v>
      </c>
      <c r="I32" s="57" t="s">
        <v>316</v>
      </c>
    </row>
    <row r="33" spans="1:9" x14ac:dyDescent="0.25">
      <c r="A33" s="167">
        <v>32</v>
      </c>
      <c r="B33" s="167" t="s">
        <v>209</v>
      </c>
      <c r="C33" s="63">
        <v>183255</v>
      </c>
      <c r="D33" s="74">
        <v>1803</v>
      </c>
      <c r="E33" s="74">
        <v>1804</v>
      </c>
      <c r="F33" s="88" t="s">
        <v>189</v>
      </c>
      <c r="G33" s="55"/>
      <c r="H33" s="55" t="s">
        <v>317</v>
      </c>
      <c r="I33" s="57" t="s">
        <v>316</v>
      </c>
    </row>
    <row r="34" spans="1:9" ht="30" x14ac:dyDescent="0.25">
      <c r="A34" s="167">
        <v>33</v>
      </c>
      <c r="B34" s="167" t="s">
        <v>209</v>
      </c>
      <c r="C34" s="63">
        <v>183301</v>
      </c>
      <c r="D34" s="74">
        <v>1803</v>
      </c>
      <c r="E34" s="74">
        <v>1804</v>
      </c>
      <c r="F34" s="88" t="s">
        <v>326</v>
      </c>
      <c r="G34" s="140" t="s">
        <v>325</v>
      </c>
      <c r="H34" s="55" t="s">
        <v>318</v>
      </c>
      <c r="I34" s="57"/>
    </row>
    <row r="35" spans="1:9" x14ac:dyDescent="0.25">
      <c r="A35" s="167">
        <v>34</v>
      </c>
      <c r="B35" s="167" t="s">
        <v>209</v>
      </c>
      <c r="C35" s="63">
        <v>183304</v>
      </c>
      <c r="D35" s="74">
        <v>1803</v>
      </c>
      <c r="E35" s="74">
        <v>1804</v>
      </c>
      <c r="F35" s="88" t="s">
        <v>190</v>
      </c>
      <c r="G35" s="140" t="s">
        <v>324</v>
      </c>
      <c r="H35" s="55" t="s">
        <v>317</v>
      </c>
      <c r="I35" s="57"/>
    </row>
    <row r="36" spans="1:9" x14ac:dyDescent="0.25">
      <c r="A36" s="167">
        <v>35</v>
      </c>
      <c r="B36" s="167" t="s">
        <v>209</v>
      </c>
      <c r="C36" s="63">
        <v>183306</v>
      </c>
      <c r="D36" s="74">
        <v>1803</v>
      </c>
      <c r="E36" s="74">
        <v>1804</v>
      </c>
      <c r="F36" s="88" t="s">
        <v>191</v>
      </c>
      <c r="G36" s="55"/>
      <c r="H36" s="55" t="s">
        <v>317</v>
      </c>
      <c r="I36" s="57" t="s">
        <v>350</v>
      </c>
    </row>
    <row r="37" spans="1:9" ht="30" x14ac:dyDescent="0.25">
      <c r="A37" s="167">
        <v>36</v>
      </c>
      <c r="B37" s="167" t="s">
        <v>209</v>
      </c>
      <c r="C37" s="63">
        <v>183309</v>
      </c>
      <c r="D37" s="74">
        <v>1803</v>
      </c>
      <c r="E37" s="74">
        <v>1804</v>
      </c>
      <c r="F37" s="88" t="s">
        <v>192</v>
      </c>
      <c r="G37" s="55" t="s">
        <v>302</v>
      </c>
      <c r="H37" s="55"/>
      <c r="I37" s="57"/>
    </row>
    <row r="38" spans="1:9" x14ac:dyDescent="0.25">
      <c r="A38" s="167">
        <v>37</v>
      </c>
      <c r="B38" s="167" t="s">
        <v>209</v>
      </c>
      <c r="C38" s="63">
        <v>183315</v>
      </c>
      <c r="D38" s="74">
        <v>1803</v>
      </c>
      <c r="E38" s="74">
        <v>1804</v>
      </c>
      <c r="F38" s="88" t="s">
        <v>177</v>
      </c>
      <c r="G38" s="140" t="s">
        <v>325</v>
      </c>
      <c r="H38" s="55" t="s">
        <v>318</v>
      </c>
      <c r="I38" s="57"/>
    </row>
    <row r="39" spans="1:9" ht="15.75" thickBot="1" x14ac:dyDescent="0.3">
      <c r="A39" s="168">
        <v>38</v>
      </c>
      <c r="B39" s="168" t="s">
        <v>215</v>
      </c>
      <c r="C39" s="66">
        <v>183322</v>
      </c>
      <c r="D39" s="75">
        <v>1803</v>
      </c>
      <c r="E39" s="75">
        <v>1804</v>
      </c>
      <c r="F39" s="89" t="s">
        <v>216</v>
      </c>
      <c r="G39" s="159" t="s">
        <v>325</v>
      </c>
      <c r="H39" s="52" t="s">
        <v>318</v>
      </c>
      <c r="I39" s="54"/>
    </row>
    <row r="40" spans="1:9" x14ac:dyDescent="0.25">
      <c r="A40" s="167">
        <v>39</v>
      </c>
      <c r="B40" s="167" t="s">
        <v>209</v>
      </c>
      <c r="C40" s="63">
        <v>183402</v>
      </c>
      <c r="D40" s="73">
        <v>1804</v>
      </c>
      <c r="E40" s="74">
        <v>1805</v>
      </c>
      <c r="F40" s="88" t="s">
        <v>198</v>
      </c>
      <c r="G40" s="161" t="s">
        <v>337</v>
      </c>
      <c r="H40" s="64" t="s">
        <v>318</v>
      </c>
      <c r="I40" s="57"/>
    </row>
    <row r="41" spans="1:9" ht="30" x14ac:dyDescent="0.25">
      <c r="A41" s="167">
        <v>40</v>
      </c>
      <c r="B41" s="167" t="s">
        <v>209</v>
      </c>
      <c r="C41" s="63">
        <v>183402</v>
      </c>
      <c r="D41" s="74">
        <v>1804</v>
      </c>
      <c r="E41" s="74">
        <v>1805</v>
      </c>
      <c r="F41" s="88" t="s">
        <v>199</v>
      </c>
      <c r="G41" s="161" t="s">
        <v>337</v>
      </c>
      <c r="H41" s="64" t="s">
        <v>318</v>
      </c>
      <c r="I41" s="57"/>
    </row>
    <row r="42" spans="1:9" x14ac:dyDescent="0.25">
      <c r="A42" s="167">
        <v>41</v>
      </c>
      <c r="B42" s="167" t="s">
        <v>209</v>
      </c>
      <c r="C42" s="63">
        <v>183411</v>
      </c>
      <c r="D42" s="74">
        <v>1804</v>
      </c>
      <c r="E42" s="74">
        <v>1805</v>
      </c>
      <c r="F42" s="88" t="s">
        <v>200</v>
      </c>
      <c r="G42" s="161" t="s">
        <v>338</v>
      </c>
      <c r="H42" s="64" t="s">
        <v>317</v>
      </c>
      <c r="I42" s="57"/>
    </row>
    <row r="43" spans="1:9" x14ac:dyDescent="0.25">
      <c r="A43" s="167">
        <v>42</v>
      </c>
      <c r="B43" s="167" t="s">
        <v>209</v>
      </c>
      <c r="C43" s="63">
        <v>183414</v>
      </c>
      <c r="D43" s="74">
        <v>1804</v>
      </c>
      <c r="E43" s="74">
        <v>1805</v>
      </c>
      <c r="F43" s="88" t="s">
        <v>201</v>
      </c>
      <c r="G43" s="64"/>
      <c r="H43" s="64" t="s">
        <v>317</v>
      </c>
      <c r="I43" s="57" t="s">
        <v>316</v>
      </c>
    </row>
    <row r="44" spans="1:9" x14ac:dyDescent="0.25">
      <c r="A44" s="163">
        <v>43</v>
      </c>
      <c r="B44" s="163" t="s">
        <v>209</v>
      </c>
      <c r="C44" s="56">
        <v>183416</v>
      </c>
      <c r="D44" s="79">
        <v>1804</v>
      </c>
      <c r="E44" s="79">
        <v>1805</v>
      </c>
      <c r="F44" s="83" t="s">
        <v>202</v>
      </c>
      <c r="G44" s="55" t="s">
        <v>302</v>
      </c>
      <c r="H44" s="55"/>
      <c r="I44" s="57"/>
    </row>
    <row r="45" spans="1:9" ht="30" x14ac:dyDescent="0.25">
      <c r="A45" s="167">
        <v>44</v>
      </c>
      <c r="B45" s="167" t="s">
        <v>209</v>
      </c>
      <c r="C45" s="63">
        <v>183420</v>
      </c>
      <c r="D45" s="74">
        <v>1804</v>
      </c>
      <c r="E45" s="74">
        <v>1805</v>
      </c>
      <c r="F45" s="88" t="s">
        <v>203</v>
      </c>
      <c r="G45" s="161" t="s">
        <v>337</v>
      </c>
      <c r="H45" s="64" t="s">
        <v>318</v>
      </c>
      <c r="I45" s="57"/>
    </row>
    <row r="46" spans="1:9" ht="30" x14ac:dyDescent="0.25">
      <c r="A46" s="167">
        <v>45</v>
      </c>
      <c r="B46" s="167" t="s">
        <v>209</v>
      </c>
      <c r="C46" s="63">
        <v>183423</v>
      </c>
      <c r="D46" s="74">
        <v>1804</v>
      </c>
      <c r="E46" s="74">
        <v>1805</v>
      </c>
      <c r="F46" s="88" t="s">
        <v>204</v>
      </c>
      <c r="G46" s="161" t="s">
        <v>337</v>
      </c>
      <c r="H46" s="64" t="s">
        <v>318</v>
      </c>
      <c r="I46" s="57"/>
    </row>
    <row r="47" spans="1:9" x14ac:dyDescent="0.25">
      <c r="A47" s="167">
        <v>46</v>
      </c>
      <c r="B47" s="167" t="s">
        <v>209</v>
      </c>
      <c r="C47" s="63">
        <v>183434</v>
      </c>
      <c r="D47" s="74">
        <v>1804</v>
      </c>
      <c r="E47" s="74">
        <v>1805</v>
      </c>
      <c r="F47" s="88" t="s">
        <v>205</v>
      </c>
      <c r="G47" s="64"/>
      <c r="H47" s="64" t="s">
        <v>317</v>
      </c>
      <c r="I47" s="57" t="s">
        <v>316</v>
      </c>
    </row>
    <row r="48" spans="1:9" ht="15.75" thickBot="1" x14ac:dyDescent="0.3">
      <c r="A48" s="168">
        <v>47</v>
      </c>
      <c r="B48" s="168" t="s">
        <v>209</v>
      </c>
      <c r="C48" s="66">
        <v>183459</v>
      </c>
      <c r="D48" s="75">
        <v>1805</v>
      </c>
      <c r="E48" s="75">
        <v>1805</v>
      </c>
      <c r="F48" s="89" t="s">
        <v>217</v>
      </c>
      <c r="G48" s="65"/>
      <c r="H48" s="65" t="s">
        <v>318</v>
      </c>
      <c r="I48" s="54" t="s">
        <v>343</v>
      </c>
    </row>
    <row r="49" spans="1:9" x14ac:dyDescent="0.25">
      <c r="A49" s="166">
        <v>48</v>
      </c>
      <c r="B49" s="166" t="s">
        <v>209</v>
      </c>
      <c r="C49" s="61">
        <v>183613</v>
      </c>
      <c r="D49" s="71">
        <v>1805</v>
      </c>
      <c r="E49" s="72">
        <v>1806</v>
      </c>
      <c r="F49" s="87" t="s">
        <v>198</v>
      </c>
      <c r="G49" s="160" t="s">
        <v>341</v>
      </c>
      <c r="H49" s="62" t="s">
        <v>318</v>
      </c>
      <c r="I49" s="51"/>
    </row>
    <row r="50" spans="1:9" ht="30" x14ac:dyDescent="0.25">
      <c r="A50" s="167">
        <v>49</v>
      </c>
      <c r="B50" s="167" t="s">
        <v>209</v>
      </c>
      <c r="C50" s="63">
        <v>183613</v>
      </c>
      <c r="D50" s="74">
        <v>1805</v>
      </c>
      <c r="E50" s="74">
        <v>1806</v>
      </c>
      <c r="F50" s="88" t="s">
        <v>199</v>
      </c>
      <c r="G50" s="161" t="s">
        <v>341</v>
      </c>
      <c r="H50" s="64" t="s">
        <v>318</v>
      </c>
      <c r="I50" s="57"/>
    </row>
    <row r="51" spans="1:9" x14ac:dyDescent="0.25">
      <c r="A51" s="167">
        <v>50</v>
      </c>
      <c r="B51" s="167" t="s">
        <v>209</v>
      </c>
      <c r="C51" s="63">
        <v>183616</v>
      </c>
      <c r="D51" s="74">
        <v>1805</v>
      </c>
      <c r="E51" s="74">
        <v>1806</v>
      </c>
      <c r="F51" s="88" t="s">
        <v>201</v>
      </c>
      <c r="G51" s="64"/>
      <c r="H51" s="64" t="s">
        <v>317</v>
      </c>
      <c r="I51" s="57" t="s">
        <v>316</v>
      </c>
    </row>
    <row r="52" spans="1:9" ht="30" x14ac:dyDescent="0.25">
      <c r="A52" s="167">
        <v>51</v>
      </c>
      <c r="B52" s="167" t="s">
        <v>209</v>
      </c>
      <c r="C52" s="63">
        <v>183621</v>
      </c>
      <c r="D52" s="74">
        <v>1805</v>
      </c>
      <c r="E52" s="74">
        <v>1806</v>
      </c>
      <c r="F52" s="88" t="s">
        <v>206</v>
      </c>
      <c r="G52" s="161" t="s">
        <v>341</v>
      </c>
      <c r="H52" s="64" t="s">
        <v>318</v>
      </c>
      <c r="I52" s="57"/>
    </row>
    <row r="53" spans="1:9" ht="30" x14ac:dyDescent="0.25">
      <c r="A53" s="167">
        <v>52</v>
      </c>
      <c r="B53" s="167" t="s">
        <v>209</v>
      </c>
      <c r="C53" s="63">
        <v>183621</v>
      </c>
      <c r="D53" s="74">
        <v>1805</v>
      </c>
      <c r="E53" s="74">
        <v>1806</v>
      </c>
      <c r="F53" s="88" t="s">
        <v>207</v>
      </c>
      <c r="G53" s="161" t="s">
        <v>341</v>
      </c>
      <c r="H53" s="64" t="s">
        <v>318</v>
      </c>
      <c r="I53" s="57"/>
    </row>
    <row r="54" spans="1:9" x14ac:dyDescent="0.25">
      <c r="A54" s="167">
        <v>53</v>
      </c>
      <c r="B54" s="167" t="s">
        <v>209</v>
      </c>
      <c r="C54" s="63">
        <v>183630</v>
      </c>
      <c r="D54" s="74">
        <v>1805</v>
      </c>
      <c r="E54" s="74">
        <v>1806</v>
      </c>
      <c r="F54" s="88" t="s">
        <v>218</v>
      </c>
      <c r="G54" s="161" t="s">
        <v>342</v>
      </c>
      <c r="H54" s="64" t="s">
        <v>317</v>
      </c>
      <c r="I54" s="57"/>
    </row>
    <row r="55" spans="1:9" x14ac:dyDescent="0.25">
      <c r="A55" s="167">
        <v>54</v>
      </c>
      <c r="B55" s="167" t="s">
        <v>209</v>
      </c>
      <c r="C55" s="63">
        <v>183633</v>
      </c>
      <c r="D55" s="74">
        <v>1805</v>
      </c>
      <c r="E55" s="74">
        <v>1806</v>
      </c>
      <c r="F55" s="88" t="s">
        <v>219</v>
      </c>
      <c r="G55" s="64"/>
      <c r="H55" s="64" t="s">
        <v>317</v>
      </c>
      <c r="I55" s="57" t="s">
        <v>350</v>
      </c>
    </row>
    <row r="56" spans="1:9" ht="15.75" thickBot="1" x14ac:dyDescent="0.3">
      <c r="A56" s="165">
        <v>55</v>
      </c>
      <c r="B56" s="165" t="s">
        <v>209</v>
      </c>
      <c r="C56" s="53">
        <v>183636</v>
      </c>
      <c r="D56" s="70">
        <v>1805</v>
      </c>
      <c r="E56" s="70">
        <v>1806</v>
      </c>
      <c r="F56" s="82" t="s">
        <v>202</v>
      </c>
      <c r="G56" s="52" t="s">
        <v>302</v>
      </c>
      <c r="H56" s="52"/>
      <c r="I56" s="54"/>
    </row>
    <row r="57" spans="1:9" x14ac:dyDescent="0.25">
      <c r="A57" s="166">
        <v>56</v>
      </c>
      <c r="B57" s="166" t="s">
        <v>209</v>
      </c>
      <c r="C57" s="61">
        <v>183714</v>
      </c>
      <c r="D57" s="71">
        <v>1806</v>
      </c>
      <c r="E57" s="72">
        <v>1807</v>
      </c>
      <c r="F57" s="87" t="s">
        <v>220</v>
      </c>
      <c r="G57" s="160" t="s">
        <v>353</v>
      </c>
      <c r="H57" s="62" t="s">
        <v>318</v>
      </c>
      <c r="I57" s="51"/>
    </row>
    <row r="58" spans="1:9" ht="30" x14ac:dyDescent="0.25">
      <c r="A58" s="167">
        <v>57</v>
      </c>
      <c r="B58" s="167" t="s">
        <v>209</v>
      </c>
      <c r="C58" s="63">
        <v>183714</v>
      </c>
      <c r="D58" s="74">
        <v>1806</v>
      </c>
      <c r="E58" s="74">
        <v>1807</v>
      </c>
      <c r="F58" s="88" t="s">
        <v>199</v>
      </c>
      <c r="G58" s="161" t="s">
        <v>353</v>
      </c>
      <c r="H58" s="64" t="s">
        <v>318</v>
      </c>
      <c r="I58" s="57"/>
    </row>
    <row r="59" spans="1:9" x14ac:dyDescent="0.25">
      <c r="A59" s="167">
        <v>58</v>
      </c>
      <c r="B59" s="167" t="s">
        <v>209</v>
      </c>
      <c r="C59" s="63">
        <v>183717</v>
      </c>
      <c r="D59" s="74">
        <v>1806</v>
      </c>
      <c r="E59" s="74">
        <v>1807</v>
      </c>
      <c r="F59" s="88" t="s">
        <v>221</v>
      </c>
      <c r="G59" s="64" t="s">
        <v>302</v>
      </c>
      <c r="H59" s="64"/>
      <c r="I59" s="57"/>
    </row>
    <row r="60" spans="1:9" x14ac:dyDescent="0.25">
      <c r="A60" s="167">
        <v>59</v>
      </c>
      <c r="B60" s="167" t="s">
        <v>209</v>
      </c>
      <c r="C60" s="63">
        <v>183722</v>
      </c>
      <c r="D60" s="74">
        <v>1806</v>
      </c>
      <c r="E60" s="74">
        <v>1807</v>
      </c>
      <c r="F60" s="88" t="s">
        <v>222</v>
      </c>
      <c r="G60" s="161" t="s">
        <v>354</v>
      </c>
      <c r="H60" s="64" t="s">
        <v>317</v>
      </c>
      <c r="I60" s="57"/>
    </row>
    <row r="61" spans="1:9" x14ac:dyDescent="0.25">
      <c r="A61" s="167">
        <v>60</v>
      </c>
      <c r="B61" s="167" t="s">
        <v>209</v>
      </c>
      <c r="C61" s="63">
        <v>183725</v>
      </c>
      <c r="D61" s="74">
        <v>1806</v>
      </c>
      <c r="E61" s="74">
        <v>1807</v>
      </c>
      <c r="F61" s="88" t="s">
        <v>205</v>
      </c>
      <c r="G61" s="64"/>
      <c r="H61" s="64" t="s">
        <v>317</v>
      </c>
      <c r="I61" s="57" t="s">
        <v>316</v>
      </c>
    </row>
    <row r="62" spans="1:9" x14ac:dyDescent="0.25">
      <c r="A62" s="167">
        <v>61</v>
      </c>
      <c r="B62" s="167" t="s">
        <v>209</v>
      </c>
      <c r="C62" s="63">
        <v>183729</v>
      </c>
      <c r="D62" s="74">
        <v>1806</v>
      </c>
      <c r="E62" s="74">
        <v>1807</v>
      </c>
      <c r="F62" s="88" t="s">
        <v>201</v>
      </c>
      <c r="G62" s="64"/>
      <c r="H62" s="64" t="s">
        <v>317</v>
      </c>
      <c r="I62" s="57" t="s">
        <v>316</v>
      </c>
    </row>
    <row r="63" spans="1:9" x14ac:dyDescent="0.25">
      <c r="A63" s="167">
        <v>62</v>
      </c>
      <c r="B63" s="167" t="s">
        <v>209</v>
      </c>
      <c r="C63" s="63">
        <v>183738</v>
      </c>
      <c r="D63" s="74">
        <v>1806</v>
      </c>
      <c r="E63" s="74">
        <v>1807</v>
      </c>
      <c r="F63" s="88" t="s">
        <v>223</v>
      </c>
      <c r="G63" s="161" t="s">
        <v>353</v>
      </c>
      <c r="H63" s="64" t="s">
        <v>318</v>
      </c>
      <c r="I63" s="57"/>
    </row>
    <row r="64" spans="1:9" ht="15.75" thickBot="1" x14ac:dyDescent="0.3">
      <c r="A64" s="168">
        <v>63</v>
      </c>
      <c r="B64" s="168" t="s">
        <v>209</v>
      </c>
      <c r="C64" s="66">
        <v>183741</v>
      </c>
      <c r="D64" s="75">
        <v>1806</v>
      </c>
      <c r="E64" s="75">
        <v>1807</v>
      </c>
      <c r="F64" s="89" t="s">
        <v>210</v>
      </c>
      <c r="G64" s="161" t="s">
        <v>353</v>
      </c>
      <c r="H64" s="65" t="s">
        <v>318</v>
      </c>
      <c r="I64" s="54"/>
    </row>
    <row r="65" spans="1:9" x14ac:dyDescent="0.25">
      <c r="A65" s="164">
        <v>64</v>
      </c>
      <c r="B65" s="164" t="s">
        <v>211</v>
      </c>
      <c r="C65" s="61">
        <v>120109</v>
      </c>
      <c r="D65" s="71">
        <v>1807</v>
      </c>
      <c r="E65" s="72">
        <v>1808</v>
      </c>
      <c r="F65" s="87" t="s">
        <v>234</v>
      </c>
      <c r="G65" s="160" t="s">
        <v>356</v>
      </c>
      <c r="H65" s="62" t="s">
        <v>318</v>
      </c>
      <c r="I65" s="51" t="s">
        <v>358</v>
      </c>
    </row>
    <row r="66" spans="1:9" x14ac:dyDescent="0.25">
      <c r="A66" s="163">
        <v>65</v>
      </c>
      <c r="B66" s="163" t="s">
        <v>211</v>
      </c>
      <c r="C66" s="56">
        <v>120109</v>
      </c>
      <c r="D66" s="79">
        <v>1807</v>
      </c>
      <c r="E66" s="79">
        <v>1808</v>
      </c>
      <c r="F66" s="83" t="s">
        <v>235</v>
      </c>
      <c r="G66" s="55" t="s">
        <v>302</v>
      </c>
      <c r="H66" s="55"/>
      <c r="I66" s="57"/>
    </row>
    <row r="67" spans="1:9" x14ac:dyDescent="0.25">
      <c r="A67" s="163">
        <v>66</v>
      </c>
      <c r="B67" s="167" t="s">
        <v>211</v>
      </c>
      <c r="C67" s="63">
        <v>120109</v>
      </c>
      <c r="D67" s="74">
        <v>1807</v>
      </c>
      <c r="E67" s="74">
        <v>1808</v>
      </c>
      <c r="F67" s="88" t="s">
        <v>236</v>
      </c>
      <c r="G67" s="161" t="s">
        <v>356</v>
      </c>
      <c r="H67" s="64" t="s">
        <v>318</v>
      </c>
      <c r="I67" s="57"/>
    </row>
    <row r="68" spans="1:9" x14ac:dyDescent="0.25">
      <c r="A68" s="163">
        <v>67</v>
      </c>
      <c r="B68" s="167" t="s">
        <v>211</v>
      </c>
      <c r="C68" s="63">
        <v>120114</v>
      </c>
      <c r="D68" s="74">
        <v>1807</v>
      </c>
      <c r="E68" s="74">
        <v>1808</v>
      </c>
      <c r="F68" s="88" t="s">
        <v>237</v>
      </c>
      <c r="G68" s="161" t="s">
        <v>357</v>
      </c>
      <c r="H68" s="64" t="s">
        <v>317</v>
      </c>
      <c r="I68" s="57"/>
    </row>
    <row r="69" spans="1:9" x14ac:dyDescent="0.25">
      <c r="A69" s="163">
        <v>68</v>
      </c>
      <c r="B69" s="167" t="s">
        <v>211</v>
      </c>
      <c r="C69" s="63">
        <v>120121</v>
      </c>
      <c r="D69" s="74">
        <v>1807</v>
      </c>
      <c r="E69" s="74">
        <v>1808</v>
      </c>
      <c r="F69" s="88" t="s">
        <v>238</v>
      </c>
      <c r="G69" s="161" t="s">
        <v>356</v>
      </c>
      <c r="H69" s="64" t="s">
        <v>318</v>
      </c>
      <c r="I69" s="57"/>
    </row>
    <row r="70" spans="1:9" x14ac:dyDescent="0.25">
      <c r="A70" s="163">
        <v>69</v>
      </c>
      <c r="B70" s="167" t="s">
        <v>211</v>
      </c>
      <c r="C70" s="63">
        <v>120121</v>
      </c>
      <c r="D70" s="74">
        <v>1807</v>
      </c>
      <c r="E70" s="74">
        <v>1808</v>
      </c>
      <c r="F70" s="88" t="s">
        <v>239</v>
      </c>
      <c r="G70" s="161" t="s">
        <v>356</v>
      </c>
      <c r="H70" s="64" t="s">
        <v>318</v>
      </c>
      <c r="I70" s="57"/>
    </row>
    <row r="71" spans="1:9" x14ac:dyDescent="0.25">
      <c r="A71" s="163">
        <v>70</v>
      </c>
      <c r="B71" s="167" t="s">
        <v>211</v>
      </c>
      <c r="C71" s="63">
        <v>120133</v>
      </c>
      <c r="D71" s="74">
        <v>1807</v>
      </c>
      <c r="E71" s="74">
        <v>1808</v>
      </c>
      <c r="F71" s="88" t="s">
        <v>240</v>
      </c>
      <c r="G71" s="64"/>
      <c r="H71" s="64" t="s">
        <v>317</v>
      </c>
      <c r="I71" s="57" t="s">
        <v>316</v>
      </c>
    </row>
    <row r="72" spans="1:9" x14ac:dyDescent="0.25">
      <c r="A72" s="163">
        <v>71</v>
      </c>
      <c r="B72" s="167" t="s">
        <v>211</v>
      </c>
      <c r="C72" s="63">
        <v>120133</v>
      </c>
      <c r="D72" s="74">
        <v>1807</v>
      </c>
      <c r="E72" s="74">
        <v>1808</v>
      </c>
      <c r="F72" s="88" t="s">
        <v>241</v>
      </c>
      <c r="G72" s="64"/>
      <c r="H72" s="64" t="s">
        <v>317</v>
      </c>
      <c r="I72" s="57" t="s">
        <v>350</v>
      </c>
    </row>
    <row r="73" spans="1:9" ht="15.75" thickBot="1" x14ac:dyDescent="0.3">
      <c r="A73" s="165">
        <v>72</v>
      </c>
      <c r="B73" s="168" t="s">
        <v>211</v>
      </c>
      <c r="C73" s="66">
        <v>120133</v>
      </c>
      <c r="D73" s="75">
        <v>1807</v>
      </c>
      <c r="E73" s="75">
        <v>1808</v>
      </c>
      <c r="F73" s="89" t="s">
        <v>242</v>
      </c>
      <c r="G73" s="161" t="s">
        <v>356</v>
      </c>
      <c r="H73" s="65" t="s">
        <v>318</v>
      </c>
      <c r="I73" s="54"/>
    </row>
    <row r="74" spans="1:9" x14ac:dyDescent="0.25">
      <c r="A74" s="164">
        <v>73</v>
      </c>
      <c r="B74" s="166" t="s">
        <v>211</v>
      </c>
      <c r="C74" s="61">
        <v>120227</v>
      </c>
      <c r="D74" s="71">
        <v>1808</v>
      </c>
      <c r="E74" s="72">
        <v>1809</v>
      </c>
      <c r="F74" s="87" t="s">
        <v>243</v>
      </c>
      <c r="G74" s="160" t="s">
        <v>365</v>
      </c>
      <c r="H74" s="62" t="s">
        <v>318</v>
      </c>
      <c r="I74" s="51"/>
    </row>
    <row r="75" spans="1:9" x14ac:dyDescent="0.25">
      <c r="A75" s="163">
        <v>74</v>
      </c>
      <c r="B75" s="167" t="s">
        <v>211</v>
      </c>
      <c r="C75" s="63">
        <v>120227</v>
      </c>
      <c r="D75" s="74">
        <v>1808</v>
      </c>
      <c r="E75" s="74">
        <v>1809</v>
      </c>
      <c r="F75" s="88" t="s">
        <v>244</v>
      </c>
      <c r="G75" s="64" t="s">
        <v>302</v>
      </c>
      <c r="H75" s="64"/>
      <c r="I75" s="57"/>
    </row>
    <row r="76" spans="1:9" x14ac:dyDescent="0.25">
      <c r="A76" s="163">
        <v>75</v>
      </c>
      <c r="B76" s="167" t="s">
        <v>211</v>
      </c>
      <c r="C76" s="63">
        <v>120227</v>
      </c>
      <c r="D76" s="74">
        <v>1808</v>
      </c>
      <c r="E76" s="74">
        <v>1809</v>
      </c>
      <c r="F76" s="88" t="s">
        <v>236</v>
      </c>
      <c r="G76" s="161" t="s">
        <v>365</v>
      </c>
      <c r="H76" s="64" t="s">
        <v>318</v>
      </c>
      <c r="I76" s="57"/>
    </row>
    <row r="77" spans="1:9" x14ac:dyDescent="0.25">
      <c r="A77" s="163">
        <v>76</v>
      </c>
      <c r="B77" s="167" t="s">
        <v>211</v>
      </c>
      <c r="C77" s="63">
        <v>120232</v>
      </c>
      <c r="D77" s="74">
        <v>1808</v>
      </c>
      <c r="E77" s="74">
        <v>1809</v>
      </c>
      <c r="F77" s="88" t="s">
        <v>245</v>
      </c>
      <c r="G77" s="161" t="s">
        <v>366</v>
      </c>
      <c r="H77" s="64" t="s">
        <v>317</v>
      </c>
      <c r="I77" s="57"/>
    </row>
    <row r="78" spans="1:9" x14ac:dyDescent="0.25">
      <c r="A78" s="163">
        <v>77</v>
      </c>
      <c r="B78" s="167" t="s">
        <v>211</v>
      </c>
      <c r="C78" s="63">
        <v>120240</v>
      </c>
      <c r="D78" s="74">
        <v>1808</v>
      </c>
      <c r="E78" s="74">
        <v>1809</v>
      </c>
      <c r="F78" s="88" t="s">
        <v>246</v>
      </c>
      <c r="G78" s="161" t="s">
        <v>365</v>
      </c>
      <c r="H78" s="64" t="s">
        <v>318</v>
      </c>
      <c r="I78" s="57"/>
    </row>
    <row r="79" spans="1:9" x14ac:dyDescent="0.25">
      <c r="A79" s="163">
        <v>78</v>
      </c>
      <c r="B79" s="167" t="s">
        <v>211</v>
      </c>
      <c r="C79" s="63">
        <v>120240</v>
      </c>
      <c r="D79" s="74">
        <v>1808</v>
      </c>
      <c r="E79" s="74">
        <v>1809</v>
      </c>
      <c r="F79" s="88" t="s">
        <v>247</v>
      </c>
      <c r="G79" s="161" t="s">
        <v>365</v>
      </c>
      <c r="H79" s="64" t="s">
        <v>318</v>
      </c>
      <c r="I79" s="57"/>
    </row>
    <row r="80" spans="1:9" x14ac:dyDescent="0.25">
      <c r="A80" s="163">
        <v>79</v>
      </c>
      <c r="B80" s="167" t="s">
        <v>211</v>
      </c>
      <c r="C80" s="63">
        <v>120246</v>
      </c>
      <c r="D80" s="74">
        <v>1808</v>
      </c>
      <c r="E80" s="74">
        <v>1809</v>
      </c>
      <c r="F80" s="88" t="s">
        <v>240</v>
      </c>
      <c r="G80" s="64"/>
      <c r="H80" s="64" t="s">
        <v>317</v>
      </c>
      <c r="I80" s="57" t="s">
        <v>316</v>
      </c>
    </row>
    <row r="81" spans="1:9" ht="15.75" thickBot="1" x14ac:dyDescent="0.3">
      <c r="A81" s="165">
        <v>80</v>
      </c>
      <c r="B81" s="168" t="s">
        <v>211</v>
      </c>
      <c r="C81" s="66">
        <v>120246</v>
      </c>
      <c r="D81" s="75">
        <v>1808</v>
      </c>
      <c r="E81" s="75">
        <v>1809</v>
      </c>
      <c r="F81" s="89" t="s">
        <v>248</v>
      </c>
      <c r="G81" s="65"/>
      <c r="H81" s="65" t="s">
        <v>317</v>
      </c>
      <c r="I81" s="57" t="s">
        <v>316</v>
      </c>
    </row>
    <row r="82" spans="1:9" x14ac:dyDescent="0.25">
      <c r="A82" s="164">
        <v>81</v>
      </c>
      <c r="B82" s="164" t="s">
        <v>211</v>
      </c>
      <c r="C82" s="50">
        <v>120306</v>
      </c>
      <c r="D82" s="68">
        <v>1809</v>
      </c>
      <c r="E82" s="69">
        <v>1810</v>
      </c>
      <c r="F82" s="81" t="s">
        <v>244</v>
      </c>
      <c r="G82" s="49" t="s">
        <v>302</v>
      </c>
      <c r="H82" s="49"/>
      <c r="I82" s="51"/>
    </row>
    <row r="83" spans="1:9" x14ac:dyDescent="0.25">
      <c r="A83" s="163">
        <v>82</v>
      </c>
      <c r="B83" s="163" t="s">
        <v>211</v>
      </c>
      <c r="C83" s="63">
        <v>120306</v>
      </c>
      <c r="D83" s="74">
        <v>1809</v>
      </c>
      <c r="E83" s="74">
        <v>1810</v>
      </c>
      <c r="F83" s="88" t="s">
        <v>236</v>
      </c>
      <c r="G83" s="161" t="s">
        <v>368</v>
      </c>
      <c r="H83" s="64" t="s">
        <v>318</v>
      </c>
      <c r="I83" s="57"/>
    </row>
    <row r="84" spans="1:9" x14ac:dyDescent="0.25">
      <c r="A84" s="163">
        <v>83</v>
      </c>
      <c r="B84" s="163" t="s">
        <v>211</v>
      </c>
      <c r="C84" s="63">
        <v>120306</v>
      </c>
      <c r="D84" s="74">
        <v>1809</v>
      </c>
      <c r="E84" s="74">
        <v>1810</v>
      </c>
      <c r="F84" s="88" t="s">
        <v>249</v>
      </c>
      <c r="G84" s="161" t="s">
        <v>368</v>
      </c>
      <c r="H84" s="64" t="s">
        <v>318</v>
      </c>
      <c r="I84" s="57"/>
    </row>
    <row r="85" spans="1:9" x14ac:dyDescent="0.25">
      <c r="A85" s="163">
        <v>84</v>
      </c>
      <c r="B85" s="163" t="s">
        <v>211</v>
      </c>
      <c r="C85" s="63">
        <v>120312</v>
      </c>
      <c r="D85" s="74">
        <v>1809</v>
      </c>
      <c r="E85" s="74">
        <v>1810</v>
      </c>
      <c r="F85" s="88" t="s">
        <v>222</v>
      </c>
      <c r="G85" s="161" t="s">
        <v>369</v>
      </c>
      <c r="H85" s="64" t="s">
        <v>317</v>
      </c>
      <c r="I85" s="57"/>
    </row>
    <row r="86" spans="1:9" x14ac:dyDescent="0.25">
      <c r="A86" s="163">
        <v>85</v>
      </c>
      <c r="B86" s="163" t="s">
        <v>211</v>
      </c>
      <c r="C86" s="63">
        <v>120318</v>
      </c>
      <c r="D86" s="74">
        <v>1809</v>
      </c>
      <c r="E86" s="74">
        <v>1810</v>
      </c>
      <c r="F86" s="88" t="s">
        <v>246</v>
      </c>
      <c r="G86" s="161" t="s">
        <v>368</v>
      </c>
      <c r="H86" s="64" t="s">
        <v>318</v>
      </c>
      <c r="I86" s="57"/>
    </row>
    <row r="87" spans="1:9" x14ac:dyDescent="0.25">
      <c r="A87" s="163">
        <v>86</v>
      </c>
      <c r="B87" s="163" t="s">
        <v>211</v>
      </c>
      <c r="C87" s="63">
        <v>120318</v>
      </c>
      <c r="D87" s="74">
        <v>1809</v>
      </c>
      <c r="E87" s="74">
        <v>1810</v>
      </c>
      <c r="F87" s="88" t="s">
        <v>247</v>
      </c>
      <c r="G87" s="161" t="s">
        <v>368</v>
      </c>
      <c r="H87" s="64" t="s">
        <v>318</v>
      </c>
      <c r="I87" s="57"/>
    </row>
    <row r="88" spans="1:9" x14ac:dyDescent="0.25">
      <c r="A88" s="163">
        <v>87</v>
      </c>
      <c r="B88" s="163" t="s">
        <v>211</v>
      </c>
      <c r="C88" s="56">
        <v>120328</v>
      </c>
      <c r="D88" s="79">
        <v>1809</v>
      </c>
      <c r="E88" s="79">
        <v>1810</v>
      </c>
      <c r="F88" s="83" t="s">
        <v>240</v>
      </c>
      <c r="G88" s="55"/>
      <c r="H88" s="55" t="s">
        <v>317</v>
      </c>
      <c r="I88" s="57" t="s">
        <v>350</v>
      </c>
    </row>
    <row r="89" spans="1:9" ht="15.75" thickBot="1" x14ac:dyDescent="0.3">
      <c r="A89" s="165">
        <v>88</v>
      </c>
      <c r="B89" s="165" t="s">
        <v>211</v>
      </c>
      <c r="C89" s="53">
        <v>120328</v>
      </c>
      <c r="D89" s="70">
        <v>1809</v>
      </c>
      <c r="E89" s="70">
        <v>1810</v>
      </c>
      <c r="F89" s="82" t="s">
        <v>248</v>
      </c>
      <c r="G89" s="52"/>
      <c r="H89" s="52" t="s">
        <v>317</v>
      </c>
      <c r="I89" s="57" t="s">
        <v>316</v>
      </c>
    </row>
    <row r="90" spans="1:9" x14ac:dyDescent="0.25">
      <c r="A90" s="164">
        <v>89</v>
      </c>
      <c r="B90" s="164" t="s">
        <v>211</v>
      </c>
      <c r="C90" s="50">
        <v>120403</v>
      </c>
      <c r="D90" s="68">
        <v>1810</v>
      </c>
      <c r="E90" s="69">
        <v>1811</v>
      </c>
      <c r="F90" s="81" t="s">
        <v>244</v>
      </c>
      <c r="G90" s="49" t="s">
        <v>302</v>
      </c>
      <c r="H90" s="49"/>
      <c r="I90" s="51"/>
    </row>
    <row r="91" spans="1:9" x14ac:dyDescent="0.25">
      <c r="A91" s="163">
        <v>90</v>
      </c>
      <c r="B91" s="163" t="s">
        <v>211</v>
      </c>
      <c r="C91" s="63">
        <v>120403</v>
      </c>
      <c r="D91" s="74">
        <v>1810</v>
      </c>
      <c r="E91" s="74">
        <v>1811</v>
      </c>
      <c r="F91" s="88" t="s">
        <v>236</v>
      </c>
      <c r="G91" s="161" t="s">
        <v>370</v>
      </c>
      <c r="H91" s="55" t="s">
        <v>318</v>
      </c>
      <c r="I91" s="57"/>
    </row>
    <row r="92" spans="1:9" x14ac:dyDescent="0.25">
      <c r="A92" s="163">
        <v>91</v>
      </c>
      <c r="B92" s="163" t="s">
        <v>211</v>
      </c>
      <c r="C92" s="63">
        <v>120403</v>
      </c>
      <c r="D92" s="74">
        <v>1810</v>
      </c>
      <c r="E92" s="74">
        <v>1811</v>
      </c>
      <c r="F92" s="88" t="s">
        <v>243</v>
      </c>
      <c r="G92" s="161" t="s">
        <v>370</v>
      </c>
      <c r="H92" s="55" t="s">
        <v>318</v>
      </c>
      <c r="I92" s="57"/>
    </row>
    <row r="93" spans="1:9" x14ac:dyDescent="0.25">
      <c r="A93" s="163">
        <v>92</v>
      </c>
      <c r="B93" s="163" t="s">
        <v>211</v>
      </c>
      <c r="C93" s="63">
        <v>120433</v>
      </c>
      <c r="D93" s="74">
        <v>1810</v>
      </c>
      <c r="E93" s="74">
        <v>1811</v>
      </c>
      <c r="F93" s="88" t="s">
        <v>246</v>
      </c>
      <c r="G93" s="161" t="s">
        <v>370</v>
      </c>
      <c r="H93" s="55" t="s">
        <v>318</v>
      </c>
      <c r="I93" s="57"/>
    </row>
    <row r="94" spans="1:9" x14ac:dyDescent="0.25">
      <c r="A94" s="163">
        <v>93</v>
      </c>
      <c r="B94" s="163" t="s">
        <v>211</v>
      </c>
      <c r="C94" s="63">
        <v>120433</v>
      </c>
      <c r="D94" s="74">
        <v>1810</v>
      </c>
      <c r="E94" s="74">
        <v>1811</v>
      </c>
      <c r="F94" s="88" t="s">
        <v>247</v>
      </c>
      <c r="G94" s="161" t="s">
        <v>370</v>
      </c>
      <c r="H94" s="55" t="s">
        <v>318</v>
      </c>
      <c r="I94" s="57"/>
    </row>
    <row r="95" spans="1:9" x14ac:dyDescent="0.25">
      <c r="A95" s="163">
        <v>94</v>
      </c>
      <c r="B95" s="163" t="s">
        <v>211</v>
      </c>
      <c r="C95" s="56">
        <v>120438</v>
      </c>
      <c r="D95" s="79">
        <v>1810</v>
      </c>
      <c r="E95" s="79">
        <v>1811</v>
      </c>
      <c r="F95" s="83" t="s">
        <v>250</v>
      </c>
      <c r="G95" s="140" t="s">
        <v>371</v>
      </c>
      <c r="H95" s="55" t="s">
        <v>317</v>
      </c>
      <c r="I95" s="57"/>
    </row>
    <row r="96" spans="1:9" x14ac:dyDescent="0.25">
      <c r="A96" s="163">
        <v>95</v>
      </c>
      <c r="B96" s="163" t="s">
        <v>211</v>
      </c>
      <c r="C96" s="56">
        <v>120438</v>
      </c>
      <c r="D96" s="79">
        <v>1810</v>
      </c>
      <c r="E96" s="79">
        <v>1811</v>
      </c>
      <c r="F96" s="83" t="s">
        <v>240</v>
      </c>
      <c r="G96" s="55"/>
      <c r="H96" s="55" t="s">
        <v>317</v>
      </c>
      <c r="I96" s="57" t="s">
        <v>316</v>
      </c>
    </row>
    <row r="97" spans="1:9" ht="15.75" thickBot="1" x14ac:dyDescent="0.3">
      <c r="A97" s="165">
        <v>96</v>
      </c>
      <c r="B97" s="165" t="s">
        <v>211</v>
      </c>
      <c r="C97" s="53">
        <v>120438</v>
      </c>
      <c r="D97" s="70">
        <v>1810</v>
      </c>
      <c r="E97" s="70">
        <v>1811</v>
      </c>
      <c r="F97" s="82" t="s">
        <v>248</v>
      </c>
      <c r="G97" s="52"/>
      <c r="H97" s="52" t="s">
        <v>317</v>
      </c>
      <c r="I97" s="57" t="s">
        <v>316</v>
      </c>
    </row>
    <row r="98" spans="1:9" x14ac:dyDescent="0.25">
      <c r="A98" s="164">
        <v>97</v>
      </c>
      <c r="B98" s="164" t="s">
        <v>211</v>
      </c>
      <c r="C98" s="50">
        <v>120511</v>
      </c>
      <c r="D98" s="68">
        <v>1811</v>
      </c>
      <c r="E98" s="69">
        <v>1812</v>
      </c>
      <c r="F98" s="81" t="s">
        <v>244</v>
      </c>
      <c r="G98" s="49" t="s">
        <v>302</v>
      </c>
      <c r="H98" s="49"/>
      <c r="I98" s="51"/>
    </row>
    <row r="99" spans="1:9" x14ac:dyDescent="0.25">
      <c r="A99" s="163">
        <v>98</v>
      </c>
      <c r="B99" s="163" t="s">
        <v>211</v>
      </c>
      <c r="C99" s="63">
        <v>120511</v>
      </c>
      <c r="D99" s="74">
        <v>1811</v>
      </c>
      <c r="E99" s="74">
        <v>1812</v>
      </c>
      <c r="F99" s="88" t="s">
        <v>236</v>
      </c>
      <c r="G99" s="161" t="s">
        <v>372</v>
      </c>
      <c r="H99" s="64" t="s">
        <v>318</v>
      </c>
      <c r="I99" s="57"/>
    </row>
    <row r="100" spans="1:9" x14ac:dyDescent="0.25">
      <c r="A100" s="163">
        <v>99</v>
      </c>
      <c r="B100" s="163" t="s">
        <v>211</v>
      </c>
      <c r="C100" s="63">
        <v>120511</v>
      </c>
      <c r="D100" s="74">
        <v>1811</v>
      </c>
      <c r="E100" s="74">
        <v>1812</v>
      </c>
      <c r="F100" s="88" t="s">
        <v>240</v>
      </c>
      <c r="G100" s="64"/>
      <c r="H100" s="64" t="s">
        <v>317</v>
      </c>
      <c r="I100" s="57" t="s">
        <v>316</v>
      </c>
    </row>
    <row r="101" spans="1:9" x14ac:dyDescent="0.25">
      <c r="A101" s="163">
        <v>100</v>
      </c>
      <c r="B101" s="163" t="s">
        <v>211</v>
      </c>
      <c r="C101" s="63">
        <v>120511</v>
      </c>
      <c r="D101" s="74">
        <v>1811</v>
      </c>
      <c r="E101" s="74">
        <v>1812</v>
      </c>
      <c r="F101" s="88" t="s">
        <v>249</v>
      </c>
      <c r="G101" s="161" t="s">
        <v>372</v>
      </c>
      <c r="H101" s="64" t="s">
        <v>318</v>
      </c>
      <c r="I101" s="57"/>
    </row>
    <row r="102" spans="1:9" x14ac:dyDescent="0.25">
      <c r="A102" s="163">
        <v>101</v>
      </c>
      <c r="B102" s="163" t="s">
        <v>211</v>
      </c>
      <c r="C102" s="63">
        <v>120516</v>
      </c>
      <c r="D102" s="74">
        <v>1811</v>
      </c>
      <c r="E102" s="74">
        <v>1812</v>
      </c>
      <c r="F102" s="88" t="s">
        <v>250</v>
      </c>
      <c r="G102" s="161" t="s">
        <v>588</v>
      </c>
      <c r="H102" s="64" t="s">
        <v>317</v>
      </c>
      <c r="I102" s="57"/>
    </row>
    <row r="103" spans="1:9" x14ac:dyDescent="0.25">
      <c r="A103" s="163">
        <v>102</v>
      </c>
      <c r="B103" s="163" t="s">
        <v>211</v>
      </c>
      <c r="C103" s="63">
        <v>120518</v>
      </c>
      <c r="D103" s="74">
        <v>1811</v>
      </c>
      <c r="E103" s="74">
        <v>1812</v>
      </c>
      <c r="F103" s="88" t="s">
        <v>248</v>
      </c>
      <c r="G103" s="64"/>
      <c r="H103" s="64" t="s">
        <v>317</v>
      </c>
      <c r="I103" s="57" t="s">
        <v>350</v>
      </c>
    </row>
    <row r="104" spans="1:9" x14ac:dyDescent="0.25">
      <c r="A104" s="163">
        <v>103</v>
      </c>
      <c r="B104" s="163" t="s">
        <v>211</v>
      </c>
      <c r="C104" s="63">
        <v>120523</v>
      </c>
      <c r="D104" s="74">
        <v>1811</v>
      </c>
      <c r="E104" s="74">
        <v>1812</v>
      </c>
      <c r="F104" s="88" t="s">
        <v>246</v>
      </c>
      <c r="G104" s="161" t="s">
        <v>372</v>
      </c>
      <c r="H104" s="64" t="s">
        <v>318</v>
      </c>
      <c r="I104" s="57"/>
    </row>
    <row r="105" spans="1:9" ht="15.75" thickBot="1" x14ac:dyDescent="0.3">
      <c r="A105" s="163">
        <v>104</v>
      </c>
      <c r="B105" s="163" t="s">
        <v>211</v>
      </c>
      <c r="C105" s="63">
        <v>120523</v>
      </c>
      <c r="D105" s="74">
        <v>1811</v>
      </c>
      <c r="E105" s="74">
        <v>1812</v>
      </c>
      <c r="F105" s="88" t="s">
        <v>247</v>
      </c>
      <c r="G105" s="161" t="s">
        <v>372</v>
      </c>
      <c r="H105" s="64" t="s">
        <v>318</v>
      </c>
      <c r="I105" s="57"/>
    </row>
    <row r="106" spans="1:9" x14ac:dyDescent="0.25">
      <c r="A106" s="169">
        <v>105</v>
      </c>
      <c r="B106" s="164" t="s">
        <v>211</v>
      </c>
      <c r="C106" s="50">
        <v>120605</v>
      </c>
      <c r="D106" s="68">
        <v>1812</v>
      </c>
      <c r="E106" s="69">
        <v>1813</v>
      </c>
      <c r="F106" s="81" t="s">
        <v>251</v>
      </c>
      <c r="G106" s="49"/>
      <c r="H106" s="49" t="s">
        <v>317</v>
      </c>
      <c r="I106" s="51" t="s">
        <v>350</v>
      </c>
    </row>
    <row r="107" spans="1:9" x14ac:dyDescent="0.25">
      <c r="A107" s="170">
        <v>106</v>
      </c>
      <c r="B107" s="163" t="s">
        <v>211</v>
      </c>
      <c r="C107" s="56">
        <v>120605</v>
      </c>
      <c r="D107" s="79">
        <v>1812</v>
      </c>
      <c r="E107" s="79">
        <v>1813</v>
      </c>
      <c r="F107" s="83" t="s">
        <v>252</v>
      </c>
      <c r="G107" s="55"/>
      <c r="H107" s="55" t="s">
        <v>317</v>
      </c>
      <c r="I107" s="57" t="s">
        <v>350</v>
      </c>
    </row>
    <row r="108" spans="1:9" x14ac:dyDescent="0.25">
      <c r="A108" s="170">
        <v>107</v>
      </c>
      <c r="B108" s="163" t="s">
        <v>211</v>
      </c>
      <c r="C108" s="63">
        <v>120605</v>
      </c>
      <c r="D108" s="74">
        <v>1812</v>
      </c>
      <c r="E108" s="74">
        <v>1813</v>
      </c>
      <c r="F108" s="88" t="s">
        <v>253</v>
      </c>
      <c r="G108" s="161" t="s">
        <v>379</v>
      </c>
      <c r="H108" s="64" t="s">
        <v>318</v>
      </c>
      <c r="I108" s="57"/>
    </row>
    <row r="109" spans="1:9" x14ac:dyDescent="0.25">
      <c r="A109" s="170">
        <v>108</v>
      </c>
      <c r="B109" s="163" t="s">
        <v>211</v>
      </c>
      <c r="C109" s="63">
        <v>120605</v>
      </c>
      <c r="D109" s="74">
        <v>1812</v>
      </c>
      <c r="E109" s="74">
        <v>1813</v>
      </c>
      <c r="F109" s="88" t="s">
        <v>254</v>
      </c>
      <c r="G109" s="161" t="s">
        <v>379</v>
      </c>
      <c r="H109" s="64" t="s">
        <v>318</v>
      </c>
      <c r="I109" s="57"/>
    </row>
    <row r="110" spans="1:9" x14ac:dyDescent="0.25">
      <c r="A110" s="170">
        <v>109</v>
      </c>
      <c r="B110" s="163" t="s">
        <v>211</v>
      </c>
      <c r="C110" s="63">
        <v>120608</v>
      </c>
      <c r="D110" s="74">
        <v>1812</v>
      </c>
      <c r="E110" s="74">
        <v>1813</v>
      </c>
      <c r="F110" s="88" t="s">
        <v>235</v>
      </c>
      <c r="G110" s="64" t="s">
        <v>302</v>
      </c>
      <c r="H110" s="64"/>
      <c r="I110" s="57"/>
    </row>
    <row r="111" spans="1:9" x14ac:dyDescent="0.25">
      <c r="A111" s="170">
        <v>110</v>
      </c>
      <c r="B111" s="163" t="s">
        <v>211</v>
      </c>
      <c r="C111" s="63">
        <v>120608</v>
      </c>
      <c r="D111" s="74">
        <v>1812</v>
      </c>
      <c r="E111" s="74">
        <v>1813</v>
      </c>
      <c r="F111" s="88" t="s">
        <v>236</v>
      </c>
      <c r="G111" s="161" t="s">
        <v>379</v>
      </c>
      <c r="H111" s="64" t="s">
        <v>318</v>
      </c>
      <c r="I111" s="57"/>
    </row>
    <row r="112" spans="1:9" x14ac:dyDescent="0.25">
      <c r="A112" s="170">
        <v>111</v>
      </c>
      <c r="B112" s="163" t="s">
        <v>211</v>
      </c>
      <c r="C112" s="63">
        <v>120620</v>
      </c>
      <c r="D112" s="74">
        <v>1812</v>
      </c>
      <c r="E112" s="74">
        <v>1813</v>
      </c>
      <c r="F112" s="88" t="s">
        <v>250</v>
      </c>
      <c r="G112" s="161" t="s">
        <v>385</v>
      </c>
      <c r="H112" s="64" t="s">
        <v>317</v>
      </c>
      <c r="I112" s="57"/>
    </row>
    <row r="113" spans="1:9" x14ac:dyDescent="0.25">
      <c r="A113" s="170">
        <v>112</v>
      </c>
      <c r="B113" s="163" t="s">
        <v>211</v>
      </c>
      <c r="C113" s="63">
        <v>120625</v>
      </c>
      <c r="D113" s="74">
        <v>1812</v>
      </c>
      <c r="E113" s="74">
        <v>1813</v>
      </c>
      <c r="F113" s="88" t="s">
        <v>247</v>
      </c>
      <c r="G113" s="161" t="s">
        <v>379</v>
      </c>
      <c r="H113" s="64" t="s">
        <v>318</v>
      </c>
      <c r="I113" s="57"/>
    </row>
    <row r="114" spans="1:9" ht="15.75" thickBot="1" x14ac:dyDescent="0.3">
      <c r="A114" s="171">
        <v>113</v>
      </c>
      <c r="B114" s="165" t="s">
        <v>211</v>
      </c>
      <c r="C114" s="66">
        <v>120622</v>
      </c>
      <c r="D114" s="75">
        <v>1813</v>
      </c>
      <c r="E114" s="75">
        <v>1813</v>
      </c>
      <c r="F114" s="89" t="s">
        <v>255</v>
      </c>
      <c r="G114" s="173" t="s">
        <v>379</v>
      </c>
      <c r="H114" s="65" t="s">
        <v>318</v>
      </c>
      <c r="I114" s="54"/>
    </row>
    <row r="115" spans="1:9" x14ac:dyDescent="0.25">
      <c r="A115" s="163">
        <v>114</v>
      </c>
      <c r="B115" s="164" t="s">
        <v>211</v>
      </c>
      <c r="C115" s="56">
        <v>120646</v>
      </c>
      <c r="D115" s="99">
        <v>1813</v>
      </c>
      <c r="E115" s="79">
        <v>1814</v>
      </c>
      <c r="F115" s="83" t="s">
        <v>250</v>
      </c>
      <c r="G115" s="140" t="s">
        <v>380</v>
      </c>
      <c r="H115" s="55" t="s">
        <v>317</v>
      </c>
      <c r="I115" s="57"/>
    </row>
    <row r="116" spans="1:9" x14ac:dyDescent="0.25">
      <c r="A116" s="163">
        <v>115</v>
      </c>
      <c r="B116" s="167" t="s">
        <v>211</v>
      </c>
      <c r="C116" s="63">
        <v>120654</v>
      </c>
      <c r="D116" s="74">
        <v>1813</v>
      </c>
      <c r="E116" s="74">
        <v>1814</v>
      </c>
      <c r="F116" s="88" t="s">
        <v>247</v>
      </c>
      <c r="G116" s="64"/>
      <c r="H116" s="64" t="s">
        <v>318</v>
      </c>
      <c r="I116" s="57" t="s">
        <v>391</v>
      </c>
    </row>
    <row r="117" spans="1:9" x14ac:dyDescent="0.25">
      <c r="A117" s="163">
        <v>116</v>
      </c>
      <c r="B117" s="167" t="s">
        <v>211</v>
      </c>
      <c r="C117" s="63">
        <v>120656</v>
      </c>
      <c r="D117" s="74">
        <v>1813</v>
      </c>
      <c r="E117" s="74">
        <v>1814</v>
      </c>
      <c r="F117" s="88" t="s">
        <v>256</v>
      </c>
      <c r="G117" s="64"/>
      <c r="H117" s="64" t="s">
        <v>318</v>
      </c>
      <c r="I117" s="57" t="s">
        <v>390</v>
      </c>
    </row>
    <row r="118" spans="1:9" x14ac:dyDescent="0.25">
      <c r="A118" s="163">
        <v>117</v>
      </c>
      <c r="B118" s="167" t="s">
        <v>211</v>
      </c>
      <c r="C118" s="63">
        <v>120700</v>
      </c>
      <c r="D118" s="74">
        <v>1813</v>
      </c>
      <c r="E118" s="74">
        <v>1814</v>
      </c>
      <c r="F118" s="88" t="s">
        <v>257</v>
      </c>
      <c r="G118" s="64"/>
      <c r="H118" s="64" t="s">
        <v>317</v>
      </c>
      <c r="I118" s="57" t="s">
        <v>316</v>
      </c>
    </row>
    <row r="119" spans="1:9" x14ac:dyDescent="0.25">
      <c r="A119" s="163">
        <v>118</v>
      </c>
      <c r="B119" s="167" t="s">
        <v>211</v>
      </c>
      <c r="C119" s="63">
        <v>120704</v>
      </c>
      <c r="D119" s="74">
        <v>1813</v>
      </c>
      <c r="E119" s="74">
        <v>1814</v>
      </c>
      <c r="F119" s="88" t="s">
        <v>258</v>
      </c>
      <c r="G119" s="161" t="s">
        <v>381</v>
      </c>
      <c r="H119" s="64" t="s">
        <v>318</v>
      </c>
      <c r="I119" s="57"/>
    </row>
    <row r="120" spans="1:9" x14ac:dyDescent="0.25">
      <c r="A120" s="163">
        <v>119</v>
      </c>
      <c r="B120" s="167" t="s">
        <v>211</v>
      </c>
      <c r="C120" s="63">
        <v>120722</v>
      </c>
      <c r="D120" s="74">
        <v>1813</v>
      </c>
      <c r="E120" s="74">
        <v>1814</v>
      </c>
      <c r="F120" s="88" t="s">
        <v>259</v>
      </c>
      <c r="G120" s="64"/>
      <c r="H120" s="64" t="s">
        <v>317</v>
      </c>
      <c r="I120" s="57" t="s">
        <v>316</v>
      </c>
    </row>
    <row r="121" spans="1:9" x14ac:dyDescent="0.25">
      <c r="A121" s="163">
        <v>120</v>
      </c>
      <c r="B121" s="167" t="s">
        <v>211</v>
      </c>
      <c r="C121" s="63">
        <v>120722</v>
      </c>
      <c r="D121" s="74">
        <v>1813</v>
      </c>
      <c r="E121" s="74">
        <v>1814</v>
      </c>
      <c r="F121" s="88" t="s">
        <v>244</v>
      </c>
      <c r="G121" s="64" t="s">
        <v>302</v>
      </c>
      <c r="H121" s="64"/>
      <c r="I121" s="57"/>
    </row>
    <row r="122" spans="1:9" x14ac:dyDescent="0.25">
      <c r="A122" s="163">
        <v>121</v>
      </c>
      <c r="B122" s="167" t="s">
        <v>211</v>
      </c>
      <c r="C122" s="63">
        <v>120722</v>
      </c>
      <c r="D122" s="74">
        <v>1813</v>
      </c>
      <c r="E122" s="74">
        <v>1814</v>
      </c>
      <c r="F122" s="88" t="s">
        <v>236</v>
      </c>
      <c r="G122" s="64"/>
      <c r="H122" s="64" t="s">
        <v>318</v>
      </c>
      <c r="I122" s="57" t="s">
        <v>390</v>
      </c>
    </row>
    <row r="123" spans="1:9" ht="15.75" thickBot="1" x14ac:dyDescent="0.3">
      <c r="A123" s="165">
        <v>122</v>
      </c>
      <c r="B123" s="167" t="s">
        <v>211</v>
      </c>
      <c r="C123" s="63">
        <v>120722</v>
      </c>
      <c r="D123" s="74">
        <v>1813</v>
      </c>
      <c r="E123" s="74">
        <v>1814</v>
      </c>
      <c r="F123" s="88" t="s">
        <v>249</v>
      </c>
      <c r="G123" s="64"/>
      <c r="H123" s="64" t="s">
        <v>318</v>
      </c>
      <c r="I123" s="57" t="s">
        <v>390</v>
      </c>
    </row>
    <row r="124" spans="1:9" x14ac:dyDescent="0.25">
      <c r="A124" s="164">
        <v>123</v>
      </c>
      <c r="B124" s="164" t="s">
        <v>211</v>
      </c>
      <c r="C124" s="50">
        <v>120745</v>
      </c>
      <c r="D124" s="68">
        <v>1814</v>
      </c>
      <c r="E124" s="69">
        <v>1815</v>
      </c>
      <c r="F124" s="81" t="s">
        <v>260</v>
      </c>
      <c r="G124" s="158" t="s">
        <v>590</v>
      </c>
      <c r="H124" s="49" t="s">
        <v>318</v>
      </c>
      <c r="I124" s="51"/>
    </row>
    <row r="125" spans="1:9" x14ac:dyDescent="0.25">
      <c r="A125" s="163">
        <v>124</v>
      </c>
      <c r="B125" s="163" t="s">
        <v>211</v>
      </c>
      <c r="C125" s="56">
        <v>120801</v>
      </c>
      <c r="D125" s="79">
        <v>1814</v>
      </c>
      <c r="E125" s="79">
        <v>1815</v>
      </c>
      <c r="F125" s="83" t="s">
        <v>261</v>
      </c>
      <c r="G125" s="140" t="s">
        <v>591</v>
      </c>
      <c r="H125" s="55" t="s">
        <v>317</v>
      </c>
      <c r="I125" s="57" t="s">
        <v>393</v>
      </c>
    </row>
    <row r="126" spans="1:9" ht="15.75" thickBot="1" x14ac:dyDescent="0.3">
      <c r="A126" s="165">
        <v>125</v>
      </c>
      <c r="B126" s="165" t="s">
        <v>211</v>
      </c>
      <c r="C126" s="53">
        <v>120805</v>
      </c>
      <c r="D126" s="70">
        <v>1814</v>
      </c>
      <c r="E126" s="70">
        <v>1815</v>
      </c>
      <c r="F126" s="82" t="s">
        <v>244</v>
      </c>
      <c r="G126" s="52" t="s">
        <v>302</v>
      </c>
      <c r="H126" s="52"/>
      <c r="I126" s="54"/>
    </row>
    <row r="127" spans="1:9" x14ac:dyDescent="0.25">
      <c r="A127" s="164">
        <v>126</v>
      </c>
      <c r="B127" s="164" t="s">
        <v>212</v>
      </c>
      <c r="C127" s="50">
        <v>160504</v>
      </c>
      <c r="D127" s="68">
        <v>1815</v>
      </c>
      <c r="E127" s="69">
        <v>1816</v>
      </c>
      <c r="F127" s="81" t="s">
        <v>244</v>
      </c>
      <c r="G127" s="49" t="s">
        <v>302</v>
      </c>
      <c r="H127" s="49"/>
      <c r="I127" s="51"/>
    </row>
    <row r="128" spans="1:9" x14ac:dyDescent="0.25">
      <c r="A128" s="163">
        <v>127</v>
      </c>
      <c r="B128" s="163" t="s">
        <v>212</v>
      </c>
      <c r="C128" s="56">
        <v>160509</v>
      </c>
      <c r="D128" s="79">
        <v>1815</v>
      </c>
      <c r="E128" s="79">
        <v>1816</v>
      </c>
      <c r="F128" s="83" t="s">
        <v>260</v>
      </c>
      <c r="G128" s="140" t="s">
        <v>399</v>
      </c>
      <c r="H128" s="55" t="s">
        <v>318</v>
      </c>
      <c r="I128" s="57"/>
    </row>
    <row r="129" spans="1:9" ht="15.75" thickBot="1" x14ac:dyDescent="0.3">
      <c r="A129" s="165">
        <v>128</v>
      </c>
      <c r="B129" s="165" t="s">
        <v>212</v>
      </c>
      <c r="C129" s="53">
        <v>160515</v>
      </c>
      <c r="D129" s="70">
        <v>1815</v>
      </c>
      <c r="E129" s="70">
        <v>1816</v>
      </c>
      <c r="F129" s="82" t="s">
        <v>261</v>
      </c>
      <c r="G129" s="159" t="s">
        <v>400</v>
      </c>
      <c r="H129" s="52" t="s">
        <v>317</v>
      </c>
      <c r="I129" s="54" t="s">
        <v>393</v>
      </c>
    </row>
    <row r="130" spans="1:9" x14ac:dyDescent="0.25">
      <c r="A130" s="164">
        <v>129</v>
      </c>
      <c r="B130" s="163" t="s">
        <v>212</v>
      </c>
      <c r="C130" s="56">
        <v>160538</v>
      </c>
      <c r="D130" s="99">
        <v>1816</v>
      </c>
      <c r="E130" s="79">
        <v>1817</v>
      </c>
      <c r="F130" s="83" t="s">
        <v>260</v>
      </c>
      <c r="G130" s="140" t="s">
        <v>592</v>
      </c>
      <c r="H130" s="55" t="s">
        <v>318</v>
      </c>
      <c r="I130" s="57" t="s">
        <v>393</v>
      </c>
    </row>
    <row r="131" spans="1:9" x14ac:dyDescent="0.25">
      <c r="A131" s="163">
        <v>130</v>
      </c>
      <c r="B131" s="163" t="s">
        <v>212</v>
      </c>
      <c r="C131" s="56">
        <v>160542</v>
      </c>
      <c r="D131" s="79">
        <v>1816</v>
      </c>
      <c r="E131" s="79">
        <v>1817</v>
      </c>
      <c r="F131" s="83" t="s">
        <v>261</v>
      </c>
      <c r="G131" s="140" t="s">
        <v>593</v>
      </c>
      <c r="H131" s="55" t="s">
        <v>317</v>
      </c>
      <c r="I131" s="57" t="s">
        <v>393</v>
      </c>
    </row>
    <row r="132" spans="1:9" ht="15.75" thickBot="1" x14ac:dyDescent="0.3">
      <c r="A132" s="165">
        <v>131</v>
      </c>
      <c r="B132" s="165" t="s">
        <v>212</v>
      </c>
      <c r="C132" s="53">
        <v>160544</v>
      </c>
      <c r="D132" s="70">
        <v>1816</v>
      </c>
      <c r="E132" s="70">
        <v>1817</v>
      </c>
      <c r="F132" s="82" t="s">
        <v>244</v>
      </c>
      <c r="G132" s="52" t="s">
        <v>302</v>
      </c>
      <c r="H132" s="52"/>
      <c r="I132" s="54"/>
    </row>
    <row r="133" spans="1:9" x14ac:dyDescent="0.25">
      <c r="A133" s="164">
        <v>132</v>
      </c>
      <c r="B133" s="164" t="s">
        <v>212</v>
      </c>
      <c r="C133" s="50">
        <v>160605</v>
      </c>
      <c r="D133" s="68">
        <v>1817</v>
      </c>
      <c r="E133" s="69">
        <v>1818</v>
      </c>
      <c r="F133" s="81" t="s">
        <v>260</v>
      </c>
      <c r="G133" s="158" t="s">
        <v>594</v>
      </c>
      <c r="H133" s="49" t="s">
        <v>318</v>
      </c>
      <c r="I133" s="57" t="s">
        <v>393</v>
      </c>
    </row>
    <row r="134" spans="1:9" x14ac:dyDescent="0.25">
      <c r="A134" s="163">
        <v>133</v>
      </c>
      <c r="B134" s="163" t="s">
        <v>212</v>
      </c>
      <c r="C134" s="56">
        <v>160617</v>
      </c>
      <c r="D134" s="79">
        <v>1817</v>
      </c>
      <c r="E134" s="79">
        <v>1818</v>
      </c>
      <c r="F134" s="88" t="s">
        <v>261</v>
      </c>
      <c r="G134" s="140" t="s">
        <v>595</v>
      </c>
      <c r="H134" s="55" t="s">
        <v>317</v>
      </c>
      <c r="I134" s="123" t="s">
        <v>405</v>
      </c>
    </row>
    <row r="135" spans="1:9" ht="15.75" thickBot="1" x14ac:dyDescent="0.3">
      <c r="A135" s="165">
        <v>134</v>
      </c>
      <c r="B135" s="165" t="s">
        <v>212</v>
      </c>
      <c r="C135" s="53">
        <v>160621</v>
      </c>
      <c r="D135" s="70">
        <v>1817</v>
      </c>
      <c r="E135" s="70">
        <v>1818</v>
      </c>
      <c r="F135" s="82" t="s">
        <v>244</v>
      </c>
      <c r="G135" s="52" t="s">
        <v>302</v>
      </c>
      <c r="H135" s="52"/>
      <c r="I135" s="54"/>
    </row>
    <row r="136" spans="1:9" x14ac:dyDescent="0.25">
      <c r="A136" s="164">
        <v>135</v>
      </c>
      <c r="B136" s="164" t="s">
        <v>212</v>
      </c>
      <c r="C136" s="50">
        <v>160646</v>
      </c>
      <c r="D136" s="68">
        <v>1818</v>
      </c>
      <c r="E136" s="69">
        <v>1819</v>
      </c>
      <c r="F136" s="81" t="s">
        <v>244</v>
      </c>
      <c r="G136" s="49" t="s">
        <v>302</v>
      </c>
      <c r="H136" s="49"/>
      <c r="I136" s="51"/>
    </row>
    <row r="137" spans="1:9" x14ac:dyDescent="0.25">
      <c r="A137" s="163">
        <v>136</v>
      </c>
      <c r="B137" s="163" t="s">
        <v>212</v>
      </c>
      <c r="C137" s="56">
        <v>160649</v>
      </c>
      <c r="D137" s="79">
        <v>1818</v>
      </c>
      <c r="E137" s="79">
        <v>1819</v>
      </c>
      <c r="F137" s="83" t="s">
        <v>261</v>
      </c>
      <c r="G137" s="140" t="s">
        <v>596</v>
      </c>
      <c r="H137" s="55" t="s">
        <v>317</v>
      </c>
      <c r="I137" s="57"/>
    </row>
    <row r="138" spans="1:9" ht="15.75" thickBot="1" x14ac:dyDescent="0.3">
      <c r="A138" s="165">
        <v>137</v>
      </c>
      <c r="B138" s="165" t="s">
        <v>212</v>
      </c>
      <c r="C138" s="53">
        <v>160655</v>
      </c>
      <c r="D138" s="70">
        <v>1818</v>
      </c>
      <c r="E138" s="70">
        <v>1819</v>
      </c>
      <c r="F138" s="82" t="s">
        <v>260</v>
      </c>
      <c r="G138" s="159" t="s">
        <v>597</v>
      </c>
      <c r="H138" s="52" t="s">
        <v>318</v>
      </c>
      <c r="I138" s="57" t="s">
        <v>393</v>
      </c>
    </row>
    <row r="139" spans="1:9" x14ac:dyDescent="0.25">
      <c r="A139" s="164">
        <v>138</v>
      </c>
      <c r="B139" s="164" t="s">
        <v>212</v>
      </c>
      <c r="C139" s="50">
        <v>160730</v>
      </c>
      <c r="D139" s="68">
        <v>1819</v>
      </c>
      <c r="E139" s="69">
        <v>1820</v>
      </c>
      <c r="F139" s="81" t="s">
        <v>260</v>
      </c>
      <c r="G139" s="158" t="s">
        <v>413</v>
      </c>
      <c r="H139" s="49" t="s">
        <v>318</v>
      </c>
      <c r="I139" s="51"/>
    </row>
    <row r="140" spans="1:9" x14ac:dyDescent="0.25">
      <c r="A140" s="163">
        <v>139</v>
      </c>
      <c r="B140" s="163" t="s">
        <v>212</v>
      </c>
      <c r="C140" s="56" t="s">
        <v>491</v>
      </c>
      <c r="D140" s="79">
        <v>1819</v>
      </c>
      <c r="E140" s="79">
        <v>1820</v>
      </c>
      <c r="F140" s="88" t="s">
        <v>492</v>
      </c>
      <c r="G140" s="140" t="s">
        <v>413</v>
      </c>
      <c r="H140" s="55" t="s">
        <v>318</v>
      </c>
      <c r="I140" s="57"/>
    </row>
    <row r="141" spans="1:9" x14ac:dyDescent="0.25">
      <c r="A141" s="163">
        <v>140</v>
      </c>
      <c r="B141" s="163" t="s">
        <v>212</v>
      </c>
      <c r="C141" s="56">
        <v>160741</v>
      </c>
      <c r="D141" s="79">
        <v>1819</v>
      </c>
      <c r="E141" s="79">
        <v>1829</v>
      </c>
      <c r="F141" s="83" t="s">
        <v>261</v>
      </c>
      <c r="G141" s="140" t="s">
        <v>412</v>
      </c>
      <c r="H141" s="55" t="s">
        <v>317</v>
      </c>
      <c r="I141" s="57"/>
    </row>
    <row r="142" spans="1:9" ht="15.75" thickBot="1" x14ac:dyDescent="0.3">
      <c r="A142" s="165">
        <v>141</v>
      </c>
      <c r="B142" s="165" t="s">
        <v>212</v>
      </c>
      <c r="C142" s="53">
        <v>160745</v>
      </c>
      <c r="D142" s="70">
        <v>1819</v>
      </c>
      <c r="E142" s="70">
        <v>1820</v>
      </c>
      <c r="F142" s="82" t="s">
        <v>244</v>
      </c>
      <c r="G142" s="52" t="s">
        <v>302</v>
      </c>
      <c r="H142" s="52"/>
      <c r="I142" s="54"/>
    </row>
    <row r="143" spans="1:9" x14ac:dyDescent="0.25">
      <c r="A143" s="164">
        <v>142</v>
      </c>
      <c r="B143" s="164" t="s">
        <v>212</v>
      </c>
      <c r="C143" s="50">
        <v>160829</v>
      </c>
      <c r="D143" s="68">
        <v>1820</v>
      </c>
      <c r="E143" s="69">
        <v>1821</v>
      </c>
      <c r="F143" s="81" t="s">
        <v>261</v>
      </c>
      <c r="G143" s="158" t="s">
        <v>598</v>
      </c>
      <c r="H143" s="49" t="s">
        <v>317</v>
      </c>
      <c r="I143" s="51"/>
    </row>
    <row r="144" spans="1:9" x14ac:dyDescent="0.25">
      <c r="A144" s="163">
        <v>143</v>
      </c>
      <c r="B144" s="163" t="s">
        <v>212</v>
      </c>
      <c r="C144" s="56">
        <v>160835</v>
      </c>
      <c r="D144" s="79">
        <v>1820</v>
      </c>
      <c r="E144" s="79">
        <v>1821</v>
      </c>
      <c r="F144" s="83" t="s">
        <v>263</v>
      </c>
      <c r="G144" s="140" t="s">
        <v>599</v>
      </c>
      <c r="H144" s="55" t="s">
        <v>318</v>
      </c>
      <c r="I144" s="57"/>
    </row>
    <row r="145" spans="1:9" ht="15.75" thickBot="1" x14ac:dyDescent="0.3">
      <c r="A145" s="165">
        <v>144</v>
      </c>
      <c r="B145" s="165" t="s">
        <v>212</v>
      </c>
      <c r="C145" s="53">
        <v>160843</v>
      </c>
      <c r="D145" s="70">
        <v>1820</v>
      </c>
      <c r="E145" s="70">
        <v>1821</v>
      </c>
      <c r="F145" s="82" t="s">
        <v>244</v>
      </c>
      <c r="G145" s="52" t="s">
        <v>302</v>
      </c>
      <c r="H145" s="52"/>
      <c r="I145" s="54"/>
    </row>
    <row r="146" spans="1:9" x14ac:dyDescent="0.25">
      <c r="A146" s="164">
        <v>145</v>
      </c>
      <c r="B146" s="164" t="s">
        <v>213</v>
      </c>
      <c r="C146" s="50">
        <v>132830</v>
      </c>
      <c r="D146" s="68">
        <v>1821</v>
      </c>
      <c r="E146" s="69">
        <v>1822</v>
      </c>
      <c r="F146" s="81" t="s">
        <v>260</v>
      </c>
      <c r="G146" s="158" t="s">
        <v>415</v>
      </c>
      <c r="H146" s="49" t="s">
        <v>318</v>
      </c>
      <c r="I146" s="51"/>
    </row>
    <row r="147" spans="1:9" x14ac:dyDescent="0.25">
      <c r="A147" s="163">
        <v>146</v>
      </c>
      <c r="B147" s="163" t="s">
        <v>213</v>
      </c>
      <c r="C147" s="56" t="s">
        <v>359</v>
      </c>
      <c r="D147" s="79">
        <v>1821</v>
      </c>
      <c r="E147" s="79">
        <v>1822</v>
      </c>
      <c r="F147" s="83" t="s">
        <v>261</v>
      </c>
      <c r="G147" s="140" t="s">
        <v>416</v>
      </c>
      <c r="H147" s="55" t="s">
        <v>317</v>
      </c>
      <c r="I147" s="57" t="s">
        <v>393</v>
      </c>
    </row>
    <row r="148" spans="1:9" ht="15.75" thickBot="1" x14ac:dyDescent="0.3">
      <c r="A148" s="165">
        <v>147</v>
      </c>
      <c r="B148" s="163" t="s">
        <v>213</v>
      </c>
      <c r="C148" s="56">
        <v>132848</v>
      </c>
      <c r="D148" s="79">
        <v>1821</v>
      </c>
      <c r="E148" s="79">
        <v>1822</v>
      </c>
      <c r="F148" s="83" t="s">
        <v>244</v>
      </c>
      <c r="G148" s="55" t="s">
        <v>302</v>
      </c>
      <c r="H148" s="55"/>
      <c r="I148" s="57"/>
    </row>
    <row r="149" spans="1:9" x14ac:dyDescent="0.25">
      <c r="A149" s="164">
        <v>148</v>
      </c>
      <c r="B149" s="164" t="s">
        <v>213</v>
      </c>
      <c r="C149" s="50" t="s">
        <v>360</v>
      </c>
      <c r="D149" s="68">
        <v>1822</v>
      </c>
      <c r="E149" s="69">
        <v>1823</v>
      </c>
      <c r="F149" s="87" t="s">
        <v>260</v>
      </c>
      <c r="G149" s="158" t="s">
        <v>420</v>
      </c>
      <c r="H149" s="49"/>
      <c r="I149" s="51"/>
    </row>
    <row r="150" spans="1:9" x14ac:dyDescent="0.25">
      <c r="A150" s="163">
        <v>149</v>
      </c>
      <c r="B150" s="163" t="s">
        <v>213</v>
      </c>
      <c r="C150" s="56">
        <v>132909</v>
      </c>
      <c r="D150" s="79">
        <v>1822</v>
      </c>
      <c r="E150" s="79">
        <v>1823</v>
      </c>
      <c r="F150" s="83" t="s">
        <v>244</v>
      </c>
      <c r="G150" s="55" t="s">
        <v>302</v>
      </c>
      <c r="H150" s="55"/>
      <c r="I150" s="57"/>
    </row>
    <row r="151" spans="1:9" ht="15.75" thickBot="1" x14ac:dyDescent="0.3">
      <c r="A151" s="165">
        <v>150</v>
      </c>
      <c r="B151" s="165" t="s">
        <v>213</v>
      </c>
      <c r="C151" s="53">
        <v>132916</v>
      </c>
      <c r="D151" s="70">
        <v>1822</v>
      </c>
      <c r="E151" s="70">
        <v>1823</v>
      </c>
      <c r="F151" s="82" t="s">
        <v>261</v>
      </c>
      <c r="G151" s="159" t="s">
        <v>421</v>
      </c>
      <c r="H151" s="52"/>
      <c r="I151" s="54"/>
    </row>
    <row r="152" spans="1:9" x14ac:dyDescent="0.25">
      <c r="A152" s="163"/>
      <c r="B152" s="166" t="s">
        <v>213</v>
      </c>
      <c r="C152" s="50" t="s">
        <v>361</v>
      </c>
      <c r="D152" s="68">
        <v>1823</v>
      </c>
      <c r="E152" s="69">
        <v>1824</v>
      </c>
      <c r="F152" s="81" t="s">
        <v>260</v>
      </c>
      <c r="G152" s="158" t="s">
        <v>423</v>
      </c>
      <c r="H152" s="49"/>
      <c r="I152" s="51"/>
    </row>
    <row r="153" spans="1:9" x14ac:dyDescent="0.25">
      <c r="A153" s="163"/>
      <c r="B153" s="163" t="s">
        <v>213</v>
      </c>
      <c r="C153" s="56" t="s">
        <v>362</v>
      </c>
      <c r="D153" s="79">
        <v>1823</v>
      </c>
      <c r="E153" s="79">
        <v>1824</v>
      </c>
      <c r="F153" s="83" t="s">
        <v>261</v>
      </c>
      <c r="G153" s="140" t="s">
        <v>424</v>
      </c>
      <c r="H153" s="55"/>
      <c r="I153" s="57"/>
    </row>
    <row r="154" spans="1:9" ht="15.75" thickBot="1" x14ac:dyDescent="0.3">
      <c r="A154" s="163"/>
      <c r="B154" s="165" t="s">
        <v>213</v>
      </c>
      <c r="C154" s="53" t="s">
        <v>362</v>
      </c>
      <c r="D154" s="70">
        <v>1823</v>
      </c>
      <c r="E154" s="70">
        <v>1824</v>
      </c>
      <c r="F154" s="82" t="s">
        <v>244</v>
      </c>
      <c r="G154" s="52" t="s">
        <v>302</v>
      </c>
      <c r="H154" s="52"/>
      <c r="I154" s="54"/>
    </row>
    <row r="155" spans="1:9" x14ac:dyDescent="0.25">
      <c r="A155" s="164">
        <v>151</v>
      </c>
      <c r="B155" s="163" t="s">
        <v>213</v>
      </c>
      <c r="C155" s="63" t="s">
        <v>363</v>
      </c>
      <c r="D155" s="99">
        <v>1824</v>
      </c>
      <c r="E155" s="79">
        <v>1825</v>
      </c>
      <c r="F155" s="88" t="s">
        <v>261</v>
      </c>
      <c r="G155" s="140" t="s">
        <v>429</v>
      </c>
      <c r="H155" s="55"/>
      <c r="I155" s="57" t="s">
        <v>393</v>
      </c>
    </row>
    <row r="156" spans="1:9" x14ac:dyDescent="0.25">
      <c r="A156" s="163">
        <v>152</v>
      </c>
      <c r="B156" s="163" t="s">
        <v>213</v>
      </c>
      <c r="C156" s="56">
        <v>133023</v>
      </c>
      <c r="D156" s="79">
        <v>1824</v>
      </c>
      <c r="E156" s="79">
        <v>1825</v>
      </c>
      <c r="F156" s="83" t="s">
        <v>260</v>
      </c>
      <c r="G156" s="140" t="s">
        <v>427</v>
      </c>
      <c r="H156" s="55"/>
      <c r="I156" s="57"/>
    </row>
    <row r="157" spans="1:9" ht="15.75" thickBot="1" x14ac:dyDescent="0.3">
      <c r="A157" s="163">
        <v>153</v>
      </c>
      <c r="B157" s="163" t="s">
        <v>213</v>
      </c>
      <c r="C157" s="56">
        <v>133026</v>
      </c>
      <c r="D157" s="79">
        <v>1824</v>
      </c>
      <c r="E157" s="79">
        <v>1825</v>
      </c>
      <c r="F157" s="83" t="s">
        <v>244</v>
      </c>
      <c r="G157" s="55" t="s">
        <v>302</v>
      </c>
      <c r="H157" s="55"/>
      <c r="I157" s="57"/>
    </row>
    <row r="158" spans="1:9" x14ac:dyDescent="0.25">
      <c r="A158" s="164">
        <v>154</v>
      </c>
      <c r="B158" s="164" t="s">
        <v>213</v>
      </c>
      <c r="C158" s="50">
        <v>133101</v>
      </c>
      <c r="D158" s="68">
        <v>1825</v>
      </c>
      <c r="E158" s="69">
        <v>1826</v>
      </c>
      <c r="F158" s="81" t="s">
        <v>260</v>
      </c>
      <c r="G158" s="158" t="s">
        <v>431</v>
      </c>
      <c r="H158" s="49"/>
      <c r="I158" s="51" t="s">
        <v>393</v>
      </c>
    </row>
    <row r="159" spans="1:9" x14ac:dyDescent="0.25">
      <c r="A159" s="163">
        <v>155</v>
      </c>
      <c r="B159" s="163" t="s">
        <v>213</v>
      </c>
      <c r="C159" s="56">
        <v>133108</v>
      </c>
      <c r="D159" s="79">
        <v>1825</v>
      </c>
      <c r="E159" s="79">
        <v>1826</v>
      </c>
      <c r="F159" s="83" t="s">
        <v>261</v>
      </c>
      <c r="G159" s="140" t="s">
        <v>432</v>
      </c>
      <c r="H159" s="55"/>
      <c r="I159" s="57"/>
    </row>
    <row r="160" spans="1:9" x14ac:dyDescent="0.25">
      <c r="A160" s="163">
        <v>156</v>
      </c>
      <c r="B160" s="163" t="s">
        <v>213</v>
      </c>
      <c r="C160" s="56">
        <v>133118</v>
      </c>
      <c r="D160" s="79">
        <v>1825</v>
      </c>
      <c r="E160" s="79">
        <v>1826</v>
      </c>
      <c r="F160" s="83" t="s">
        <v>244</v>
      </c>
      <c r="G160" s="55" t="s">
        <v>302</v>
      </c>
      <c r="H160" s="55"/>
      <c r="I160" s="57"/>
    </row>
    <row r="161" spans="1:9" ht="15.75" thickBot="1" x14ac:dyDescent="0.3">
      <c r="A161" s="53">
        <v>157</v>
      </c>
      <c r="B161" s="92" t="s">
        <v>213</v>
      </c>
      <c r="C161" s="56">
        <v>133113</v>
      </c>
      <c r="D161" s="79">
        <v>1826</v>
      </c>
      <c r="E161" s="79">
        <v>1826</v>
      </c>
      <c r="F161" s="88" t="s">
        <v>264</v>
      </c>
      <c r="G161" s="140" t="s">
        <v>431</v>
      </c>
      <c r="H161" s="55"/>
      <c r="I161" s="57"/>
    </row>
    <row r="162" spans="1:9" x14ac:dyDescent="0.25">
      <c r="A162" s="50">
        <v>158</v>
      </c>
      <c r="B162" s="91" t="s">
        <v>174</v>
      </c>
      <c r="C162" s="50">
        <v>110612</v>
      </c>
      <c r="D162" s="68">
        <v>1827</v>
      </c>
      <c r="E162" s="69">
        <v>1828</v>
      </c>
      <c r="F162" s="87" t="s">
        <v>265</v>
      </c>
      <c r="G162" s="158" t="s">
        <v>436</v>
      </c>
      <c r="H162" s="49"/>
      <c r="I162" s="51"/>
    </row>
    <row r="163" spans="1:9" x14ac:dyDescent="0.25">
      <c r="A163" s="56">
        <v>159</v>
      </c>
      <c r="B163" s="92" t="s">
        <v>174</v>
      </c>
      <c r="C163" s="56">
        <v>110619</v>
      </c>
      <c r="D163" s="79">
        <v>1827</v>
      </c>
      <c r="E163" s="79">
        <v>1828</v>
      </c>
      <c r="F163" s="83" t="s">
        <v>260</v>
      </c>
      <c r="G163" s="140" t="s">
        <v>436</v>
      </c>
      <c r="H163" s="55"/>
      <c r="I163" s="57"/>
    </row>
    <row r="164" spans="1:9" x14ac:dyDescent="0.25">
      <c r="A164" s="56">
        <v>160</v>
      </c>
      <c r="B164" s="92" t="s">
        <v>174</v>
      </c>
      <c r="C164" s="56">
        <v>110641</v>
      </c>
      <c r="D164" s="79">
        <v>1827</v>
      </c>
      <c r="E164" s="79">
        <v>1828</v>
      </c>
      <c r="F164" s="83" t="s">
        <v>261</v>
      </c>
      <c r="G164" s="140" t="s">
        <v>437</v>
      </c>
      <c r="H164" s="55"/>
      <c r="I164" s="57"/>
    </row>
    <row r="165" spans="1:9" ht="15.75" thickBot="1" x14ac:dyDescent="0.3">
      <c r="A165" s="53">
        <v>161</v>
      </c>
      <c r="B165" s="93" t="s">
        <v>174</v>
      </c>
      <c r="C165" s="53">
        <v>110645</v>
      </c>
      <c r="D165" s="70">
        <v>1827</v>
      </c>
      <c r="E165" s="70">
        <v>1828</v>
      </c>
      <c r="F165" s="82" t="s">
        <v>266</v>
      </c>
      <c r="G165" s="52" t="s">
        <v>302</v>
      </c>
      <c r="H165" s="52"/>
      <c r="I165" s="54"/>
    </row>
    <row r="166" spans="1:9" x14ac:dyDescent="0.25">
      <c r="A166" s="50">
        <v>162</v>
      </c>
      <c r="B166" s="91" t="s">
        <v>174</v>
      </c>
      <c r="C166" s="50">
        <v>144425</v>
      </c>
      <c r="D166" s="68">
        <v>1828</v>
      </c>
      <c r="E166" s="69">
        <v>1829</v>
      </c>
      <c r="F166" s="81" t="s">
        <v>260</v>
      </c>
      <c r="G166" s="158" t="s">
        <v>311</v>
      </c>
      <c r="H166" s="49"/>
      <c r="I166" s="51"/>
    </row>
    <row r="167" spans="1:9" x14ac:dyDescent="0.25">
      <c r="A167" s="56">
        <v>163</v>
      </c>
      <c r="B167" s="92" t="s">
        <v>174</v>
      </c>
      <c r="C167" s="56">
        <v>144427</v>
      </c>
      <c r="D167" s="79">
        <v>1828</v>
      </c>
      <c r="E167" s="79">
        <v>1829</v>
      </c>
      <c r="F167" s="83" t="s">
        <v>261</v>
      </c>
      <c r="G167" s="140" t="s">
        <v>440</v>
      </c>
      <c r="H167" s="55"/>
      <c r="I167" s="57"/>
    </row>
    <row r="168" spans="1:9" ht="15.75" thickBot="1" x14ac:dyDescent="0.3">
      <c r="A168" s="53">
        <v>164</v>
      </c>
      <c r="B168" s="93" t="s">
        <v>174</v>
      </c>
      <c r="C168" s="53">
        <v>110654</v>
      </c>
      <c r="D168" s="70">
        <v>1828</v>
      </c>
      <c r="E168" s="70">
        <v>1829</v>
      </c>
      <c r="F168" s="82" t="s">
        <v>244</v>
      </c>
      <c r="G168" s="52" t="s">
        <v>302</v>
      </c>
      <c r="H168" s="52"/>
      <c r="I168" s="54"/>
    </row>
    <row r="169" spans="1:9" x14ac:dyDescent="0.25">
      <c r="A169" s="50">
        <v>165</v>
      </c>
      <c r="B169" s="91" t="s">
        <v>174</v>
      </c>
      <c r="C169" s="50">
        <v>120953</v>
      </c>
      <c r="D169" s="68">
        <v>1831</v>
      </c>
      <c r="E169" s="69">
        <v>1832</v>
      </c>
      <c r="F169" s="81" t="s">
        <v>260</v>
      </c>
      <c r="G169" s="158" t="s">
        <v>443</v>
      </c>
      <c r="H169" s="49"/>
      <c r="I169" s="51"/>
    </row>
    <row r="170" spans="1:9" ht="15.75" thickBot="1" x14ac:dyDescent="0.3">
      <c r="A170" s="56">
        <v>166</v>
      </c>
      <c r="B170" s="92" t="s">
        <v>174</v>
      </c>
      <c r="C170" s="63">
        <v>121011</v>
      </c>
      <c r="D170" s="79">
        <v>1831</v>
      </c>
      <c r="E170" s="79">
        <v>1832</v>
      </c>
      <c r="F170" s="83" t="s">
        <v>261</v>
      </c>
      <c r="G170" s="140" t="s">
        <v>444</v>
      </c>
      <c r="H170" s="55"/>
      <c r="I170" s="57" t="s">
        <v>393</v>
      </c>
    </row>
    <row r="171" spans="1:9" ht="15.75" thickBot="1" x14ac:dyDescent="0.3">
      <c r="A171" s="53">
        <v>167</v>
      </c>
      <c r="B171" s="101" t="s">
        <v>174</v>
      </c>
      <c r="C171" s="90">
        <v>113112</v>
      </c>
      <c r="D171" s="102">
        <v>1831</v>
      </c>
      <c r="E171" s="102">
        <v>1835</v>
      </c>
      <c r="F171" s="105" t="s">
        <v>267</v>
      </c>
      <c r="G171" s="103"/>
      <c r="H171" s="103"/>
      <c r="I171" s="104"/>
    </row>
    <row r="172" spans="1:9" x14ac:dyDescent="0.25">
      <c r="A172" s="50">
        <v>168</v>
      </c>
      <c r="B172" s="91" t="s">
        <v>174</v>
      </c>
      <c r="C172" s="50">
        <v>100758</v>
      </c>
      <c r="D172" s="68">
        <v>1833</v>
      </c>
      <c r="E172" s="69">
        <v>1834</v>
      </c>
      <c r="F172" s="81" t="s">
        <v>261</v>
      </c>
      <c r="G172" s="158" t="s">
        <v>451</v>
      </c>
      <c r="H172" s="49"/>
      <c r="I172" s="51" t="s">
        <v>448</v>
      </c>
    </row>
    <row r="173" spans="1:9" ht="15.75" thickBot="1" x14ac:dyDescent="0.3">
      <c r="A173" s="53">
        <v>169</v>
      </c>
      <c r="B173" s="93" t="s">
        <v>174</v>
      </c>
      <c r="C173" s="53">
        <v>100817</v>
      </c>
      <c r="D173" s="70">
        <v>1833</v>
      </c>
      <c r="E173" s="70">
        <v>1834</v>
      </c>
      <c r="F173" s="82" t="s">
        <v>260</v>
      </c>
      <c r="G173" s="159" t="s">
        <v>449</v>
      </c>
      <c r="H173" s="52"/>
      <c r="I173" s="54" t="s">
        <v>448</v>
      </c>
    </row>
    <row r="174" spans="1:9" x14ac:dyDescent="0.25">
      <c r="A174" s="50">
        <v>170</v>
      </c>
      <c r="B174" s="91" t="s">
        <v>174</v>
      </c>
      <c r="C174" s="50">
        <v>120213</v>
      </c>
      <c r="D174" s="68">
        <v>1834</v>
      </c>
      <c r="E174" s="69">
        <v>1835</v>
      </c>
      <c r="F174" s="81" t="s">
        <v>260</v>
      </c>
      <c r="G174" s="158" t="s">
        <v>454</v>
      </c>
      <c r="H174" s="49"/>
      <c r="I174" s="51" t="s">
        <v>453</v>
      </c>
    </row>
    <row r="175" spans="1:9" ht="15.75" thickBot="1" x14ac:dyDescent="0.3">
      <c r="A175" s="53">
        <v>171</v>
      </c>
      <c r="B175" s="93" t="s">
        <v>174</v>
      </c>
      <c r="C175" s="53">
        <v>120229</v>
      </c>
      <c r="D175" s="70">
        <v>1834</v>
      </c>
      <c r="E175" s="70">
        <v>1835</v>
      </c>
      <c r="F175" s="82" t="s">
        <v>261</v>
      </c>
      <c r="G175" s="159" t="s">
        <v>455</v>
      </c>
      <c r="H175" s="52"/>
      <c r="I175" s="54" t="s">
        <v>453</v>
      </c>
    </row>
    <row r="176" spans="1:9" x14ac:dyDescent="0.25">
      <c r="A176" s="50">
        <v>172</v>
      </c>
      <c r="B176" s="91" t="s">
        <v>174</v>
      </c>
      <c r="C176" s="50">
        <v>141817</v>
      </c>
      <c r="D176" s="68">
        <v>1835</v>
      </c>
      <c r="E176" s="69">
        <v>1836</v>
      </c>
      <c r="F176" s="81" t="s">
        <v>268</v>
      </c>
      <c r="G176" s="158" t="s">
        <v>461</v>
      </c>
      <c r="H176" s="49"/>
      <c r="I176" s="51" t="s">
        <v>453</v>
      </c>
    </row>
    <row r="177" spans="1:9" ht="15.75" thickBot="1" x14ac:dyDescent="0.3">
      <c r="A177" s="53">
        <v>173</v>
      </c>
      <c r="B177" s="93" t="s">
        <v>174</v>
      </c>
      <c r="C177" s="53">
        <v>141831</v>
      </c>
      <c r="D177" s="70">
        <v>1835</v>
      </c>
      <c r="E177" s="70">
        <v>1836</v>
      </c>
      <c r="F177" s="82" t="s">
        <v>269</v>
      </c>
      <c r="G177" s="159" t="s">
        <v>463</v>
      </c>
      <c r="H177" s="52"/>
      <c r="I177" s="54" t="s">
        <v>453</v>
      </c>
    </row>
    <row r="178" spans="1:9" ht="30" x14ac:dyDescent="0.25">
      <c r="A178" s="58">
        <v>174</v>
      </c>
      <c r="B178" s="94" t="s">
        <v>174</v>
      </c>
      <c r="C178" s="58" t="s">
        <v>464</v>
      </c>
      <c r="D178" s="68">
        <v>1836</v>
      </c>
      <c r="E178" s="69">
        <v>1837</v>
      </c>
      <c r="F178" s="81" t="s">
        <v>467</v>
      </c>
      <c r="G178" s="158" t="s">
        <v>468</v>
      </c>
      <c r="H178" s="49"/>
      <c r="I178" s="51" t="s">
        <v>465</v>
      </c>
    </row>
    <row r="179" spans="1:9" x14ac:dyDescent="0.25">
      <c r="A179" s="56">
        <v>175</v>
      </c>
      <c r="B179" s="92" t="s">
        <v>174</v>
      </c>
      <c r="C179" s="56">
        <v>154405</v>
      </c>
      <c r="D179" s="79">
        <v>1836</v>
      </c>
      <c r="E179" s="79">
        <v>1837</v>
      </c>
      <c r="F179" s="83" t="s">
        <v>270</v>
      </c>
      <c r="G179" s="140" t="s">
        <v>469</v>
      </c>
      <c r="H179" s="55"/>
      <c r="I179" s="57"/>
    </row>
    <row r="180" spans="1:9" x14ac:dyDescent="0.25">
      <c r="A180" s="56">
        <v>176</v>
      </c>
      <c r="B180" s="92" t="s">
        <v>174</v>
      </c>
      <c r="C180" s="56">
        <v>165007</v>
      </c>
      <c r="D180" s="79">
        <v>1836</v>
      </c>
      <c r="E180" s="79">
        <v>1837</v>
      </c>
      <c r="F180" s="88" t="s">
        <v>271</v>
      </c>
      <c r="G180" s="55"/>
      <c r="H180" s="55"/>
      <c r="I180" s="57" t="s">
        <v>487</v>
      </c>
    </row>
    <row r="181" spans="1:9" ht="15.75" thickBot="1" x14ac:dyDescent="0.3">
      <c r="A181" s="53">
        <v>177</v>
      </c>
      <c r="B181" s="93" t="s">
        <v>174</v>
      </c>
      <c r="C181" s="53">
        <v>165332</v>
      </c>
      <c r="D181" s="70">
        <v>1836</v>
      </c>
      <c r="E181" s="70">
        <v>1837</v>
      </c>
      <c r="F181" s="89" t="s">
        <v>272</v>
      </c>
      <c r="G181" s="52"/>
      <c r="H181" s="52"/>
      <c r="I181" s="54" t="s">
        <v>487</v>
      </c>
    </row>
    <row r="182" spans="1:9" x14ac:dyDescent="0.25">
      <c r="A182" s="50">
        <v>178</v>
      </c>
      <c r="B182" s="91" t="s">
        <v>174</v>
      </c>
      <c r="C182" s="50">
        <v>174312</v>
      </c>
      <c r="D182" s="68">
        <v>1837</v>
      </c>
      <c r="E182" s="69">
        <v>1838</v>
      </c>
      <c r="F182" s="81" t="s">
        <v>273</v>
      </c>
      <c r="G182" s="158" t="s">
        <v>474</v>
      </c>
      <c r="H182" s="49"/>
      <c r="I182" s="51"/>
    </row>
    <row r="183" spans="1:9" x14ac:dyDescent="0.25">
      <c r="A183" s="56">
        <v>179</v>
      </c>
      <c r="B183" s="92" t="s">
        <v>174</v>
      </c>
      <c r="C183" s="56">
        <v>174320</v>
      </c>
      <c r="D183" s="79">
        <v>1837</v>
      </c>
      <c r="E183" s="79">
        <v>1838</v>
      </c>
      <c r="F183" s="83" t="s">
        <v>274</v>
      </c>
      <c r="G183" s="140" t="s">
        <v>475</v>
      </c>
      <c r="H183" s="55"/>
      <c r="I183" s="57" t="s">
        <v>393</v>
      </c>
    </row>
    <row r="184" spans="1:9" ht="15.75" thickBot="1" x14ac:dyDescent="0.3">
      <c r="A184" s="53">
        <v>180</v>
      </c>
      <c r="B184" s="93" t="s">
        <v>174</v>
      </c>
      <c r="C184" s="53">
        <v>175137</v>
      </c>
      <c r="D184" s="70">
        <v>1837</v>
      </c>
      <c r="E184" s="70">
        <v>1838</v>
      </c>
      <c r="F184" s="89" t="s">
        <v>275</v>
      </c>
      <c r="G184" s="52"/>
      <c r="H184" s="52"/>
      <c r="I184" s="54" t="s">
        <v>487</v>
      </c>
    </row>
    <row r="185" spans="1:9" ht="30" x14ac:dyDescent="0.25">
      <c r="A185" s="50">
        <v>181</v>
      </c>
      <c r="B185" s="91" t="s">
        <v>174</v>
      </c>
      <c r="C185" s="58" t="s">
        <v>488</v>
      </c>
      <c r="D185" s="68">
        <v>1838</v>
      </c>
      <c r="E185" s="69">
        <v>1839</v>
      </c>
      <c r="F185" s="87" t="s">
        <v>273</v>
      </c>
      <c r="G185" s="158" t="s">
        <v>476</v>
      </c>
      <c r="H185" s="49"/>
      <c r="I185" s="51" t="s">
        <v>393</v>
      </c>
    </row>
    <row r="186" spans="1:9" x14ac:dyDescent="0.25">
      <c r="A186" s="56">
        <v>182</v>
      </c>
      <c r="B186" s="92" t="s">
        <v>174</v>
      </c>
      <c r="C186" s="56">
        <v>174330</v>
      </c>
      <c r="D186" s="79">
        <v>1838</v>
      </c>
      <c r="E186" s="79">
        <v>1839</v>
      </c>
      <c r="F186" s="83" t="s">
        <v>274</v>
      </c>
      <c r="G186" s="140" t="s">
        <v>481</v>
      </c>
      <c r="H186" s="55"/>
      <c r="I186" s="57"/>
    </row>
    <row r="187" spans="1:9" ht="15.75" thickBot="1" x14ac:dyDescent="0.3">
      <c r="A187" s="53">
        <v>183</v>
      </c>
      <c r="B187" s="93" t="s">
        <v>174</v>
      </c>
      <c r="C187" s="53">
        <v>175137</v>
      </c>
      <c r="D187" s="70">
        <v>1838</v>
      </c>
      <c r="E187" s="70">
        <v>1839</v>
      </c>
      <c r="F187" s="89" t="s">
        <v>275</v>
      </c>
      <c r="G187" s="52"/>
      <c r="H187" s="52"/>
      <c r="I187" s="54" t="s">
        <v>487</v>
      </c>
    </row>
  </sheetData>
  <autoFilter ref="A1:I187" xr:uid="{524E39FE-922D-4D1C-8307-124A80E47DCF}">
    <sortState xmlns:xlrd2="http://schemas.microsoft.com/office/spreadsheetml/2017/richdata2" ref="A2:I187">
      <sortCondition ref="A1:A187"/>
    </sortState>
  </autoFilter>
  <phoneticPr fontId="9" type="noConversion"/>
  <hyperlinks>
    <hyperlink ref="G2" location="'1771-3 (I_WI)'!A1" display="1771-3 (I_WI)" xr:uid="{46A2F064-F390-4FFD-B579-5B9C195B7741}"/>
    <hyperlink ref="G3" location="'1796-7 (E_J)'!A1" display="1796-7 (E_J)" xr:uid="{97B158D5-8A24-4A24-80AB-2D7614959F15}"/>
    <hyperlink ref="G4" location="'1796-7 (E_WI)'!A1" display="1796-7 (I_WI)" xr:uid="{BCCE71E0-FD7F-4760-9C72-FFEF0146D69F}"/>
    <hyperlink ref="G5" location="'1797-8 (E_J)'!A1" display="1797-98 (E_J)" xr:uid="{DDBE11F9-87C2-4EFE-9F6D-D4F046BB69D2}"/>
    <hyperlink ref="G6" location="'1799-1800 (E)'!A1" display="1799-1800 (E)" xr:uid="{9B85CC1E-E7DB-4B1C-8354-204809825658}"/>
    <hyperlink ref="G7" location="'1799-1801 (I)'!A1" display="1799-1801 (I)" xr:uid="{DF60DF13-1280-4DFB-89CB-81F4DDBB3F4B}"/>
    <hyperlink ref="G8" location="'1800-01 (E)'!A1" display="1800-01 (E)" xr:uid="{9B457077-C07E-4CC8-A08F-CD8E1F01949A}"/>
    <hyperlink ref="G9" location="'1800-01 (I)'!A1" display="1800-01 (I)" xr:uid="{9B1E8CEB-3E56-42AE-911A-A213AB45C2BE}"/>
    <hyperlink ref="G10" location="'1801-2 (E)'!A1" display="1801-2 (E)" xr:uid="{CDC655D1-1E4F-4430-9749-4E0A1C8A3F2F}"/>
    <hyperlink ref="G11" location="'1801-2 (I)'!A1" display="1801-2 (I)" xr:uid="{E599DD7A-0B0E-4565-876F-6514141245F0}"/>
    <hyperlink ref="G12" location="'1801-2 (E)'!A1" display="1801-2 (E)" xr:uid="{74BFCF85-3C4C-4EF5-B7F6-088F5618AC09}"/>
    <hyperlink ref="G13" location="'1801-2 (I)'!A1" display="1801-2 (I)" xr:uid="{FA2EA31C-2D42-4277-959B-F52C08DDF575}"/>
    <hyperlink ref="G14" location="'1801-2 (I)'!A1" display="1801-2 (I)" xr:uid="{C4A775DF-2008-4515-9EB2-B39D85BE6199}"/>
    <hyperlink ref="G23" location="'1802-3 (E)'!A1" display="1802-3 (E)" xr:uid="{23DF4155-FAF4-48BA-B2B8-D3CE30072E57}"/>
    <hyperlink ref="G24" location="'1802-3 (I)'!A1" display="1802-3 (I)" xr:uid="{5DAC645B-123A-4D74-8D39-AEB0A6AA0D5C}"/>
    <hyperlink ref="G25" location="'1802-3 (E)'!A1" display="1802-3 (E)" xr:uid="{633A3982-29C9-40AB-B9FA-FA6C640A6B22}"/>
    <hyperlink ref="G26" location="'1802-3 (E)'!A1" display="1802-3 (E)" xr:uid="{439CA501-C405-43C1-8601-90349E37E9D0}"/>
    <hyperlink ref="G27" location="'1802-3 (I)'!A1" display="1802-3 (I)" xr:uid="{D5A6A863-81E5-4305-A8A7-1B8C34EBCB71}"/>
    <hyperlink ref="G28" location="'1802-3 (I)'!A1" display="1802-3 (I)" xr:uid="{9240B33E-3C40-42A5-AEC9-FAAB80509ADA}"/>
    <hyperlink ref="G30" location="'1803-4 (I)'!A1" display="1803-4 (I)" xr:uid="{A57C9087-D859-47F4-9683-BFAD7E999390}"/>
    <hyperlink ref="G31" location="'1803-4 (I)'!A1" display="1803-4 (I)" xr:uid="{4D96471F-4441-4E83-97D5-5ADD9FD2BE90}"/>
    <hyperlink ref="G34" location="'1803-4 (I)'!A1" display="1803-4 (I)" xr:uid="{402A2DB5-EE45-483D-953A-780D6D4110A7}"/>
    <hyperlink ref="G38" location="'1803-4 (I)'!A1" display="1803-4 (I)" xr:uid="{488223E0-62B3-4BCB-BF9C-2B3AAA0C1475}"/>
    <hyperlink ref="G39" location="'1803-4 (I)'!A1" display="1803-4 (I)" xr:uid="{6BDBDD71-0681-489A-B6CE-EA6F010F9E48}"/>
    <hyperlink ref="G35" location="'1803-4 (E)'!A1" display="1803-4 (E)" xr:uid="{7288E8DA-79F4-4101-9DFC-C452C394BD9B}"/>
    <hyperlink ref="G40" location="'1804-5 (I)'!A1" display="1804-5 (I)" xr:uid="{6CBCBE12-AA40-40DB-8D90-958B8A15F520}"/>
    <hyperlink ref="G41" location="'1804-5 (I)'!A1" display="1804-5 (I)" xr:uid="{D2E98374-3CB1-4CBB-950F-B23895D14504}"/>
    <hyperlink ref="G42" location="'1804-5 (E)'!A1" display="1804-5 (E)" xr:uid="{48331DDA-F016-41E2-BD68-492CBED10EF3}"/>
    <hyperlink ref="G45" location="'1804-5 (I)'!A1" display="1804-5 (I)" xr:uid="{FC25B82B-409E-4B41-8A07-35CC53E1B8BF}"/>
    <hyperlink ref="G46" location="'1804-5 (I)'!A1" display="1804-5 (I)" xr:uid="{502D377C-5022-4C19-AB8D-767790E39410}"/>
    <hyperlink ref="G49" location="'1805-6 (I)'!A1" display="1805-6 (I)" xr:uid="{5709AB79-E52D-42C6-B84B-05C01B4742D8}"/>
    <hyperlink ref="G50" location="'1805-6 (I)'!A1" display="1805-6 (I)" xr:uid="{52C0B21C-EF10-47DE-83E0-2D127DE847D4}"/>
    <hyperlink ref="G52" location="'1805-6 (I)'!A1" display="1805-6 (I)" xr:uid="{FA2DADB6-935E-4A3B-B507-FED826B69FBD}"/>
    <hyperlink ref="G53" location="'1805-6 (I)'!A1" display="1805-6 (I)" xr:uid="{56C65DE0-3580-48B0-8EF9-834B13752C75}"/>
    <hyperlink ref="G54" location="'1805-6 (E)'!A1" display="1805-6 (E)" xr:uid="{A5C8DB2A-0C17-429D-BEFB-3AEEC117B3CC}"/>
    <hyperlink ref="G57" location="'1806-7 (I)'!A1" display="1806-7 (I)" xr:uid="{C00C0DE4-04C0-48F0-9D1C-9D44ECC960D7}"/>
    <hyperlink ref="G58" location="'1806-7 (I)'!A1" display="1806-7 (I)" xr:uid="{AC4A328D-BA78-44FB-9EF0-51A073A8CEAC}"/>
    <hyperlink ref="G63" location="'1806-7 (I)'!A1" display="1806-7 (I)" xr:uid="{21E925F2-BA79-4EB9-83D5-35A80846E089}"/>
    <hyperlink ref="G64" location="'1806-7 (I)'!A1" display="1806-7 (I)" xr:uid="{6F5F332B-4038-4672-8DB8-7F30CBA61FF6}"/>
    <hyperlink ref="G60" location="'1806-7 (E)'!A1" display="1806-7 (E)" xr:uid="{F0D67FA5-8F77-4EFA-84FB-19A8F3771CCC}"/>
    <hyperlink ref="G65" location="'1807-8 (I)'!A1" display="1807-8 (I)" xr:uid="{D264DB57-8F5A-45DF-BEC3-BD1FC15295B8}"/>
    <hyperlink ref="G67" location="'1807-8 (I)'!A1" display="1807-8 (I)" xr:uid="{E8B1ACAE-3EA9-4AE7-82F1-BFCBB4F5DF96}"/>
    <hyperlink ref="G69" location="'1807-8 (I)'!A1" display="1807-8 (I)" xr:uid="{91E0C3FB-D708-45B9-AFE6-7C4EEBF073D1}"/>
    <hyperlink ref="G70" location="'1807-8 (I)'!A1" display="1807-8 (I)" xr:uid="{83CCC3E1-1848-4F71-8D83-19591B4F8B35}"/>
    <hyperlink ref="G73" location="'1807-8 (I)'!A1" display="1807-8 (I)" xr:uid="{A3B34D48-3823-4C29-A5FF-051FC0ADF7AA}"/>
    <hyperlink ref="G68" location="'1807-8 (E)'!A1" display="1807-8 (E)" xr:uid="{03246FFC-A4B6-46C6-BC17-2C8CEBC5176C}"/>
    <hyperlink ref="G74" location="'1808-9 (I)'!A1" display="1808-9 (I)" xr:uid="{AA240E3F-3181-43DC-978B-77A556B7BB7E}"/>
    <hyperlink ref="G76" location="'1808-9 (I)'!A1" display="1808-9 (I)" xr:uid="{A3CD1B3C-E6F2-42AB-AC3D-700F2A37986E}"/>
    <hyperlink ref="G78" location="'1808-9 (I)'!A1" display="1808-9 (I)" xr:uid="{3FC57C49-038F-44B9-8151-718635C9C0E4}"/>
    <hyperlink ref="G79" location="'1808-9 (I)'!A1" display="1808-9 (I)" xr:uid="{FDB604AD-4ACC-4A2E-A598-BA171137CC64}"/>
    <hyperlink ref="G77" location="'1808-9 (E)'!A1" display="1808-9 (E)" xr:uid="{7208514B-BCAF-41D7-A993-567E86A64DFB}"/>
    <hyperlink ref="G83" location="'1809-10 (I)'!A1" display="1809-10 (I)" xr:uid="{7EC4CE46-C6E5-467D-A0DA-875E412C44E8}"/>
    <hyperlink ref="G84" location="'1809-10 (I)'!A1" display="1809-10 (I)" xr:uid="{DAC070A5-ADE5-41E7-8AE4-AB17F9B063FC}"/>
    <hyperlink ref="G86" location="'1809-10 (I)'!A1" display="1809-10 (I)" xr:uid="{92B351BE-505D-417A-83FD-CF2B6453BEF9}"/>
    <hyperlink ref="G87" location="'1809-10 (I)'!A1" display="1809-10 (I)" xr:uid="{ACAAB37E-A5BC-4ADB-919B-F909C6514122}"/>
    <hyperlink ref="G85" location="'1809-10 (E)'!A1" display="1809-10 (E)" xr:uid="{BF096370-58ED-46CF-82CD-54163A67091C}"/>
    <hyperlink ref="G91" location="'1810-11 (I)'!A1" display="1810-11 (I)" xr:uid="{574CC836-CD8E-438E-8E9D-42064EDA0057}"/>
    <hyperlink ref="G92" location="'1810-11 (I)'!A1" display="1810-11 (I)" xr:uid="{90A1C750-3D1E-4036-9424-D1C2C28D3A24}"/>
    <hyperlink ref="G93" location="'1810-11 (I)'!A1" display="1810-11 (I)" xr:uid="{A6738B06-68EB-446D-A428-525650E8D980}"/>
    <hyperlink ref="G94" location="'1810-11 (I)'!A1" display="1810-11 (I)" xr:uid="{14ECF8D8-E286-4B56-B28D-108DA5F0CF6B}"/>
    <hyperlink ref="G95" location="'1810-11 (E)'!A1" display="1810-11 (E)" xr:uid="{79AA9F07-DDA3-485E-B1A3-28D0039DEB0F}"/>
    <hyperlink ref="G99" location="'1811-2 (I)'!A1" display="1811-2 (I)" xr:uid="{6E837896-3D8C-4E34-9A3E-515AA03BDDF4}"/>
    <hyperlink ref="G101" location="'1811-2 (I)'!A1" display="1811-2 (I)" xr:uid="{4633F54D-434B-40FB-833D-7DF64FDAE534}"/>
    <hyperlink ref="G102" location="'1811-2 (E)'!A1" display="1811-2 (E)" xr:uid="{2DC54C42-9B7C-4050-A0D5-AF6A7A5EEBF4}"/>
    <hyperlink ref="G104" location="'1811-2 (I)'!A1" display="1811-2 (I)" xr:uid="{627B85C5-E11E-4E4A-BDB0-F7E6A38F9C27}"/>
    <hyperlink ref="G105" location="'1811-2 (I)'!A1" display="1811-2 (I)" xr:uid="{D853DAD4-1375-4B4A-B925-2C07BB4EBE01}"/>
    <hyperlink ref="G108" location="'1812-13 (I)'!A1" display="1812-13 (I)" xr:uid="{661142F6-0C38-4DBA-B205-200233AF2180}"/>
    <hyperlink ref="G109" location="'1812-13 (I)'!A1" display="1812-13 (I)" xr:uid="{EAD08B4B-DB0E-4986-A5FF-A8EF21794848}"/>
    <hyperlink ref="G111" location="'1812-13 (I)'!A1" display="1812-13 (I)" xr:uid="{573DFC8D-1104-4097-B199-2A6571FAB27C}"/>
    <hyperlink ref="G113" location="'1812-13 (I)'!A1" display="1812-13 (I)" xr:uid="{8B98CFEB-7772-445D-908C-83CD11BDEF5A}"/>
    <hyperlink ref="G114" location="'1812-13 (I)'!A1" display="1812-13 (I)" xr:uid="{63113B4C-B01B-4FEF-B291-92FDCE276A42}"/>
    <hyperlink ref="G112" location="'1812-13 (E)'!A1" display="1812-13 (E)" xr:uid="{3CEEED04-6FC9-4116-A8C0-B799BD1E19D6}"/>
    <hyperlink ref="G115" location="'1813-14 (E)'!A1" display="1813-14 (E)" xr:uid="{D11D0248-393B-492A-8F0D-B597579E54A5}"/>
    <hyperlink ref="G119" location="'1813-14 (I)'!A1" display="1813-14 (I)" xr:uid="{47B499D4-300A-45BF-A890-9E89ACB01571}"/>
    <hyperlink ref="G124" location="'1814-15 (I)'!A1" display="1814-5 (I)" xr:uid="{4E9EAEFA-B44A-404C-9BA4-743232A8A789}"/>
    <hyperlink ref="G125" location="'1814-15 (E)'!A1" display="1814-15 (E)" xr:uid="{0F230F22-E8F6-4C77-ACCC-434B73C042D0}"/>
    <hyperlink ref="G128" location="'1815-16 (I)'!A1" display="1815-6 (I)" xr:uid="{6B3FCA38-5344-49D2-A5B8-D4C0C6BD50EC}"/>
    <hyperlink ref="G129" location="'1815-16 (E)'!A1" display="1815-6 (E)" xr:uid="{FF4114A9-6BAC-483A-B46E-899E1276BA2C}"/>
    <hyperlink ref="G130" location="'1816-17 (I)'!A1" display="1816-17 (I)" xr:uid="{6C8015A4-846C-4587-A6F6-E437E73AADE7}"/>
    <hyperlink ref="G131" location="'1816-17 (E)'!A1" display="1816-17 (E)" xr:uid="{7939F5B0-B97E-4EC0-8295-12766583A9B8}"/>
    <hyperlink ref="G133" location="'1817-18 (I)'!A1" display="1817-18 (I)" xr:uid="{0E377C72-1F64-41B9-A4AE-F90E020432DD}"/>
    <hyperlink ref="G134" location="'1817-18 (E)'!A1" display="1817-18 (E)" xr:uid="{9613CC4D-EF52-402A-AAA3-A3884E0D6634}"/>
    <hyperlink ref="G137" location="'1818-19 (E)'!A1" display="1818-19 (E)" xr:uid="{BDB452A9-D566-4E69-B3AA-299A9153C642}"/>
    <hyperlink ref="G138" location="'1818-19 (I)'!A1" display="1818-19 (I)" xr:uid="{474C2921-BDB3-4988-B665-26BEA540C5FB}"/>
    <hyperlink ref="G139" location="'1819-20 (I)'!A1" display="1819-20 (I)" xr:uid="{5C4813D5-2F0E-4478-978F-562DA491BA6B}"/>
    <hyperlink ref="G140" location="'1819-20 (I)'!A1" display="1819-20 (I)" xr:uid="{4E5C52F5-462B-42D4-B3DC-524E557EA7D4}"/>
    <hyperlink ref="G141" location="'1819-20 (E)'!A1" display="1819-20 (E)" xr:uid="{A8305C24-9A04-4E42-8022-9AE56A1F694C}"/>
    <hyperlink ref="G143" location="'1820-21 (E)'!A1" display="1820-21 (E)" xr:uid="{2B591DEF-2D2F-4862-8EBF-634F1DACA738}"/>
    <hyperlink ref="G144" location="'1820-21 (I)'!A1" display="1820-21 (I)" xr:uid="{46451945-7B68-4D96-9F6A-0ADCAF798ADD}"/>
    <hyperlink ref="G146" location="'1821-2 (I)'!A1" display="1821-2 (I)" xr:uid="{3F29ECF9-6C37-4460-905D-4494B2ECCFA7}"/>
    <hyperlink ref="G147" location="'1821-2 (E)'!A1" display="1821-2 (E)" xr:uid="{363CA3D2-F38C-4B8E-870B-D51AA9877754}"/>
    <hyperlink ref="G149" location="'1822-3 (I)'!A1" display="1822-3 (I)" xr:uid="{51483643-E24E-4853-8985-03EF557B2736}"/>
    <hyperlink ref="G151" location="'1822-3 (E)'!A1" display="1822-3 (E)" xr:uid="{4E54B0F2-5B4A-42D3-A4D5-757CDAB93500}"/>
    <hyperlink ref="G152" location="'1823-4 (I)'!A1" display="1823-4 (I)" xr:uid="{CD686CBF-1A15-4DD5-80B3-F5EE4629923D}"/>
    <hyperlink ref="G153" location="'1823-4 (E)'!A1" display="1823-4 (E)" xr:uid="{F2DE0CFA-638C-4334-B366-3EB60B3B49AA}"/>
    <hyperlink ref="G155" location="'1824-5 (E)'!A1" display="1824-5 (E)" xr:uid="{9E1CA84B-FD76-438C-B34F-3EE379AB990D}"/>
    <hyperlink ref="G156" location="'1824-5 (I)'!A1" display="1824-5 (I)" xr:uid="{5D76DB55-F36E-41DF-A653-5A1A262ABE49}"/>
    <hyperlink ref="G158" location="'1825-6 (I)'!A1" display="1825-6 (I)" xr:uid="{24D09037-9454-4065-83BA-18262C72C40E}"/>
    <hyperlink ref="G159" location="'1825-6 (E)'!A1" display="1825-6 (E)" xr:uid="{88FCBD96-439C-4165-B2AB-11ABA3A65EC7}"/>
    <hyperlink ref="G161" location="'1825-6 (I)'!A1" display="1825-6 (I)" xr:uid="{939A58F2-C29A-482A-A733-958953797596}"/>
    <hyperlink ref="G162" location="'1827-8 (I)'!A1" display="1827-8 (I)" xr:uid="{17D97187-A3AC-4CBE-9F59-B7E23FA2AF74}"/>
    <hyperlink ref="G163" location="'1827-8 (I)'!A1" display="1827-8 (I)" xr:uid="{30CC9074-2BAF-4B39-91A1-520B0110F6B5}"/>
    <hyperlink ref="G164" location="'1827-8 (E)'!A1" display="1827-8 (E)" xr:uid="{8984E714-60D9-4317-824F-5F0133F53F8D}"/>
    <hyperlink ref="G166" location="'1828-9 (I)'!A1" display="1828-9 (I)" xr:uid="{C9B33FFC-A717-4C51-95B7-2CA447315CB6}"/>
    <hyperlink ref="G167" location="'1828-9 (E)'!A1" display="1828-9 (E)" xr:uid="{54E42D0E-DE02-4B70-A63C-6E696AAB520D}"/>
    <hyperlink ref="G169" location="'1831-2 (I)'!A1" display="1831-2 (I)" xr:uid="{F42D9418-B077-4257-8A69-73BE074889BD}"/>
    <hyperlink ref="G170" location="'1831-2 (E)'!A1" display="1831-2 (E)" xr:uid="{D3E3322D-F182-4AD5-A607-61F4024AEBD0}"/>
    <hyperlink ref="G172" location="'1833-4 (E)'!A1" display="1833-4 (E)" xr:uid="{6E69CD60-B41D-466C-9DF3-DC238DAB580D}"/>
    <hyperlink ref="G173" location="'1833-4 (I)'!A1" display="1833-4 (I)" xr:uid="{28AF4864-FB87-46AA-A19C-B6973EE36D83}"/>
    <hyperlink ref="G174" location="'1833-4 (I)'!A1" display="1834-5 (I)" xr:uid="{9B977580-C49E-406A-85AD-D850229E0956}"/>
    <hyperlink ref="G175" location="'1834-5 (E)'!A1" display="1834-5 (E)" xr:uid="{9B36EACD-FCF7-41AA-8858-DC4D9FC08E37}"/>
    <hyperlink ref="G176" location="'1835-6 (I)'!A1" display="1835-6 (I)" xr:uid="{F8544027-9CB8-4EAD-81BC-B95B0C277287}"/>
    <hyperlink ref="G177" location="'1835-6 (E)'!A1" display="1835-6 (E)" xr:uid="{7128E27B-A201-4D29-A15D-6A273E9B537E}"/>
    <hyperlink ref="G178" location="'1836-7 (I)'!A1" display="1836-7 (I)" xr:uid="{F1B7B0FD-3627-4F94-9475-36FD000A1A70}"/>
    <hyperlink ref="G179" location="'1836-7 (E)'!A1" display="1836-7 (E)" xr:uid="{5CE2A56E-C84D-4D83-8DDD-CEBF2E733E10}"/>
    <hyperlink ref="G182" location="'1837-8 (I)'!A1" display="1837-8 (I)" xr:uid="{955DAACA-D6FB-419B-8748-42EFD09AA345}"/>
    <hyperlink ref="G183" location="'1837-8 (E)'!A1" display="1837-8 (E)" xr:uid="{41EB9517-3C76-4957-A49D-124151ECB575}"/>
    <hyperlink ref="G185" location="'1838-9 (I)'!A1" display="1838-9 (I)" xr:uid="{DCB6D968-A47C-4A3F-B0D2-28D2213CCA28}"/>
    <hyperlink ref="G186" location="'1838-9 (E)'!A1" display="1838-9 (E)" xr:uid="{662CC274-B6A4-40C7-AB59-C529F4405729}"/>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35C10-FB83-490D-A8BD-089C6CCDF3A6}">
  <sheetPr codeName="Sheet2"/>
  <dimension ref="A1:I197"/>
  <sheetViews>
    <sheetView workbookViewId="0">
      <pane ySplit="1" topLeftCell="A2" activePane="bottomLeft" state="frozen"/>
      <selection pane="bottomLeft" activeCell="A2" sqref="A2"/>
    </sheetView>
  </sheetViews>
  <sheetFormatPr defaultRowHeight="15" x14ac:dyDescent="0.25"/>
  <cols>
    <col min="1" max="1" width="32" bestFit="1" customWidth="1"/>
    <col min="2" max="2" width="13.140625" customWidth="1"/>
    <col min="3" max="3" width="33.5703125" bestFit="1" customWidth="1"/>
    <col min="5" max="5" width="35.28515625" bestFit="1" customWidth="1"/>
    <col min="6" max="7" width="18.42578125" bestFit="1" customWidth="1"/>
  </cols>
  <sheetData>
    <row r="1" spans="1:9" ht="31.5" x14ac:dyDescent="0.25">
      <c r="A1" s="1" t="s">
        <v>603</v>
      </c>
      <c r="B1" s="1"/>
      <c r="C1" s="1" t="s">
        <v>565</v>
      </c>
      <c r="D1" s="1"/>
      <c r="E1" s="1" t="s">
        <v>503</v>
      </c>
      <c r="F1" s="1" t="s">
        <v>19</v>
      </c>
      <c r="G1" s="1" t="s">
        <v>20</v>
      </c>
      <c r="H1" s="1"/>
      <c r="I1" s="1"/>
    </row>
    <row r="2" spans="1:9" ht="15.75" x14ac:dyDescent="0.25">
      <c r="A2" s="133" t="s">
        <v>28</v>
      </c>
      <c r="C2" s="2" t="s">
        <v>29</v>
      </c>
      <c r="E2" t="s">
        <v>287</v>
      </c>
      <c r="F2" t="s">
        <v>563</v>
      </c>
      <c r="G2" t="s">
        <v>562</v>
      </c>
    </row>
    <row r="3" spans="1:9" x14ac:dyDescent="0.25">
      <c r="A3" s="133" t="s">
        <v>327</v>
      </c>
      <c r="C3" s="133" t="s">
        <v>30</v>
      </c>
      <c r="E3" t="s">
        <v>304</v>
      </c>
      <c r="F3" t="s">
        <v>24</v>
      </c>
      <c r="G3" t="s">
        <v>24</v>
      </c>
    </row>
    <row r="4" spans="1:9" x14ac:dyDescent="0.25">
      <c r="A4" s="133" t="s">
        <v>31</v>
      </c>
      <c r="C4" s="133" t="s">
        <v>33</v>
      </c>
      <c r="E4" t="s">
        <v>284</v>
      </c>
      <c r="F4" t="s">
        <v>22</v>
      </c>
      <c r="G4" t="s">
        <v>22</v>
      </c>
    </row>
    <row r="5" spans="1:9" ht="15.75" x14ac:dyDescent="0.25">
      <c r="A5" s="133" t="s">
        <v>32</v>
      </c>
      <c r="C5" s="2" t="s">
        <v>37</v>
      </c>
      <c r="E5" t="s">
        <v>286</v>
      </c>
      <c r="F5" t="s">
        <v>25</v>
      </c>
      <c r="G5" t="s">
        <v>25</v>
      </c>
    </row>
    <row r="6" spans="1:9" ht="15.75" x14ac:dyDescent="0.25">
      <c r="A6" s="133" t="s">
        <v>499</v>
      </c>
      <c r="C6" s="2" t="s">
        <v>38</v>
      </c>
      <c r="E6" t="s">
        <v>285</v>
      </c>
      <c r="F6" t="s">
        <v>18</v>
      </c>
      <c r="G6" t="s">
        <v>18</v>
      </c>
    </row>
    <row r="7" spans="1:9" ht="15.75" x14ac:dyDescent="0.25">
      <c r="A7" s="133" t="s">
        <v>34</v>
      </c>
      <c r="C7" s="2" t="s">
        <v>41</v>
      </c>
      <c r="E7" t="s">
        <v>3</v>
      </c>
      <c r="F7" t="s">
        <v>160</v>
      </c>
      <c r="G7" t="s">
        <v>21</v>
      </c>
    </row>
    <row r="8" spans="1:9" ht="15.75" x14ac:dyDescent="0.25">
      <c r="A8" s="133" t="s">
        <v>35</v>
      </c>
      <c r="C8" s="2" t="s">
        <v>43</v>
      </c>
      <c r="E8" t="s">
        <v>2</v>
      </c>
      <c r="F8" t="s">
        <v>21</v>
      </c>
      <c r="G8" t="s">
        <v>561</v>
      </c>
    </row>
    <row r="9" spans="1:9" ht="15.75" x14ac:dyDescent="0.25">
      <c r="A9" s="133" t="s">
        <v>36</v>
      </c>
      <c r="C9" s="2" t="s">
        <v>44</v>
      </c>
      <c r="E9" t="s">
        <v>6</v>
      </c>
      <c r="F9" t="s">
        <v>561</v>
      </c>
      <c r="G9" t="s">
        <v>16</v>
      </c>
    </row>
    <row r="10" spans="1:9" ht="15.75" x14ac:dyDescent="0.25">
      <c r="A10" s="133" t="s">
        <v>39</v>
      </c>
      <c r="C10" s="2" t="s">
        <v>46</v>
      </c>
      <c r="E10" t="s">
        <v>0</v>
      </c>
      <c r="F10" t="s">
        <v>16</v>
      </c>
      <c r="G10" t="s">
        <v>17</v>
      </c>
    </row>
    <row r="11" spans="1:9" ht="15.75" x14ac:dyDescent="0.25">
      <c r="A11" s="133" t="s">
        <v>40</v>
      </c>
      <c r="C11" s="2" t="s">
        <v>47</v>
      </c>
      <c r="E11" t="s">
        <v>169</v>
      </c>
      <c r="F11" t="s">
        <v>17</v>
      </c>
      <c r="G11" t="s">
        <v>23</v>
      </c>
    </row>
    <row r="12" spans="1:9" ht="15.75" x14ac:dyDescent="0.25">
      <c r="A12" s="133" t="s">
        <v>42</v>
      </c>
      <c r="C12" s="2" t="s">
        <v>50</v>
      </c>
      <c r="E12" t="s">
        <v>1</v>
      </c>
      <c r="F12" t="s">
        <v>23</v>
      </c>
    </row>
    <row r="13" spans="1:9" ht="15.75" x14ac:dyDescent="0.25">
      <c r="A13" s="133" t="s">
        <v>45</v>
      </c>
      <c r="C13" s="2" t="s">
        <v>294</v>
      </c>
      <c r="E13" t="s">
        <v>4</v>
      </c>
    </row>
    <row r="14" spans="1:9" ht="15.75" x14ac:dyDescent="0.25">
      <c r="A14" s="133" t="s">
        <v>450</v>
      </c>
      <c r="C14" s="2" t="s">
        <v>293</v>
      </c>
      <c r="E14" t="s">
        <v>7</v>
      </c>
    </row>
    <row r="15" spans="1:9" ht="15.75" x14ac:dyDescent="0.25">
      <c r="A15" s="133" t="s">
        <v>497</v>
      </c>
      <c r="C15" s="2" t="s">
        <v>56</v>
      </c>
      <c r="E15" t="s">
        <v>10</v>
      </c>
    </row>
    <row r="16" spans="1:9" ht="15.75" x14ac:dyDescent="0.25">
      <c r="A16" s="133" t="s">
        <v>48</v>
      </c>
      <c r="C16" s="2" t="s">
        <v>59</v>
      </c>
      <c r="E16" t="s">
        <v>486</v>
      </c>
    </row>
    <row r="17" spans="1:5" ht="15.75" x14ac:dyDescent="0.25">
      <c r="A17" s="133" t="s">
        <v>49</v>
      </c>
      <c r="C17" s="2" t="s">
        <v>60</v>
      </c>
      <c r="E17" t="s">
        <v>13</v>
      </c>
    </row>
    <row r="18" spans="1:5" ht="15.75" x14ac:dyDescent="0.25">
      <c r="A18" s="133" t="s">
        <v>51</v>
      </c>
      <c r="C18" s="2" t="s">
        <v>61</v>
      </c>
      <c r="E18" t="s">
        <v>8</v>
      </c>
    </row>
    <row r="19" spans="1:5" x14ac:dyDescent="0.25">
      <c r="A19" s="133" t="s">
        <v>500</v>
      </c>
      <c r="C19" s="133" t="s">
        <v>572</v>
      </c>
      <c r="E19" t="s">
        <v>164</v>
      </c>
    </row>
    <row r="20" spans="1:5" x14ac:dyDescent="0.25">
      <c r="A20" s="133" t="s">
        <v>52</v>
      </c>
      <c r="C20" s="133" t="s">
        <v>571</v>
      </c>
      <c r="E20" t="s">
        <v>9</v>
      </c>
    </row>
    <row r="21" spans="1:5" x14ac:dyDescent="0.25">
      <c r="A21" s="133" t="s">
        <v>53</v>
      </c>
      <c r="C21" s="133" t="s">
        <v>570</v>
      </c>
      <c r="E21" t="s">
        <v>11</v>
      </c>
    </row>
    <row r="22" spans="1:5" x14ac:dyDescent="0.25">
      <c r="A22" s="133" t="s">
        <v>54</v>
      </c>
      <c r="C22" s="133" t="s">
        <v>573</v>
      </c>
      <c r="E22" t="s">
        <v>14</v>
      </c>
    </row>
    <row r="23" spans="1:5" x14ac:dyDescent="0.25">
      <c r="A23" s="133" t="s">
        <v>382</v>
      </c>
      <c r="C23" s="133" t="s">
        <v>567</v>
      </c>
      <c r="E23" t="s">
        <v>15</v>
      </c>
    </row>
    <row r="24" spans="1:5" x14ac:dyDescent="0.25">
      <c r="A24" s="133" t="s">
        <v>335</v>
      </c>
      <c r="C24" s="133" t="s">
        <v>569</v>
      </c>
    </row>
    <row r="25" spans="1:5" ht="15.75" x14ac:dyDescent="0.25">
      <c r="A25" s="133" t="s">
        <v>336</v>
      </c>
      <c r="C25" s="2" t="s">
        <v>67</v>
      </c>
    </row>
    <row r="26" spans="1:5" ht="15.75" x14ac:dyDescent="0.25">
      <c r="A26" s="133" t="s">
        <v>339</v>
      </c>
      <c r="C26" s="2" t="s">
        <v>296</v>
      </c>
    </row>
    <row r="27" spans="1:5" ht="15.75" x14ac:dyDescent="0.25">
      <c r="A27" s="133" t="s">
        <v>340</v>
      </c>
      <c r="C27" s="2" t="s">
        <v>295</v>
      </c>
    </row>
    <row r="28" spans="1:5" ht="15.75" x14ac:dyDescent="0.25">
      <c r="A28" s="133" t="s">
        <v>351</v>
      </c>
      <c r="C28" s="2" t="s">
        <v>68</v>
      </c>
    </row>
    <row r="29" spans="1:5" ht="15.75" x14ac:dyDescent="0.25">
      <c r="A29" s="133" t="s">
        <v>367</v>
      </c>
      <c r="C29" s="2" t="s">
        <v>73</v>
      </c>
    </row>
    <row r="30" spans="1:5" ht="15.75" x14ac:dyDescent="0.25">
      <c r="A30" s="133" t="s">
        <v>352</v>
      </c>
      <c r="C30" s="2" t="s">
        <v>172</v>
      </c>
    </row>
    <row r="31" spans="1:5" x14ac:dyDescent="0.25">
      <c r="A31" s="133" t="s">
        <v>435</v>
      </c>
      <c r="C31" s="133" t="s">
        <v>80</v>
      </c>
    </row>
    <row r="32" spans="1:5" ht="15.75" x14ac:dyDescent="0.25">
      <c r="A32" s="133" t="s">
        <v>442</v>
      </c>
      <c r="C32" s="2" t="s">
        <v>140</v>
      </c>
    </row>
    <row r="33" spans="1:3" x14ac:dyDescent="0.25">
      <c r="A33" s="133" t="s">
        <v>466</v>
      </c>
      <c r="C33" s="133" t="s">
        <v>81</v>
      </c>
    </row>
    <row r="34" spans="1:3" ht="15.75" x14ac:dyDescent="0.25">
      <c r="A34" s="133" t="s">
        <v>386</v>
      </c>
      <c r="C34" s="2" t="s">
        <v>84</v>
      </c>
    </row>
    <row r="35" spans="1:3" ht="15.75" x14ac:dyDescent="0.25">
      <c r="A35" s="133" t="s">
        <v>387</v>
      </c>
      <c r="C35" s="2" t="s">
        <v>87</v>
      </c>
    </row>
    <row r="36" spans="1:3" ht="15.75" x14ac:dyDescent="0.25">
      <c r="A36" s="133" t="s">
        <v>388</v>
      </c>
      <c r="C36" s="2" t="s">
        <v>90</v>
      </c>
    </row>
    <row r="37" spans="1:3" ht="15.75" x14ac:dyDescent="0.25">
      <c r="A37" s="133" t="s">
        <v>55</v>
      </c>
      <c r="C37" s="2" t="s">
        <v>278</v>
      </c>
    </row>
    <row r="38" spans="1:3" ht="15.75" x14ac:dyDescent="0.25">
      <c r="A38" s="133" t="s">
        <v>57</v>
      </c>
      <c r="C38" s="2" t="s">
        <v>458</v>
      </c>
    </row>
    <row r="39" spans="1:3" ht="15.75" x14ac:dyDescent="0.25">
      <c r="A39" s="133" t="s">
        <v>58</v>
      </c>
      <c r="C39" s="2" t="s">
        <v>97</v>
      </c>
    </row>
    <row r="40" spans="1:3" x14ac:dyDescent="0.25">
      <c r="A40" s="133" t="s">
        <v>566</v>
      </c>
      <c r="C40" s="133" t="s">
        <v>280</v>
      </c>
    </row>
    <row r="41" spans="1:3" ht="15.75" x14ac:dyDescent="0.25">
      <c r="A41" s="133" t="s">
        <v>567</v>
      </c>
      <c r="C41" s="2" t="s">
        <v>281</v>
      </c>
    </row>
    <row r="42" spans="1:3" ht="15.75" x14ac:dyDescent="0.25">
      <c r="A42" s="133" t="s">
        <v>569</v>
      </c>
      <c r="C42" s="2" t="s">
        <v>279</v>
      </c>
    </row>
    <row r="43" spans="1:3" x14ac:dyDescent="0.25">
      <c r="A43" s="133" t="s">
        <v>568</v>
      </c>
    </row>
    <row r="44" spans="1:3" x14ac:dyDescent="0.25">
      <c r="A44" s="133" t="s">
        <v>570</v>
      </c>
    </row>
    <row r="45" spans="1:3" x14ac:dyDescent="0.25">
      <c r="A45" s="133" t="s">
        <v>571</v>
      </c>
    </row>
    <row r="46" spans="1:3" x14ac:dyDescent="0.25">
      <c r="A46" s="133" t="s">
        <v>572</v>
      </c>
    </row>
    <row r="47" spans="1:3" x14ac:dyDescent="0.25">
      <c r="A47" s="133" t="s">
        <v>573</v>
      </c>
    </row>
    <row r="48" spans="1:3" x14ac:dyDescent="0.25">
      <c r="A48" s="133" t="s">
        <v>62</v>
      </c>
    </row>
    <row r="49" spans="1:1" x14ac:dyDescent="0.25">
      <c r="A49" s="133" t="s">
        <v>63</v>
      </c>
    </row>
    <row r="50" spans="1:1" x14ac:dyDescent="0.25">
      <c r="A50" s="133" t="s">
        <v>498</v>
      </c>
    </row>
    <row r="51" spans="1:1" x14ac:dyDescent="0.25">
      <c r="A51" s="133" t="s">
        <v>64</v>
      </c>
    </row>
    <row r="52" spans="1:1" x14ac:dyDescent="0.25">
      <c r="A52" s="133" t="s">
        <v>65</v>
      </c>
    </row>
    <row r="53" spans="1:1" x14ac:dyDescent="0.25">
      <c r="A53" s="133" t="s">
        <v>66</v>
      </c>
    </row>
    <row r="54" spans="1:1" x14ac:dyDescent="0.25">
      <c r="A54" s="133" t="s">
        <v>460</v>
      </c>
    </row>
    <row r="55" spans="1:1" x14ac:dyDescent="0.25">
      <c r="A55" s="133" t="s">
        <v>392</v>
      </c>
    </row>
    <row r="56" spans="1:1" x14ac:dyDescent="0.25">
      <c r="A56" s="133" t="s">
        <v>69</v>
      </c>
    </row>
    <row r="57" spans="1:1" x14ac:dyDescent="0.25">
      <c r="A57" s="133" t="s">
        <v>70</v>
      </c>
    </row>
    <row r="58" spans="1:1" x14ac:dyDescent="0.25">
      <c r="A58" s="133" t="s">
        <v>71</v>
      </c>
    </row>
    <row r="59" spans="1:1" x14ac:dyDescent="0.25">
      <c r="A59" s="133" t="s">
        <v>72</v>
      </c>
    </row>
    <row r="60" spans="1:1" x14ac:dyDescent="0.25">
      <c r="A60" s="133" t="s">
        <v>74</v>
      </c>
    </row>
    <row r="61" spans="1:1" x14ac:dyDescent="0.25">
      <c r="A61" s="133" t="s">
        <v>75</v>
      </c>
    </row>
    <row r="62" spans="1:1" x14ac:dyDescent="0.25">
      <c r="A62" s="133" t="s">
        <v>76</v>
      </c>
    </row>
    <row r="63" spans="1:1" x14ac:dyDescent="0.25">
      <c r="A63" s="133" t="s">
        <v>77</v>
      </c>
    </row>
    <row r="64" spans="1:1" x14ac:dyDescent="0.25">
      <c r="A64" s="133" t="s">
        <v>78</v>
      </c>
    </row>
    <row r="65" spans="1:1" x14ac:dyDescent="0.25">
      <c r="A65" s="133" t="s">
        <v>79</v>
      </c>
    </row>
    <row r="66" spans="1:1" x14ac:dyDescent="0.25">
      <c r="A66" s="133" t="s">
        <v>329</v>
      </c>
    </row>
    <row r="67" spans="1:1" x14ac:dyDescent="0.25">
      <c r="A67" s="133" t="s">
        <v>82</v>
      </c>
    </row>
    <row r="68" spans="1:1" x14ac:dyDescent="0.25">
      <c r="A68" s="133" t="s">
        <v>83</v>
      </c>
    </row>
    <row r="69" spans="1:1" x14ac:dyDescent="0.25">
      <c r="A69" s="133" t="s">
        <v>398</v>
      </c>
    </row>
    <row r="70" spans="1:1" x14ac:dyDescent="0.25">
      <c r="A70" s="133" t="s">
        <v>85</v>
      </c>
    </row>
    <row r="71" spans="1:1" x14ac:dyDescent="0.25">
      <c r="A71" s="133" t="s">
        <v>86</v>
      </c>
    </row>
    <row r="72" spans="1:1" x14ac:dyDescent="0.25">
      <c r="A72" s="133" t="s">
        <v>383</v>
      </c>
    </row>
    <row r="73" spans="1:1" x14ac:dyDescent="0.25">
      <c r="A73" s="133" t="s">
        <v>384</v>
      </c>
    </row>
    <row r="74" spans="1:1" x14ac:dyDescent="0.25">
      <c r="A74" s="133" t="s">
        <v>277</v>
      </c>
    </row>
    <row r="75" spans="1:1" x14ac:dyDescent="0.25">
      <c r="A75" s="133" t="s">
        <v>323</v>
      </c>
    </row>
    <row r="76" spans="1:1" x14ac:dyDescent="0.25">
      <c r="A76" s="133" t="s">
        <v>88</v>
      </c>
    </row>
    <row r="77" spans="1:1" x14ac:dyDescent="0.25">
      <c r="A77" s="133" t="s">
        <v>89</v>
      </c>
    </row>
    <row r="78" spans="1:1" x14ac:dyDescent="0.25">
      <c r="A78" s="133" t="s">
        <v>494</v>
      </c>
    </row>
    <row r="79" spans="1:1" x14ac:dyDescent="0.25">
      <c r="A79" s="133" t="s">
        <v>495</v>
      </c>
    </row>
    <row r="80" spans="1:1" x14ac:dyDescent="0.25">
      <c r="A80" s="133" t="s">
        <v>91</v>
      </c>
    </row>
    <row r="81" spans="1:1" x14ac:dyDescent="0.25">
      <c r="A81" s="133" t="s">
        <v>92</v>
      </c>
    </row>
    <row r="82" spans="1:1" x14ac:dyDescent="0.25">
      <c r="A82" s="133" t="s">
        <v>93</v>
      </c>
    </row>
    <row r="83" spans="1:1" x14ac:dyDescent="0.25">
      <c r="A83" s="133" t="s">
        <v>94</v>
      </c>
    </row>
    <row r="84" spans="1:1" x14ac:dyDescent="0.25">
      <c r="A84" s="133" t="s">
        <v>95</v>
      </c>
    </row>
    <row r="85" spans="1:1" x14ac:dyDescent="0.25">
      <c r="A85" s="133" t="s">
        <v>96</v>
      </c>
    </row>
    <row r="86" spans="1:1" x14ac:dyDescent="0.25">
      <c r="A86" s="133" t="s">
        <v>459</v>
      </c>
    </row>
    <row r="87" spans="1:1" x14ac:dyDescent="0.25">
      <c r="A87" s="133" t="s">
        <v>98</v>
      </c>
    </row>
    <row r="88" spans="1:1" x14ac:dyDescent="0.25">
      <c r="A88" s="133" t="s">
        <v>99</v>
      </c>
    </row>
    <row r="89" spans="1:1" x14ac:dyDescent="0.25">
      <c r="A89" s="133" t="s">
        <v>100</v>
      </c>
    </row>
    <row r="90" spans="1:1" x14ac:dyDescent="0.25">
      <c r="A90" s="133" t="s">
        <v>101</v>
      </c>
    </row>
    <row r="91" spans="1:1" x14ac:dyDescent="0.25">
      <c r="A91" s="133" t="s">
        <v>102</v>
      </c>
    </row>
    <row r="92" spans="1:1" x14ac:dyDescent="0.25">
      <c r="A92" s="133" t="s">
        <v>103</v>
      </c>
    </row>
    <row r="93" spans="1:1" x14ac:dyDescent="0.25">
      <c r="A93" s="133" t="s">
        <v>104</v>
      </c>
    </row>
    <row r="94" spans="1:1" x14ac:dyDescent="0.25">
      <c r="A94" s="133" t="s">
        <v>493</v>
      </c>
    </row>
    <row r="95" spans="1:1" x14ac:dyDescent="0.25">
      <c r="A95" s="133" t="s">
        <v>276</v>
      </c>
    </row>
    <row r="96" spans="1:1" x14ac:dyDescent="0.25">
      <c r="A96" s="133" t="s">
        <v>105</v>
      </c>
    </row>
    <row r="97" spans="1:1" x14ac:dyDescent="0.25">
      <c r="A97" s="133" t="s">
        <v>106</v>
      </c>
    </row>
    <row r="98" spans="1:1" x14ac:dyDescent="0.25">
      <c r="A98" s="133" t="s">
        <v>107</v>
      </c>
    </row>
    <row r="99" spans="1:1" x14ac:dyDescent="0.25">
      <c r="A99" s="133" t="s">
        <v>496</v>
      </c>
    </row>
    <row r="100" spans="1:1" x14ac:dyDescent="0.25">
      <c r="A100" s="133" t="s">
        <v>108</v>
      </c>
    </row>
    <row r="101" spans="1:1" x14ac:dyDescent="0.25">
      <c r="A101" s="133" t="s">
        <v>109</v>
      </c>
    </row>
    <row r="102" spans="1:1" x14ac:dyDescent="0.25">
      <c r="A102" s="133" t="s">
        <v>110</v>
      </c>
    </row>
    <row r="103" spans="1:1" x14ac:dyDescent="0.25">
      <c r="A103" s="133" t="s">
        <v>328</v>
      </c>
    </row>
    <row r="104" spans="1:1" x14ac:dyDescent="0.25">
      <c r="A104" s="133" t="s">
        <v>111</v>
      </c>
    </row>
    <row r="105" spans="1:1" x14ac:dyDescent="0.25">
      <c r="A105" s="133" t="s">
        <v>112</v>
      </c>
    </row>
    <row r="106" spans="1:1" x14ac:dyDescent="0.25">
      <c r="A106" s="133" t="s">
        <v>113</v>
      </c>
    </row>
    <row r="107" spans="1:1" ht="15.75" thickBot="1" x14ac:dyDescent="0.3">
      <c r="A107" s="138"/>
    </row>
    <row r="108" spans="1:1" ht="15.75" thickTop="1" x14ac:dyDescent="0.25">
      <c r="A108" s="139"/>
    </row>
    <row r="109" spans="1:1" x14ac:dyDescent="0.25">
      <c r="A109" s="133" t="s">
        <v>114</v>
      </c>
    </row>
    <row r="110" spans="1:1" x14ac:dyDescent="0.25">
      <c r="A110" s="133" t="s">
        <v>115</v>
      </c>
    </row>
    <row r="111" spans="1:1" x14ac:dyDescent="0.25">
      <c r="A111" s="133" t="s">
        <v>116</v>
      </c>
    </row>
    <row r="112" spans="1:1" x14ac:dyDescent="0.25">
      <c r="A112" s="133" t="s">
        <v>117</v>
      </c>
    </row>
    <row r="113" spans="1:1" x14ac:dyDescent="0.25">
      <c r="A113" s="133" t="s">
        <v>36</v>
      </c>
    </row>
    <row r="114" spans="1:1" x14ac:dyDescent="0.25">
      <c r="A114" s="133" t="s">
        <v>45</v>
      </c>
    </row>
    <row r="115" spans="1:1" x14ac:dyDescent="0.25">
      <c r="A115" s="133" t="s">
        <v>118</v>
      </c>
    </row>
    <row r="116" spans="1:1" x14ac:dyDescent="0.25">
      <c r="A116" s="133" t="s">
        <v>305</v>
      </c>
    </row>
    <row r="117" spans="1:1" x14ac:dyDescent="0.25">
      <c r="A117" s="133" t="s">
        <v>119</v>
      </c>
    </row>
    <row r="118" spans="1:1" x14ac:dyDescent="0.25">
      <c r="A118" s="133" t="s">
        <v>120</v>
      </c>
    </row>
    <row r="119" spans="1:1" x14ac:dyDescent="0.25">
      <c r="A119" s="133" t="s">
        <v>121</v>
      </c>
    </row>
    <row r="120" spans="1:1" x14ac:dyDescent="0.25">
      <c r="A120" s="133" t="s">
        <v>122</v>
      </c>
    </row>
    <row r="121" spans="1:1" x14ac:dyDescent="0.25">
      <c r="A121" s="133" t="s">
        <v>123</v>
      </c>
    </row>
    <row r="122" spans="1:1" x14ac:dyDescent="0.25">
      <c r="A122" s="133" t="s">
        <v>124</v>
      </c>
    </row>
    <row r="123" spans="1:1" x14ac:dyDescent="0.25">
      <c r="A123" s="133" t="s">
        <v>125</v>
      </c>
    </row>
    <row r="124" spans="1:1" x14ac:dyDescent="0.25">
      <c r="A124" s="133" t="s">
        <v>126</v>
      </c>
    </row>
    <row r="125" spans="1:1" x14ac:dyDescent="0.25">
      <c r="A125" s="133" t="s">
        <v>127</v>
      </c>
    </row>
    <row r="126" spans="1:1" x14ac:dyDescent="0.25">
      <c r="A126" s="133" t="s">
        <v>292</v>
      </c>
    </row>
    <row r="127" spans="1:1" x14ac:dyDescent="0.25">
      <c r="A127" s="133" t="s">
        <v>128</v>
      </c>
    </row>
    <row r="128" spans="1:1" x14ac:dyDescent="0.25">
      <c r="A128" s="133" t="s">
        <v>567</v>
      </c>
    </row>
    <row r="129" spans="1:1" x14ac:dyDescent="0.25">
      <c r="A129" s="133" t="s">
        <v>62</v>
      </c>
    </row>
    <row r="130" spans="1:1" x14ac:dyDescent="0.25">
      <c r="A130" s="133" t="s">
        <v>129</v>
      </c>
    </row>
    <row r="131" spans="1:1" x14ac:dyDescent="0.25">
      <c r="A131" s="133" t="s">
        <v>130</v>
      </c>
    </row>
    <row r="132" spans="1:1" x14ac:dyDescent="0.25">
      <c r="A132" s="133" t="s">
        <v>131</v>
      </c>
    </row>
    <row r="133" spans="1:1" x14ac:dyDescent="0.25">
      <c r="A133" s="133" t="s">
        <v>132</v>
      </c>
    </row>
    <row r="134" spans="1:1" x14ac:dyDescent="0.25">
      <c r="A134" s="133" t="s">
        <v>133</v>
      </c>
    </row>
    <row r="135" spans="1:1" x14ac:dyDescent="0.25">
      <c r="A135" s="133" t="s">
        <v>134</v>
      </c>
    </row>
    <row r="136" spans="1:1" x14ac:dyDescent="0.25">
      <c r="A136" s="133" t="s">
        <v>135</v>
      </c>
    </row>
    <row r="137" spans="1:1" x14ac:dyDescent="0.25">
      <c r="A137" s="133" t="s">
        <v>136</v>
      </c>
    </row>
    <row r="138" spans="1:1" x14ac:dyDescent="0.25">
      <c r="A138" s="133" t="s">
        <v>137</v>
      </c>
    </row>
    <row r="139" spans="1:1" x14ac:dyDescent="0.25">
      <c r="A139" s="133" t="s">
        <v>70</v>
      </c>
    </row>
    <row r="140" spans="1:1" x14ac:dyDescent="0.25">
      <c r="A140" s="133" t="s">
        <v>74</v>
      </c>
    </row>
    <row r="141" spans="1:1" x14ac:dyDescent="0.25">
      <c r="A141" s="133" t="s">
        <v>75</v>
      </c>
    </row>
    <row r="142" spans="1:1" x14ac:dyDescent="0.25">
      <c r="A142" s="133" t="s">
        <v>78</v>
      </c>
    </row>
    <row r="143" spans="1:1" x14ac:dyDescent="0.25">
      <c r="A143" s="133" t="s">
        <v>138</v>
      </c>
    </row>
    <row r="144" spans="1:1" x14ac:dyDescent="0.25">
      <c r="A144" s="133" t="s">
        <v>139</v>
      </c>
    </row>
    <row r="145" spans="1:1" x14ac:dyDescent="0.25">
      <c r="A145" s="133" t="s">
        <v>141</v>
      </c>
    </row>
    <row r="146" spans="1:1" x14ac:dyDescent="0.25">
      <c r="A146" s="133" t="s">
        <v>142</v>
      </c>
    </row>
    <row r="147" spans="1:1" x14ac:dyDescent="0.25">
      <c r="A147" s="133" t="s">
        <v>143</v>
      </c>
    </row>
    <row r="148" spans="1:1" x14ac:dyDescent="0.25">
      <c r="A148" s="133" t="s">
        <v>144</v>
      </c>
    </row>
    <row r="149" spans="1:1" x14ac:dyDescent="0.25">
      <c r="A149" s="133" t="s">
        <v>145</v>
      </c>
    </row>
    <row r="150" spans="1:1" x14ac:dyDescent="0.25">
      <c r="A150" s="133" t="s">
        <v>146</v>
      </c>
    </row>
    <row r="151" spans="1:1" x14ac:dyDescent="0.25">
      <c r="A151" s="133" t="s">
        <v>99</v>
      </c>
    </row>
    <row r="152" spans="1:1" x14ac:dyDescent="0.25">
      <c r="A152" s="133" t="s">
        <v>314</v>
      </c>
    </row>
    <row r="153" spans="1:1" x14ac:dyDescent="0.25">
      <c r="A153" s="133" t="s">
        <v>147</v>
      </c>
    </row>
    <row r="154" spans="1:1" x14ac:dyDescent="0.25">
      <c r="A154" s="133" t="s">
        <v>148</v>
      </c>
    </row>
    <row r="155" spans="1:1" x14ac:dyDescent="0.25">
      <c r="A155" s="133" t="s">
        <v>149</v>
      </c>
    </row>
    <row r="156" spans="1:1" x14ac:dyDescent="0.25">
      <c r="A156" s="133" t="s">
        <v>150</v>
      </c>
    </row>
    <row r="157" spans="1:1" x14ac:dyDescent="0.25">
      <c r="A157" s="133" t="s">
        <v>151</v>
      </c>
    </row>
    <row r="158" spans="1:1" x14ac:dyDescent="0.25">
      <c r="A158" s="133" t="s">
        <v>152</v>
      </c>
    </row>
    <row r="159" spans="1:1" x14ac:dyDescent="0.25">
      <c r="A159" s="133" t="s">
        <v>101</v>
      </c>
    </row>
    <row r="160" spans="1:1" x14ac:dyDescent="0.25">
      <c r="A160" s="133" t="s">
        <v>153</v>
      </c>
    </row>
    <row r="161" spans="1:1" x14ac:dyDescent="0.25">
      <c r="A161" s="133" t="s">
        <v>154</v>
      </c>
    </row>
    <row r="162" spans="1:1" x14ac:dyDescent="0.25">
      <c r="A162" s="133" t="s">
        <v>155</v>
      </c>
    </row>
    <row r="163" spans="1:1" x14ac:dyDescent="0.25">
      <c r="A163" s="133" t="s">
        <v>156</v>
      </c>
    </row>
    <row r="164" spans="1:1" x14ac:dyDescent="0.25">
      <c r="A164" s="133" t="s">
        <v>157</v>
      </c>
    </row>
    <row r="165" spans="1:1" ht="15.75" x14ac:dyDescent="0.25">
      <c r="A165" s="135" t="s">
        <v>549</v>
      </c>
    </row>
    <row r="166" spans="1:1" ht="15.75" x14ac:dyDescent="0.25">
      <c r="A166" s="135" t="s">
        <v>550</v>
      </c>
    </row>
    <row r="167" spans="1:1" x14ac:dyDescent="0.25">
      <c r="A167" s="133" t="s">
        <v>158</v>
      </c>
    </row>
    <row r="168" spans="1:1" x14ac:dyDescent="0.25">
      <c r="A168" s="133" t="s">
        <v>171</v>
      </c>
    </row>
    <row r="169" spans="1:1" x14ac:dyDescent="0.25">
      <c r="A169" s="155" t="s">
        <v>159</v>
      </c>
    </row>
    <row r="170" spans="1:1" ht="15.75" x14ac:dyDescent="0.25">
      <c r="A170" s="2"/>
    </row>
    <row r="171" spans="1:1" ht="15.75" x14ac:dyDescent="0.25">
      <c r="A171" s="2"/>
    </row>
    <row r="172" spans="1:1" ht="15.75" x14ac:dyDescent="0.25">
      <c r="A172" s="2"/>
    </row>
    <row r="173" spans="1:1" ht="15.75" x14ac:dyDescent="0.25">
      <c r="A173" s="2"/>
    </row>
    <row r="174" spans="1:1" ht="15.75" x14ac:dyDescent="0.25">
      <c r="A174" s="2"/>
    </row>
    <row r="175" spans="1:1" ht="15.75" x14ac:dyDescent="0.25">
      <c r="A175" s="2"/>
    </row>
    <row r="176" spans="1:1" ht="15.75" x14ac:dyDescent="0.25">
      <c r="A176" s="2"/>
    </row>
    <row r="177" spans="1:1" ht="15.75" x14ac:dyDescent="0.25">
      <c r="A177" s="2"/>
    </row>
    <row r="178" spans="1:1" ht="15.75" x14ac:dyDescent="0.25">
      <c r="A178" s="2"/>
    </row>
    <row r="179" spans="1:1" ht="15.75" x14ac:dyDescent="0.25">
      <c r="A179" s="2"/>
    </row>
    <row r="180" spans="1:1" ht="15.75" x14ac:dyDescent="0.25">
      <c r="A180" s="2"/>
    </row>
    <row r="181" spans="1:1" ht="15.75" x14ac:dyDescent="0.25">
      <c r="A181" s="2"/>
    </row>
    <row r="182" spans="1:1" ht="15.75" x14ac:dyDescent="0.25">
      <c r="A182" s="2"/>
    </row>
    <row r="183" spans="1:1" ht="15.75" x14ac:dyDescent="0.25">
      <c r="A183" s="2"/>
    </row>
    <row r="184" spans="1:1" ht="15.75" x14ac:dyDescent="0.25">
      <c r="A184" s="2"/>
    </row>
    <row r="185" spans="1:1" ht="15.75" x14ac:dyDescent="0.25">
      <c r="A185" s="2"/>
    </row>
    <row r="186" spans="1:1" ht="15.75" x14ac:dyDescent="0.25">
      <c r="A186" s="2"/>
    </row>
    <row r="187" spans="1:1" ht="15.75" x14ac:dyDescent="0.25">
      <c r="A187" s="2"/>
    </row>
    <row r="188" spans="1:1" ht="15.75" x14ac:dyDescent="0.25">
      <c r="A188" s="2"/>
    </row>
    <row r="189" spans="1:1" ht="15.75" x14ac:dyDescent="0.25">
      <c r="A189" s="2"/>
    </row>
    <row r="190" spans="1:1" ht="15.75" x14ac:dyDescent="0.25">
      <c r="A190" s="2"/>
    </row>
    <row r="191" spans="1:1" ht="15.75" x14ac:dyDescent="0.25">
      <c r="A191" s="2"/>
    </row>
    <row r="192" spans="1:1" ht="15.75" x14ac:dyDescent="0.25">
      <c r="A192" s="2"/>
    </row>
    <row r="193" spans="1:1" ht="15.75" x14ac:dyDescent="0.25">
      <c r="A193" s="32"/>
    </row>
    <row r="194" spans="1:1" ht="15.75" x14ac:dyDescent="0.25">
      <c r="A194" s="32"/>
    </row>
    <row r="195" spans="1:1" ht="15.75" x14ac:dyDescent="0.25">
      <c r="A195" s="2"/>
    </row>
    <row r="196" spans="1:1" ht="15.75" x14ac:dyDescent="0.25">
      <c r="A196" s="2"/>
    </row>
    <row r="197" spans="1:1" ht="15.75" x14ac:dyDescent="0.25">
      <c r="A197" s="2"/>
    </row>
  </sheetData>
  <sortState xmlns:xlrd2="http://schemas.microsoft.com/office/spreadsheetml/2017/richdata2" ref="G2:G12942">
    <sortCondition ref="G1:G12942"/>
  </sortState>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2D106-B0DB-4CB5-AA65-3281DA41C940}">
  <sheetPr codeName="Sheet8"/>
  <dimension ref="A2:H12"/>
  <sheetViews>
    <sheetView workbookViewId="0">
      <selection activeCell="B19" sqref="B19"/>
    </sheetView>
  </sheetViews>
  <sheetFormatPr defaultRowHeight="15" x14ac:dyDescent="0.25"/>
  <cols>
    <col min="2" max="2" width="45.42578125" bestFit="1" customWidth="1"/>
    <col min="3" max="3" width="7.42578125" customWidth="1"/>
    <col min="4" max="4" width="11.28515625" bestFit="1" customWidth="1"/>
    <col min="7" max="7" width="10.5703125" bestFit="1" customWidth="1"/>
    <col min="9" max="10" width="9.140625" customWidth="1"/>
  </cols>
  <sheetData>
    <row r="2" spans="1:8" ht="30.75" thickBot="1" x14ac:dyDescent="0.3">
      <c r="A2" t="s">
        <v>165</v>
      </c>
      <c r="B2" s="4" t="s">
        <v>170</v>
      </c>
      <c r="C2" s="4"/>
    </row>
    <row r="3" spans="1:8" x14ac:dyDescent="0.25">
      <c r="D3" s="185"/>
      <c r="E3" s="186" t="s">
        <v>166</v>
      </c>
      <c r="F3" s="186" t="s">
        <v>167</v>
      </c>
      <c r="G3" s="186" t="s">
        <v>168</v>
      </c>
      <c r="H3" s="187"/>
    </row>
    <row r="4" spans="1:8" x14ac:dyDescent="0.25">
      <c r="A4" t="s">
        <v>446</v>
      </c>
      <c r="B4" t="s">
        <v>447</v>
      </c>
      <c r="D4" s="188" t="s">
        <v>173</v>
      </c>
      <c r="E4" s="184"/>
      <c r="F4" s="184"/>
      <c r="G4" s="184"/>
      <c r="H4" s="189"/>
    </row>
    <row r="5" spans="1:8" hidden="1" x14ac:dyDescent="0.25">
      <c r="D5" s="190"/>
      <c r="E5" s="9">
        <f>E4</f>
        <v>0</v>
      </c>
      <c r="F5" s="9">
        <f>F4/4</f>
        <v>0</v>
      </c>
      <c r="G5" s="9">
        <f>G4/112</f>
        <v>0</v>
      </c>
      <c r="H5" s="189"/>
    </row>
    <row r="6" spans="1:8" x14ac:dyDescent="0.25">
      <c r="D6" s="191" t="s">
        <v>166</v>
      </c>
      <c r="E6" s="10">
        <f>SUM($E5:$G5)</f>
        <v>0</v>
      </c>
      <c r="F6" s="7"/>
      <c r="G6" s="8"/>
      <c r="H6" s="189"/>
    </row>
    <row r="7" spans="1:8" hidden="1" x14ac:dyDescent="0.25">
      <c r="D7" s="190"/>
      <c r="E7" s="9">
        <f>E4*112</f>
        <v>0</v>
      </c>
      <c r="F7" s="9">
        <f>F4*(112/4)</f>
        <v>0</v>
      </c>
      <c r="G7" s="9">
        <f>G4</f>
        <v>0</v>
      </c>
      <c r="H7" s="189"/>
    </row>
    <row r="8" spans="1:8" x14ac:dyDescent="0.25">
      <c r="D8" s="191"/>
      <c r="E8" s="8"/>
      <c r="F8" s="8"/>
      <c r="G8" s="11">
        <f>SUM(E7:G7)</f>
        <v>0</v>
      </c>
      <c r="H8" s="192" t="s">
        <v>168</v>
      </c>
    </row>
    <row r="9" spans="1:8" x14ac:dyDescent="0.25">
      <c r="D9" s="190"/>
      <c r="E9" s="8"/>
      <c r="F9" s="8"/>
      <c r="G9" s="8"/>
      <c r="H9" s="189"/>
    </row>
    <row r="10" spans="1:8" x14ac:dyDescent="0.25">
      <c r="D10" s="190"/>
      <c r="E10" s="8"/>
      <c r="F10" s="8"/>
      <c r="G10" s="8"/>
      <c r="H10" s="189"/>
    </row>
    <row r="11" spans="1:8" x14ac:dyDescent="0.25">
      <c r="D11" s="188" t="s">
        <v>173</v>
      </c>
      <c r="E11" s="8"/>
      <c r="F11" s="8"/>
      <c r="G11" s="184"/>
      <c r="H11" s="189" t="s">
        <v>168</v>
      </c>
    </row>
    <row r="12" spans="1:8" ht="15.75" thickBot="1" x14ac:dyDescent="0.3">
      <c r="D12" s="195" t="s">
        <v>601</v>
      </c>
      <c r="E12" s="193">
        <f>IF(G11&gt;=112,QUOTIENT(G11,112),0)</f>
        <v>0</v>
      </c>
      <c r="F12" s="193">
        <f>IF(G11&gt;=28,QUOTIENT(MOD(G11,112),28),0)</f>
        <v>0</v>
      </c>
      <c r="G12" s="193">
        <f>IF(G11&gt;=28,MOD(G11,28),G11)</f>
        <v>0</v>
      </c>
      <c r="H12" s="194"/>
    </row>
  </sheetData>
  <pageMargins left="0.7" right="0.7" top="0.75" bottom="0.75" header="0.3" footer="0.3"/>
  <pageSetup paperSize="9" orientation="portrait" r:id="rId1"/>
  <ignoredErrors>
    <ignoredError sqref="G7" formula="1"/>
  </ignoredError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F4A87-6444-4298-9478-8F6D61A739A8}">
  <dimension ref="B1:CV27"/>
  <sheetViews>
    <sheetView workbookViewId="0">
      <pane xSplit="4" topLeftCell="E1" activePane="topRight" state="frozen"/>
      <selection activeCell="B19" sqref="B19"/>
      <selection pane="topRight" activeCell="E3" sqref="E3"/>
    </sheetView>
  </sheetViews>
  <sheetFormatPr defaultRowHeight="15" x14ac:dyDescent="0.25"/>
  <cols>
    <col min="1" max="1" width="2.140625" customWidth="1"/>
    <col min="2" max="2" width="6.7109375" bestFit="1" customWidth="1"/>
    <col min="3" max="3" width="35.7109375" bestFit="1" customWidth="1"/>
    <col min="4" max="4" width="2.85546875" customWidth="1"/>
    <col min="5" max="5" width="8.5703125" bestFit="1" customWidth="1"/>
    <col min="6" max="31" width="8.5703125" hidden="1" customWidth="1"/>
    <col min="32" max="32" width="8.5703125" bestFit="1" customWidth="1"/>
    <col min="33" max="34" width="10.5703125" bestFit="1" customWidth="1"/>
    <col min="35" max="35" width="8.5703125" bestFit="1" customWidth="1"/>
    <col min="36" max="61" width="11.5703125" bestFit="1" customWidth="1"/>
    <col min="62" max="62" width="8.5703125" bestFit="1" customWidth="1"/>
    <col min="63" max="64" width="11.5703125" bestFit="1" customWidth="1"/>
    <col min="65" max="74" width="8.5703125" bestFit="1" customWidth="1"/>
    <col min="76" max="77" width="9.140625" customWidth="1"/>
    <col min="78" max="78" width="12.5703125" customWidth="1"/>
    <col min="79" max="81" width="9.140625" customWidth="1"/>
    <col min="82" max="99" width="9.140625" hidden="1" customWidth="1"/>
    <col min="100" max="100" width="11.140625" customWidth="1"/>
  </cols>
  <sheetData>
    <row r="1" spans="2:100" ht="7.5" customHeight="1" x14ac:dyDescent="0.25"/>
    <row r="2" spans="2:100" x14ac:dyDescent="0.25">
      <c r="B2" s="175" t="s">
        <v>347</v>
      </c>
      <c r="C2" s="175" t="s">
        <v>600</v>
      </c>
      <c r="D2" s="175"/>
      <c r="E2" s="175"/>
      <c r="F2" s="175"/>
      <c r="G2" s="175"/>
      <c r="H2" s="175"/>
      <c r="I2" s="175"/>
      <c r="J2" s="175"/>
      <c r="K2" s="175"/>
      <c r="L2" s="175"/>
      <c r="M2" s="175"/>
      <c r="N2" s="175"/>
      <c r="O2" s="175"/>
      <c r="P2" s="175"/>
      <c r="Q2" s="175"/>
      <c r="R2" s="175"/>
      <c r="S2" s="175"/>
      <c r="T2" s="175"/>
      <c r="U2" s="175"/>
      <c r="V2" s="175"/>
      <c r="W2" s="175"/>
      <c r="X2" s="175"/>
      <c r="Y2" s="175"/>
      <c r="Z2" s="175"/>
      <c r="AA2" s="175"/>
      <c r="AB2" s="175"/>
      <c r="AC2" s="175"/>
      <c r="AD2" s="175"/>
      <c r="AE2" s="175"/>
      <c r="AF2" s="175"/>
    </row>
    <row r="3" spans="2:100" ht="24" customHeight="1" x14ac:dyDescent="0.25">
      <c r="B3" s="174" t="s">
        <v>26</v>
      </c>
      <c r="C3" s="174" t="s">
        <v>62</v>
      </c>
      <c r="D3" s="182"/>
      <c r="E3" s="182"/>
      <c r="F3" s="182"/>
      <c r="G3" s="182"/>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row>
    <row r="4" spans="2:100" ht="15.75" thickBot="1" x14ac:dyDescent="0.3"/>
    <row r="5" spans="2:100" ht="21" customHeight="1" thickBot="1" x14ac:dyDescent="0.3">
      <c r="E5" s="183" t="s">
        <v>604</v>
      </c>
      <c r="F5" s="183" t="s">
        <v>605</v>
      </c>
      <c r="G5" s="183" t="s">
        <v>606</v>
      </c>
      <c r="H5" s="183" t="s">
        <v>607</v>
      </c>
      <c r="I5" s="183" t="s">
        <v>608</v>
      </c>
      <c r="J5" s="183" t="s">
        <v>609</v>
      </c>
      <c r="K5" s="183" t="s">
        <v>610</v>
      </c>
      <c r="L5" s="183" t="s">
        <v>611</v>
      </c>
      <c r="M5" s="183" t="s">
        <v>612</v>
      </c>
      <c r="N5" s="183" t="s">
        <v>613</v>
      </c>
      <c r="O5" s="183" t="s">
        <v>614</v>
      </c>
      <c r="P5" s="183" t="s">
        <v>615</v>
      </c>
      <c r="Q5" s="183" t="s">
        <v>616</v>
      </c>
      <c r="R5" s="183" t="s">
        <v>617</v>
      </c>
      <c r="S5" s="183" t="s">
        <v>618</v>
      </c>
      <c r="T5" s="183" t="s">
        <v>619</v>
      </c>
      <c r="U5" s="183" t="s">
        <v>620</v>
      </c>
      <c r="V5" s="183" t="s">
        <v>621</v>
      </c>
      <c r="W5" s="183" t="s">
        <v>622</v>
      </c>
      <c r="X5" s="183" t="s">
        <v>623</v>
      </c>
      <c r="Y5" s="183" t="s">
        <v>624</v>
      </c>
      <c r="Z5" s="183" t="s">
        <v>625</v>
      </c>
      <c r="AA5" s="183" t="s">
        <v>626</v>
      </c>
      <c r="AB5" s="183" t="s">
        <v>627</v>
      </c>
      <c r="AC5" s="183" t="s">
        <v>628</v>
      </c>
      <c r="AD5" s="183" t="s">
        <v>629</v>
      </c>
      <c r="AE5" s="183" t="s">
        <v>630</v>
      </c>
      <c r="AF5" s="183" t="s">
        <v>631</v>
      </c>
      <c r="AG5" s="183" t="s">
        <v>547</v>
      </c>
      <c r="AH5" s="183" t="s">
        <v>546</v>
      </c>
      <c r="AI5" s="183" t="s">
        <v>548</v>
      </c>
      <c r="AJ5" s="183" t="s">
        <v>545</v>
      </c>
      <c r="AK5" s="183" t="s">
        <v>507</v>
      </c>
      <c r="AL5" s="183" t="s">
        <v>508</v>
      </c>
      <c r="AM5" s="183" t="s">
        <v>509</v>
      </c>
      <c r="AN5" s="183" t="s">
        <v>510</v>
      </c>
      <c r="AO5" s="183" t="s">
        <v>512</v>
      </c>
      <c r="AP5" s="183" t="s">
        <v>511</v>
      </c>
      <c r="AQ5" s="183" t="s">
        <v>513</v>
      </c>
      <c r="AR5" s="183" t="s">
        <v>514</v>
      </c>
      <c r="AS5" s="183" t="s">
        <v>515</v>
      </c>
      <c r="AT5" s="183" t="s">
        <v>516</v>
      </c>
      <c r="AU5" s="183" t="s">
        <v>517</v>
      </c>
      <c r="AV5" s="183" t="s">
        <v>518</v>
      </c>
      <c r="AW5" s="183" t="s">
        <v>519</v>
      </c>
      <c r="AX5" s="183" t="s">
        <v>520</v>
      </c>
      <c r="AY5" s="183" t="s">
        <v>521</v>
      </c>
      <c r="AZ5" s="183" t="s">
        <v>522</v>
      </c>
      <c r="BA5" s="183" t="s">
        <v>523</v>
      </c>
      <c r="BB5" s="183" t="s">
        <v>524</v>
      </c>
      <c r="BC5" s="183" t="s">
        <v>525</v>
      </c>
      <c r="BD5" s="183" t="s">
        <v>526</v>
      </c>
      <c r="BE5" s="183" t="s">
        <v>527</v>
      </c>
      <c r="BF5" s="183" t="s">
        <v>528</v>
      </c>
      <c r="BG5" s="183" t="s">
        <v>529</v>
      </c>
      <c r="BH5" s="183" t="s">
        <v>530</v>
      </c>
      <c r="BI5" s="183" t="s">
        <v>531</v>
      </c>
      <c r="BJ5" s="183" t="s">
        <v>533</v>
      </c>
      <c r="BK5" s="183" t="s">
        <v>532</v>
      </c>
      <c r="BL5" s="183" t="s">
        <v>534</v>
      </c>
      <c r="BM5" s="183" t="s">
        <v>535</v>
      </c>
      <c r="BN5" s="183" t="s">
        <v>536</v>
      </c>
      <c r="BO5" s="183" t="s">
        <v>537</v>
      </c>
      <c r="BP5" s="183" t="s">
        <v>538</v>
      </c>
      <c r="BQ5" s="183" t="s">
        <v>539</v>
      </c>
      <c r="BR5" s="183" t="s">
        <v>540</v>
      </c>
      <c r="BS5" s="183" t="s">
        <v>541</v>
      </c>
      <c r="BT5" s="183" t="s">
        <v>542</v>
      </c>
      <c r="BU5" s="183" t="s">
        <v>543</v>
      </c>
      <c r="BV5" s="183" t="s">
        <v>544</v>
      </c>
      <c r="BW5" s="183" t="s">
        <v>632</v>
      </c>
      <c r="BX5" s="183" t="s">
        <v>633</v>
      </c>
      <c r="BY5" s="183" t="s">
        <v>634</v>
      </c>
      <c r="BZ5" s="183" t="s">
        <v>635</v>
      </c>
      <c r="CA5" s="183" t="s">
        <v>636</v>
      </c>
      <c r="CB5" s="183" t="s">
        <v>637</v>
      </c>
      <c r="CC5" s="183" t="s">
        <v>638</v>
      </c>
      <c r="CD5" s="183" t="s">
        <v>639</v>
      </c>
      <c r="CE5" s="183" t="s">
        <v>640</v>
      </c>
      <c r="CF5" s="183" t="s">
        <v>641</v>
      </c>
      <c r="CG5" s="183" t="s">
        <v>642</v>
      </c>
      <c r="CH5" s="183" t="s">
        <v>643</v>
      </c>
      <c r="CI5" s="183" t="s">
        <v>644</v>
      </c>
      <c r="CJ5" s="183" t="s">
        <v>645</v>
      </c>
      <c r="CK5" s="183" t="s">
        <v>646</v>
      </c>
      <c r="CL5" s="183" t="s">
        <v>647</v>
      </c>
      <c r="CM5" s="183" t="s">
        <v>648</v>
      </c>
      <c r="CN5" s="183" t="s">
        <v>649</v>
      </c>
      <c r="CO5" s="183" t="s">
        <v>650</v>
      </c>
      <c r="CP5" s="183" t="s">
        <v>651</v>
      </c>
      <c r="CQ5" s="183" t="s">
        <v>652</v>
      </c>
      <c r="CR5" s="183" t="s">
        <v>653</v>
      </c>
      <c r="CS5" s="183" t="s">
        <v>654</v>
      </c>
      <c r="CT5" s="183" t="s">
        <v>655</v>
      </c>
      <c r="CU5" s="183" t="s">
        <v>656</v>
      </c>
      <c r="CV5" s="183" t="s">
        <v>657</v>
      </c>
    </row>
    <row r="6" spans="2:100" x14ac:dyDescent="0.25">
      <c r="C6" s="220" t="s">
        <v>0</v>
      </c>
      <c r="D6" s="221"/>
      <c r="E6" s="225">
        <f>SUMIFS(Database!$G:$G,Database!$E:$E,Lookup!$C$3,Database!$C:$C,Lookup!E$5,Database!$F:$F,Lookup!$C6,Database!$D:$D,Lookup!$B$3)</f>
        <v>0</v>
      </c>
      <c r="F6" s="226">
        <f>SUMIFS(Database!$G:$G,Database!$E:$E,Lookup!$C$3,Database!$C:$C,Lookup!F$5,Database!$F:$F,Lookup!$C6,Database!$D:$D,Lookup!$B$3)</f>
        <v>0</v>
      </c>
      <c r="G6" s="226">
        <f>SUMIFS(Database!$G:$G,Database!$E:$E,Lookup!$C$3,Database!$C:$C,Lookup!G$5,Database!$F:$F,Lookup!$C6,Database!$D:$D,Lookup!$B$3)</f>
        <v>0</v>
      </c>
      <c r="H6" s="226">
        <f>SUMIFS(Database!$G:$G,Database!$E:$E,Lookup!$C$3,Database!$C:$C,Lookup!H$5,Database!$F:$F,Lookup!$C6,Database!$D:$D,Lookup!$B$3)</f>
        <v>0</v>
      </c>
      <c r="I6" s="226">
        <f>SUMIFS(Database!$G:$G,Database!$E:$E,Lookup!$C$3,Database!$C:$C,Lookup!I$5,Database!$F:$F,Lookup!$C6,Database!$D:$D,Lookup!$B$3)</f>
        <v>0</v>
      </c>
      <c r="J6" s="226">
        <f>SUMIFS(Database!$G:$G,Database!$E:$E,Lookup!$C$3,Database!$C:$C,Lookup!J$5,Database!$F:$F,Lookup!$C6,Database!$D:$D,Lookup!$B$3)</f>
        <v>0</v>
      </c>
      <c r="K6" s="226">
        <f>SUMIFS(Database!$G:$G,Database!$E:$E,Lookup!$C$3,Database!$C:$C,Lookup!K$5,Database!$F:$F,Lookup!$C6,Database!$D:$D,Lookup!$B$3)</f>
        <v>0</v>
      </c>
      <c r="L6" s="226">
        <f>SUMIFS(Database!$G:$G,Database!$E:$E,Lookup!$C$3,Database!$C:$C,Lookup!L$5,Database!$F:$F,Lookup!$C6,Database!$D:$D,Lookup!$B$3)</f>
        <v>0</v>
      </c>
      <c r="M6" s="226">
        <f>SUMIFS(Database!$G:$G,Database!$E:$E,Lookup!$C$3,Database!$C:$C,Lookup!M$5,Database!$F:$F,Lookup!$C6,Database!$D:$D,Lookup!$B$3)</f>
        <v>0</v>
      </c>
      <c r="N6" s="226">
        <f>SUMIFS(Database!$G:$G,Database!$E:$E,Lookup!$C$3,Database!$C:$C,Lookup!N$5,Database!$F:$F,Lookup!$C6,Database!$D:$D,Lookup!$B$3)</f>
        <v>0</v>
      </c>
      <c r="O6" s="226">
        <f>SUMIFS(Database!$G:$G,Database!$E:$E,Lookup!$C$3,Database!$C:$C,Lookup!O$5,Database!$F:$F,Lookup!$C6,Database!$D:$D,Lookup!$B$3)</f>
        <v>0</v>
      </c>
      <c r="P6" s="226">
        <f>SUMIFS(Database!$G:$G,Database!$E:$E,Lookup!$C$3,Database!$C:$C,Lookup!P$5,Database!$F:$F,Lookup!$C6,Database!$D:$D,Lookup!$B$3)</f>
        <v>0</v>
      </c>
      <c r="Q6" s="226">
        <f>SUMIFS(Database!$G:$G,Database!$E:$E,Lookup!$C$3,Database!$C:$C,Lookup!Q$5,Database!$F:$F,Lookup!$C6,Database!$D:$D,Lookup!$B$3)</f>
        <v>0</v>
      </c>
      <c r="R6" s="226">
        <f>SUMIFS(Database!$G:$G,Database!$E:$E,Lookup!$C$3,Database!$C:$C,Lookup!R$5,Database!$F:$F,Lookup!$C6,Database!$D:$D,Lookup!$B$3)</f>
        <v>0</v>
      </c>
      <c r="S6" s="226">
        <f>SUMIFS(Database!$G:$G,Database!$E:$E,Lookup!$C$3,Database!$C:$C,Lookup!S$5,Database!$F:$F,Lookup!$C6,Database!$D:$D,Lookup!$B$3)</f>
        <v>0</v>
      </c>
      <c r="T6" s="226">
        <f>SUMIFS(Database!$G:$G,Database!$E:$E,Lookup!$C$3,Database!$C:$C,Lookup!T$5,Database!$F:$F,Lookup!$C6,Database!$D:$D,Lookup!$B$3)</f>
        <v>0</v>
      </c>
      <c r="U6" s="226">
        <f>SUMIFS(Database!$G:$G,Database!$E:$E,Lookup!$C$3,Database!$C:$C,Lookup!U$5,Database!$F:$F,Lookup!$C6,Database!$D:$D,Lookup!$B$3)</f>
        <v>0</v>
      </c>
      <c r="V6" s="226">
        <f>SUMIFS(Database!$G:$G,Database!$E:$E,Lookup!$C$3,Database!$C:$C,Lookup!V$5,Database!$F:$F,Lookup!$C6,Database!$D:$D,Lookup!$B$3)</f>
        <v>0</v>
      </c>
      <c r="W6" s="226">
        <f>SUMIFS(Database!$G:$G,Database!$E:$E,Lookup!$C$3,Database!$C:$C,Lookup!W$5,Database!$F:$F,Lookup!$C6,Database!$D:$D,Lookup!$B$3)</f>
        <v>0</v>
      </c>
      <c r="X6" s="226">
        <f>SUMIFS(Database!$G:$G,Database!$E:$E,Lookup!$C$3,Database!$C:$C,Lookup!X$5,Database!$F:$F,Lookup!$C6,Database!$D:$D,Lookup!$B$3)</f>
        <v>0</v>
      </c>
      <c r="Y6" s="226">
        <f>SUMIFS(Database!$G:$G,Database!$E:$E,Lookup!$C$3,Database!$C:$C,Lookup!Y$5,Database!$F:$F,Lookup!$C6,Database!$D:$D,Lookup!$B$3)</f>
        <v>0</v>
      </c>
      <c r="Z6" s="226">
        <f>SUMIFS(Database!$G:$G,Database!$E:$E,Lookup!$C$3,Database!$C:$C,Lookup!Z$5,Database!$F:$F,Lookup!$C6,Database!$D:$D,Lookup!$B$3)</f>
        <v>0</v>
      </c>
      <c r="AA6" s="226">
        <f>SUMIFS(Database!$G:$G,Database!$E:$E,Lookup!$C$3,Database!$C:$C,Lookup!AA$5,Database!$F:$F,Lookup!$C6,Database!$D:$D,Lookup!$B$3)</f>
        <v>0</v>
      </c>
      <c r="AB6" s="226">
        <f>SUMIFS(Database!$G:$G,Database!$E:$E,Lookup!$C$3,Database!$C:$C,Lookup!AB$5,Database!$F:$F,Lookup!$C6,Database!$D:$D,Lookup!$B$3)</f>
        <v>0</v>
      </c>
      <c r="AC6" s="226">
        <f>SUMIFS(Database!$G:$G,Database!$E:$E,Lookup!$C$3,Database!$C:$C,Lookup!AC$5,Database!$F:$F,Lookup!$C6,Database!$D:$D,Lookup!$B$3)</f>
        <v>0</v>
      </c>
      <c r="AD6" s="226">
        <f>SUMIFS(Database!$G:$G,Database!$E:$E,Lookup!$C$3,Database!$C:$C,Lookup!AD$5,Database!$F:$F,Lookup!$C6,Database!$D:$D,Lookup!$B$3)</f>
        <v>0</v>
      </c>
      <c r="AE6" s="226">
        <f>SUMIFS(Database!$G:$G,Database!$E:$E,Lookup!$C$3,Database!$C:$C,Lookup!AE$5,Database!$F:$F,Lookup!$C6,Database!$D:$D,Lookup!$B$3)</f>
        <v>0</v>
      </c>
      <c r="AF6" s="226">
        <f>SUMIFS(Database!$G:$G,Database!$E:$E,Lookup!$C$3,Database!$C:$C,Lookup!AF$5,Database!$F:$F,Lookup!$C6,Database!$D:$D,Lookup!$B$3)</f>
        <v>0</v>
      </c>
      <c r="AG6" s="226">
        <f>SUMIFS(Database!$G:$G,Database!$E:$E,Lookup!$C$3,Database!$C:$C,Lookup!AG$5,Database!$F:$F,Lookup!$C6,Database!$D:$D,Lookup!$B$3)</f>
        <v>0</v>
      </c>
      <c r="AH6" s="226">
        <f>SUMIFS(Database!$G:$G,Database!$E:$E,Lookup!$C$3,Database!$C:$C,Lookup!AH$5,Database!$F:$F,Lookup!$C6,Database!$D:$D,Lookup!$B$3)</f>
        <v>0</v>
      </c>
      <c r="AI6" s="226">
        <f>SUMIFS(Database!$G:$G,Database!$E:$E,Lookup!$C$3,Database!$C:$C,Lookup!AI$5,Database!$F:$F,Lookup!$C6,Database!$D:$D,Lookup!$B$3)</f>
        <v>0</v>
      </c>
      <c r="AJ6" s="226">
        <f>SUMIFS(Database!$G:$G,Database!$E:$E,Lookup!$C$3,Database!$C:$C,Lookup!AJ$5,Database!$F:$F,Lookup!$C6,Database!$D:$D,Lookup!$B$3)</f>
        <v>0</v>
      </c>
      <c r="AK6" s="226">
        <f>SUMIFS(Database!$G:$G,Database!$E:$E,Lookup!$C$3,Database!$C:$C,Lookup!AK$5,Database!$F:$F,Lookup!$C6,Database!$D:$D,Lookup!$B$3)</f>
        <v>0</v>
      </c>
      <c r="AL6" s="226">
        <f>SUMIFS(Database!$G:$G,Database!$E:$E,Lookup!$C$3,Database!$C:$C,Lookup!AL$5,Database!$F:$F,Lookup!$C6,Database!$D:$D,Lookup!$B$3)</f>
        <v>0</v>
      </c>
      <c r="AM6" s="226">
        <f>SUMIFS(Database!$G:$G,Database!$E:$E,Lookup!$C$3,Database!$C:$C,Lookup!AM$5,Database!$F:$F,Lookup!$C6,Database!$D:$D,Lookup!$B$3)</f>
        <v>0</v>
      </c>
      <c r="AN6" s="226">
        <f>SUMIFS(Database!$G:$G,Database!$E:$E,Lookup!$C$3,Database!$C:$C,Lookup!AN$5,Database!$F:$F,Lookup!$C6,Database!$D:$D,Lookup!$B$3)</f>
        <v>0</v>
      </c>
      <c r="AO6" s="226">
        <f>SUMIFS(Database!$G:$G,Database!$E:$E,Lookup!$C$3,Database!$C:$C,Lookup!AO$5,Database!$F:$F,Lookup!$C6,Database!$D:$D,Lookup!$B$3)</f>
        <v>0</v>
      </c>
      <c r="AP6" s="226">
        <f>SUMIFS(Database!$G:$G,Database!$E:$E,Lookup!$C$3,Database!$C:$C,Lookup!AP$5,Database!$F:$F,Lookup!$C6,Database!$D:$D,Lookup!$B$3)</f>
        <v>0</v>
      </c>
      <c r="AQ6" s="226">
        <f>SUMIFS(Database!$G:$G,Database!$E:$E,Lookup!$C$3,Database!$C:$C,Lookup!AQ$5,Database!$F:$F,Lookup!$C6,Database!$D:$D,Lookup!$B$3)</f>
        <v>0</v>
      </c>
      <c r="AR6" s="226">
        <f>SUMIFS(Database!$G:$G,Database!$E:$E,Lookup!$C$3,Database!$C:$C,Lookup!AR$5,Database!$F:$F,Lookup!$C6,Database!$D:$D,Lookup!$B$3)</f>
        <v>0</v>
      </c>
      <c r="AS6" s="226">
        <f>SUMIFS(Database!$G:$G,Database!$E:$E,Lookup!$C$3,Database!$C:$C,Lookup!AS$5,Database!$F:$F,Lookup!$C6,Database!$D:$D,Lookup!$B$3)</f>
        <v>0</v>
      </c>
      <c r="AT6" s="226">
        <f>SUMIFS(Database!$G:$G,Database!$E:$E,Lookup!$C$3,Database!$C:$C,Lookup!AT$5,Database!$F:$F,Lookup!$C6,Database!$D:$D,Lookup!$B$3)</f>
        <v>0</v>
      </c>
      <c r="AU6" s="226">
        <f>SUMIFS(Database!$G:$G,Database!$E:$E,Lookup!$C$3,Database!$C:$C,Lookup!AU$5,Database!$F:$F,Lookup!$C6,Database!$D:$D,Lookup!$B$3)</f>
        <v>0</v>
      </c>
      <c r="AV6" s="226">
        <f>SUMIFS(Database!$G:$G,Database!$E:$E,Lookup!$C$3,Database!$C:$C,Lookup!AV$5,Database!$F:$F,Lookup!$C6,Database!$D:$D,Lookup!$B$3)</f>
        <v>0</v>
      </c>
      <c r="AW6" s="226">
        <f>SUMIFS(Database!$G:$G,Database!$E:$E,Lookup!$C$3,Database!$C:$C,Lookup!AW$5,Database!$F:$F,Lookup!$C6,Database!$D:$D,Lookup!$B$3)</f>
        <v>0</v>
      </c>
      <c r="AX6" s="226">
        <f>SUMIFS(Database!$G:$G,Database!$E:$E,Lookup!$C$3,Database!$C:$C,Lookup!AX$5,Database!$F:$F,Lookup!$C6,Database!$D:$D,Lookup!$B$3)</f>
        <v>0</v>
      </c>
      <c r="AY6" s="226">
        <f>SUMIFS(Database!$G:$G,Database!$E:$E,Lookup!$C$3,Database!$C:$C,Lookup!AY$5,Database!$F:$F,Lookup!$C6,Database!$D:$D,Lookup!$B$3)</f>
        <v>0</v>
      </c>
      <c r="AZ6" s="226">
        <f>SUMIFS(Database!$G:$G,Database!$E:$E,Lookup!$C$3,Database!$C:$C,Lookup!AZ$5,Database!$F:$F,Lookup!$C6,Database!$D:$D,Lookup!$B$3)</f>
        <v>0</v>
      </c>
      <c r="BA6" s="226">
        <f>SUMIFS(Database!$G:$G,Database!$E:$E,Lookup!$C$3,Database!$C:$C,Lookup!BA$5,Database!$F:$F,Lookup!$C6,Database!$D:$D,Lookup!$B$3)</f>
        <v>0</v>
      </c>
      <c r="BB6" s="226">
        <f>SUMIFS(Database!$G:$G,Database!$E:$E,Lookup!$C$3,Database!$C:$C,Lookup!BB$5,Database!$F:$F,Lookup!$C6,Database!$D:$D,Lookup!$B$3)</f>
        <v>0</v>
      </c>
      <c r="BC6" s="226">
        <f>SUMIFS(Database!$G:$G,Database!$E:$E,Lookup!$C$3,Database!$C:$C,Lookup!BC$5,Database!$F:$F,Lookup!$C6,Database!$D:$D,Lookup!$B$3)</f>
        <v>0</v>
      </c>
      <c r="BD6" s="226">
        <f>SUMIFS(Database!$G:$G,Database!$E:$E,Lookup!$C$3,Database!$C:$C,Lookup!BD$5,Database!$F:$F,Lookup!$C6,Database!$D:$D,Lookup!$B$3)</f>
        <v>0</v>
      </c>
      <c r="BE6" s="226">
        <f>SUMIFS(Database!$G:$G,Database!$E:$E,Lookup!$C$3,Database!$C:$C,Lookup!BE$5,Database!$F:$F,Lookup!$C6,Database!$D:$D,Lookup!$B$3)</f>
        <v>0</v>
      </c>
      <c r="BF6" s="226">
        <f>SUMIFS(Database!$G:$G,Database!$E:$E,Lookup!$C$3,Database!$C:$C,Lookup!BF$5,Database!$F:$F,Lookup!$C6,Database!$D:$D,Lookup!$B$3)</f>
        <v>0</v>
      </c>
      <c r="BG6" s="226">
        <f>SUMIFS(Database!$G:$G,Database!$E:$E,Lookup!$C$3,Database!$C:$C,Lookup!BG$5,Database!$F:$F,Lookup!$C6,Database!$D:$D,Lookup!$B$3)</f>
        <v>0</v>
      </c>
      <c r="BH6" s="226">
        <f>SUMIFS(Database!$G:$G,Database!$E:$E,Lookup!$C$3,Database!$C:$C,Lookup!BH$5,Database!$F:$F,Lookup!$C6,Database!$D:$D,Lookup!$B$3)</f>
        <v>0</v>
      </c>
      <c r="BI6" s="226">
        <f>SUMIFS(Database!$G:$G,Database!$E:$E,Lookup!$C$3,Database!$C:$C,Lookup!BI$5,Database!$F:$F,Lookup!$C6,Database!$D:$D,Lookup!$B$3)</f>
        <v>0</v>
      </c>
      <c r="BJ6" s="226">
        <f>SUMIFS(Database!$G:$G,Database!$E:$E,Lookup!$C$3,Database!$C:$C,Lookup!BJ$5,Database!$F:$F,Lookup!$C6,Database!$D:$D,Lookup!$B$3)</f>
        <v>0</v>
      </c>
      <c r="BK6" s="226">
        <f>SUMIFS(Database!$G:$G,Database!$E:$E,Lookup!$C$3,Database!$C:$C,Lookup!BK$5,Database!$F:$F,Lookup!$C6,Database!$D:$D,Lookup!$B$3)</f>
        <v>0</v>
      </c>
      <c r="BL6" s="226">
        <f>SUMIFS(Database!$G:$G,Database!$E:$E,Lookup!$C$3,Database!$C:$C,Lookup!BL$5,Database!$F:$F,Lookup!$C6,Database!$D:$D,Lookup!$B$3)</f>
        <v>0</v>
      </c>
      <c r="BM6" s="226">
        <f>SUMIFS(Database!$G:$G,Database!$E:$E,Lookup!$C$3,Database!$C:$C,Lookup!BM$5,Database!$F:$F,Lookup!$C6,Database!$D:$D,Lookup!$B$3)</f>
        <v>0</v>
      </c>
      <c r="BN6" s="226">
        <f>SUMIFS(Database!$G:$G,Database!$E:$E,Lookup!$C$3,Database!$C:$C,Lookup!BN$5,Database!$F:$F,Lookup!$C6,Database!$D:$D,Lookup!$B$3)</f>
        <v>0</v>
      </c>
      <c r="BO6" s="226">
        <f>SUMIFS(Database!$G:$G,Database!$E:$E,Lookup!$C$3,Database!$C:$C,Lookup!BO$5,Database!$F:$F,Lookup!$C6,Database!$D:$D,Lookup!$B$3)</f>
        <v>7000</v>
      </c>
      <c r="BP6" s="226">
        <f>SUMIFS(Database!$G:$G,Database!$E:$E,Lookup!$C$3,Database!$C:$C,Lookup!BP$5,Database!$F:$F,Lookup!$C6,Database!$D:$D,Lookup!$B$3)</f>
        <v>0</v>
      </c>
      <c r="BQ6" s="226">
        <f>SUMIFS(Database!$G:$G,Database!$E:$E,Lookup!$C$3,Database!$C:$C,Lookup!BQ$5,Database!$F:$F,Lookup!$C6,Database!$D:$D,Lookup!$B$3)</f>
        <v>0</v>
      </c>
      <c r="BR6" s="226">
        <f>SUMIFS(Database!$G:$G,Database!$E:$E,Lookup!$C$3,Database!$C:$C,Lookup!BR$5,Database!$F:$F,Lookup!$C6,Database!$D:$D,Lookup!$B$3)</f>
        <v>0</v>
      </c>
      <c r="BS6" s="226">
        <f>SUMIFS(Database!$G:$G,Database!$E:$E,Lookup!$C$3,Database!$C:$C,Lookup!BS$5,Database!$F:$F,Lookup!$C6,Database!$D:$D,Lookup!$B$3)</f>
        <v>0</v>
      </c>
      <c r="BT6" s="226">
        <f>SUMIFS(Database!$G:$G,Database!$E:$E,Lookup!$C$3,Database!$C:$C,Lookup!BT$5,Database!$F:$F,Lookup!$C6,Database!$D:$D,Lookup!$B$3)</f>
        <v>0</v>
      </c>
      <c r="BU6" s="226">
        <f>SUMIFS(Database!$G:$G,Database!$E:$E,Lookup!$C$3,Database!$C:$C,Lookup!BU$5,Database!$F:$F,Lookup!$C6,Database!$D:$D,Lookup!$B$3)</f>
        <v>0</v>
      </c>
      <c r="BV6" s="226">
        <f>SUMIFS(Database!$G:$G,Database!$E:$E,Lookup!$C$3,Database!$C:$C,Lookup!BV$5,Database!$F:$F,Lookup!$C6,Database!$D:$D,Lookup!$B$3)</f>
        <v>0</v>
      </c>
      <c r="BW6" s="226">
        <f>SUMIFS(Database!$G:$G,Database!$E:$E,Lookup!$C$3,Database!$C:$C,Lookup!BW$5,Database!$F:$F,Lookup!$C6,Database!$D:$D,Lookup!$B$3)</f>
        <v>0</v>
      </c>
      <c r="BX6" s="226">
        <f>SUMIFS(Database!$G:$G,Database!$E:$E,Lookup!$C$3,Database!$C:$C,Lookup!BX$5,Database!$F:$F,Lookup!$C6,Database!$D:$D,Lookup!$B$3)</f>
        <v>0</v>
      </c>
      <c r="BY6" s="226">
        <f>SUMIFS(Database!$G:$G,Database!$E:$E,Lookup!$C$3,Database!$C:$C,Lookup!BY$5,Database!$F:$F,Lookup!$C6,Database!$D:$D,Lookup!$B$3)</f>
        <v>0</v>
      </c>
      <c r="BZ6" s="226">
        <f>SUMIFS(Database!$G:$G,Database!$E:$E,Lookup!$C$3,Database!$C:$C,Lookup!BZ$5,Database!$F:$F,Lookup!$C6,Database!$D:$D,Lookup!$B$3)</f>
        <v>0</v>
      </c>
      <c r="CA6" s="226">
        <f>SUMIFS(Database!$G:$G,Database!$E:$E,Lookup!$C$3,Database!$C:$C,Lookup!CA$5,Database!$F:$F,Lookup!$C6,Database!$D:$D,Lookup!$B$3)</f>
        <v>0</v>
      </c>
      <c r="CB6" s="226">
        <f>SUMIFS(Database!$G:$G,Database!$E:$E,Lookup!$C$3,Database!$C:$C,Lookup!CB$5,Database!$F:$F,Lookup!$C6,Database!$D:$D,Lookup!$B$3)</f>
        <v>0</v>
      </c>
      <c r="CC6" s="226">
        <f>SUMIFS(Database!$G:$G,Database!$E:$E,Lookup!$C$3,Database!$C:$C,Lookup!CC$5,Database!$F:$F,Lookup!$C6,Database!$D:$D,Lookup!$B$3)</f>
        <v>0</v>
      </c>
      <c r="CD6" s="226">
        <f>SUMIFS(Database!$G:$G,Database!$E:$E,Lookup!$C$3,Database!$C:$C,Lookup!CD$5,Database!$F:$F,Lookup!$C6,Database!$D:$D,Lookup!$B$3)</f>
        <v>0</v>
      </c>
      <c r="CE6" s="226">
        <f>SUMIFS(Database!$G:$G,Database!$E:$E,Lookup!$C$3,Database!$C:$C,Lookup!CE$5,Database!$F:$F,Lookup!$C6,Database!$D:$D,Lookup!$B$3)</f>
        <v>0</v>
      </c>
      <c r="CF6" s="226">
        <f>SUMIFS(Database!$G:$G,Database!$E:$E,Lookup!$C$3,Database!$C:$C,Lookup!CF$5,Database!$F:$F,Lookup!$C6,Database!$D:$D,Lookup!$B$3)</f>
        <v>0</v>
      </c>
      <c r="CG6" s="226">
        <f>SUMIFS(Database!$G:$G,Database!$E:$E,Lookup!$C$3,Database!$C:$C,Lookup!CG$5,Database!$F:$F,Lookup!$C6,Database!$D:$D,Lookup!$B$3)</f>
        <v>0</v>
      </c>
      <c r="CH6" s="226">
        <f>SUMIFS(Database!$G:$G,Database!$E:$E,Lookup!$C$3,Database!$C:$C,Lookup!CH$5,Database!$F:$F,Lookup!$C6,Database!$D:$D,Lookup!$B$3)</f>
        <v>0</v>
      </c>
      <c r="CI6" s="226">
        <f>SUMIFS(Database!$G:$G,Database!$E:$E,Lookup!$C$3,Database!$C:$C,Lookup!CI$5,Database!$F:$F,Lookup!$C6,Database!$D:$D,Lookup!$B$3)</f>
        <v>0</v>
      </c>
      <c r="CJ6" s="226">
        <f>SUMIFS(Database!$G:$G,Database!$E:$E,Lookup!$C$3,Database!$C:$C,Lookup!CJ$5,Database!$F:$F,Lookup!$C6,Database!$D:$D,Lookup!$B$3)</f>
        <v>0</v>
      </c>
      <c r="CK6" s="226">
        <f>SUMIFS(Database!$G:$G,Database!$E:$E,Lookup!$C$3,Database!$C:$C,Lookup!CK$5,Database!$F:$F,Lookup!$C6,Database!$D:$D,Lookup!$B$3)</f>
        <v>0</v>
      </c>
      <c r="CL6" s="226">
        <f>SUMIFS(Database!$G:$G,Database!$E:$E,Lookup!$C$3,Database!$C:$C,Lookup!CL$5,Database!$F:$F,Lookup!$C6,Database!$D:$D,Lookup!$B$3)</f>
        <v>0</v>
      </c>
      <c r="CM6" s="226">
        <f>SUMIFS(Database!$G:$G,Database!$E:$E,Lookup!$C$3,Database!$C:$C,Lookup!CM$5,Database!$F:$F,Lookup!$C6,Database!$D:$D,Lookup!$B$3)</f>
        <v>0</v>
      </c>
      <c r="CN6" s="226">
        <f>SUMIFS(Database!$G:$G,Database!$E:$E,Lookup!$C$3,Database!$C:$C,Lookup!CN$5,Database!$F:$F,Lookup!$C6,Database!$D:$D,Lookup!$B$3)</f>
        <v>0</v>
      </c>
      <c r="CO6" s="226">
        <f>SUMIFS(Database!$G:$G,Database!$E:$E,Lookup!$C$3,Database!$C:$C,Lookup!CO$5,Database!$F:$F,Lookup!$C6,Database!$D:$D,Lookup!$B$3)</f>
        <v>0</v>
      </c>
      <c r="CP6" s="226">
        <f>SUMIFS(Database!$G:$G,Database!$E:$E,Lookup!$C$3,Database!$C:$C,Lookup!CP$5,Database!$F:$F,Lookup!$C6,Database!$D:$D,Lookup!$B$3)</f>
        <v>0</v>
      </c>
      <c r="CQ6" s="226">
        <f>SUMIFS(Database!$G:$G,Database!$E:$E,Lookup!$C$3,Database!$C:$C,Lookup!CQ$5,Database!$F:$F,Lookup!$C6,Database!$D:$D,Lookup!$B$3)</f>
        <v>0</v>
      </c>
      <c r="CR6" s="226">
        <f>SUMIFS(Database!$G:$G,Database!$E:$E,Lookup!$C$3,Database!$C:$C,Lookup!CR$5,Database!$F:$F,Lookup!$C6,Database!$D:$D,Lookup!$B$3)</f>
        <v>0</v>
      </c>
      <c r="CS6" s="226">
        <f>SUMIFS(Database!$G:$G,Database!$E:$E,Lookup!$C$3,Database!$C:$C,Lookup!CS$5,Database!$F:$F,Lookup!$C6,Database!$D:$D,Lookup!$B$3)</f>
        <v>0</v>
      </c>
      <c r="CT6" s="226">
        <f>SUMIFS(Database!$G:$G,Database!$E:$E,Lookup!$C$3,Database!$C:$C,Lookup!CT$5,Database!$F:$F,Lookup!$C6,Database!$D:$D,Lookup!$B$3)</f>
        <v>0</v>
      </c>
      <c r="CU6" s="226">
        <f>SUMIFS(Database!$G:$G,Database!$E:$E,Lookup!$C$3,Database!$C:$C,Lookup!CU$5,Database!$F:$F,Lookup!$C6,Database!$D:$D,Lookup!$B$3)</f>
        <v>0</v>
      </c>
      <c r="CV6" s="227">
        <f>SUMIFS(Database!$G:$G,Database!$E:$E,Lookup!$C$3,Database!$C:$C,Lookup!CV$5,Database!$F:$F,Lookup!$C6,Database!$D:$D,Lookup!$B$3)</f>
        <v>0</v>
      </c>
    </row>
    <row r="7" spans="2:100" x14ac:dyDescent="0.25">
      <c r="C7" s="217" t="s">
        <v>1</v>
      </c>
      <c r="D7" s="222"/>
      <c r="E7" s="228">
        <f>SUMIFS(Database!$G:$G,Database!$E:$E,Lookup!$C$3,Database!$C:$C,Lookup!E$5,Database!$F:$F,Lookup!$C7,Database!$D:$D,Lookup!$B$3)</f>
        <v>0</v>
      </c>
      <c r="F7" s="176">
        <f>SUMIFS(Database!$G:$G,Database!$E:$E,Lookup!$C$3,Database!$C:$C,Lookup!F$5,Database!$F:$F,Lookup!$C7,Database!$D:$D,Lookup!$B$3)</f>
        <v>0</v>
      </c>
      <c r="G7" s="176">
        <f>SUMIFS(Database!$G:$G,Database!$E:$E,Lookup!$C$3,Database!$C:$C,Lookup!G$5,Database!$F:$F,Lookup!$C7,Database!$D:$D,Lookup!$B$3)</f>
        <v>0</v>
      </c>
      <c r="H7" s="176">
        <f>SUMIFS(Database!$G:$G,Database!$E:$E,Lookup!$C$3,Database!$C:$C,Lookup!H$5,Database!$F:$F,Lookup!$C7,Database!$D:$D,Lookup!$B$3)</f>
        <v>0</v>
      </c>
      <c r="I7" s="176">
        <f>SUMIFS(Database!$G:$G,Database!$E:$E,Lookup!$C$3,Database!$C:$C,Lookup!I$5,Database!$F:$F,Lookup!$C7,Database!$D:$D,Lookup!$B$3)</f>
        <v>0</v>
      </c>
      <c r="J7" s="176">
        <f>SUMIFS(Database!$G:$G,Database!$E:$E,Lookup!$C$3,Database!$C:$C,Lookup!J$5,Database!$F:$F,Lookup!$C7,Database!$D:$D,Lookup!$B$3)</f>
        <v>0</v>
      </c>
      <c r="K7" s="176">
        <f>SUMIFS(Database!$G:$G,Database!$E:$E,Lookup!$C$3,Database!$C:$C,Lookup!K$5,Database!$F:$F,Lookup!$C7,Database!$D:$D,Lookup!$B$3)</f>
        <v>0</v>
      </c>
      <c r="L7" s="176">
        <f>SUMIFS(Database!$G:$G,Database!$E:$E,Lookup!$C$3,Database!$C:$C,Lookup!L$5,Database!$F:$F,Lookup!$C7,Database!$D:$D,Lookup!$B$3)</f>
        <v>0</v>
      </c>
      <c r="M7" s="176">
        <f>SUMIFS(Database!$G:$G,Database!$E:$E,Lookup!$C$3,Database!$C:$C,Lookup!M$5,Database!$F:$F,Lookup!$C7,Database!$D:$D,Lookup!$B$3)</f>
        <v>0</v>
      </c>
      <c r="N7" s="176">
        <f>SUMIFS(Database!$G:$G,Database!$E:$E,Lookup!$C$3,Database!$C:$C,Lookup!N$5,Database!$F:$F,Lookup!$C7,Database!$D:$D,Lookup!$B$3)</f>
        <v>0</v>
      </c>
      <c r="O7" s="176">
        <f>SUMIFS(Database!$G:$G,Database!$E:$E,Lookup!$C$3,Database!$C:$C,Lookup!O$5,Database!$F:$F,Lookup!$C7,Database!$D:$D,Lookup!$B$3)</f>
        <v>0</v>
      </c>
      <c r="P7" s="176">
        <f>SUMIFS(Database!$G:$G,Database!$E:$E,Lookup!$C$3,Database!$C:$C,Lookup!P$5,Database!$F:$F,Lookup!$C7,Database!$D:$D,Lookup!$B$3)</f>
        <v>0</v>
      </c>
      <c r="Q7" s="176">
        <f>SUMIFS(Database!$G:$G,Database!$E:$E,Lookup!$C$3,Database!$C:$C,Lookup!Q$5,Database!$F:$F,Lookup!$C7,Database!$D:$D,Lookup!$B$3)</f>
        <v>0</v>
      </c>
      <c r="R7" s="176">
        <f>SUMIFS(Database!$G:$G,Database!$E:$E,Lookup!$C$3,Database!$C:$C,Lookup!R$5,Database!$F:$F,Lookup!$C7,Database!$D:$D,Lookup!$B$3)</f>
        <v>0</v>
      </c>
      <c r="S7" s="176">
        <f>SUMIFS(Database!$G:$G,Database!$E:$E,Lookup!$C$3,Database!$C:$C,Lookup!S$5,Database!$F:$F,Lookup!$C7,Database!$D:$D,Lookup!$B$3)</f>
        <v>0</v>
      </c>
      <c r="T7" s="176">
        <f>SUMIFS(Database!$G:$G,Database!$E:$E,Lookup!$C$3,Database!$C:$C,Lookup!T$5,Database!$F:$F,Lookup!$C7,Database!$D:$D,Lookup!$B$3)</f>
        <v>0</v>
      </c>
      <c r="U7" s="176">
        <f>SUMIFS(Database!$G:$G,Database!$E:$E,Lookup!$C$3,Database!$C:$C,Lookup!U$5,Database!$F:$F,Lookup!$C7,Database!$D:$D,Lookup!$B$3)</f>
        <v>0</v>
      </c>
      <c r="V7" s="176">
        <f>SUMIFS(Database!$G:$G,Database!$E:$E,Lookup!$C$3,Database!$C:$C,Lookup!V$5,Database!$F:$F,Lookup!$C7,Database!$D:$D,Lookup!$B$3)</f>
        <v>0</v>
      </c>
      <c r="W7" s="176">
        <f>SUMIFS(Database!$G:$G,Database!$E:$E,Lookup!$C$3,Database!$C:$C,Lookup!W$5,Database!$F:$F,Lookup!$C7,Database!$D:$D,Lookup!$B$3)</f>
        <v>0</v>
      </c>
      <c r="X7" s="176">
        <f>SUMIFS(Database!$G:$G,Database!$E:$E,Lookup!$C$3,Database!$C:$C,Lookup!X$5,Database!$F:$F,Lookup!$C7,Database!$D:$D,Lookup!$B$3)</f>
        <v>0</v>
      </c>
      <c r="Y7" s="176">
        <f>SUMIFS(Database!$G:$G,Database!$E:$E,Lookup!$C$3,Database!$C:$C,Lookup!Y$5,Database!$F:$F,Lookup!$C7,Database!$D:$D,Lookup!$B$3)</f>
        <v>0</v>
      </c>
      <c r="Z7" s="176">
        <f>SUMIFS(Database!$G:$G,Database!$E:$E,Lookup!$C$3,Database!$C:$C,Lookup!Z$5,Database!$F:$F,Lookup!$C7,Database!$D:$D,Lookup!$B$3)</f>
        <v>0</v>
      </c>
      <c r="AA7" s="176">
        <f>SUMIFS(Database!$G:$G,Database!$E:$E,Lookup!$C$3,Database!$C:$C,Lookup!AA$5,Database!$F:$F,Lookup!$C7,Database!$D:$D,Lookup!$B$3)</f>
        <v>0</v>
      </c>
      <c r="AB7" s="176">
        <f>SUMIFS(Database!$G:$G,Database!$E:$E,Lookup!$C$3,Database!$C:$C,Lookup!AB$5,Database!$F:$F,Lookup!$C7,Database!$D:$D,Lookup!$B$3)</f>
        <v>0</v>
      </c>
      <c r="AC7" s="176">
        <f>SUMIFS(Database!$G:$G,Database!$E:$E,Lookup!$C$3,Database!$C:$C,Lookup!AC$5,Database!$F:$F,Lookup!$C7,Database!$D:$D,Lookup!$B$3)</f>
        <v>0</v>
      </c>
      <c r="AD7" s="176">
        <f>SUMIFS(Database!$G:$G,Database!$E:$E,Lookup!$C$3,Database!$C:$C,Lookup!AD$5,Database!$F:$F,Lookup!$C7,Database!$D:$D,Lookup!$B$3)</f>
        <v>0</v>
      </c>
      <c r="AE7" s="176">
        <f>SUMIFS(Database!$G:$G,Database!$E:$E,Lookup!$C$3,Database!$C:$C,Lookup!AE$5,Database!$F:$F,Lookup!$C7,Database!$D:$D,Lookup!$B$3)</f>
        <v>0</v>
      </c>
      <c r="AF7" s="176">
        <f>SUMIFS(Database!$G:$G,Database!$E:$E,Lookup!$C$3,Database!$C:$C,Lookup!AF$5,Database!$F:$F,Lookup!$C7,Database!$D:$D,Lookup!$B$3)</f>
        <v>0</v>
      </c>
      <c r="AG7" s="176">
        <f>SUMIFS(Database!$G:$G,Database!$E:$E,Lookup!$C$3,Database!$C:$C,Lookup!AG$5,Database!$F:$F,Lookup!$C7,Database!$D:$D,Lookup!$B$3)</f>
        <v>0</v>
      </c>
      <c r="AH7" s="176">
        <f>SUMIFS(Database!$G:$G,Database!$E:$E,Lookup!$C$3,Database!$C:$C,Lookup!AH$5,Database!$F:$F,Lookup!$C7,Database!$D:$D,Lookup!$B$3)</f>
        <v>0</v>
      </c>
      <c r="AI7" s="176">
        <f>SUMIFS(Database!$G:$G,Database!$E:$E,Lookup!$C$3,Database!$C:$C,Lookup!AI$5,Database!$F:$F,Lookup!$C7,Database!$D:$D,Lookup!$B$3)</f>
        <v>0</v>
      </c>
      <c r="AJ7" s="176">
        <f>SUMIFS(Database!$G:$G,Database!$E:$E,Lookup!$C$3,Database!$C:$C,Lookup!AJ$5,Database!$F:$F,Lookup!$C7,Database!$D:$D,Lookup!$B$3)</f>
        <v>0</v>
      </c>
      <c r="AK7" s="176">
        <f>SUMIFS(Database!$G:$G,Database!$E:$E,Lookup!$C$3,Database!$C:$C,Lookup!AK$5,Database!$F:$F,Lookup!$C7,Database!$D:$D,Lookup!$B$3)</f>
        <v>0</v>
      </c>
      <c r="AL7" s="176">
        <f>SUMIFS(Database!$G:$G,Database!$E:$E,Lookup!$C$3,Database!$C:$C,Lookup!AL$5,Database!$F:$F,Lookup!$C7,Database!$D:$D,Lookup!$B$3)</f>
        <v>0</v>
      </c>
      <c r="AM7" s="176">
        <f>SUMIFS(Database!$G:$G,Database!$E:$E,Lookup!$C$3,Database!$C:$C,Lookup!AM$5,Database!$F:$F,Lookup!$C7,Database!$D:$D,Lookup!$B$3)</f>
        <v>0</v>
      </c>
      <c r="AN7" s="176">
        <f>SUMIFS(Database!$G:$G,Database!$E:$E,Lookup!$C$3,Database!$C:$C,Lookup!AN$5,Database!$F:$F,Lookup!$C7,Database!$D:$D,Lookup!$B$3)</f>
        <v>0</v>
      </c>
      <c r="AO7" s="176">
        <f>SUMIFS(Database!$G:$G,Database!$E:$E,Lookup!$C$3,Database!$C:$C,Lookup!AO$5,Database!$F:$F,Lookup!$C7,Database!$D:$D,Lookup!$B$3)</f>
        <v>0</v>
      </c>
      <c r="AP7" s="176">
        <f>SUMIFS(Database!$G:$G,Database!$E:$E,Lookup!$C$3,Database!$C:$C,Lookup!AP$5,Database!$F:$F,Lookup!$C7,Database!$D:$D,Lookup!$B$3)</f>
        <v>0</v>
      </c>
      <c r="AQ7" s="176">
        <f>SUMIFS(Database!$G:$G,Database!$E:$E,Lookup!$C$3,Database!$C:$C,Lookup!AQ$5,Database!$F:$F,Lookup!$C7,Database!$D:$D,Lookup!$B$3)</f>
        <v>0</v>
      </c>
      <c r="AR7" s="176">
        <f>SUMIFS(Database!$G:$G,Database!$E:$E,Lookup!$C$3,Database!$C:$C,Lookup!AR$5,Database!$F:$F,Lookup!$C7,Database!$D:$D,Lookup!$B$3)</f>
        <v>0</v>
      </c>
      <c r="AS7" s="176">
        <f>SUMIFS(Database!$G:$G,Database!$E:$E,Lookup!$C$3,Database!$C:$C,Lookup!AS$5,Database!$F:$F,Lookup!$C7,Database!$D:$D,Lookup!$B$3)</f>
        <v>0</v>
      </c>
      <c r="AT7" s="176">
        <f>SUMIFS(Database!$G:$G,Database!$E:$E,Lookup!$C$3,Database!$C:$C,Lookup!AT$5,Database!$F:$F,Lookup!$C7,Database!$D:$D,Lookup!$B$3)</f>
        <v>0</v>
      </c>
      <c r="AU7" s="176">
        <f>SUMIFS(Database!$G:$G,Database!$E:$E,Lookup!$C$3,Database!$C:$C,Lookup!AU$5,Database!$F:$F,Lookup!$C7,Database!$D:$D,Lookup!$B$3)</f>
        <v>0</v>
      </c>
      <c r="AV7" s="176">
        <f>SUMIFS(Database!$G:$G,Database!$E:$E,Lookup!$C$3,Database!$C:$C,Lookup!AV$5,Database!$F:$F,Lookup!$C7,Database!$D:$D,Lookup!$B$3)</f>
        <v>0</v>
      </c>
      <c r="AW7" s="176">
        <f>SUMIFS(Database!$G:$G,Database!$E:$E,Lookup!$C$3,Database!$C:$C,Lookup!AW$5,Database!$F:$F,Lookup!$C7,Database!$D:$D,Lookup!$B$3)</f>
        <v>0</v>
      </c>
      <c r="AX7" s="176">
        <f>SUMIFS(Database!$G:$G,Database!$E:$E,Lookup!$C$3,Database!$C:$C,Lookup!AX$5,Database!$F:$F,Lookup!$C7,Database!$D:$D,Lookup!$B$3)</f>
        <v>0</v>
      </c>
      <c r="AY7" s="176">
        <f>SUMIFS(Database!$G:$G,Database!$E:$E,Lookup!$C$3,Database!$C:$C,Lookup!AY$5,Database!$F:$F,Lookup!$C7,Database!$D:$D,Lookup!$B$3)</f>
        <v>0</v>
      </c>
      <c r="AZ7" s="176">
        <f>SUMIFS(Database!$G:$G,Database!$E:$E,Lookup!$C$3,Database!$C:$C,Lookup!AZ$5,Database!$F:$F,Lookup!$C7,Database!$D:$D,Lookup!$B$3)</f>
        <v>0</v>
      </c>
      <c r="BA7" s="176">
        <f>SUMIFS(Database!$G:$G,Database!$E:$E,Lookup!$C$3,Database!$C:$C,Lookup!BA$5,Database!$F:$F,Lookup!$C7,Database!$D:$D,Lookup!$B$3)</f>
        <v>0</v>
      </c>
      <c r="BB7" s="176">
        <f>SUMIFS(Database!$G:$G,Database!$E:$E,Lookup!$C$3,Database!$C:$C,Lookup!BB$5,Database!$F:$F,Lookup!$C7,Database!$D:$D,Lookup!$B$3)</f>
        <v>0</v>
      </c>
      <c r="BC7" s="176">
        <f>SUMIFS(Database!$G:$G,Database!$E:$E,Lookup!$C$3,Database!$C:$C,Lookup!BC$5,Database!$F:$F,Lookup!$C7,Database!$D:$D,Lookup!$B$3)</f>
        <v>0</v>
      </c>
      <c r="BD7" s="176">
        <f>SUMIFS(Database!$G:$G,Database!$E:$E,Lookup!$C$3,Database!$C:$C,Lookup!BD$5,Database!$F:$F,Lookup!$C7,Database!$D:$D,Lookup!$B$3)</f>
        <v>0</v>
      </c>
      <c r="BE7" s="176">
        <f>SUMIFS(Database!$G:$G,Database!$E:$E,Lookup!$C$3,Database!$C:$C,Lookup!BE$5,Database!$F:$F,Lookup!$C7,Database!$D:$D,Lookup!$B$3)</f>
        <v>0</v>
      </c>
      <c r="BF7" s="176">
        <f>SUMIFS(Database!$G:$G,Database!$E:$E,Lookup!$C$3,Database!$C:$C,Lookup!BF$5,Database!$F:$F,Lookup!$C7,Database!$D:$D,Lookup!$B$3)</f>
        <v>0</v>
      </c>
      <c r="BG7" s="176">
        <f>SUMIFS(Database!$G:$G,Database!$E:$E,Lookup!$C$3,Database!$C:$C,Lookup!BG$5,Database!$F:$F,Lookup!$C7,Database!$D:$D,Lookup!$B$3)</f>
        <v>0</v>
      </c>
      <c r="BH7" s="176">
        <f>SUMIFS(Database!$G:$G,Database!$E:$E,Lookup!$C$3,Database!$C:$C,Lookup!BH$5,Database!$F:$F,Lookup!$C7,Database!$D:$D,Lookup!$B$3)</f>
        <v>0</v>
      </c>
      <c r="BI7" s="176">
        <f>SUMIFS(Database!$G:$G,Database!$E:$E,Lookup!$C$3,Database!$C:$C,Lookup!BI$5,Database!$F:$F,Lookup!$C7,Database!$D:$D,Lookup!$B$3)</f>
        <v>0</v>
      </c>
      <c r="BJ7" s="176">
        <f>SUMIFS(Database!$G:$G,Database!$E:$E,Lookup!$C$3,Database!$C:$C,Lookup!BJ$5,Database!$F:$F,Lookup!$C7,Database!$D:$D,Lookup!$B$3)</f>
        <v>0</v>
      </c>
      <c r="BK7" s="176">
        <f>SUMIFS(Database!$G:$G,Database!$E:$E,Lookup!$C$3,Database!$C:$C,Lookup!BK$5,Database!$F:$F,Lookup!$C7,Database!$D:$D,Lookup!$B$3)</f>
        <v>0</v>
      </c>
      <c r="BL7" s="176">
        <f>SUMIFS(Database!$G:$G,Database!$E:$E,Lookup!$C$3,Database!$C:$C,Lookup!BL$5,Database!$F:$F,Lookup!$C7,Database!$D:$D,Lookup!$B$3)</f>
        <v>0</v>
      </c>
      <c r="BM7" s="176">
        <f>SUMIFS(Database!$G:$G,Database!$E:$E,Lookup!$C$3,Database!$C:$C,Lookup!BM$5,Database!$F:$F,Lookup!$C7,Database!$D:$D,Lookup!$B$3)</f>
        <v>0</v>
      </c>
      <c r="BN7" s="176">
        <f>SUMIFS(Database!$G:$G,Database!$E:$E,Lookup!$C$3,Database!$C:$C,Lookup!BN$5,Database!$F:$F,Lookup!$C7,Database!$D:$D,Lookup!$B$3)</f>
        <v>0</v>
      </c>
      <c r="BO7" s="176">
        <f>SUMIFS(Database!$G:$G,Database!$E:$E,Lookup!$C$3,Database!$C:$C,Lookup!BO$5,Database!$F:$F,Lookup!$C7,Database!$D:$D,Lookup!$B$3)</f>
        <v>1</v>
      </c>
      <c r="BP7" s="176">
        <f>SUMIFS(Database!$G:$G,Database!$E:$E,Lookup!$C$3,Database!$C:$C,Lookup!BP$5,Database!$F:$F,Lookup!$C7,Database!$D:$D,Lookup!$B$3)</f>
        <v>0</v>
      </c>
      <c r="BQ7" s="176">
        <f>SUMIFS(Database!$G:$G,Database!$E:$E,Lookup!$C$3,Database!$C:$C,Lookup!BQ$5,Database!$F:$F,Lookup!$C7,Database!$D:$D,Lookup!$B$3)</f>
        <v>0</v>
      </c>
      <c r="BR7" s="176">
        <f>SUMIFS(Database!$G:$G,Database!$E:$E,Lookup!$C$3,Database!$C:$C,Lookup!BR$5,Database!$F:$F,Lookup!$C7,Database!$D:$D,Lookup!$B$3)</f>
        <v>0</v>
      </c>
      <c r="BS7" s="176">
        <f>SUMIFS(Database!$G:$G,Database!$E:$E,Lookup!$C$3,Database!$C:$C,Lookup!BS$5,Database!$F:$F,Lookup!$C7,Database!$D:$D,Lookup!$B$3)</f>
        <v>0</v>
      </c>
      <c r="BT7" s="176">
        <f>SUMIFS(Database!$G:$G,Database!$E:$E,Lookup!$C$3,Database!$C:$C,Lookup!BT$5,Database!$F:$F,Lookup!$C7,Database!$D:$D,Lookup!$B$3)</f>
        <v>0</v>
      </c>
      <c r="BU7" s="176">
        <f>SUMIFS(Database!$G:$G,Database!$E:$E,Lookup!$C$3,Database!$C:$C,Lookup!BU$5,Database!$F:$F,Lookup!$C7,Database!$D:$D,Lookup!$B$3)</f>
        <v>0</v>
      </c>
      <c r="BV7" s="176">
        <f>SUMIFS(Database!$G:$G,Database!$E:$E,Lookup!$C$3,Database!$C:$C,Lookup!BV$5,Database!$F:$F,Lookup!$C7,Database!$D:$D,Lookup!$B$3)</f>
        <v>0</v>
      </c>
      <c r="BW7" s="176">
        <f>SUMIFS(Database!$G:$G,Database!$E:$E,Lookup!$C$3,Database!$C:$C,Lookup!BW$5,Database!$F:$F,Lookup!$C7,Database!$D:$D,Lookup!$B$3)</f>
        <v>0</v>
      </c>
      <c r="BX7" s="176">
        <f>SUMIFS(Database!$G:$G,Database!$E:$E,Lookup!$C$3,Database!$C:$C,Lookup!BX$5,Database!$F:$F,Lookup!$C7,Database!$D:$D,Lookup!$B$3)</f>
        <v>0</v>
      </c>
      <c r="BY7" s="176">
        <f>SUMIFS(Database!$G:$G,Database!$E:$E,Lookup!$C$3,Database!$C:$C,Lookup!BY$5,Database!$F:$F,Lookup!$C7,Database!$D:$D,Lookup!$B$3)</f>
        <v>0</v>
      </c>
      <c r="BZ7" s="176">
        <f>SUMIFS(Database!$G:$G,Database!$E:$E,Lookup!$C$3,Database!$C:$C,Lookup!BZ$5,Database!$F:$F,Lookup!$C7,Database!$D:$D,Lookup!$B$3)</f>
        <v>0</v>
      </c>
      <c r="CA7" s="176">
        <f>SUMIFS(Database!$G:$G,Database!$E:$E,Lookup!$C$3,Database!$C:$C,Lookup!CA$5,Database!$F:$F,Lookup!$C7,Database!$D:$D,Lookup!$B$3)</f>
        <v>0</v>
      </c>
      <c r="CB7" s="176">
        <f>SUMIFS(Database!$G:$G,Database!$E:$E,Lookup!$C$3,Database!$C:$C,Lookup!CB$5,Database!$F:$F,Lookup!$C7,Database!$D:$D,Lookup!$B$3)</f>
        <v>0</v>
      </c>
      <c r="CC7" s="176">
        <f>SUMIFS(Database!$G:$G,Database!$E:$E,Lookup!$C$3,Database!$C:$C,Lookup!CC$5,Database!$F:$F,Lookup!$C7,Database!$D:$D,Lookup!$B$3)</f>
        <v>0</v>
      </c>
      <c r="CD7" s="176">
        <f>SUMIFS(Database!$G:$G,Database!$E:$E,Lookup!$C$3,Database!$C:$C,Lookup!CD$5,Database!$F:$F,Lookup!$C7,Database!$D:$D,Lookup!$B$3)</f>
        <v>0</v>
      </c>
      <c r="CE7" s="176">
        <f>SUMIFS(Database!$G:$G,Database!$E:$E,Lookup!$C$3,Database!$C:$C,Lookup!CE$5,Database!$F:$F,Lookup!$C7,Database!$D:$D,Lookup!$B$3)</f>
        <v>0</v>
      </c>
      <c r="CF7" s="176">
        <f>SUMIFS(Database!$G:$G,Database!$E:$E,Lookup!$C$3,Database!$C:$C,Lookup!CF$5,Database!$F:$F,Lookup!$C7,Database!$D:$D,Lookup!$B$3)</f>
        <v>0</v>
      </c>
      <c r="CG7" s="176">
        <f>SUMIFS(Database!$G:$G,Database!$E:$E,Lookup!$C$3,Database!$C:$C,Lookup!CG$5,Database!$F:$F,Lookup!$C7,Database!$D:$D,Lookup!$B$3)</f>
        <v>0</v>
      </c>
      <c r="CH7" s="176">
        <f>SUMIFS(Database!$G:$G,Database!$E:$E,Lookup!$C$3,Database!$C:$C,Lookup!CH$5,Database!$F:$F,Lookup!$C7,Database!$D:$D,Lookup!$B$3)</f>
        <v>0</v>
      </c>
      <c r="CI7" s="176">
        <f>SUMIFS(Database!$G:$G,Database!$E:$E,Lookup!$C$3,Database!$C:$C,Lookup!CI$5,Database!$F:$F,Lookup!$C7,Database!$D:$D,Lookup!$B$3)</f>
        <v>0</v>
      </c>
      <c r="CJ7" s="176">
        <f>SUMIFS(Database!$G:$G,Database!$E:$E,Lookup!$C$3,Database!$C:$C,Lookup!CJ$5,Database!$F:$F,Lookup!$C7,Database!$D:$D,Lookup!$B$3)</f>
        <v>0</v>
      </c>
      <c r="CK7" s="176">
        <f>SUMIFS(Database!$G:$G,Database!$E:$E,Lookup!$C$3,Database!$C:$C,Lookup!CK$5,Database!$F:$F,Lookup!$C7,Database!$D:$D,Lookup!$B$3)</f>
        <v>0</v>
      </c>
      <c r="CL7" s="176">
        <f>SUMIFS(Database!$G:$G,Database!$E:$E,Lookup!$C$3,Database!$C:$C,Lookup!CL$5,Database!$F:$F,Lookup!$C7,Database!$D:$D,Lookup!$B$3)</f>
        <v>0</v>
      </c>
      <c r="CM7" s="176">
        <f>SUMIFS(Database!$G:$G,Database!$E:$E,Lookup!$C$3,Database!$C:$C,Lookup!CM$5,Database!$F:$F,Lookup!$C7,Database!$D:$D,Lookup!$B$3)</f>
        <v>0</v>
      </c>
      <c r="CN7" s="176">
        <f>SUMIFS(Database!$G:$G,Database!$E:$E,Lookup!$C$3,Database!$C:$C,Lookup!CN$5,Database!$F:$F,Lookup!$C7,Database!$D:$D,Lookup!$B$3)</f>
        <v>0</v>
      </c>
      <c r="CO7" s="176">
        <f>SUMIFS(Database!$G:$G,Database!$E:$E,Lookup!$C$3,Database!$C:$C,Lookup!CO$5,Database!$F:$F,Lookup!$C7,Database!$D:$D,Lookup!$B$3)</f>
        <v>0</v>
      </c>
      <c r="CP7" s="176">
        <f>SUMIFS(Database!$G:$G,Database!$E:$E,Lookup!$C$3,Database!$C:$C,Lookup!CP$5,Database!$F:$F,Lookup!$C7,Database!$D:$D,Lookup!$B$3)</f>
        <v>0</v>
      </c>
      <c r="CQ7" s="176">
        <f>SUMIFS(Database!$G:$G,Database!$E:$E,Lookup!$C$3,Database!$C:$C,Lookup!CQ$5,Database!$F:$F,Lookup!$C7,Database!$D:$D,Lookup!$B$3)</f>
        <v>0</v>
      </c>
      <c r="CR7" s="176">
        <f>SUMIFS(Database!$G:$G,Database!$E:$E,Lookup!$C$3,Database!$C:$C,Lookup!CR$5,Database!$F:$F,Lookup!$C7,Database!$D:$D,Lookup!$B$3)</f>
        <v>0</v>
      </c>
      <c r="CS7" s="176">
        <f>SUMIFS(Database!$G:$G,Database!$E:$E,Lookup!$C$3,Database!$C:$C,Lookup!CS$5,Database!$F:$F,Lookup!$C7,Database!$D:$D,Lookup!$B$3)</f>
        <v>0</v>
      </c>
      <c r="CT7" s="176">
        <f>SUMIFS(Database!$G:$G,Database!$E:$E,Lookup!$C$3,Database!$C:$C,Lookup!CT$5,Database!$F:$F,Lookup!$C7,Database!$D:$D,Lookup!$B$3)</f>
        <v>0</v>
      </c>
      <c r="CU7" s="176">
        <f>SUMIFS(Database!$G:$G,Database!$E:$E,Lookup!$C$3,Database!$C:$C,Lookup!CU$5,Database!$F:$F,Lookup!$C7,Database!$D:$D,Lookup!$B$3)</f>
        <v>0</v>
      </c>
      <c r="CV7" s="177">
        <f>SUMIFS(Database!$G:$G,Database!$E:$E,Lookup!$C$3,Database!$C:$C,Lookup!CV$5,Database!$F:$F,Lookup!$C7,Database!$D:$D,Lookup!$B$3)</f>
        <v>0</v>
      </c>
    </row>
    <row r="8" spans="2:100" x14ac:dyDescent="0.25">
      <c r="C8" s="217" t="s">
        <v>169</v>
      </c>
      <c r="D8" s="222"/>
      <c r="E8" s="228">
        <f>SUMIFS(Database!$G:$G,Database!$E:$E,Lookup!$C$3,Database!$C:$C,Lookup!E$5,Database!$F:$F,Lookup!$C8,Database!$D:$D,Lookup!$B$3)</f>
        <v>0</v>
      </c>
      <c r="F8" s="176">
        <f>SUMIFS(Database!$G:$G,Database!$E:$E,Lookup!$C$3,Database!$C:$C,Lookup!F$5,Database!$F:$F,Lookup!$C8,Database!$D:$D,Lookup!$B$3)</f>
        <v>0</v>
      </c>
      <c r="G8" s="176">
        <f>SUMIFS(Database!$G:$G,Database!$E:$E,Lookup!$C$3,Database!$C:$C,Lookup!G$5,Database!$F:$F,Lookup!$C8,Database!$D:$D,Lookup!$B$3)</f>
        <v>0</v>
      </c>
      <c r="H8" s="176">
        <f>SUMIFS(Database!$G:$G,Database!$E:$E,Lookup!$C$3,Database!$C:$C,Lookup!H$5,Database!$F:$F,Lookup!$C8,Database!$D:$D,Lookup!$B$3)</f>
        <v>0</v>
      </c>
      <c r="I8" s="176">
        <f>SUMIFS(Database!$G:$G,Database!$E:$E,Lookup!$C$3,Database!$C:$C,Lookup!I$5,Database!$F:$F,Lookup!$C8,Database!$D:$D,Lookup!$B$3)</f>
        <v>0</v>
      </c>
      <c r="J8" s="176">
        <f>SUMIFS(Database!$G:$G,Database!$E:$E,Lookup!$C$3,Database!$C:$C,Lookup!J$5,Database!$F:$F,Lookup!$C8,Database!$D:$D,Lookup!$B$3)</f>
        <v>0</v>
      </c>
      <c r="K8" s="176">
        <f>SUMIFS(Database!$G:$G,Database!$E:$E,Lookup!$C$3,Database!$C:$C,Lookup!K$5,Database!$F:$F,Lookup!$C8,Database!$D:$D,Lookup!$B$3)</f>
        <v>0</v>
      </c>
      <c r="L8" s="176">
        <f>SUMIFS(Database!$G:$G,Database!$E:$E,Lookup!$C$3,Database!$C:$C,Lookup!L$5,Database!$F:$F,Lookup!$C8,Database!$D:$D,Lookup!$B$3)</f>
        <v>0</v>
      </c>
      <c r="M8" s="176">
        <f>SUMIFS(Database!$G:$G,Database!$E:$E,Lookup!$C$3,Database!$C:$C,Lookup!M$5,Database!$F:$F,Lookup!$C8,Database!$D:$D,Lookup!$B$3)</f>
        <v>0</v>
      </c>
      <c r="N8" s="176">
        <f>SUMIFS(Database!$G:$G,Database!$E:$E,Lookup!$C$3,Database!$C:$C,Lookup!N$5,Database!$F:$F,Lookup!$C8,Database!$D:$D,Lookup!$B$3)</f>
        <v>0</v>
      </c>
      <c r="O8" s="176">
        <f>SUMIFS(Database!$G:$G,Database!$E:$E,Lookup!$C$3,Database!$C:$C,Lookup!O$5,Database!$F:$F,Lookup!$C8,Database!$D:$D,Lookup!$B$3)</f>
        <v>0</v>
      </c>
      <c r="P8" s="176">
        <f>SUMIFS(Database!$G:$G,Database!$E:$E,Lookup!$C$3,Database!$C:$C,Lookup!P$5,Database!$F:$F,Lookup!$C8,Database!$D:$D,Lookup!$B$3)</f>
        <v>0</v>
      </c>
      <c r="Q8" s="176">
        <f>SUMIFS(Database!$G:$G,Database!$E:$E,Lookup!$C$3,Database!$C:$C,Lookup!Q$5,Database!$F:$F,Lookup!$C8,Database!$D:$D,Lookup!$B$3)</f>
        <v>0</v>
      </c>
      <c r="R8" s="176">
        <f>SUMIFS(Database!$G:$G,Database!$E:$E,Lookup!$C$3,Database!$C:$C,Lookup!R$5,Database!$F:$F,Lookup!$C8,Database!$D:$D,Lookup!$B$3)</f>
        <v>0</v>
      </c>
      <c r="S8" s="176">
        <f>SUMIFS(Database!$G:$G,Database!$E:$E,Lookup!$C$3,Database!$C:$C,Lookup!S$5,Database!$F:$F,Lookup!$C8,Database!$D:$D,Lookup!$B$3)</f>
        <v>0</v>
      </c>
      <c r="T8" s="176">
        <f>SUMIFS(Database!$G:$G,Database!$E:$E,Lookup!$C$3,Database!$C:$C,Lookup!T$5,Database!$F:$F,Lookup!$C8,Database!$D:$D,Lookup!$B$3)</f>
        <v>0</v>
      </c>
      <c r="U8" s="176">
        <f>SUMIFS(Database!$G:$G,Database!$E:$E,Lookup!$C$3,Database!$C:$C,Lookup!U$5,Database!$F:$F,Lookup!$C8,Database!$D:$D,Lookup!$B$3)</f>
        <v>0</v>
      </c>
      <c r="V8" s="176">
        <f>SUMIFS(Database!$G:$G,Database!$E:$E,Lookup!$C$3,Database!$C:$C,Lookup!V$5,Database!$F:$F,Lookup!$C8,Database!$D:$D,Lookup!$B$3)</f>
        <v>0</v>
      </c>
      <c r="W8" s="176">
        <f>SUMIFS(Database!$G:$G,Database!$E:$E,Lookup!$C$3,Database!$C:$C,Lookup!W$5,Database!$F:$F,Lookup!$C8,Database!$D:$D,Lookup!$B$3)</f>
        <v>0</v>
      </c>
      <c r="X8" s="176">
        <f>SUMIFS(Database!$G:$G,Database!$E:$E,Lookup!$C$3,Database!$C:$C,Lookup!X$5,Database!$F:$F,Lookup!$C8,Database!$D:$D,Lookup!$B$3)</f>
        <v>0</v>
      </c>
      <c r="Y8" s="176">
        <f>SUMIFS(Database!$G:$G,Database!$E:$E,Lookup!$C$3,Database!$C:$C,Lookup!Y$5,Database!$F:$F,Lookup!$C8,Database!$D:$D,Lookup!$B$3)</f>
        <v>0</v>
      </c>
      <c r="Z8" s="176">
        <f>SUMIFS(Database!$G:$G,Database!$E:$E,Lookup!$C$3,Database!$C:$C,Lookup!Z$5,Database!$F:$F,Lookup!$C8,Database!$D:$D,Lookup!$B$3)</f>
        <v>0</v>
      </c>
      <c r="AA8" s="176">
        <f>SUMIFS(Database!$G:$G,Database!$E:$E,Lookup!$C$3,Database!$C:$C,Lookup!AA$5,Database!$F:$F,Lookup!$C8,Database!$D:$D,Lookup!$B$3)</f>
        <v>0</v>
      </c>
      <c r="AB8" s="176">
        <f>SUMIFS(Database!$G:$G,Database!$E:$E,Lookup!$C$3,Database!$C:$C,Lookup!AB$5,Database!$F:$F,Lookup!$C8,Database!$D:$D,Lookup!$B$3)</f>
        <v>0</v>
      </c>
      <c r="AC8" s="176">
        <f>SUMIFS(Database!$G:$G,Database!$E:$E,Lookup!$C$3,Database!$C:$C,Lookup!AC$5,Database!$F:$F,Lookup!$C8,Database!$D:$D,Lookup!$B$3)</f>
        <v>0</v>
      </c>
      <c r="AD8" s="176">
        <f>SUMIFS(Database!$G:$G,Database!$E:$E,Lookup!$C$3,Database!$C:$C,Lookup!AD$5,Database!$F:$F,Lookup!$C8,Database!$D:$D,Lookup!$B$3)</f>
        <v>0</v>
      </c>
      <c r="AE8" s="176">
        <f>SUMIFS(Database!$G:$G,Database!$E:$E,Lookup!$C$3,Database!$C:$C,Lookup!AE$5,Database!$F:$F,Lookup!$C8,Database!$D:$D,Lookup!$B$3)</f>
        <v>0</v>
      </c>
      <c r="AF8" s="176">
        <f>SUMIFS(Database!$G:$G,Database!$E:$E,Lookup!$C$3,Database!$C:$C,Lookup!AF$5,Database!$F:$F,Lookup!$C8,Database!$D:$D,Lookup!$B$3)</f>
        <v>0</v>
      </c>
      <c r="AG8" s="176">
        <f>SUMIFS(Database!$G:$G,Database!$E:$E,Lookup!$C$3,Database!$C:$C,Lookup!AG$5,Database!$F:$F,Lookup!$C8,Database!$D:$D,Lookup!$B$3)</f>
        <v>0</v>
      </c>
      <c r="AH8" s="176">
        <f>SUMIFS(Database!$G:$G,Database!$E:$E,Lookup!$C$3,Database!$C:$C,Lookup!AH$5,Database!$F:$F,Lookup!$C8,Database!$D:$D,Lookup!$B$3)</f>
        <v>0</v>
      </c>
      <c r="AI8" s="176">
        <f>SUMIFS(Database!$G:$G,Database!$E:$E,Lookup!$C$3,Database!$C:$C,Lookup!AI$5,Database!$F:$F,Lookup!$C8,Database!$D:$D,Lookup!$B$3)</f>
        <v>0</v>
      </c>
      <c r="AJ8" s="176">
        <f>SUMIFS(Database!$G:$G,Database!$E:$E,Lookup!$C$3,Database!$C:$C,Lookup!AJ$5,Database!$F:$F,Lookup!$C8,Database!$D:$D,Lookup!$B$3)</f>
        <v>0</v>
      </c>
      <c r="AK8" s="176">
        <f>SUMIFS(Database!$G:$G,Database!$E:$E,Lookup!$C$3,Database!$C:$C,Lookup!AK$5,Database!$F:$F,Lookup!$C8,Database!$D:$D,Lookup!$B$3)</f>
        <v>0</v>
      </c>
      <c r="AL8" s="176">
        <f>SUMIFS(Database!$G:$G,Database!$E:$E,Lookup!$C$3,Database!$C:$C,Lookup!AL$5,Database!$F:$F,Lookup!$C8,Database!$D:$D,Lookup!$B$3)</f>
        <v>0</v>
      </c>
      <c r="AM8" s="176">
        <f>SUMIFS(Database!$G:$G,Database!$E:$E,Lookup!$C$3,Database!$C:$C,Lookup!AM$5,Database!$F:$F,Lookup!$C8,Database!$D:$D,Lookup!$B$3)</f>
        <v>0</v>
      </c>
      <c r="AN8" s="176">
        <f>SUMIFS(Database!$G:$G,Database!$E:$E,Lookup!$C$3,Database!$C:$C,Lookup!AN$5,Database!$F:$F,Lookup!$C8,Database!$D:$D,Lookup!$B$3)</f>
        <v>0</v>
      </c>
      <c r="AO8" s="176">
        <f>SUMIFS(Database!$G:$G,Database!$E:$E,Lookup!$C$3,Database!$C:$C,Lookup!AO$5,Database!$F:$F,Lookup!$C8,Database!$D:$D,Lookup!$B$3)</f>
        <v>0</v>
      </c>
      <c r="AP8" s="176">
        <f>SUMIFS(Database!$G:$G,Database!$E:$E,Lookup!$C$3,Database!$C:$C,Lookup!AP$5,Database!$F:$F,Lookup!$C8,Database!$D:$D,Lookup!$B$3)</f>
        <v>0</v>
      </c>
      <c r="AQ8" s="176">
        <f>SUMIFS(Database!$G:$G,Database!$E:$E,Lookup!$C$3,Database!$C:$C,Lookup!AQ$5,Database!$F:$F,Lookup!$C8,Database!$D:$D,Lookup!$B$3)</f>
        <v>0</v>
      </c>
      <c r="AR8" s="176">
        <f>SUMIFS(Database!$G:$G,Database!$E:$E,Lookup!$C$3,Database!$C:$C,Lookup!AR$5,Database!$F:$F,Lookup!$C8,Database!$D:$D,Lookup!$B$3)</f>
        <v>0</v>
      </c>
      <c r="AS8" s="176">
        <f>SUMIFS(Database!$G:$G,Database!$E:$E,Lookup!$C$3,Database!$C:$C,Lookup!AS$5,Database!$F:$F,Lookup!$C8,Database!$D:$D,Lookup!$B$3)</f>
        <v>0</v>
      </c>
      <c r="AT8" s="176">
        <f>SUMIFS(Database!$G:$G,Database!$E:$E,Lookup!$C$3,Database!$C:$C,Lookup!AT$5,Database!$F:$F,Lookup!$C8,Database!$D:$D,Lookup!$B$3)</f>
        <v>0</v>
      </c>
      <c r="AU8" s="176">
        <f>SUMIFS(Database!$G:$G,Database!$E:$E,Lookup!$C$3,Database!$C:$C,Lookup!AU$5,Database!$F:$F,Lookup!$C8,Database!$D:$D,Lookup!$B$3)</f>
        <v>0</v>
      </c>
      <c r="AV8" s="176">
        <f>SUMIFS(Database!$G:$G,Database!$E:$E,Lookup!$C$3,Database!$C:$C,Lookup!AV$5,Database!$F:$F,Lookup!$C8,Database!$D:$D,Lookup!$B$3)</f>
        <v>0</v>
      </c>
      <c r="AW8" s="176">
        <f>SUMIFS(Database!$G:$G,Database!$E:$E,Lookup!$C$3,Database!$C:$C,Lookup!AW$5,Database!$F:$F,Lookup!$C8,Database!$D:$D,Lookup!$B$3)</f>
        <v>32115</v>
      </c>
      <c r="AX8" s="176">
        <f>SUMIFS(Database!$G:$G,Database!$E:$E,Lookup!$C$3,Database!$C:$C,Lookup!AX$5,Database!$F:$F,Lookup!$C8,Database!$D:$D,Lookup!$B$3)</f>
        <v>11327</v>
      </c>
      <c r="AY8" s="176">
        <f>SUMIFS(Database!$G:$G,Database!$E:$E,Lookup!$C$3,Database!$C:$C,Lookup!AY$5,Database!$F:$F,Lookup!$C8,Database!$D:$D,Lookup!$B$3)</f>
        <v>3445</v>
      </c>
      <c r="AZ8" s="176">
        <f>SUMIFS(Database!$G:$G,Database!$E:$E,Lookup!$C$3,Database!$C:$C,Lookup!AZ$5,Database!$F:$F,Lookup!$C8,Database!$D:$D,Lookup!$B$3)</f>
        <v>1155</v>
      </c>
      <c r="BA8" s="176">
        <f>SUMIFS(Database!$G:$G,Database!$E:$E,Lookup!$C$3,Database!$C:$C,Lookup!BA$5,Database!$F:$F,Lookup!$C8,Database!$D:$D,Lookup!$B$3)</f>
        <v>769</v>
      </c>
      <c r="BB8" s="176">
        <f>SUMIFS(Database!$G:$G,Database!$E:$E,Lookup!$C$3,Database!$C:$C,Lookup!BB$5,Database!$F:$F,Lookup!$C8,Database!$D:$D,Lookup!$B$3)</f>
        <v>15766</v>
      </c>
      <c r="BC8" s="176">
        <f>SUMIFS(Database!$G:$G,Database!$E:$E,Lookup!$C$3,Database!$C:$C,Lookup!BC$5,Database!$F:$F,Lookup!$C8,Database!$D:$D,Lookup!$B$3)</f>
        <v>17579</v>
      </c>
      <c r="BD8" s="176">
        <f>SUMIFS(Database!$G:$G,Database!$E:$E,Lookup!$C$3,Database!$C:$C,Lookup!BD$5,Database!$F:$F,Lookup!$C8,Database!$D:$D,Lookup!$B$3)</f>
        <v>41769</v>
      </c>
      <c r="BE8" s="176">
        <f>SUMIFS(Database!$G:$G,Database!$E:$E,Lookup!$C$3,Database!$C:$C,Lookup!BE$5,Database!$F:$F,Lookup!$C8,Database!$D:$D,Lookup!$B$3)</f>
        <v>34148</v>
      </c>
      <c r="BF8" s="176">
        <f>SUMIFS(Database!$G:$G,Database!$E:$E,Lookup!$C$3,Database!$C:$C,Lookup!BF$5,Database!$F:$F,Lookup!$C8,Database!$D:$D,Lookup!$B$3)</f>
        <v>5110</v>
      </c>
      <c r="BG8" s="176">
        <f>SUMIFS(Database!$G:$G,Database!$E:$E,Lookup!$C$3,Database!$C:$C,Lookup!BG$5,Database!$F:$F,Lookup!$C8,Database!$D:$D,Lookup!$B$3)</f>
        <v>13652</v>
      </c>
      <c r="BH8" s="176">
        <f>SUMIFS(Database!$G:$G,Database!$E:$E,Lookup!$C$3,Database!$C:$C,Lookup!BH$5,Database!$F:$F,Lookup!$C8,Database!$D:$D,Lookup!$B$3)</f>
        <v>8532</v>
      </c>
      <c r="BI8" s="176">
        <f>SUMIFS(Database!$G:$G,Database!$E:$E,Lookup!$C$3,Database!$C:$C,Lookup!BI$5,Database!$F:$F,Lookup!$C8,Database!$D:$D,Lookup!$B$3)</f>
        <v>5781</v>
      </c>
      <c r="BJ8" s="176">
        <f>SUMIFS(Database!$G:$G,Database!$E:$E,Lookup!$C$3,Database!$C:$C,Lookup!BJ$5,Database!$F:$F,Lookup!$C8,Database!$D:$D,Lookup!$B$3)</f>
        <v>0</v>
      </c>
      <c r="BK8" s="176">
        <f>SUMIFS(Database!$G:$G,Database!$E:$E,Lookup!$C$3,Database!$C:$C,Lookup!BK$5,Database!$F:$F,Lookup!$C8,Database!$D:$D,Lookup!$B$3)</f>
        <v>13851</v>
      </c>
      <c r="BL8" s="176">
        <f>SUMIFS(Database!$G:$G,Database!$E:$E,Lookup!$C$3,Database!$C:$C,Lookup!BL$5,Database!$F:$F,Lookup!$C8,Database!$D:$D,Lookup!$B$3)</f>
        <v>3316</v>
      </c>
      <c r="BM8" s="176">
        <f>SUMIFS(Database!$G:$G,Database!$E:$E,Lookup!$C$3,Database!$C:$C,Lookup!BM$5,Database!$F:$F,Lookup!$C8,Database!$D:$D,Lookup!$B$3)</f>
        <v>0</v>
      </c>
      <c r="BN8" s="176">
        <f>SUMIFS(Database!$G:$G,Database!$E:$E,Lookup!$C$3,Database!$C:$C,Lookup!BN$5,Database!$F:$F,Lookup!$C8,Database!$D:$D,Lookup!$B$3)</f>
        <v>0</v>
      </c>
      <c r="BO8" s="176">
        <f>SUMIFS(Database!$G:$G,Database!$E:$E,Lookup!$C$3,Database!$C:$C,Lookup!BO$5,Database!$F:$F,Lookup!$C8,Database!$D:$D,Lookup!$B$3)</f>
        <v>0</v>
      </c>
      <c r="BP8" s="176">
        <f>SUMIFS(Database!$G:$G,Database!$E:$E,Lookup!$C$3,Database!$C:$C,Lookup!BP$5,Database!$F:$F,Lookup!$C8,Database!$D:$D,Lookup!$B$3)</f>
        <v>0</v>
      </c>
      <c r="BQ8" s="176">
        <f>SUMIFS(Database!$G:$G,Database!$E:$E,Lookup!$C$3,Database!$C:$C,Lookup!BQ$5,Database!$F:$F,Lookup!$C8,Database!$D:$D,Lookup!$B$3)</f>
        <v>10716</v>
      </c>
      <c r="BR8" s="176">
        <f>SUMIFS(Database!$G:$G,Database!$E:$E,Lookup!$C$3,Database!$C:$C,Lookup!BR$5,Database!$F:$F,Lookup!$C8,Database!$D:$D,Lookup!$B$3)</f>
        <v>0</v>
      </c>
      <c r="BS8" s="176">
        <f>SUMIFS(Database!$G:$G,Database!$E:$E,Lookup!$C$3,Database!$C:$C,Lookup!BS$5,Database!$F:$F,Lookup!$C8,Database!$D:$D,Lookup!$B$3)</f>
        <v>0</v>
      </c>
      <c r="BT8" s="176">
        <f>SUMIFS(Database!$G:$G,Database!$E:$E,Lookup!$C$3,Database!$C:$C,Lookup!BT$5,Database!$F:$F,Lookup!$C8,Database!$D:$D,Lookup!$B$3)</f>
        <v>0</v>
      </c>
      <c r="BU8" s="176">
        <f>SUMIFS(Database!$G:$G,Database!$E:$E,Lookup!$C$3,Database!$C:$C,Lookup!BU$5,Database!$F:$F,Lookup!$C8,Database!$D:$D,Lookup!$B$3)</f>
        <v>0</v>
      </c>
      <c r="BV8" s="176">
        <f>SUMIFS(Database!$G:$G,Database!$E:$E,Lookup!$C$3,Database!$C:$C,Lookup!BV$5,Database!$F:$F,Lookup!$C8,Database!$D:$D,Lookup!$B$3)</f>
        <v>0</v>
      </c>
      <c r="BW8" s="176">
        <f>SUMIFS(Database!$G:$G,Database!$E:$E,Lookup!$C$3,Database!$C:$C,Lookup!BW$5,Database!$F:$F,Lookup!$C8,Database!$D:$D,Lookup!$B$3)</f>
        <v>0</v>
      </c>
      <c r="BX8" s="176">
        <f>SUMIFS(Database!$G:$G,Database!$E:$E,Lookup!$C$3,Database!$C:$C,Lookup!BX$5,Database!$F:$F,Lookup!$C8,Database!$D:$D,Lookup!$B$3)</f>
        <v>0</v>
      </c>
      <c r="BY8" s="176">
        <f>SUMIFS(Database!$G:$G,Database!$E:$E,Lookup!$C$3,Database!$C:$C,Lookup!BY$5,Database!$F:$F,Lookup!$C8,Database!$D:$D,Lookup!$B$3)</f>
        <v>0</v>
      </c>
      <c r="BZ8" s="176">
        <f>SUMIFS(Database!$G:$G,Database!$E:$E,Lookup!$C$3,Database!$C:$C,Lookup!BZ$5,Database!$F:$F,Lookup!$C8,Database!$D:$D,Lookup!$B$3)</f>
        <v>0</v>
      </c>
      <c r="CA8" s="176">
        <f>SUMIFS(Database!$G:$G,Database!$E:$E,Lookup!$C$3,Database!$C:$C,Lookup!CA$5,Database!$F:$F,Lookup!$C8,Database!$D:$D,Lookup!$B$3)</f>
        <v>0</v>
      </c>
      <c r="CB8" s="176">
        <f>SUMIFS(Database!$G:$G,Database!$E:$E,Lookup!$C$3,Database!$C:$C,Lookup!CB$5,Database!$F:$F,Lookup!$C8,Database!$D:$D,Lookup!$B$3)</f>
        <v>0</v>
      </c>
      <c r="CC8" s="176">
        <f>SUMIFS(Database!$G:$G,Database!$E:$E,Lookup!$C$3,Database!$C:$C,Lookup!CC$5,Database!$F:$F,Lookup!$C8,Database!$D:$D,Lookup!$B$3)</f>
        <v>0</v>
      </c>
      <c r="CD8" s="176">
        <f>SUMIFS(Database!$G:$G,Database!$E:$E,Lookup!$C$3,Database!$C:$C,Lookup!CD$5,Database!$F:$F,Lookup!$C8,Database!$D:$D,Lookup!$B$3)</f>
        <v>0</v>
      </c>
      <c r="CE8" s="176">
        <f>SUMIFS(Database!$G:$G,Database!$E:$E,Lookup!$C$3,Database!$C:$C,Lookup!CE$5,Database!$F:$F,Lookup!$C8,Database!$D:$D,Lookup!$B$3)</f>
        <v>0</v>
      </c>
      <c r="CF8" s="176">
        <f>SUMIFS(Database!$G:$G,Database!$E:$E,Lookup!$C$3,Database!$C:$C,Lookup!CF$5,Database!$F:$F,Lookup!$C8,Database!$D:$D,Lookup!$B$3)</f>
        <v>0</v>
      </c>
      <c r="CG8" s="176">
        <f>SUMIFS(Database!$G:$G,Database!$E:$E,Lookup!$C$3,Database!$C:$C,Lookup!CG$5,Database!$F:$F,Lookup!$C8,Database!$D:$D,Lookup!$B$3)</f>
        <v>0</v>
      </c>
      <c r="CH8" s="176">
        <f>SUMIFS(Database!$G:$G,Database!$E:$E,Lookup!$C$3,Database!$C:$C,Lookup!CH$5,Database!$F:$F,Lookup!$C8,Database!$D:$D,Lookup!$B$3)</f>
        <v>0</v>
      </c>
      <c r="CI8" s="176">
        <f>SUMIFS(Database!$G:$G,Database!$E:$E,Lookup!$C$3,Database!$C:$C,Lookup!CI$5,Database!$F:$F,Lookup!$C8,Database!$D:$D,Lookup!$B$3)</f>
        <v>0</v>
      </c>
      <c r="CJ8" s="176">
        <f>SUMIFS(Database!$G:$G,Database!$E:$E,Lookup!$C$3,Database!$C:$C,Lookup!CJ$5,Database!$F:$F,Lookup!$C8,Database!$D:$D,Lookup!$B$3)</f>
        <v>0</v>
      </c>
      <c r="CK8" s="176">
        <f>SUMIFS(Database!$G:$G,Database!$E:$E,Lookup!$C$3,Database!$C:$C,Lookup!CK$5,Database!$F:$F,Lookup!$C8,Database!$D:$D,Lookup!$B$3)</f>
        <v>0</v>
      </c>
      <c r="CL8" s="176">
        <f>SUMIFS(Database!$G:$G,Database!$E:$E,Lookup!$C$3,Database!$C:$C,Lookup!CL$5,Database!$F:$F,Lookup!$C8,Database!$D:$D,Lookup!$B$3)</f>
        <v>0</v>
      </c>
      <c r="CM8" s="176">
        <f>SUMIFS(Database!$G:$G,Database!$E:$E,Lookup!$C$3,Database!$C:$C,Lookup!CM$5,Database!$F:$F,Lookup!$C8,Database!$D:$D,Lookup!$B$3)</f>
        <v>0</v>
      </c>
      <c r="CN8" s="176">
        <f>SUMIFS(Database!$G:$G,Database!$E:$E,Lookup!$C$3,Database!$C:$C,Lookup!CN$5,Database!$F:$F,Lookup!$C8,Database!$D:$D,Lookup!$B$3)</f>
        <v>0</v>
      </c>
      <c r="CO8" s="176">
        <f>SUMIFS(Database!$G:$G,Database!$E:$E,Lookup!$C$3,Database!$C:$C,Lookup!CO$5,Database!$F:$F,Lookup!$C8,Database!$D:$D,Lookup!$B$3)</f>
        <v>0</v>
      </c>
      <c r="CP8" s="176">
        <f>SUMIFS(Database!$G:$G,Database!$E:$E,Lookup!$C$3,Database!$C:$C,Lookup!CP$5,Database!$F:$F,Lookup!$C8,Database!$D:$D,Lookup!$B$3)</f>
        <v>0</v>
      </c>
      <c r="CQ8" s="176">
        <f>SUMIFS(Database!$G:$G,Database!$E:$E,Lookup!$C$3,Database!$C:$C,Lookup!CQ$5,Database!$F:$F,Lookup!$C8,Database!$D:$D,Lookup!$B$3)</f>
        <v>0</v>
      </c>
      <c r="CR8" s="176">
        <f>SUMIFS(Database!$G:$G,Database!$E:$E,Lookup!$C$3,Database!$C:$C,Lookup!CR$5,Database!$F:$F,Lookup!$C8,Database!$D:$D,Lookup!$B$3)</f>
        <v>0</v>
      </c>
      <c r="CS8" s="176">
        <f>SUMIFS(Database!$G:$G,Database!$E:$E,Lookup!$C$3,Database!$C:$C,Lookup!CS$5,Database!$F:$F,Lookup!$C8,Database!$D:$D,Lookup!$B$3)</f>
        <v>0</v>
      </c>
      <c r="CT8" s="176">
        <f>SUMIFS(Database!$G:$G,Database!$E:$E,Lookup!$C$3,Database!$C:$C,Lookup!CT$5,Database!$F:$F,Lookup!$C8,Database!$D:$D,Lookup!$B$3)</f>
        <v>0</v>
      </c>
      <c r="CU8" s="176">
        <f>SUMIFS(Database!$G:$G,Database!$E:$E,Lookup!$C$3,Database!$C:$C,Lookup!CU$5,Database!$F:$F,Lookup!$C8,Database!$D:$D,Lookup!$B$3)</f>
        <v>0</v>
      </c>
      <c r="CV8" s="177">
        <f>SUMIFS(Database!$G:$G,Database!$E:$E,Lookup!$C$3,Database!$C:$C,Lookup!CV$5,Database!$F:$F,Lookup!$C8,Database!$D:$D,Lookup!$B$3)</f>
        <v>0</v>
      </c>
    </row>
    <row r="9" spans="2:100" x14ac:dyDescent="0.25">
      <c r="C9" s="217" t="s">
        <v>2</v>
      </c>
      <c r="D9" s="222"/>
      <c r="E9" s="228">
        <f>SUMIFS(Database!$G:$G,Database!$E:$E,Lookup!$C$3,Database!$C:$C,Lookup!E$5,Database!$F:$F,Lookup!$C9,Database!$D:$D,Lookup!$B$3)</f>
        <v>0</v>
      </c>
      <c r="F9" s="176">
        <f>SUMIFS(Database!$G:$G,Database!$E:$E,Lookup!$C$3,Database!$C:$C,Lookup!F$5,Database!$F:$F,Lookup!$C9,Database!$D:$D,Lookup!$B$3)</f>
        <v>0</v>
      </c>
      <c r="G9" s="176">
        <f>SUMIFS(Database!$G:$G,Database!$E:$E,Lookup!$C$3,Database!$C:$C,Lookup!G$5,Database!$F:$F,Lookup!$C9,Database!$D:$D,Lookup!$B$3)</f>
        <v>0</v>
      </c>
      <c r="H9" s="176">
        <f>SUMIFS(Database!$G:$G,Database!$E:$E,Lookup!$C$3,Database!$C:$C,Lookup!H$5,Database!$F:$F,Lookup!$C9,Database!$D:$D,Lookup!$B$3)</f>
        <v>0</v>
      </c>
      <c r="I9" s="176">
        <f>SUMIFS(Database!$G:$G,Database!$E:$E,Lookup!$C$3,Database!$C:$C,Lookup!I$5,Database!$F:$F,Lookup!$C9,Database!$D:$D,Lookup!$B$3)</f>
        <v>0</v>
      </c>
      <c r="J9" s="176">
        <f>SUMIFS(Database!$G:$G,Database!$E:$E,Lookup!$C$3,Database!$C:$C,Lookup!J$5,Database!$F:$F,Lookup!$C9,Database!$D:$D,Lookup!$B$3)</f>
        <v>0</v>
      </c>
      <c r="K9" s="176">
        <f>SUMIFS(Database!$G:$G,Database!$E:$E,Lookup!$C$3,Database!$C:$C,Lookup!K$5,Database!$F:$F,Lookup!$C9,Database!$D:$D,Lookup!$B$3)</f>
        <v>0</v>
      </c>
      <c r="L9" s="176">
        <f>SUMIFS(Database!$G:$G,Database!$E:$E,Lookup!$C$3,Database!$C:$C,Lookup!L$5,Database!$F:$F,Lookup!$C9,Database!$D:$D,Lookup!$B$3)</f>
        <v>0</v>
      </c>
      <c r="M9" s="176">
        <f>SUMIFS(Database!$G:$G,Database!$E:$E,Lookup!$C$3,Database!$C:$C,Lookup!M$5,Database!$F:$F,Lookup!$C9,Database!$D:$D,Lookup!$B$3)</f>
        <v>0</v>
      </c>
      <c r="N9" s="176">
        <f>SUMIFS(Database!$G:$G,Database!$E:$E,Lookup!$C$3,Database!$C:$C,Lookup!N$5,Database!$F:$F,Lookup!$C9,Database!$D:$D,Lookup!$B$3)</f>
        <v>0</v>
      </c>
      <c r="O9" s="176">
        <f>SUMIFS(Database!$G:$G,Database!$E:$E,Lookup!$C$3,Database!$C:$C,Lookup!O$5,Database!$F:$F,Lookup!$C9,Database!$D:$D,Lookup!$B$3)</f>
        <v>0</v>
      </c>
      <c r="P9" s="176">
        <f>SUMIFS(Database!$G:$G,Database!$E:$E,Lookup!$C$3,Database!$C:$C,Lookup!P$5,Database!$F:$F,Lookup!$C9,Database!$D:$D,Lookup!$B$3)</f>
        <v>0</v>
      </c>
      <c r="Q9" s="176">
        <f>SUMIFS(Database!$G:$G,Database!$E:$E,Lookup!$C$3,Database!$C:$C,Lookup!Q$5,Database!$F:$F,Lookup!$C9,Database!$D:$D,Lookup!$B$3)</f>
        <v>0</v>
      </c>
      <c r="R9" s="176">
        <f>SUMIFS(Database!$G:$G,Database!$E:$E,Lookup!$C$3,Database!$C:$C,Lookup!R$5,Database!$F:$F,Lookup!$C9,Database!$D:$D,Lookup!$B$3)</f>
        <v>0</v>
      </c>
      <c r="S9" s="176">
        <f>SUMIFS(Database!$G:$G,Database!$E:$E,Lookup!$C$3,Database!$C:$C,Lookup!S$5,Database!$F:$F,Lookup!$C9,Database!$D:$D,Lookup!$B$3)</f>
        <v>0</v>
      </c>
      <c r="T9" s="176">
        <f>SUMIFS(Database!$G:$G,Database!$E:$E,Lookup!$C$3,Database!$C:$C,Lookup!T$5,Database!$F:$F,Lookup!$C9,Database!$D:$D,Lookup!$B$3)</f>
        <v>0</v>
      </c>
      <c r="U9" s="176">
        <f>SUMIFS(Database!$G:$G,Database!$E:$E,Lookup!$C$3,Database!$C:$C,Lookup!U$5,Database!$F:$F,Lookup!$C9,Database!$D:$D,Lookup!$B$3)</f>
        <v>0</v>
      </c>
      <c r="V9" s="176">
        <f>SUMIFS(Database!$G:$G,Database!$E:$E,Lookup!$C$3,Database!$C:$C,Lookup!V$5,Database!$F:$F,Lookup!$C9,Database!$D:$D,Lookup!$B$3)</f>
        <v>0</v>
      </c>
      <c r="W9" s="176">
        <f>SUMIFS(Database!$G:$G,Database!$E:$E,Lookup!$C$3,Database!$C:$C,Lookup!W$5,Database!$F:$F,Lookup!$C9,Database!$D:$D,Lookup!$B$3)</f>
        <v>0</v>
      </c>
      <c r="X9" s="176">
        <f>SUMIFS(Database!$G:$G,Database!$E:$E,Lookup!$C$3,Database!$C:$C,Lookup!X$5,Database!$F:$F,Lookup!$C9,Database!$D:$D,Lookup!$B$3)</f>
        <v>0</v>
      </c>
      <c r="Y9" s="176">
        <f>SUMIFS(Database!$G:$G,Database!$E:$E,Lookup!$C$3,Database!$C:$C,Lookup!Y$5,Database!$F:$F,Lookup!$C9,Database!$D:$D,Lookup!$B$3)</f>
        <v>0</v>
      </c>
      <c r="Z9" s="176">
        <f>SUMIFS(Database!$G:$G,Database!$E:$E,Lookup!$C$3,Database!$C:$C,Lookup!Z$5,Database!$F:$F,Lookup!$C9,Database!$D:$D,Lookup!$B$3)</f>
        <v>0</v>
      </c>
      <c r="AA9" s="176">
        <f>SUMIFS(Database!$G:$G,Database!$E:$E,Lookup!$C$3,Database!$C:$C,Lookup!AA$5,Database!$F:$F,Lookup!$C9,Database!$D:$D,Lookup!$B$3)</f>
        <v>0</v>
      </c>
      <c r="AB9" s="176">
        <f>SUMIFS(Database!$G:$G,Database!$E:$E,Lookup!$C$3,Database!$C:$C,Lookup!AB$5,Database!$F:$F,Lookup!$C9,Database!$D:$D,Lookup!$B$3)</f>
        <v>0</v>
      </c>
      <c r="AC9" s="176">
        <f>SUMIFS(Database!$G:$G,Database!$E:$E,Lookup!$C$3,Database!$C:$C,Lookup!AC$5,Database!$F:$F,Lookup!$C9,Database!$D:$D,Lookup!$B$3)</f>
        <v>0</v>
      </c>
      <c r="AD9" s="176">
        <f>SUMIFS(Database!$G:$G,Database!$E:$E,Lookup!$C$3,Database!$C:$C,Lookup!AD$5,Database!$F:$F,Lookup!$C9,Database!$D:$D,Lookup!$B$3)</f>
        <v>0</v>
      </c>
      <c r="AE9" s="176">
        <f>SUMIFS(Database!$G:$G,Database!$E:$E,Lookup!$C$3,Database!$C:$C,Lookup!AE$5,Database!$F:$F,Lookup!$C9,Database!$D:$D,Lookup!$B$3)</f>
        <v>0</v>
      </c>
      <c r="AF9" s="176">
        <f>SUMIFS(Database!$G:$G,Database!$E:$E,Lookup!$C$3,Database!$C:$C,Lookup!AF$5,Database!$F:$F,Lookup!$C9,Database!$D:$D,Lookup!$B$3)</f>
        <v>0</v>
      </c>
      <c r="AG9" s="176">
        <f>SUMIFS(Database!$G:$G,Database!$E:$E,Lookup!$C$3,Database!$C:$C,Lookup!AG$5,Database!$F:$F,Lookup!$C9,Database!$D:$D,Lookup!$B$3)</f>
        <v>0</v>
      </c>
      <c r="AH9" s="176">
        <f>SUMIFS(Database!$G:$G,Database!$E:$E,Lookup!$C$3,Database!$C:$C,Lookup!AH$5,Database!$F:$F,Lookup!$C9,Database!$D:$D,Lookup!$B$3)</f>
        <v>0</v>
      </c>
      <c r="AI9" s="176">
        <f>SUMIFS(Database!$G:$G,Database!$E:$E,Lookup!$C$3,Database!$C:$C,Lookup!AI$5,Database!$F:$F,Lookup!$C9,Database!$D:$D,Lookup!$B$3)</f>
        <v>0</v>
      </c>
      <c r="AJ9" s="176">
        <f>SUMIFS(Database!$G:$G,Database!$E:$E,Lookup!$C$3,Database!$C:$C,Lookup!AJ$5,Database!$F:$F,Lookup!$C9,Database!$D:$D,Lookup!$B$3)</f>
        <v>0</v>
      </c>
      <c r="AK9" s="176">
        <f>SUMIFS(Database!$G:$G,Database!$E:$E,Lookup!$C$3,Database!$C:$C,Lookup!AK$5,Database!$F:$F,Lookup!$C9,Database!$D:$D,Lookup!$B$3)</f>
        <v>0</v>
      </c>
      <c r="AL9" s="176">
        <f>SUMIFS(Database!$G:$G,Database!$E:$E,Lookup!$C$3,Database!$C:$C,Lookup!AL$5,Database!$F:$F,Lookup!$C9,Database!$D:$D,Lookup!$B$3)</f>
        <v>0</v>
      </c>
      <c r="AM9" s="176">
        <f>SUMIFS(Database!$G:$G,Database!$E:$E,Lookup!$C$3,Database!$C:$C,Lookup!AM$5,Database!$F:$F,Lookup!$C9,Database!$D:$D,Lookup!$B$3)</f>
        <v>0</v>
      </c>
      <c r="AN9" s="176">
        <f>SUMIFS(Database!$G:$G,Database!$E:$E,Lookup!$C$3,Database!$C:$C,Lookup!AN$5,Database!$F:$F,Lookup!$C9,Database!$D:$D,Lookup!$B$3)</f>
        <v>0</v>
      </c>
      <c r="AO9" s="176">
        <f>SUMIFS(Database!$G:$G,Database!$E:$E,Lookup!$C$3,Database!$C:$C,Lookup!AO$5,Database!$F:$F,Lookup!$C9,Database!$D:$D,Lookup!$B$3)</f>
        <v>0</v>
      </c>
      <c r="AP9" s="176">
        <f>SUMIFS(Database!$G:$G,Database!$E:$E,Lookup!$C$3,Database!$C:$C,Lookup!AP$5,Database!$F:$F,Lookup!$C9,Database!$D:$D,Lookup!$B$3)</f>
        <v>0</v>
      </c>
      <c r="AQ9" s="176">
        <f>SUMIFS(Database!$G:$G,Database!$E:$E,Lookup!$C$3,Database!$C:$C,Lookup!AQ$5,Database!$F:$F,Lookup!$C9,Database!$D:$D,Lookup!$B$3)</f>
        <v>0</v>
      </c>
      <c r="AR9" s="176">
        <f>SUMIFS(Database!$G:$G,Database!$E:$E,Lookup!$C$3,Database!$C:$C,Lookup!AR$5,Database!$F:$F,Lookup!$C9,Database!$D:$D,Lookup!$B$3)</f>
        <v>0</v>
      </c>
      <c r="AS9" s="176">
        <f>SUMIFS(Database!$G:$G,Database!$E:$E,Lookup!$C$3,Database!$C:$C,Lookup!AS$5,Database!$F:$F,Lookup!$C9,Database!$D:$D,Lookup!$B$3)</f>
        <v>0</v>
      </c>
      <c r="AT9" s="176">
        <f>SUMIFS(Database!$G:$G,Database!$E:$E,Lookup!$C$3,Database!$C:$C,Lookup!AT$5,Database!$F:$F,Lookup!$C9,Database!$D:$D,Lookup!$B$3)</f>
        <v>0</v>
      </c>
      <c r="AU9" s="176">
        <f>SUMIFS(Database!$G:$G,Database!$E:$E,Lookup!$C$3,Database!$C:$C,Lookup!AU$5,Database!$F:$F,Lookup!$C9,Database!$D:$D,Lookup!$B$3)</f>
        <v>0</v>
      </c>
      <c r="AV9" s="176">
        <f>SUMIFS(Database!$G:$G,Database!$E:$E,Lookup!$C$3,Database!$C:$C,Lookup!AV$5,Database!$F:$F,Lookup!$C9,Database!$D:$D,Lookup!$B$3)</f>
        <v>0</v>
      </c>
      <c r="AW9" s="176">
        <f>SUMIFS(Database!$G:$G,Database!$E:$E,Lookup!$C$3,Database!$C:$C,Lookup!AW$5,Database!$F:$F,Lookup!$C9,Database!$D:$D,Lookup!$B$3)</f>
        <v>0</v>
      </c>
      <c r="AX9" s="176">
        <f>SUMIFS(Database!$G:$G,Database!$E:$E,Lookup!$C$3,Database!$C:$C,Lookup!AX$5,Database!$F:$F,Lookup!$C9,Database!$D:$D,Lookup!$B$3)</f>
        <v>0</v>
      </c>
      <c r="AY9" s="176">
        <f>SUMIFS(Database!$G:$G,Database!$E:$E,Lookup!$C$3,Database!$C:$C,Lookup!AY$5,Database!$F:$F,Lookup!$C9,Database!$D:$D,Lookup!$B$3)</f>
        <v>0</v>
      </c>
      <c r="AZ9" s="176">
        <f>SUMIFS(Database!$G:$G,Database!$E:$E,Lookup!$C$3,Database!$C:$C,Lookup!AZ$5,Database!$F:$F,Lookup!$C9,Database!$D:$D,Lookup!$B$3)</f>
        <v>0</v>
      </c>
      <c r="BA9" s="176">
        <f>SUMIFS(Database!$G:$G,Database!$E:$E,Lookup!$C$3,Database!$C:$C,Lookup!BA$5,Database!$F:$F,Lookup!$C9,Database!$D:$D,Lookup!$B$3)</f>
        <v>0</v>
      </c>
      <c r="BB9" s="176">
        <f>SUMIFS(Database!$G:$G,Database!$E:$E,Lookup!$C$3,Database!$C:$C,Lookup!BB$5,Database!$F:$F,Lookup!$C9,Database!$D:$D,Lookup!$B$3)</f>
        <v>0</v>
      </c>
      <c r="BC9" s="176">
        <f>SUMIFS(Database!$G:$G,Database!$E:$E,Lookup!$C$3,Database!$C:$C,Lookup!BC$5,Database!$F:$F,Lookup!$C9,Database!$D:$D,Lookup!$B$3)</f>
        <v>0</v>
      </c>
      <c r="BD9" s="176">
        <f>SUMIFS(Database!$G:$G,Database!$E:$E,Lookup!$C$3,Database!$C:$C,Lookup!BD$5,Database!$F:$F,Lookup!$C9,Database!$D:$D,Lookup!$B$3)</f>
        <v>0</v>
      </c>
      <c r="BE9" s="176">
        <f>SUMIFS(Database!$G:$G,Database!$E:$E,Lookup!$C$3,Database!$C:$C,Lookup!BE$5,Database!$F:$F,Lookup!$C9,Database!$D:$D,Lookup!$B$3)</f>
        <v>0</v>
      </c>
      <c r="BF9" s="176">
        <f>SUMIFS(Database!$G:$G,Database!$E:$E,Lookup!$C$3,Database!$C:$C,Lookup!BF$5,Database!$F:$F,Lookup!$C9,Database!$D:$D,Lookup!$B$3)</f>
        <v>0</v>
      </c>
      <c r="BG9" s="176">
        <f>SUMIFS(Database!$G:$G,Database!$E:$E,Lookup!$C$3,Database!$C:$C,Lookup!BG$5,Database!$F:$F,Lookup!$C9,Database!$D:$D,Lookup!$B$3)</f>
        <v>0</v>
      </c>
      <c r="BH9" s="176">
        <f>SUMIFS(Database!$G:$G,Database!$E:$E,Lookup!$C$3,Database!$C:$C,Lookup!BH$5,Database!$F:$F,Lookup!$C9,Database!$D:$D,Lookup!$B$3)</f>
        <v>0</v>
      </c>
      <c r="BI9" s="176">
        <f>SUMIFS(Database!$G:$G,Database!$E:$E,Lookup!$C$3,Database!$C:$C,Lookup!BI$5,Database!$F:$F,Lookup!$C9,Database!$D:$D,Lookup!$B$3)</f>
        <v>0</v>
      </c>
      <c r="BJ9" s="176">
        <f>SUMIFS(Database!$G:$G,Database!$E:$E,Lookup!$C$3,Database!$C:$C,Lookup!BJ$5,Database!$F:$F,Lookup!$C9,Database!$D:$D,Lookup!$B$3)</f>
        <v>0</v>
      </c>
      <c r="BK9" s="176">
        <f>SUMIFS(Database!$G:$G,Database!$E:$E,Lookup!$C$3,Database!$C:$C,Lookup!BK$5,Database!$F:$F,Lookup!$C9,Database!$D:$D,Lookup!$B$3)</f>
        <v>3172</v>
      </c>
      <c r="BL9" s="176">
        <f>SUMIFS(Database!$G:$G,Database!$E:$E,Lookup!$C$3,Database!$C:$C,Lookup!BL$5,Database!$F:$F,Lookup!$C9,Database!$D:$D,Lookup!$B$3)</f>
        <v>1346</v>
      </c>
      <c r="BM9" s="176">
        <f>SUMIFS(Database!$G:$G,Database!$E:$E,Lookup!$C$3,Database!$C:$C,Lookup!BM$5,Database!$F:$F,Lookup!$C9,Database!$D:$D,Lookup!$B$3)</f>
        <v>0</v>
      </c>
      <c r="BN9" s="176">
        <f>SUMIFS(Database!$G:$G,Database!$E:$E,Lookup!$C$3,Database!$C:$C,Lookup!BN$5,Database!$F:$F,Lookup!$C9,Database!$D:$D,Lookup!$B$3)</f>
        <v>0</v>
      </c>
      <c r="BO9" s="176">
        <f>SUMIFS(Database!$G:$G,Database!$E:$E,Lookup!$C$3,Database!$C:$C,Lookup!BO$5,Database!$F:$F,Lookup!$C9,Database!$D:$D,Lookup!$B$3)</f>
        <v>0</v>
      </c>
      <c r="BP9" s="176">
        <f>SUMIFS(Database!$G:$G,Database!$E:$E,Lookup!$C$3,Database!$C:$C,Lookup!BP$5,Database!$F:$F,Lookup!$C9,Database!$D:$D,Lookup!$B$3)</f>
        <v>0</v>
      </c>
      <c r="BQ9" s="176">
        <f>SUMIFS(Database!$G:$G,Database!$E:$E,Lookup!$C$3,Database!$C:$C,Lookup!BQ$5,Database!$F:$F,Lookup!$C9,Database!$D:$D,Lookup!$B$3)</f>
        <v>0</v>
      </c>
      <c r="BR9" s="176">
        <f>SUMIFS(Database!$G:$G,Database!$E:$E,Lookup!$C$3,Database!$C:$C,Lookup!BR$5,Database!$F:$F,Lookup!$C9,Database!$D:$D,Lookup!$B$3)</f>
        <v>0</v>
      </c>
      <c r="BS9" s="176">
        <f>SUMIFS(Database!$G:$G,Database!$E:$E,Lookup!$C$3,Database!$C:$C,Lookup!BS$5,Database!$F:$F,Lookup!$C9,Database!$D:$D,Lookup!$B$3)</f>
        <v>0</v>
      </c>
      <c r="BT9" s="176">
        <f>SUMIFS(Database!$G:$G,Database!$E:$E,Lookup!$C$3,Database!$C:$C,Lookup!BT$5,Database!$F:$F,Lookup!$C9,Database!$D:$D,Lookup!$B$3)</f>
        <v>0</v>
      </c>
      <c r="BU9" s="176">
        <f>SUMIFS(Database!$G:$G,Database!$E:$E,Lookup!$C$3,Database!$C:$C,Lookup!BU$5,Database!$F:$F,Lookup!$C9,Database!$D:$D,Lookup!$B$3)</f>
        <v>0</v>
      </c>
      <c r="BV9" s="176">
        <f>SUMIFS(Database!$G:$G,Database!$E:$E,Lookup!$C$3,Database!$C:$C,Lookup!BV$5,Database!$F:$F,Lookup!$C9,Database!$D:$D,Lookup!$B$3)</f>
        <v>0</v>
      </c>
      <c r="BW9" s="176">
        <f>SUMIFS(Database!$G:$G,Database!$E:$E,Lookup!$C$3,Database!$C:$C,Lookup!BW$5,Database!$F:$F,Lookup!$C9,Database!$D:$D,Lookup!$B$3)</f>
        <v>0</v>
      </c>
      <c r="BX9" s="176">
        <f>SUMIFS(Database!$G:$G,Database!$E:$E,Lookup!$C$3,Database!$C:$C,Lookup!BX$5,Database!$F:$F,Lookup!$C9,Database!$D:$D,Lookup!$B$3)</f>
        <v>0</v>
      </c>
      <c r="BY9" s="176">
        <f>SUMIFS(Database!$G:$G,Database!$E:$E,Lookup!$C$3,Database!$C:$C,Lookup!BY$5,Database!$F:$F,Lookup!$C9,Database!$D:$D,Lookup!$B$3)</f>
        <v>0</v>
      </c>
      <c r="BZ9" s="176">
        <f>SUMIFS(Database!$G:$G,Database!$E:$E,Lookup!$C$3,Database!$C:$C,Lookup!BZ$5,Database!$F:$F,Lookup!$C9,Database!$D:$D,Lookup!$B$3)</f>
        <v>0</v>
      </c>
      <c r="CA9" s="176">
        <f>SUMIFS(Database!$G:$G,Database!$E:$E,Lookup!$C$3,Database!$C:$C,Lookup!CA$5,Database!$F:$F,Lookup!$C9,Database!$D:$D,Lookup!$B$3)</f>
        <v>0</v>
      </c>
      <c r="CB9" s="176">
        <f>SUMIFS(Database!$G:$G,Database!$E:$E,Lookup!$C$3,Database!$C:$C,Lookup!CB$5,Database!$F:$F,Lookup!$C9,Database!$D:$D,Lookup!$B$3)</f>
        <v>0</v>
      </c>
      <c r="CC9" s="176">
        <f>SUMIFS(Database!$G:$G,Database!$E:$E,Lookup!$C$3,Database!$C:$C,Lookup!CC$5,Database!$F:$F,Lookup!$C9,Database!$D:$D,Lookup!$B$3)</f>
        <v>0</v>
      </c>
      <c r="CD9" s="176">
        <f>SUMIFS(Database!$G:$G,Database!$E:$E,Lookup!$C$3,Database!$C:$C,Lookup!CD$5,Database!$F:$F,Lookup!$C9,Database!$D:$D,Lookup!$B$3)</f>
        <v>0</v>
      </c>
      <c r="CE9" s="176">
        <f>SUMIFS(Database!$G:$G,Database!$E:$E,Lookup!$C$3,Database!$C:$C,Lookup!CE$5,Database!$F:$F,Lookup!$C9,Database!$D:$D,Lookup!$B$3)</f>
        <v>0</v>
      </c>
      <c r="CF9" s="176">
        <f>SUMIFS(Database!$G:$G,Database!$E:$E,Lookup!$C$3,Database!$C:$C,Lookup!CF$5,Database!$F:$F,Lookup!$C9,Database!$D:$D,Lookup!$B$3)</f>
        <v>0</v>
      </c>
      <c r="CG9" s="176">
        <f>SUMIFS(Database!$G:$G,Database!$E:$E,Lookup!$C$3,Database!$C:$C,Lookup!CG$5,Database!$F:$F,Lookup!$C9,Database!$D:$D,Lookup!$B$3)</f>
        <v>0</v>
      </c>
      <c r="CH9" s="176">
        <f>SUMIFS(Database!$G:$G,Database!$E:$E,Lookup!$C$3,Database!$C:$C,Lookup!CH$5,Database!$F:$F,Lookup!$C9,Database!$D:$D,Lookup!$B$3)</f>
        <v>0</v>
      </c>
      <c r="CI9" s="176">
        <f>SUMIFS(Database!$G:$G,Database!$E:$E,Lookup!$C$3,Database!$C:$C,Lookup!CI$5,Database!$F:$F,Lookup!$C9,Database!$D:$D,Lookup!$B$3)</f>
        <v>0</v>
      </c>
      <c r="CJ9" s="176">
        <f>SUMIFS(Database!$G:$G,Database!$E:$E,Lookup!$C$3,Database!$C:$C,Lookup!CJ$5,Database!$F:$F,Lookup!$C9,Database!$D:$D,Lookup!$B$3)</f>
        <v>0</v>
      </c>
      <c r="CK9" s="176">
        <f>SUMIFS(Database!$G:$G,Database!$E:$E,Lookup!$C$3,Database!$C:$C,Lookup!CK$5,Database!$F:$F,Lookup!$C9,Database!$D:$D,Lookup!$B$3)</f>
        <v>0</v>
      </c>
      <c r="CL9" s="176">
        <f>SUMIFS(Database!$G:$G,Database!$E:$E,Lookup!$C$3,Database!$C:$C,Lookup!CL$5,Database!$F:$F,Lookup!$C9,Database!$D:$D,Lookup!$B$3)</f>
        <v>0</v>
      </c>
      <c r="CM9" s="176">
        <f>SUMIFS(Database!$G:$G,Database!$E:$E,Lookup!$C$3,Database!$C:$C,Lookup!CM$5,Database!$F:$F,Lookup!$C9,Database!$D:$D,Lookup!$B$3)</f>
        <v>0</v>
      </c>
      <c r="CN9" s="176">
        <f>SUMIFS(Database!$G:$G,Database!$E:$E,Lookup!$C$3,Database!$C:$C,Lookup!CN$5,Database!$F:$F,Lookup!$C9,Database!$D:$D,Lookup!$B$3)</f>
        <v>0</v>
      </c>
      <c r="CO9" s="176">
        <f>SUMIFS(Database!$G:$G,Database!$E:$E,Lookup!$C$3,Database!$C:$C,Lookup!CO$5,Database!$F:$F,Lookup!$C9,Database!$D:$D,Lookup!$B$3)</f>
        <v>0</v>
      </c>
      <c r="CP9" s="176">
        <f>SUMIFS(Database!$G:$G,Database!$E:$E,Lookup!$C$3,Database!$C:$C,Lookup!CP$5,Database!$F:$F,Lookup!$C9,Database!$D:$D,Lookup!$B$3)</f>
        <v>0</v>
      </c>
      <c r="CQ9" s="176">
        <f>SUMIFS(Database!$G:$G,Database!$E:$E,Lookup!$C$3,Database!$C:$C,Lookup!CQ$5,Database!$F:$F,Lookup!$C9,Database!$D:$D,Lookup!$B$3)</f>
        <v>0</v>
      </c>
      <c r="CR9" s="176">
        <f>SUMIFS(Database!$G:$G,Database!$E:$E,Lookup!$C$3,Database!$C:$C,Lookup!CR$5,Database!$F:$F,Lookup!$C9,Database!$D:$D,Lookup!$B$3)</f>
        <v>0</v>
      </c>
      <c r="CS9" s="176">
        <f>SUMIFS(Database!$G:$G,Database!$E:$E,Lookup!$C$3,Database!$C:$C,Lookup!CS$5,Database!$F:$F,Lookup!$C9,Database!$D:$D,Lookup!$B$3)</f>
        <v>0</v>
      </c>
      <c r="CT9" s="176">
        <f>SUMIFS(Database!$G:$G,Database!$E:$E,Lookup!$C$3,Database!$C:$C,Lookup!CT$5,Database!$F:$F,Lookup!$C9,Database!$D:$D,Lookup!$B$3)</f>
        <v>0</v>
      </c>
      <c r="CU9" s="176">
        <f>SUMIFS(Database!$G:$G,Database!$E:$E,Lookup!$C$3,Database!$C:$C,Lookup!CU$5,Database!$F:$F,Lookup!$C9,Database!$D:$D,Lookup!$B$3)</f>
        <v>0</v>
      </c>
      <c r="CV9" s="177">
        <f>SUMIFS(Database!$G:$G,Database!$E:$E,Lookup!$C$3,Database!$C:$C,Lookup!CV$5,Database!$F:$F,Lookup!$C9,Database!$D:$D,Lookup!$B$3)</f>
        <v>0</v>
      </c>
    </row>
    <row r="10" spans="2:100" x14ac:dyDescent="0.25">
      <c r="C10" s="217" t="s">
        <v>3</v>
      </c>
      <c r="D10" s="222"/>
      <c r="E10" s="228">
        <f>SUMIFS(Database!$G:$G,Database!$E:$E,Lookup!$C$3,Database!$C:$C,Lookup!E$5,Database!$F:$F,Lookup!$C10,Database!$D:$D,Lookup!$B$3)</f>
        <v>0</v>
      </c>
      <c r="F10" s="176">
        <f>SUMIFS(Database!$G:$G,Database!$E:$E,Lookup!$C$3,Database!$C:$C,Lookup!F$5,Database!$F:$F,Lookup!$C10,Database!$D:$D,Lookup!$B$3)</f>
        <v>0</v>
      </c>
      <c r="G10" s="176">
        <f>SUMIFS(Database!$G:$G,Database!$E:$E,Lookup!$C$3,Database!$C:$C,Lookup!G$5,Database!$F:$F,Lookup!$C10,Database!$D:$D,Lookup!$B$3)</f>
        <v>0</v>
      </c>
      <c r="H10" s="176">
        <f>SUMIFS(Database!$G:$G,Database!$E:$E,Lookup!$C$3,Database!$C:$C,Lookup!H$5,Database!$F:$F,Lookup!$C10,Database!$D:$D,Lookup!$B$3)</f>
        <v>0</v>
      </c>
      <c r="I10" s="176">
        <f>SUMIFS(Database!$G:$G,Database!$E:$E,Lookup!$C$3,Database!$C:$C,Lookup!I$5,Database!$F:$F,Lookup!$C10,Database!$D:$D,Lookup!$B$3)</f>
        <v>0</v>
      </c>
      <c r="J10" s="176">
        <f>SUMIFS(Database!$G:$G,Database!$E:$E,Lookup!$C$3,Database!$C:$C,Lookup!J$5,Database!$F:$F,Lookup!$C10,Database!$D:$D,Lookup!$B$3)</f>
        <v>0</v>
      </c>
      <c r="K10" s="176">
        <f>SUMIFS(Database!$G:$G,Database!$E:$E,Lookup!$C$3,Database!$C:$C,Lookup!K$5,Database!$F:$F,Lookup!$C10,Database!$D:$D,Lookup!$B$3)</f>
        <v>0</v>
      </c>
      <c r="L10" s="176">
        <f>SUMIFS(Database!$G:$G,Database!$E:$E,Lookup!$C$3,Database!$C:$C,Lookup!L$5,Database!$F:$F,Lookup!$C10,Database!$D:$D,Lookup!$B$3)</f>
        <v>0</v>
      </c>
      <c r="M10" s="176">
        <f>SUMIFS(Database!$G:$G,Database!$E:$E,Lookup!$C$3,Database!$C:$C,Lookup!M$5,Database!$F:$F,Lookup!$C10,Database!$D:$D,Lookup!$B$3)</f>
        <v>0</v>
      </c>
      <c r="N10" s="176">
        <f>SUMIFS(Database!$G:$G,Database!$E:$E,Lookup!$C$3,Database!$C:$C,Lookup!N$5,Database!$F:$F,Lookup!$C10,Database!$D:$D,Lookup!$B$3)</f>
        <v>0</v>
      </c>
      <c r="O10" s="176">
        <f>SUMIFS(Database!$G:$G,Database!$E:$E,Lookup!$C$3,Database!$C:$C,Lookup!O$5,Database!$F:$F,Lookup!$C10,Database!$D:$D,Lookup!$B$3)</f>
        <v>0</v>
      </c>
      <c r="P10" s="176">
        <f>SUMIFS(Database!$G:$G,Database!$E:$E,Lookup!$C$3,Database!$C:$C,Lookup!P$5,Database!$F:$F,Lookup!$C10,Database!$D:$D,Lookup!$B$3)</f>
        <v>0</v>
      </c>
      <c r="Q10" s="176">
        <f>SUMIFS(Database!$G:$G,Database!$E:$E,Lookup!$C$3,Database!$C:$C,Lookup!Q$5,Database!$F:$F,Lookup!$C10,Database!$D:$D,Lookup!$B$3)</f>
        <v>0</v>
      </c>
      <c r="R10" s="176">
        <f>SUMIFS(Database!$G:$G,Database!$E:$E,Lookup!$C$3,Database!$C:$C,Lookup!R$5,Database!$F:$F,Lookup!$C10,Database!$D:$D,Lookup!$B$3)</f>
        <v>0</v>
      </c>
      <c r="S10" s="176">
        <f>SUMIFS(Database!$G:$G,Database!$E:$E,Lookup!$C$3,Database!$C:$C,Lookup!S$5,Database!$F:$F,Lookup!$C10,Database!$D:$D,Lookup!$B$3)</f>
        <v>0</v>
      </c>
      <c r="T10" s="176">
        <f>SUMIFS(Database!$G:$G,Database!$E:$E,Lookup!$C$3,Database!$C:$C,Lookup!T$5,Database!$F:$F,Lookup!$C10,Database!$D:$D,Lookup!$B$3)</f>
        <v>0</v>
      </c>
      <c r="U10" s="176">
        <f>SUMIFS(Database!$G:$G,Database!$E:$E,Lookup!$C$3,Database!$C:$C,Lookup!U$5,Database!$F:$F,Lookup!$C10,Database!$D:$D,Lookup!$B$3)</f>
        <v>0</v>
      </c>
      <c r="V10" s="176">
        <f>SUMIFS(Database!$G:$G,Database!$E:$E,Lookup!$C$3,Database!$C:$C,Lookup!V$5,Database!$F:$F,Lookup!$C10,Database!$D:$D,Lookup!$B$3)</f>
        <v>0</v>
      </c>
      <c r="W10" s="176">
        <f>SUMIFS(Database!$G:$G,Database!$E:$E,Lookup!$C$3,Database!$C:$C,Lookup!W$5,Database!$F:$F,Lookup!$C10,Database!$D:$D,Lookup!$B$3)</f>
        <v>0</v>
      </c>
      <c r="X10" s="176">
        <f>SUMIFS(Database!$G:$G,Database!$E:$E,Lookup!$C$3,Database!$C:$C,Lookup!X$5,Database!$F:$F,Lookup!$C10,Database!$D:$D,Lookup!$B$3)</f>
        <v>0</v>
      </c>
      <c r="Y10" s="176">
        <f>SUMIFS(Database!$G:$G,Database!$E:$E,Lookup!$C$3,Database!$C:$C,Lookup!Y$5,Database!$F:$F,Lookup!$C10,Database!$D:$D,Lookup!$B$3)</f>
        <v>0</v>
      </c>
      <c r="Z10" s="176">
        <f>SUMIFS(Database!$G:$G,Database!$E:$E,Lookup!$C$3,Database!$C:$C,Lookup!Z$5,Database!$F:$F,Lookup!$C10,Database!$D:$D,Lookup!$B$3)</f>
        <v>0</v>
      </c>
      <c r="AA10" s="176">
        <f>SUMIFS(Database!$G:$G,Database!$E:$E,Lookup!$C$3,Database!$C:$C,Lookup!AA$5,Database!$F:$F,Lookup!$C10,Database!$D:$D,Lookup!$B$3)</f>
        <v>0</v>
      </c>
      <c r="AB10" s="176">
        <f>SUMIFS(Database!$G:$G,Database!$E:$E,Lookup!$C$3,Database!$C:$C,Lookup!AB$5,Database!$F:$F,Lookup!$C10,Database!$D:$D,Lookup!$B$3)</f>
        <v>0</v>
      </c>
      <c r="AC10" s="176">
        <f>SUMIFS(Database!$G:$G,Database!$E:$E,Lookup!$C$3,Database!$C:$C,Lookup!AC$5,Database!$F:$F,Lookup!$C10,Database!$D:$D,Lookup!$B$3)</f>
        <v>0</v>
      </c>
      <c r="AD10" s="176">
        <f>SUMIFS(Database!$G:$G,Database!$E:$E,Lookup!$C$3,Database!$C:$C,Lookup!AD$5,Database!$F:$F,Lookup!$C10,Database!$D:$D,Lookup!$B$3)</f>
        <v>0</v>
      </c>
      <c r="AE10" s="176">
        <f>SUMIFS(Database!$G:$G,Database!$E:$E,Lookup!$C$3,Database!$C:$C,Lookup!AE$5,Database!$F:$F,Lookup!$C10,Database!$D:$D,Lookup!$B$3)</f>
        <v>0</v>
      </c>
      <c r="AF10" s="176">
        <f>SUMIFS(Database!$G:$G,Database!$E:$E,Lookup!$C$3,Database!$C:$C,Lookup!AF$5,Database!$F:$F,Lookup!$C10,Database!$D:$D,Lookup!$B$3)</f>
        <v>0</v>
      </c>
      <c r="AG10" s="176">
        <f>SUMIFS(Database!$G:$G,Database!$E:$E,Lookup!$C$3,Database!$C:$C,Lookup!AG$5,Database!$F:$F,Lookup!$C10,Database!$D:$D,Lookup!$B$3)</f>
        <v>0</v>
      </c>
      <c r="AH10" s="176">
        <f>SUMIFS(Database!$G:$G,Database!$E:$E,Lookup!$C$3,Database!$C:$C,Lookup!AH$5,Database!$F:$F,Lookup!$C10,Database!$D:$D,Lookup!$B$3)</f>
        <v>0</v>
      </c>
      <c r="AI10" s="176">
        <f>SUMIFS(Database!$G:$G,Database!$E:$E,Lookup!$C$3,Database!$C:$C,Lookup!AI$5,Database!$F:$F,Lookup!$C10,Database!$D:$D,Lookup!$B$3)</f>
        <v>0</v>
      </c>
      <c r="AJ10" s="176">
        <f>SUMIFS(Database!$G:$G,Database!$E:$E,Lookup!$C$3,Database!$C:$C,Lookup!AJ$5,Database!$F:$F,Lookup!$C10,Database!$D:$D,Lookup!$B$3)</f>
        <v>0</v>
      </c>
      <c r="AK10" s="176">
        <f>SUMIFS(Database!$G:$G,Database!$E:$E,Lookup!$C$3,Database!$C:$C,Lookup!AK$5,Database!$F:$F,Lookup!$C10,Database!$D:$D,Lookup!$B$3)</f>
        <v>0</v>
      </c>
      <c r="AL10" s="176">
        <f>SUMIFS(Database!$G:$G,Database!$E:$E,Lookup!$C$3,Database!$C:$C,Lookup!AL$5,Database!$F:$F,Lookup!$C10,Database!$D:$D,Lookup!$B$3)</f>
        <v>248</v>
      </c>
      <c r="AM10" s="176">
        <f>SUMIFS(Database!$G:$G,Database!$E:$E,Lookup!$C$3,Database!$C:$C,Lookup!AM$5,Database!$F:$F,Lookup!$C10,Database!$D:$D,Lookup!$B$3)</f>
        <v>478</v>
      </c>
      <c r="AN10" s="176">
        <f>SUMIFS(Database!$G:$G,Database!$E:$E,Lookup!$C$3,Database!$C:$C,Lookup!AN$5,Database!$F:$F,Lookup!$C10,Database!$D:$D,Lookup!$B$3)</f>
        <v>692</v>
      </c>
      <c r="AO10" s="176">
        <f>SUMIFS(Database!$G:$G,Database!$E:$E,Lookup!$C$3,Database!$C:$C,Lookup!AO$5,Database!$F:$F,Lookup!$C10,Database!$D:$D,Lookup!$B$3)</f>
        <v>58</v>
      </c>
      <c r="AP10" s="176">
        <f>SUMIFS(Database!$G:$G,Database!$E:$E,Lookup!$C$3,Database!$C:$C,Lookup!AP$5,Database!$F:$F,Lookup!$C10,Database!$D:$D,Lookup!$B$3)</f>
        <v>43</v>
      </c>
      <c r="AQ10" s="176">
        <f>SUMIFS(Database!$G:$G,Database!$E:$E,Lookup!$C$3,Database!$C:$C,Lookup!AQ$5,Database!$F:$F,Lookup!$C10,Database!$D:$D,Lookup!$B$3)</f>
        <v>156</v>
      </c>
      <c r="AR10" s="176">
        <f>SUMIFS(Database!$G:$G,Database!$E:$E,Lookup!$C$3,Database!$C:$C,Lookup!AR$5,Database!$F:$F,Lookup!$C10,Database!$D:$D,Lookup!$B$3)</f>
        <v>6477</v>
      </c>
      <c r="AS10" s="176">
        <f>SUMIFS(Database!$G:$G,Database!$E:$E,Lookup!$C$3,Database!$C:$C,Lookup!AS$5,Database!$F:$F,Lookup!$C10,Database!$D:$D,Lookup!$B$3)</f>
        <v>4412</v>
      </c>
      <c r="AT10" s="176">
        <f>SUMIFS(Database!$G:$G,Database!$E:$E,Lookup!$C$3,Database!$C:$C,Lookup!AT$5,Database!$F:$F,Lookup!$C10,Database!$D:$D,Lookup!$B$3)</f>
        <v>0</v>
      </c>
      <c r="AU10" s="176">
        <f>SUMIFS(Database!$G:$G,Database!$E:$E,Lookup!$C$3,Database!$C:$C,Lookup!AU$5,Database!$F:$F,Lookup!$C10,Database!$D:$D,Lookup!$B$3)</f>
        <v>2204</v>
      </c>
      <c r="AV10" s="176">
        <f>SUMIFS(Database!$G:$G,Database!$E:$E,Lookup!$C$3,Database!$C:$C,Lookup!AV$5,Database!$F:$F,Lookup!$C10,Database!$D:$D,Lookup!$B$3)</f>
        <v>8665</v>
      </c>
      <c r="AW10" s="176">
        <f>SUMIFS(Database!$G:$G,Database!$E:$E,Lookup!$C$3,Database!$C:$C,Lookup!AW$5,Database!$F:$F,Lookup!$C10,Database!$D:$D,Lookup!$B$3)</f>
        <v>7331</v>
      </c>
      <c r="AX10" s="176">
        <f>SUMIFS(Database!$G:$G,Database!$E:$E,Lookup!$C$3,Database!$C:$C,Lookup!AX$5,Database!$F:$F,Lookup!$C10,Database!$D:$D,Lookup!$B$3)</f>
        <v>5492</v>
      </c>
      <c r="AY10" s="176">
        <f>SUMIFS(Database!$G:$G,Database!$E:$E,Lookup!$C$3,Database!$C:$C,Lookup!AY$5,Database!$F:$F,Lookup!$C10,Database!$D:$D,Lookup!$B$3)</f>
        <v>4106</v>
      </c>
      <c r="AZ10" s="176">
        <f>SUMIFS(Database!$G:$G,Database!$E:$E,Lookup!$C$3,Database!$C:$C,Lookup!AZ$5,Database!$F:$F,Lookup!$C10,Database!$D:$D,Lookup!$B$3)</f>
        <v>12227</v>
      </c>
      <c r="BA10" s="176">
        <f>SUMIFS(Database!$G:$G,Database!$E:$E,Lookup!$C$3,Database!$C:$C,Lookup!BA$5,Database!$F:$F,Lookup!$C10,Database!$D:$D,Lookup!$B$3)</f>
        <v>1289</v>
      </c>
      <c r="BB10" s="176">
        <f>SUMIFS(Database!$G:$G,Database!$E:$E,Lookup!$C$3,Database!$C:$C,Lookup!BB$5,Database!$F:$F,Lookup!$C10,Database!$D:$D,Lookup!$B$3)</f>
        <v>25106</v>
      </c>
      <c r="BC10" s="176">
        <f>SUMIFS(Database!$G:$G,Database!$E:$E,Lookup!$C$3,Database!$C:$C,Lookup!BC$5,Database!$F:$F,Lookup!$C10,Database!$D:$D,Lookup!$B$3)</f>
        <v>23223</v>
      </c>
      <c r="BD10" s="176">
        <f>SUMIFS(Database!$G:$G,Database!$E:$E,Lookup!$C$3,Database!$C:$C,Lookup!BD$5,Database!$F:$F,Lookup!$C10,Database!$D:$D,Lookup!$B$3)</f>
        <v>8461</v>
      </c>
      <c r="BE10" s="176">
        <f>SUMIFS(Database!$G:$G,Database!$E:$E,Lookup!$C$3,Database!$C:$C,Lookup!BE$5,Database!$F:$F,Lookup!$C10,Database!$D:$D,Lookup!$B$3)</f>
        <v>9945</v>
      </c>
      <c r="BF10" s="176">
        <f>SUMIFS(Database!$G:$G,Database!$E:$E,Lookup!$C$3,Database!$C:$C,Lookup!BF$5,Database!$F:$F,Lookup!$C10,Database!$D:$D,Lookup!$B$3)</f>
        <v>944</v>
      </c>
      <c r="BG10" s="176">
        <f>SUMIFS(Database!$G:$G,Database!$E:$E,Lookup!$C$3,Database!$C:$C,Lookup!BG$5,Database!$F:$F,Lookup!$C10,Database!$D:$D,Lookup!$B$3)</f>
        <v>1444</v>
      </c>
      <c r="BH10" s="176">
        <f>SUMIFS(Database!$G:$G,Database!$E:$E,Lookup!$C$3,Database!$C:$C,Lookup!BH$5,Database!$F:$F,Lookup!$C10,Database!$D:$D,Lookup!$B$3)</f>
        <v>806</v>
      </c>
      <c r="BI10" s="176">
        <f>SUMIFS(Database!$G:$G,Database!$E:$E,Lookup!$C$3,Database!$C:$C,Lookup!BI$5,Database!$F:$F,Lookup!$C10,Database!$D:$D,Lookup!$B$3)</f>
        <v>300</v>
      </c>
      <c r="BJ10" s="176">
        <f>SUMIFS(Database!$G:$G,Database!$E:$E,Lookup!$C$3,Database!$C:$C,Lookup!BJ$5,Database!$F:$F,Lookup!$C10,Database!$D:$D,Lookup!$B$3)</f>
        <v>0</v>
      </c>
      <c r="BK10" s="176">
        <f>SUMIFS(Database!$G:$G,Database!$E:$E,Lookup!$C$3,Database!$C:$C,Lookup!BK$5,Database!$F:$F,Lookup!$C10,Database!$D:$D,Lookup!$B$3)</f>
        <v>5857</v>
      </c>
      <c r="BL10" s="176">
        <f>SUMIFS(Database!$G:$G,Database!$E:$E,Lookup!$C$3,Database!$C:$C,Lookup!BL$5,Database!$F:$F,Lookup!$C10,Database!$D:$D,Lookup!$B$3)</f>
        <v>4447</v>
      </c>
      <c r="BM10" s="176">
        <f>SUMIFS(Database!$G:$G,Database!$E:$E,Lookup!$C$3,Database!$C:$C,Lookup!BM$5,Database!$F:$F,Lookup!$C10,Database!$D:$D,Lookup!$B$3)</f>
        <v>0</v>
      </c>
      <c r="BN10" s="176">
        <f>SUMIFS(Database!$G:$G,Database!$E:$E,Lookup!$C$3,Database!$C:$C,Lookup!BN$5,Database!$F:$F,Lookup!$C10,Database!$D:$D,Lookup!$B$3)</f>
        <v>0</v>
      </c>
      <c r="BO10" s="176">
        <f>SUMIFS(Database!$G:$G,Database!$E:$E,Lookup!$C$3,Database!$C:$C,Lookup!BO$5,Database!$F:$F,Lookup!$C10,Database!$D:$D,Lookup!$B$3)</f>
        <v>2739</v>
      </c>
      <c r="BP10" s="176">
        <f>SUMIFS(Database!$G:$G,Database!$E:$E,Lookup!$C$3,Database!$C:$C,Lookup!BP$5,Database!$F:$F,Lookup!$C10,Database!$D:$D,Lookup!$B$3)</f>
        <v>0</v>
      </c>
      <c r="BQ10" s="176">
        <f>SUMIFS(Database!$G:$G,Database!$E:$E,Lookup!$C$3,Database!$C:$C,Lookup!BQ$5,Database!$F:$F,Lookup!$C10,Database!$D:$D,Lookup!$B$3)</f>
        <v>1956</v>
      </c>
      <c r="BR10" s="176">
        <f>SUMIFS(Database!$G:$G,Database!$E:$E,Lookup!$C$3,Database!$C:$C,Lookup!BR$5,Database!$F:$F,Lookup!$C10,Database!$D:$D,Lookup!$B$3)</f>
        <v>0</v>
      </c>
      <c r="BS10" s="176">
        <f>SUMIFS(Database!$G:$G,Database!$E:$E,Lookup!$C$3,Database!$C:$C,Lookup!BS$5,Database!$F:$F,Lookup!$C10,Database!$D:$D,Lookup!$B$3)</f>
        <v>0</v>
      </c>
      <c r="BT10" s="176">
        <f>SUMIFS(Database!$G:$G,Database!$E:$E,Lookup!$C$3,Database!$C:$C,Lookup!BT$5,Database!$F:$F,Lookup!$C10,Database!$D:$D,Lookup!$B$3)</f>
        <v>0</v>
      </c>
      <c r="BU10" s="176">
        <f>SUMIFS(Database!$G:$G,Database!$E:$E,Lookup!$C$3,Database!$C:$C,Lookup!BU$5,Database!$F:$F,Lookup!$C10,Database!$D:$D,Lookup!$B$3)</f>
        <v>0</v>
      </c>
      <c r="BV10" s="176">
        <f>SUMIFS(Database!$G:$G,Database!$E:$E,Lookup!$C$3,Database!$C:$C,Lookup!BV$5,Database!$F:$F,Lookup!$C10,Database!$D:$D,Lookup!$B$3)</f>
        <v>0</v>
      </c>
      <c r="BW10" s="176">
        <f>SUMIFS(Database!$G:$G,Database!$E:$E,Lookup!$C$3,Database!$C:$C,Lookup!BW$5,Database!$F:$F,Lookup!$C10,Database!$D:$D,Lookup!$B$3)</f>
        <v>0</v>
      </c>
      <c r="BX10" s="176">
        <f>SUMIFS(Database!$G:$G,Database!$E:$E,Lookup!$C$3,Database!$C:$C,Lookup!BX$5,Database!$F:$F,Lookup!$C10,Database!$D:$D,Lookup!$B$3)</f>
        <v>0</v>
      </c>
      <c r="BY10" s="176">
        <f>SUMIFS(Database!$G:$G,Database!$E:$E,Lookup!$C$3,Database!$C:$C,Lookup!BY$5,Database!$F:$F,Lookup!$C10,Database!$D:$D,Lookup!$B$3)</f>
        <v>0</v>
      </c>
      <c r="BZ10" s="176">
        <f>SUMIFS(Database!$G:$G,Database!$E:$E,Lookup!$C$3,Database!$C:$C,Lookup!BZ$5,Database!$F:$F,Lookup!$C10,Database!$D:$D,Lookup!$B$3)</f>
        <v>0</v>
      </c>
      <c r="CA10" s="176">
        <f>SUMIFS(Database!$G:$G,Database!$E:$E,Lookup!$C$3,Database!$C:$C,Lookup!CA$5,Database!$F:$F,Lookup!$C10,Database!$D:$D,Lookup!$B$3)</f>
        <v>0</v>
      </c>
      <c r="CB10" s="176">
        <f>SUMIFS(Database!$G:$G,Database!$E:$E,Lookup!$C$3,Database!$C:$C,Lookup!CB$5,Database!$F:$F,Lookup!$C10,Database!$D:$D,Lookup!$B$3)</f>
        <v>0</v>
      </c>
      <c r="CC10" s="176">
        <f>SUMIFS(Database!$G:$G,Database!$E:$E,Lookup!$C$3,Database!$C:$C,Lookup!CC$5,Database!$F:$F,Lookup!$C10,Database!$D:$D,Lookup!$B$3)</f>
        <v>0</v>
      </c>
      <c r="CD10" s="176">
        <f>SUMIFS(Database!$G:$G,Database!$E:$E,Lookup!$C$3,Database!$C:$C,Lookup!CD$5,Database!$F:$F,Lookup!$C10,Database!$D:$D,Lookup!$B$3)</f>
        <v>0</v>
      </c>
      <c r="CE10" s="176">
        <f>SUMIFS(Database!$G:$G,Database!$E:$E,Lookup!$C$3,Database!$C:$C,Lookup!CE$5,Database!$F:$F,Lookup!$C10,Database!$D:$D,Lookup!$B$3)</f>
        <v>0</v>
      </c>
      <c r="CF10" s="176">
        <f>SUMIFS(Database!$G:$G,Database!$E:$E,Lookup!$C$3,Database!$C:$C,Lookup!CF$5,Database!$F:$F,Lookup!$C10,Database!$D:$D,Lookup!$B$3)</f>
        <v>0</v>
      </c>
      <c r="CG10" s="176">
        <f>SUMIFS(Database!$G:$G,Database!$E:$E,Lookup!$C$3,Database!$C:$C,Lookup!CG$5,Database!$F:$F,Lookup!$C10,Database!$D:$D,Lookup!$B$3)</f>
        <v>0</v>
      </c>
      <c r="CH10" s="176">
        <f>SUMIFS(Database!$G:$G,Database!$E:$E,Lookup!$C$3,Database!$C:$C,Lookup!CH$5,Database!$F:$F,Lookup!$C10,Database!$D:$D,Lookup!$B$3)</f>
        <v>0</v>
      </c>
      <c r="CI10" s="176">
        <f>SUMIFS(Database!$G:$G,Database!$E:$E,Lookup!$C$3,Database!$C:$C,Lookup!CI$5,Database!$F:$F,Lookup!$C10,Database!$D:$D,Lookup!$B$3)</f>
        <v>0</v>
      </c>
      <c r="CJ10" s="176">
        <f>SUMIFS(Database!$G:$G,Database!$E:$E,Lookup!$C$3,Database!$C:$C,Lookup!CJ$5,Database!$F:$F,Lookup!$C10,Database!$D:$D,Lookup!$B$3)</f>
        <v>0</v>
      </c>
      <c r="CK10" s="176">
        <f>SUMIFS(Database!$G:$G,Database!$E:$E,Lookup!$C$3,Database!$C:$C,Lookup!CK$5,Database!$F:$F,Lookup!$C10,Database!$D:$D,Lookup!$B$3)</f>
        <v>0</v>
      </c>
      <c r="CL10" s="176">
        <f>SUMIFS(Database!$G:$G,Database!$E:$E,Lookup!$C$3,Database!$C:$C,Lookup!CL$5,Database!$F:$F,Lookup!$C10,Database!$D:$D,Lookup!$B$3)</f>
        <v>0</v>
      </c>
      <c r="CM10" s="176">
        <f>SUMIFS(Database!$G:$G,Database!$E:$E,Lookup!$C$3,Database!$C:$C,Lookup!CM$5,Database!$F:$F,Lookup!$C10,Database!$D:$D,Lookup!$B$3)</f>
        <v>0</v>
      </c>
      <c r="CN10" s="176">
        <f>SUMIFS(Database!$G:$G,Database!$E:$E,Lookup!$C$3,Database!$C:$C,Lookup!CN$5,Database!$F:$F,Lookup!$C10,Database!$D:$D,Lookup!$B$3)</f>
        <v>0</v>
      </c>
      <c r="CO10" s="176">
        <f>SUMIFS(Database!$G:$G,Database!$E:$E,Lookup!$C$3,Database!$C:$C,Lookup!CO$5,Database!$F:$F,Lookup!$C10,Database!$D:$D,Lookup!$B$3)</f>
        <v>0</v>
      </c>
      <c r="CP10" s="176">
        <f>SUMIFS(Database!$G:$G,Database!$E:$E,Lookup!$C$3,Database!$C:$C,Lookup!CP$5,Database!$F:$F,Lookup!$C10,Database!$D:$D,Lookup!$B$3)</f>
        <v>0</v>
      </c>
      <c r="CQ10" s="176">
        <f>SUMIFS(Database!$G:$G,Database!$E:$E,Lookup!$C$3,Database!$C:$C,Lookup!CQ$5,Database!$F:$F,Lookup!$C10,Database!$D:$D,Lookup!$B$3)</f>
        <v>0</v>
      </c>
      <c r="CR10" s="176">
        <f>SUMIFS(Database!$G:$G,Database!$E:$E,Lookup!$C$3,Database!$C:$C,Lookup!CR$5,Database!$F:$F,Lookup!$C10,Database!$D:$D,Lookup!$B$3)</f>
        <v>0</v>
      </c>
      <c r="CS10" s="176">
        <f>SUMIFS(Database!$G:$G,Database!$E:$E,Lookup!$C$3,Database!$C:$C,Lookup!CS$5,Database!$F:$F,Lookup!$C10,Database!$D:$D,Lookup!$B$3)</f>
        <v>0</v>
      </c>
      <c r="CT10" s="176">
        <f>SUMIFS(Database!$G:$G,Database!$E:$E,Lookup!$C$3,Database!$C:$C,Lookup!CT$5,Database!$F:$F,Lookup!$C10,Database!$D:$D,Lookup!$B$3)</f>
        <v>0</v>
      </c>
      <c r="CU10" s="176">
        <f>SUMIFS(Database!$G:$G,Database!$E:$E,Lookup!$C$3,Database!$C:$C,Lookup!CU$5,Database!$F:$F,Lookup!$C10,Database!$D:$D,Lookup!$B$3)</f>
        <v>0</v>
      </c>
      <c r="CV10" s="177">
        <f>SUMIFS(Database!$G:$G,Database!$E:$E,Lookup!$C$3,Database!$C:$C,Lookup!CV$5,Database!$F:$F,Lookup!$C10,Database!$D:$D,Lookup!$B$3)</f>
        <v>0</v>
      </c>
    </row>
    <row r="11" spans="2:100" x14ac:dyDescent="0.25">
      <c r="C11" s="217" t="s">
        <v>4</v>
      </c>
      <c r="D11" s="222"/>
      <c r="E11" s="228">
        <f>SUMIFS(Database!$G:$G,Database!$E:$E,Lookup!$C$3,Database!$C:$C,Lookup!E$5,Database!$F:$F,Lookup!$C11,Database!$D:$D,Lookup!$B$3)</f>
        <v>0</v>
      </c>
      <c r="F11" s="176">
        <f>SUMIFS(Database!$G:$G,Database!$E:$E,Lookup!$C$3,Database!$C:$C,Lookup!F$5,Database!$F:$F,Lookup!$C11,Database!$D:$D,Lookup!$B$3)</f>
        <v>0</v>
      </c>
      <c r="G11" s="176">
        <f>SUMIFS(Database!$G:$G,Database!$E:$E,Lookup!$C$3,Database!$C:$C,Lookup!G$5,Database!$F:$F,Lookup!$C11,Database!$D:$D,Lookup!$B$3)</f>
        <v>0</v>
      </c>
      <c r="H11" s="176">
        <f>SUMIFS(Database!$G:$G,Database!$E:$E,Lookup!$C$3,Database!$C:$C,Lookup!H$5,Database!$F:$F,Lookup!$C11,Database!$D:$D,Lookup!$B$3)</f>
        <v>0</v>
      </c>
      <c r="I11" s="176">
        <f>SUMIFS(Database!$G:$G,Database!$E:$E,Lookup!$C$3,Database!$C:$C,Lookup!I$5,Database!$F:$F,Lookup!$C11,Database!$D:$D,Lookup!$B$3)</f>
        <v>0</v>
      </c>
      <c r="J11" s="176">
        <f>SUMIFS(Database!$G:$G,Database!$E:$E,Lookup!$C$3,Database!$C:$C,Lookup!J$5,Database!$F:$F,Lookup!$C11,Database!$D:$D,Lookup!$B$3)</f>
        <v>0</v>
      </c>
      <c r="K11" s="176">
        <f>SUMIFS(Database!$G:$G,Database!$E:$E,Lookup!$C$3,Database!$C:$C,Lookup!K$5,Database!$F:$F,Lookup!$C11,Database!$D:$D,Lookup!$B$3)</f>
        <v>0</v>
      </c>
      <c r="L11" s="176">
        <f>SUMIFS(Database!$G:$G,Database!$E:$E,Lookup!$C$3,Database!$C:$C,Lookup!L$5,Database!$F:$F,Lookup!$C11,Database!$D:$D,Lookup!$B$3)</f>
        <v>0</v>
      </c>
      <c r="M11" s="176">
        <f>SUMIFS(Database!$G:$G,Database!$E:$E,Lookup!$C$3,Database!$C:$C,Lookup!M$5,Database!$F:$F,Lookup!$C11,Database!$D:$D,Lookup!$B$3)</f>
        <v>0</v>
      </c>
      <c r="N11" s="176">
        <f>SUMIFS(Database!$G:$G,Database!$E:$E,Lookup!$C$3,Database!$C:$C,Lookup!N$5,Database!$F:$F,Lookup!$C11,Database!$D:$D,Lookup!$B$3)</f>
        <v>0</v>
      </c>
      <c r="O11" s="176">
        <f>SUMIFS(Database!$G:$G,Database!$E:$E,Lookup!$C$3,Database!$C:$C,Lookup!O$5,Database!$F:$F,Lookup!$C11,Database!$D:$D,Lookup!$B$3)</f>
        <v>0</v>
      </c>
      <c r="P11" s="176">
        <f>SUMIFS(Database!$G:$G,Database!$E:$E,Lookup!$C$3,Database!$C:$C,Lookup!P$5,Database!$F:$F,Lookup!$C11,Database!$D:$D,Lookup!$B$3)</f>
        <v>0</v>
      </c>
      <c r="Q11" s="176">
        <f>SUMIFS(Database!$G:$G,Database!$E:$E,Lookup!$C$3,Database!$C:$C,Lookup!Q$5,Database!$F:$F,Lookup!$C11,Database!$D:$D,Lookup!$B$3)</f>
        <v>0</v>
      </c>
      <c r="R11" s="176">
        <f>SUMIFS(Database!$G:$G,Database!$E:$E,Lookup!$C$3,Database!$C:$C,Lookup!R$5,Database!$F:$F,Lookup!$C11,Database!$D:$D,Lookup!$B$3)</f>
        <v>0</v>
      </c>
      <c r="S11" s="176">
        <f>SUMIFS(Database!$G:$G,Database!$E:$E,Lookup!$C$3,Database!$C:$C,Lookup!S$5,Database!$F:$F,Lookup!$C11,Database!$D:$D,Lookup!$B$3)</f>
        <v>0</v>
      </c>
      <c r="T11" s="176">
        <f>SUMIFS(Database!$G:$G,Database!$E:$E,Lookup!$C$3,Database!$C:$C,Lookup!T$5,Database!$F:$F,Lookup!$C11,Database!$D:$D,Lookup!$B$3)</f>
        <v>0</v>
      </c>
      <c r="U11" s="176">
        <f>SUMIFS(Database!$G:$G,Database!$E:$E,Lookup!$C$3,Database!$C:$C,Lookup!U$5,Database!$F:$F,Lookup!$C11,Database!$D:$D,Lookup!$B$3)</f>
        <v>0</v>
      </c>
      <c r="V11" s="176">
        <f>SUMIFS(Database!$G:$G,Database!$E:$E,Lookup!$C$3,Database!$C:$C,Lookup!V$5,Database!$F:$F,Lookup!$C11,Database!$D:$D,Lookup!$B$3)</f>
        <v>0</v>
      </c>
      <c r="W11" s="176">
        <f>SUMIFS(Database!$G:$G,Database!$E:$E,Lookup!$C$3,Database!$C:$C,Lookup!W$5,Database!$F:$F,Lookup!$C11,Database!$D:$D,Lookup!$B$3)</f>
        <v>0</v>
      </c>
      <c r="X11" s="176">
        <f>SUMIFS(Database!$G:$G,Database!$E:$E,Lookup!$C$3,Database!$C:$C,Lookup!X$5,Database!$F:$F,Lookup!$C11,Database!$D:$D,Lookup!$B$3)</f>
        <v>0</v>
      </c>
      <c r="Y11" s="176">
        <f>SUMIFS(Database!$G:$G,Database!$E:$E,Lookup!$C$3,Database!$C:$C,Lookup!Y$5,Database!$F:$F,Lookup!$C11,Database!$D:$D,Lookup!$B$3)</f>
        <v>0</v>
      </c>
      <c r="Z11" s="176">
        <f>SUMIFS(Database!$G:$G,Database!$E:$E,Lookup!$C$3,Database!$C:$C,Lookup!Z$5,Database!$F:$F,Lookup!$C11,Database!$D:$D,Lookup!$B$3)</f>
        <v>0</v>
      </c>
      <c r="AA11" s="176">
        <f>SUMIFS(Database!$G:$G,Database!$E:$E,Lookup!$C$3,Database!$C:$C,Lookup!AA$5,Database!$F:$F,Lookup!$C11,Database!$D:$D,Lookup!$B$3)</f>
        <v>0</v>
      </c>
      <c r="AB11" s="176">
        <f>SUMIFS(Database!$G:$G,Database!$E:$E,Lookup!$C$3,Database!$C:$C,Lookup!AB$5,Database!$F:$F,Lookup!$C11,Database!$D:$D,Lookup!$B$3)</f>
        <v>0</v>
      </c>
      <c r="AC11" s="176">
        <f>SUMIFS(Database!$G:$G,Database!$E:$E,Lookup!$C$3,Database!$C:$C,Lookup!AC$5,Database!$F:$F,Lookup!$C11,Database!$D:$D,Lookup!$B$3)</f>
        <v>0</v>
      </c>
      <c r="AD11" s="176">
        <f>SUMIFS(Database!$G:$G,Database!$E:$E,Lookup!$C$3,Database!$C:$C,Lookup!AD$5,Database!$F:$F,Lookup!$C11,Database!$D:$D,Lookup!$B$3)</f>
        <v>0</v>
      </c>
      <c r="AE11" s="176">
        <f>SUMIFS(Database!$G:$G,Database!$E:$E,Lookup!$C$3,Database!$C:$C,Lookup!AE$5,Database!$F:$F,Lookup!$C11,Database!$D:$D,Lookup!$B$3)</f>
        <v>0</v>
      </c>
      <c r="AF11" s="176">
        <f>SUMIFS(Database!$G:$G,Database!$E:$E,Lookup!$C$3,Database!$C:$C,Lookup!AF$5,Database!$F:$F,Lookup!$C11,Database!$D:$D,Lookup!$B$3)</f>
        <v>0</v>
      </c>
      <c r="AG11" s="176">
        <f>SUMIFS(Database!$G:$G,Database!$E:$E,Lookup!$C$3,Database!$C:$C,Lookup!AG$5,Database!$F:$F,Lookup!$C11,Database!$D:$D,Lookup!$B$3)</f>
        <v>0</v>
      </c>
      <c r="AH11" s="176">
        <f>SUMIFS(Database!$G:$G,Database!$E:$E,Lookup!$C$3,Database!$C:$C,Lookup!AH$5,Database!$F:$F,Lookup!$C11,Database!$D:$D,Lookup!$B$3)</f>
        <v>0</v>
      </c>
      <c r="AI11" s="176">
        <f>SUMIFS(Database!$G:$G,Database!$E:$E,Lookup!$C$3,Database!$C:$C,Lookup!AI$5,Database!$F:$F,Lookup!$C11,Database!$D:$D,Lookup!$B$3)</f>
        <v>0</v>
      </c>
      <c r="AJ11" s="176">
        <f>SUMIFS(Database!$G:$G,Database!$E:$E,Lookup!$C$3,Database!$C:$C,Lookup!AJ$5,Database!$F:$F,Lookup!$C11,Database!$D:$D,Lookup!$B$3)</f>
        <v>0</v>
      </c>
      <c r="AK11" s="176">
        <f>SUMIFS(Database!$G:$G,Database!$E:$E,Lookup!$C$3,Database!$C:$C,Lookup!AK$5,Database!$F:$F,Lookup!$C11,Database!$D:$D,Lookup!$B$3)</f>
        <v>0</v>
      </c>
      <c r="AL11" s="176">
        <f>SUMIFS(Database!$G:$G,Database!$E:$E,Lookup!$C$3,Database!$C:$C,Lookup!AL$5,Database!$F:$F,Lookup!$C11,Database!$D:$D,Lookup!$B$3)</f>
        <v>88913</v>
      </c>
      <c r="AM11" s="176">
        <f>SUMIFS(Database!$G:$G,Database!$E:$E,Lookup!$C$3,Database!$C:$C,Lookup!AM$5,Database!$F:$F,Lookup!$C11,Database!$D:$D,Lookup!$B$3)</f>
        <v>0</v>
      </c>
      <c r="AN11" s="176">
        <f>SUMIFS(Database!$G:$G,Database!$E:$E,Lookup!$C$3,Database!$C:$C,Lookup!AN$5,Database!$F:$F,Lookup!$C11,Database!$D:$D,Lookup!$B$3)</f>
        <v>0</v>
      </c>
      <c r="AO11" s="176">
        <f>SUMIFS(Database!$G:$G,Database!$E:$E,Lookup!$C$3,Database!$C:$C,Lookup!AO$5,Database!$F:$F,Lookup!$C11,Database!$D:$D,Lookup!$B$3)</f>
        <v>0</v>
      </c>
      <c r="AP11" s="176">
        <f>SUMIFS(Database!$G:$G,Database!$E:$E,Lookup!$C$3,Database!$C:$C,Lookup!AP$5,Database!$F:$F,Lookup!$C11,Database!$D:$D,Lookup!$B$3)</f>
        <v>0</v>
      </c>
      <c r="AQ11" s="176">
        <f>SUMIFS(Database!$G:$G,Database!$E:$E,Lookup!$C$3,Database!$C:$C,Lookup!AQ$5,Database!$F:$F,Lookup!$C11,Database!$D:$D,Lookup!$B$3)</f>
        <v>0</v>
      </c>
      <c r="AR11" s="176">
        <f>SUMIFS(Database!$G:$G,Database!$E:$E,Lookup!$C$3,Database!$C:$C,Lookup!AR$5,Database!$F:$F,Lookup!$C11,Database!$D:$D,Lookup!$B$3)</f>
        <v>0</v>
      </c>
      <c r="AS11" s="176">
        <f>SUMIFS(Database!$G:$G,Database!$E:$E,Lookup!$C$3,Database!$C:$C,Lookup!AS$5,Database!$F:$F,Lookup!$C11,Database!$D:$D,Lookup!$B$3)</f>
        <v>0</v>
      </c>
      <c r="AT11" s="176">
        <f>SUMIFS(Database!$G:$G,Database!$E:$E,Lookup!$C$3,Database!$C:$C,Lookup!AT$5,Database!$F:$F,Lookup!$C11,Database!$D:$D,Lookup!$B$3)</f>
        <v>0</v>
      </c>
      <c r="AU11" s="176">
        <f>SUMIFS(Database!$G:$G,Database!$E:$E,Lookup!$C$3,Database!$C:$C,Lookup!AU$5,Database!$F:$F,Lookup!$C11,Database!$D:$D,Lookup!$B$3)</f>
        <v>32344</v>
      </c>
      <c r="AV11" s="176">
        <f>SUMIFS(Database!$G:$G,Database!$E:$E,Lookup!$C$3,Database!$C:$C,Lookup!AV$5,Database!$F:$F,Lookup!$C11,Database!$D:$D,Lookup!$B$3)</f>
        <v>1359</v>
      </c>
      <c r="AW11" s="176">
        <f>SUMIFS(Database!$G:$G,Database!$E:$E,Lookup!$C$3,Database!$C:$C,Lookup!AW$5,Database!$F:$F,Lookup!$C11,Database!$D:$D,Lookup!$B$3)</f>
        <v>0</v>
      </c>
      <c r="AX11" s="176">
        <f>SUMIFS(Database!$G:$G,Database!$E:$E,Lookup!$C$3,Database!$C:$C,Lookup!AX$5,Database!$F:$F,Lookup!$C11,Database!$D:$D,Lookup!$B$3)</f>
        <v>25154</v>
      </c>
      <c r="AY11" s="176">
        <f>SUMIFS(Database!$G:$G,Database!$E:$E,Lookup!$C$3,Database!$C:$C,Lookup!AY$5,Database!$F:$F,Lookup!$C11,Database!$D:$D,Lookup!$B$3)</f>
        <v>39553</v>
      </c>
      <c r="AZ11" s="176">
        <f>SUMIFS(Database!$G:$G,Database!$E:$E,Lookup!$C$3,Database!$C:$C,Lookup!AZ$5,Database!$F:$F,Lookup!$C11,Database!$D:$D,Lookup!$B$3)</f>
        <v>42835</v>
      </c>
      <c r="BA11" s="176">
        <f>SUMIFS(Database!$G:$G,Database!$E:$E,Lookup!$C$3,Database!$C:$C,Lookup!BA$5,Database!$F:$F,Lookup!$C11,Database!$D:$D,Lookup!$B$3)</f>
        <v>42578</v>
      </c>
      <c r="BB11" s="176">
        <f>SUMIFS(Database!$G:$G,Database!$E:$E,Lookup!$C$3,Database!$C:$C,Lookup!BB$5,Database!$F:$F,Lookup!$C11,Database!$D:$D,Lookup!$B$3)</f>
        <v>10029</v>
      </c>
      <c r="BC11" s="176">
        <f>SUMIFS(Database!$G:$G,Database!$E:$E,Lookup!$C$3,Database!$C:$C,Lookup!BC$5,Database!$F:$F,Lookup!$C11,Database!$D:$D,Lookup!$B$3)</f>
        <v>0</v>
      </c>
      <c r="BD11" s="176">
        <f>SUMIFS(Database!$G:$G,Database!$E:$E,Lookup!$C$3,Database!$C:$C,Lookup!BD$5,Database!$F:$F,Lookup!$C11,Database!$D:$D,Lookup!$B$3)</f>
        <v>0</v>
      </c>
      <c r="BE11" s="176">
        <f>SUMIFS(Database!$G:$G,Database!$E:$E,Lookup!$C$3,Database!$C:$C,Lookup!BE$5,Database!$F:$F,Lookup!$C11,Database!$D:$D,Lookup!$B$3)</f>
        <v>2603</v>
      </c>
      <c r="BF11" s="176">
        <f>SUMIFS(Database!$G:$G,Database!$E:$E,Lookup!$C$3,Database!$C:$C,Lookup!BF$5,Database!$F:$F,Lookup!$C11,Database!$D:$D,Lookup!$B$3)</f>
        <v>43428</v>
      </c>
      <c r="BG11" s="176">
        <f>SUMIFS(Database!$G:$G,Database!$E:$E,Lookup!$C$3,Database!$C:$C,Lookup!BG$5,Database!$F:$F,Lookup!$C11,Database!$D:$D,Lookup!$B$3)</f>
        <v>44587</v>
      </c>
      <c r="BH11" s="176">
        <f>SUMIFS(Database!$G:$G,Database!$E:$E,Lookup!$C$3,Database!$C:$C,Lookup!BH$5,Database!$F:$F,Lookup!$C11,Database!$D:$D,Lookup!$B$3)</f>
        <v>48482</v>
      </c>
      <c r="BI11" s="176">
        <f>SUMIFS(Database!$G:$G,Database!$E:$E,Lookup!$C$3,Database!$C:$C,Lookup!BI$5,Database!$F:$F,Lookup!$C11,Database!$D:$D,Lookup!$B$3)</f>
        <v>47274</v>
      </c>
      <c r="BJ11" s="176">
        <f>SUMIFS(Database!$G:$G,Database!$E:$E,Lookup!$C$3,Database!$C:$C,Lookup!BJ$5,Database!$F:$F,Lookup!$C11,Database!$D:$D,Lookup!$B$3)</f>
        <v>0</v>
      </c>
      <c r="BK11" s="176">
        <f>SUMIFS(Database!$G:$G,Database!$E:$E,Lookup!$C$3,Database!$C:$C,Lookup!BK$5,Database!$F:$F,Lookup!$C11,Database!$D:$D,Lookup!$B$3)</f>
        <v>0</v>
      </c>
      <c r="BL11" s="176">
        <f>SUMIFS(Database!$G:$G,Database!$E:$E,Lookup!$C$3,Database!$C:$C,Lookup!BL$5,Database!$F:$F,Lookup!$C11,Database!$D:$D,Lookup!$B$3)</f>
        <v>0</v>
      </c>
      <c r="BM11" s="176">
        <f>SUMIFS(Database!$G:$G,Database!$E:$E,Lookup!$C$3,Database!$C:$C,Lookup!BM$5,Database!$F:$F,Lookup!$C11,Database!$D:$D,Lookup!$B$3)</f>
        <v>0</v>
      </c>
      <c r="BN11" s="176">
        <f>SUMIFS(Database!$G:$G,Database!$E:$E,Lookup!$C$3,Database!$C:$C,Lookup!BN$5,Database!$F:$F,Lookup!$C11,Database!$D:$D,Lookup!$B$3)</f>
        <v>0</v>
      </c>
      <c r="BO11" s="176">
        <f>SUMIFS(Database!$G:$G,Database!$E:$E,Lookup!$C$3,Database!$C:$C,Lookup!BO$5,Database!$F:$F,Lookup!$C11,Database!$D:$D,Lookup!$B$3)</f>
        <v>33246</v>
      </c>
      <c r="BP11" s="176">
        <f>SUMIFS(Database!$G:$G,Database!$E:$E,Lookup!$C$3,Database!$C:$C,Lookup!BP$5,Database!$F:$F,Lookup!$C11,Database!$D:$D,Lookup!$B$3)</f>
        <v>0</v>
      </c>
      <c r="BQ11" s="176">
        <f>SUMIFS(Database!$G:$G,Database!$E:$E,Lookup!$C$3,Database!$C:$C,Lookup!BQ$5,Database!$F:$F,Lookup!$C11,Database!$D:$D,Lookup!$B$3)</f>
        <v>35079.5</v>
      </c>
      <c r="BR11" s="176">
        <f>SUMIFS(Database!$G:$G,Database!$E:$E,Lookup!$C$3,Database!$C:$C,Lookup!BR$5,Database!$F:$F,Lookup!$C11,Database!$D:$D,Lookup!$B$3)</f>
        <v>0</v>
      </c>
      <c r="BS11" s="176">
        <f>SUMIFS(Database!$G:$G,Database!$E:$E,Lookup!$C$3,Database!$C:$C,Lookup!BS$5,Database!$F:$F,Lookup!$C11,Database!$D:$D,Lookup!$B$3)</f>
        <v>0</v>
      </c>
      <c r="BT11" s="176">
        <f>SUMIFS(Database!$G:$G,Database!$E:$E,Lookup!$C$3,Database!$C:$C,Lookup!BT$5,Database!$F:$F,Lookup!$C11,Database!$D:$D,Lookup!$B$3)</f>
        <v>0</v>
      </c>
      <c r="BU11" s="176">
        <f>SUMIFS(Database!$G:$G,Database!$E:$E,Lookup!$C$3,Database!$C:$C,Lookup!BU$5,Database!$F:$F,Lookup!$C11,Database!$D:$D,Lookup!$B$3)</f>
        <v>0</v>
      </c>
      <c r="BV11" s="176">
        <f>SUMIFS(Database!$G:$G,Database!$E:$E,Lookup!$C$3,Database!$C:$C,Lookup!BV$5,Database!$F:$F,Lookup!$C11,Database!$D:$D,Lookup!$B$3)</f>
        <v>0</v>
      </c>
      <c r="BW11" s="176">
        <f>SUMIFS(Database!$G:$G,Database!$E:$E,Lookup!$C$3,Database!$C:$C,Lookup!BW$5,Database!$F:$F,Lookup!$C11,Database!$D:$D,Lookup!$B$3)</f>
        <v>0</v>
      </c>
      <c r="BX11" s="176">
        <f>SUMIFS(Database!$G:$G,Database!$E:$E,Lookup!$C$3,Database!$C:$C,Lookup!BX$5,Database!$F:$F,Lookup!$C11,Database!$D:$D,Lookup!$B$3)</f>
        <v>0</v>
      </c>
      <c r="BY11" s="176">
        <f>SUMIFS(Database!$G:$G,Database!$E:$E,Lookup!$C$3,Database!$C:$C,Lookup!BY$5,Database!$F:$F,Lookup!$C11,Database!$D:$D,Lookup!$B$3)</f>
        <v>0</v>
      </c>
      <c r="BZ11" s="176">
        <f>SUMIFS(Database!$G:$G,Database!$E:$E,Lookup!$C$3,Database!$C:$C,Lookup!BZ$5,Database!$F:$F,Lookup!$C11,Database!$D:$D,Lookup!$B$3)</f>
        <v>0</v>
      </c>
      <c r="CA11" s="176">
        <f>SUMIFS(Database!$G:$G,Database!$E:$E,Lookup!$C$3,Database!$C:$C,Lookup!CA$5,Database!$F:$F,Lookup!$C11,Database!$D:$D,Lookup!$B$3)</f>
        <v>0</v>
      </c>
      <c r="CB11" s="176">
        <f>SUMIFS(Database!$G:$G,Database!$E:$E,Lookup!$C$3,Database!$C:$C,Lookup!CB$5,Database!$F:$F,Lookup!$C11,Database!$D:$D,Lookup!$B$3)</f>
        <v>0</v>
      </c>
      <c r="CC11" s="176">
        <f>SUMIFS(Database!$G:$G,Database!$E:$E,Lookup!$C$3,Database!$C:$C,Lookup!CC$5,Database!$F:$F,Lookup!$C11,Database!$D:$D,Lookup!$B$3)</f>
        <v>0</v>
      </c>
      <c r="CD11" s="176">
        <f>SUMIFS(Database!$G:$G,Database!$E:$E,Lookup!$C$3,Database!$C:$C,Lookup!CD$5,Database!$F:$F,Lookup!$C11,Database!$D:$D,Lookup!$B$3)</f>
        <v>0</v>
      </c>
      <c r="CE11" s="176">
        <f>SUMIFS(Database!$G:$G,Database!$E:$E,Lookup!$C$3,Database!$C:$C,Lookup!CE$5,Database!$F:$F,Lookup!$C11,Database!$D:$D,Lookup!$B$3)</f>
        <v>0</v>
      </c>
      <c r="CF11" s="176">
        <f>SUMIFS(Database!$G:$G,Database!$E:$E,Lookup!$C$3,Database!$C:$C,Lookup!CF$5,Database!$F:$F,Lookup!$C11,Database!$D:$D,Lookup!$B$3)</f>
        <v>0</v>
      </c>
      <c r="CG11" s="176">
        <f>SUMIFS(Database!$G:$G,Database!$E:$E,Lookup!$C$3,Database!$C:$C,Lookup!CG$5,Database!$F:$F,Lookup!$C11,Database!$D:$D,Lookup!$B$3)</f>
        <v>0</v>
      </c>
      <c r="CH11" s="176">
        <f>SUMIFS(Database!$G:$G,Database!$E:$E,Lookup!$C$3,Database!$C:$C,Lookup!CH$5,Database!$F:$F,Lookup!$C11,Database!$D:$D,Lookup!$B$3)</f>
        <v>0</v>
      </c>
      <c r="CI11" s="176">
        <f>SUMIFS(Database!$G:$G,Database!$E:$E,Lookup!$C$3,Database!$C:$C,Lookup!CI$5,Database!$F:$F,Lookup!$C11,Database!$D:$D,Lookup!$B$3)</f>
        <v>0</v>
      </c>
      <c r="CJ11" s="176">
        <f>SUMIFS(Database!$G:$G,Database!$E:$E,Lookup!$C$3,Database!$C:$C,Lookup!CJ$5,Database!$F:$F,Lookup!$C11,Database!$D:$D,Lookup!$B$3)</f>
        <v>0</v>
      </c>
      <c r="CK11" s="176">
        <f>SUMIFS(Database!$G:$G,Database!$E:$E,Lookup!$C$3,Database!$C:$C,Lookup!CK$5,Database!$F:$F,Lookup!$C11,Database!$D:$D,Lookup!$B$3)</f>
        <v>0</v>
      </c>
      <c r="CL11" s="176">
        <f>SUMIFS(Database!$G:$G,Database!$E:$E,Lookup!$C$3,Database!$C:$C,Lookup!CL$5,Database!$F:$F,Lookup!$C11,Database!$D:$D,Lookup!$B$3)</f>
        <v>0</v>
      </c>
      <c r="CM11" s="176">
        <f>SUMIFS(Database!$G:$G,Database!$E:$E,Lookup!$C$3,Database!$C:$C,Lookup!CM$5,Database!$F:$F,Lookup!$C11,Database!$D:$D,Lookup!$B$3)</f>
        <v>0</v>
      </c>
      <c r="CN11" s="176">
        <f>SUMIFS(Database!$G:$G,Database!$E:$E,Lookup!$C$3,Database!$C:$C,Lookup!CN$5,Database!$F:$F,Lookup!$C11,Database!$D:$D,Lookup!$B$3)</f>
        <v>0</v>
      </c>
      <c r="CO11" s="176">
        <f>SUMIFS(Database!$G:$G,Database!$E:$E,Lookup!$C$3,Database!$C:$C,Lookup!CO$5,Database!$F:$F,Lookup!$C11,Database!$D:$D,Lookup!$B$3)</f>
        <v>0</v>
      </c>
      <c r="CP11" s="176">
        <f>SUMIFS(Database!$G:$G,Database!$E:$E,Lookup!$C$3,Database!$C:$C,Lookup!CP$5,Database!$F:$F,Lookup!$C11,Database!$D:$D,Lookup!$B$3)</f>
        <v>0</v>
      </c>
      <c r="CQ11" s="176">
        <f>SUMIFS(Database!$G:$G,Database!$E:$E,Lookup!$C$3,Database!$C:$C,Lookup!CQ$5,Database!$F:$F,Lookup!$C11,Database!$D:$D,Lookup!$B$3)</f>
        <v>0</v>
      </c>
      <c r="CR11" s="176">
        <f>SUMIFS(Database!$G:$G,Database!$E:$E,Lookup!$C$3,Database!$C:$C,Lookup!CR$5,Database!$F:$F,Lookup!$C11,Database!$D:$D,Lookup!$B$3)</f>
        <v>0</v>
      </c>
      <c r="CS11" s="176">
        <f>SUMIFS(Database!$G:$G,Database!$E:$E,Lookup!$C$3,Database!$C:$C,Lookup!CS$5,Database!$F:$F,Lookup!$C11,Database!$D:$D,Lookup!$B$3)</f>
        <v>0</v>
      </c>
      <c r="CT11" s="176">
        <f>SUMIFS(Database!$G:$G,Database!$E:$E,Lookup!$C$3,Database!$C:$C,Lookup!CT$5,Database!$F:$F,Lookup!$C11,Database!$D:$D,Lookup!$B$3)</f>
        <v>0</v>
      </c>
      <c r="CU11" s="176">
        <f>SUMIFS(Database!$G:$G,Database!$E:$E,Lookup!$C$3,Database!$C:$C,Lookup!CU$5,Database!$F:$F,Lookup!$C11,Database!$D:$D,Lookup!$B$3)</f>
        <v>0</v>
      </c>
      <c r="CV11" s="177">
        <f>SUMIFS(Database!$G:$G,Database!$E:$E,Lookup!$C$3,Database!$C:$C,Lookup!CV$5,Database!$F:$F,Lookup!$C11,Database!$D:$D,Lookup!$B$3)</f>
        <v>0</v>
      </c>
    </row>
    <row r="12" spans="2:100" x14ac:dyDescent="0.25">
      <c r="C12" s="217" t="s">
        <v>6</v>
      </c>
      <c r="D12" s="222"/>
      <c r="E12" s="228">
        <f>SUMIFS(Database!$G:$G,Database!$E:$E,Lookup!$C$3,Database!$C:$C,Lookup!E$5,Database!$F:$F,Lookup!$C12,Database!$D:$D,Lookup!$B$3)</f>
        <v>0</v>
      </c>
      <c r="F12" s="176">
        <f>SUMIFS(Database!$G:$G,Database!$E:$E,Lookup!$C$3,Database!$C:$C,Lookup!F$5,Database!$F:$F,Lookup!$C12,Database!$D:$D,Lookup!$B$3)</f>
        <v>0</v>
      </c>
      <c r="G12" s="176">
        <f>SUMIFS(Database!$G:$G,Database!$E:$E,Lookup!$C$3,Database!$C:$C,Lookup!G$5,Database!$F:$F,Lookup!$C12,Database!$D:$D,Lookup!$B$3)</f>
        <v>0</v>
      </c>
      <c r="H12" s="176">
        <f>SUMIFS(Database!$G:$G,Database!$E:$E,Lookup!$C$3,Database!$C:$C,Lookup!H$5,Database!$F:$F,Lookup!$C12,Database!$D:$D,Lookup!$B$3)</f>
        <v>0</v>
      </c>
      <c r="I12" s="176">
        <f>SUMIFS(Database!$G:$G,Database!$E:$E,Lookup!$C$3,Database!$C:$C,Lookup!I$5,Database!$F:$F,Lookup!$C12,Database!$D:$D,Lookup!$B$3)</f>
        <v>0</v>
      </c>
      <c r="J12" s="176">
        <f>SUMIFS(Database!$G:$G,Database!$E:$E,Lookup!$C$3,Database!$C:$C,Lookup!J$5,Database!$F:$F,Lookup!$C12,Database!$D:$D,Lookup!$B$3)</f>
        <v>0</v>
      </c>
      <c r="K12" s="176">
        <f>SUMIFS(Database!$G:$G,Database!$E:$E,Lookup!$C$3,Database!$C:$C,Lookup!K$5,Database!$F:$F,Lookup!$C12,Database!$D:$D,Lookup!$B$3)</f>
        <v>0</v>
      </c>
      <c r="L12" s="176">
        <f>SUMIFS(Database!$G:$G,Database!$E:$E,Lookup!$C$3,Database!$C:$C,Lookup!L$5,Database!$F:$F,Lookup!$C12,Database!$D:$D,Lookup!$B$3)</f>
        <v>0</v>
      </c>
      <c r="M12" s="176">
        <f>SUMIFS(Database!$G:$G,Database!$E:$E,Lookup!$C$3,Database!$C:$C,Lookup!M$5,Database!$F:$F,Lookup!$C12,Database!$D:$D,Lookup!$B$3)</f>
        <v>0</v>
      </c>
      <c r="N12" s="176">
        <f>SUMIFS(Database!$G:$G,Database!$E:$E,Lookup!$C$3,Database!$C:$C,Lookup!N$5,Database!$F:$F,Lookup!$C12,Database!$D:$D,Lookup!$B$3)</f>
        <v>0</v>
      </c>
      <c r="O12" s="176">
        <f>SUMIFS(Database!$G:$G,Database!$E:$E,Lookup!$C$3,Database!$C:$C,Lookup!O$5,Database!$F:$F,Lookup!$C12,Database!$D:$D,Lookup!$B$3)</f>
        <v>0</v>
      </c>
      <c r="P12" s="176">
        <f>SUMIFS(Database!$G:$G,Database!$E:$E,Lookup!$C$3,Database!$C:$C,Lookup!P$5,Database!$F:$F,Lookup!$C12,Database!$D:$D,Lookup!$B$3)</f>
        <v>0</v>
      </c>
      <c r="Q12" s="176">
        <f>SUMIFS(Database!$G:$G,Database!$E:$E,Lookup!$C$3,Database!$C:$C,Lookup!Q$5,Database!$F:$F,Lookup!$C12,Database!$D:$D,Lookup!$B$3)</f>
        <v>0</v>
      </c>
      <c r="R12" s="176">
        <f>SUMIFS(Database!$G:$G,Database!$E:$E,Lookup!$C$3,Database!$C:$C,Lookup!R$5,Database!$F:$F,Lookup!$C12,Database!$D:$D,Lookup!$B$3)</f>
        <v>0</v>
      </c>
      <c r="S12" s="176">
        <f>SUMIFS(Database!$G:$G,Database!$E:$E,Lookup!$C$3,Database!$C:$C,Lookup!S$5,Database!$F:$F,Lookup!$C12,Database!$D:$D,Lookup!$B$3)</f>
        <v>0</v>
      </c>
      <c r="T12" s="176">
        <f>SUMIFS(Database!$G:$G,Database!$E:$E,Lookup!$C$3,Database!$C:$C,Lookup!T$5,Database!$F:$F,Lookup!$C12,Database!$D:$D,Lookup!$B$3)</f>
        <v>0</v>
      </c>
      <c r="U12" s="176">
        <f>SUMIFS(Database!$G:$G,Database!$E:$E,Lookup!$C$3,Database!$C:$C,Lookup!U$5,Database!$F:$F,Lookup!$C12,Database!$D:$D,Lookup!$B$3)</f>
        <v>0</v>
      </c>
      <c r="V12" s="176">
        <f>SUMIFS(Database!$G:$G,Database!$E:$E,Lookup!$C$3,Database!$C:$C,Lookup!V$5,Database!$F:$F,Lookup!$C12,Database!$D:$D,Lookup!$B$3)</f>
        <v>0</v>
      </c>
      <c r="W12" s="176">
        <f>SUMIFS(Database!$G:$G,Database!$E:$E,Lookup!$C$3,Database!$C:$C,Lookup!W$5,Database!$F:$F,Lookup!$C12,Database!$D:$D,Lookup!$B$3)</f>
        <v>0</v>
      </c>
      <c r="X12" s="176">
        <f>SUMIFS(Database!$G:$G,Database!$E:$E,Lookup!$C$3,Database!$C:$C,Lookup!X$5,Database!$F:$F,Lookup!$C12,Database!$D:$D,Lookup!$B$3)</f>
        <v>0</v>
      </c>
      <c r="Y12" s="176">
        <f>SUMIFS(Database!$G:$G,Database!$E:$E,Lookup!$C$3,Database!$C:$C,Lookup!Y$5,Database!$F:$F,Lookup!$C12,Database!$D:$D,Lookup!$B$3)</f>
        <v>0</v>
      </c>
      <c r="Z12" s="176">
        <f>SUMIFS(Database!$G:$G,Database!$E:$E,Lookup!$C$3,Database!$C:$C,Lookup!Z$5,Database!$F:$F,Lookup!$C12,Database!$D:$D,Lookup!$B$3)</f>
        <v>0</v>
      </c>
      <c r="AA12" s="176">
        <f>SUMIFS(Database!$G:$G,Database!$E:$E,Lookup!$C$3,Database!$C:$C,Lookup!AA$5,Database!$F:$F,Lookup!$C12,Database!$D:$D,Lookup!$B$3)</f>
        <v>0</v>
      </c>
      <c r="AB12" s="176">
        <f>SUMIFS(Database!$G:$G,Database!$E:$E,Lookup!$C$3,Database!$C:$C,Lookup!AB$5,Database!$F:$F,Lookup!$C12,Database!$D:$D,Lookup!$B$3)</f>
        <v>0</v>
      </c>
      <c r="AC12" s="176">
        <f>SUMIFS(Database!$G:$G,Database!$E:$E,Lookup!$C$3,Database!$C:$C,Lookup!AC$5,Database!$F:$F,Lookup!$C12,Database!$D:$D,Lookup!$B$3)</f>
        <v>0</v>
      </c>
      <c r="AD12" s="176">
        <f>SUMIFS(Database!$G:$G,Database!$E:$E,Lookup!$C$3,Database!$C:$C,Lookup!AD$5,Database!$F:$F,Lookup!$C12,Database!$D:$D,Lookup!$B$3)</f>
        <v>0</v>
      </c>
      <c r="AE12" s="176">
        <f>SUMIFS(Database!$G:$G,Database!$E:$E,Lookup!$C$3,Database!$C:$C,Lookup!AE$5,Database!$F:$F,Lookup!$C12,Database!$D:$D,Lookup!$B$3)</f>
        <v>0</v>
      </c>
      <c r="AF12" s="176">
        <f>SUMIFS(Database!$G:$G,Database!$E:$E,Lookup!$C$3,Database!$C:$C,Lookup!AF$5,Database!$F:$F,Lookup!$C12,Database!$D:$D,Lookup!$B$3)</f>
        <v>0</v>
      </c>
      <c r="AG12" s="176">
        <f>SUMIFS(Database!$G:$G,Database!$E:$E,Lookup!$C$3,Database!$C:$C,Lookup!AG$5,Database!$F:$F,Lookup!$C12,Database!$D:$D,Lookup!$B$3)</f>
        <v>0</v>
      </c>
      <c r="AH12" s="176">
        <f>SUMIFS(Database!$G:$G,Database!$E:$E,Lookup!$C$3,Database!$C:$C,Lookup!AH$5,Database!$F:$F,Lookup!$C12,Database!$D:$D,Lookup!$B$3)</f>
        <v>0</v>
      </c>
      <c r="AI12" s="176">
        <f>SUMIFS(Database!$G:$G,Database!$E:$E,Lookup!$C$3,Database!$C:$C,Lookup!AI$5,Database!$F:$F,Lookup!$C12,Database!$D:$D,Lookup!$B$3)</f>
        <v>0</v>
      </c>
      <c r="AJ12" s="176">
        <f>SUMIFS(Database!$G:$G,Database!$E:$E,Lookup!$C$3,Database!$C:$C,Lookup!AJ$5,Database!$F:$F,Lookup!$C12,Database!$D:$D,Lookup!$B$3)</f>
        <v>0</v>
      </c>
      <c r="AK12" s="176">
        <f>SUMIFS(Database!$G:$G,Database!$E:$E,Lookup!$C$3,Database!$C:$C,Lookup!AK$5,Database!$F:$F,Lookup!$C12,Database!$D:$D,Lookup!$B$3)</f>
        <v>0</v>
      </c>
      <c r="AL12" s="176">
        <f>SUMIFS(Database!$G:$G,Database!$E:$E,Lookup!$C$3,Database!$C:$C,Lookup!AL$5,Database!$F:$F,Lookup!$C12,Database!$D:$D,Lookup!$B$3)</f>
        <v>0</v>
      </c>
      <c r="AM12" s="176">
        <f>SUMIFS(Database!$G:$G,Database!$E:$E,Lookup!$C$3,Database!$C:$C,Lookup!AM$5,Database!$F:$F,Lookup!$C12,Database!$D:$D,Lookup!$B$3)</f>
        <v>0</v>
      </c>
      <c r="AN12" s="176">
        <f>SUMIFS(Database!$G:$G,Database!$E:$E,Lookup!$C$3,Database!$C:$C,Lookup!AN$5,Database!$F:$F,Lookup!$C12,Database!$D:$D,Lookup!$B$3)</f>
        <v>0</v>
      </c>
      <c r="AO12" s="176">
        <f>SUMIFS(Database!$G:$G,Database!$E:$E,Lookup!$C$3,Database!$C:$C,Lookup!AO$5,Database!$F:$F,Lookup!$C12,Database!$D:$D,Lookup!$B$3)</f>
        <v>0</v>
      </c>
      <c r="AP12" s="176">
        <f>SUMIFS(Database!$G:$G,Database!$E:$E,Lookup!$C$3,Database!$C:$C,Lookup!AP$5,Database!$F:$F,Lookup!$C12,Database!$D:$D,Lookup!$B$3)</f>
        <v>0</v>
      </c>
      <c r="AQ12" s="176">
        <f>SUMIFS(Database!$G:$G,Database!$E:$E,Lookup!$C$3,Database!$C:$C,Lookup!AQ$5,Database!$F:$F,Lookup!$C12,Database!$D:$D,Lookup!$B$3)</f>
        <v>0</v>
      </c>
      <c r="AR12" s="176">
        <f>SUMIFS(Database!$G:$G,Database!$E:$E,Lookup!$C$3,Database!$C:$C,Lookup!AR$5,Database!$F:$F,Lookup!$C12,Database!$D:$D,Lookup!$B$3)</f>
        <v>0</v>
      </c>
      <c r="AS12" s="176">
        <f>SUMIFS(Database!$G:$G,Database!$E:$E,Lookup!$C$3,Database!$C:$C,Lookup!AS$5,Database!$F:$F,Lookup!$C12,Database!$D:$D,Lookup!$B$3)</f>
        <v>0</v>
      </c>
      <c r="AT12" s="176">
        <f>SUMIFS(Database!$G:$G,Database!$E:$E,Lookup!$C$3,Database!$C:$C,Lookup!AT$5,Database!$F:$F,Lookup!$C12,Database!$D:$D,Lookup!$B$3)</f>
        <v>0</v>
      </c>
      <c r="AU12" s="176">
        <f>SUMIFS(Database!$G:$G,Database!$E:$E,Lookup!$C$3,Database!$C:$C,Lookup!AU$5,Database!$F:$F,Lookup!$C12,Database!$D:$D,Lookup!$B$3)</f>
        <v>0</v>
      </c>
      <c r="AV12" s="176">
        <f>SUMIFS(Database!$G:$G,Database!$E:$E,Lookup!$C$3,Database!$C:$C,Lookup!AV$5,Database!$F:$F,Lookup!$C12,Database!$D:$D,Lookup!$B$3)</f>
        <v>9271</v>
      </c>
      <c r="AW12" s="176">
        <f>SUMIFS(Database!$G:$G,Database!$E:$E,Lookup!$C$3,Database!$C:$C,Lookup!AW$5,Database!$F:$F,Lookup!$C12,Database!$D:$D,Lookup!$B$3)</f>
        <v>12176</v>
      </c>
      <c r="AX12" s="176">
        <f>SUMIFS(Database!$G:$G,Database!$E:$E,Lookup!$C$3,Database!$C:$C,Lookup!AX$5,Database!$F:$F,Lookup!$C12,Database!$D:$D,Lookup!$B$3)</f>
        <v>25159</v>
      </c>
      <c r="AY12" s="176">
        <f>SUMIFS(Database!$G:$G,Database!$E:$E,Lookup!$C$3,Database!$C:$C,Lookup!AY$5,Database!$F:$F,Lookup!$C12,Database!$D:$D,Lookup!$B$3)</f>
        <v>7569</v>
      </c>
      <c r="AZ12" s="176">
        <f>SUMIFS(Database!$G:$G,Database!$E:$E,Lookup!$C$3,Database!$C:$C,Lookup!AZ$5,Database!$F:$F,Lookup!$C12,Database!$D:$D,Lookup!$B$3)</f>
        <v>0</v>
      </c>
      <c r="BA12" s="176">
        <f>SUMIFS(Database!$G:$G,Database!$E:$E,Lookup!$C$3,Database!$C:$C,Lookup!BA$5,Database!$F:$F,Lookup!$C12,Database!$D:$D,Lookup!$B$3)</f>
        <v>0</v>
      </c>
      <c r="BB12" s="176">
        <f>SUMIFS(Database!$G:$G,Database!$E:$E,Lookup!$C$3,Database!$C:$C,Lookup!BB$5,Database!$F:$F,Lookup!$C12,Database!$D:$D,Lookup!$B$3)</f>
        <v>4021</v>
      </c>
      <c r="BC12" s="176">
        <f>SUMIFS(Database!$G:$G,Database!$E:$E,Lookup!$C$3,Database!$C:$C,Lookup!BC$5,Database!$F:$F,Lookup!$C12,Database!$D:$D,Lookup!$B$3)</f>
        <v>18011</v>
      </c>
      <c r="BD12" s="176">
        <f>SUMIFS(Database!$G:$G,Database!$E:$E,Lookup!$C$3,Database!$C:$C,Lookup!BD$5,Database!$F:$F,Lookup!$C12,Database!$D:$D,Lookup!$B$3)</f>
        <v>18631</v>
      </c>
      <c r="BE12" s="176">
        <f>SUMIFS(Database!$G:$G,Database!$E:$E,Lookup!$C$3,Database!$C:$C,Lookup!BE$5,Database!$F:$F,Lookup!$C12,Database!$D:$D,Lookup!$B$3)</f>
        <v>17796</v>
      </c>
      <c r="BF12" s="176">
        <f>SUMIFS(Database!$G:$G,Database!$E:$E,Lookup!$C$3,Database!$C:$C,Lookup!BF$5,Database!$F:$F,Lookup!$C12,Database!$D:$D,Lookup!$B$3)</f>
        <v>1624</v>
      </c>
      <c r="BG12" s="176">
        <f>SUMIFS(Database!$G:$G,Database!$E:$E,Lookup!$C$3,Database!$C:$C,Lookup!BG$5,Database!$F:$F,Lookup!$C12,Database!$D:$D,Lookup!$B$3)</f>
        <v>1720</v>
      </c>
      <c r="BH12" s="176">
        <f>SUMIFS(Database!$G:$G,Database!$E:$E,Lookup!$C$3,Database!$C:$C,Lookup!BH$5,Database!$F:$F,Lookup!$C12,Database!$D:$D,Lookup!$B$3)</f>
        <v>1654</v>
      </c>
      <c r="BI12" s="176">
        <f>SUMIFS(Database!$G:$G,Database!$E:$E,Lookup!$C$3,Database!$C:$C,Lookup!BI$5,Database!$F:$F,Lookup!$C12,Database!$D:$D,Lookup!$B$3)</f>
        <v>1200</v>
      </c>
      <c r="BJ12" s="176">
        <f>SUMIFS(Database!$G:$G,Database!$E:$E,Lookup!$C$3,Database!$C:$C,Lookup!BJ$5,Database!$F:$F,Lookup!$C12,Database!$D:$D,Lookup!$B$3)</f>
        <v>0</v>
      </c>
      <c r="BK12" s="176">
        <f>SUMIFS(Database!$G:$G,Database!$E:$E,Lookup!$C$3,Database!$C:$C,Lookup!BK$5,Database!$F:$F,Lookup!$C12,Database!$D:$D,Lookup!$B$3)</f>
        <v>26820</v>
      </c>
      <c r="BL12" s="176">
        <f>SUMIFS(Database!$G:$G,Database!$E:$E,Lookup!$C$3,Database!$C:$C,Lookup!BL$5,Database!$F:$F,Lookup!$C12,Database!$D:$D,Lookup!$B$3)</f>
        <v>24498.5</v>
      </c>
      <c r="BM12" s="176">
        <f>SUMIFS(Database!$G:$G,Database!$E:$E,Lookup!$C$3,Database!$C:$C,Lookup!BM$5,Database!$F:$F,Lookup!$C12,Database!$D:$D,Lookup!$B$3)</f>
        <v>0</v>
      </c>
      <c r="BN12" s="176">
        <f>SUMIFS(Database!$G:$G,Database!$E:$E,Lookup!$C$3,Database!$C:$C,Lookup!BN$5,Database!$F:$F,Lookup!$C12,Database!$D:$D,Lookup!$B$3)</f>
        <v>0</v>
      </c>
      <c r="BO12" s="176">
        <f>SUMIFS(Database!$G:$G,Database!$E:$E,Lookup!$C$3,Database!$C:$C,Lookup!BO$5,Database!$F:$F,Lookup!$C12,Database!$D:$D,Lookup!$B$3)</f>
        <v>335</v>
      </c>
      <c r="BP12" s="176">
        <f>SUMIFS(Database!$G:$G,Database!$E:$E,Lookup!$C$3,Database!$C:$C,Lookup!BP$5,Database!$F:$F,Lookup!$C12,Database!$D:$D,Lookup!$B$3)</f>
        <v>0</v>
      </c>
      <c r="BQ12" s="176">
        <f>SUMIFS(Database!$G:$G,Database!$E:$E,Lookup!$C$3,Database!$C:$C,Lookup!BQ$5,Database!$F:$F,Lookup!$C12,Database!$D:$D,Lookup!$B$3)</f>
        <v>0</v>
      </c>
      <c r="BR12" s="176">
        <f>SUMIFS(Database!$G:$G,Database!$E:$E,Lookup!$C$3,Database!$C:$C,Lookup!BR$5,Database!$F:$F,Lookup!$C12,Database!$D:$D,Lookup!$B$3)</f>
        <v>0</v>
      </c>
      <c r="BS12" s="176">
        <f>SUMIFS(Database!$G:$G,Database!$E:$E,Lookup!$C$3,Database!$C:$C,Lookup!BS$5,Database!$F:$F,Lookup!$C12,Database!$D:$D,Lookup!$B$3)</f>
        <v>0</v>
      </c>
      <c r="BT12" s="176">
        <f>SUMIFS(Database!$G:$G,Database!$E:$E,Lookup!$C$3,Database!$C:$C,Lookup!BT$5,Database!$F:$F,Lookup!$C12,Database!$D:$D,Lookup!$B$3)</f>
        <v>0</v>
      </c>
      <c r="BU12" s="176">
        <f>SUMIFS(Database!$G:$G,Database!$E:$E,Lookup!$C$3,Database!$C:$C,Lookup!BU$5,Database!$F:$F,Lookup!$C12,Database!$D:$D,Lookup!$B$3)</f>
        <v>0</v>
      </c>
      <c r="BV12" s="176">
        <f>SUMIFS(Database!$G:$G,Database!$E:$E,Lookup!$C$3,Database!$C:$C,Lookup!BV$5,Database!$F:$F,Lookup!$C12,Database!$D:$D,Lookup!$B$3)</f>
        <v>0</v>
      </c>
      <c r="BW12" s="176">
        <f>SUMIFS(Database!$G:$G,Database!$E:$E,Lookup!$C$3,Database!$C:$C,Lookup!BW$5,Database!$F:$F,Lookup!$C12,Database!$D:$D,Lookup!$B$3)</f>
        <v>0</v>
      </c>
      <c r="BX12" s="176">
        <f>SUMIFS(Database!$G:$G,Database!$E:$E,Lookup!$C$3,Database!$C:$C,Lookup!BX$5,Database!$F:$F,Lookup!$C12,Database!$D:$D,Lookup!$B$3)</f>
        <v>0</v>
      </c>
      <c r="BY12" s="176">
        <f>SUMIFS(Database!$G:$G,Database!$E:$E,Lookup!$C$3,Database!$C:$C,Lookup!BY$5,Database!$F:$F,Lookup!$C12,Database!$D:$D,Lookup!$B$3)</f>
        <v>0</v>
      </c>
      <c r="BZ12" s="176">
        <f>SUMIFS(Database!$G:$G,Database!$E:$E,Lookup!$C$3,Database!$C:$C,Lookup!BZ$5,Database!$F:$F,Lookup!$C12,Database!$D:$D,Lookup!$B$3)</f>
        <v>0</v>
      </c>
      <c r="CA12" s="176">
        <f>SUMIFS(Database!$G:$G,Database!$E:$E,Lookup!$C$3,Database!$C:$C,Lookup!CA$5,Database!$F:$F,Lookup!$C12,Database!$D:$D,Lookup!$B$3)</f>
        <v>0</v>
      </c>
      <c r="CB12" s="176">
        <f>SUMIFS(Database!$G:$G,Database!$E:$E,Lookup!$C$3,Database!$C:$C,Lookup!CB$5,Database!$F:$F,Lookup!$C12,Database!$D:$D,Lookup!$B$3)</f>
        <v>0</v>
      </c>
      <c r="CC12" s="176">
        <f>SUMIFS(Database!$G:$G,Database!$E:$E,Lookup!$C$3,Database!$C:$C,Lookup!CC$5,Database!$F:$F,Lookup!$C12,Database!$D:$D,Lookup!$B$3)</f>
        <v>0</v>
      </c>
      <c r="CD12" s="176">
        <f>SUMIFS(Database!$G:$G,Database!$E:$E,Lookup!$C$3,Database!$C:$C,Lookup!CD$5,Database!$F:$F,Lookup!$C12,Database!$D:$D,Lookup!$B$3)</f>
        <v>0</v>
      </c>
      <c r="CE12" s="176">
        <f>SUMIFS(Database!$G:$G,Database!$E:$E,Lookup!$C$3,Database!$C:$C,Lookup!CE$5,Database!$F:$F,Lookup!$C12,Database!$D:$D,Lookup!$B$3)</f>
        <v>0</v>
      </c>
      <c r="CF12" s="176">
        <f>SUMIFS(Database!$G:$G,Database!$E:$E,Lookup!$C$3,Database!$C:$C,Lookup!CF$5,Database!$F:$F,Lookup!$C12,Database!$D:$D,Lookup!$B$3)</f>
        <v>0</v>
      </c>
      <c r="CG12" s="176">
        <f>SUMIFS(Database!$G:$G,Database!$E:$E,Lookup!$C$3,Database!$C:$C,Lookup!CG$5,Database!$F:$F,Lookup!$C12,Database!$D:$D,Lookup!$B$3)</f>
        <v>0</v>
      </c>
      <c r="CH12" s="176">
        <f>SUMIFS(Database!$G:$G,Database!$E:$E,Lookup!$C$3,Database!$C:$C,Lookup!CH$5,Database!$F:$F,Lookup!$C12,Database!$D:$D,Lookup!$B$3)</f>
        <v>0</v>
      </c>
      <c r="CI12" s="176">
        <f>SUMIFS(Database!$G:$G,Database!$E:$E,Lookup!$C$3,Database!$C:$C,Lookup!CI$5,Database!$F:$F,Lookup!$C12,Database!$D:$D,Lookup!$B$3)</f>
        <v>0</v>
      </c>
      <c r="CJ12" s="176">
        <f>SUMIFS(Database!$G:$G,Database!$E:$E,Lookup!$C$3,Database!$C:$C,Lookup!CJ$5,Database!$F:$F,Lookup!$C12,Database!$D:$D,Lookup!$B$3)</f>
        <v>0</v>
      </c>
      <c r="CK12" s="176">
        <f>SUMIFS(Database!$G:$G,Database!$E:$E,Lookup!$C$3,Database!$C:$C,Lookup!CK$5,Database!$F:$F,Lookup!$C12,Database!$D:$D,Lookup!$B$3)</f>
        <v>0</v>
      </c>
      <c r="CL12" s="176">
        <f>SUMIFS(Database!$G:$G,Database!$E:$E,Lookup!$C$3,Database!$C:$C,Lookup!CL$5,Database!$F:$F,Lookup!$C12,Database!$D:$D,Lookup!$B$3)</f>
        <v>0</v>
      </c>
      <c r="CM12" s="176">
        <f>SUMIFS(Database!$G:$G,Database!$E:$E,Lookup!$C$3,Database!$C:$C,Lookup!CM$5,Database!$F:$F,Lookup!$C12,Database!$D:$D,Lookup!$B$3)</f>
        <v>0</v>
      </c>
      <c r="CN12" s="176">
        <f>SUMIFS(Database!$G:$G,Database!$E:$E,Lookup!$C$3,Database!$C:$C,Lookup!CN$5,Database!$F:$F,Lookup!$C12,Database!$D:$D,Lookup!$B$3)</f>
        <v>0</v>
      </c>
      <c r="CO12" s="176">
        <f>SUMIFS(Database!$G:$G,Database!$E:$E,Lookup!$C$3,Database!$C:$C,Lookup!CO$5,Database!$F:$F,Lookup!$C12,Database!$D:$D,Lookup!$B$3)</f>
        <v>0</v>
      </c>
      <c r="CP12" s="176">
        <f>SUMIFS(Database!$G:$G,Database!$E:$E,Lookup!$C$3,Database!$C:$C,Lookup!CP$5,Database!$F:$F,Lookup!$C12,Database!$D:$D,Lookup!$B$3)</f>
        <v>0</v>
      </c>
      <c r="CQ12" s="176">
        <f>SUMIFS(Database!$G:$G,Database!$E:$E,Lookup!$C$3,Database!$C:$C,Lookup!CQ$5,Database!$F:$F,Lookup!$C12,Database!$D:$D,Lookup!$B$3)</f>
        <v>0</v>
      </c>
      <c r="CR12" s="176">
        <f>SUMIFS(Database!$G:$G,Database!$E:$E,Lookup!$C$3,Database!$C:$C,Lookup!CR$5,Database!$F:$F,Lookup!$C12,Database!$D:$D,Lookup!$B$3)</f>
        <v>0</v>
      </c>
      <c r="CS12" s="176">
        <f>SUMIFS(Database!$G:$G,Database!$E:$E,Lookup!$C$3,Database!$C:$C,Lookup!CS$5,Database!$F:$F,Lookup!$C12,Database!$D:$D,Lookup!$B$3)</f>
        <v>0</v>
      </c>
      <c r="CT12" s="176">
        <f>SUMIFS(Database!$G:$G,Database!$E:$E,Lookup!$C$3,Database!$C:$C,Lookup!CT$5,Database!$F:$F,Lookup!$C12,Database!$D:$D,Lookup!$B$3)</f>
        <v>0</v>
      </c>
      <c r="CU12" s="176">
        <f>SUMIFS(Database!$G:$G,Database!$E:$E,Lookup!$C$3,Database!$C:$C,Lookup!CU$5,Database!$F:$F,Lookup!$C12,Database!$D:$D,Lookup!$B$3)</f>
        <v>0</v>
      </c>
      <c r="CV12" s="177">
        <f>SUMIFS(Database!$G:$G,Database!$E:$E,Lookup!$C$3,Database!$C:$C,Lookup!CV$5,Database!$F:$F,Lookup!$C12,Database!$D:$D,Lookup!$B$3)</f>
        <v>0</v>
      </c>
    </row>
    <row r="13" spans="2:100" x14ac:dyDescent="0.25">
      <c r="C13" s="219" t="s">
        <v>7</v>
      </c>
      <c r="D13" s="223"/>
      <c r="E13" s="229">
        <f>SUMIFS(Database!$G:$G,Database!$E:$E,Lookup!$C$3,Database!$C:$C,Lookup!E$5,Database!$F:$F,Lookup!$C13,Database!$D:$D,Lookup!$B$3)</f>
        <v>0</v>
      </c>
      <c r="F13" s="178">
        <f>SUMIFS(Database!$G:$G,Database!$E:$E,Lookup!$C$3,Database!$C:$C,Lookup!F$5,Database!$F:$F,Lookup!$C13,Database!$D:$D,Lookup!$B$3)</f>
        <v>0</v>
      </c>
      <c r="G13" s="178">
        <f>SUMIFS(Database!$G:$G,Database!$E:$E,Lookup!$C$3,Database!$C:$C,Lookup!G$5,Database!$F:$F,Lookup!$C13,Database!$D:$D,Lookup!$B$3)</f>
        <v>0</v>
      </c>
      <c r="H13" s="178">
        <f>SUMIFS(Database!$G:$G,Database!$E:$E,Lookup!$C$3,Database!$C:$C,Lookup!H$5,Database!$F:$F,Lookup!$C13,Database!$D:$D,Lookup!$B$3)</f>
        <v>0</v>
      </c>
      <c r="I13" s="178">
        <f>SUMIFS(Database!$G:$G,Database!$E:$E,Lookup!$C$3,Database!$C:$C,Lookup!I$5,Database!$F:$F,Lookup!$C13,Database!$D:$D,Lookup!$B$3)</f>
        <v>0</v>
      </c>
      <c r="J13" s="178">
        <f>SUMIFS(Database!$G:$G,Database!$E:$E,Lookup!$C$3,Database!$C:$C,Lookup!J$5,Database!$F:$F,Lookup!$C13,Database!$D:$D,Lookup!$B$3)</f>
        <v>0</v>
      </c>
      <c r="K13" s="178">
        <f>SUMIFS(Database!$G:$G,Database!$E:$E,Lookup!$C$3,Database!$C:$C,Lookup!K$5,Database!$F:$F,Lookup!$C13,Database!$D:$D,Lookup!$B$3)</f>
        <v>0</v>
      </c>
      <c r="L13" s="178">
        <f>SUMIFS(Database!$G:$G,Database!$E:$E,Lookup!$C$3,Database!$C:$C,Lookup!L$5,Database!$F:$F,Lookup!$C13,Database!$D:$D,Lookup!$B$3)</f>
        <v>0</v>
      </c>
      <c r="M13" s="178">
        <f>SUMIFS(Database!$G:$G,Database!$E:$E,Lookup!$C$3,Database!$C:$C,Lookup!M$5,Database!$F:$F,Lookup!$C13,Database!$D:$D,Lookup!$B$3)</f>
        <v>0</v>
      </c>
      <c r="N13" s="178">
        <f>SUMIFS(Database!$G:$G,Database!$E:$E,Lookup!$C$3,Database!$C:$C,Lookup!N$5,Database!$F:$F,Lookup!$C13,Database!$D:$D,Lookup!$B$3)</f>
        <v>0</v>
      </c>
      <c r="O13" s="178">
        <f>SUMIFS(Database!$G:$G,Database!$E:$E,Lookup!$C$3,Database!$C:$C,Lookup!O$5,Database!$F:$F,Lookup!$C13,Database!$D:$D,Lookup!$B$3)</f>
        <v>0</v>
      </c>
      <c r="P13" s="178">
        <f>SUMIFS(Database!$G:$G,Database!$E:$E,Lookup!$C$3,Database!$C:$C,Lookup!P$5,Database!$F:$F,Lookup!$C13,Database!$D:$D,Lookup!$B$3)</f>
        <v>0</v>
      </c>
      <c r="Q13" s="178">
        <f>SUMIFS(Database!$G:$G,Database!$E:$E,Lookup!$C$3,Database!$C:$C,Lookup!Q$5,Database!$F:$F,Lookup!$C13,Database!$D:$D,Lookup!$B$3)</f>
        <v>0</v>
      </c>
      <c r="R13" s="178">
        <f>SUMIFS(Database!$G:$G,Database!$E:$E,Lookup!$C$3,Database!$C:$C,Lookup!R$5,Database!$F:$F,Lookup!$C13,Database!$D:$D,Lookup!$B$3)</f>
        <v>0</v>
      </c>
      <c r="S13" s="178">
        <f>SUMIFS(Database!$G:$G,Database!$E:$E,Lookup!$C$3,Database!$C:$C,Lookup!S$5,Database!$F:$F,Lookup!$C13,Database!$D:$D,Lookup!$B$3)</f>
        <v>0</v>
      </c>
      <c r="T13" s="178">
        <f>SUMIFS(Database!$G:$G,Database!$E:$E,Lookup!$C$3,Database!$C:$C,Lookup!T$5,Database!$F:$F,Lookup!$C13,Database!$D:$D,Lookup!$B$3)</f>
        <v>0</v>
      </c>
      <c r="U13" s="178">
        <f>SUMIFS(Database!$G:$G,Database!$E:$E,Lookup!$C$3,Database!$C:$C,Lookup!U$5,Database!$F:$F,Lookup!$C13,Database!$D:$D,Lookup!$B$3)</f>
        <v>0</v>
      </c>
      <c r="V13" s="178">
        <f>SUMIFS(Database!$G:$G,Database!$E:$E,Lookup!$C$3,Database!$C:$C,Lookup!V$5,Database!$F:$F,Lookup!$C13,Database!$D:$D,Lookup!$B$3)</f>
        <v>0</v>
      </c>
      <c r="W13" s="178">
        <f>SUMIFS(Database!$G:$G,Database!$E:$E,Lookup!$C$3,Database!$C:$C,Lookup!W$5,Database!$F:$F,Lookup!$C13,Database!$D:$D,Lookup!$B$3)</f>
        <v>0</v>
      </c>
      <c r="X13" s="178">
        <f>SUMIFS(Database!$G:$G,Database!$E:$E,Lookup!$C$3,Database!$C:$C,Lookup!X$5,Database!$F:$F,Lookup!$C13,Database!$D:$D,Lookup!$B$3)</f>
        <v>0</v>
      </c>
      <c r="Y13" s="178">
        <f>SUMIFS(Database!$G:$G,Database!$E:$E,Lookup!$C$3,Database!$C:$C,Lookup!Y$5,Database!$F:$F,Lookup!$C13,Database!$D:$D,Lookup!$B$3)</f>
        <v>0</v>
      </c>
      <c r="Z13" s="178">
        <f>SUMIFS(Database!$G:$G,Database!$E:$E,Lookup!$C$3,Database!$C:$C,Lookup!Z$5,Database!$F:$F,Lookup!$C13,Database!$D:$D,Lookup!$B$3)</f>
        <v>0</v>
      </c>
      <c r="AA13" s="178">
        <f>SUMIFS(Database!$G:$G,Database!$E:$E,Lookup!$C$3,Database!$C:$C,Lookup!AA$5,Database!$F:$F,Lookup!$C13,Database!$D:$D,Lookup!$B$3)</f>
        <v>0</v>
      </c>
      <c r="AB13" s="178">
        <f>SUMIFS(Database!$G:$G,Database!$E:$E,Lookup!$C$3,Database!$C:$C,Lookup!AB$5,Database!$F:$F,Lookup!$C13,Database!$D:$D,Lookup!$B$3)</f>
        <v>0</v>
      </c>
      <c r="AC13" s="178">
        <f>SUMIFS(Database!$G:$G,Database!$E:$E,Lookup!$C$3,Database!$C:$C,Lookup!AC$5,Database!$F:$F,Lookup!$C13,Database!$D:$D,Lookup!$B$3)</f>
        <v>0</v>
      </c>
      <c r="AD13" s="178">
        <f>SUMIFS(Database!$G:$G,Database!$E:$E,Lookup!$C$3,Database!$C:$C,Lookup!AD$5,Database!$F:$F,Lookup!$C13,Database!$D:$D,Lookup!$B$3)</f>
        <v>0</v>
      </c>
      <c r="AE13" s="178">
        <f>SUMIFS(Database!$G:$G,Database!$E:$E,Lookup!$C$3,Database!$C:$C,Lookup!AE$5,Database!$F:$F,Lookup!$C13,Database!$D:$D,Lookup!$B$3)</f>
        <v>0</v>
      </c>
      <c r="AF13" s="178">
        <f>SUMIFS(Database!$G:$G,Database!$E:$E,Lookup!$C$3,Database!$C:$C,Lookup!AF$5,Database!$F:$F,Lookup!$C13,Database!$D:$D,Lookup!$B$3)</f>
        <v>0</v>
      </c>
      <c r="AG13" s="178">
        <f>SUMIFS(Database!$G:$G,Database!$E:$E,Lookup!$C$3,Database!$C:$C,Lookup!AG$5,Database!$F:$F,Lookup!$C13,Database!$D:$D,Lookup!$B$3)</f>
        <v>0</v>
      </c>
      <c r="AH13" s="178">
        <f>SUMIFS(Database!$G:$G,Database!$E:$E,Lookup!$C$3,Database!$C:$C,Lookup!AH$5,Database!$F:$F,Lookup!$C13,Database!$D:$D,Lookup!$B$3)</f>
        <v>0</v>
      </c>
      <c r="AI13" s="178">
        <f>SUMIFS(Database!$G:$G,Database!$E:$E,Lookup!$C$3,Database!$C:$C,Lookup!AI$5,Database!$F:$F,Lookup!$C13,Database!$D:$D,Lookup!$B$3)</f>
        <v>0</v>
      </c>
      <c r="AJ13" s="178">
        <f>SUMIFS(Database!$G:$G,Database!$E:$E,Lookup!$C$3,Database!$C:$C,Lookup!AJ$5,Database!$F:$F,Lookup!$C13,Database!$D:$D,Lookup!$B$3)</f>
        <v>0</v>
      </c>
      <c r="AK13" s="178">
        <f>SUMIFS(Database!$G:$G,Database!$E:$E,Lookup!$C$3,Database!$C:$C,Lookup!AK$5,Database!$F:$F,Lookup!$C13,Database!$D:$D,Lookup!$B$3)</f>
        <v>0</v>
      </c>
      <c r="AL13" s="178">
        <f>SUMIFS(Database!$G:$G,Database!$E:$E,Lookup!$C$3,Database!$C:$C,Lookup!AL$5,Database!$F:$F,Lookup!$C13,Database!$D:$D,Lookup!$B$3)</f>
        <v>89161</v>
      </c>
      <c r="AM13" s="178">
        <f>SUMIFS(Database!$G:$G,Database!$E:$E,Lookup!$C$3,Database!$C:$C,Lookup!AM$5,Database!$F:$F,Lookup!$C13,Database!$D:$D,Lookup!$B$3)</f>
        <v>478</v>
      </c>
      <c r="AN13" s="178">
        <f>SUMIFS(Database!$G:$G,Database!$E:$E,Lookup!$C$3,Database!$C:$C,Lookup!AN$5,Database!$F:$F,Lookup!$C13,Database!$D:$D,Lookup!$B$3)</f>
        <v>692</v>
      </c>
      <c r="AO13" s="178">
        <f>SUMIFS(Database!$G:$G,Database!$E:$E,Lookup!$C$3,Database!$C:$C,Lookup!AO$5,Database!$F:$F,Lookup!$C13,Database!$D:$D,Lookup!$B$3)</f>
        <v>58</v>
      </c>
      <c r="AP13" s="178">
        <f>SUMIFS(Database!$G:$G,Database!$E:$E,Lookup!$C$3,Database!$C:$C,Lookup!AP$5,Database!$F:$F,Lookup!$C13,Database!$D:$D,Lookup!$B$3)</f>
        <v>43</v>
      </c>
      <c r="AQ13" s="178">
        <f>SUMIFS(Database!$G:$G,Database!$E:$E,Lookup!$C$3,Database!$C:$C,Lookup!AQ$5,Database!$F:$F,Lookup!$C13,Database!$D:$D,Lookup!$B$3)</f>
        <v>156</v>
      </c>
      <c r="AR13" s="178">
        <f>SUMIFS(Database!$G:$G,Database!$E:$E,Lookup!$C$3,Database!$C:$C,Lookup!AR$5,Database!$F:$F,Lookup!$C13,Database!$D:$D,Lookup!$B$3)</f>
        <v>6477</v>
      </c>
      <c r="AS13" s="178">
        <f>SUMIFS(Database!$G:$G,Database!$E:$E,Lookup!$C$3,Database!$C:$C,Lookup!AS$5,Database!$F:$F,Lookup!$C13,Database!$D:$D,Lookup!$B$3)</f>
        <v>4412</v>
      </c>
      <c r="AT13" s="178">
        <f>SUMIFS(Database!$G:$G,Database!$E:$E,Lookup!$C$3,Database!$C:$C,Lookup!AT$5,Database!$F:$F,Lookup!$C13,Database!$D:$D,Lookup!$B$3)</f>
        <v>0</v>
      </c>
      <c r="AU13" s="178">
        <f>SUMIFS(Database!$G:$G,Database!$E:$E,Lookup!$C$3,Database!$C:$C,Lookup!AU$5,Database!$F:$F,Lookup!$C13,Database!$D:$D,Lookup!$B$3)</f>
        <v>34548</v>
      </c>
      <c r="AV13" s="178">
        <f>SUMIFS(Database!$G:$G,Database!$E:$E,Lookup!$C$3,Database!$C:$C,Lookup!AV$5,Database!$F:$F,Lookup!$C13,Database!$D:$D,Lookup!$B$3)</f>
        <v>19295</v>
      </c>
      <c r="AW13" s="178">
        <f>SUMIFS(Database!$G:$G,Database!$E:$E,Lookup!$C$3,Database!$C:$C,Lookup!AW$5,Database!$F:$F,Lookup!$C13,Database!$D:$D,Lookup!$B$3)</f>
        <v>51622</v>
      </c>
      <c r="AX13" s="178">
        <f>SUMIFS(Database!$G:$G,Database!$E:$E,Lookup!$C$3,Database!$C:$C,Lookup!AX$5,Database!$F:$F,Lookup!$C13,Database!$D:$D,Lookup!$B$3)</f>
        <v>67132</v>
      </c>
      <c r="AY13" s="178">
        <f>SUMIFS(Database!$G:$G,Database!$E:$E,Lookup!$C$3,Database!$C:$C,Lookup!AY$5,Database!$F:$F,Lookup!$C13,Database!$D:$D,Lookup!$B$3)</f>
        <v>54673</v>
      </c>
      <c r="AZ13" s="178">
        <f>SUMIFS(Database!$G:$G,Database!$E:$E,Lookup!$C$3,Database!$C:$C,Lookup!AZ$5,Database!$F:$F,Lookup!$C13,Database!$D:$D,Lookup!$B$3)</f>
        <v>56217</v>
      </c>
      <c r="BA13" s="178">
        <f>SUMIFS(Database!$G:$G,Database!$E:$E,Lookup!$C$3,Database!$C:$C,Lookup!BA$5,Database!$F:$F,Lookup!$C13,Database!$D:$D,Lookup!$B$3)</f>
        <v>44636</v>
      </c>
      <c r="BB13" s="178">
        <f>SUMIFS(Database!$G:$G,Database!$E:$E,Lookup!$C$3,Database!$C:$C,Lookup!BB$5,Database!$F:$F,Lookup!$C13,Database!$D:$D,Lookup!$B$3)</f>
        <v>54922</v>
      </c>
      <c r="BC13" s="178">
        <f>SUMIFS(Database!$G:$G,Database!$E:$E,Lookup!$C$3,Database!$C:$C,Lookup!BC$5,Database!$F:$F,Lookup!$C13,Database!$D:$D,Lookup!$B$3)</f>
        <v>58813</v>
      </c>
      <c r="BD13" s="178">
        <f>SUMIFS(Database!$G:$G,Database!$E:$E,Lookup!$C$3,Database!$C:$C,Lookup!BD$5,Database!$F:$F,Lookup!$C13,Database!$D:$D,Lookup!$B$3)</f>
        <v>68861</v>
      </c>
      <c r="BE13" s="178">
        <f>SUMIFS(Database!$G:$G,Database!$E:$E,Lookup!$C$3,Database!$C:$C,Lookup!BE$5,Database!$F:$F,Lookup!$C13,Database!$D:$D,Lookup!$B$3)</f>
        <v>64492</v>
      </c>
      <c r="BF13" s="178">
        <f>SUMIFS(Database!$G:$G,Database!$E:$E,Lookup!$C$3,Database!$C:$C,Lookup!BF$5,Database!$F:$F,Lookup!$C13,Database!$D:$D,Lookup!$B$3)</f>
        <v>51106</v>
      </c>
      <c r="BG13" s="178">
        <f>SUMIFS(Database!$G:$G,Database!$E:$E,Lookup!$C$3,Database!$C:$C,Lookup!BG$5,Database!$F:$F,Lookup!$C13,Database!$D:$D,Lookup!$B$3)</f>
        <v>61403</v>
      </c>
      <c r="BH13" s="178">
        <f>SUMIFS(Database!$G:$G,Database!$E:$E,Lookup!$C$3,Database!$C:$C,Lookup!BH$5,Database!$F:$F,Lookup!$C13,Database!$D:$D,Lookup!$B$3)</f>
        <v>59474</v>
      </c>
      <c r="BI13" s="178">
        <f>SUMIFS(Database!$G:$G,Database!$E:$E,Lookup!$C$3,Database!$C:$C,Lookup!BI$5,Database!$F:$F,Lookup!$C13,Database!$D:$D,Lookup!$B$3)</f>
        <v>54555</v>
      </c>
      <c r="BJ13" s="178">
        <f>SUMIFS(Database!$G:$G,Database!$E:$E,Lookup!$C$3,Database!$C:$C,Lookup!BJ$5,Database!$F:$F,Lookup!$C13,Database!$D:$D,Lookup!$B$3)</f>
        <v>0</v>
      </c>
      <c r="BK13" s="178">
        <f>SUMIFS(Database!$G:$G,Database!$E:$E,Lookup!$C$3,Database!$C:$C,Lookup!BK$5,Database!$F:$F,Lookup!$C13,Database!$D:$D,Lookup!$B$3)</f>
        <v>49700</v>
      </c>
      <c r="BL13" s="178">
        <f>SUMIFS(Database!$G:$G,Database!$E:$E,Lookup!$C$3,Database!$C:$C,Lookup!BL$5,Database!$F:$F,Lookup!$C13,Database!$D:$D,Lookup!$B$3)</f>
        <v>33607.5</v>
      </c>
      <c r="BM13" s="178">
        <f>SUMIFS(Database!$G:$G,Database!$E:$E,Lookup!$C$3,Database!$C:$C,Lookup!BM$5,Database!$F:$F,Lookup!$C13,Database!$D:$D,Lookup!$B$3)</f>
        <v>0</v>
      </c>
      <c r="BN13" s="178">
        <f>SUMIFS(Database!$G:$G,Database!$E:$E,Lookup!$C$3,Database!$C:$C,Lookup!BN$5,Database!$F:$F,Lookup!$C13,Database!$D:$D,Lookup!$B$3)</f>
        <v>0</v>
      </c>
      <c r="BO13" s="178">
        <f>SUMIFS(Database!$G:$G,Database!$E:$E,Lookup!$C$3,Database!$C:$C,Lookup!BO$5,Database!$F:$F,Lookup!$C13,Database!$D:$D,Lookup!$B$3)</f>
        <v>43321</v>
      </c>
      <c r="BP13" s="178">
        <f>SUMIFS(Database!$G:$G,Database!$E:$E,Lookup!$C$3,Database!$C:$C,Lookup!BP$5,Database!$F:$F,Lookup!$C13,Database!$D:$D,Lookup!$B$3)</f>
        <v>0</v>
      </c>
      <c r="BQ13" s="178">
        <f>SUMIFS(Database!$G:$G,Database!$E:$E,Lookup!$C$3,Database!$C:$C,Lookup!BQ$5,Database!$F:$F,Lookup!$C13,Database!$D:$D,Lookup!$B$3)</f>
        <v>47751.5</v>
      </c>
      <c r="BR13" s="178">
        <f>SUMIFS(Database!$G:$G,Database!$E:$E,Lookup!$C$3,Database!$C:$C,Lookup!BR$5,Database!$F:$F,Lookup!$C13,Database!$D:$D,Lookup!$B$3)</f>
        <v>71386.5</v>
      </c>
      <c r="BS13" s="178">
        <f>SUMIFS(Database!$G:$G,Database!$E:$E,Lookup!$C$3,Database!$C:$C,Lookup!BS$5,Database!$F:$F,Lookup!$C13,Database!$D:$D,Lookup!$B$3)</f>
        <v>49657</v>
      </c>
      <c r="BT13" s="178">
        <f>SUMIFS(Database!$G:$G,Database!$E:$E,Lookup!$C$3,Database!$C:$C,Lookup!BT$5,Database!$F:$F,Lookup!$C13,Database!$D:$D,Lookup!$B$3)</f>
        <v>0</v>
      </c>
      <c r="BU13" s="178">
        <f>SUMIFS(Database!$G:$G,Database!$E:$E,Lookup!$C$3,Database!$C:$C,Lookup!BU$5,Database!$F:$F,Lookup!$C13,Database!$D:$D,Lookup!$B$3)</f>
        <v>60468</v>
      </c>
      <c r="BV13" s="178">
        <f>SUMIFS(Database!$G:$G,Database!$E:$E,Lookup!$C$3,Database!$C:$C,Lookup!BV$5,Database!$F:$F,Lookup!$C13,Database!$D:$D,Lookup!$B$3)</f>
        <v>48000</v>
      </c>
      <c r="BW13" s="178">
        <f>SUMIFS(Database!$G:$G,Database!$E:$E,Lookup!$C$3,Database!$C:$C,Lookup!BW$5,Database!$F:$F,Lookup!$C13,Database!$D:$D,Lookup!$B$3)</f>
        <v>0</v>
      </c>
      <c r="BX13" s="178">
        <f>SUMIFS(Database!$G:$G,Database!$E:$E,Lookup!$C$3,Database!$C:$C,Lookup!BX$5,Database!$F:$F,Lookup!$C13,Database!$D:$D,Lookup!$B$3)</f>
        <v>0</v>
      </c>
      <c r="BY13" s="178">
        <f>SUMIFS(Database!$G:$G,Database!$E:$E,Lookup!$C$3,Database!$C:$C,Lookup!BY$5,Database!$F:$F,Lookup!$C13,Database!$D:$D,Lookup!$B$3)</f>
        <v>0</v>
      </c>
      <c r="BZ13" s="178">
        <f>SUMIFS(Database!$G:$G,Database!$E:$E,Lookup!$C$3,Database!$C:$C,Lookup!BZ$5,Database!$F:$F,Lookup!$C13,Database!$D:$D,Lookup!$B$3)</f>
        <v>0</v>
      </c>
      <c r="CA13" s="178">
        <f>SUMIFS(Database!$G:$G,Database!$E:$E,Lookup!$C$3,Database!$C:$C,Lookup!CA$5,Database!$F:$F,Lookup!$C13,Database!$D:$D,Lookup!$B$3)</f>
        <v>0</v>
      </c>
      <c r="CB13" s="178">
        <f>SUMIFS(Database!$G:$G,Database!$E:$E,Lookup!$C$3,Database!$C:$C,Lookup!CB$5,Database!$F:$F,Lookup!$C13,Database!$D:$D,Lookup!$B$3)</f>
        <v>0</v>
      </c>
      <c r="CC13" s="178">
        <f>SUMIFS(Database!$G:$G,Database!$E:$E,Lookup!$C$3,Database!$C:$C,Lookup!CC$5,Database!$F:$F,Lookup!$C13,Database!$D:$D,Lookup!$B$3)</f>
        <v>0</v>
      </c>
      <c r="CD13" s="178">
        <f>SUMIFS(Database!$G:$G,Database!$E:$E,Lookup!$C$3,Database!$C:$C,Lookup!CD$5,Database!$F:$F,Lookup!$C13,Database!$D:$D,Lookup!$B$3)</f>
        <v>0</v>
      </c>
      <c r="CE13" s="178">
        <f>SUMIFS(Database!$G:$G,Database!$E:$E,Lookup!$C$3,Database!$C:$C,Lookup!CE$5,Database!$F:$F,Lookup!$C13,Database!$D:$D,Lookup!$B$3)</f>
        <v>0</v>
      </c>
      <c r="CF13" s="178">
        <f>SUMIFS(Database!$G:$G,Database!$E:$E,Lookup!$C$3,Database!$C:$C,Lookup!CF$5,Database!$F:$F,Lookup!$C13,Database!$D:$D,Lookup!$B$3)</f>
        <v>0</v>
      </c>
      <c r="CG13" s="178">
        <f>SUMIFS(Database!$G:$G,Database!$E:$E,Lookup!$C$3,Database!$C:$C,Lookup!CG$5,Database!$F:$F,Lookup!$C13,Database!$D:$D,Lookup!$B$3)</f>
        <v>0</v>
      </c>
      <c r="CH13" s="178">
        <f>SUMIFS(Database!$G:$G,Database!$E:$E,Lookup!$C$3,Database!$C:$C,Lookup!CH$5,Database!$F:$F,Lookup!$C13,Database!$D:$D,Lookup!$B$3)</f>
        <v>0</v>
      </c>
      <c r="CI13" s="178">
        <f>SUMIFS(Database!$G:$G,Database!$E:$E,Lookup!$C$3,Database!$C:$C,Lookup!CI$5,Database!$F:$F,Lookup!$C13,Database!$D:$D,Lookup!$B$3)</f>
        <v>0</v>
      </c>
      <c r="CJ13" s="178">
        <f>SUMIFS(Database!$G:$G,Database!$E:$E,Lookup!$C$3,Database!$C:$C,Lookup!CJ$5,Database!$F:$F,Lookup!$C13,Database!$D:$D,Lookup!$B$3)</f>
        <v>0</v>
      </c>
      <c r="CK13" s="178">
        <f>SUMIFS(Database!$G:$G,Database!$E:$E,Lookup!$C$3,Database!$C:$C,Lookup!CK$5,Database!$F:$F,Lookup!$C13,Database!$D:$D,Lookup!$B$3)</f>
        <v>0</v>
      </c>
      <c r="CL13" s="178">
        <f>SUMIFS(Database!$G:$G,Database!$E:$E,Lookup!$C$3,Database!$C:$C,Lookup!CL$5,Database!$F:$F,Lookup!$C13,Database!$D:$D,Lookup!$B$3)</f>
        <v>0</v>
      </c>
      <c r="CM13" s="178">
        <f>SUMIFS(Database!$G:$G,Database!$E:$E,Lookup!$C$3,Database!$C:$C,Lookup!CM$5,Database!$F:$F,Lookup!$C13,Database!$D:$D,Lookup!$B$3)</f>
        <v>0</v>
      </c>
      <c r="CN13" s="178">
        <f>SUMIFS(Database!$G:$G,Database!$E:$E,Lookup!$C$3,Database!$C:$C,Lookup!CN$5,Database!$F:$F,Lookup!$C13,Database!$D:$D,Lookup!$B$3)</f>
        <v>0</v>
      </c>
      <c r="CO13" s="178">
        <f>SUMIFS(Database!$G:$G,Database!$E:$E,Lookup!$C$3,Database!$C:$C,Lookup!CO$5,Database!$F:$F,Lookup!$C13,Database!$D:$D,Lookup!$B$3)</f>
        <v>0</v>
      </c>
      <c r="CP13" s="178">
        <f>SUMIFS(Database!$G:$G,Database!$E:$E,Lookup!$C$3,Database!$C:$C,Lookup!CP$5,Database!$F:$F,Lookup!$C13,Database!$D:$D,Lookup!$B$3)</f>
        <v>0</v>
      </c>
      <c r="CQ13" s="178">
        <f>SUMIFS(Database!$G:$G,Database!$E:$E,Lookup!$C$3,Database!$C:$C,Lookup!CQ$5,Database!$F:$F,Lookup!$C13,Database!$D:$D,Lookup!$B$3)</f>
        <v>0</v>
      </c>
      <c r="CR13" s="178">
        <f>SUMIFS(Database!$G:$G,Database!$E:$E,Lookup!$C$3,Database!$C:$C,Lookup!CR$5,Database!$F:$F,Lookup!$C13,Database!$D:$D,Lookup!$B$3)</f>
        <v>0</v>
      </c>
      <c r="CS13" s="178">
        <f>SUMIFS(Database!$G:$G,Database!$E:$E,Lookup!$C$3,Database!$C:$C,Lookup!CS$5,Database!$F:$F,Lookup!$C13,Database!$D:$D,Lookup!$B$3)</f>
        <v>0</v>
      </c>
      <c r="CT13" s="178">
        <f>SUMIFS(Database!$G:$G,Database!$E:$E,Lookup!$C$3,Database!$C:$C,Lookup!CT$5,Database!$F:$F,Lookup!$C13,Database!$D:$D,Lookup!$B$3)</f>
        <v>0</v>
      </c>
      <c r="CU13" s="178">
        <f>SUMIFS(Database!$G:$G,Database!$E:$E,Lookup!$C$3,Database!$C:$C,Lookup!CU$5,Database!$F:$F,Lookup!$C13,Database!$D:$D,Lookup!$B$3)</f>
        <v>0</v>
      </c>
      <c r="CV13" s="179">
        <f>SUMIFS(Database!$G:$G,Database!$E:$E,Lookup!$C$3,Database!$C:$C,Lookup!CV$5,Database!$F:$F,Lookup!$C13,Database!$D:$D,Lookup!$B$3)</f>
        <v>0</v>
      </c>
    </row>
    <row r="14" spans="2:100" x14ac:dyDescent="0.25">
      <c r="C14" s="217" t="s">
        <v>8</v>
      </c>
      <c r="D14" s="222"/>
      <c r="E14" s="228">
        <f>SUMIFS(Database!$G:$G,Database!$E:$E,Lookup!$C$3,Database!$C:$C,Lookup!E$5,Database!$F:$F,Lookup!$C14,Database!$D:$D,Lookup!$B$3)</f>
        <v>0</v>
      </c>
      <c r="F14" s="176">
        <f>SUMIFS(Database!$G:$G,Database!$E:$E,Lookup!$C$3,Database!$C:$C,Lookup!F$5,Database!$F:$F,Lookup!$C14,Database!$D:$D,Lookup!$B$3)</f>
        <v>0</v>
      </c>
      <c r="G14" s="176">
        <f>SUMIFS(Database!$G:$G,Database!$E:$E,Lookup!$C$3,Database!$C:$C,Lookup!G$5,Database!$F:$F,Lookup!$C14,Database!$D:$D,Lookup!$B$3)</f>
        <v>0</v>
      </c>
      <c r="H14" s="176">
        <f>SUMIFS(Database!$G:$G,Database!$E:$E,Lookup!$C$3,Database!$C:$C,Lookup!H$5,Database!$F:$F,Lookup!$C14,Database!$D:$D,Lookup!$B$3)</f>
        <v>0</v>
      </c>
      <c r="I14" s="176">
        <f>SUMIFS(Database!$G:$G,Database!$E:$E,Lookup!$C$3,Database!$C:$C,Lookup!I$5,Database!$F:$F,Lookup!$C14,Database!$D:$D,Lookup!$B$3)</f>
        <v>0</v>
      </c>
      <c r="J14" s="176">
        <f>SUMIFS(Database!$G:$G,Database!$E:$E,Lookup!$C$3,Database!$C:$C,Lookup!J$5,Database!$F:$F,Lookup!$C14,Database!$D:$D,Lookup!$B$3)</f>
        <v>0</v>
      </c>
      <c r="K14" s="176">
        <f>SUMIFS(Database!$G:$G,Database!$E:$E,Lookup!$C$3,Database!$C:$C,Lookup!K$5,Database!$F:$F,Lookup!$C14,Database!$D:$D,Lookup!$B$3)</f>
        <v>0</v>
      </c>
      <c r="L14" s="176">
        <f>SUMIFS(Database!$G:$G,Database!$E:$E,Lookup!$C$3,Database!$C:$C,Lookup!L$5,Database!$F:$F,Lookup!$C14,Database!$D:$D,Lookup!$B$3)</f>
        <v>0</v>
      </c>
      <c r="M14" s="176">
        <f>SUMIFS(Database!$G:$G,Database!$E:$E,Lookup!$C$3,Database!$C:$C,Lookup!M$5,Database!$F:$F,Lookup!$C14,Database!$D:$D,Lookup!$B$3)</f>
        <v>0</v>
      </c>
      <c r="N14" s="176">
        <f>SUMIFS(Database!$G:$G,Database!$E:$E,Lookup!$C$3,Database!$C:$C,Lookup!N$5,Database!$F:$F,Lookup!$C14,Database!$D:$D,Lookup!$B$3)</f>
        <v>0</v>
      </c>
      <c r="O14" s="176">
        <f>SUMIFS(Database!$G:$G,Database!$E:$E,Lookup!$C$3,Database!$C:$C,Lookup!O$5,Database!$F:$F,Lookup!$C14,Database!$D:$D,Lookup!$B$3)</f>
        <v>0</v>
      </c>
      <c r="P14" s="176">
        <f>SUMIFS(Database!$G:$G,Database!$E:$E,Lookup!$C$3,Database!$C:$C,Lookup!P$5,Database!$F:$F,Lookup!$C14,Database!$D:$D,Lookup!$B$3)</f>
        <v>0</v>
      </c>
      <c r="Q14" s="176">
        <f>SUMIFS(Database!$G:$G,Database!$E:$E,Lookup!$C$3,Database!$C:$C,Lookup!Q$5,Database!$F:$F,Lookup!$C14,Database!$D:$D,Lookup!$B$3)</f>
        <v>0</v>
      </c>
      <c r="R14" s="176">
        <f>SUMIFS(Database!$G:$G,Database!$E:$E,Lookup!$C$3,Database!$C:$C,Lookup!R$5,Database!$F:$F,Lookup!$C14,Database!$D:$D,Lookup!$B$3)</f>
        <v>0</v>
      </c>
      <c r="S14" s="176">
        <f>SUMIFS(Database!$G:$G,Database!$E:$E,Lookup!$C$3,Database!$C:$C,Lookup!S$5,Database!$F:$F,Lookup!$C14,Database!$D:$D,Lookup!$B$3)</f>
        <v>0</v>
      </c>
      <c r="T14" s="176">
        <f>SUMIFS(Database!$G:$G,Database!$E:$E,Lookup!$C$3,Database!$C:$C,Lookup!T$5,Database!$F:$F,Lookup!$C14,Database!$D:$D,Lookup!$B$3)</f>
        <v>0</v>
      </c>
      <c r="U14" s="176">
        <f>SUMIFS(Database!$G:$G,Database!$E:$E,Lookup!$C$3,Database!$C:$C,Lookup!U$5,Database!$F:$F,Lookup!$C14,Database!$D:$D,Lookup!$B$3)</f>
        <v>0</v>
      </c>
      <c r="V14" s="176">
        <f>SUMIFS(Database!$G:$G,Database!$E:$E,Lookup!$C$3,Database!$C:$C,Lookup!V$5,Database!$F:$F,Lookup!$C14,Database!$D:$D,Lookup!$B$3)</f>
        <v>0</v>
      </c>
      <c r="W14" s="176">
        <f>SUMIFS(Database!$G:$G,Database!$E:$E,Lookup!$C$3,Database!$C:$C,Lookup!W$5,Database!$F:$F,Lookup!$C14,Database!$D:$D,Lookup!$B$3)</f>
        <v>0</v>
      </c>
      <c r="X14" s="176">
        <f>SUMIFS(Database!$G:$G,Database!$E:$E,Lookup!$C$3,Database!$C:$C,Lookup!X$5,Database!$F:$F,Lookup!$C14,Database!$D:$D,Lookup!$B$3)</f>
        <v>0</v>
      </c>
      <c r="Y14" s="176">
        <f>SUMIFS(Database!$G:$G,Database!$E:$E,Lookup!$C$3,Database!$C:$C,Lookup!Y$5,Database!$F:$F,Lookup!$C14,Database!$D:$D,Lookup!$B$3)</f>
        <v>0</v>
      </c>
      <c r="Z14" s="176">
        <f>SUMIFS(Database!$G:$G,Database!$E:$E,Lookup!$C$3,Database!$C:$C,Lookup!Z$5,Database!$F:$F,Lookup!$C14,Database!$D:$D,Lookup!$B$3)</f>
        <v>0</v>
      </c>
      <c r="AA14" s="176">
        <f>SUMIFS(Database!$G:$G,Database!$E:$E,Lookup!$C$3,Database!$C:$C,Lookup!AA$5,Database!$F:$F,Lookup!$C14,Database!$D:$D,Lookup!$B$3)</f>
        <v>0</v>
      </c>
      <c r="AB14" s="176">
        <f>SUMIFS(Database!$G:$G,Database!$E:$E,Lookup!$C$3,Database!$C:$C,Lookup!AB$5,Database!$F:$F,Lookup!$C14,Database!$D:$D,Lookup!$B$3)</f>
        <v>0</v>
      </c>
      <c r="AC14" s="176">
        <f>SUMIFS(Database!$G:$G,Database!$E:$E,Lookup!$C$3,Database!$C:$C,Lookup!AC$5,Database!$F:$F,Lookup!$C14,Database!$D:$D,Lookup!$B$3)</f>
        <v>0</v>
      </c>
      <c r="AD14" s="176">
        <f>SUMIFS(Database!$G:$G,Database!$E:$E,Lookup!$C$3,Database!$C:$C,Lookup!AD$5,Database!$F:$F,Lookup!$C14,Database!$D:$D,Lookup!$B$3)</f>
        <v>0</v>
      </c>
      <c r="AE14" s="176">
        <f>SUMIFS(Database!$G:$G,Database!$E:$E,Lookup!$C$3,Database!$C:$C,Lookup!AE$5,Database!$F:$F,Lookup!$C14,Database!$D:$D,Lookup!$B$3)</f>
        <v>0</v>
      </c>
      <c r="AF14" s="176">
        <f>SUMIFS(Database!$G:$G,Database!$E:$E,Lookup!$C$3,Database!$C:$C,Lookup!AF$5,Database!$F:$F,Lookup!$C14,Database!$D:$D,Lookup!$B$3)</f>
        <v>0</v>
      </c>
      <c r="AG14" s="176">
        <f>SUMIFS(Database!$G:$G,Database!$E:$E,Lookup!$C$3,Database!$C:$C,Lookup!AG$5,Database!$F:$F,Lookup!$C14,Database!$D:$D,Lookup!$B$3)</f>
        <v>0</v>
      </c>
      <c r="AH14" s="176">
        <f>SUMIFS(Database!$G:$G,Database!$E:$E,Lookup!$C$3,Database!$C:$C,Lookup!AH$5,Database!$F:$F,Lookup!$C14,Database!$D:$D,Lookup!$B$3)</f>
        <v>0</v>
      </c>
      <c r="AI14" s="176">
        <f>SUMIFS(Database!$G:$G,Database!$E:$E,Lookup!$C$3,Database!$C:$C,Lookup!AI$5,Database!$F:$F,Lookup!$C14,Database!$D:$D,Lookup!$B$3)</f>
        <v>0</v>
      </c>
      <c r="AJ14" s="176">
        <f>SUMIFS(Database!$G:$G,Database!$E:$E,Lookup!$C$3,Database!$C:$C,Lookup!AJ$5,Database!$F:$F,Lookup!$C14,Database!$D:$D,Lookup!$B$3)</f>
        <v>0</v>
      </c>
      <c r="AK14" s="176">
        <f>SUMIFS(Database!$G:$G,Database!$E:$E,Lookup!$C$3,Database!$C:$C,Lookup!AK$5,Database!$F:$F,Lookup!$C14,Database!$D:$D,Lookup!$B$3)</f>
        <v>0</v>
      </c>
      <c r="AL14" s="176">
        <f>SUMIFS(Database!$G:$G,Database!$E:$E,Lookup!$C$3,Database!$C:$C,Lookup!AL$5,Database!$F:$F,Lookup!$C14,Database!$D:$D,Lookup!$B$3)</f>
        <v>0</v>
      </c>
      <c r="AM14" s="176">
        <f>SUMIFS(Database!$G:$G,Database!$E:$E,Lookup!$C$3,Database!$C:$C,Lookup!AM$5,Database!$F:$F,Lookup!$C14,Database!$D:$D,Lookup!$B$3)</f>
        <v>0</v>
      </c>
      <c r="AN14" s="176">
        <f>SUMIFS(Database!$G:$G,Database!$E:$E,Lookup!$C$3,Database!$C:$C,Lookup!AN$5,Database!$F:$F,Lookup!$C14,Database!$D:$D,Lookup!$B$3)</f>
        <v>0</v>
      </c>
      <c r="AO14" s="176">
        <f>SUMIFS(Database!$G:$G,Database!$E:$E,Lookup!$C$3,Database!$C:$C,Lookup!AO$5,Database!$F:$F,Lookup!$C14,Database!$D:$D,Lookup!$B$3)</f>
        <v>0</v>
      </c>
      <c r="AP14" s="176">
        <f>SUMIFS(Database!$G:$G,Database!$E:$E,Lookup!$C$3,Database!$C:$C,Lookup!AP$5,Database!$F:$F,Lookup!$C14,Database!$D:$D,Lookup!$B$3)</f>
        <v>0</v>
      </c>
      <c r="AQ14" s="176">
        <f>SUMIFS(Database!$G:$G,Database!$E:$E,Lookup!$C$3,Database!$C:$C,Lookup!AQ$5,Database!$F:$F,Lookup!$C14,Database!$D:$D,Lookup!$B$3)</f>
        <v>0</v>
      </c>
      <c r="AR14" s="176">
        <f>SUMIFS(Database!$G:$G,Database!$E:$E,Lookup!$C$3,Database!$C:$C,Lookup!AR$5,Database!$F:$F,Lookup!$C14,Database!$D:$D,Lookup!$B$3)</f>
        <v>0</v>
      </c>
      <c r="AS14" s="176">
        <f>SUMIFS(Database!$G:$G,Database!$E:$E,Lookup!$C$3,Database!$C:$C,Lookup!AS$5,Database!$F:$F,Lookup!$C14,Database!$D:$D,Lookup!$B$3)</f>
        <v>0</v>
      </c>
      <c r="AT14" s="176">
        <f>SUMIFS(Database!$G:$G,Database!$E:$E,Lookup!$C$3,Database!$C:$C,Lookup!AT$5,Database!$F:$F,Lookup!$C14,Database!$D:$D,Lookup!$B$3)</f>
        <v>0</v>
      </c>
      <c r="AU14" s="176">
        <f>SUMIFS(Database!$G:$G,Database!$E:$E,Lookup!$C$3,Database!$C:$C,Lookup!AU$5,Database!$F:$F,Lookup!$C14,Database!$D:$D,Lookup!$B$3)</f>
        <v>0</v>
      </c>
      <c r="AV14" s="176">
        <f>SUMIFS(Database!$G:$G,Database!$E:$E,Lookup!$C$3,Database!$C:$C,Lookup!AV$5,Database!$F:$F,Lookup!$C14,Database!$D:$D,Lookup!$B$3)</f>
        <v>0</v>
      </c>
      <c r="AW14" s="176">
        <f>SUMIFS(Database!$G:$G,Database!$E:$E,Lookup!$C$3,Database!$C:$C,Lookup!AW$5,Database!$F:$F,Lookup!$C14,Database!$D:$D,Lookup!$B$3)</f>
        <v>0</v>
      </c>
      <c r="AX14" s="176">
        <f>SUMIFS(Database!$G:$G,Database!$E:$E,Lookup!$C$3,Database!$C:$C,Lookup!AX$5,Database!$F:$F,Lookup!$C14,Database!$D:$D,Lookup!$B$3)</f>
        <v>0</v>
      </c>
      <c r="AY14" s="176">
        <f>SUMIFS(Database!$G:$G,Database!$E:$E,Lookup!$C$3,Database!$C:$C,Lookup!AY$5,Database!$F:$F,Lookup!$C14,Database!$D:$D,Lookup!$B$3)</f>
        <v>0</v>
      </c>
      <c r="AZ14" s="176">
        <f>SUMIFS(Database!$G:$G,Database!$E:$E,Lookup!$C$3,Database!$C:$C,Lookup!AZ$5,Database!$F:$F,Lookup!$C14,Database!$D:$D,Lookup!$B$3)</f>
        <v>0</v>
      </c>
      <c r="BA14" s="176">
        <f>SUMIFS(Database!$G:$G,Database!$E:$E,Lookup!$C$3,Database!$C:$C,Lookup!BA$5,Database!$F:$F,Lookup!$C14,Database!$D:$D,Lookup!$B$3)</f>
        <v>0</v>
      </c>
      <c r="BB14" s="176">
        <f>SUMIFS(Database!$G:$G,Database!$E:$E,Lookup!$C$3,Database!$C:$C,Lookup!BB$5,Database!$F:$F,Lookup!$C14,Database!$D:$D,Lookup!$B$3)</f>
        <v>0</v>
      </c>
      <c r="BC14" s="176">
        <f>SUMIFS(Database!$G:$G,Database!$E:$E,Lookup!$C$3,Database!$C:$C,Lookup!BC$5,Database!$F:$F,Lookup!$C14,Database!$D:$D,Lookup!$B$3)</f>
        <v>0</v>
      </c>
      <c r="BD14" s="176">
        <f>SUMIFS(Database!$G:$G,Database!$E:$E,Lookup!$C$3,Database!$C:$C,Lookup!BD$5,Database!$F:$F,Lookup!$C14,Database!$D:$D,Lookup!$B$3)</f>
        <v>0</v>
      </c>
      <c r="BE14" s="176">
        <f>SUMIFS(Database!$G:$G,Database!$E:$E,Lookup!$C$3,Database!$C:$C,Lookup!BE$5,Database!$F:$F,Lookup!$C14,Database!$D:$D,Lookup!$B$3)</f>
        <v>0</v>
      </c>
      <c r="BF14" s="176">
        <f>SUMIFS(Database!$G:$G,Database!$E:$E,Lookup!$C$3,Database!$C:$C,Lookup!BF$5,Database!$F:$F,Lookup!$C14,Database!$D:$D,Lookup!$B$3)</f>
        <v>0</v>
      </c>
      <c r="BG14" s="176">
        <f>SUMIFS(Database!$G:$G,Database!$E:$E,Lookup!$C$3,Database!$C:$C,Lookup!BG$5,Database!$F:$F,Lookup!$C14,Database!$D:$D,Lookup!$B$3)</f>
        <v>0</v>
      </c>
      <c r="BH14" s="176">
        <f>SUMIFS(Database!$G:$G,Database!$E:$E,Lookup!$C$3,Database!$C:$C,Lookup!BH$5,Database!$F:$F,Lookup!$C14,Database!$D:$D,Lookup!$B$3)</f>
        <v>0</v>
      </c>
      <c r="BI14" s="176">
        <f>SUMIFS(Database!$G:$G,Database!$E:$E,Lookup!$C$3,Database!$C:$C,Lookup!BI$5,Database!$F:$F,Lookup!$C14,Database!$D:$D,Lookup!$B$3)</f>
        <v>0</v>
      </c>
      <c r="BJ14" s="176">
        <f>SUMIFS(Database!$G:$G,Database!$E:$E,Lookup!$C$3,Database!$C:$C,Lookup!BJ$5,Database!$F:$F,Lookup!$C14,Database!$D:$D,Lookup!$B$3)</f>
        <v>0</v>
      </c>
      <c r="BK14" s="176">
        <f>SUMIFS(Database!$G:$G,Database!$E:$E,Lookup!$C$3,Database!$C:$C,Lookup!BK$5,Database!$F:$F,Lookup!$C14,Database!$D:$D,Lookup!$B$3)</f>
        <v>0</v>
      </c>
      <c r="BL14" s="176">
        <f>SUMIFS(Database!$G:$G,Database!$E:$E,Lookup!$C$3,Database!$C:$C,Lookup!BL$5,Database!$F:$F,Lookup!$C14,Database!$D:$D,Lookup!$B$3)</f>
        <v>0</v>
      </c>
      <c r="BM14" s="176">
        <f>SUMIFS(Database!$G:$G,Database!$E:$E,Lookup!$C$3,Database!$C:$C,Lookup!BM$5,Database!$F:$F,Lookup!$C14,Database!$D:$D,Lookup!$B$3)</f>
        <v>0</v>
      </c>
      <c r="BN14" s="176">
        <f>SUMIFS(Database!$G:$G,Database!$E:$E,Lookup!$C$3,Database!$C:$C,Lookup!BN$5,Database!$F:$F,Lookup!$C14,Database!$D:$D,Lookup!$B$3)</f>
        <v>0</v>
      </c>
      <c r="BO14" s="176">
        <f>SUMIFS(Database!$G:$G,Database!$E:$E,Lookup!$C$3,Database!$C:$C,Lookup!BO$5,Database!$F:$F,Lookup!$C14,Database!$D:$D,Lookup!$B$3)</f>
        <v>384</v>
      </c>
      <c r="BP14" s="176">
        <f>SUMIFS(Database!$G:$G,Database!$E:$E,Lookup!$C$3,Database!$C:$C,Lookup!BP$5,Database!$F:$F,Lookup!$C14,Database!$D:$D,Lookup!$B$3)</f>
        <v>0</v>
      </c>
      <c r="BQ14" s="176">
        <f>SUMIFS(Database!$G:$G,Database!$E:$E,Lookup!$C$3,Database!$C:$C,Lookup!BQ$5,Database!$F:$F,Lookup!$C14,Database!$D:$D,Lookup!$B$3)</f>
        <v>0</v>
      </c>
      <c r="BR14" s="176">
        <f>SUMIFS(Database!$G:$G,Database!$E:$E,Lookup!$C$3,Database!$C:$C,Lookup!BR$5,Database!$F:$F,Lookup!$C14,Database!$D:$D,Lookup!$B$3)</f>
        <v>0</v>
      </c>
      <c r="BS14" s="176">
        <f>SUMIFS(Database!$G:$G,Database!$E:$E,Lookup!$C$3,Database!$C:$C,Lookup!BS$5,Database!$F:$F,Lookup!$C14,Database!$D:$D,Lookup!$B$3)</f>
        <v>0</v>
      </c>
      <c r="BT14" s="176">
        <f>SUMIFS(Database!$G:$G,Database!$E:$E,Lookup!$C$3,Database!$C:$C,Lookup!BT$5,Database!$F:$F,Lookup!$C14,Database!$D:$D,Lookup!$B$3)</f>
        <v>0</v>
      </c>
      <c r="BU14" s="176">
        <f>SUMIFS(Database!$G:$G,Database!$E:$E,Lookup!$C$3,Database!$C:$C,Lookup!BU$5,Database!$F:$F,Lookup!$C14,Database!$D:$D,Lookup!$B$3)</f>
        <v>0</v>
      </c>
      <c r="BV14" s="176">
        <f>SUMIFS(Database!$G:$G,Database!$E:$E,Lookup!$C$3,Database!$C:$C,Lookup!BV$5,Database!$F:$F,Lookup!$C14,Database!$D:$D,Lookup!$B$3)</f>
        <v>0</v>
      </c>
      <c r="BW14" s="176">
        <f>SUMIFS(Database!$G:$G,Database!$E:$E,Lookup!$C$3,Database!$C:$C,Lookup!BW$5,Database!$F:$F,Lookup!$C14,Database!$D:$D,Lookup!$B$3)</f>
        <v>0</v>
      </c>
      <c r="BX14" s="176">
        <f>SUMIFS(Database!$G:$G,Database!$E:$E,Lookup!$C$3,Database!$C:$C,Lookup!BX$5,Database!$F:$F,Lookup!$C14,Database!$D:$D,Lookup!$B$3)</f>
        <v>0</v>
      </c>
      <c r="BY14" s="176">
        <f>SUMIFS(Database!$G:$G,Database!$E:$E,Lookup!$C$3,Database!$C:$C,Lookup!BY$5,Database!$F:$F,Lookup!$C14,Database!$D:$D,Lookup!$B$3)</f>
        <v>0</v>
      </c>
      <c r="BZ14" s="176">
        <f>SUMIFS(Database!$G:$G,Database!$E:$E,Lookup!$C$3,Database!$C:$C,Lookup!BZ$5,Database!$F:$F,Lookup!$C14,Database!$D:$D,Lookup!$B$3)</f>
        <v>0</v>
      </c>
      <c r="CA14" s="176">
        <f>SUMIFS(Database!$G:$G,Database!$E:$E,Lookup!$C$3,Database!$C:$C,Lookup!CA$5,Database!$F:$F,Lookup!$C14,Database!$D:$D,Lookup!$B$3)</f>
        <v>0</v>
      </c>
      <c r="CB14" s="176">
        <f>SUMIFS(Database!$G:$G,Database!$E:$E,Lookup!$C$3,Database!$C:$C,Lookup!CB$5,Database!$F:$F,Lookup!$C14,Database!$D:$D,Lookup!$B$3)</f>
        <v>0</v>
      </c>
      <c r="CC14" s="176">
        <f>SUMIFS(Database!$G:$G,Database!$E:$E,Lookup!$C$3,Database!$C:$C,Lookup!CC$5,Database!$F:$F,Lookup!$C14,Database!$D:$D,Lookup!$B$3)</f>
        <v>0</v>
      </c>
      <c r="CD14" s="176">
        <f>SUMIFS(Database!$G:$G,Database!$E:$E,Lookup!$C$3,Database!$C:$C,Lookup!CD$5,Database!$F:$F,Lookup!$C14,Database!$D:$D,Lookup!$B$3)</f>
        <v>0</v>
      </c>
      <c r="CE14" s="176">
        <f>SUMIFS(Database!$G:$G,Database!$E:$E,Lookup!$C$3,Database!$C:$C,Lookup!CE$5,Database!$F:$F,Lookup!$C14,Database!$D:$D,Lookup!$B$3)</f>
        <v>0</v>
      </c>
      <c r="CF14" s="176">
        <f>SUMIFS(Database!$G:$G,Database!$E:$E,Lookup!$C$3,Database!$C:$C,Lookup!CF$5,Database!$F:$F,Lookup!$C14,Database!$D:$D,Lookup!$B$3)</f>
        <v>0</v>
      </c>
      <c r="CG14" s="176">
        <f>SUMIFS(Database!$G:$G,Database!$E:$E,Lookup!$C$3,Database!$C:$C,Lookup!CG$5,Database!$F:$F,Lookup!$C14,Database!$D:$D,Lookup!$B$3)</f>
        <v>0</v>
      </c>
      <c r="CH14" s="176">
        <f>SUMIFS(Database!$G:$G,Database!$E:$E,Lookup!$C$3,Database!$C:$C,Lookup!CH$5,Database!$F:$F,Lookup!$C14,Database!$D:$D,Lookup!$B$3)</f>
        <v>0</v>
      </c>
      <c r="CI14" s="176">
        <f>SUMIFS(Database!$G:$G,Database!$E:$E,Lookup!$C$3,Database!$C:$C,Lookup!CI$5,Database!$F:$F,Lookup!$C14,Database!$D:$D,Lookup!$B$3)</f>
        <v>0</v>
      </c>
      <c r="CJ14" s="176">
        <f>SUMIFS(Database!$G:$G,Database!$E:$E,Lookup!$C$3,Database!$C:$C,Lookup!CJ$5,Database!$F:$F,Lookup!$C14,Database!$D:$D,Lookup!$B$3)</f>
        <v>0</v>
      </c>
      <c r="CK14" s="176">
        <f>SUMIFS(Database!$G:$G,Database!$E:$E,Lookup!$C$3,Database!$C:$C,Lookup!CK$5,Database!$F:$F,Lookup!$C14,Database!$D:$D,Lookup!$B$3)</f>
        <v>0</v>
      </c>
      <c r="CL14" s="176">
        <f>SUMIFS(Database!$G:$G,Database!$E:$E,Lookup!$C$3,Database!$C:$C,Lookup!CL$5,Database!$F:$F,Lookup!$C14,Database!$D:$D,Lookup!$B$3)</f>
        <v>0</v>
      </c>
      <c r="CM14" s="176">
        <f>SUMIFS(Database!$G:$G,Database!$E:$E,Lookup!$C$3,Database!$C:$C,Lookup!CM$5,Database!$F:$F,Lookup!$C14,Database!$D:$D,Lookup!$B$3)</f>
        <v>0</v>
      </c>
      <c r="CN14" s="176">
        <f>SUMIFS(Database!$G:$G,Database!$E:$E,Lookup!$C$3,Database!$C:$C,Lookup!CN$5,Database!$F:$F,Lookup!$C14,Database!$D:$D,Lookup!$B$3)</f>
        <v>0</v>
      </c>
      <c r="CO14" s="176">
        <f>SUMIFS(Database!$G:$G,Database!$E:$E,Lookup!$C$3,Database!$C:$C,Lookup!CO$5,Database!$F:$F,Lookup!$C14,Database!$D:$D,Lookup!$B$3)</f>
        <v>0</v>
      </c>
      <c r="CP14" s="176">
        <f>SUMIFS(Database!$G:$G,Database!$E:$E,Lookup!$C$3,Database!$C:$C,Lookup!CP$5,Database!$F:$F,Lookup!$C14,Database!$D:$D,Lookup!$B$3)</f>
        <v>0</v>
      </c>
      <c r="CQ14" s="176">
        <f>SUMIFS(Database!$G:$G,Database!$E:$E,Lookup!$C$3,Database!$C:$C,Lookup!CQ$5,Database!$F:$F,Lookup!$C14,Database!$D:$D,Lookup!$B$3)</f>
        <v>0</v>
      </c>
      <c r="CR14" s="176">
        <f>SUMIFS(Database!$G:$G,Database!$E:$E,Lookup!$C$3,Database!$C:$C,Lookup!CR$5,Database!$F:$F,Lookup!$C14,Database!$D:$D,Lookup!$B$3)</f>
        <v>0</v>
      </c>
      <c r="CS14" s="176">
        <f>SUMIFS(Database!$G:$G,Database!$E:$E,Lookup!$C$3,Database!$C:$C,Lookup!CS$5,Database!$F:$F,Lookup!$C14,Database!$D:$D,Lookup!$B$3)</f>
        <v>0</v>
      </c>
      <c r="CT14" s="176">
        <f>SUMIFS(Database!$G:$G,Database!$E:$E,Lookup!$C$3,Database!$C:$C,Lookup!CT$5,Database!$F:$F,Lookup!$C14,Database!$D:$D,Lookup!$B$3)</f>
        <v>0</v>
      </c>
      <c r="CU14" s="176">
        <f>SUMIFS(Database!$G:$G,Database!$E:$E,Lookup!$C$3,Database!$C:$C,Lookup!CU$5,Database!$F:$F,Lookup!$C14,Database!$D:$D,Lookup!$B$3)</f>
        <v>0</v>
      </c>
      <c r="CV14" s="177">
        <f>SUMIFS(Database!$G:$G,Database!$E:$E,Lookup!$C$3,Database!$C:$C,Lookup!CV$5,Database!$F:$F,Lookup!$C14,Database!$D:$D,Lookup!$B$3)</f>
        <v>0</v>
      </c>
    </row>
    <row r="15" spans="2:100" x14ac:dyDescent="0.25">
      <c r="C15" s="217" t="s">
        <v>9</v>
      </c>
      <c r="D15" s="222"/>
      <c r="E15" s="228">
        <f>SUMIFS(Database!$G:$G,Database!$E:$E,Lookup!$C$3,Database!$C:$C,Lookup!E$5,Database!$F:$F,Lookup!$C15,Database!$D:$D,Lookup!$B$3)</f>
        <v>0</v>
      </c>
      <c r="F15" s="176">
        <f>SUMIFS(Database!$G:$G,Database!$E:$E,Lookup!$C$3,Database!$C:$C,Lookup!F$5,Database!$F:$F,Lookup!$C15,Database!$D:$D,Lookup!$B$3)</f>
        <v>0</v>
      </c>
      <c r="G15" s="176">
        <f>SUMIFS(Database!$G:$G,Database!$E:$E,Lookup!$C$3,Database!$C:$C,Lookup!G$5,Database!$F:$F,Lookup!$C15,Database!$D:$D,Lookup!$B$3)</f>
        <v>0</v>
      </c>
      <c r="H15" s="176">
        <f>SUMIFS(Database!$G:$G,Database!$E:$E,Lookup!$C$3,Database!$C:$C,Lookup!H$5,Database!$F:$F,Lookup!$C15,Database!$D:$D,Lookup!$B$3)</f>
        <v>0</v>
      </c>
      <c r="I15" s="176">
        <f>SUMIFS(Database!$G:$G,Database!$E:$E,Lookup!$C$3,Database!$C:$C,Lookup!I$5,Database!$F:$F,Lookup!$C15,Database!$D:$D,Lookup!$B$3)</f>
        <v>0</v>
      </c>
      <c r="J15" s="176">
        <f>SUMIFS(Database!$G:$G,Database!$E:$E,Lookup!$C$3,Database!$C:$C,Lookup!J$5,Database!$F:$F,Lookup!$C15,Database!$D:$D,Lookup!$B$3)</f>
        <v>0</v>
      </c>
      <c r="K15" s="176">
        <f>SUMIFS(Database!$G:$G,Database!$E:$E,Lookup!$C$3,Database!$C:$C,Lookup!K$5,Database!$F:$F,Lookup!$C15,Database!$D:$D,Lookup!$B$3)</f>
        <v>0</v>
      </c>
      <c r="L15" s="176">
        <f>SUMIFS(Database!$G:$G,Database!$E:$E,Lookup!$C$3,Database!$C:$C,Lookup!L$5,Database!$F:$F,Lookup!$C15,Database!$D:$D,Lookup!$B$3)</f>
        <v>0</v>
      </c>
      <c r="M15" s="176">
        <f>SUMIFS(Database!$G:$G,Database!$E:$E,Lookup!$C$3,Database!$C:$C,Lookup!M$5,Database!$F:$F,Lookup!$C15,Database!$D:$D,Lookup!$B$3)</f>
        <v>0</v>
      </c>
      <c r="N15" s="176">
        <f>SUMIFS(Database!$G:$G,Database!$E:$E,Lookup!$C$3,Database!$C:$C,Lookup!N$5,Database!$F:$F,Lookup!$C15,Database!$D:$D,Lookup!$B$3)</f>
        <v>0</v>
      </c>
      <c r="O15" s="176">
        <f>SUMIFS(Database!$G:$G,Database!$E:$E,Lookup!$C$3,Database!$C:$C,Lookup!O$5,Database!$F:$F,Lookup!$C15,Database!$D:$D,Lookup!$B$3)</f>
        <v>0</v>
      </c>
      <c r="P15" s="176">
        <f>SUMIFS(Database!$G:$G,Database!$E:$E,Lookup!$C$3,Database!$C:$C,Lookup!P$5,Database!$F:$F,Lookup!$C15,Database!$D:$D,Lookup!$B$3)</f>
        <v>0</v>
      </c>
      <c r="Q15" s="176">
        <f>SUMIFS(Database!$G:$G,Database!$E:$E,Lookup!$C$3,Database!$C:$C,Lookup!Q$5,Database!$F:$F,Lookup!$C15,Database!$D:$D,Lookup!$B$3)</f>
        <v>0</v>
      </c>
      <c r="R15" s="176">
        <f>SUMIFS(Database!$G:$G,Database!$E:$E,Lookup!$C$3,Database!$C:$C,Lookup!R$5,Database!$F:$F,Lookup!$C15,Database!$D:$D,Lookup!$B$3)</f>
        <v>0</v>
      </c>
      <c r="S15" s="176">
        <f>SUMIFS(Database!$G:$G,Database!$E:$E,Lookup!$C$3,Database!$C:$C,Lookup!S$5,Database!$F:$F,Lookup!$C15,Database!$D:$D,Lookup!$B$3)</f>
        <v>0</v>
      </c>
      <c r="T15" s="176">
        <f>SUMIFS(Database!$G:$G,Database!$E:$E,Lookup!$C$3,Database!$C:$C,Lookup!T$5,Database!$F:$F,Lookup!$C15,Database!$D:$D,Lookup!$B$3)</f>
        <v>0</v>
      </c>
      <c r="U15" s="176">
        <f>SUMIFS(Database!$G:$G,Database!$E:$E,Lookup!$C$3,Database!$C:$C,Lookup!U$5,Database!$F:$F,Lookup!$C15,Database!$D:$D,Lookup!$B$3)</f>
        <v>0</v>
      </c>
      <c r="V15" s="176">
        <f>SUMIFS(Database!$G:$G,Database!$E:$E,Lookup!$C$3,Database!$C:$C,Lookup!V$5,Database!$F:$F,Lookup!$C15,Database!$D:$D,Lookup!$B$3)</f>
        <v>0</v>
      </c>
      <c r="W15" s="176">
        <f>SUMIFS(Database!$G:$G,Database!$E:$E,Lookup!$C$3,Database!$C:$C,Lookup!W$5,Database!$F:$F,Lookup!$C15,Database!$D:$D,Lookup!$B$3)</f>
        <v>0</v>
      </c>
      <c r="X15" s="176">
        <f>SUMIFS(Database!$G:$G,Database!$E:$E,Lookup!$C$3,Database!$C:$C,Lookup!X$5,Database!$F:$F,Lookup!$C15,Database!$D:$D,Lookup!$B$3)</f>
        <v>0</v>
      </c>
      <c r="Y15" s="176">
        <f>SUMIFS(Database!$G:$G,Database!$E:$E,Lookup!$C$3,Database!$C:$C,Lookup!Y$5,Database!$F:$F,Lookup!$C15,Database!$D:$D,Lookup!$B$3)</f>
        <v>0</v>
      </c>
      <c r="Z15" s="176">
        <f>SUMIFS(Database!$G:$G,Database!$E:$E,Lookup!$C$3,Database!$C:$C,Lookup!Z$5,Database!$F:$F,Lookup!$C15,Database!$D:$D,Lookup!$B$3)</f>
        <v>0</v>
      </c>
      <c r="AA15" s="176">
        <f>SUMIFS(Database!$G:$G,Database!$E:$E,Lookup!$C$3,Database!$C:$C,Lookup!AA$5,Database!$F:$F,Lookup!$C15,Database!$D:$D,Lookup!$B$3)</f>
        <v>0</v>
      </c>
      <c r="AB15" s="176">
        <f>SUMIFS(Database!$G:$G,Database!$E:$E,Lookup!$C$3,Database!$C:$C,Lookup!AB$5,Database!$F:$F,Lookup!$C15,Database!$D:$D,Lookup!$B$3)</f>
        <v>0</v>
      </c>
      <c r="AC15" s="176">
        <f>SUMIFS(Database!$G:$G,Database!$E:$E,Lookup!$C$3,Database!$C:$C,Lookup!AC$5,Database!$F:$F,Lookup!$C15,Database!$D:$D,Lookup!$B$3)</f>
        <v>0</v>
      </c>
      <c r="AD15" s="176">
        <f>SUMIFS(Database!$G:$G,Database!$E:$E,Lookup!$C$3,Database!$C:$C,Lookup!AD$5,Database!$F:$F,Lookup!$C15,Database!$D:$D,Lookup!$B$3)</f>
        <v>0</v>
      </c>
      <c r="AE15" s="176">
        <f>SUMIFS(Database!$G:$G,Database!$E:$E,Lookup!$C$3,Database!$C:$C,Lookup!AE$5,Database!$F:$F,Lookup!$C15,Database!$D:$D,Lookup!$B$3)</f>
        <v>0</v>
      </c>
      <c r="AF15" s="176">
        <f>SUMIFS(Database!$G:$G,Database!$E:$E,Lookup!$C$3,Database!$C:$C,Lookup!AF$5,Database!$F:$F,Lookup!$C15,Database!$D:$D,Lookup!$B$3)</f>
        <v>0</v>
      </c>
      <c r="AG15" s="176">
        <f>SUMIFS(Database!$G:$G,Database!$E:$E,Lookup!$C$3,Database!$C:$C,Lookup!AG$5,Database!$F:$F,Lookup!$C15,Database!$D:$D,Lookup!$B$3)</f>
        <v>0</v>
      </c>
      <c r="AH15" s="176">
        <f>SUMIFS(Database!$G:$G,Database!$E:$E,Lookup!$C$3,Database!$C:$C,Lookup!AH$5,Database!$F:$F,Lookup!$C15,Database!$D:$D,Lookup!$B$3)</f>
        <v>0</v>
      </c>
      <c r="AI15" s="176">
        <f>SUMIFS(Database!$G:$G,Database!$E:$E,Lookup!$C$3,Database!$C:$C,Lookup!AI$5,Database!$F:$F,Lookup!$C15,Database!$D:$D,Lookup!$B$3)</f>
        <v>0</v>
      </c>
      <c r="AJ15" s="176">
        <f>SUMIFS(Database!$G:$G,Database!$E:$E,Lookup!$C$3,Database!$C:$C,Lookup!AJ$5,Database!$F:$F,Lookup!$C15,Database!$D:$D,Lookup!$B$3)</f>
        <v>0</v>
      </c>
      <c r="AK15" s="176">
        <f>SUMIFS(Database!$G:$G,Database!$E:$E,Lookup!$C$3,Database!$C:$C,Lookup!AK$5,Database!$F:$F,Lookup!$C15,Database!$D:$D,Lookup!$B$3)</f>
        <v>0</v>
      </c>
      <c r="AL15" s="176">
        <f>SUMIFS(Database!$G:$G,Database!$E:$E,Lookup!$C$3,Database!$C:$C,Lookup!AL$5,Database!$F:$F,Lookup!$C15,Database!$D:$D,Lookup!$B$3)</f>
        <v>0</v>
      </c>
      <c r="AM15" s="176">
        <f>SUMIFS(Database!$G:$G,Database!$E:$E,Lookup!$C$3,Database!$C:$C,Lookup!AM$5,Database!$F:$F,Lookup!$C15,Database!$D:$D,Lookup!$B$3)</f>
        <v>0</v>
      </c>
      <c r="AN15" s="176">
        <f>SUMIFS(Database!$G:$G,Database!$E:$E,Lookup!$C$3,Database!$C:$C,Lookup!AN$5,Database!$F:$F,Lookup!$C15,Database!$D:$D,Lookup!$B$3)</f>
        <v>0</v>
      </c>
      <c r="AO15" s="176">
        <f>SUMIFS(Database!$G:$G,Database!$E:$E,Lookup!$C$3,Database!$C:$C,Lookup!AO$5,Database!$F:$F,Lookup!$C15,Database!$D:$D,Lookup!$B$3)</f>
        <v>0</v>
      </c>
      <c r="AP15" s="176">
        <f>SUMIFS(Database!$G:$G,Database!$E:$E,Lookup!$C$3,Database!$C:$C,Lookup!AP$5,Database!$F:$F,Lookup!$C15,Database!$D:$D,Lookup!$B$3)</f>
        <v>0</v>
      </c>
      <c r="AQ15" s="176">
        <f>SUMIFS(Database!$G:$G,Database!$E:$E,Lookup!$C$3,Database!$C:$C,Lookup!AQ$5,Database!$F:$F,Lookup!$C15,Database!$D:$D,Lookup!$B$3)</f>
        <v>0</v>
      </c>
      <c r="AR15" s="176">
        <f>SUMIFS(Database!$G:$G,Database!$E:$E,Lookup!$C$3,Database!$C:$C,Lookup!AR$5,Database!$F:$F,Lookup!$C15,Database!$D:$D,Lookup!$B$3)</f>
        <v>0</v>
      </c>
      <c r="AS15" s="176">
        <f>SUMIFS(Database!$G:$G,Database!$E:$E,Lookup!$C$3,Database!$C:$C,Lookup!AS$5,Database!$F:$F,Lookup!$C15,Database!$D:$D,Lookup!$B$3)</f>
        <v>0</v>
      </c>
      <c r="AT15" s="176">
        <f>SUMIFS(Database!$G:$G,Database!$E:$E,Lookup!$C$3,Database!$C:$C,Lookup!AT$5,Database!$F:$F,Lookup!$C15,Database!$D:$D,Lookup!$B$3)</f>
        <v>0</v>
      </c>
      <c r="AU15" s="176">
        <f>SUMIFS(Database!$G:$G,Database!$E:$E,Lookup!$C$3,Database!$C:$C,Lookup!AU$5,Database!$F:$F,Lookup!$C15,Database!$D:$D,Lookup!$B$3)</f>
        <v>0</v>
      </c>
      <c r="AV15" s="176">
        <f>SUMIFS(Database!$G:$G,Database!$E:$E,Lookup!$C$3,Database!$C:$C,Lookup!AV$5,Database!$F:$F,Lookup!$C15,Database!$D:$D,Lookup!$B$3)</f>
        <v>0</v>
      </c>
      <c r="AW15" s="176">
        <f>SUMIFS(Database!$G:$G,Database!$E:$E,Lookup!$C$3,Database!$C:$C,Lookup!AW$5,Database!$F:$F,Lookup!$C15,Database!$D:$D,Lookup!$B$3)</f>
        <v>0</v>
      </c>
      <c r="AX15" s="176">
        <f>SUMIFS(Database!$G:$G,Database!$E:$E,Lookup!$C$3,Database!$C:$C,Lookup!AX$5,Database!$F:$F,Lookup!$C15,Database!$D:$D,Lookup!$B$3)</f>
        <v>0</v>
      </c>
      <c r="AY15" s="176">
        <f>SUMIFS(Database!$G:$G,Database!$E:$E,Lookup!$C$3,Database!$C:$C,Lookup!AY$5,Database!$F:$F,Lookup!$C15,Database!$D:$D,Lookup!$B$3)</f>
        <v>0</v>
      </c>
      <c r="AZ15" s="176">
        <f>SUMIFS(Database!$G:$G,Database!$E:$E,Lookup!$C$3,Database!$C:$C,Lookup!AZ$5,Database!$F:$F,Lookup!$C15,Database!$D:$D,Lookup!$B$3)</f>
        <v>0</v>
      </c>
      <c r="BA15" s="176">
        <f>SUMIFS(Database!$G:$G,Database!$E:$E,Lookup!$C$3,Database!$C:$C,Lookup!BA$5,Database!$F:$F,Lookup!$C15,Database!$D:$D,Lookup!$B$3)</f>
        <v>0</v>
      </c>
      <c r="BB15" s="176">
        <f>SUMIFS(Database!$G:$G,Database!$E:$E,Lookup!$C$3,Database!$C:$C,Lookup!BB$5,Database!$F:$F,Lookup!$C15,Database!$D:$D,Lookup!$B$3)</f>
        <v>0</v>
      </c>
      <c r="BC15" s="176">
        <f>SUMIFS(Database!$G:$G,Database!$E:$E,Lookup!$C$3,Database!$C:$C,Lookup!BC$5,Database!$F:$F,Lookup!$C15,Database!$D:$D,Lookup!$B$3)</f>
        <v>0</v>
      </c>
      <c r="BD15" s="176">
        <f>SUMIFS(Database!$G:$G,Database!$E:$E,Lookup!$C$3,Database!$C:$C,Lookup!BD$5,Database!$F:$F,Lookup!$C15,Database!$D:$D,Lookup!$B$3)</f>
        <v>0</v>
      </c>
      <c r="BE15" s="176">
        <f>SUMIFS(Database!$G:$G,Database!$E:$E,Lookup!$C$3,Database!$C:$C,Lookup!BE$5,Database!$F:$F,Lookup!$C15,Database!$D:$D,Lookup!$B$3)</f>
        <v>0</v>
      </c>
      <c r="BF15" s="176">
        <f>SUMIFS(Database!$G:$G,Database!$E:$E,Lookup!$C$3,Database!$C:$C,Lookup!BF$5,Database!$F:$F,Lookup!$C15,Database!$D:$D,Lookup!$B$3)</f>
        <v>0</v>
      </c>
      <c r="BG15" s="176">
        <f>SUMIFS(Database!$G:$G,Database!$E:$E,Lookup!$C$3,Database!$C:$C,Lookup!BG$5,Database!$F:$F,Lookup!$C15,Database!$D:$D,Lookup!$B$3)</f>
        <v>0</v>
      </c>
      <c r="BH15" s="176">
        <f>SUMIFS(Database!$G:$G,Database!$E:$E,Lookup!$C$3,Database!$C:$C,Lookup!BH$5,Database!$F:$F,Lookup!$C15,Database!$D:$D,Lookup!$B$3)</f>
        <v>0</v>
      </c>
      <c r="BI15" s="176">
        <f>SUMIFS(Database!$G:$G,Database!$E:$E,Lookup!$C$3,Database!$C:$C,Lookup!BI$5,Database!$F:$F,Lookup!$C15,Database!$D:$D,Lookup!$B$3)</f>
        <v>0</v>
      </c>
      <c r="BJ15" s="176">
        <f>SUMIFS(Database!$G:$G,Database!$E:$E,Lookup!$C$3,Database!$C:$C,Lookup!BJ$5,Database!$F:$F,Lookup!$C15,Database!$D:$D,Lookup!$B$3)</f>
        <v>0</v>
      </c>
      <c r="BK15" s="176">
        <f>SUMIFS(Database!$G:$G,Database!$E:$E,Lookup!$C$3,Database!$C:$C,Lookup!BK$5,Database!$F:$F,Lookup!$C15,Database!$D:$D,Lookup!$B$3)</f>
        <v>0</v>
      </c>
      <c r="BL15" s="176">
        <f>SUMIFS(Database!$G:$G,Database!$E:$E,Lookup!$C$3,Database!$C:$C,Lookup!BL$5,Database!$F:$F,Lookup!$C15,Database!$D:$D,Lookup!$B$3)</f>
        <v>0</v>
      </c>
      <c r="BM15" s="176">
        <f>SUMIFS(Database!$G:$G,Database!$E:$E,Lookup!$C$3,Database!$C:$C,Lookup!BM$5,Database!$F:$F,Lookup!$C15,Database!$D:$D,Lookup!$B$3)</f>
        <v>0</v>
      </c>
      <c r="BN15" s="176">
        <f>SUMIFS(Database!$G:$G,Database!$E:$E,Lookup!$C$3,Database!$C:$C,Lookup!BN$5,Database!$F:$F,Lookup!$C15,Database!$D:$D,Lookup!$B$3)</f>
        <v>0</v>
      </c>
      <c r="BO15" s="176">
        <f>SUMIFS(Database!$G:$G,Database!$E:$E,Lookup!$C$3,Database!$C:$C,Lookup!BO$5,Database!$F:$F,Lookup!$C15,Database!$D:$D,Lookup!$B$3)</f>
        <v>0</v>
      </c>
      <c r="BP15" s="176">
        <f>SUMIFS(Database!$G:$G,Database!$E:$E,Lookup!$C$3,Database!$C:$C,Lookup!BP$5,Database!$F:$F,Lookup!$C15,Database!$D:$D,Lookup!$B$3)</f>
        <v>0</v>
      </c>
      <c r="BQ15" s="176">
        <f>SUMIFS(Database!$G:$G,Database!$E:$E,Lookup!$C$3,Database!$C:$C,Lookup!BQ$5,Database!$F:$F,Lookup!$C15,Database!$D:$D,Lookup!$B$3)</f>
        <v>0</v>
      </c>
      <c r="BR15" s="176">
        <f>SUMIFS(Database!$G:$G,Database!$E:$E,Lookup!$C$3,Database!$C:$C,Lookup!BR$5,Database!$F:$F,Lookup!$C15,Database!$D:$D,Lookup!$B$3)</f>
        <v>0</v>
      </c>
      <c r="BS15" s="176">
        <f>SUMIFS(Database!$G:$G,Database!$E:$E,Lookup!$C$3,Database!$C:$C,Lookup!BS$5,Database!$F:$F,Lookup!$C15,Database!$D:$D,Lookup!$B$3)</f>
        <v>0</v>
      </c>
      <c r="BT15" s="176">
        <f>SUMIFS(Database!$G:$G,Database!$E:$E,Lookup!$C$3,Database!$C:$C,Lookup!BT$5,Database!$F:$F,Lookup!$C15,Database!$D:$D,Lookup!$B$3)</f>
        <v>0</v>
      </c>
      <c r="BU15" s="176">
        <f>SUMIFS(Database!$G:$G,Database!$E:$E,Lookup!$C$3,Database!$C:$C,Lookup!BU$5,Database!$F:$F,Lookup!$C15,Database!$D:$D,Lookup!$B$3)</f>
        <v>0</v>
      </c>
      <c r="BV15" s="176">
        <f>SUMIFS(Database!$G:$G,Database!$E:$E,Lookup!$C$3,Database!$C:$C,Lookup!BV$5,Database!$F:$F,Lookup!$C15,Database!$D:$D,Lookup!$B$3)</f>
        <v>0</v>
      </c>
      <c r="BW15" s="176">
        <f>SUMIFS(Database!$G:$G,Database!$E:$E,Lookup!$C$3,Database!$C:$C,Lookup!BW$5,Database!$F:$F,Lookup!$C15,Database!$D:$D,Lookup!$B$3)</f>
        <v>0</v>
      </c>
      <c r="BX15" s="176">
        <f>SUMIFS(Database!$G:$G,Database!$E:$E,Lookup!$C$3,Database!$C:$C,Lookup!BX$5,Database!$F:$F,Lookup!$C15,Database!$D:$D,Lookup!$B$3)</f>
        <v>0</v>
      </c>
      <c r="BY15" s="176">
        <f>SUMIFS(Database!$G:$G,Database!$E:$E,Lookup!$C$3,Database!$C:$C,Lookup!BY$5,Database!$F:$F,Lookup!$C15,Database!$D:$D,Lookup!$B$3)</f>
        <v>0</v>
      </c>
      <c r="BZ15" s="176">
        <f>SUMIFS(Database!$G:$G,Database!$E:$E,Lookup!$C$3,Database!$C:$C,Lookup!BZ$5,Database!$F:$F,Lookup!$C15,Database!$D:$D,Lookup!$B$3)</f>
        <v>0</v>
      </c>
      <c r="CA15" s="176">
        <f>SUMIFS(Database!$G:$G,Database!$E:$E,Lookup!$C$3,Database!$C:$C,Lookup!CA$5,Database!$F:$F,Lookup!$C15,Database!$D:$D,Lookup!$B$3)</f>
        <v>0</v>
      </c>
      <c r="CB15" s="176">
        <f>SUMIFS(Database!$G:$G,Database!$E:$E,Lookup!$C$3,Database!$C:$C,Lookup!CB$5,Database!$F:$F,Lookup!$C15,Database!$D:$D,Lookup!$B$3)</f>
        <v>0</v>
      </c>
      <c r="CC15" s="176">
        <f>SUMIFS(Database!$G:$G,Database!$E:$E,Lookup!$C$3,Database!$C:$C,Lookup!CC$5,Database!$F:$F,Lookup!$C15,Database!$D:$D,Lookup!$B$3)</f>
        <v>0</v>
      </c>
      <c r="CD15" s="176">
        <f>SUMIFS(Database!$G:$G,Database!$E:$E,Lookup!$C$3,Database!$C:$C,Lookup!CD$5,Database!$F:$F,Lookup!$C15,Database!$D:$D,Lookup!$B$3)</f>
        <v>0</v>
      </c>
      <c r="CE15" s="176">
        <f>SUMIFS(Database!$G:$G,Database!$E:$E,Lookup!$C$3,Database!$C:$C,Lookup!CE$5,Database!$F:$F,Lookup!$C15,Database!$D:$D,Lookup!$B$3)</f>
        <v>0</v>
      </c>
      <c r="CF15" s="176">
        <f>SUMIFS(Database!$G:$G,Database!$E:$E,Lookup!$C$3,Database!$C:$C,Lookup!CF$5,Database!$F:$F,Lookup!$C15,Database!$D:$D,Lookup!$B$3)</f>
        <v>0</v>
      </c>
      <c r="CG15" s="176">
        <f>SUMIFS(Database!$G:$G,Database!$E:$E,Lookup!$C$3,Database!$C:$C,Lookup!CG$5,Database!$F:$F,Lookup!$C15,Database!$D:$D,Lookup!$B$3)</f>
        <v>0</v>
      </c>
      <c r="CH15" s="176">
        <f>SUMIFS(Database!$G:$G,Database!$E:$E,Lookup!$C$3,Database!$C:$C,Lookup!CH$5,Database!$F:$F,Lookup!$C15,Database!$D:$D,Lookup!$B$3)</f>
        <v>0</v>
      </c>
      <c r="CI15" s="176">
        <f>SUMIFS(Database!$G:$G,Database!$E:$E,Lookup!$C$3,Database!$C:$C,Lookup!CI$5,Database!$F:$F,Lookup!$C15,Database!$D:$D,Lookup!$B$3)</f>
        <v>0</v>
      </c>
      <c r="CJ15" s="176">
        <f>SUMIFS(Database!$G:$G,Database!$E:$E,Lookup!$C$3,Database!$C:$C,Lookup!CJ$5,Database!$F:$F,Lookup!$C15,Database!$D:$D,Lookup!$B$3)</f>
        <v>0</v>
      </c>
      <c r="CK15" s="176">
        <f>SUMIFS(Database!$G:$G,Database!$E:$E,Lookup!$C$3,Database!$C:$C,Lookup!CK$5,Database!$F:$F,Lookup!$C15,Database!$D:$D,Lookup!$B$3)</f>
        <v>0</v>
      </c>
      <c r="CL15" s="176">
        <f>SUMIFS(Database!$G:$G,Database!$E:$E,Lookup!$C$3,Database!$C:$C,Lookup!CL$5,Database!$F:$F,Lookup!$C15,Database!$D:$D,Lookup!$B$3)</f>
        <v>0</v>
      </c>
      <c r="CM15" s="176">
        <f>SUMIFS(Database!$G:$G,Database!$E:$E,Lookup!$C$3,Database!$C:$C,Lookup!CM$5,Database!$F:$F,Lookup!$C15,Database!$D:$D,Lookup!$B$3)</f>
        <v>0</v>
      </c>
      <c r="CN15" s="176">
        <f>SUMIFS(Database!$G:$G,Database!$E:$E,Lookup!$C$3,Database!$C:$C,Lookup!CN$5,Database!$F:$F,Lookup!$C15,Database!$D:$D,Lookup!$B$3)</f>
        <v>0</v>
      </c>
      <c r="CO15" s="176">
        <f>SUMIFS(Database!$G:$G,Database!$E:$E,Lookup!$C$3,Database!$C:$C,Lookup!CO$5,Database!$F:$F,Lookup!$C15,Database!$D:$D,Lookup!$B$3)</f>
        <v>0</v>
      </c>
      <c r="CP15" s="176">
        <f>SUMIFS(Database!$G:$G,Database!$E:$E,Lookup!$C$3,Database!$C:$C,Lookup!CP$5,Database!$F:$F,Lookup!$C15,Database!$D:$D,Lookup!$B$3)</f>
        <v>0</v>
      </c>
      <c r="CQ15" s="176">
        <f>SUMIFS(Database!$G:$G,Database!$E:$E,Lookup!$C$3,Database!$C:$C,Lookup!CQ$5,Database!$F:$F,Lookup!$C15,Database!$D:$D,Lookup!$B$3)</f>
        <v>0</v>
      </c>
      <c r="CR15" s="176">
        <f>SUMIFS(Database!$G:$G,Database!$E:$E,Lookup!$C$3,Database!$C:$C,Lookup!CR$5,Database!$F:$F,Lookup!$C15,Database!$D:$D,Lookup!$B$3)</f>
        <v>0</v>
      </c>
      <c r="CS15" s="176">
        <f>SUMIFS(Database!$G:$G,Database!$E:$E,Lookup!$C$3,Database!$C:$C,Lookup!CS$5,Database!$F:$F,Lookup!$C15,Database!$D:$D,Lookup!$B$3)</f>
        <v>0</v>
      </c>
      <c r="CT15" s="176">
        <f>SUMIFS(Database!$G:$G,Database!$E:$E,Lookup!$C$3,Database!$C:$C,Lookup!CT$5,Database!$F:$F,Lookup!$C15,Database!$D:$D,Lookup!$B$3)</f>
        <v>0</v>
      </c>
      <c r="CU15" s="176">
        <f>SUMIFS(Database!$G:$G,Database!$E:$E,Lookup!$C$3,Database!$C:$C,Lookup!CU$5,Database!$F:$F,Lookup!$C15,Database!$D:$D,Lookup!$B$3)</f>
        <v>0</v>
      </c>
      <c r="CV15" s="177">
        <f>SUMIFS(Database!$G:$G,Database!$E:$E,Lookup!$C$3,Database!$C:$C,Lookup!CV$5,Database!$F:$F,Lookup!$C15,Database!$D:$D,Lookup!$B$3)</f>
        <v>0</v>
      </c>
    </row>
    <row r="16" spans="2:100" x14ac:dyDescent="0.25">
      <c r="C16" s="217" t="s">
        <v>164</v>
      </c>
      <c r="D16" s="222"/>
      <c r="E16" s="228">
        <f>SUMIFS(Database!$G:$G,Database!$E:$E,Lookup!$C$3,Database!$C:$C,Lookup!E$5,Database!$F:$F,Lookup!$C16,Database!$D:$D,Lookup!$B$3)</f>
        <v>0</v>
      </c>
      <c r="F16" s="176">
        <f>SUMIFS(Database!$G:$G,Database!$E:$E,Lookup!$C$3,Database!$C:$C,Lookup!F$5,Database!$F:$F,Lookup!$C16,Database!$D:$D,Lookup!$B$3)</f>
        <v>0</v>
      </c>
      <c r="G16" s="176">
        <f>SUMIFS(Database!$G:$G,Database!$E:$E,Lookup!$C$3,Database!$C:$C,Lookup!G$5,Database!$F:$F,Lookup!$C16,Database!$D:$D,Lookup!$B$3)</f>
        <v>0</v>
      </c>
      <c r="H16" s="176">
        <f>SUMIFS(Database!$G:$G,Database!$E:$E,Lookup!$C$3,Database!$C:$C,Lookup!H$5,Database!$F:$F,Lookup!$C16,Database!$D:$D,Lookup!$B$3)</f>
        <v>0</v>
      </c>
      <c r="I16" s="176">
        <f>SUMIFS(Database!$G:$G,Database!$E:$E,Lookup!$C$3,Database!$C:$C,Lookup!I$5,Database!$F:$F,Lookup!$C16,Database!$D:$D,Lookup!$B$3)</f>
        <v>0</v>
      </c>
      <c r="J16" s="176">
        <f>SUMIFS(Database!$G:$G,Database!$E:$E,Lookup!$C$3,Database!$C:$C,Lookup!J$5,Database!$F:$F,Lookup!$C16,Database!$D:$D,Lookup!$B$3)</f>
        <v>0</v>
      </c>
      <c r="K16" s="176">
        <f>SUMIFS(Database!$G:$G,Database!$E:$E,Lookup!$C$3,Database!$C:$C,Lookup!K$5,Database!$F:$F,Lookup!$C16,Database!$D:$D,Lookup!$B$3)</f>
        <v>0</v>
      </c>
      <c r="L16" s="176">
        <f>SUMIFS(Database!$G:$G,Database!$E:$E,Lookup!$C$3,Database!$C:$C,Lookup!L$5,Database!$F:$F,Lookup!$C16,Database!$D:$D,Lookup!$B$3)</f>
        <v>0</v>
      </c>
      <c r="M16" s="176">
        <f>SUMIFS(Database!$G:$G,Database!$E:$E,Lookup!$C$3,Database!$C:$C,Lookup!M$5,Database!$F:$F,Lookup!$C16,Database!$D:$D,Lookup!$B$3)</f>
        <v>0</v>
      </c>
      <c r="N16" s="176">
        <f>SUMIFS(Database!$G:$G,Database!$E:$E,Lookup!$C$3,Database!$C:$C,Lookup!N$5,Database!$F:$F,Lookup!$C16,Database!$D:$D,Lookup!$B$3)</f>
        <v>0</v>
      </c>
      <c r="O16" s="176">
        <f>SUMIFS(Database!$G:$G,Database!$E:$E,Lookup!$C$3,Database!$C:$C,Lookup!O$5,Database!$F:$F,Lookup!$C16,Database!$D:$D,Lookup!$B$3)</f>
        <v>0</v>
      </c>
      <c r="P16" s="176">
        <f>SUMIFS(Database!$G:$G,Database!$E:$E,Lookup!$C$3,Database!$C:$C,Lookup!P$5,Database!$F:$F,Lookup!$C16,Database!$D:$D,Lookup!$B$3)</f>
        <v>0</v>
      </c>
      <c r="Q16" s="176">
        <f>SUMIFS(Database!$G:$G,Database!$E:$E,Lookup!$C$3,Database!$C:$C,Lookup!Q$5,Database!$F:$F,Lookup!$C16,Database!$D:$D,Lookup!$B$3)</f>
        <v>0</v>
      </c>
      <c r="R16" s="176">
        <f>SUMIFS(Database!$G:$G,Database!$E:$E,Lookup!$C$3,Database!$C:$C,Lookup!R$5,Database!$F:$F,Lookup!$C16,Database!$D:$D,Lookup!$B$3)</f>
        <v>0</v>
      </c>
      <c r="S16" s="176">
        <f>SUMIFS(Database!$G:$G,Database!$E:$E,Lookup!$C$3,Database!$C:$C,Lookup!S$5,Database!$F:$F,Lookup!$C16,Database!$D:$D,Lookup!$B$3)</f>
        <v>0</v>
      </c>
      <c r="T16" s="176">
        <f>SUMIFS(Database!$G:$G,Database!$E:$E,Lookup!$C$3,Database!$C:$C,Lookup!T$5,Database!$F:$F,Lookup!$C16,Database!$D:$D,Lookup!$B$3)</f>
        <v>0</v>
      </c>
      <c r="U16" s="176">
        <f>SUMIFS(Database!$G:$G,Database!$E:$E,Lookup!$C$3,Database!$C:$C,Lookup!U$5,Database!$F:$F,Lookup!$C16,Database!$D:$D,Lookup!$B$3)</f>
        <v>0</v>
      </c>
      <c r="V16" s="176">
        <f>SUMIFS(Database!$G:$G,Database!$E:$E,Lookup!$C$3,Database!$C:$C,Lookup!V$5,Database!$F:$F,Lookup!$C16,Database!$D:$D,Lookup!$B$3)</f>
        <v>0</v>
      </c>
      <c r="W16" s="176">
        <f>SUMIFS(Database!$G:$G,Database!$E:$E,Lookup!$C$3,Database!$C:$C,Lookup!W$5,Database!$F:$F,Lookup!$C16,Database!$D:$D,Lookup!$B$3)</f>
        <v>0</v>
      </c>
      <c r="X16" s="176">
        <f>SUMIFS(Database!$G:$G,Database!$E:$E,Lookup!$C$3,Database!$C:$C,Lookup!X$5,Database!$F:$F,Lookup!$C16,Database!$D:$D,Lookup!$B$3)</f>
        <v>0</v>
      </c>
      <c r="Y16" s="176">
        <f>SUMIFS(Database!$G:$G,Database!$E:$E,Lookup!$C$3,Database!$C:$C,Lookup!Y$5,Database!$F:$F,Lookup!$C16,Database!$D:$D,Lookup!$B$3)</f>
        <v>0</v>
      </c>
      <c r="Z16" s="176">
        <f>SUMIFS(Database!$G:$G,Database!$E:$E,Lookup!$C$3,Database!$C:$C,Lookup!Z$5,Database!$F:$F,Lookup!$C16,Database!$D:$D,Lookup!$B$3)</f>
        <v>0</v>
      </c>
      <c r="AA16" s="176">
        <f>SUMIFS(Database!$G:$G,Database!$E:$E,Lookup!$C$3,Database!$C:$C,Lookup!AA$5,Database!$F:$F,Lookup!$C16,Database!$D:$D,Lookup!$B$3)</f>
        <v>0</v>
      </c>
      <c r="AB16" s="176">
        <f>SUMIFS(Database!$G:$G,Database!$E:$E,Lookup!$C$3,Database!$C:$C,Lookup!AB$5,Database!$F:$F,Lookup!$C16,Database!$D:$D,Lookup!$B$3)</f>
        <v>0</v>
      </c>
      <c r="AC16" s="176">
        <f>SUMIFS(Database!$G:$G,Database!$E:$E,Lookup!$C$3,Database!$C:$C,Lookup!AC$5,Database!$F:$F,Lookup!$C16,Database!$D:$D,Lookup!$B$3)</f>
        <v>0</v>
      </c>
      <c r="AD16" s="176">
        <f>SUMIFS(Database!$G:$G,Database!$E:$E,Lookup!$C$3,Database!$C:$C,Lookup!AD$5,Database!$F:$F,Lookup!$C16,Database!$D:$D,Lookup!$B$3)</f>
        <v>0</v>
      </c>
      <c r="AE16" s="176">
        <f>SUMIFS(Database!$G:$G,Database!$E:$E,Lookup!$C$3,Database!$C:$C,Lookup!AE$5,Database!$F:$F,Lookup!$C16,Database!$D:$D,Lookup!$B$3)</f>
        <v>0</v>
      </c>
      <c r="AF16" s="176">
        <f>SUMIFS(Database!$G:$G,Database!$E:$E,Lookup!$C$3,Database!$C:$C,Lookup!AF$5,Database!$F:$F,Lookup!$C16,Database!$D:$D,Lookup!$B$3)</f>
        <v>0</v>
      </c>
      <c r="AG16" s="176">
        <f>SUMIFS(Database!$G:$G,Database!$E:$E,Lookup!$C$3,Database!$C:$C,Lookup!AG$5,Database!$F:$F,Lookup!$C16,Database!$D:$D,Lookup!$B$3)</f>
        <v>0</v>
      </c>
      <c r="AH16" s="176">
        <f>SUMIFS(Database!$G:$G,Database!$E:$E,Lookup!$C$3,Database!$C:$C,Lookup!AH$5,Database!$F:$F,Lookup!$C16,Database!$D:$D,Lookup!$B$3)</f>
        <v>0</v>
      </c>
      <c r="AI16" s="176">
        <f>SUMIFS(Database!$G:$G,Database!$E:$E,Lookup!$C$3,Database!$C:$C,Lookup!AI$5,Database!$F:$F,Lookup!$C16,Database!$D:$D,Lookup!$B$3)</f>
        <v>0</v>
      </c>
      <c r="AJ16" s="176">
        <f>SUMIFS(Database!$G:$G,Database!$E:$E,Lookup!$C$3,Database!$C:$C,Lookup!AJ$5,Database!$F:$F,Lookup!$C16,Database!$D:$D,Lookup!$B$3)</f>
        <v>0</v>
      </c>
      <c r="AK16" s="176">
        <f>SUMIFS(Database!$G:$G,Database!$E:$E,Lookup!$C$3,Database!$C:$C,Lookup!AK$5,Database!$F:$F,Lookup!$C16,Database!$D:$D,Lookup!$B$3)</f>
        <v>0</v>
      </c>
      <c r="AL16" s="176">
        <f>SUMIFS(Database!$G:$G,Database!$E:$E,Lookup!$C$3,Database!$C:$C,Lookup!AL$5,Database!$F:$F,Lookup!$C16,Database!$D:$D,Lookup!$B$3)</f>
        <v>0</v>
      </c>
      <c r="AM16" s="176">
        <f>SUMIFS(Database!$G:$G,Database!$E:$E,Lookup!$C$3,Database!$C:$C,Lookup!AM$5,Database!$F:$F,Lookup!$C16,Database!$D:$D,Lookup!$B$3)</f>
        <v>0</v>
      </c>
      <c r="AN16" s="176">
        <f>SUMIFS(Database!$G:$G,Database!$E:$E,Lookup!$C$3,Database!$C:$C,Lookup!AN$5,Database!$F:$F,Lookup!$C16,Database!$D:$D,Lookup!$B$3)</f>
        <v>0</v>
      </c>
      <c r="AO16" s="176">
        <f>SUMIFS(Database!$G:$G,Database!$E:$E,Lookup!$C$3,Database!$C:$C,Lookup!AO$5,Database!$F:$F,Lookup!$C16,Database!$D:$D,Lookup!$B$3)</f>
        <v>0</v>
      </c>
      <c r="AP16" s="176">
        <f>SUMIFS(Database!$G:$G,Database!$E:$E,Lookup!$C$3,Database!$C:$C,Lookup!AP$5,Database!$F:$F,Lookup!$C16,Database!$D:$D,Lookup!$B$3)</f>
        <v>0</v>
      </c>
      <c r="AQ16" s="176">
        <f>SUMIFS(Database!$G:$G,Database!$E:$E,Lookup!$C$3,Database!$C:$C,Lookup!AQ$5,Database!$F:$F,Lookup!$C16,Database!$D:$D,Lookup!$B$3)</f>
        <v>0</v>
      </c>
      <c r="AR16" s="176">
        <f>SUMIFS(Database!$G:$G,Database!$E:$E,Lookup!$C$3,Database!$C:$C,Lookup!AR$5,Database!$F:$F,Lookup!$C16,Database!$D:$D,Lookup!$B$3)</f>
        <v>0</v>
      </c>
      <c r="AS16" s="176">
        <f>SUMIFS(Database!$G:$G,Database!$E:$E,Lookup!$C$3,Database!$C:$C,Lookup!AS$5,Database!$F:$F,Lookup!$C16,Database!$D:$D,Lookup!$B$3)</f>
        <v>0</v>
      </c>
      <c r="AT16" s="176">
        <f>SUMIFS(Database!$G:$G,Database!$E:$E,Lookup!$C$3,Database!$C:$C,Lookup!AT$5,Database!$F:$F,Lookup!$C16,Database!$D:$D,Lookup!$B$3)</f>
        <v>0</v>
      </c>
      <c r="AU16" s="176">
        <f>SUMIFS(Database!$G:$G,Database!$E:$E,Lookup!$C$3,Database!$C:$C,Lookup!AU$5,Database!$F:$F,Lookup!$C16,Database!$D:$D,Lookup!$B$3)</f>
        <v>0</v>
      </c>
      <c r="AV16" s="176">
        <f>SUMIFS(Database!$G:$G,Database!$E:$E,Lookup!$C$3,Database!$C:$C,Lookup!AV$5,Database!$F:$F,Lookup!$C16,Database!$D:$D,Lookup!$B$3)</f>
        <v>0</v>
      </c>
      <c r="AW16" s="176">
        <f>SUMIFS(Database!$G:$G,Database!$E:$E,Lookup!$C$3,Database!$C:$C,Lookup!AW$5,Database!$F:$F,Lookup!$C16,Database!$D:$D,Lookup!$B$3)</f>
        <v>3684</v>
      </c>
      <c r="AX16" s="176">
        <f>SUMIFS(Database!$G:$G,Database!$E:$E,Lookup!$C$3,Database!$C:$C,Lookup!AX$5,Database!$F:$F,Lookup!$C16,Database!$D:$D,Lookup!$B$3)</f>
        <v>891</v>
      </c>
      <c r="AY16" s="176">
        <f>SUMIFS(Database!$G:$G,Database!$E:$E,Lookup!$C$3,Database!$C:$C,Lookup!AY$5,Database!$F:$F,Lookup!$C16,Database!$D:$D,Lookup!$B$3)</f>
        <v>49</v>
      </c>
      <c r="AZ16" s="176">
        <f>SUMIFS(Database!$G:$G,Database!$E:$E,Lookup!$C$3,Database!$C:$C,Lookup!AZ$5,Database!$F:$F,Lookup!$C16,Database!$D:$D,Lookup!$B$3)</f>
        <v>63</v>
      </c>
      <c r="BA16" s="176">
        <f>SUMIFS(Database!$G:$G,Database!$E:$E,Lookup!$C$3,Database!$C:$C,Lookup!BA$5,Database!$F:$F,Lookup!$C16,Database!$D:$D,Lookup!$B$3)</f>
        <v>887</v>
      </c>
      <c r="BB16" s="176">
        <f>SUMIFS(Database!$G:$G,Database!$E:$E,Lookup!$C$3,Database!$C:$C,Lookup!BB$5,Database!$F:$F,Lookup!$C16,Database!$D:$D,Lookup!$B$3)</f>
        <v>2121</v>
      </c>
      <c r="BC16" s="176">
        <f>SUMIFS(Database!$G:$G,Database!$E:$E,Lookup!$C$3,Database!$C:$C,Lookup!BC$5,Database!$F:$F,Lookup!$C16,Database!$D:$D,Lookup!$B$3)</f>
        <v>1570</v>
      </c>
      <c r="BD16" s="176">
        <f>SUMIFS(Database!$G:$G,Database!$E:$E,Lookup!$C$3,Database!$C:$C,Lookup!BD$5,Database!$F:$F,Lookup!$C16,Database!$D:$D,Lookup!$B$3)</f>
        <v>832</v>
      </c>
      <c r="BE16" s="176">
        <f>SUMIFS(Database!$G:$G,Database!$E:$E,Lookup!$C$3,Database!$C:$C,Lookup!BE$5,Database!$F:$F,Lookup!$C16,Database!$D:$D,Lookup!$B$3)</f>
        <v>1219</v>
      </c>
      <c r="BF16" s="176">
        <f>SUMIFS(Database!$G:$G,Database!$E:$E,Lookup!$C$3,Database!$C:$C,Lookup!BF$5,Database!$F:$F,Lookup!$C16,Database!$D:$D,Lookup!$B$3)</f>
        <v>286</v>
      </c>
      <c r="BG16" s="176">
        <f>SUMIFS(Database!$G:$G,Database!$E:$E,Lookup!$C$3,Database!$C:$C,Lookup!BG$5,Database!$F:$F,Lookup!$C16,Database!$D:$D,Lookup!$B$3)</f>
        <v>229</v>
      </c>
      <c r="BH16" s="176">
        <f>SUMIFS(Database!$G:$G,Database!$E:$E,Lookup!$C$3,Database!$C:$C,Lookup!BH$5,Database!$F:$F,Lookup!$C16,Database!$D:$D,Lookup!$B$3)</f>
        <v>959</v>
      </c>
      <c r="BI16" s="176">
        <f>SUMIFS(Database!$G:$G,Database!$E:$E,Lookup!$C$3,Database!$C:$C,Lookup!BI$5,Database!$F:$F,Lookup!$C16,Database!$D:$D,Lookup!$B$3)</f>
        <v>134</v>
      </c>
      <c r="BJ16" s="176">
        <f>SUMIFS(Database!$G:$G,Database!$E:$E,Lookup!$C$3,Database!$C:$C,Lookup!BJ$5,Database!$F:$F,Lookup!$C16,Database!$D:$D,Lookup!$B$3)</f>
        <v>0</v>
      </c>
      <c r="BK16" s="176">
        <f>SUMIFS(Database!$G:$G,Database!$E:$E,Lookup!$C$3,Database!$C:$C,Lookup!BK$5,Database!$F:$F,Lookup!$C16,Database!$D:$D,Lookup!$B$3)</f>
        <v>1399</v>
      </c>
      <c r="BL16" s="176">
        <f>SUMIFS(Database!$G:$G,Database!$E:$E,Lookup!$C$3,Database!$C:$C,Lookup!BL$5,Database!$F:$F,Lookup!$C16,Database!$D:$D,Lookup!$B$3)</f>
        <v>113</v>
      </c>
      <c r="BM16" s="176">
        <f>SUMIFS(Database!$G:$G,Database!$E:$E,Lookup!$C$3,Database!$C:$C,Lookup!BM$5,Database!$F:$F,Lookup!$C16,Database!$D:$D,Lookup!$B$3)</f>
        <v>0</v>
      </c>
      <c r="BN16" s="176">
        <f>SUMIFS(Database!$G:$G,Database!$E:$E,Lookup!$C$3,Database!$C:$C,Lookup!BN$5,Database!$F:$F,Lookup!$C16,Database!$D:$D,Lookup!$B$3)</f>
        <v>0</v>
      </c>
      <c r="BO16" s="176">
        <f>SUMIFS(Database!$G:$G,Database!$E:$E,Lookup!$C$3,Database!$C:$C,Lookup!BO$5,Database!$F:$F,Lookup!$C16,Database!$D:$D,Lookup!$B$3)</f>
        <v>0</v>
      </c>
      <c r="BP16" s="176">
        <f>SUMIFS(Database!$G:$G,Database!$E:$E,Lookup!$C$3,Database!$C:$C,Lookup!BP$5,Database!$F:$F,Lookup!$C16,Database!$D:$D,Lookup!$B$3)</f>
        <v>0</v>
      </c>
      <c r="BQ16" s="176">
        <f>SUMIFS(Database!$G:$G,Database!$E:$E,Lookup!$C$3,Database!$C:$C,Lookup!BQ$5,Database!$F:$F,Lookup!$C16,Database!$D:$D,Lookup!$B$3)</f>
        <v>0</v>
      </c>
      <c r="BR16" s="176">
        <f>SUMIFS(Database!$G:$G,Database!$E:$E,Lookup!$C$3,Database!$C:$C,Lookup!BR$5,Database!$F:$F,Lookup!$C16,Database!$D:$D,Lookup!$B$3)</f>
        <v>0</v>
      </c>
      <c r="BS16" s="176">
        <f>SUMIFS(Database!$G:$G,Database!$E:$E,Lookup!$C$3,Database!$C:$C,Lookup!BS$5,Database!$F:$F,Lookup!$C16,Database!$D:$D,Lookup!$B$3)</f>
        <v>0</v>
      </c>
      <c r="BT16" s="176">
        <f>SUMIFS(Database!$G:$G,Database!$E:$E,Lookup!$C$3,Database!$C:$C,Lookup!BT$5,Database!$F:$F,Lookup!$C16,Database!$D:$D,Lookup!$B$3)</f>
        <v>0</v>
      </c>
      <c r="BU16" s="176">
        <f>SUMIFS(Database!$G:$G,Database!$E:$E,Lookup!$C$3,Database!$C:$C,Lookup!BU$5,Database!$F:$F,Lookup!$C16,Database!$D:$D,Lookup!$B$3)</f>
        <v>0</v>
      </c>
      <c r="BV16" s="176">
        <f>SUMIFS(Database!$G:$G,Database!$E:$E,Lookup!$C$3,Database!$C:$C,Lookup!BV$5,Database!$F:$F,Lookup!$C16,Database!$D:$D,Lookup!$B$3)</f>
        <v>0</v>
      </c>
      <c r="BW16" s="176">
        <f>SUMIFS(Database!$G:$G,Database!$E:$E,Lookup!$C$3,Database!$C:$C,Lookup!BW$5,Database!$F:$F,Lookup!$C16,Database!$D:$D,Lookup!$B$3)</f>
        <v>0</v>
      </c>
      <c r="BX16" s="176">
        <f>SUMIFS(Database!$G:$G,Database!$E:$E,Lookup!$C$3,Database!$C:$C,Lookup!BX$5,Database!$F:$F,Lookup!$C16,Database!$D:$D,Lookup!$B$3)</f>
        <v>0</v>
      </c>
      <c r="BY16" s="176">
        <f>SUMIFS(Database!$G:$G,Database!$E:$E,Lookup!$C$3,Database!$C:$C,Lookup!BY$5,Database!$F:$F,Lookup!$C16,Database!$D:$D,Lookup!$B$3)</f>
        <v>0</v>
      </c>
      <c r="BZ16" s="176">
        <f>SUMIFS(Database!$G:$G,Database!$E:$E,Lookup!$C$3,Database!$C:$C,Lookup!BZ$5,Database!$F:$F,Lookup!$C16,Database!$D:$D,Lookup!$B$3)</f>
        <v>0</v>
      </c>
      <c r="CA16" s="176">
        <f>SUMIFS(Database!$G:$G,Database!$E:$E,Lookup!$C$3,Database!$C:$C,Lookup!CA$5,Database!$F:$F,Lookup!$C16,Database!$D:$D,Lookup!$B$3)</f>
        <v>0</v>
      </c>
      <c r="CB16" s="176">
        <f>SUMIFS(Database!$G:$G,Database!$E:$E,Lookup!$C$3,Database!$C:$C,Lookup!CB$5,Database!$F:$F,Lookup!$C16,Database!$D:$D,Lookup!$B$3)</f>
        <v>0</v>
      </c>
      <c r="CC16" s="176">
        <f>SUMIFS(Database!$G:$G,Database!$E:$E,Lookup!$C$3,Database!$C:$C,Lookup!CC$5,Database!$F:$F,Lookup!$C16,Database!$D:$D,Lookup!$B$3)</f>
        <v>0</v>
      </c>
      <c r="CD16" s="176">
        <f>SUMIFS(Database!$G:$G,Database!$E:$E,Lookup!$C$3,Database!$C:$C,Lookup!CD$5,Database!$F:$F,Lookup!$C16,Database!$D:$D,Lookup!$B$3)</f>
        <v>0</v>
      </c>
      <c r="CE16" s="176">
        <f>SUMIFS(Database!$G:$G,Database!$E:$E,Lookup!$C$3,Database!$C:$C,Lookup!CE$5,Database!$F:$F,Lookup!$C16,Database!$D:$D,Lookup!$B$3)</f>
        <v>0</v>
      </c>
      <c r="CF16" s="176">
        <f>SUMIFS(Database!$G:$G,Database!$E:$E,Lookup!$C$3,Database!$C:$C,Lookup!CF$5,Database!$F:$F,Lookup!$C16,Database!$D:$D,Lookup!$B$3)</f>
        <v>0</v>
      </c>
      <c r="CG16" s="176">
        <f>SUMIFS(Database!$G:$G,Database!$E:$E,Lookup!$C$3,Database!$C:$C,Lookup!CG$5,Database!$F:$F,Lookup!$C16,Database!$D:$D,Lookup!$B$3)</f>
        <v>0</v>
      </c>
      <c r="CH16" s="176">
        <f>SUMIFS(Database!$G:$G,Database!$E:$E,Lookup!$C$3,Database!$C:$C,Lookup!CH$5,Database!$F:$F,Lookup!$C16,Database!$D:$D,Lookup!$B$3)</f>
        <v>0</v>
      </c>
      <c r="CI16" s="176">
        <f>SUMIFS(Database!$G:$G,Database!$E:$E,Lookup!$C$3,Database!$C:$C,Lookup!CI$5,Database!$F:$F,Lookup!$C16,Database!$D:$D,Lookup!$B$3)</f>
        <v>0</v>
      </c>
      <c r="CJ16" s="176">
        <f>SUMIFS(Database!$G:$G,Database!$E:$E,Lookup!$C$3,Database!$C:$C,Lookup!CJ$5,Database!$F:$F,Lookup!$C16,Database!$D:$D,Lookup!$B$3)</f>
        <v>0</v>
      </c>
      <c r="CK16" s="176">
        <f>SUMIFS(Database!$G:$G,Database!$E:$E,Lookup!$C$3,Database!$C:$C,Lookup!CK$5,Database!$F:$F,Lookup!$C16,Database!$D:$D,Lookup!$B$3)</f>
        <v>0</v>
      </c>
      <c r="CL16" s="176">
        <f>SUMIFS(Database!$G:$G,Database!$E:$E,Lookup!$C$3,Database!$C:$C,Lookup!CL$5,Database!$F:$F,Lookup!$C16,Database!$D:$D,Lookup!$B$3)</f>
        <v>0</v>
      </c>
      <c r="CM16" s="176">
        <f>SUMIFS(Database!$G:$G,Database!$E:$E,Lookup!$C$3,Database!$C:$C,Lookup!CM$5,Database!$F:$F,Lookup!$C16,Database!$D:$D,Lookup!$B$3)</f>
        <v>0</v>
      </c>
      <c r="CN16" s="176">
        <f>SUMIFS(Database!$G:$G,Database!$E:$E,Lookup!$C$3,Database!$C:$C,Lookup!CN$5,Database!$F:$F,Lookup!$C16,Database!$D:$D,Lookup!$B$3)</f>
        <v>0</v>
      </c>
      <c r="CO16" s="176">
        <f>SUMIFS(Database!$G:$G,Database!$E:$E,Lookup!$C$3,Database!$C:$C,Lookup!CO$5,Database!$F:$F,Lookup!$C16,Database!$D:$D,Lookup!$B$3)</f>
        <v>0</v>
      </c>
      <c r="CP16" s="176">
        <f>SUMIFS(Database!$G:$G,Database!$E:$E,Lookup!$C$3,Database!$C:$C,Lookup!CP$5,Database!$F:$F,Lookup!$C16,Database!$D:$D,Lookup!$B$3)</f>
        <v>0</v>
      </c>
      <c r="CQ16" s="176">
        <f>SUMIFS(Database!$G:$G,Database!$E:$E,Lookup!$C$3,Database!$C:$C,Lookup!CQ$5,Database!$F:$F,Lookup!$C16,Database!$D:$D,Lookup!$B$3)</f>
        <v>0</v>
      </c>
      <c r="CR16" s="176">
        <f>SUMIFS(Database!$G:$G,Database!$E:$E,Lookup!$C$3,Database!$C:$C,Lookup!CR$5,Database!$F:$F,Lookup!$C16,Database!$D:$D,Lookup!$B$3)</f>
        <v>0</v>
      </c>
      <c r="CS16" s="176">
        <f>SUMIFS(Database!$G:$G,Database!$E:$E,Lookup!$C$3,Database!$C:$C,Lookup!CS$5,Database!$F:$F,Lookup!$C16,Database!$D:$D,Lookup!$B$3)</f>
        <v>0</v>
      </c>
      <c r="CT16" s="176">
        <f>SUMIFS(Database!$G:$G,Database!$E:$E,Lookup!$C$3,Database!$C:$C,Lookup!CT$5,Database!$F:$F,Lookup!$C16,Database!$D:$D,Lookup!$B$3)</f>
        <v>0</v>
      </c>
      <c r="CU16" s="176">
        <f>SUMIFS(Database!$G:$G,Database!$E:$E,Lookup!$C$3,Database!$C:$C,Lookup!CU$5,Database!$F:$F,Lookup!$C16,Database!$D:$D,Lookup!$B$3)</f>
        <v>0</v>
      </c>
      <c r="CV16" s="177">
        <f>SUMIFS(Database!$G:$G,Database!$E:$E,Lookup!$C$3,Database!$C:$C,Lookup!CV$5,Database!$F:$F,Lookup!$C16,Database!$D:$D,Lookup!$B$3)</f>
        <v>0</v>
      </c>
    </row>
    <row r="17" spans="3:100" x14ac:dyDescent="0.25">
      <c r="C17" s="217" t="s">
        <v>486</v>
      </c>
      <c r="D17" s="222"/>
      <c r="E17" s="228">
        <f>SUMIFS(Database!$G:$G,Database!$E:$E,Lookup!$C$3,Database!$C:$C,Lookup!E$5,Database!$F:$F,Lookup!$C17,Database!$D:$D,Lookup!$B$3)</f>
        <v>0</v>
      </c>
      <c r="F17" s="176">
        <f>SUMIFS(Database!$G:$G,Database!$E:$E,Lookup!$C$3,Database!$C:$C,Lookup!F$5,Database!$F:$F,Lookup!$C17,Database!$D:$D,Lookup!$B$3)</f>
        <v>0</v>
      </c>
      <c r="G17" s="176">
        <f>SUMIFS(Database!$G:$G,Database!$E:$E,Lookup!$C$3,Database!$C:$C,Lookup!G$5,Database!$F:$F,Lookup!$C17,Database!$D:$D,Lookup!$B$3)</f>
        <v>0</v>
      </c>
      <c r="H17" s="176">
        <f>SUMIFS(Database!$G:$G,Database!$E:$E,Lookup!$C$3,Database!$C:$C,Lookup!H$5,Database!$F:$F,Lookup!$C17,Database!$D:$D,Lookup!$B$3)</f>
        <v>0</v>
      </c>
      <c r="I17" s="176">
        <f>SUMIFS(Database!$G:$G,Database!$E:$E,Lookup!$C$3,Database!$C:$C,Lookup!I$5,Database!$F:$F,Lookup!$C17,Database!$D:$D,Lookup!$B$3)</f>
        <v>0</v>
      </c>
      <c r="J17" s="176">
        <f>SUMIFS(Database!$G:$G,Database!$E:$E,Lookup!$C$3,Database!$C:$C,Lookup!J$5,Database!$F:$F,Lookup!$C17,Database!$D:$D,Lookup!$B$3)</f>
        <v>0</v>
      </c>
      <c r="K17" s="176">
        <f>SUMIFS(Database!$G:$G,Database!$E:$E,Lookup!$C$3,Database!$C:$C,Lookup!K$5,Database!$F:$F,Lookup!$C17,Database!$D:$D,Lookup!$B$3)</f>
        <v>0</v>
      </c>
      <c r="L17" s="176">
        <f>SUMIFS(Database!$G:$G,Database!$E:$E,Lookup!$C$3,Database!$C:$C,Lookup!L$5,Database!$F:$F,Lookup!$C17,Database!$D:$D,Lookup!$B$3)</f>
        <v>0</v>
      </c>
      <c r="M17" s="176">
        <f>SUMIFS(Database!$G:$G,Database!$E:$E,Lookup!$C$3,Database!$C:$C,Lookup!M$5,Database!$F:$F,Lookup!$C17,Database!$D:$D,Lookup!$B$3)</f>
        <v>0</v>
      </c>
      <c r="N17" s="176">
        <f>SUMIFS(Database!$G:$G,Database!$E:$E,Lookup!$C$3,Database!$C:$C,Lookup!N$5,Database!$F:$F,Lookup!$C17,Database!$D:$D,Lookup!$B$3)</f>
        <v>0</v>
      </c>
      <c r="O17" s="176">
        <f>SUMIFS(Database!$G:$G,Database!$E:$E,Lookup!$C$3,Database!$C:$C,Lookup!O$5,Database!$F:$F,Lookup!$C17,Database!$D:$D,Lookup!$B$3)</f>
        <v>0</v>
      </c>
      <c r="P17" s="176">
        <f>SUMIFS(Database!$G:$G,Database!$E:$E,Lookup!$C$3,Database!$C:$C,Lookup!P$5,Database!$F:$F,Lookup!$C17,Database!$D:$D,Lookup!$B$3)</f>
        <v>0</v>
      </c>
      <c r="Q17" s="176">
        <f>SUMIFS(Database!$G:$G,Database!$E:$E,Lookup!$C$3,Database!$C:$C,Lookup!Q$5,Database!$F:$F,Lookup!$C17,Database!$D:$D,Lookup!$B$3)</f>
        <v>0</v>
      </c>
      <c r="R17" s="176">
        <f>SUMIFS(Database!$G:$G,Database!$E:$E,Lookup!$C$3,Database!$C:$C,Lookup!R$5,Database!$F:$F,Lookup!$C17,Database!$D:$D,Lookup!$B$3)</f>
        <v>0</v>
      </c>
      <c r="S17" s="176">
        <f>SUMIFS(Database!$G:$G,Database!$E:$E,Lookup!$C$3,Database!$C:$C,Lookup!S$5,Database!$F:$F,Lookup!$C17,Database!$D:$D,Lookup!$B$3)</f>
        <v>0</v>
      </c>
      <c r="T17" s="176">
        <f>SUMIFS(Database!$G:$G,Database!$E:$E,Lookup!$C$3,Database!$C:$C,Lookup!T$5,Database!$F:$F,Lookup!$C17,Database!$D:$D,Lookup!$B$3)</f>
        <v>0</v>
      </c>
      <c r="U17" s="176">
        <f>SUMIFS(Database!$G:$G,Database!$E:$E,Lookup!$C$3,Database!$C:$C,Lookup!U$5,Database!$F:$F,Lookup!$C17,Database!$D:$D,Lookup!$B$3)</f>
        <v>0</v>
      </c>
      <c r="V17" s="176">
        <f>SUMIFS(Database!$G:$G,Database!$E:$E,Lookup!$C$3,Database!$C:$C,Lookup!V$5,Database!$F:$F,Lookup!$C17,Database!$D:$D,Lookup!$B$3)</f>
        <v>0</v>
      </c>
      <c r="W17" s="176">
        <f>SUMIFS(Database!$G:$G,Database!$E:$E,Lookup!$C$3,Database!$C:$C,Lookup!W$5,Database!$F:$F,Lookup!$C17,Database!$D:$D,Lookup!$B$3)</f>
        <v>0</v>
      </c>
      <c r="X17" s="176">
        <f>SUMIFS(Database!$G:$G,Database!$E:$E,Lookup!$C$3,Database!$C:$C,Lookup!X$5,Database!$F:$F,Lookup!$C17,Database!$D:$D,Lookup!$B$3)</f>
        <v>0</v>
      </c>
      <c r="Y17" s="176">
        <f>SUMIFS(Database!$G:$G,Database!$E:$E,Lookup!$C$3,Database!$C:$C,Lookup!Y$5,Database!$F:$F,Lookup!$C17,Database!$D:$D,Lookup!$B$3)</f>
        <v>0</v>
      </c>
      <c r="Z17" s="176">
        <f>SUMIFS(Database!$G:$G,Database!$E:$E,Lookup!$C$3,Database!$C:$C,Lookup!Z$5,Database!$F:$F,Lookup!$C17,Database!$D:$D,Lookup!$B$3)</f>
        <v>0</v>
      </c>
      <c r="AA17" s="176">
        <f>SUMIFS(Database!$G:$G,Database!$E:$E,Lookup!$C$3,Database!$C:$C,Lookup!AA$5,Database!$F:$F,Lookup!$C17,Database!$D:$D,Lookup!$B$3)</f>
        <v>0</v>
      </c>
      <c r="AB17" s="176">
        <f>SUMIFS(Database!$G:$G,Database!$E:$E,Lookup!$C$3,Database!$C:$C,Lookup!AB$5,Database!$F:$F,Lookup!$C17,Database!$D:$D,Lookup!$B$3)</f>
        <v>0</v>
      </c>
      <c r="AC17" s="176">
        <f>SUMIFS(Database!$G:$G,Database!$E:$E,Lookup!$C$3,Database!$C:$C,Lookup!AC$5,Database!$F:$F,Lookup!$C17,Database!$D:$D,Lookup!$B$3)</f>
        <v>0</v>
      </c>
      <c r="AD17" s="176">
        <f>SUMIFS(Database!$G:$G,Database!$E:$E,Lookup!$C$3,Database!$C:$C,Lookup!AD$5,Database!$F:$F,Lookup!$C17,Database!$D:$D,Lookup!$B$3)</f>
        <v>0</v>
      </c>
      <c r="AE17" s="176">
        <f>SUMIFS(Database!$G:$G,Database!$E:$E,Lookup!$C$3,Database!$C:$C,Lookup!AE$5,Database!$F:$F,Lookup!$C17,Database!$D:$D,Lookup!$B$3)</f>
        <v>0</v>
      </c>
      <c r="AF17" s="176">
        <f>SUMIFS(Database!$G:$G,Database!$E:$E,Lookup!$C$3,Database!$C:$C,Lookup!AF$5,Database!$F:$F,Lookup!$C17,Database!$D:$D,Lookup!$B$3)</f>
        <v>0</v>
      </c>
      <c r="AG17" s="176">
        <f>SUMIFS(Database!$G:$G,Database!$E:$E,Lookup!$C$3,Database!$C:$C,Lookup!AG$5,Database!$F:$F,Lookup!$C17,Database!$D:$D,Lookup!$B$3)</f>
        <v>0</v>
      </c>
      <c r="AH17" s="176">
        <f>SUMIFS(Database!$G:$G,Database!$E:$E,Lookup!$C$3,Database!$C:$C,Lookup!AH$5,Database!$F:$F,Lookup!$C17,Database!$D:$D,Lookup!$B$3)</f>
        <v>0</v>
      </c>
      <c r="AI17" s="176">
        <f>SUMIFS(Database!$G:$G,Database!$E:$E,Lookup!$C$3,Database!$C:$C,Lookup!AI$5,Database!$F:$F,Lookup!$C17,Database!$D:$D,Lookup!$B$3)</f>
        <v>0</v>
      </c>
      <c r="AJ17" s="176">
        <f>SUMIFS(Database!$G:$G,Database!$E:$E,Lookup!$C$3,Database!$C:$C,Lookup!AJ$5,Database!$F:$F,Lookup!$C17,Database!$D:$D,Lookup!$B$3)</f>
        <v>0</v>
      </c>
      <c r="AK17" s="176">
        <f>SUMIFS(Database!$G:$G,Database!$E:$E,Lookup!$C$3,Database!$C:$C,Lookup!AK$5,Database!$F:$F,Lookup!$C17,Database!$D:$D,Lookup!$B$3)</f>
        <v>0</v>
      </c>
      <c r="AL17" s="176">
        <f>SUMIFS(Database!$G:$G,Database!$E:$E,Lookup!$C$3,Database!$C:$C,Lookup!AL$5,Database!$F:$F,Lookup!$C17,Database!$D:$D,Lookup!$B$3)</f>
        <v>0</v>
      </c>
      <c r="AM17" s="176">
        <f>SUMIFS(Database!$G:$G,Database!$E:$E,Lookup!$C$3,Database!$C:$C,Lookup!AM$5,Database!$F:$F,Lookup!$C17,Database!$D:$D,Lookup!$B$3)</f>
        <v>0</v>
      </c>
      <c r="AN17" s="176">
        <f>SUMIFS(Database!$G:$G,Database!$E:$E,Lookup!$C$3,Database!$C:$C,Lookup!AN$5,Database!$F:$F,Lookup!$C17,Database!$D:$D,Lookup!$B$3)</f>
        <v>0</v>
      </c>
      <c r="AO17" s="176">
        <f>SUMIFS(Database!$G:$G,Database!$E:$E,Lookup!$C$3,Database!$C:$C,Lookup!AO$5,Database!$F:$F,Lookup!$C17,Database!$D:$D,Lookup!$B$3)</f>
        <v>0</v>
      </c>
      <c r="AP17" s="176">
        <f>SUMIFS(Database!$G:$G,Database!$E:$E,Lookup!$C$3,Database!$C:$C,Lookup!AP$5,Database!$F:$F,Lookup!$C17,Database!$D:$D,Lookup!$B$3)</f>
        <v>0</v>
      </c>
      <c r="AQ17" s="176">
        <f>SUMIFS(Database!$G:$G,Database!$E:$E,Lookup!$C$3,Database!$C:$C,Lookup!AQ$5,Database!$F:$F,Lookup!$C17,Database!$D:$D,Lookup!$B$3)</f>
        <v>0</v>
      </c>
      <c r="AR17" s="176">
        <f>SUMIFS(Database!$G:$G,Database!$E:$E,Lookup!$C$3,Database!$C:$C,Lookup!AR$5,Database!$F:$F,Lookup!$C17,Database!$D:$D,Lookup!$B$3)</f>
        <v>0</v>
      </c>
      <c r="AS17" s="176">
        <f>SUMIFS(Database!$G:$G,Database!$E:$E,Lookup!$C$3,Database!$C:$C,Lookup!AS$5,Database!$F:$F,Lookup!$C17,Database!$D:$D,Lookup!$B$3)</f>
        <v>0</v>
      </c>
      <c r="AT17" s="176">
        <f>SUMIFS(Database!$G:$G,Database!$E:$E,Lookup!$C$3,Database!$C:$C,Lookup!AT$5,Database!$F:$F,Lookup!$C17,Database!$D:$D,Lookup!$B$3)</f>
        <v>0</v>
      </c>
      <c r="AU17" s="176">
        <f>SUMIFS(Database!$G:$G,Database!$E:$E,Lookup!$C$3,Database!$C:$C,Lookup!AU$5,Database!$F:$F,Lookup!$C17,Database!$D:$D,Lookup!$B$3)</f>
        <v>0</v>
      </c>
      <c r="AV17" s="176">
        <f>SUMIFS(Database!$G:$G,Database!$E:$E,Lookup!$C$3,Database!$C:$C,Lookup!AV$5,Database!$F:$F,Lookup!$C17,Database!$D:$D,Lookup!$B$3)</f>
        <v>0</v>
      </c>
      <c r="AW17" s="176">
        <f>SUMIFS(Database!$G:$G,Database!$E:$E,Lookup!$C$3,Database!$C:$C,Lookup!AW$5,Database!$F:$F,Lookup!$C17,Database!$D:$D,Lookup!$B$3)</f>
        <v>0</v>
      </c>
      <c r="AX17" s="176">
        <f>SUMIFS(Database!$G:$G,Database!$E:$E,Lookup!$C$3,Database!$C:$C,Lookup!AX$5,Database!$F:$F,Lookup!$C17,Database!$D:$D,Lookup!$B$3)</f>
        <v>0</v>
      </c>
      <c r="AY17" s="176">
        <f>SUMIFS(Database!$G:$G,Database!$E:$E,Lookup!$C$3,Database!$C:$C,Lookup!AY$5,Database!$F:$F,Lookup!$C17,Database!$D:$D,Lookup!$B$3)</f>
        <v>0</v>
      </c>
      <c r="AZ17" s="176">
        <f>SUMIFS(Database!$G:$G,Database!$E:$E,Lookup!$C$3,Database!$C:$C,Lookup!AZ$5,Database!$F:$F,Lookup!$C17,Database!$D:$D,Lookup!$B$3)</f>
        <v>0</v>
      </c>
      <c r="BA17" s="176">
        <f>SUMIFS(Database!$G:$G,Database!$E:$E,Lookup!$C$3,Database!$C:$C,Lookup!BA$5,Database!$F:$F,Lookup!$C17,Database!$D:$D,Lookup!$B$3)</f>
        <v>0</v>
      </c>
      <c r="BB17" s="176">
        <f>SUMIFS(Database!$G:$G,Database!$E:$E,Lookup!$C$3,Database!$C:$C,Lookup!BB$5,Database!$F:$F,Lookup!$C17,Database!$D:$D,Lookup!$B$3)</f>
        <v>0</v>
      </c>
      <c r="BC17" s="176">
        <f>SUMIFS(Database!$G:$G,Database!$E:$E,Lookup!$C$3,Database!$C:$C,Lookup!BC$5,Database!$F:$F,Lookup!$C17,Database!$D:$D,Lookup!$B$3)</f>
        <v>0</v>
      </c>
      <c r="BD17" s="176">
        <f>SUMIFS(Database!$G:$G,Database!$E:$E,Lookup!$C$3,Database!$C:$C,Lookup!BD$5,Database!$F:$F,Lookup!$C17,Database!$D:$D,Lookup!$B$3)</f>
        <v>0</v>
      </c>
      <c r="BE17" s="176">
        <f>SUMIFS(Database!$G:$G,Database!$E:$E,Lookup!$C$3,Database!$C:$C,Lookup!BE$5,Database!$F:$F,Lookup!$C17,Database!$D:$D,Lookup!$B$3)</f>
        <v>0</v>
      </c>
      <c r="BF17" s="176">
        <f>SUMIFS(Database!$G:$G,Database!$E:$E,Lookup!$C$3,Database!$C:$C,Lookup!BF$5,Database!$F:$F,Lookup!$C17,Database!$D:$D,Lookup!$B$3)</f>
        <v>0</v>
      </c>
      <c r="BG17" s="176">
        <f>SUMIFS(Database!$G:$G,Database!$E:$E,Lookup!$C$3,Database!$C:$C,Lookup!BG$5,Database!$F:$F,Lookup!$C17,Database!$D:$D,Lookup!$B$3)</f>
        <v>0</v>
      </c>
      <c r="BH17" s="176">
        <f>SUMIFS(Database!$G:$G,Database!$E:$E,Lookup!$C$3,Database!$C:$C,Lookup!BH$5,Database!$F:$F,Lookup!$C17,Database!$D:$D,Lookup!$B$3)</f>
        <v>0</v>
      </c>
      <c r="BI17" s="176">
        <f>SUMIFS(Database!$G:$G,Database!$E:$E,Lookup!$C$3,Database!$C:$C,Lookup!BI$5,Database!$F:$F,Lookup!$C17,Database!$D:$D,Lookup!$B$3)</f>
        <v>0</v>
      </c>
      <c r="BJ17" s="176">
        <f>SUMIFS(Database!$G:$G,Database!$E:$E,Lookup!$C$3,Database!$C:$C,Lookup!BJ$5,Database!$F:$F,Lookup!$C17,Database!$D:$D,Lookup!$B$3)</f>
        <v>0</v>
      </c>
      <c r="BK17" s="176">
        <f>SUMIFS(Database!$G:$G,Database!$E:$E,Lookup!$C$3,Database!$C:$C,Lookup!BK$5,Database!$F:$F,Lookup!$C17,Database!$D:$D,Lookup!$B$3)</f>
        <v>0</v>
      </c>
      <c r="BL17" s="176">
        <f>SUMIFS(Database!$G:$G,Database!$E:$E,Lookup!$C$3,Database!$C:$C,Lookup!BL$5,Database!$F:$F,Lookup!$C17,Database!$D:$D,Lookup!$B$3)</f>
        <v>0</v>
      </c>
      <c r="BM17" s="176">
        <f>SUMIFS(Database!$G:$G,Database!$E:$E,Lookup!$C$3,Database!$C:$C,Lookup!BM$5,Database!$F:$F,Lookup!$C17,Database!$D:$D,Lookup!$B$3)</f>
        <v>0</v>
      </c>
      <c r="BN17" s="176">
        <f>SUMIFS(Database!$G:$G,Database!$E:$E,Lookup!$C$3,Database!$C:$C,Lookup!BN$5,Database!$F:$F,Lookup!$C17,Database!$D:$D,Lookup!$B$3)</f>
        <v>0</v>
      </c>
      <c r="BO17" s="176">
        <f>SUMIFS(Database!$G:$G,Database!$E:$E,Lookup!$C$3,Database!$C:$C,Lookup!BO$5,Database!$F:$F,Lookup!$C17,Database!$D:$D,Lookup!$B$3)</f>
        <v>0</v>
      </c>
      <c r="BP17" s="176">
        <f>SUMIFS(Database!$G:$G,Database!$E:$E,Lookup!$C$3,Database!$C:$C,Lookup!BP$5,Database!$F:$F,Lookup!$C17,Database!$D:$D,Lookup!$B$3)</f>
        <v>0</v>
      </c>
      <c r="BQ17" s="176">
        <f>SUMIFS(Database!$G:$G,Database!$E:$E,Lookup!$C$3,Database!$C:$C,Lookup!BQ$5,Database!$F:$F,Lookup!$C17,Database!$D:$D,Lookup!$B$3)</f>
        <v>0</v>
      </c>
      <c r="BR17" s="176">
        <f>SUMIFS(Database!$G:$G,Database!$E:$E,Lookup!$C$3,Database!$C:$C,Lookup!BR$5,Database!$F:$F,Lookup!$C17,Database!$D:$D,Lookup!$B$3)</f>
        <v>0</v>
      </c>
      <c r="BS17" s="176">
        <f>SUMIFS(Database!$G:$G,Database!$E:$E,Lookup!$C$3,Database!$C:$C,Lookup!BS$5,Database!$F:$F,Lookup!$C17,Database!$D:$D,Lookup!$B$3)</f>
        <v>0</v>
      </c>
      <c r="BT17" s="176">
        <f>SUMIFS(Database!$G:$G,Database!$E:$E,Lookup!$C$3,Database!$C:$C,Lookup!BT$5,Database!$F:$F,Lookup!$C17,Database!$D:$D,Lookup!$B$3)</f>
        <v>0</v>
      </c>
      <c r="BU17" s="176">
        <f>SUMIFS(Database!$G:$G,Database!$E:$E,Lookup!$C$3,Database!$C:$C,Lookup!BU$5,Database!$F:$F,Lookup!$C17,Database!$D:$D,Lookup!$B$3)</f>
        <v>0</v>
      </c>
      <c r="BV17" s="176">
        <f>SUMIFS(Database!$G:$G,Database!$E:$E,Lookup!$C$3,Database!$C:$C,Lookup!BV$5,Database!$F:$F,Lookup!$C17,Database!$D:$D,Lookup!$B$3)</f>
        <v>0</v>
      </c>
      <c r="BW17" s="176">
        <f>SUMIFS(Database!$G:$G,Database!$E:$E,Lookup!$C$3,Database!$C:$C,Lookup!BW$5,Database!$F:$F,Lookup!$C17,Database!$D:$D,Lookup!$B$3)</f>
        <v>0</v>
      </c>
      <c r="BX17" s="176">
        <f>SUMIFS(Database!$G:$G,Database!$E:$E,Lookup!$C$3,Database!$C:$C,Lookup!BX$5,Database!$F:$F,Lookup!$C17,Database!$D:$D,Lookup!$B$3)</f>
        <v>0</v>
      </c>
      <c r="BY17" s="176">
        <f>SUMIFS(Database!$G:$G,Database!$E:$E,Lookup!$C$3,Database!$C:$C,Lookup!BY$5,Database!$F:$F,Lookup!$C17,Database!$D:$D,Lookup!$B$3)</f>
        <v>0</v>
      </c>
      <c r="BZ17" s="176">
        <f>SUMIFS(Database!$G:$G,Database!$E:$E,Lookup!$C$3,Database!$C:$C,Lookup!BZ$5,Database!$F:$F,Lookup!$C17,Database!$D:$D,Lookup!$B$3)</f>
        <v>0</v>
      </c>
      <c r="CA17" s="176">
        <f>SUMIFS(Database!$G:$G,Database!$E:$E,Lookup!$C$3,Database!$C:$C,Lookup!CA$5,Database!$F:$F,Lookup!$C17,Database!$D:$D,Lookup!$B$3)</f>
        <v>0</v>
      </c>
      <c r="CB17" s="176">
        <f>SUMIFS(Database!$G:$G,Database!$E:$E,Lookup!$C$3,Database!$C:$C,Lookup!CB$5,Database!$F:$F,Lookup!$C17,Database!$D:$D,Lookup!$B$3)</f>
        <v>0</v>
      </c>
      <c r="CC17" s="176">
        <f>SUMIFS(Database!$G:$G,Database!$E:$E,Lookup!$C$3,Database!$C:$C,Lookup!CC$5,Database!$F:$F,Lookup!$C17,Database!$D:$D,Lookup!$B$3)</f>
        <v>0</v>
      </c>
      <c r="CD17" s="176">
        <f>SUMIFS(Database!$G:$G,Database!$E:$E,Lookup!$C$3,Database!$C:$C,Lookup!CD$5,Database!$F:$F,Lookup!$C17,Database!$D:$D,Lookup!$B$3)</f>
        <v>0</v>
      </c>
      <c r="CE17" s="176">
        <f>SUMIFS(Database!$G:$G,Database!$E:$E,Lookup!$C$3,Database!$C:$C,Lookup!CE$5,Database!$F:$F,Lookup!$C17,Database!$D:$D,Lookup!$B$3)</f>
        <v>0</v>
      </c>
      <c r="CF17" s="176">
        <f>SUMIFS(Database!$G:$G,Database!$E:$E,Lookup!$C$3,Database!$C:$C,Lookup!CF$5,Database!$F:$F,Lookup!$C17,Database!$D:$D,Lookup!$B$3)</f>
        <v>0</v>
      </c>
      <c r="CG17" s="176">
        <f>SUMIFS(Database!$G:$G,Database!$E:$E,Lookup!$C$3,Database!$C:$C,Lookup!CG$5,Database!$F:$F,Lookup!$C17,Database!$D:$D,Lookup!$B$3)</f>
        <v>0</v>
      </c>
      <c r="CH17" s="176">
        <f>SUMIFS(Database!$G:$G,Database!$E:$E,Lookup!$C$3,Database!$C:$C,Lookup!CH$5,Database!$F:$F,Lookup!$C17,Database!$D:$D,Lookup!$B$3)</f>
        <v>0</v>
      </c>
      <c r="CI17" s="176">
        <f>SUMIFS(Database!$G:$G,Database!$E:$E,Lookup!$C$3,Database!$C:$C,Lookup!CI$5,Database!$F:$F,Lookup!$C17,Database!$D:$D,Lookup!$B$3)</f>
        <v>0</v>
      </c>
      <c r="CJ17" s="176">
        <f>SUMIFS(Database!$G:$G,Database!$E:$E,Lookup!$C$3,Database!$C:$C,Lookup!CJ$5,Database!$F:$F,Lookup!$C17,Database!$D:$D,Lookup!$B$3)</f>
        <v>0</v>
      </c>
      <c r="CK17" s="176">
        <f>SUMIFS(Database!$G:$G,Database!$E:$E,Lookup!$C$3,Database!$C:$C,Lookup!CK$5,Database!$F:$F,Lookup!$C17,Database!$D:$D,Lookup!$B$3)</f>
        <v>0</v>
      </c>
      <c r="CL17" s="176">
        <f>SUMIFS(Database!$G:$G,Database!$E:$E,Lookup!$C$3,Database!$C:$C,Lookup!CL$5,Database!$F:$F,Lookup!$C17,Database!$D:$D,Lookup!$B$3)</f>
        <v>0</v>
      </c>
      <c r="CM17" s="176">
        <f>SUMIFS(Database!$G:$G,Database!$E:$E,Lookup!$C$3,Database!$C:$C,Lookup!CM$5,Database!$F:$F,Lookup!$C17,Database!$D:$D,Lookup!$B$3)</f>
        <v>0</v>
      </c>
      <c r="CN17" s="176">
        <f>SUMIFS(Database!$G:$G,Database!$E:$E,Lookup!$C$3,Database!$C:$C,Lookup!CN$5,Database!$F:$F,Lookup!$C17,Database!$D:$D,Lookup!$B$3)</f>
        <v>0</v>
      </c>
      <c r="CO17" s="176">
        <f>SUMIFS(Database!$G:$G,Database!$E:$E,Lookup!$C$3,Database!$C:$C,Lookup!CO$5,Database!$F:$F,Lookup!$C17,Database!$D:$D,Lookup!$B$3)</f>
        <v>0</v>
      </c>
      <c r="CP17" s="176">
        <f>SUMIFS(Database!$G:$G,Database!$E:$E,Lookup!$C$3,Database!$C:$C,Lookup!CP$5,Database!$F:$F,Lookup!$C17,Database!$D:$D,Lookup!$B$3)</f>
        <v>0</v>
      </c>
      <c r="CQ17" s="176">
        <f>SUMIFS(Database!$G:$G,Database!$E:$E,Lookup!$C$3,Database!$C:$C,Lookup!CQ$5,Database!$F:$F,Lookup!$C17,Database!$D:$D,Lookup!$B$3)</f>
        <v>0</v>
      </c>
      <c r="CR17" s="176">
        <f>SUMIFS(Database!$G:$G,Database!$E:$E,Lookup!$C$3,Database!$C:$C,Lookup!CR$5,Database!$F:$F,Lookup!$C17,Database!$D:$D,Lookup!$B$3)</f>
        <v>0</v>
      </c>
      <c r="CS17" s="176">
        <f>SUMIFS(Database!$G:$G,Database!$E:$E,Lookup!$C$3,Database!$C:$C,Lookup!CS$5,Database!$F:$F,Lookup!$C17,Database!$D:$D,Lookup!$B$3)</f>
        <v>0</v>
      </c>
      <c r="CT17" s="176">
        <f>SUMIFS(Database!$G:$G,Database!$E:$E,Lookup!$C$3,Database!$C:$C,Lookup!CT$5,Database!$F:$F,Lookup!$C17,Database!$D:$D,Lookup!$B$3)</f>
        <v>0</v>
      </c>
      <c r="CU17" s="176">
        <f>SUMIFS(Database!$G:$G,Database!$E:$E,Lookup!$C$3,Database!$C:$C,Lookup!CU$5,Database!$F:$F,Lookup!$C17,Database!$D:$D,Lookup!$B$3)</f>
        <v>0</v>
      </c>
      <c r="CV17" s="177">
        <f>SUMIFS(Database!$G:$G,Database!$E:$E,Lookup!$C$3,Database!$C:$C,Lookup!CV$5,Database!$F:$F,Lookup!$C17,Database!$D:$D,Lookup!$B$3)</f>
        <v>0</v>
      </c>
    </row>
    <row r="18" spans="3:100" x14ac:dyDescent="0.25">
      <c r="C18" s="217" t="s">
        <v>10</v>
      </c>
      <c r="D18" s="222"/>
      <c r="E18" s="228">
        <f>SUMIFS(Database!$G:$G,Database!$E:$E,Lookup!$C$3,Database!$C:$C,Lookup!E$5,Database!$F:$F,Lookup!$C18,Database!$D:$D,Lookup!$B$3)</f>
        <v>0</v>
      </c>
      <c r="F18" s="176">
        <f>SUMIFS(Database!$G:$G,Database!$E:$E,Lookup!$C$3,Database!$C:$C,Lookup!F$5,Database!$F:$F,Lookup!$C18,Database!$D:$D,Lookup!$B$3)</f>
        <v>0</v>
      </c>
      <c r="G18" s="176">
        <f>SUMIFS(Database!$G:$G,Database!$E:$E,Lookup!$C$3,Database!$C:$C,Lookup!G$5,Database!$F:$F,Lookup!$C18,Database!$D:$D,Lookup!$B$3)</f>
        <v>0</v>
      </c>
      <c r="H18" s="176">
        <f>SUMIFS(Database!$G:$G,Database!$E:$E,Lookup!$C$3,Database!$C:$C,Lookup!H$5,Database!$F:$F,Lookup!$C18,Database!$D:$D,Lookup!$B$3)</f>
        <v>0</v>
      </c>
      <c r="I18" s="176">
        <f>SUMIFS(Database!$G:$G,Database!$E:$E,Lookup!$C$3,Database!$C:$C,Lookup!I$5,Database!$F:$F,Lookup!$C18,Database!$D:$D,Lookup!$B$3)</f>
        <v>0</v>
      </c>
      <c r="J18" s="176">
        <f>SUMIFS(Database!$G:$G,Database!$E:$E,Lookup!$C$3,Database!$C:$C,Lookup!J$5,Database!$F:$F,Lookup!$C18,Database!$D:$D,Lookup!$B$3)</f>
        <v>0</v>
      </c>
      <c r="K18" s="176">
        <f>SUMIFS(Database!$G:$G,Database!$E:$E,Lookup!$C$3,Database!$C:$C,Lookup!K$5,Database!$F:$F,Lookup!$C18,Database!$D:$D,Lookup!$B$3)</f>
        <v>0</v>
      </c>
      <c r="L18" s="176">
        <f>SUMIFS(Database!$G:$G,Database!$E:$E,Lookup!$C$3,Database!$C:$C,Lookup!L$5,Database!$F:$F,Lookup!$C18,Database!$D:$D,Lookup!$B$3)</f>
        <v>0</v>
      </c>
      <c r="M18" s="176">
        <f>SUMIFS(Database!$G:$G,Database!$E:$E,Lookup!$C$3,Database!$C:$C,Lookup!M$5,Database!$F:$F,Lookup!$C18,Database!$D:$D,Lookup!$B$3)</f>
        <v>0</v>
      </c>
      <c r="N18" s="176">
        <f>SUMIFS(Database!$G:$G,Database!$E:$E,Lookup!$C$3,Database!$C:$C,Lookup!N$5,Database!$F:$F,Lookup!$C18,Database!$D:$D,Lookup!$B$3)</f>
        <v>0</v>
      </c>
      <c r="O18" s="176">
        <f>SUMIFS(Database!$G:$G,Database!$E:$E,Lookup!$C$3,Database!$C:$C,Lookup!O$5,Database!$F:$F,Lookup!$C18,Database!$D:$D,Lookup!$B$3)</f>
        <v>0</v>
      </c>
      <c r="P18" s="176">
        <f>SUMIFS(Database!$G:$G,Database!$E:$E,Lookup!$C$3,Database!$C:$C,Lookup!P$5,Database!$F:$F,Lookup!$C18,Database!$D:$D,Lookup!$B$3)</f>
        <v>0</v>
      </c>
      <c r="Q18" s="176">
        <f>SUMIFS(Database!$G:$G,Database!$E:$E,Lookup!$C$3,Database!$C:$C,Lookup!Q$5,Database!$F:$F,Lookup!$C18,Database!$D:$D,Lookup!$B$3)</f>
        <v>0</v>
      </c>
      <c r="R18" s="176">
        <f>SUMIFS(Database!$G:$G,Database!$E:$E,Lookup!$C$3,Database!$C:$C,Lookup!R$5,Database!$F:$F,Lookup!$C18,Database!$D:$D,Lookup!$B$3)</f>
        <v>0</v>
      </c>
      <c r="S18" s="176">
        <f>SUMIFS(Database!$G:$G,Database!$E:$E,Lookup!$C$3,Database!$C:$C,Lookup!S$5,Database!$F:$F,Lookup!$C18,Database!$D:$D,Lookup!$B$3)</f>
        <v>0</v>
      </c>
      <c r="T18" s="176">
        <f>SUMIFS(Database!$G:$G,Database!$E:$E,Lookup!$C$3,Database!$C:$C,Lookup!T$5,Database!$F:$F,Lookup!$C18,Database!$D:$D,Lookup!$B$3)</f>
        <v>0</v>
      </c>
      <c r="U18" s="176">
        <f>SUMIFS(Database!$G:$G,Database!$E:$E,Lookup!$C$3,Database!$C:$C,Lookup!U$5,Database!$F:$F,Lookup!$C18,Database!$D:$D,Lookup!$B$3)</f>
        <v>0</v>
      </c>
      <c r="V18" s="176">
        <f>SUMIFS(Database!$G:$G,Database!$E:$E,Lookup!$C$3,Database!$C:$C,Lookup!V$5,Database!$F:$F,Lookup!$C18,Database!$D:$D,Lookup!$B$3)</f>
        <v>0</v>
      </c>
      <c r="W18" s="176">
        <f>SUMIFS(Database!$G:$G,Database!$E:$E,Lookup!$C$3,Database!$C:$C,Lookup!W$5,Database!$F:$F,Lookup!$C18,Database!$D:$D,Lookup!$B$3)</f>
        <v>0</v>
      </c>
      <c r="X18" s="176">
        <f>SUMIFS(Database!$G:$G,Database!$E:$E,Lookup!$C$3,Database!$C:$C,Lookup!X$5,Database!$F:$F,Lookup!$C18,Database!$D:$D,Lookup!$B$3)</f>
        <v>0</v>
      </c>
      <c r="Y18" s="176">
        <f>SUMIFS(Database!$G:$G,Database!$E:$E,Lookup!$C$3,Database!$C:$C,Lookup!Y$5,Database!$F:$F,Lookup!$C18,Database!$D:$D,Lookup!$B$3)</f>
        <v>0</v>
      </c>
      <c r="Z18" s="176">
        <f>SUMIFS(Database!$G:$G,Database!$E:$E,Lookup!$C$3,Database!$C:$C,Lookup!Z$5,Database!$F:$F,Lookup!$C18,Database!$D:$D,Lookup!$B$3)</f>
        <v>0</v>
      </c>
      <c r="AA18" s="176">
        <f>SUMIFS(Database!$G:$G,Database!$E:$E,Lookup!$C$3,Database!$C:$C,Lookup!AA$5,Database!$F:$F,Lookup!$C18,Database!$D:$D,Lookup!$B$3)</f>
        <v>0</v>
      </c>
      <c r="AB18" s="176">
        <f>SUMIFS(Database!$G:$G,Database!$E:$E,Lookup!$C$3,Database!$C:$C,Lookup!AB$5,Database!$F:$F,Lookup!$C18,Database!$D:$D,Lookup!$B$3)</f>
        <v>0</v>
      </c>
      <c r="AC18" s="176">
        <f>SUMIFS(Database!$G:$G,Database!$E:$E,Lookup!$C$3,Database!$C:$C,Lookup!AC$5,Database!$F:$F,Lookup!$C18,Database!$D:$D,Lookup!$B$3)</f>
        <v>0</v>
      </c>
      <c r="AD18" s="176">
        <f>SUMIFS(Database!$G:$G,Database!$E:$E,Lookup!$C$3,Database!$C:$C,Lookup!AD$5,Database!$F:$F,Lookup!$C18,Database!$D:$D,Lookup!$B$3)</f>
        <v>0</v>
      </c>
      <c r="AE18" s="176">
        <f>SUMIFS(Database!$G:$G,Database!$E:$E,Lookup!$C$3,Database!$C:$C,Lookup!AE$5,Database!$F:$F,Lookup!$C18,Database!$D:$D,Lookup!$B$3)</f>
        <v>0</v>
      </c>
      <c r="AF18" s="176">
        <f>SUMIFS(Database!$G:$G,Database!$E:$E,Lookup!$C$3,Database!$C:$C,Lookup!AF$5,Database!$F:$F,Lookup!$C18,Database!$D:$D,Lookup!$B$3)</f>
        <v>0</v>
      </c>
      <c r="AG18" s="176">
        <f>SUMIFS(Database!$G:$G,Database!$E:$E,Lookup!$C$3,Database!$C:$C,Lookup!AG$5,Database!$F:$F,Lookup!$C18,Database!$D:$D,Lookup!$B$3)</f>
        <v>0</v>
      </c>
      <c r="AH18" s="176">
        <f>SUMIFS(Database!$G:$G,Database!$E:$E,Lookup!$C$3,Database!$C:$C,Lookup!AH$5,Database!$F:$F,Lookup!$C18,Database!$D:$D,Lookup!$B$3)</f>
        <v>0</v>
      </c>
      <c r="AI18" s="176">
        <f>SUMIFS(Database!$G:$G,Database!$E:$E,Lookup!$C$3,Database!$C:$C,Lookup!AI$5,Database!$F:$F,Lookup!$C18,Database!$D:$D,Lookup!$B$3)</f>
        <v>0</v>
      </c>
      <c r="AJ18" s="176">
        <f>SUMIFS(Database!$G:$G,Database!$E:$E,Lookup!$C$3,Database!$C:$C,Lookup!AJ$5,Database!$F:$F,Lookup!$C18,Database!$D:$D,Lookup!$B$3)</f>
        <v>0</v>
      </c>
      <c r="AK18" s="176">
        <f>SUMIFS(Database!$G:$G,Database!$E:$E,Lookup!$C$3,Database!$C:$C,Lookup!AK$5,Database!$F:$F,Lookup!$C18,Database!$D:$D,Lookup!$B$3)</f>
        <v>0</v>
      </c>
      <c r="AL18" s="176">
        <f>SUMIFS(Database!$G:$G,Database!$E:$E,Lookup!$C$3,Database!$C:$C,Lookup!AL$5,Database!$F:$F,Lookup!$C18,Database!$D:$D,Lookup!$B$3)</f>
        <v>0</v>
      </c>
      <c r="AM18" s="176">
        <f>SUMIFS(Database!$G:$G,Database!$E:$E,Lookup!$C$3,Database!$C:$C,Lookup!AM$5,Database!$F:$F,Lookup!$C18,Database!$D:$D,Lookup!$B$3)</f>
        <v>496</v>
      </c>
      <c r="AN18" s="176">
        <f>SUMIFS(Database!$G:$G,Database!$E:$E,Lookup!$C$3,Database!$C:$C,Lookup!AN$5,Database!$F:$F,Lookup!$C18,Database!$D:$D,Lookup!$B$3)</f>
        <v>124</v>
      </c>
      <c r="AO18" s="176">
        <f>SUMIFS(Database!$G:$G,Database!$E:$E,Lookup!$C$3,Database!$C:$C,Lookup!AO$5,Database!$F:$F,Lookup!$C18,Database!$D:$D,Lookup!$B$3)</f>
        <v>0</v>
      </c>
      <c r="AP18" s="176">
        <f>SUMIFS(Database!$G:$G,Database!$E:$E,Lookup!$C$3,Database!$C:$C,Lookup!AP$5,Database!$F:$F,Lookup!$C18,Database!$D:$D,Lookup!$B$3)</f>
        <v>105</v>
      </c>
      <c r="AQ18" s="176">
        <f>SUMIFS(Database!$G:$G,Database!$E:$E,Lookup!$C$3,Database!$C:$C,Lookup!AQ$5,Database!$F:$F,Lookup!$C18,Database!$D:$D,Lookup!$B$3)</f>
        <v>28</v>
      </c>
      <c r="AR18" s="176">
        <f>SUMIFS(Database!$G:$G,Database!$E:$E,Lookup!$C$3,Database!$C:$C,Lookup!AR$5,Database!$F:$F,Lookup!$C18,Database!$D:$D,Lookup!$B$3)</f>
        <v>548</v>
      </c>
      <c r="AS18" s="176">
        <f>SUMIFS(Database!$G:$G,Database!$E:$E,Lookup!$C$3,Database!$C:$C,Lookup!AS$5,Database!$F:$F,Lookup!$C18,Database!$D:$D,Lookup!$B$3)</f>
        <v>464</v>
      </c>
      <c r="AT18" s="176">
        <f>SUMIFS(Database!$G:$G,Database!$E:$E,Lookup!$C$3,Database!$C:$C,Lookup!AT$5,Database!$F:$F,Lookup!$C18,Database!$D:$D,Lookup!$B$3)</f>
        <v>0</v>
      </c>
      <c r="AU18" s="176">
        <f>SUMIFS(Database!$G:$G,Database!$E:$E,Lookup!$C$3,Database!$C:$C,Lookup!AU$5,Database!$F:$F,Lookup!$C18,Database!$D:$D,Lookup!$B$3)</f>
        <v>80</v>
      </c>
      <c r="AV18" s="176">
        <f>SUMIFS(Database!$G:$G,Database!$E:$E,Lookup!$C$3,Database!$C:$C,Lookup!AV$5,Database!$F:$F,Lookup!$C18,Database!$D:$D,Lookup!$B$3)</f>
        <v>515</v>
      </c>
      <c r="AW18" s="176">
        <f>SUMIFS(Database!$G:$G,Database!$E:$E,Lookup!$C$3,Database!$C:$C,Lookup!AW$5,Database!$F:$F,Lookup!$C18,Database!$D:$D,Lookup!$B$3)</f>
        <v>1119</v>
      </c>
      <c r="AX18" s="176">
        <f>SUMIFS(Database!$G:$G,Database!$E:$E,Lookup!$C$3,Database!$C:$C,Lookup!AX$5,Database!$F:$F,Lookup!$C18,Database!$D:$D,Lookup!$B$3)</f>
        <v>492</v>
      </c>
      <c r="AY18" s="176">
        <f>SUMIFS(Database!$G:$G,Database!$E:$E,Lookup!$C$3,Database!$C:$C,Lookup!AY$5,Database!$F:$F,Lookup!$C18,Database!$D:$D,Lookup!$B$3)</f>
        <v>50</v>
      </c>
      <c r="AZ18" s="176">
        <f>SUMIFS(Database!$G:$G,Database!$E:$E,Lookup!$C$3,Database!$C:$C,Lookup!AZ$5,Database!$F:$F,Lookup!$C18,Database!$D:$D,Lookup!$B$3)</f>
        <v>562</v>
      </c>
      <c r="BA18" s="176">
        <f>SUMIFS(Database!$G:$G,Database!$E:$E,Lookup!$C$3,Database!$C:$C,Lookup!BA$5,Database!$F:$F,Lookup!$C18,Database!$D:$D,Lookup!$B$3)</f>
        <v>411</v>
      </c>
      <c r="BB18" s="176">
        <f>SUMIFS(Database!$G:$G,Database!$E:$E,Lookup!$C$3,Database!$C:$C,Lookup!BB$5,Database!$F:$F,Lookup!$C18,Database!$D:$D,Lookup!$B$3)</f>
        <v>4240</v>
      </c>
      <c r="BC18" s="176">
        <f>SUMIFS(Database!$G:$G,Database!$E:$E,Lookup!$C$3,Database!$C:$C,Lookup!BC$5,Database!$F:$F,Lookup!$C18,Database!$D:$D,Lookup!$B$3)</f>
        <v>5995</v>
      </c>
      <c r="BD18" s="176">
        <f>SUMIFS(Database!$G:$G,Database!$E:$E,Lookup!$C$3,Database!$C:$C,Lookup!BD$5,Database!$F:$F,Lookup!$C18,Database!$D:$D,Lookup!$B$3)</f>
        <v>2428</v>
      </c>
      <c r="BE18" s="176">
        <f>SUMIFS(Database!$G:$G,Database!$E:$E,Lookup!$C$3,Database!$C:$C,Lookup!BE$5,Database!$F:$F,Lookup!$C18,Database!$D:$D,Lookup!$B$3)</f>
        <v>3012</v>
      </c>
      <c r="BF18" s="176">
        <f>SUMIFS(Database!$G:$G,Database!$E:$E,Lookup!$C$3,Database!$C:$C,Lookup!BF$5,Database!$F:$F,Lookup!$C18,Database!$D:$D,Lookup!$B$3)</f>
        <v>963</v>
      </c>
      <c r="BG18" s="176">
        <f>SUMIFS(Database!$G:$G,Database!$E:$E,Lookup!$C$3,Database!$C:$C,Lookup!BG$5,Database!$F:$F,Lookup!$C18,Database!$D:$D,Lookup!$B$3)</f>
        <v>1260</v>
      </c>
      <c r="BH18" s="176">
        <f>SUMIFS(Database!$G:$G,Database!$E:$E,Lookup!$C$3,Database!$C:$C,Lookup!BH$5,Database!$F:$F,Lookup!$C18,Database!$D:$D,Lookup!$B$3)</f>
        <v>611</v>
      </c>
      <c r="BI18" s="176">
        <f>SUMIFS(Database!$G:$G,Database!$E:$E,Lookup!$C$3,Database!$C:$C,Lookup!BI$5,Database!$F:$F,Lookup!$C18,Database!$D:$D,Lookup!$B$3)</f>
        <v>246</v>
      </c>
      <c r="BJ18" s="176">
        <f>SUMIFS(Database!$G:$G,Database!$E:$E,Lookup!$C$3,Database!$C:$C,Lookup!BJ$5,Database!$F:$F,Lookup!$C18,Database!$D:$D,Lookup!$B$3)</f>
        <v>0</v>
      </c>
      <c r="BK18" s="176">
        <f>SUMIFS(Database!$G:$G,Database!$E:$E,Lookup!$C$3,Database!$C:$C,Lookup!BK$5,Database!$F:$F,Lookup!$C18,Database!$D:$D,Lookup!$B$3)</f>
        <v>3108</v>
      </c>
      <c r="BL18" s="176">
        <f>SUMIFS(Database!$G:$G,Database!$E:$E,Lookup!$C$3,Database!$C:$C,Lookup!BL$5,Database!$F:$F,Lookup!$C18,Database!$D:$D,Lookup!$B$3)</f>
        <v>2682</v>
      </c>
      <c r="BM18" s="176">
        <f>SUMIFS(Database!$G:$G,Database!$E:$E,Lookup!$C$3,Database!$C:$C,Lookup!BM$5,Database!$F:$F,Lookup!$C18,Database!$D:$D,Lookup!$B$3)</f>
        <v>0</v>
      </c>
      <c r="BN18" s="176">
        <f>SUMIFS(Database!$G:$G,Database!$E:$E,Lookup!$C$3,Database!$C:$C,Lookup!BN$5,Database!$F:$F,Lookup!$C18,Database!$D:$D,Lookup!$B$3)</f>
        <v>0</v>
      </c>
      <c r="BO18" s="176">
        <f>SUMIFS(Database!$G:$G,Database!$E:$E,Lookup!$C$3,Database!$C:$C,Lookup!BO$5,Database!$F:$F,Lookup!$C18,Database!$D:$D,Lookup!$B$3)</f>
        <v>616</v>
      </c>
      <c r="BP18" s="176">
        <f>SUMIFS(Database!$G:$G,Database!$E:$E,Lookup!$C$3,Database!$C:$C,Lookup!BP$5,Database!$F:$F,Lookup!$C18,Database!$D:$D,Lookup!$B$3)</f>
        <v>0</v>
      </c>
      <c r="BQ18" s="176">
        <f>SUMIFS(Database!$G:$G,Database!$E:$E,Lookup!$C$3,Database!$C:$C,Lookup!BQ$5,Database!$F:$F,Lookup!$C18,Database!$D:$D,Lookup!$B$3)</f>
        <v>0</v>
      </c>
      <c r="BR18" s="176">
        <f>SUMIFS(Database!$G:$G,Database!$E:$E,Lookup!$C$3,Database!$C:$C,Lookup!BR$5,Database!$F:$F,Lookup!$C18,Database!$D:$D,Lookup!$B$3)</f>
        <v>0</v>
      </c>
      <c r="BS18" s="176">
        <f>SUMIFS(Database!$G:$G,Database!$E:$E,Lookup!$C$3,Database!$C:$C,Lookup!BS$5,Database!$F:$F,Lookup!$C18,Database!$D:$D,Lookup!$B$3)</f>
        <v>0</v>
      </c>
      <c r="BT18" s="176">
        <f>SUMIFS(Database!$G:$G,Database!$E:$E,Lookup!$C$3,Database!$C:$C,Lookup!BT$5,Database!$F:$F,Lookup!$C18,Database!$D:$D,Lookup!$B$3)</f>
        <v>0</v>
      </c>
      <c r="BU18" s="176">
        <f>SUMIFS(Database!$G:$G,Database!$E:$E,Lookup!$C$3,Database!$C:$C,Lookup!BU$5,Database!$F:$F,Lookup!$C18,Database!$D:$D,Lookup!$B$3)</f>
        <v>0</v>
      </c>
      <c r="BV18" s="176">
        <f>SUMIFS(Database!$G:$G,Database!$E:$E,Lookup!$C$3,Database!$C:$C,Lookup!BV$5,Database!$F:$F,Lookup!$C18,Database!$D:$D,Lookup!$B$3)</f>
        <v>0</v>
      </c>
      <c r="BW18" s="176">
        <f>SUMIFS(Database!$G:$G,Database!$E:$E,Lookup!$C$3,Database!$C:$C,Lookup!BW$5,Database!$F:$F,Lookup!$C18,Database!$D:$D,Lookup!$B$3)</f>
        <v>0</v>
      </c>
      <c r="BX18" s="176">
        <f>SUMIFS(Database!$G:$G,Database!$E:$E,Lookup!$C$3,Database!$C:$C,Lookup!BX$5,Database!$F:$F,Lookup!$C18,Database!$D:$D,Lookup!$B$3)</f>
        <v>0</v>
      </c>
      <c r="BY18" s="176">
        <f>SUMIFS(Database!$G:$G,Database!$E:$E,Lookup!$C$3,Database!$C:$C,Lookup!BY$5,Database!$F:$F,Lookup!$C18,Database!$D:$D,Lookup!$B$3)</f>
        <v>0</v>
      </c>
      <c r="BZ18" s="176">
        <f>SUMIFS(Database!$G:$G,Database!$E:$E,Lookup!$C$3,Database!$C:$C,Lookup!BZ$5,Database!$F:$F,Lookup!$C18,Database!$D:$D,Lookup!$B$3)</f>
        <v>0</v>
      </c>
      <c r="CA18" s="176">
        <f>SUMIFS(Database!$G:$G,Database!$E:$E,Lookup!$C$3,Database!$C:$C,Lookup!CA$5,Database!$F:$F,Lookup!$C18,Database!$D:$D,Lookup!$B$3)</f>
        <v>0</v>
      </c>
      <c r="CB18" s="176">
        <f>SUMIFS(Database!$G:$G,Database!$E:$E,Lookup!$C$3,Database!$C:$C,Lookup!CB$5,Database!$F:$F,Lookup!$C18,Database!$D:$D,Lookup!$B$3)</f>
        <v>0</v>
      </c>
      <c r="CC18" s="176">
        <f>SUMIFS(Database!$G:$G,Database!$E:$E,Lookup!$C$3,Database!$C:$C,Lookup!CC$5,Database!$F:$F,Lookup!$C18,Database!$D:$D,Lookup!$B$3)</f>
        <v>0</v>
      </c>
      <c r="CD18" s="176">
        <f>SUMIFS(Database!$G:$G,Database!$E:$E,Lookup!$C$3,Database!$C:$C,Lookup!CD$5,Database!$F:$F,Lookup!$C18,Database!$D:$D,Lookup!$B$3)</f>
        <v>0</v>
      </c>
      <c r="CE18" s="176">
        <f>SUMIFS(Database!$G:$G,Database!$E:$E,Lookup!$C$3,Database!$C:$C,Lookup!CE$5,Database!$F:$F,Lookup!$C18,Database!$D:$D,Lookup!$B$3)</f>
        <v>0</v>
      </c>
      <c r="CF18" s="176">
        <f>SUMIFS(Database!$G:$G,Database!$E:$E,Lookup!$C$3,Database!$C:$C,Lookup!CF$5,Database!$F:$F,Lookup!$C18,Database!$D:$D,Lookup!$B$3)</f>
        <v>0</v>
      </c>
      <c r="CG18" s="176">
        <f>SUMIFS(Database!$G:$G,Database!$E:$E,Lookup!$C$3,Database!$C:$C,Lookup!CG$5,Database!$F:$F,Lookup!$C18,Database!$D:$D,Lookup!$B$3)</f>
        <v>0</v>
      </c>
      <c r="CH18" s="176">
        <f>SUMIFS(Database!$G:$G,Database!$E:$E,Lookup!$C$3,Database!$C:$C,Lookup!CH$5,Database!$F:$F,Lookup!$C18,Database!$D:$D,Lookup!$B$3)</f>
        <v>0</v>
      </c>
      <c r="CI18" s="176">
        <f>SUMIFS(Database!$G:$G,Database!$E:$E,Lookup!$C$3,Database!$C:$C,Lookup!CI$5,Database!$F:$F,Lookup!$C18,Database!$D:$D,Lookup!$B$3)</f>
        <v>0</v>
      </c>
      <c r="CJ18" s="176">
        <f>SUMIFS(Database!$G:$G,Database!$E:$E,Lookup!$C$3,Database!$C:$C,Lookup!CJ$5,Database!$F:$F,Lookup!$C18,Database!$D:$D,Lookup!$B$3)</f>
        <v>0</v>
      </c>
      <c r="CK18" s="176">
        <f>SUMIFS(Database!$G:$G,Database!$E:$E,Lookup!$C$3,Database!$C:$C,Lookup!CK$5,Database!$F:$F,Lookup!$C18,Database!$D:$D,Lookup!$B$3)</f>
        <v>0</v>
      </c>
      <c r="CL18" s="176">
        <f>SUMIFS(Database!$G:$G,Database!$E:$E,Lookup!$C$3,Database!$C:$C,Lookup!CL$5,Database!$F:$F,Lookup!$C18,Database!$D:$D,Lookup!$B$3)</f>
        <v>0</v>
      </c>
      <c r="CM18" s="176">
        <f>SUMIFS(Database!$G:$G,Database!$E:$E,Lookup!$C$3,Database!$C:$C,Lookup!CM$5,Database!$F:$F,Lookup!$C18,Database!$D:$D,Lookup!$B$3)</f>
        <v>0</v>
      </c>
      <c r="CN18" s="176">
        <f>SUMIFS(Database!$G:$G,Database!$E:$E,Lookup!$C$3,Database!$C:$C,Lookup!CN$5,Database!$F:$F,Lookup!$C18,Database!$D:$D,Lookup!$B$3)</f>
        <v>0</v>
      </c>
      <c r="CO18" s="176">
        <f>SUMIFS(Database!$G:$G,Database!$E:$E,Lookup!$C$3,Database!$C:$C,Lookup!CO$5,Database!$F:$F,Lookup!$C18,Database!$D:$D,Lookup!$B$3)</f>
        <v>0</v>
      </c>
      <c r="CP18" s="176">
        <f>SUMIFS(Database!$G:$G,Database!$E:$E,Lookup!$C$3,Database!$C:$C,Lookup!CP$5,Database!$F:$F,Lookup!$C18,Database!$D:$D,Lookup!$B$3)</f>
        <v>0</v>
      </c>
      <c r="CQ18" s="176">
        <f>SUMIFS(Database!$G:$G,Database!$E:$E,Lookup!$C$3,Database!$C:$C,Lookup!CQ$5,Database!$F:$F,Lookup!$C18,Database!$D:$D,Lookup!$B$3)</f>
        <v>0</v>
      </c>
      <c r="CR18" s="176">
        <f>SUMIFS(Database!$G:$G,Database!$E:$E,Lookup!$C$3,Database!$C:$C,Lookup!CR$5,Database!$F:$F,Lookup!$C18,Database!$D:$D,Lookup!$B$3)</f>
        <v>0</v>
      </c>
      <c r="CS18" s="176">
        <f>SUMIFS(Database!$G:$G,Database!$E:$E,Lookup!$C$3,Database!$C:$C,Lookup!CS$5,Database!$F:$F,Lookup!$C18,Database!$D:$D,Lookup!$B$3)</f>
        <v>0</v>
      </c>
      <c r="CT18" s="176">
        <f>SUMIFS(Database!$G:$G,Database!$E:$E,Lookup!$C$3,Database!$C:$C,Lookup!CT$5,Database!$F:$F,Lookup!$C18,Database!$D:$D,Lookup!$B$3)</f>
        <v>0</v>
      </c>
      <c r="CU18" s="176">
        <f>SUMIFS(Database!$G:$G,Database!$E:$E,Lookup!$C$3,Database!$C:$C,Lookup!CU$5,Database!$F:$F,Lookup!$C18,Database!$D:$D,Lookup!$B$3)</f>
        <v>0</v>
      </c>
      <c r="CV18" s="177">
        <f>SUMIFS(Database!$G:$G,Database!$E:$E,Lookup!$C$3,Database!$C:$C,Lookup!CV$5,Database!$F:$F,Lookup!$C18,Database!$D:$D,Lookup!$B$3)</f>
        <v>0</v>
      </c>
    </row>
    <row r="19" spans="3:100" x14ac:dyDescent="0.25">
      <c r="C19" s="217" t="s">
        <v>11</v>
      </c>
      <c r="D19" s="222"/>
      <c r="E19" s="228">
        <f>SUMIFS(Database!$G:$G,Database!$E:$E,Lookup!$C$3,Database!$C:$C,Lookup!E$5,Database!$F:$F,Lookup!$C19,Database!$D:$D,Lookup!$B$3)</f>
        <v>0</v>
      </c>
      <c r="F19" s="176">
        <f>SUMIFS(Database!$G:$G,Database!$E:$E,Lookup!$C$3,Database!$C:$C,Lookup!F$5,Database!$F:$F,Lookup!$C19,Database!$D:$D,Lookup!$B$3)</f>
        <v>0</v>
      </c>
      <c r="G19" s="176">
        <f>SUMIFS(Database!$G:$G,Database!$E:$E,Lookup!$C$3,Database!$C:$C,Lookup!G$5,Database!$F:$F,Lookup!$C19,Database!$D:$D,Lookup!$B$3)</f>
        <v>0</v>
      </c>
      <c r="H19" s="176">
        <f>SUMIFS(Database!$G:$G,Database!$E:$E,Lookup!$C$3,Database!$C:$C,Lookup!H$5,Database!$F:$F,Lookup!$C19,Database!$D:$D,Lookup!$B$3)</f>
        <v>0</v>
      </c>
      <c r="I19" s="176">
        <f>SUMIFS(Database!$G:$G,Database!$E:$E,Lookup!$C$3,Database!$C:$C,Lookup!I$5,Database!$F:$F,Lookup!$C19,Database!$D:$D,Lookup!$B$3)</f>
        <v>0</v>
      </c>
      <c r="J19" s="176">
        <f>SUMIFS(Database!$G:$G,Database!$E:$E,Lookup!$C$3,Database!$C:$C,Lookup!J$5,Database!$F:$F,Lookup!$C19,Database!$D:$D,Lookup!$B$3)</f>
        <v>0</v>
      </c>
      <c r="K19" s="176">
        <f>SUMIFS(Database!$G:$G,Database!$E:$E,Lookup!$C$3,Database!$C:$C,Lookup!K$5,Database!$F:$F,Lookup!$C19,Database!$D:$D,Lookup!$B$3)</f>
        <v>0</v>
      </c>
      <c r="L19" s="176">
        <f>SUMIFS(Database!$G:$G,Database!$E:$E,Lookup!$C$3,Database!$C:$C,Lookup!L$5,Database!$F:$F,Lookup!$C19,Database!$D:$D,Lookup!$B$3)</f>
        <v>0</v>
      </c>
      <c r="M19" s="176">
        <f>SUMIFS(Database!$G:$G,Database!$E:$E,Lookup!$C$3,Database!$C:$C,Lookup!M$5,Database!$F:$F,Lookup!$C19,Database!$D:$D,Lookup!$B$3)</f>
        <v>0</v>
      </c>
      <c r="N19" s="176">
        <f>SUMIFS(Database!$G:$G,Database!$E:$E,Lookup!$C$3,Database!$C:$C,Lookup!N$5,Database!$F:$F,Lookup!$C19,Database!$D:$D,Lookup!$B$3)</f>
        <v>0</v>
      </c>
      <c r="O19" s="176">
        <f>SUMIFS(Database!$G:$G,Database!$E:$E,Lookup!$C$3,Database!$C:$C,Lookup!O$5,Database!$F:$F,Lookup!$C19,Database!$D:$D,Lookup!$B$3)</f>
        <v>0</v>
      </c>
      <c r="P19" s="176">
        <f>SUMIFS(Database!$G:$G,Database!$E:$E,Lookup!$C$3,Database!$C:$C,Lookup!P$5,Database!$F:$F,Lookup!$C19,Database!$D:$D,Lookup!$B$3)</f>
        <v>0</v>
      </c>
      <c r="Q19" s="176">
        <f>SUMIFS(Database!$G:$G,Database!$E:$E,Lookup!$C$3,Database!$C:$C,Lookup!Q$5,Database!$F:$F,Lookup!$C19,Database!$D:$D,Lookup!$B$3)</f>
        <v>0</v>
      </c>
      <c r="R19" s="176">
        <f>SUMIFS(Database!$G:$G,Database!$E:$E,Lookup!$C$3,Database!$C:$C,Lookup!R$5,Database!$F:$F,Lookup!$C19,Database!$D:$D,Lookup!$B$3)</f>
        <v>0</v>
      </c>
      <c r="S19" s="176">
        <f>SUMIFS(Database!$G:$G,Database!$E:$E,Lookup!$C$3,Database!$C:$C,Lookup!S$5,Database!$F:$F,Lookup!$C19,Database!$D:$D,Lookup!$B$3)</f>
        <v>0</v>
      </c>
      <c r="T19" s="176">
        <f>SUMIFS(Database!$G:$G,Database!$E:$E,Lookup!$C$3,Database!$C:$C,Lookup!T$5,Database!$F:$F,Lookup!$C19,Database!$D:$D,Lookup!$B$3)</f>
        <v>0</v>
      </c>
      <c r="U19" s="176">
        <f>SUMIFS(Database!$G:$G,Database!$E:$E,Lookup!$C$3,Database!$C:$C,Lookup!U$5,Database!$F:$F,Lookup!$C19,Database!$D:$D,Lookup!$B$3)</f>
        <v>0</v>
      </c>
      <c r="V19" s="176">
        <f>SUMIFS(Database!$G:$G,Database!$E:$E,Lookup!$C$3,Database!$C:$C,Lookup!V$5,Database!$F:$F,Lookup!$C19,Database!$D:$D,Lookup!$B$3)</f>
        <v>0</v>
      </c>
      <c r="W19" s="176">
        <f>SUMIFS(Database!$G:$G,Database!$E:$E,Lookup!$C$3,Database!$C:$C,Lookup!W$5,Database!$F:$F,Lookup!$C19,Database!$D:$D,Lookup!$B$3)</f>
        <v>0</v>
      </c>
      <c r="X19" s="176">
        <f>SUMIFS(Database!$G:$G,Database!$E:$E,Lookup!$C$3,Database!$C:$C,Lookup!X$5,Database!$F:$F,Lookup!$C19,Database!$D:$D,Lookup!$B$3)</f>
        <v>0</v>
      </c>
      <c r="Y19" s="176">
        <f>SUMIFS(Database!$G:$G,Database!$E:$E,Lookup!$C$3,Database!$C:$C,Lookup!Y$5,Database!$F:$F,Lookup!$C19,Database!$D:$D,Lookup!$B$3)</f>
        <v>0</v>
      </c>
      <c r="Z19" s="176">
        <f>SUMIFS(Database!$G:$G,Database!$E:$E,Lookup!$C$3,Database!$C:$C,Lookup!Z$5,Database!$F:$F,Lookup!$C19,Database!$D:$D,Lookup!$B$3)</f>
        <v>0</v>
      </c>
      <c r="AA19" s="176">
        <f>SUMIFS(Database!$G:$G,Database!$E:$E,Lookup!$C$3,Database!$C:$C,Lookup!AA$5,Database!$F:$F,Lookup!$C19,Database!$D:$D,Lookup!$B$3)</f>
        <v>0</v>
      </c>
      <c r="AB19" s="176">
        <f>SUMIFS(Database!$G:$G,Database!$E:$E,Lookup!$C$3,Database!$C:$C,Lookup!AB$5,Database!$F:$F,Lookup!$C19,Database!$D:$D,Lookup!$B$3)</f>
        <v>0</v>
      </c>
      <c r="AC19" s="176">
        <f>SUMIFS(Database!$G:$G,Database!$E:$E,Lookup!$C$3,Database!$C:$C,Lookup!AC$5,Database!$F:$F,Lookup!$C19,Database!$D:$D,Lookup!$B$3)</f>
        <v>0</v>
      </c>
      <c r="AD19" s="176">
        <f>SUMIFS(Database!$G:$G,Database!$E:$E,Lookup!$C$3,Database!$C:$C,Lookup!AD$5,Database!$F:$F,Lookup!$C19,Database!$D:$D,Lookup!$B$3)</f>
        <v>0</v>
      </c>
      <c r="AE19" s="176">
        <f>SUMIFS(Database!$G:$G,Database!$E:$E,Lookup!$C$3,Database!$C:$C,Lookup!AE$5,Database!$F:$F,Lookup!$C19,Database!$D:$D,Lookup!$B$3)</f>
        <v>0</v>
      </c>
      <c r="AF19" s="176">
        <f>SUMIFS(Database!$G:$G,Database!$E:$E,Lookup!$C$3,Database!$C:$C,Lookup!AF$5,Database!$F:$F,Lookup!$C19,Database!$D:$D,Lookup!$B$3)</f>
        <v>0</v>
      </c>
      <c r="AG19" s="176">
        <f>SUMIFS(Database!$G:$G,Database!$E:$E,Lookup!$C$3,Database!$C:$C,Lookup!AG$5,Database!$F:$F,Lookup!$C19,Database!$D:$D,Lookup!$B$3)</f>
        <v>0</v>
      </c>
      <c r="AH19" s="176">
        <f>SUMIFS(Database!$G:$G,Database!$E:$E,Lookup!$C$3,Database!$C:$C,Lookup!AH$5,Database!$F:$F,Lookup!$C19,Database!$D:$D,Lookup!$B$3)</f>
        <v>0</v>
      </c>
      <c r="AI19" s="176">
        <f>SUMIFS(Database!$G:$G,Database!$E:$E,Lookup!$C$3,Database!$C:$C,Lookup!AI$5,Database!$F:$F,Lookup!$C19,Database!$D:$D,Lookup!$B$3)</f>
        <v>0</v>
      </c>
      <c r="AJ19" s="176">
        <f>SUMIFS(Database!$G:$G,Database!$E:$E,Lookup!$C$3,Database!$C:$C,Lookup!AJ$5,Database!$F:$F,Lookup!$C19,Database!$D:$D,Lookup!$B$3)</f>
        <v>0</v>
      </c>
      <c r="AK19" s="176">
        <f>SUMIFS(Database!$G:$G,Database!$E:$E,Lookup!$C$3,Database!$C:$C,Lookup!AK$5,Database!$F:$F,Lookup!$C19,Database!$D:$D,Lookup!$B$3)</f>
        <v>0</v>
      </c>
      <c r="AL19" s="176">
        <f>SUMIFS(Database!$G:$G,Database!$E:$E,Lookup!$C$3,Database!$C:$C,Lookup!AL$5,Database!$F:$F,Lookup!$C19,Database!$D:$D,Lookup!$B$3)</f>
        <v>15449</v>
      </c>
      <c r="AM19" s="176">
        <f>SUMIFS(Database!$G:$G,Database!$E:$E,Lookup!$C$3,Database!$C:$C,Lookup!AM$5,Database!$F:$F,Lookup!$C19,Database!$D:$D,Lookup!$B$3)</f>
        <v>0</v>
      </c>
      <c r="AN19" s="176">
        <f>SUMIFS(Database!$G:$G,Database!$E:$E,Lookup!$C$3,Database!$C:$C,Lookup!AN$5,Database!$F:$F,Lookup!$C19,Database!$D:$D,Lookup!$B$3)</f>
        <v>0</v>
      </c>
      <c r="AO19" s="176">
        <f>SUMIFS(Database!$G:$G,Database!$E:$E,Lookup!$C$3,Database!$C:$C,Lookup!AO$5,Database!$F:$F,Lookup!$C19,Database!$D:$D,Lookup!$B$3)</f>
        <v>0</v>
      </c>
      <c r="AP19" s="176">
        <f>SUMIFS(Database!$G:$G,Database!$E:$E,Lookup!$C$3,Database!$C:$C,Lookup!AP$5,Database!$F:$F,Lookup!$C19,Database!$D:$D,Lookup!$B$3)</f>
        <v>0</v>
      </c>
      <c r="AQ19" s="176">
        <f>SUMIFS(Database!$G:$G,Database!$E:$E,Lookup!$C$3,Database!$C:$C,Lookup!AQ$5,Database!$F:$F,Lookup!$C19,Database!$D:$D,Lookup!$B$3)</f>
        <v>0</v>
      </c>
      <c r="AR19" s="176">
        <f>SUMIFS(Database!$G:$G,Database!$E:$E,Lookup!$C$3,Database!$C:$C,Lookup!AR$5,Database!$F:$F,Lookup!$C19,Database!$D:$D,Lookup!$B$3)</f>
        <v>0</v>
      </c>
      <c r="AS19" s="176">
        <f>SUMIFS(Database!$G:$G,Database!$E:$E,Lookup!$C$3,Database!$C:$C,Lookup!AS$5,Database!$F:$F,Lookup!$C19,Database!$D:$D,Lookup!$B$3)</f>
        <v>0</v>
      </c>
      <c r="AT19" s="176">
        <f>SUMIFS(Database!$G:$G,Database!$E:$E,Lookup!$C$3,Database!$C:$C,Lookup!AT$5,Database!$F:$F,Lookup!$C19,Database!$D:$D,Lookup!$B$3)</f>
        <v>0</v>
      </c>
      <c r="AU19" s="176">
        <f>SUMIFS(Database!$G:$G,Database!$E:$E,Lookup!$C$3,Database!$C:$C,Lookup!AU$5,Database!$F:$F,Lookup!$C19,Database!$D:$D,Lookup!$B$3)</f>
        <v>2758</v>
      </c>
      <c r="AV19" s="176">
        <f>SUMIFS(Database!$G:$G,Database!$E:$E,Lookup!$C$3,Database!$C:$C,Lookup!AV$5,Database!$F:$F,Lookup!$C19,Database!$D:$D,Lookup!$B$3)</f>
        <v>246</v>
      </c>
      <c r="AW19" s="176">
        <f>SUMIFS(Database!$G:$G,Database!$E:$E,Lookup!$C$3,Database!$C:$C,Lookup!AW$5,Database!$F:$F,Lookup!$C19,Database!$D:$D,Lookup!$B$3)</f>
        <v>0</v>
      </c>
      <c r="AX19" s="176">
        <f>SUMIFS(Database!$G:$G,Database!$E:$E,Lookup!$C$3,Database!$C:$C,Lookup!AX$5,Database!$F:$F,Lookup!$C19,Database!$D:$D,Lookup!$B$3)</f>
        <v>1243</v>
      </c>
      <c r="AY19" s="176">
        <f>SUMIFS(Database!$G:$G,Database!$E:$E,Lookup!$C$3,Database!$C:$C,Lookup!AY$5,Database!$F:$F,Lookup!$C19,Database!$D:$D,Lookup!$B$3)</f>
        <v>6015</v>
      </c>
      <c r="AZ19" s="176">
        <f>SUMIFS(Database!$G:$G,Database!$E:$E,Lookup!$C$3,Database!$C:$C,Lookup!AZ$5,Database!$F:$F,Lookup!$C19,Database!$D:$D,Lookup!$B$3)</f>
        <v>4960</v>
      </c>
      <c r="BA19" s="176">
        <f>SUMIFS(Database!$G:$G,Database!$E:$E,Lookup!$C$3,Database!$C:$C,Lookup!BA$5,Database!$F:$F,Lookup!$C19,Database!$D:$D,Lookup!$B$3)</f>
        <v>4922</v>
      </c>
      <c r="BB19" s="176">
        <f>SUMIFS(Database!$G:$G,Database!$E:$E,Lookup!$C$3,Database!$C:$C,Lookup!BB$5,Database!$F:$F,Lookup!$C19,Database!$D:$D,Lookup!$B$3)</f>
        <v>1400</v>
      </c>
      <c r="BC19" s="176">
        <f>SUMIFS(Database!$G:$G,Database!$E:$E,Lookup!$C$3,Database!$C:$C,Lookup!BC$5,Database!$F:$F,Lookup!$C19,Database!$D:$D,Lookup!$B$3)</f>
        <v>0</v>
      </c>
      <c r="BD19" s="176">
        <f>SUMIFS(Database!$G:$G,Database!$E:$E,Lookup!$C$3,Database!$C:$C,Lookup!BD$5,Database!$F:$F,Lookup!$C19,Database!$D:$D,Lookup!$B$3)</f>
        <v>0</v>
      </c>
      <c r="BE19" s="176">
        <f>SUMIFS(Database!$G:$G,Database!$E:$E,Lookup!$C$3,Database!$C:$C,Lookup!BE$5,Database!$F:$F,Lookup!$C19,Database!$D:$D,Lookup!$B$3)</f>
        <v>125</v>
      </c>
      <c r="BF19" s="176">
        <f>SUMIFS(Database!$G:$G,Database!$E:$E,Lookup!$C$3,Database!$C:$C,Lookup!BF$5,Database!$F:$F,Lookup!$C19,Database!$D:$D,Lookup!$B$3)</f>
        <v>2827</v>
      </c>
      <c r="BG19" s="176">
        <f>SUMIFS(Database!$G:$G,Database!$E:$E,Lookup!$C$3,Database!$C:$C,Lookup!BG$5,Database!$F:$F,Lookup!$C19,Database!$D:$D,Lookup!$B$3)</f>
        <v>7171</v>
      </c>
      <c r="BH19" s="176">
        <f>SUMIFS(Database!$G:$G,Database!$E:$E,Lookup!$C$3,Database!$C:$C,Lookup!BH$5,Database!$F:$F,Lookup!$C19,Database!$D:$D,Lookup!$B$3)</f>
        <v>4896</v>
      </c>
      <c r="BI19" s="176">
        <f>SUMIFS(Database!$G:$G,Database!$E:$E,Lookup!$C$3,Database!$C:$C,Lookup!BI$5,Database!$F:$F,Lookup!$C19,Database!$D:$D,Lookup!$B$3)</f>
        <v>5470</v>
      </c>
      <c r="BJ19" s="176">
        <f>SUMIFS(Database!$G:$G,Database!$E:$E,Lookup!$C$3,Database!$C:$C,Lookup!BJ$5,Database!$F:$F,Lookup!$C19,Database!$D:$D,Lookup!$B$3)</f>
        <v>0</v>
      </c>
      <c r="BK19" s="176">
        <f>SUMIFS(Database!$G:$G,Database!$E:$E,Lookup!$C$3,Database!$C:$C,Lookup!BK$5,Database!$F:$F,Lookup!$C19,Database!$D:$D,Lookup!$B$3)</f>
        <v>0</v>
      </c>
      <c r="BL19" s="176">
        <f>SUMIFS(Database!$G:$G,Database!$E:$E,Lookup!$C$3,Database!$C:$C,Lookup!BL$5,Database!$F:$F,Lookup!$C19,Database!$D:$D,Lookup!$B$3)</f>
        <v>0</v>
      </c>
      <c r="BM19" s="176">
        <f>SUMIFS(Database!$G:$G,Database!$E:$E,Lookup!$C$3,Database!$C:$C,Lookup!BM$5,Database!$F:$F,Lookup!$C19,Database!$D:$D,Lookup!$B$3)</f>
        <v>0</v>
      </c>
      <c r="BN19" s="176">
        <f>SUMIFS(Database!$G:$G,Database!$E:$E,Lookup!$C$3,Database!$C:$C,Lookup!BN$5,Database!$F:$F,Lookup!$C19,Database!$D:$D,Lookup!$B$3)</f>
        <v>0</v>
      </c>
      <c r="BO19" s="176">
        <f>SUMIFS(Database!$G:$G,Database!$E:$E,Lookup!$C$3,Database!$C:$C,Lookup!BO$5,Database!$F:$F,Lookup!$C19,Database!$D:$D,Lookup!$B$3)</f>
        <v>5033</v>
      </c>
      <c r="BP19" s="176">
        <f>SUMIFS(Database!$G:$G,Database!$E:$E,Lookup!$C$3,Database!$C:$C,Lookup!BP$5,Database!$F:$F,Lookup!$C19,Database!$D:$D,Lookup!$B$3)</f>
        <v>0</v>
      </c>
      <c r="BQ19" s="176">
        <f>SUMIFS(Database!$G:$G,Database!$E:$E,Lookup!$C$3,Database!$C:$C,Lookup!BQ$5,Database!$F:$F,Lookup!$C19,Database!$D:$D,Lookup!$B$3)</f>
        <v>0</v>
      </c>
      <c r="BR19" s="176">
        <f>SUMIFS(Database!$G:$G,Database!$E:$E,Lookup!$C$3,Database!$C:$C,Lookup!BR$5,Database!$F:$F,Lookup!$C19,Database!$D:$D,Lookup!$B$3)</f>
        <v>0</v>
      </c>
      <c r="BS19" s="176">
        <f>SUMIFS(Database!$G:$G,Database!$E:$E,Lookup!$C$3,Database!$C:$C,Lookup!BS$5,Database!$F:$F,Lookup!$C19,Database!$D:$D,Lookup!$B$3)</f>
        <v>0</v>
      </c>
      <c r="BT19" s="176">
        <f>SUMIFS(Database!$G:$G,Database!$E:$E,Lookup!$C$3,Database!$C:$C,Lookup!BT$5,Database!$F:$F,Lookup!$C19,Database!$D:$D,Lookup!$B$3)</f>
        <v>0</v>
      </c>
      <c r="BU19" s="176">
        <f>SUMIFS(Database!$G:$G,Database!$E:$E,Lookup!$C$3,Database!$C:$C,Lookup!BU$5,Database!$F:$F,Lookup!$C19,Database!$D:$D,Lookup!$B$3)</f>
        <v>0</v>
      </c>
      <c r="BV19" s="176">
        <f>SUMIFS(Database!$G:$G,Database!$E:$E,Lookup!$C$3,Database!$C:$C,Lookup!BV$5,Database!$F:$F,Lookup!$C19,Database!$D:$D,Lookup!$B$3)</f>
        <v>0</v>
      </c>
      <c r="BW19" s="176">
        <f>SUMIFS(Database!$G:$G,Database!$E:$E,Lookup!$C$3,Database!$C:$C,Lookup!BW$5,Database!$F:$F,Lookup!$C19,Database!$D:$D,Lookup!$B$3)</f>
        <v>0</v>
      </c>
      <c r="BX19" s="176">
        <f>SUMIFS(Database!$G:$G,Database!$E:$E,Lookup!$C$3,Database!$C:$C,Lookup!BX$5,Database!$F:$F,Lookup!$C19,Database!$D:$D,Lookup!$B$3)</f>
        <v>0</v>
      </c>
      <c r="BY19" s="176">
        <f>SUMIFS(Database!$G:$G,Database!$E:$E,Lookup!$C$3,Database!$C:$C,Lookup!BY$5,Database!$F:$F,Lookup!$C19,Database!$D:$D,Lookup!$B$3)</f>
        <v>0</v>
      </c>
      <c r="BZ19" s="176">
        <f>SUMIFS(Database!$G:$G,Database!$E:$E,Lookup!$C$3,Database!$C:$C,Lookup!BZ$5,Database!$F:$F,Lookup!$C19,Database!$D:$D,Lookup!$B$3)</f>
        <v>0</v>
      </c>
      <c r="CA19" s="176">
        <f>SUMIFS(Database!$G:$G,Database!$E:$E,Lookup!$C$3,Database!$C:$C,Lookup!CA$5,Database!$F:$F,Lookup!$C19,Database!$D:$D,Lookup!$B$3)</f>
        <v>0</v>
      </c>
      <c r="CB19" s="176">
        <f>SUMIFS(Database!$G:$G,Database!$E:$E,Lookup!$C$3,Database!$C:$C,Lookup!CB$5,Database!$F:$F,Lookup!$C19,Database!$D:$D,Lookup!$B$3)</f>
        <v>0</v>
      </c>
      <c r="CC19" s="176">
        <f>SUMIFS(Database!$G:$G,Database!$E:$E,Lookup!$C$3,Database!$C:$C,Lookup!CC$5,Database!$F:$F,Lookup!$C19,Database!$D:$D,Lookup!$B$3)</f>
        <v>0</v>
      </c>
      <c r="CD19" s="176">
        <f>SUMIFS(Database!$G:$G,Database!$E:$E,Lookup!$C$3,Database!$C:$C,Lookup!CD$5,Database!$F:$F,Lookup!$C19,Database!$D:$D,Lookup!$B$3)</f>
        <v>0</v>
      </c>
      <c r="CE19" s="176">
        <f>SUMIFS(Database!$G:$G,Database!$E:$E,Lookup!$C$3,Database!$C:$C,Lookup!CE$5,Database!$F:$F,Lookup!$C19,Database!$D:$D,Lookup!$B$3)</f>
        <v>0</v>
      </c>
      <c r="CF19" s="176">
        <f>SUMIFS(Database!$G:$G,Database!$E:$E,Lookup!$C$3,Database!$C:$C,Lookup!CF$5,Database!$F:$F,Lookup!$C19,Database!$D:$D,Lookup!$B$3)</f>
        <v>0</v>
      </c>
      <c r="CG19" s="176">
        <f>SUMIFS(Database!$G:$G,Database!$E:$E,Lookup!$C$3,Database!$C:$C,Lookup!CG$5,Database!$F:$F,Lookup!$C19,Database!$D:$D,Lookup!$B$3)</f>
        <v>0</v>
      </c>
      <c r="CH19" s="176">
        <f>SUMIFS(Database!$G:$G,Database!$E:$E,Lookup!$C$3,Database!$C:$C,Lookup!CH$5,Database!$F:$F,Lookup!$C19,Database!$D:$D,Lookup!$B$3)</f>
        <v>0</v>
      </c>
      <c r="CI19" s="176">
        <f>SUMIFS(Database!$G:$G,Database!$E:$E,Lookup!$C$3,Database!$C:$C,Lookup!CI$5,Database!$F:$F,Lookup!$C19,Database!$D:$D,Lookup!$B$3)</f>
        <v>0</v>
      </c>
      <c r="CJ19" s="176">
        <f>SUMIFS(Database!$G:$G,Database!$E:$E,Lookup!$C$3,Database!$C:$C,Lookup!CJ$5,Database!$F:$F,Lookup!$C19,Database!$D:$D,Lookup!$B$3)</f>
        <v>0</v>
      </c>
      <c r="CK19" s="176">
        <f>SUMIFS(Database!$G:$G,Database!$E:$E,Lookup!$C$3,Database!$C:$C,Lookup!CK$5,Database!$F:$F,Lookup!$C19,Database!$D:$D,Lookup!$B$3)</f>
        <v>0</v>
      </c>
      <c r="CL19" s="176">
        <f>SUMIFS(Database!$G:$G,Database!$E:$E,Lookup!$C$3,Database!$C:$C,Lookup!CL$5,Database!$F:$F,Lookup!$C19,Database!$D:$D,Lookup!$B$3)</f>
        <v>0</v>
      </c>
      <c r="CM19" s="176">
        <f>SUMIFS(Database!$G:$G,Database!$E:$E,Lookup!$C$3,Database!$C:$C,Lookup!CM$5,Database!$F:$F,Lookup!$C19,Database!$D:$D,Lookup!$B$3)</f>
        <v>0</v>
      </c>
      <c r="CN19" s="176">
        <f>SUMIFS(Database!$G:$G,Database!$E:$E,Lookup!$C$3,Database!$C:$C,Lookup!CN$5,Database!$F:$F,Lookup!$C19,Database!$D:$D,Lookup!$B$3)</f>
        <v>0</v>
      </c>
      <c r="CO19" s="176">
        <f>SUMIFS(Database!$G:$G,Database!$E:$E,Lookup!$C$3,Database!$C:$C,Lookup!CO$5,Database!$F:$F,Lookup!$C19,Database!$D:$D,Lookup!$B$3)</f>
        <v>0</v>
      </c>
      <c r="CP19" s="176">
        <f>SUMIFS(Database!$G:$G,Database!$E:$E,Lookup!$C$3,Database!$C:$C,Lookup!CP$5,Database!$F:$F,Lookup!$C19,Database!$D:$D,Lookup!$B$3)</f>
        <v>0</v>
      </c>
      <c r="CQ19" s="176">
        <f>SUMIFS(Database!$G:$G,Database!$E:$E,Lookup!$C$3,Database!$C:$C,Lookup!CQ$5,Database!$F:$F,Lookup!$C19,Database!$D:$D,Lookup!$B$3)</f>
        <v>0</v>
      </c>
      <c r="CR19" s="176">
        <f>SUMIFS(Database!$G:$G,Database!$E:$E,Lookup!$C$3,Database!$C:$C,Lookup!CR$5,Database!$F:$F,Lookup!$C19,Database!$D:$D,Lookup!$B$3)</f>
        <v>0</v>
      </c>
      <c r="CS19" s="176">
        <f>SUMIFS(Database!$G:$G,Database!$E:$E,Lookup!$C$3,Database!$C:$C,Lookup!CS$5,Database!$F:$F,Lookup!$C19,Database!$D:$D,Lookup!$B$3)</f>
        <v>0</v>
      </c>
      <c r="CT19" s="176">
        <f>SUMIFS(Database!$G:$G,Database!$E:$E,Lookup!$C$3,Database!$C:$C,Lookup!CT$5,Database!$F:$F,Lookup!$C19,Database!$D:$D,Lookup!$B$3)</f>
        <v>0</v>
      </c>
      <c r="CU19" s="176">
        <f>SUMIFS(Database!$G:$G,Database!$E:$E,Lookup!$C$3,Database!$C:$C,Lookup!CU$5,Database!$F:$F,Lookup!$C19,Database!$D:$D,Lookup!$B$3)</f>
        <v>0</v>
      </c>
      <c r="CV19" s="177">
        <f>SUMIFS(Database!$G:$G,Database!$E:$E,Lookup!$C$3,Database!$C:$C,Lookup!CV$5,Database!$F:$F,Lookup!$C19,Database!$D:$D,Lookup!$B$3)</f>
        <v>0</v>
      </c>
    </row>
    <row r="20" spans="3:100" x14ac:dyDescent="0.25">
      <c r="C20" s="217" t="s">
        <v>13</v>
      </c>
      <c r="D20" s="222"/>
      <c r="E20" s="228">
        <f>SUMIFS(Database!$G:$G,Database!$E:$E,Lookup!$C$3,Database!$C:$C,Lookup!E$5,Database!$F:$F,Lookup!$C20,Database!$D:$D,Lookup!$B$3)</f>
        <v>0</v>
      </c>
      <c r="F20" s="176">
        <f>SUMIFS(Database!$G:$G,Database!$E:$E,Lookup!$C$3,Database!$C:$C,Lookup!F$5,Database!$F:$F,Lookup!$C20,Database!$D:$D,Lookup!$B$3)</f>
        <v>0</v>
      </c>
      <c r="G20" s="176">
        <f>SUMIFS(Database!$G:$G,Database!$E:$E,Lookup!$C$3,Database!$C:$C,Lookup!G$5,Database!$F:$F,Lookup!$C20,Database!$D:$D,Lookup!$B$3)</f>
        <v>0</v>
      </c>
      <c r="H20" s="176">
        <f>SUMIFS(Database!$G:$G,Database!$E:$E,Lookup!$C$3,Database!$C:$C,Lookup!H$5,Database!$F:$F,Lookup!$C20,Database!$D:$D,Lookup!$B$3)</f>
        <v>0</v>
      </c>
      <c r="I20" s="176">
        <f>SUMIFS(Database!$G:$G,Database!$E:$E,Lookup!$C$3,Database!$C:$C,Lookup!I$5,Database!$F:$F,Lookup!$C20,Database!$D:$D,Lookup!$B$3)</f>
        <v>0</v>
      </c>
      <c r="J20" s="176">
        <f>SUMIFS(Database!$G:$G,Database!$E:$E,Lookup!$C$3,Database!$C:$C,Lookup!J$5,Database!$F:$F,Lookup!$C20,Database!$D:$D,Lookup!$B$3)</f>
        <v>0</v>
      </c>
      <c r="K20" s="176">
        <f>SUMIFS(Database!$G:$G,Database!$E:$E,Lookup!$C$3,Database!$C:$C,Lookup!K$5,Database!$F:$F,Lookup!$C20,Database!$D:$D,Lookup!$B$3)</f>
        <v>0</v>
      </c>
      <c r="L20" s="176">
        <f>SUMIFS(Database!$G:$G,Database!$E:$E,Lookup!$C$3,Database!$C:$C,Lookup!L$5,Database!$F:$F,Lookup!$C20,Database!$D:$D,Lookup!$B$3)</f>
        <v>0</v>
      </c>
      <c r="M20" s="176">
        <f>SUMIFS(Database!$G:$G,Database!$E:$E,Lookup!$C$3,Database!$C:$C,Lookup!M$5,Database!$F:$F,Lookup!$C20,Database!$D:$D,Lookup!$B$3)</f>
        <v>0</v>
      </c>
      <c r="N20" s="176">
        <f>SUMIFS(Database!$G:$G,Database!$E:$E,Lookup!$C$3,Database!$C:$C,Lookup!N$5,Database!$F:$F,Lookup!$C20,Database!$D:$D,Lookup!$B$3)</f>
        <v>0</v>
      </c>
      <c r="O20" s="176">
        <f>SUMIFS(Database!$G:$G,Database!$E:$E,Lookup!$C$3,Database!$C:$C,Lookup!O$5,Database!$F:$F,Lookup!$C20,Database!$D:$D,Lookup!$B$3)</f>
        <v>0</v>
      </c>
      <c r="P20" s="176">
        <f>SUMIFS(Database!$G:$G,Database!$E:$E,Lookup!$C$3,Database!$C:$C,Lookup!P$5,Database!$F:$F,Lookup!$C20,Database!$D:$D,Lookup!$B$3)</f>
        <v>0</v>
      </c>
      <c r="Q20" s="176">
        <f>SUMIFS(Database!$G:$G,Database!$E:$E,Lookup!$C$3,Database!$C:$C,Lookup!Q$5,Database!$F:$F,Lookup!$C20,Database!$D:$D,Lookup!$B$3)</f>
        <v>0</v>
      </c>
      <c r="R20" s="176">
        <f>SUMIFS(Database!$G:$G,Database!$E:$E,Lookup!$C$3,Database!$C:$C,Lookup!R$5,Database!$F:$F,Lookup!$C20,Database!$D:$D,Lookup!$B$3)</f>
        <v>0</v>
      </c>
      <c r="S20" s="176">
        <f>SUMIFS(Database!$G:$G,Database!$E:$E,Lookup!$C$3,Database!$C:$C,Lookup!S$5,Database!$F:$F,Lookup!$C20,Database!$D:$D,Lookup!$B$3)</f>
        <v>0</v>
      </c>
      <c r="T20" s="176">
        <f>SUMIFS(Database!$G:$G,Database!$E:$E,Lookup!$C$3,Database!$C:$C,Lookup!T$5,Database!$F:$F,Lookup!$C20,Database!$D:$D,Lookup!$B$3)</f>
        <v>0</v>
      </c>
      <c r="U20" s="176">
        <f>SUMIFS(Database!$G:$G,Database!$E:$E,Lookup!$C$3,Database!$C:$C,Lookup!U$5,Database!$F:$F,Lookup!$C20,Database!$D:$D,Lookup!$B$3)</f>
        <v>0</v>
      </c>
      <c r="V20" s="176">
        <f>SUMIFS(Database!$G:$G,Database!$E:$E,Lookup!$C$3,Database!$C:$C,Lookup!V$5,Database!$F:$F,Lookup!$C20,Database!$D:$D,Lookup!$B$3)</f>
        <v>0</v>
      </c>
      <c r="W20" s="176">
        <f>SUMIFS(Database!$G:$G,Database!$E:$E,Lookup!$C$3,Database!$C:$C,Lookup!W$5,Database!$F:$F,Lookup!$C20,Database!$D:$D,Lookup!$B$3)</f>
        <v>0</v>
      </c>
      <c r="X20" s="176">
        <f>SUMIFS(Database!$G:$G,Database!$E:$E,Lookup!$C$3,Database!$C:$C,Lookup!X$5,Database!$F:$F,Lookup!$C20,Database!$D:$D,Lookup!$B$3)</f>
        <v>0</v>
      </c>
      <c r="Y20" s="176">
        <f>SUMIFS(Database!$G:$G,Database!$E:$E,Lookup!$C$3,Database!$C:$C,Lookup!Y$5,Database!$F:$F,Lookup!$C20,Database!$D:$D,Lookup!$B$3)</f>
        <v>0</v>
      </c>
      <c r="Z20" s="176">
        <f>SUMIFS(Database!$G:$G,Database!$E:$E,Lookup!$C$3,Database!$C:$C,Lookup!Z$5,Database!$F:$F,Lookup!$C20,Database!$D:$D,Lookup!$B$3)</f>
        <v>0</v>
      </c>
      <c r="AA20" s="176">
        <f>SUMIFS(Database!$G:$G,Database!$E:$E,Lookup!$C$3,Database!$C:$C,Lookup!AA$5,Database!$F:$F,Lookup!$C20,Database!$D:$D,Lookup!$B$3)</f>
        <v>0</v>
      </c>
      <c r="AB20" s="176">
        <f>SUMIFS(Database!$G:$G,Database!$E:$E,Lookup!$C$3,Database!$C:$C,Lookup!AB$5,Database!$F:$F,Lookup!$C20,Database!$D:$D,Lookup!$B$3)</f>
        <v>0</v>
      </c>
      <c r="AC20" s="176">
        <f>SUMIFS(Database!$G:$G,Database!$E:$E,Lookup!$C$3,Database!$C:$C,Lookup!AC$5,Database!$F:$F,Lookup!$C20,Database!$D:$D,Lookup!$B$3)</f>
        <v>0</v>
      </c>
      <c r="AD20" s="176">
        <f>SUMIFS(Database!$G:$G,Database!$E:$E,Lookup!$C$3,Database!$C:$C,Lookup!AD$5,Database!$F:$F,Lookup!$C20,Database!$D:$D,Lookup!$B$3)</f>
        <v>0</v>
      </c>
      <c r="AE20" s="176">
        <f>SUMIFS(Database!$G:$G,Database!$E:$E,Lookup!$C$3,Database!$C:$C,Lookup!AE$5,Database!$F:$F,Lookup!$C20,Database!$D:$D,Lookup!$B$3)</f>
        <v>0</v>
      </c>
      <c r="AF20" s="176">
        <f>SUMIFS(Database!$G:$G,Database!$E:$E,Lookup!$C$3,Database!$C:$C,Lookup!AF$5,Database!$F:$F,Lookup!$C20,Database!$D:$D,Lookup!$B$3)</f>
        <v>0</v>
      </c>
      <c r="AG20" s="176">
        <f>SUMIFS(Database!$G:$G,Database!$E:$E,Lookup!$C$3,Database!$C:$C,Lookup!AG$5,Database!$F:$F,Lookup!$C20,Database!$D:$D,Lookup!$B$3)</f>
        <v>0</v>
      </c>
      <c r="AH20" s="176">
        <f>SUMIFS(Database!$G:$G,Database!$E:$E,Lookup!$C$3,Database!$C:$C,Lookup!AH$5,Database!$F:$F,Lookup!$C20,Database!$D:$D,Lookup!$B$3)</f>
        <v>0</v>
      </c>
      <c r="AI20" s="176">
        <f>SUMIFS(Database!$G:$G,Database!$E:$E,Lookup!$C$3,Database!$C:$C,Lookup!AI$5,Database!$F:$F,Lookup!$C20,Database!$D:$D,Lookup!$B$3)</f>
        <v>0</v>
      </c>
      <c r="AJ20" s="176">
        <f>SUMIFS(Database!$G:$G,Database!$E:$E,Lookup!$C$3,Database!$C:$C,Lookup!AJ$5,Database!$F:$F,Lookup!$C20,Database!$D:$D,Lookup!$B$3)</f>
        <v>0</v>
      </c>
      <c r="AK20" s="176">
        <f>SUMIFS(Database!$G:$G,Database!$E:$E,Lookup!$C$3,Database!$C:$C,Lookup!AK$5,Database!$F:$F,Lookup!$C20,Database!$D:$D,Lookup!$B$3)</f>
        <v>0</v>
      </c>
      <c r="AL20" s="176">
        <f>SUMIFS(Database!$G:$G,Database!$E:$E,Lookup!$C$3,Database!$C:$C,Lookup!AL$5,Database!$F:$F,Lookup!$C20,Database!$D:$D,Lookup!$B$3)</f>
        <v>0</v>
      </c>
      <c r="AM20" s="176">
        <f>SUMIFS(Database!$G:$G,Database!$E:$E,Lookup!$C$3,Database!$C:$C,Lookup!AM$5,Database!$F:$F,Lookup!$C20,Database!$D:$D,Lookup!$B$3)</f>
        <v>0</v>
      </c>
      <c r="AN20" s="176">
        <f>SUMIFS(Database!$G:$G,Database!$E:$E,Lookup!$C$3,Database!$C:$C,Lookup!AN$5,Database!$F:$F,Lookup!$C20,Database!$D:$D,Lookup!$B$3)</f>
        <v>0</v>
      </c>
      <c r="AO20" s="176">
        <f>SUMIFS(Database!$G:$G,Database!$E:$E,Lookup!$C$3,Database!$C:$C,Lookup!AO$5,Database!$F:$F,Lookup!$C20,Database!$D:$D,Lookup!$B$3)</f>
        <v>0</v>
      </c>
      <c r="AP20" s="176">
        <f>SUMIFS(Database!$G:$G,Database!$E:$E,Lookup!$C$3,Database!$C:$C,Lookup!AP$5,Database!$F:$F,Lookup!$C20,Database!$D:$D,Lookup!$B$3)</f>
        <v>0</v>
      </c>
      <c r="AQ20" s="176">
        <f>SUMIFS(Database!$G:$G,Database!$E:$E,Lookup!$C$3,Database!$C:$C,Lookup!AQ$5,Database!$F:$F,Lookup!$C20,Database!$D:$D,Lookup!$B$3)</f>
        <v>0</v>
      </c>
      <c r="AR20" s="176">
        <f>SUMIFS(Database!$G:$G,Database!$E:$E,Lookup!$C$3,Database!$C:$C,Lookup!AR$5,Database!$F:$F,Lookup!$C20,Database!$D:$D,Lookup!$B$3)</f>
        <v>0</v>
      </c>
      <c r="AS20" s="176">
        <f>SUMIFS(Database!$G:$G,Database!$E:$E,Lookup!$C$3,Database!$C:$C,Lookup!AS$5,Database!$F:$F,Lookup!$C20,Database!$D:$D,Lookup!$B$3)</f>
        <v>0</v>
      </c>
      <c r="AT20" s="176">
        <f>SUMIFS(Database!$G:$G,Database!$E:$E,Lookup!$C$3,Database!$C:$C,Lookup!AT$5,Database!$F:$F,Lookup!$C20,Database!$D:$D,Lookup!$B$3)</f>
        <v>0</v>
      </c>
      <c r="AU20" s="176">
        <f>SUMIFS(Database!$G:$G,Database!$E:$E,Lookup!$C$3,Database!$C:$C,Lookup!AU$5,Database!$F:$F,Lookup!$C20,Database!$D:$D,Lookup!$B$3)</f>
        <v>0</v>
      </c>
      <c r="AV20" s="176">
        <f>SUMIFS(Database!$G:$G,Database!$E:$E,Lookup!$C$3,Database!$C:$C,Lookup!AV$5,Database!$F:$F,Lookup!$C20,Database!$D:$D,Lookup!$B$3)</f>
        <v>0</v>
      </c>
      <c r="AW20" s="176">
        <f>SUMIFS(Database!$G:$G,Database!$E:$E,Lookup!$C$3,Database!$C:$C,Lookup!AW$5,Database!$F:$F,Lookup!$C20,Database!$D:$D,Lookup!$B$3)</f>
        <v>25</v>
      </c>
      <c r="AX20" s="176">
        <f>SUMIFS(Database!$G:$G,Database!$E:$E,Lookup!$C$3,Database!$C:$C,Lookup!AX$5,Database!$F:$F,Lookup!$C20,Database!$D:$D,Lookup!$B$3)</f>
        <v>2642</v>
      </c>
      <c r="AY20" s="176">
        <f>SUMIFS(Database!$G:$G,Database!$E:$E,Lookup!$C$3,Database!$C:$C,Lookup!AY$5,Database!$F:$F,Lookup!$C20,Database!$D:$D,Lookup!$B$3)</f>
        <v>160</v>
      </c>
      <c r="AZ20" s="176">
        <f>SUMIFS(Database!$G:$G,Database!$E:$E,Lookup!$C$3,Database!$C:$C,Lookup!AZ$5,Database!$F:$F,Lookup!$C20,Database!$D:$D,Lookup!$B$3)</f>
        <v>0</v>
      </c>
      <c r="BA20" s="176">
        <f>SUMIFS(Database!$G:$G,Database!$E:$E,Lookup!$C$3,Database!$C:$C,Lookup!BA$5,Database!$F:$F,Lookup!$C20,Database!$D:$D,Lookup!$B$3)</f>
        <v>0</v>
      </c>
      <c r="BB20" s="176">
        <f>SUMIFS(Database!$G:$G,Database!$E:$E,Lookup!$C$3,Database!$C:$C,Lookup!BB$5,Database!$F:$F,Lookup!$C20,Database!$D:$D,Lookup!$B$3)</f>
        <v>249</v>
      </c>
      <c r="BC20" s="176">
        <f>SUMIFS(Database!$G:$G,Database!$E:$E,Lookup!$C$3,Database!$C:$C,Lookup!BC$5,Database!$F:$F,Lookup!$C20,Database!$D:$D,Lookup!$B$3)</f>
        <v>3042</v>
      </c>
      <c r="BD20" s="176">
        <f>SUMIFS(Database!$G:$G,Database!$E:$E,Lookup!$C$3,Database!$C:$C,Lookup!BD$5,Database!$F:$F,Lookup!$C20,Database!$D:$D,Lookup!$B$3)</f>
        <v>2257</v>
      </c>
      <c r="BE20" s="176">
        <f>SUMIFS(Database!$G:$G,Database!$E:$E,Lookup!$C$3,Database!$C:$C,Lookup!BE$5,Database!$F:$F,Lookup!$C20,Database!$D:$D,Lookup!$B$3)</f>
        <v>1187</v>
      </c>
      <c r="BF20" s="176">
        <f>SUMIFS(Database!$G:$G,Database!$E:$E,Lookup!$C$3,Database!$C:$C,Lookup!BF$5,Database!$F:$F,Lookup!$C20,Database!$D:$D,Lookup!$B$3)</f>
        <v>0</v>
      </c>
      <c r="BG20" s="176">
        <f>SUMIFS(Database!$G:$G,Database!$E:$E,Lookup!$C$3,Database!$C:$C,Lookup!BG$5,Database!$F:$F,Lookup!$C20,Database!$D:$D,Lookup!$B$3)</f>
        <v>0</v>
      </c>
      <c r="BH20" s="176">
        <f>SUMIFS(Database!$G:$G,Database!$E:$E,Lookup!$C$3,Database!$C:$C,Lookup!BH$5,Database!$F:$F,Lookup!$C20,Database!$D:$D,Lookup!$B$3)</f>
        <v>0</v>
      </c>
      <c r="BI20" s="176">
        <f>SUMIFS(Database!$G:$G,Database!$E:$E,Lookup!$C$3,Database!$C:$C,Lookup!BI$5,Database!$F:$F,Lookup!$C20,Database!$D:$D,Lookup!$B$3)</f>
        <v>0</v>
      </c>
      <c r="BJ20" s="176">
        <f>SUMIFS(Database!$G:$G,Database!$E:$E,Lookup!$C$3,Database!$C:$C,Lookup!BJ$5,Database!$F:$F,Lookup!$C20,Database!$D:$D,Lookup!$B$3)</f>
        <v>0</v>
      </c>
      <c r="BK20" s="176">
        <f>SUMIFS(Database!$G:$G,Database!$E:$E,Lookup!$C$3,Database!$C:$C,Lookup!BK$5,Database!$F:$F,Lookup!$C20,Database!$D:$D,Lookup!$B$3)</f>
        <v>3959.5</v>
      </c>
      <c r="BL20" s="176">
        <f>SUMIFS(Database!$G:$G,Database!$E:$E,Lookup!$C$3,Database!$C:$C,Lookup!BL$5,Database!$F:$F,Lookup!$C20,Database!$D:$D,Lookup!$B$3)</f>
        <v>1289</v>
      </c>
      <c r="BM20" s="176">
        <f>SUMIFS(Database!$G:$G,Database!$E:$E,Lookup!$C$3,Database!$C:$C,Lookup!BM$5,Database!$F:$F,Lookup!$C20,Database!$D:$D,Lookup!$B$3)</f>
        <v>0</v>
      </c>
      <c r="BN20" s="176">
        <f>SUMIFS(Database!$G:$G,Database!$E:$E,Lookup!$C$3,Database!$C:$C,Lookup!BN$5,Database!$F:$F,Lookup!$C20,Database!$D:$D,Lookup!$B$3)</f>
        <v>0</v>
      </c>
      <c r="BO20" s="176">
        <f>SUMIFS(Database!$G:$G,Database!$E:$E,Lookup!$C$3,Database!$C:$C,Lookup!BO$5,Database!$F:$F,Lookup!$C20,Database!$D:$D,Lookup!$B$3)</f>
        <v>0</v>
      </c>
      <c r="BP20" s="176">
        <f>SUMIFS(Database!$G:$G,Database!$E:$E,Lookup!$C$3,Database!$C:$C,Lookup!BP$5,Database!$F:$F,Lookup!$C20,Database!$D:$D,Lookup!$B$3)</f>
        <v>0</v>
      </c>
      <c r="BQ20" s="176">
        <f>SUMIFS(Database!$G:$G,Database!$E:$E,Lookup!$C$3,Database!$C:$C,Lookup!BQ$5,Database!$F:$F,Lookup!$C20,Database!$D:$D,Lookup!$B$3)</f>
        <v>0</v>
      </c>
      <c r="BR20" s="176">
        <f>SUMIFS(Database!$G:$G,Database!$E:$E,Lookup!$C$3,Database!$C:$C,Lookup!BR$5,Database!$F:$F,Lookup!$C20,Database!$D:$D,Lookup!$B$3)</f>
        <v>0</v>
      </c>
      <c r="BS20" s="176">
        <f>SUMIFS(Database!$G:$G,Database!$E:$E,Lookup!$C$3,Database!$C:$C,Lookup!BS$5,Database!$F:$F,Lookup!$C20,Database!$D:$D,Lookup!$B$3)</f>
        <v>0</v>
      </c>
      <c r="BT20" s="176">
        <f>SUMIFS(Database!$G:$G,Database!$E:$E,Lookup!$C$3,Database!$C:$C,Lookup!BT$5,Database!$F:$F,Lookup!$C20,Database!$D:$D,Lookup!$B$3)</f>
        <v>0</v>
      </c>
      <c r="BU20" s="176">
        <f>SUMIFS(Database!$G:$G,Database!$E:$E,Lookup!$C$3,Database!$C:$C,Lookup!BU$5,Database!$F:$F,Lookup!$C20,Database!$D:$D,Lookup!$B$3)</f>
        <v>0</v>
      </c>
      <c r="BV20" s="176">
        <f>SUMIFS(Database!$G:$G,Database!$E:$E,Lookup!$C$3,Database!$C:$C,Lookup!BV$5,Database!$F:$F,Lookup!$C20,Database!$D:$D,Lookup!$B$3)</f>
        <v>0</v>
      </c>
      <c r="BW20" s="176">
        <f>SUMIFS(Database!$G:$G,Database!$E:$E,Lookup!$C$3,Database!$C:$C,Lookup!BW$5,Database!$F:$F,Lookup!$C20,Database!$D:$D,Lookup!$B$3)</f>
        <v>0</v>
      </c>
      <c r="BX20" s="176">
        <f>SUMIFS(Database!$G:$G,Database!$E:$E,Lookup!$C$3,Database!$C:$C,Lookup!BX$5,Database!$F:$F,Lookup!$C20,Database!$D:$D,Lookup!$B$3)</f>
        <v>0</v>
      </c>
      <c r="BY20" s="176">
        <f>SUMIFS(Database!$G:$G,Database!$E:$E,Lookup!$C$3,Database!$C:$C,Lookup!BY$5,Database!$F:$F,Lookup!$C20,Database!$D:$D,Lookup!$B$3)</f>
        <v>0</v>
      </c>
      <c r="BZ20" s="176">
        <f>SUMIFS(Database!$G:$G,Database!$E:$E,Lookup!$C$3,Database!$C:$C,Lookup!BZ$5,Database!$F:$F,Lookup!$C20,Database!$D:$D,Lookup!$B$3)</f>
        <v>0</v>
      </c>
      <c r="CA20" s="176">
        <f>SUMIFS(Database!$G:$G,Database!$E:$E,Lookup!$C$3,Database!$C:$C,Lookup!CA$5,Database!$F:$F,Lookup!$C20,Database!$D:$D,Lookup!$B$3)</f>
        <v>0</v>
      </c>
      <c r="CB20" s="176">
        <f>SUMIFS(Database!$G:$G,Database!$E:$E,Lookup!$C$3,Database!$C:$C,Lookup!CB$5,Database!$F:$F,Lookup!$C20,Database!$D:$D,Lookup!$B$3)</f>
        <v>0</v>
      </c>
      <c r="CC20" s="176">
        <f>SUMIFS(Database!$G:$G,Database!$E:$E,Lookup!$C$3,Database!$C:$C,Lookup!CC$5,Database!$F:$F,Lookup!$C20,Database!$D:$D,Lookup!$B$3)</f>
        <v>0</v>
      </c>
      <c r="CD20" s="176">
        <f>SUMIFS(Database!$G:$G,Database!$E:$E,Lookup!$C$3,Database!$C:$C,Lookup!CD$5,Database!$F:$F,Lookup!$C20,Database!$D:$D,Lookup!$B$3)</f>
        <v>0</v>
      </c>
      <c r="CE20" s="176">
        <f>SUMIFS(Database!$G:$G,Database!$E:$E,Lookup!$C$3,Database!$C:$C,Lookup!CE$5,Database!$F:$F,Lookup!$C20,Database!$D:$D,Lookup!$B$3)</f>
        <v>0</v>
      </c>
      <c r="CF20" s="176">
        <f>SUMIFS(Database!$G:$G,Database!$E:$E,Lookup!$C$3,Database!$C:$C,Lookup!CF$5,Database!$F:$F,Lookup!$C20,Database!$D:$D,Lookup!$B$3)</f>
        <v>0</v>
      </c>
      <c r="CG20" s="176">
        <f>SUMIFS(Database!$G:$G,Database!$E:$E,Lookup!$C$3,Database!$C:$C,Lookup!CG$5,Database!$F:$F,Lookup!$C20,Database!$D:$D,Lookup!$B$3)</f>
        <v>0</v>
      </c>
      <c r="CH20" s="176">
        <f>SUMIFS(Database!$G:$G,Database!$E:$E,Lookup!$C$3,Database!$C:$C,Lookup!CH$5,Database!$F:$F,Lookup!$C20,Database!$D:$D,Lookup!$B$3)</f>
        <v>0</v>
      </c>
      <c r="CI20" s="176">
        <f>SUMIFS(Database!$G:$G,Database!$E:$E,Lookup!$C$3,Database!$C:$C,Lookup!CI$5,Database!$F:$F,Lookup!$C20,Database!$D:$D,Lookup!$B$3)</f>
        <v>0</v>
      </c>
      <c r="CJ20" s="176">
        <f>SUMIFS(Database!$G:$G,Database!$E:$E,Lookup!$C$3,Database!$C:$C,Lookup!CJ$5,Database!$F:$F,Lookup!$C20,Database!$D:$D,Lookup!$B$3)</f>
        <v>0</v>
      </c>
      <c r="CK20" s="176">
        <f>SUMIFS(Database!$G:$G,Database!$E:$E,Lookup!$C$3,Database!$C:$C,Lookup!CK$5,Database!$F:$F,Lookup!$C20,Database!$D:$D,Lookup!$B$3)</f>
        <v>0</v>
      </c>
      <c r="CL20" s="176">
        <f>SUMIFS(Database!$G:$G,Database!$E:$E,Lookup!$C$3,Database!$C:$C,Lookup!CL$5,Database!$F:$F,Lookup!$C20,Database!$D:$D,Lookup!$B$3)</f>
        <v>0</v>
      </c>
      <c r="CM20" s="176">
        <f>SUMIFS(Database!$G:$G,Database!$E:$E,Lookup!$C$3,Database!$C:$C,Lookup!CM$5,Database!$F:$F,Lookup!$C20,Database!$D:$D,Lookup!$B$3)</f>
        <v>0</v>
      </c>
      <c r="CN20" s="176">
        <f>SUMIFS(Database!$G:$G,Database!$E:$E,Lookup!$C$3,Database!$C:$C,Lookup!CN$5,Database!$F:$F,Lookup!$C20,Database!$D:$D,Lookup!$B$3)</f>
        <v>0</v>
      </c>
      <c r="CO20" s="176">
        <f>SUMIFS(Database!$G:$G,Database!$E:$E,Lookup!$C$3,Database!$C:$C,Lookup!CO$5,Database!$F:$F,Lookup!$C20,Database!$D:$D,Lookup!$B$3)</f>
        <v>0</v>
      </c>
      <c r="CP20" s="176">
        <f>SUMIFS(Database!$G:$G,Database!$E:$E,Lookup!$C$3,Database!$C:$C,Lookup!CP$5,Database!$F:$F,Lookup!$C20,Database!$D:$D,Lookup!$B$3)</f>
        <v>0</v>
      </c>
      <c r="CQ20" s="176">
        <f>SUMIFS(Database!$G:$G,Database!$E:$E,Lookup!$C$3,Database!$C:$C,Lookup!CQ$5,Database!$F:$F,Lookup!$C20,Database!$D:$D,Lookup!$B$3)</f>
        <v>0</v>
      </c>
      <c r="CR20" s="176">
        <f>SUMIFS(Database!$G:$G,Database!$E:$E,Lookup!$C$3,Database!$C:$C,Lookup!CR$5,Database!$F:$F,Lookup!$C20,Database!$D:$D,Lookup!$B$3)</f>
        <v>0</v>
      </c>
      <c r="CS20" s="176">
        <f>SUMIFS(Database!$G:$G,Database!$E:$E,Lookup!$C$3,Database!$C:$C,Lookup!CS$5,Database!$F:$F,Lookup!$C20,Database!$D:$D,Lookup!$B$3)</f>
        <v>0</v>
      </c>
      <c r="CT20" s="176">
        <f>SUMIFS(Database!$G:$G,Database!$E:$E,Lookup!$C$3,Database!$C:$C,Lookup!CT$5,Database!$F:$F,Lookup!$C20,Database!$D:$D,Lookup!$B$3)</f>
        <v>0</v>
      </c>
      <c r="CU20" s="176">
        <f>SUMIFS(Database!$G:$G,Database!$E:$E,Lookup!$C$3,Database!$C:$C,Lookup!CU$5,Database!$F:$F,Lookup!$C20,Database!$D:$D,Lookup!$B$3)</f>
        <v>0</v>
      </c>
      <c r="CV20" s="177">
        <f>SUMIFS(Database!$G:$G,Database!$E:$E,Lookup!$C$3,Database!$C:$C,Lookup!CV$5,Database!$F:$F,Lookup!$C20,Database!$D:$D,Lookup!$B$3)</f>
        <v>0</v>
      </c>
    </row>
    <row r="21" spans="3:100" x14ac:dyDescent="0.25">
      <c r="C21" s="219" t="s">
        <v>14</v>
      </c>
      <c r="D21" s="223"/>
      <c r="E21" s="229">
        <f>SUMIFS(Database!$G:$G,Database!$E:$E,Lookup!$C$3,Database!$C:$C,Lookup!E$5,Database!$F:$F,Lookup!$C21,Database!$D:$D,Lookup!$B$3)</f>
        <v>0</v>
      </c>
      <c r="F21" s="178">
        <f>SUMIFS(Database!$G:$G,Database!$E:$E,Lookup!$C$3,Database!$C:$C,Lookup!F$5,Database!$F:$F,Lookup!$C21,Database!$D:$D,Lookup!$B$3)</f>
        <v>0</v>
      </c>
      <c r="G21" s="178">
        <f>SUMIFS(Database!$G:$G,Database!$E:$E,Lookup!$C$3,Database!$C:$C,Lookup!G$5,Database!$F:$F,Lookup!$C21,Database!$D:$D,Lookup!$B$3)</f>
        <v>0</v>
      </c>
      <c r="H21" s="178">
        <f>SUMIFS(Database!$G:$G,Database!$E:$E,Lookup!$C$3,Database!$C:$C,Lookup!H$5,Database!$F:$F,Lookup!$C21,Database!$D:$D,Lookup!$B$3)</f>
        <v>0</v>
      </c>
      <c r="I21" s="178">
        <f>SUMIFS(Database!$G:$G,Database!$E:$E,Lookup!$C$3,Database!$C:$C,Lookup!I$5,Database!$F:$F,Lookup!$C21,Database!$D:$D,Lookup!$B$3)</f>
        <v>0</v>
      </c>
      <c r="J21" s="178">
        <f>SUMIFS(Database!$G:$G,Database!$E:$E,Lookup!$C$3,Database!$C:$C,Lookup!J$5,Database!$F:$F,Lookup!$C21,Database!$D:$D,Lookup!$B$3)</f>
        <v>0</v>
      </c>
      <c r="K21" s="178">
        <f>SUMIFS(Database!$G:$G,Database!$E:$E,Lookup!$C$3,Database!$C:$C,Lookup!K$5,Database!$F:$F,Lookup!$C21,Database!$D:$D,Lookup!$B$3)</f>
        <v>0</v>
      </c>
      <c r="L21" s="178">
        <f>SUMIFS(Database!$G:$G,Database!$E:$E,Lookup!$C$3,Database!$C:$C,Lookup!L$5,Database!$F:$F,Lookup!$C21,Database!$D:$D,Lookup!$B$3)</f>
        <v>0</v>
      </c>
      <c r="M21" s="178">
        <f>SUMIFS(Database!$G:$G,Database!$E:$E,Lookup!$C$3,Database!$C:$C,Lookup!M$5,Database!$F:$F,Lookup!$C21,Database!$D:$D,Lookup!$B$3)</f>
        <v>0</v>
      </c>
      <c r="N21" s="178">
        <f>SUMIFS(Database!$G:$G,Database!$E:$E,Lookup!$C$3,Database!$C:$C,Lookup!N$5,Database!$F:$F,Lookup!$C21,Database!$D:$D,Lookup!$B$3)</f>
        <v>0</v>
      </c>
      <c r="O21" s="178">
        <f>SUMIFS(Database!$G:$G,Database!$E:$E,Lookup!$C$3,Database!$C:$C,Lookup!O$5,Database!$F:$F,Lookup!$C21,Database!$D:$D,Lookup!$B$3)</f>
        <v>0</v>
      </c>
      <c r="P21" s="178">
        <f>SUMIFS(Database!$G:$G,Database!$E:$E,Lookup!$C$3,Database!$C:$C,Lookup!P$5,Database!$F:$F,Lookup!$C21,Database!$D:$D,Lookup!$B$3)</f>
        <v>0</v>
      </c>
      <c r="Q21" s="178">
        <f>SUMIFS(Database!$G:$G,Database!$E:$E,Lookup!$C$3,Database!$C:$C,Lookup!Q$5,Database!$F:$F,Lookup!$C21,Database!$D:$D,Lookup!$B$3)</f>
        <v>0</v>
      </c>
      <c r="R21" s="178">
        <f>SUMIFS(Database!$G:$G,Database!$E:$E,Lookup!$C$3,Database!$C:$C,Lookup!R$5,Database!$F:$F,Lookup!$C21,Database!$D:$D,Lookup!$B$3)</f>
        <v>0</v>
      </c>
      <c r="S21" s="178">
        <f>SUMIFS(Database!$G:$G,Database!$E:$E,Lookup!$C$3,Database!$C:$C,Lookup!S$5,Database!$F:$F,Lookup!$C21,Database!$D:$D,Lookup!$B$3)</f>
        <v>0</v>
      </c>
      <c r="T21" s="178">
        <f>SUMIFS(Database!$G:$G,Database!$E:$E,Lookup!$C$3,Database!$C:$C,Lookup!T$5,Database!$F:$F,Lookup!$C21,Database!$D:$D,Lookup!$B$3)</f>
        <v>0</v>
      </c>
      <c r="U21" s="178">
        <f>SUMIFS(Database!$G:$G,Database!$E:$E,Lookup!$C$3,Database!$C:$C,Lookup!U$5,Database!$F:$F,Lookup!$C21,Database!$D:$D,Lookup!$B$3)</f>
        <v>0</v>
      </c>
      <c r="V21" s="178">
        <f>SUMIFS(Database!$G:$G,Database!$E:$E,Lookup!$C$3,Database!$C:$C,Lookup!V$5,Database!$F:$F,Lookup!$C21,Database!$D:$D,Lookup!$B$3)</f>
        <v>0</v>
      </c>
      <c r="W21" s="178">
        <f>SUMIFS(Database!$G:$G,Database!$E:$E,Lookup!$C$3,Database!$C:$C,Lookup!W$5,Database!$F:$F,Lookup!$C21,Database!$D:$D,Lookup!$B$3)</f>
        <v>0</v>
      </c>
      <c r="X21" s="178">
        <f>SUMIFS(Database!$G:$G,Database!$E:$E,Lookup!$C$3,Database!$C:$C,Lookup!X$5,Database!$F:$F,Lookup!$C21,Database!$D:$D,Lookup!$B$3)</f>
        <v>0</v>
      </c>
      <c r="Y21" s="178">
        <f>SUMIFS(Database!$G:$G,Database!$E:$E,Lookup!$C$3,Database!$C:$C,Lookup!Y$5,Database!$F:$F,Lookup!$C21,Database!$D:$D,Lookup!$B$3)</f>
        <v>0</v>
      </c>
      <c r="Z21" s="178">
        <f>SUMIFS(Database!$G:$G,Database!$E:$E,Lookup!$C$3,Database!$C:$C,Lookup!Z$5,Database!$F:$F,Lookup!$C21,Database!$D:$D,Lookup!$B$3)</f>
        <v>0</v>
      </c>
      <c r="AA21" s="178">
        <f>SUMIFS(Database!$G:$G,Database!$E:$E,Lookup!$C$3,Database!$C:$C,Lookup!AA$5,Database!$F:$F,Lookup!$C21,Database!$D:$D,Lookup!$B$3)</f>
        <v>0</v>
      </c>
      <c r="AB21" s="178">
        <f>SUMIFS(Database!$G:$G,Database!$E:$E,Lookup!$C$3,Database!$C:$C,Lookup!AB$5,Database!$F:$F,Lookup!$C21,Database!$D:$D,Lookup!$B$3)</f>
        <v>0</v>
      </c>
      <c r="AC21" s="178">
        <f>SUMIFS(Database!$G:$G,Database!$E:$E,Lookup!$C$3,Database!$C:$C,Lookup!AC$5,Database!$F:$F,Lookup!$C21,Database!$D:$D,Lookup!$B$3)</f>
        <v>0</v>
      </c>
      <c r="AD21" s="178">
        <f>SUMIFS(Database!$G:$G,Database!$E:$E,Lookup!$C$3,Database!$C:$C,Lookup!AD$5,Database!$F:$F,Lookup!$C21,Database!$D:$D,Lookup!$B$3)</f>
        <v>0</v>
      </c>
      <c r="AE21" s="178">
        <f>SUMIFS(Database!$G:$G,Database!$E:$E,Lookup!$C$3,Database!$C:$C,Lookup!AE$5,Database!$F:$F,Lookup!$C21,Database!$D:$D,Lookup!$B$3)</f>
        <v>0</v>
      </c>
      <c r="AF21" s="178">
        <f>SUMIFS(Database!$G:$G,Database!$E:$E,Lookup!$C$3,Database!$C:$C,Lookup!AF$5,Database!$F:$F,Lookup!$C21,Database!$D:$D,Lookup!$B$3)</f>
        <v>0</v>
      </c>
      <c r="AG21" s="178">
        <f>SUMIFS(Database!$G:$G,Database!$E:$E,Lookup!$C$3,Database!$C:$C,Lookup!AG$5,Database!$F:$F,Lookup!$C21,Database!$D:$D,Lookup!$B$3)</f>
        <v>0</v>
      </c>
      <c r="AH21" s="178">
        <f>SUMIFS(Database!$G:$G,Database!$E:$E,Lookup!$C$3,Database!$C:$C,Lookup!AH$5,Database!$F:$F,Lookup!$C21,Database!$D:$D,Lookup!$B$3)</f>
        <v>0</v>
      </c>
      <c r="AI21" s="178">
        <f>SUMIFS(Database!$G:$G,Database!$E:$E,Lookup!$C$3,Database!$C:$C,Lookup!AI$5,Database!$F:$F,Lookup!$C21,Database!$D:$D,Lookup!$B$3)</f>
        <v>0</v>
      </c>
      <c r="AJ21" s="178">
        <f>SUMIFS(Database!$G:$G,Database!$E:$E,Lookup!$C$3,Database!$C:$C,Lookup!AJ$5,Database!$F:$F,Lookup!$C21,Database!$D:$D,Lookup!$B$3)</f>
        <v>0</v>
      </c>
      <c r="AK21" s="178">
        <f>SUMIFS(Database!$G:$G,Database!$E:$E,Lookup!$C$3,Database!$C:$C,Lookup!AK$5,Database!$F:$F,Lookup!$C21,Database!$D:$D,Lookup!$B$3)</f>
        <v>0</v>
      </c>
      <c r="AL21" s="178">
        <f>SUMIFS(Database!$G:$G,Database!$E:$E,Lookup!$C$3,Database!$C:$C,Lookup!AL$5,Database!$F:$F,Lookup!$C21,Database!$D:$D,Lookup!$B$3)</f>
        <v>15449</v>
      </c>
      <c r="AM21" s="178">
        <f>SUMIFS(Database!$G:$G,Database!$E:$E,Lookup!$C$3,Database!$C:$C,Lookup!AM$5,Database!$F:$F,Lookup!$C21,Database!$D:$D,Lookup!$B$3)</f>
        <v>496</v>
      </c>
      <c r="AN21" s="178">
        <f>SUMIFS(Database!$G:$G,Database!$E:$E,Lookup!$C$3,Database!$C:$C,Lookup!AN$5,Database!$F:$F,Lookup!$C21,Database!$D:$D,Lookup!$B$3)</f>
        <v>124</v>
      </c>
      <c r="AO21" s="178">
        <f>SUMIFS(Database!$G:$G,Database!$E:$E,Lookup!$C$3,Database!$C:$C,Lookup!AO$5,Database!$F:$F,Lookup!$C21,Database!$D:$D,Lookup!$B$3)</f>
        <v>0</v>
      </c>
      <c r="AP21" s="178">
        <f>SUMIFS(Database!$G:$G,Database!$E:$E,Lookup!$C$3,Database!$C:$C,Lookup!AP$5,Database!$F:$F,Lookup!$C21,Database!$D:$D,Lookup!$B$3)</f>
        <v>105</v>
      </c>
      <c r="AQ21" s="178">
        <f>SUMIFS(Database!$G:$G,Database!$E:$E,Lookup!$C$3,Database!$C:$C,Lookup!AQ$5,Database!$F:$F,Lookup!$C21,Database!$D:$D,Lookup!$B$3)</f>
        <v>28</v>
      </c>
      <c r="AR21" s="178">
        <f>SUMIFS(Database!$G:$G,Database!$E:$E,Lookup!$C$3,Database!$C:$C,Lookup!AR$5,Database!$F:$F,Lookup!$C21,Database!$D:$D,Lookup!$B$3)</f>
        <v>548</v>
      </c>
      <c r="AS21" s="178">
        <f>SUMIFS(Database!$G:$G,Database!$E:$E,Lookup!$C$3,Database!$C:$C,Lookup!AS$5,Database!$F:$F,Lookup!$C21,Database!$D:$D,Lookup!$B$3)</f>
        <v>464</v>
      </c>
      <c r="AT21" s="178">
        <f>SUMIFS(Database!$G:$G,Database!$E:$E,Lookup!$C$3,Database!$C:$C,Lookup!AT$5,Database!$F:$F,Lookup!$C21,Database!$D:$D,Lookup!$B$3)</f>
        <v>0</v>
      </c>
      <c r="AU21" s="178">
        <f>SUMIFS(Database!$G:$G,Database!$E:$E,Lookup!$C$3,Database!$C:$C,Lookup!AU$5,Database!$F:$F,Lookup!$C21,Database!$D:$D,Lookup!$B$3)</f>
        <v>2838</v>
      </c>
      <c r="AV21" s="178">
        <f>SUMIFS(Database!$G:$G,Database!$E:$E,Lookup!$C$3,Database!$C:$C,Lookup!AV$5,Database!$F:$F,Lookup!$C21,Database!$D:$D,Lookup!$B$3)</f>
        <v>761</v>
      </c>
      <c r="AW21" s="178">
        <f>SUMIFS(Database!$G:$G,Database!$E:$E,Lookup!$C$3,Database!$C:$C,Lookup!AW$5,Database!$F:$F,Lookup!$C21,Database!$D:$D,Lookup!$B$3)</f>
        <v>4828</v>
      </c>
      <c r="AX21" s="178">
        <f>SUMIFS(Database!$G:$G,Database!$E:$E,Lookup!$C$3,Database!$C:$C,Lookup!AX$5,Database!$F:$F,Lookup!$C21,Database!$D:$D,Lookup!$B$3)</f>
        <v>5268</v>
      </c>
      <c r="AY21" s="178">
        <f>SUMIFS(Database!$G:$G,Database!$E:$E,Lookup!$C$3,Database!$C:$C,Lookup!AY$5,Database!$F:$F,Lookup!$C21,Database!$D:$D,Lookup!$B$3)</f>
        <v>6274</v>
      </c>
      <c r="AZ21" s="178">
        <f>SUMIFS(Database!$G:$G,Database!$E:$E,Lookup!$C$3,Database!$C:$C,Lookup!AZ$5,Database!$F:$F,Lookup!$C21,Database!$D:$D,Lookup!$B$3)</f>
        <v>5585</v>
      </c>
      <c r="BA21" s="178">
        <f>SUMIFS(Database!$G:$G,Database!$E:$E,Lookup!$C$3,Database!$C:$C,Lookup!BA$5,Database!$F:$F,Lookup!$C21,Database!$D:$D,Lookup!$B$3)</f>
        <v>6220</v>
      </c>
      <c r="BB21" s="178">
        <f>SUMIFS(Database!$G:$G,Database!$E:$E,Lookup!$C$3,Database!$C:$C,Lookup!BB$5,Database!$F:$F,Lookup!$C21,Database!$D:$D,Lookup!$B$3)</f>
        <v>8010</v>
      </c>
      <c r="BC21" s="178">
        <f>SUMIFS(Database!$G:$G,Database!$E:$E,Lookup!$C$3,Database!$C:$C,Lookup!BC$5,Database!$F:$F,Lookup!$C21,Database!$D:$D,Lookup!$B$3)</f>
        <v>10607</v>
      </c>
      <c r="BD21" s="178">
        <f>SUMIFS(Database!$G:$G,Database!$E:$E,Lookup!$C$3,Database!$C:$C,Lookup!BD$5,Database!$F:$F,Lookup!$C21,Database!$D:$D,Lookup!$B$3)</f>
        <v>5517</v>
      </c>
      <c r="BE21" s="178">
        <f>SUMIFS(Database!$G:$G,Database!$E:$E,Lookup!$C$3,Database!$C:$C,Lookup!BE$5,Database!$F:$F,Lookup!$C21,Database!$D:$D,Lookup!$B$3)</f>
        <v>5543</v>
      </c>
      <c r="BF21" s="178">
        <f>SUMIFS(Database!$G:$G,Database!$E:$E,Lookup!$C$3,Database!$C:$C,Lookup!BF$5,Database!$F:$F,Lookup!$C21,Database!$D:$D,Lookup!$B$3)</f>
        <v>4076</v>
      </c>
      <c r="BG21" s="178">
        <f>SUMIFS(Database!$G:$G,Database!$E:$E,Lookup!$C$3,Database!$C:$C,Lookup!BG$5,Database!$F:$F,Lookup!$C21,Database!$D:$D,Lookup!$B$3)</f>
        <v>8660</v>
      </c>
      <c r="BH21" s="178">
        <f>SUMIFS(Database!$G:$G,Database!$E:$E,Lookup!$C$3,Database!$C:$C,Lookup!BH$5,Database!$F:$F,Lookup!$C21,Database!$D:$D,Lookup!$B$3)</f>
        <v>6466</v>
      </c>
      <c r="BI21" s="178">
        <f>SUMIFS(Database!$G:$G,Database!$E:$E,Lookup!$C$3,Database!$C:$C,Lookup!BI$5,Database!$F:$F,Lookup!$C21,Database!$D:$D,Lookup!$B$3)</f>
        <v>5850</v>
      </c>
      <c r="BJ21" s="178">
        <f>SUMIFS(Database!$G:$G,Database!$E:$E,Lookup!$C$3,Database!$C:$C,Lookup!BJ$5,Database!$F:$F,Lookup!$C21,Database!$D:$D,Lookup!$B$3)</f>
        <v>0</v>
      </c>
      <c r="BK21" s="178">
        <f>SUMIFS(Database!$G:$G,Database!$E:$E,Lookup!$C$3,Database!$C:$C,Lookup!BK$5,Database!$F:$F,Lookup!$C21,Database!$D:$D,Lookup!$B$3)</f>
        <v>8466.5</v>
      </c>
      <c r="BL21" s="178">
        <f>SUMIFS(Database!$G:$G,Database!$E:$E,Lookup!$C$3,Database!$C:$C,Lookup!BL$5,Database!$F:$F,Lookup!$C21,Database!$D:$D,Lookup!$B$3)</f>
        <v>4084</v>
      </c>
      <c r="BM21" s="178">
        <f>SUMIFS(Database!$G:$G,Database!$E:$E,Lookup!$C$3,Database!$C:$C,Lookup!BM$5,Database!$F:$F,Lookup!$C21,Database!$D:$D,Lookup!$B$3)</f>
        <v>0</v>
      </c>
      <c r="BN21" s="178">
        <f>SUMIFS(Database!$G:$G,Database!$E:$E,Lookup!$C$3,Database!$C:$C,Lookup!BN$5,Database!$F:$F,Lookup!$C21,Database!$D:$D,Lookup!$B$3)</f>
        <v>0</v>
      </c>
      <c r="BO21" s="178">
        <f>SUMIFS(Database!$G:$G,Database!$E:$E,Lookup!$C$3,Database!$C:$C,Lookup!BO$5,Database!$F:$F,Lookup!$C21,Database!$D:$D,Lookup!$B$3)</f>
        <v>6033</v>
      </c>
      <c r="BP21" s="178">
        <f>SUMIFS(Database!$G:$G,Database!$E:$E,Lookup!$C$3,Database!$C:$C,Lookup!BP$5,Database!$F:$F,Lookup!$C21,Database!$D:$D,Lookup!$B$3)</f>
        <v>0</v>
      </c>
      <c r="BQ21" s="178">
        <f>SUMIFS(Database!$G:$G,Database!$E:$E,Lookup!$C$3,Database!$C:$C,Lookup!BQ$5,Database!$F:$F,Lookup!$C21,Database!$D:$D,Lookup!$B$3)</f>
        <v>6247</v>
      </c>
      <c r="BR21" s="178">
        <f>SUMIFS(Database!$G:$G,Database!$E:$E,Lookup!$C$3,Database!$C:$C,Lookup!BR$5,Database!$F:$F,Lookup!$C21,Database!$D:$D,Lookup!$B$3)</f>
        <v>9159</v>
      </c>
      <c r="BS21" s="178">
        <f>SUMIFS(Database!$G:$G,Database!$E:$E,Lookup!$C$3,Database!$C:$C,Lookup!BS$5,Database!$F:$F,Lookup!$C21,Database!$D:$D,Lookup!$B$3)</f>
        <v>6694</v>
      </c>
      <c r="BT21" s="178">
        <f>SUMIFS(Database!$G:$G,Database!$E:$E,Lookup!$C$3,Database!$C:$C,Lookup!BT$5,Database!$F:$F,Lookup!$C21,Database!$D:$D,Lookup!$B$3)</f>
        <v>0</v>
      </c>
      <c r="BU21" s="178">
        <f>SUMIFS(Database!$G:$G,Database!$E:$E,Lookup!$C$3,Database!$C:$C,Lookup!BU$5,Database!$F:$F,Lookup!$C21,Database!$D:$D,Lookup!$B$3)</f>
        <v>8643</v>
      </c>
      <c r="BV21" s="178">
        <f>SUMIFS(Database!$G:$G,Database!$E:$E,Lookup!$C$3,Database!$C:$C,Lookup!BV$5,Database!$F:$F,Lookup!$C21,Database!$D:$D,Lookup!$B$3)</f>
        <v>16525</v>
      </c>
      <c r="BW21" s="178">
        <f>SUMIFS(Database!$G:$G,Database!$E:$E,Lookup!$C$3,Database!$C:$C,Lookup!BW$5,Database!$F:$F,Lookup!$C21,Database!$D:$D,Lookup!$B$3)</f>
        <v>0</v>
      </c>
      <c r="BX21" s="178">
        <f>SUMIFS(Database!$G:$G,Database!$E:$E,Lookup!$C$3,Database!$C:$C,Lookup!BX$5,Database!$F:$F,Lookup!$C21,Database!$D:$D,Lookup!$B$3)</f>
        <v>0</v>
      </c>
      <c r="BY21" s="178">
        <f>SUMIFS(Database!$G:$G,Database!$E:$E,Lookup!$C$3,Database!$C:$C,Lookup!BY$5,Database!$F:$F,Lookup!$C21,Database!$D:$D,Lookup!$B$3)</f>
        <v>0</v>
      </c>
      <c r="BZ21" s="178">
        <f>SUMIFS(Database!$G:$G,Database!$E:$E,Lookup!$C$3,Database!$C:$C,Lookup!BZ$5,Database!$F:$F,Lookup!$C21,Database!$D:$D,Lookup!$B$3)</f>
        <v>0</v>
      </c>
      <c r="CA21" s="178">
        <f>SUMIFS(Database!$G:$G,Database!$E:$E,Lookup!$C$3,Database!$C:$C,Lookup!CA$5,Database!$F:$F,Lookup!$C21,Database!$D:$D,Lookup!$B$3)</f>
        <v>0</v>
      </c>
      <c r="CB21" s="178">
        <f>SUMIFS(Database!$G:$G,Database!$E:$E,Lookup!$C$3,Database!$C:$C,Lookup!CB$5,Database!$F:$F,Lookup!$C21,Database!$D:$D,Lookup!$B$3)</f>
        <v>0</v>
      </c>
      <c r="CC21" s="178">
        <f>SUMIFS(Database!$G:$G,Database!$E:$E,Lookup!$C$3,Database!$C:$C,Lookup!CC$5,Database!$F:$F,Lookup!$C21,Database!$D:$D,Lookup!$B$3)</f>
        <v>0</v>
      </c>
      <c r="CD21" s="178">
        <f>SUMIFS(Database!$G:$G,Database!$E:$E,Lookup!$C$3,Database!$C:$C,Lookup!CD$5,Database!$F:$F,Lookup!$C21,Database!$D:$D,Lookup!$B$3)</f>
        <v>0</v>
      </c>
      <c r="CE21" s="178">
        <f>SUMIFS(Database!$G:$G,Database!$E:$E,Lookup!$C$3,Database!$C:$C,Lookup!CE$5,Database!$F:$F,Lookup!$C21,Database!$D:$D,Lookup!$B$3)</f>
        <v>0</v>
      </c>
      <c r="CF21" s="178">
        <f>SUMIFS(Database!$G:$G,Database!$E:$E,Lookup!$C$3,Database!$C:$C,Lookup!CF$5,Database!$F:$F,Lookup!$C21,Database!$D:$D,Lookup!$B$3)</f>
        <v>0</v>
      </c>
      <c r="CG21" s="178">
        <f>SUMIFS(Database!$G:$G,Database!$E:$E,Lookup!$C$3,Database!$C:$C,Lookup!CG$5,Database!$F:$F,Lookup!$C21,Database!$D:$D,Lookup!$B$3)</f>
        <v>0</v>
      </c>
      <c r="CH21" s="178">
        <f>SUMIFS(Database!$G:$G,Database!$E:$E,Lookup!$C$3,Database!$C:$C,Lookup!CH$5,Database!$F:$F,Lookup!$C21,Database!$D:$D,Lookup!$B$3)</f>
        <v>0</v>
      </c>
      <c r="CI21" s="178">
        <f>SUMIFS(Database!$G:$G,Database!$E:$E,Lookup!$C$3,Database!$C:$C,Lookup!CI$5,Database!$F:$F,Lookup!$C21,Database!$D:$D,Lookup!$B$3)</f>
        <v>0</v>
      </c>
      <c r="CJ21" s="178">
        <f>SUMIFS(Database!$G:$G,Database!$E:$E,Lookup!$C$3,Database!$C:$C,Lookup!CJ$5,Database!$F:$F,Lookup!$C21,Database!$D:$D,Lookup!$B$3)</f>
        <v>0</v>
      </c>
      <c r="CK21" s="178">
        <f>SUMIFS(Database!$G:$G,Database!$E:$E,Lookup!$C$3,Database!$C:$C,Lookup!CK$5,Database!$F:$F,Lookup!$C21,Database!$D:$D,Lookup!$B$3)</f>
        <v>0</v>
      </c>
      <c r="CL21" s="178">
        <f>SUMIFS(Database!$G:$G,Database!$E:$E,Lookup!$C$3,Database!$C:$C,Lookup!CL$5,Database!$F:$F,Lookup!$C21,Database!$D:$D,Lookup!$B$3)</f>
        <v>0</v>
      </c>
      <c r="CM21" s="178">
        <f>SUMIFS(Database!$G:$G,Database!$E:$E,Lookup!$C$3,Database!$C:$C,Lookup!CM$5,Database!$F:$F,Lookup!$C21,Database!$D:$D,Lookup!$B$3)</f>
        <v>0</v>
      </c>
      <c r="CN21" s="178">
        <f>SUMIFS(Database!$G:$G,Database!$E:$E,Lookup!$C$3,Database!$C:$C,Lookup!CN$5,Database!$F:$F,Lookup!$C21,Database!$D:$D,Lookup!$B$3)</f>
        <v>0</v>
      </c>
      <c r="CO21" s="178">
        <f>SUMIFS(Database!$G:$G,Database!$E:$E,Lookup!$C$3,Database!$C:$C,Lookup!CO$5,Database!$F:$F,Lookup!$C21,Database!$D:$D,Lookup!$B$3)</f>
        <v>0</v>
      </c>
      <c r="CP21" s="178">
        <f>SUMIFS(Database!$G:$G,Database!$E:$E,Lookup!$C$3,Database!$C:$C,Lookup!CP$5,Database!$F:$F,Lookup!$C21,Database!$D:$D,Lookup!$B$3)</f>
        <v>0</v>
      </c>
      <c r="CQ21" s="178">
        <f>SUMIFS(Database!$G:$G,Database!$E:$E,Lookup!$C$3,Database!$C:$C,Lookup!CQ$5,Database!$F:$F,Lookup!$C21,Database!$D:$D,Lookup!$B$3)</f>
        <v>0</v>
      </c>
      <c r="CR21" s="178">
        <f>SUMIFS(Database!$G:$G,Database!$E:$E,Lookup!$C$3,Database!$C:$C,Lookup!CR$5,Database!$F:$F,Lookup!$C21,Database!$D:$D,Lookup!$B$3)</f>
        <v>0</v>
      </c>
      <c r="CS21" s="178">
        <f>SUMIFS(Database!$G:$G,Database!$E:$E,Lookup!$C$3,Database!$C:$C,Lookup!CS$5,Database!$F:$F,Lookup!$C21,Database!$D:$D,Lookup!$B$3)</f>
        <v>0</v>
      </c>
      <c r="CT21" s="178">
        <f>SUMIFS(Database!$G:$G,Database!$E:$E,Lookup!$C$3,Database!$C:$C,Lookup!CT$5,Database!$F:$F,Lookup!$C21,Database!$D:$D,Lookup!$B$3)</f>
        <v>0</v>
      </c>
      <c r="CU21" s="178">
        <f>SUMIFS(Database!$G:$G,Database!$E:$E,Lookup!$C$3,Database!$C:$C,Lookup!CU$5,Database!$F:$F,Lookup!$C21,Database!$D:$D,Lookup!$B$3)</f>
        <v>0</v>
      </c>
      <c r="CV21" s="179">
        <f>SUMIFS(Database!$G:$G,Database!$E:$E,Lookup!$C$3,Database!$C:$C,Lookup!CV$5,Database!$F:$F,Lookup!$C21,Database!$D:$D,Lookup!$B$3)</f>
        <v>0</v>
      </c>
    </row>
    <row r="22" spans="3:100" x14ac:dyDescent="0.25">
      <c r="C22" s="217" t="s">
        <v>284</v>
      </c>
      <c r="D22" s="222"/>
      <c r="E22" s="228">
        <f>SUMIFS(Database!$G:$G,Database!$E:$E,Lookup!$C$3,Database!$C:$C,Lookup!E$5,Database!$F:$F,Lookup!$C22,Database!$D:$D,Lookup!$B$3)</f>
        <v>0</v>
      </c>
      <c r="F22" s="176">
        <f>SUMIFS(Database!$G:$G,Database!$E:$E,Lookup!$C$3,Database!$C:$C,Lookup!F$5,Database!$F:$F,Lookup!$C22,Database!$D:$D,Lookup!$B$3)</f>
        <v>0</v>
      </c>
      <c r="G22" s="176">
        <f>SUMIFS(Database!$G:$G,Database!$E:$E,Lookup!$C$3,Database!$C:$C,Lookup!G$5,Database!$F:$F,Lookup!$C22,Database!$D:$D,Lookup!$B$3)</f>
        <v>0</v>
      </c>
      <c r="H22" s="176">
        <f>SUMIFS(Database!$G:$G,Database!$E:$E,Lookup!$C$3,Database!$C:$C,Lookup!H$5,Database!$F:$F,Lookup!$C22,Database!$D:$D,Lookup!$B$3)</f>
        <v>0</v>
      </c>
      <c r="I22" s="176">
        <f>SUMIFS(Database!$G:$G,Database!$E:$E,Lookup!$C$3,Database!$C:$C,Lookup!I$5,Database!$F:$F,Lookup!$C22,Database!$D:$D,Lookup!$B$3)</f>
        <v>0</v>
      </c>
      <c r="J22" s="176">
        <f>SUMIFS(Database!$G:$G,Database!$E:$E,Lookup!$C$3,Database!$C:$C,Lookup!J$5,Database!$F:$F,Lookup!$C22,Database!$D:$D,Lookup!$B$3)</f>
        <v>0</v>
      </c>
      <c r="K22" s="176">
        <f>SUMIFS(Database!$G:$G,Database!$E:$E,Lookup!$C$3,Database!$C:$C,Lookup!K$5,Database!$F:$F,Lookup!$C22,Database!$D:$D,Lookup!$B$3)</f>
        <v>0</v>
      </c>
      <c r="L22" s="176">
        <f>SUMIFS(Database!$G:$G,Database!$E:$E,Lookup!$C$3,Database!$C:$C,Lookup!L$5,Database!$F:$F,Lookup!$C22,Database!$D:$D,Lookup!$B$3)</f>
        <v>0</v>
      </c>
      <c r="M22" s="176">
        <f>SUMIFS(Database!$G:$G,Database!$E:$E,Lookup!$C$3,Database!$C:$C,Lookup!M$5,Database!$F:$F,Lookup!$C22,Database!$D:$D,Lookup!$B$3)</f>
        <v>0</v>
      </c>
      <c r="N22" s="176">
        <f>SUMIFS(Database!$G:$G,Database!$E:$E,Lookup!$C$3,Database!$C:$C,Lookup!N$5,Database!$F:$F,Lookup!$C22,Database!$D:$D,Lookup!$B$3)</f>
        <v>0</v>
      </c>
      <c r="O22" s="176">
        <f>SUMIFS(Database!$G:$G,Database!$E:$E,Lookup!$C$3,Database!$C:$C,Lookup!O$5,Database!$F:$F,Lookup!$C22,Database!$D:$D,Lookup!$B$3)</f>
        <v>0</v>
      </c>
      <c r="P22" s="176">
        <f>SUMIFS(Database!$G:$G,Database!$E:$E,Lookup!$C$3,Database!$C:$C,Lookup!P$5,Database!$F:$F,Lookup!$C22,Database!$D:$D,Lookup!$B$3)</f>
        <v>0</v>
      </c>
      <c r="Q22" s="176">
        <f>SUMIFS(Database!$G:$G,Database!$E:$E,Lookup!$C$3,Database!$C:$C,Lookup!Q$5,Database!$F:$F,Lookup!$C22,Database!$D:$D,Lookup!$B$3)</f>
        <v>0</v>
      </c>
      <c r="R22" s="176">
        <f>SUMIFS(Database!$G:$G,Database!$E:$E,Lookup!$C$3,Database!$C:$C,Lookup!R$5,Database!$F:$F,Lookup!$C22,Database!$D:$D,Lookup!$B$3)</f>
        <v>0</v>
      </c>
      <c r="S22" s="176">
        <f>SUMIFS(Database!$G:$G,Database!$E:$E,Lookup!$C$3,Database!$C:$C,Lookup!S$5,Database!$F:$F,Lookup!$C22,Database!$D:$D,Lookup!$B$3)</f>
        <v>0</v>
      </c>
      <c r="T22" s="176">
        <f>SUMIFS(Database!$G:$G,Database!$E:$E,Lookup!$C$3,Database!$C:$C,Lookup!T$5,Database!$F:$F,Lookup!$C22,Database!$D:$D,Lookup!$B$3)</f>
        <v>0</v>
      </c>
      <c r="U22" s="176">
        <f>SUMIFS(Database!$G:$G,Database!$E:$E,Lookup!$C$3,Database!$C:$C,Lookup!U$5,Database!$F:$F,Lookup!$C22,Database!$D:$D,Lookup!$B$3)</f>
        <v>0</v>
      </c>
      <c r="V22" s="176">
        <f>SUMIFS(Database!$G:$G,Database!$E:$E,Lookup!$C$3,Database!$C:$C,Lookup!V$5,Database!$F:$F,Lookup!$C22,Database!$D:$D,Lookup!$B$3)</f>
        <v>0</v>
      </c>
      <c r="W22" s="176">
        <f>SUMIFS(Database!$G:$G,Database!$E:$E,Lookup!$C$3,Database!$C:$C,Lookup!W$5,Database!$F:$F,Lookup!$C22,Database!$D:$D,Lookup!$B$3)</f>
        <v>0</v>
      </c>
      <c r="X22" s="176">
        <f>SUMIFS(Database!$G:$G,Database!$E:$E,Lookup!$C$3,Database!$C:$C,Lookup!X$5,Database!$F:$F,Lookup!$C22,Database!$D:$D,Lookup!$B$3)</f>
        <v>0</v>
      </c>
      <c r="Y22" s="176">
        <f>SUMIFS(Database!$G:$G,Database!$E:$E,Lookup!$C$3,Database!$C:$C,Lookup!Y$5,Database!$F:$F,Lookup!$C22,Database!$D:$D,Lookup!$B$3)</f>
        <v>0</v>
      </c>
      <c r="Z22" s="176">
        <f>SUMIFS(Database!$G:$G,Database!$E:$E,Lookup!$C$3,Database!$C:$C,Lookup!Z$5,Database!$F:$F,Lookup!$C22,Database!$D:$D,Lookup!$B$3)</f>
        <v>0</v>
      </c>
      <c r="AA22" s="176">
        <f>SUMIFS(Database!$G:$G,Database!$E:$E,Lookup!$C$3,Database!$C:$C,Lookup!AA$5,Database!$F:$F,Lookup!$C22,Database!$D:$D,Lookup!$B$3)</f>
        <v>0</v>
      </c>
      <c r="AB22" s="176">
        <f>SUMIFS(Database!$G:$G,Database!$E:$E,Lookup!$C$3,Database!$C:$C,Lookup!AB$5,Database!$F:$F,Lookup!$C22,Database!$D:$D,Lookup!$B$3)</f>
        <v>0</v>
      </c>
      <c r="AC22" s="176">
        <f>SUMIFS(Database!$G:$G,Database!$E:$E,Lookup!$C$3,Database!$C:$C,Lookup!AC$5,Database!$F:$F,Lookup!$C22,Database!$D:$D,Lookup!$B$3)</f>
        <v>0</v>
      </c>
      <c r="AD22" s="176">
        <f>SUMIFS(Database!$G:$G,Database!$E:$E,Lookup!$C$3,Database!$C:$C,Lookup!AD$5,Database!$F:$F,Lookup!$C22,Database!$D:$D,Lookup!$B$3)</f>
        <v>0</v>
      </c>
      <c r="AE22" s="176">
        <f>SUMIFS(Database!$G:$G,Database!$E:$E,Lookup!$C$3,Database!$C:$C,Lookup!AE$5,Database!$F:$F,Lookup!$C22,Database!$D:$D,Lookup!$B$3)</f>
        <v>0</v>
      </c>
      <c r="AF22" s="176">
        <f>SUMIFS(Database!$G:$G,Database!$E:$E,Lookup!$C$3,Database!$C:$C,Lookup!AF$5,Database!$F:$F,Lookup!$C22,Database!$D:$D,Lookup!$B$3)</f>
        <v>0</v>
      </c>
      <c r="AG22" s="176">
        <f>SUMIFS(Database!$G:$G,Database!$E:$E,Lookup!$C$3,Database!$C:$C,Lookup!AG$5,Database!$F:$F,Lookup!$C22,Database!$D:$D,Lookup!$B$3)</f>
        <v>0</v>
      </c>
      <c r="AH22" s="176">
        <f>SUMIFS(Database!$G:$G,Database!$E:$E,Lookup!$C$3,Database!$C:$C,Lookup!AH$5,Database!$F:$F,Lookup!$C22,Database!$D:$D,Lookup!$B$3)</f>
        <v>0</v>
      </c>
      <c r="AI22" s="176">
        <f>SUMIFS(Database!$G:$G,Database!$E:$E,Lookup!$C$3,Database!$C:$C,Lookup!AI$5,Database!$F:$F,Lookup!$C22,Database!$D:$D,Lookup!$B$3)</f>
        <v>0</v>
      </c>
      <c r="AJ22" s="176">
        <f>SUMIFS(Database!$G:$G,Database!$E:$E,Lookup!$C$3,Database!$C:$C,Lookup!AJ$5,Database!$F:$F,Lookup!$C22,Database!$D:$D,Lookup!$B$3)</f>
        <v>0</v>
      </c>
      <c r="AK22" s="176">
        <f>SUMIFS(Database!$G:$G,Database!$E:$E,Lookup!$C$3,Database!$C:$C,Lookup!AK$5,Database!$F:$F,Lookup!$C22,Database!$D:$D,Lookup!$B$3)</f>
        <v>0</v>
      </c>
      <c r="AL22" s="176">
        <f>SUMIFS(Database!$G:$G,Database!$E:$E,Lookup!$C$3,Database!$C:$C,Lookup!AL$5,Database!$F:$F,Lookup!$C22,Database!$D:$D,Lookup!$B$3)</f>
        <v>0</v>
      </c>
      <c r="AM22" s="176">
        <f>SUMIFS(Database!$G:$G,Database!$E:$E,Lookup!$C$3,Database!$C:$C,Lookup!AM$5,Database!$F:$F,Lookup!$C22,Database!$D:$D,Lookup!$B$3)</f>
        <v>0</v>
      </c>
      <c r="AN22" s="176">
        <f>SUMIFS(Database!$G:$G,Database!$E:$E,Lookup!$C$3,Database!$C:$C,Lookup!AN$5,Database!$F:$F,Lookup!$C22,Database!$D:$D,Lookup!$B$3)</f>
        <v>0</v>
      </c>
      <c r="AO22" s="176">
        <f>SUMIFS(Database!$G:$G,Database!$E:$E,Lookup!$C$3,Database!$C:$C,Lookup!AO$5,Database!$F:$F,Lookup!$C22,Database!$D:$D,Lookup!$B$3)</f>
        <v>0</v>
      </c>
      <c r="AP22" s="176">
        <f>SUMIFS(Database!$G:$G,Database!$E:$E,Lookup!$C$3,Database!$C:$C,Lookup!AP$5,Database!$F:$F,Lookup!$C22,Database!$D:$D,Lookup!$B$3)</f>
        <v>0</v>
      </c>
      <c r="AQ22" s="176">
        <f>SUMIFS(Database!$G:$G,Database!$E:$E,Lookup!$C$3,Database!$C:$C,Lookup!AQ$5,Database!$F:$F,Lookup!$C22,Database!$D:$D,Lookup!$B$3)</f>
        <v>0</v>
      </c>
      <c r="AR22" s="176">
        <f>SUMIFS(Database!$G:$G,Database!$E:$E,Lookup!$C$3,Database!$C:$C,Lookup!AR$5,Database!$F:$F,Lookup!$C22,Database!$D:$D,Lookup!$B$3)</f>
        <v>0</v>
      </c>
      <c r="AS22" s="176">
        <f>SUMIFS(Database!$G:$G,Database!$E:$E,Lookup!$C$3,Database!$C:$C,Lookup!AS$5,Database!$F:$F,Lookup!$C22,Database!$D:$D,Lookup!$B$3)</f>
        <v>0</v>
      </c>
      <c r="AT22" s="176">
        <f>SUMIFS(Database!$G:$G,Database!$E:$E,Lookup!$C$3,Database!$C:$C,Lookup!AT$5,Database!$F:$F,Lookup!$C22,Database!$D:$D,Lookup!$B$3)</f>
        <v>0</v>
      </c>
      <c r="AU22" s="176">
        <f>SUMIFS(Database!$G:$G,Database!$E:$E,Lookup!$C$3,Database!$C:$C,Lookup!AU$5,Database!$F:$F,Lookup!$C22,Database!$D:$D,Lookup!$B$3)</f>
        <v>0</v>
      </c>
      <c r="AV22" s="176">
        <f>SUMIFS(Database!$G:$G,Database!$E:$E,Lookup!$C$3,Database!$C:$C,Lookup!AV$5,Database!$F:$F,Lookup!$C22,Database!$D:$D,Lookup!$B$3)</f>
        <v>0</v>
      </c>
      <c r="AW22" s="176">
        <f>SUMIFS(Database!$G:$G,Database!$E:$E,Lookup!$C$3,Database!$C:$C,Lookup!AW$5,Database!$F:$F,Lookup!$C22,Database!$D:$D,Lookup!$B$3)</f>
        <v>0</v>
      </c>
      <c r="AX22" s="176">
        <f>SUMIFS(Database!$G:$G,Database!$E:$E,Lookup!$C$3,Database!$C:$C,Lookup!AX$5,Database!$F:$F,Lookup!$C22,Database!$D:$D,Lookup!$B$3)</f>
        <v>0</v>
      </c>
      <c r="AY22" s="176">
        <f>SUMIFS(Database!$G:$G,Database!$E:$E,Lookup!$C$3,Database!$C:$C,Lookup!AY$5,Database!$F:$F,Lookup!$C22,Database!$D:$D,Lookup!$B$3)</f>
        <v>0</v>
      </c>
      <c r="AZ22" s="176">
        <f>SUMIFS(Database!$G:$G,Database!$E:$E,Lookup!$C$3,Database!$C:$C,Lookup!AZ$5,Database!$F:$F,Lookup!$C22,Database!$D:$D,Lookup!$B$3)</f>
        <v>0</v>
      </c>
      <c r="BA22" s="176">
        <f>SUMIFS(Database!$G:$G,Database!$E:$E,Lookup!$C$3,Database!$C:$C,Lookup!BA$5,Database!$F:$F,Lookup!$C22,Database!$D:$D,Lookup!$B$3)</f>
        <v>0</v>
      </c>
      <c r="BB22" s="176">
        <f>SUMIFS(Database!$G:$G,Database!$E:$E,Lookup!$C$3,Database!$C:$C,Lookup!BB$5,Database!$F:$F,Lookup!$C22,Database!$D:$D,Lookup!$B$3)</f>
        <v>0</v>
      </c>
      <c r="BC22" s="176">
        <f>SUMIFS(Database!$G:$G,Database!$E:$E,Lookup!$C$3,Database!$C:$C,Lookup!BC$5,Database!$F:$F,Lookup!$C22,Database!$D:$D,Lookup!$B$3)</f>
        <v>0</v>
      </c>
      <c r="BD22" s="176">
        <f>SUMIFS(Database!$G:$G,Database!$E:$E,Lookup!$C$3,Database!$C:$C,Lookup!BD$5,Database!$F:$F,Lookup!$C22,Database!$D:$D,Lookup!$B$3)</f>
        <v>0</v>
      </c>
      <c r="BE22" s="176">
        <f>SUMIFS(Database!$G:$G,Database!$E:$E,Lookup!$C$3,Database!$C:$C,Lookup!BE$5,Database!$F:$F,Lookup!$C22,Database!$D:$D,Lookup!$B$3)</f>
        <v>0</v>
      </c>
      <c r="BF22" s="176">
        <f>SUMIFS(Database!$G:$G,Database!$E:$E,Lookup!$C$3,Database!$C:$C,Lookup!BF$5,Database!$F:$F,Lookup!$C22,Database!$D:$D,Lookup!$B$3)</f>
        <v>0</v>
      </c>
      <c r="BG22" s="176">
        <f>SUMIFS(Database!$G:$G,Database!$E:$E,Lookup!$C$3,Database!$C:$C,Lookup!BG$5,Database!$F:$F,Lookup!$C22,Database!$D:$D,Lookup!$B$3)</f>
        <v>0</v>
      </c>
      <c r="BH22" s="176">
        <f>SUMIFS(Database!$G:$G,Database!$E:$E,Lookup!$C$3,Database!$C:$C,Lookup!BH$5,Database!$F:$F,Lookup!$C22,Database!$D:$D,Lookup!$B$3)</f>
        <v>0</v>
      </c>
      <c r="BI22" s="176">
        <f>SUMIFS(Database!$G:$G,Database!$E:$E,Lookup!$C$3,Database!$C:$C,Lookup!BI$5,Database!$F:$F,Lookup!$C22,Database!$D:$D,Lookup!$B$3)</f>
        <v>0</v>
      </c>
      <c r="BJ22" s="176">
        <f>SUMIFS(Database!$G:$G,Database!$E:$E,Lookup!$C$3,Database!$C:$C,Lookup!BJ$5,Database!$F:$F,Lookup!$C22,Database!$D:$D,Lookup!$B$3)</f>
        <v>0</v>
      </c>
      <c r="BK22" s="176">
        <f>SUMIFS(Database!$G:$G,Database!$E:$E,Lookup!$C$3,Database!$C:$C,Lookup!BK$5,Database!$F:$F,Lookup!$C22,Database!$D:$D,Lookup!$B$3)</f>
        <v>0</v>
      </c>
      <c r="BL22" s="176">
        <f>SUMIFS(Database!$G:$G,Database!$E:$E,Lookup!$C$3,Database!$C:$C,Lookup!BL$5,Database!$F:$F,Lookup!$C22,Database!$D:$D,Lookup!$B$3)</f>
        <v>0</v>
      </c>
      <c r="BM22" s="176">
        <f>SUMIFS(Database!$G:$G,Database!$E:$E,Lookup!$C$3,Database!$C:$C,Lookup!BM$5,Database!$F:$F,Lookup!$C22,Database!$D:$D,Lookup!$B$3)</f>
        <v>0</v>
      </c>
      <c r="BN22" s="176">
        <f>SUMIFS(Database!$G:$G,Database!$E:$E,Lookup!$C$3,Database!$C:$C,Lookup!BN$5,Database!$F:$F,Lookup!$C22,Database!$D:$D,Lookup!$B$3)</f>
        <v>0</v>
      </c>
      <c r="BO22" s="176">
        <f>SUMIFS(Database!$G:$G,Database!$E:$E,Lookup!$C$3,Database!$C:$C,Lookup!BO$5,Database!$F:$F,Lookup!$C22,Database!$D:$D,Lookup!$B$3)</f>
        <v>0</v>
      </c>
      <c r="BP22" s="176">
        <f>SUMIFS(Database!$G:$G,Database!$E:$E,Lookup!$C$3,Database!$C:$C,Lookup!BP$5,Database!$F:$F,Lookup!$C22,Database!$D:$D,Lookup!$B$3)</f>
        <v>0</v>
      </c>
      <c r="BQ22" s="176">
        <f>SUMIFS(Database!$G:$G,Database!$E:$E,Lookup!$C$3,Database!$C:$C,Lookup!BQ$5,Database!$F:$F,Lookup!$C22,Database!$D:$D,Lookup!$B$3)</f>
        <v>0</v>
      </c>
      <c r="BR22" s="176">
        <f>SUMIFS(Database!$G:$G,Database!$E:$E,Lookup!$C$3,Database!$C:$C,Lookup!BR$5,Database!$F:$F,Lookup!$C22,Database!$D:$D,Lookup!$B$3)</f>
        <v>0</v>
      </c>
      <c r="BS22" s="176">
        <f>SUMIFS(Database!$G:$G,Database!$E:$E,Lookup!$C$3,Database!$C:$C,Lookup!BS$5,Database!$F:$F,Lookup!$C22,Database!$D:$D,Lookup!$B$3)</f>
        <v>0</v>
      </c>
      <c r="BT22" s="176">
        <f>SUMIFS(Database!$G:$G,Database!$E:$E,Lookup!$C$3,Database!$C:$C,Lookup!BT$5,Database!$F:$F,Lookup!$C22,Database!$D:$D,Lookup!$B$3)</f>
        <v>0</v>
      </c>
      <c r="BU22" s="176">
        <f>SUMIFS(Database!$G:$G,Database!$E:$E,Lookup!$C$3,Database!$C:$C,Lookup!BU$5,Database!$F:$F,Lookup!$C22,Database!$D:$D,Lookup!$B$3)</f>
        <v>0</v>
      </c>
      <c r="BV22" s="176">
        <f>SUMIFS(Database!$G:$G,Database!$E:$E,Lookup!$C$3,Database!$C:$C,Lookup!BV$5,Database!$F:$F,Lookup!$C22,Database!$D:$D,Lookup!$B$3)</f>
        <v>0</v>
      </c>
      <c r="BW22" s="176">
        <f>SUMIFS(Database!$G:$G,Database!$E:$E,Lookup!$C$3,Database!$C:$C,Lookup!BW$5,Database!$F:$F,Lookup!$C22,Database!$D:$D,Lookup!$B$3)</f>
        <v>0</v>
      </c>
      <c r="BX22" s="176">
        <f>SUMIFS(Database!$G:$G,Database!$E:$E,Lookup!$C$3,Database!$C:$C,Lookup!BX$5,Database!$F:$F,Lookup!$C22,Database!$D:$D,Lookup!$B$3)</f>
        <v>0</v>
      </c>
      <c r="BY22" s="176">
        <f>SUMIFS(Database!$G:$G,Database!$E:$E,Lookup!$C$3,Database!$C:$C,Lookup!BY$5,Database!$F:$F,Lookup!$C22,Database!$D:$D,Lookup!$B$3)</f>
        <v>0</v>
      </c>
      <c r="BZ22" s="176">
        <f>SUMIFS(Database!$G:$G,Database!$E:$E,Lookup!$C$3,Database!$C:$C,Lookup!BZ$5,Database!$F:$F,Lookup!$C22,Database!$D:$D,Lookup!$B$3)</f>
        <v>0</v>
      </c>
      <c r="CA22" s="176">
        <f>SUMIFS(Database!$G:$G,Database!$E:$E,Lookup!$C$3,Database!$C:$C,Lookup!CA$5,Database!$F:$F,Lookup!$C22,Database!$D:$D,Lookup!$B$3)</f>
        <v>0</v>
      </c>
      <c r="CB22" s="176">
        <f>SUMIFS(Database!$G:$G,Database!$E:$E,Lookup!$C$3,Database!$C:$C,Lookup!CB$5,Database!$F:$F,Lookup!$C22,Database!$D:$D,Lookup!$B$3)</f>
        <v>0</v>
      </c>
      <c r="CC22" s="176">
        <f>SUMIFS(Database!$G:$G,Database!$E:$E,Lookup!$C$3,Database!$C:$C,Lookup!CC$5,Database!$F:$F,Lookup!$C22,Database!$D:$D,Lookup!$B$3)</f>
        <v>0</v>
      </c>
      <c r="CD22" s="176">
        <f>SUMIFS(Database!$G:$G,Database!$E:$E,Lookup!$C$3,Database!$C:$C,Lookup!CD$5,Database!$F:$F,Lookup!$C22,Database!$D:$D,Lookup!$B$3)</f>
        <v>0</v>
      </c>
      <c r="CE22" s="176">
        <f>SUMIFS(Database!$G:$G,Database!$E:$E,Lookup!$C$3,Database!$C:$C,Lookup!CE$5,Database!$F:$F,Lookup!$C22,Database!$D:$D,Lookup!$B$3)</f>
        <v>0</v>
      </c>
      <c r="CF22" s="176">
        <f>SUMIFS(Database!$G:$G,Database!$E:$E,Lookup!$C$3,Database!$C:$C,Lookup!CF$5,Database!$F:$F,Lookup!$C22,Database!$D:$D,Lookup!$B$3)</f>
        <v>0</v>
      </c>
      <c r="CG22" s="176">
        <f>SUMIFS(Database!$G:$G,Database!$E:$E,Lookup!$C$3,Database!$C:$C,Lookup!CG$5,Database!$F:$F,Lookup!$C22,Database!$D:$D,Lookup!$B$3)</f>
        <v>0</v>
      </c>
      <c r="CH22" s="176">
        <f>SUMIFS(Database!$G:$G,Database!$E:$E,Lookup!$C$3,Database!$C:$C,Lookup!CH$5,Database!$F:$F,Lookup!$C22,Database!$D:$D,Lookup!$B$3)</f>
        <v>0</v>
      </c>
      <c r="CI22" s="176">
        <f>SUMIFS(Database!$G:$G,Database!$E:$E,Lookup!$C$3,Database!$C:$C,Lookup!CI$5,Database!$F:$F,Lookup!$C22,Database!$D:$D,Lookup!$B$3)</f>
        <v>0</v>
      </c>
      <c r="CJ22" s="176">
        <f>SUMIFS(Database!$G:$G,Database!$E:$E,Lookup!$C$3,Database!$C:$C,Lookup!CJ$5,Database!$F:$F,Lookup!$C22,Database!$D:$D,Lookup!$B$3)</f>
        <v>0</v>
      </c>
      <c r="CK22" s="176">
        <f>SUMIFS(Database!$G:$G,Database!$E:$E,Lookup!$C$3,Database!$C:$C,Lookup!CK$5,Database!$F:$F,Lookup!$C22,Database!$D:$D,Lookup!$B$3)</f>
        <v>0</v>
      </c>
      <c r="CL22" s="176">
        <f>SUMIFS(Database!$G:$G,Database!$E:$E,Lookup!$C$3,Database!$C:$C,Lookup!CL$5,Database!$F:$F,Lookup!$C22,Database!$D:$D,Lookup!$B$3)</f>
        <v>0</v>
      </c>
      <c r="CM22" s="176">
        <f>SUMIFS(Database!$G:$G,Database!$E:$E,Lookup!$C$3,Database!$C:$C,Lookup!CM$5,Database!$F:$F,Lookup!$C22,Database!$D:$D,Lookup!$B$3)</f>
        <v>0</v>
      </c>
      <c r="CN22" s="176">
        <f>SUMIFS(Database!$G:$G,Database!$E:$E,Lookup!$C$3,Database!$C:$C,Lookup!CN$5,Database!$F:$F,Lookup!$C22,Database!$D:$D,Lookup!$B$3)</f>
        <v>0</v>
      </c>
      <c r="CO22" s="176">
        <f>SUMIFS(Database!$G:$G,Database!$E:$E,Lookup!$C$3,Database!$C:$C,Lookup!CO$5,Database!$F:$F,Lookup!$C22,Database!$D:$D,Lookup!$B$3)</f>
        <v>0</v>
      </c>
      <c r="CP22" s="176">
        <f>SUMIFS(Database!$G:$G,Database!$E:$E,Lookup!$C$3,Database!$C:$C,Lookup!CP$5,Database!$F:$F,Lookup!$C22,Database!$D:$D,Lookup!$B$3)</f>
        <v>0</v>
      </c>
      <c r="CQ22" s="176">
        <f>SUMIFS(Database!$G:$G,Database!$E:$E,Lookup!$C$3,Database!$C:$C,Lookup!CQ$5,Database!$F:$F,Lookup!$C22,Database!$D:$D,Lookup!$B$3)</f>
        <v>0</v>
      </c>
      <c r="CR22" s="176">
        <f>SUMIFS(Database!$G:$G,Database!$E:$E,Lookup!$C$3,Database!$C:$C,Lookup!CR$5,Database!$F:$F,Lookup!$C22,Database!$D:$D,Lookup!$B$3)</f>
        <v>0</v>
      </c>
      <c r="CS22" s="176">
        <f>SUMIFS(Database!$G:$G,Database!$E:$E,Lookup!$C$3,Database!$C:$C,Lookup!CS$5,Database!$F:$F,Lookup!$C22,Database!$D:$D,Lookup!$B$3)</f>
        <v>0</v>
      </c>
      <c r="CT22" s="176">
        <f>SUMIFS(Database!$G:$G,Database!$E:$E,Lookup!$C$3,Database!$C:$C,Lookup!CT$5,Database!$F:$F,Lookup!$C22,Database!$D:$D,Lookup!$B$3)</f>
        <v>0</v>
      </c>
      <c r="CU22" s="176">
        <f>SUMIFS(Database!$G:$G,Database!$E:$E,Lookup!$C$3,Database!$C:$C,Lookup!CU$5,Database!$F:$F,Lookup!$C22,Database!$D:$D,Lookup!$B$3)</f>
        <v>0</v>
      </c>
      <c r="CV22" s="177">
        <f>SUMIFS(Database!$G:$G,Database!$E:$E,Lookup!$C$3,Database!$C:$C,Lookup!CV$5,Database!$F:$F,Lookup!$C22,Database!$D:$D,Lookup!$B$3)</f>
        <v>0</v>
      </c>
    </row>
    <row r="23" spans="3:100" x14ac:dyDescent="0.25">
      <c r="C23" s="217" t="s">
        <v>286</v>
      </c>
      <c r="D23" s="222"/>
      <c r="E23" s="228">
        <f>SUMIFS(Database!$G:$G,Database!$E:$E,Lookup!$C$3,Database!$C:$C,Lookup!E$5,Database!$F:$F,Lookup!$C23,Database!$D:$D,Lookup!$B$3)</f>
        <v>0</v>
      </c>
      <c r="F23" s="176">
        <f>SUMIFS(Database!$G:$G,Database!$E:$E,Lookup!$C$3,Database!$C:$C,Lookup!F$5,Database!$F:$F,Lookup!$C23,Database!$D:$D,Lookup!$B$3)</f>
        <v>0</v>
      </c>
      <c r="G23" s="176">
        <f>SUMIFS(Database!$G:$G,Database!$E:$E,Lookup!$C$3,Database!$C:$C,Lookup!G$5,Database!$F:$F,Lookup!$C23,Database!$D:$D,Lookup!$B$3)</f>
        <v>0</v>
      </c>
      <c r="H23" s="176">
        <f>SUMIFS(Database!$G:$G,Database!$E:$E,Lookup!$C$3,Database!$C:$C,Lookup!H$5,Database!$F:$F,Lookup!$C23,Database!$D:$D,Lookup!$B$3)</f>
        <v>0</v>
      </c>
      <c r="I23" s="176">
        <f>SUMIFS(Database!$G:$G,Database!$E:$E,Lookup!$C$3,Database!$C:$C,Lookup!I$5,Database!$F:$F,Lookup!$C23,Database!$D:$D,Lookup!$B$3)</f>
        <v>0</v>
      </c>
      <c r="J23" s="176">
        <f>SUMIFS(Database!$G:$G,Database!$E:$E,Lookup!$C$3,Database!$C:$C,Lookup!J$5,Database!$F:$F,Lookup!$C23,Database!$D:$D,Lookup!$B$3)</f>
        <v>0</v>
      </c>
      <c r="K23" s="176">
        <f>SUMIFS(Database!$G:$G,Database!$E:$E,Lookup!$C$3,Database!$C:$C,Lookup!K$5,Database!$F:$F,Lookup!$C23,Database!$D:$D,Lookup!$B$3)</f>
        <v>0</v>
      </c>
      <c r="L23" s="176">
        <f>SUMIFS(Database!$G:$G,Database!$E:$E,Lookup!$C$3,Database!$C:$C,Lookup!L$5,Database!$F:$F,Lookup!$C23,Database!$D:$D,Lookup!$B$3)</f>
        <v>0</v>
      </c>
      <c r="M23" s="176">
        <f>SUMIFS(Database!$G:$G,Database!$E:$E,Lookup!$C$3,Database!$C:$C,Lookup!M$5,Database!$F:$F,Lookup!$C23,Database!$D:$D,Lookup!$B$3)</f>
        <v>0</v>
      </c>
      <c r="N23" s="176">
        <f>SUMIFS(Database!$G:$G,Database!$E:$E,Lookup!$C$3,Database!$C:$C,Lookup!N$5,Database!$F:$F,Lookup!$C23,Database!$D:$D,Lookup!$B$3)</f>
        <v>0</v>
      </c>
      <c r="O23" s="176">
        <f>SUMIFS(Database!$G:$G,Database!$E:$E,Lookup!$C$3,Database!$C:$C,Lookup!O$5,Database!$F:$F,Lookup!$C23,Database!$D:$D,Lookup!$B$3)</f>
        <v>0</v>
      </c>
      <c r="P23" s="176">
        <f>SUMIFS(Database!$G:$G,Database!$E:$E,Lookup!$C$3,Database!$C:$C,Lookup!P$5,Database!$F:$F,Lookup!$C23,Database!$D:$D,Lookup!$B$3)</f>
        <v>0</v>
      </c>
      <c r="Q23" s="176">
        <f>SUMIFS(Database!$G:$G,Database!$E:$E,Lookup!$C$3,Database!$C:$C,Lookup!Q$5,Database!$F:$F,Lookup!$C23,Database!$D:$D,Lookup!$B$3)</f>
        <v>0</v>
      </c>
      <c r="R23" s="176">
        <f>SUMIFS(Database!$G:$G,Database!$E:$E,Lookup!$C$3,Database!$C:$C,Lookup!R$5,Database!$F:$F,Lookup!$C23,Database!$D:$D,Lookup!$B$3)</f>
        <v>0</v>
      </c>
      <c r="S23" s="176">
        <f>SUMIFS(Database!$G:$G,Database!$E:$E,Lookup!$C$3,Database!$C:$C,Lookup!S$5,Database!$F:$F,Lookup!$C23,Database!$D:$D,Lookup!$B$3)</f>
        <v>0</v>
      </c>
      <c r="T23" s="176">
        <f>SUMIFS(Database!$G:$G,Database!$E:$E,Lookup!$C$3,Database!$C:$C,Lookup!T$5,Database!$F:$F,Lookup!$C23,Database!$D:$D,Lookup!$B$3)</f>
        <v>0</v>
      </c>
      <c r="U23" s="176">
        <f>SUMIFS(Database!$G:$G,Database!$E:$E,Lookup!$C$3,Database!$C:$C,Lookup!U$5,Database!$F:$F,Lookup!$C23,Database!$D:$D,Lookup!$B$3)</f>
        <v>0</v>
      </c>
      <c r="V23" s="176">
        <f>SUMIFS(Database!$G:$G,Database!$E:$E,Lookup!$C$3,Database!$C:$C,Lookup!V$5,Database!$F:$F,Lookup!$C23,Database!$D:$D,Lookup!$B$3)</f>
        <v>0</v>
      </c>
      <c r="W23" s="176">
        <f>SUMIFS(Database!$G:$G,Database!$E:$E,Lookup!$C$3,Database!$C:$C,Lookup!W$5,Database!$F:$F,Lookup!$C23,Database!$D:$D,Lookup!$B$3)</f>
        <v>0</v>
      </c>
      <c r="X23" s="176">
        <f>SUMIFS(Database!$G:$G,Database!$E:$E,Lookup!$C$3,Database!$C:$C,Lookup!X$5,Database!$F:$F,Lookup!$C23,Database!$D:$D,Lookup!$B$3)</f>
        <v>0</v>
      </c>
      <c r="Y23" s="176">
        <f>SUMIFS(Database!$G:$G,Database!$E:$E,Lookup!$C$3,Database!$C:$C,Lookup!Y$5,Database!$F:$F,Lookup!$C23,Database!$D:$D,Lookup!$B$3)</f>
        <v>0</v>
      </c>
      <c r="Z23" s="176">
        <f>SUMIFS(Database!$G:$G,Database!$E:$E,Lookup!$C$3,Database!$C:$C,Lookup!Z$5,Database!$F:$F,Lookup!$C23,Database!$D:$D,Lookup!$B$3)</f>
        <v>0</v>
      </c>
      <c r="AA23" s="176">
        <f>SUMIFS(Database!$G:$G,Database!$E:$E,Lookup!$C$3,Database!$C:$C,Lookup!AA$5,Database!$F:$F,Lookup!$C23,Database!$D:$D,Lookup!$B$3)</f>
        <v>0</v>
      </c>
      <c r="AB23" s="176">
        <f>SUMIFS(Database!$G:$G,Database!$E:$E,Lookup!$C$3,Database!$C:$C,Lookup!AB$5,Database!$F:$F,Lookup!$C23,Database!$D:$D,Lookup!$B$3)</f>
        <v>0</v>
      </c>
      <c r="AC23" s="176">
        <f>SUMIFS(Database!$G:$G,Database!$E:$E,Lookup!$C$3,Database!$C:$C,Lookup!AC$5,Database!$F:$F,Lookup!$C23,Database!$D:$D,Lookup!$B$3)</f>
        <v>0</v>
      </c>
      <c r="AD23" s="176">
        <f>SUMIFS(Database!$G:$G,Database!$E:$E,Lookup!$C$3,Database!$C:$C,Lookup!AD$5,Database!$F:$F,Lookup!$C23,Database!$D:$D,Lookup!$B$3)</f>
        <v>0</v>
      </c>
      <c r="AE23" s="176">
        <f>SUMIFS(Database!$G:$G,Database!$E:$E,Lookup!$C$3,Database!$C:$C,Lookup!AE$5,Database!$F:$F,Lookup!$C23,Database!$D:$D,Lookup!$B$3)</f>
        <v>0</v>
      </c>
      <c r="AF23" s="176">
        <f>SUMIFS(Database!$G:$G,Database!$E:$E,Lookup!$C$3,Database!$C:$C,Lookup!AF$5,Database!$F:$F,Lookup!$C23,Database!$D:$D,Lookup!$B$3)</f>
        <v>0</v>
      </c>
      <c r="AG23" s="176">
        <f>SUMIFS(Database!$G:$G,Database!$E:$E,Lookup!$C$3,Database!$C:$C,Lookup!AG$5,Database!$F:$F,Lookup!$C23,Database!$D:$D,Lookup!$B$3)</f>
        <v>0</v>
      </c>
      <c r="AH23" s="176">
        <f>SUMIFS(Database!$G:$G,Database!$E:$E,Lookup!$C$3,Database!$C:$C,Lookup!AH$5,Database!$F:$F,Lookup!$C23,Database!$D:$D,Lookup!$B$3)</f>
        <v>0</v>
      </c>
      <c r="AI23" s="176">
        <f>SUMIFS(Database!$G:$G,Database!$E:$E,Lookup!$C$3,Database!$C:$C,Lookup!AI$5,Database!$F:$F,Lookup!$C23,Database!$D:$D,Lookup!$B$3)</f>
        <v>0</v>
      </c>
      <c r="AJ23" s="176">
        <f>SUMIFS(Database!$G:$G,Database!$E:$E,Lookup!$C$3,Database!$C:$C,Lookup!AJ$5,Database!$F:$F,Lookup!$C23,Database!$D:$D,Lookup!$B$3)</f>
        <v>0</v>
      </c>
      <c r="AK23" s="176">
        <f>SUMIFS(Database!$G:$G,Database!$E:$E,Lookup!$C$3,Database!$C:$C,Lookup!AK$5,Database!$F:$F,Lookup!$C23,Database!$D:$D,Lookup!$B$3)</f>
        <v>0</v>
      </c>
      <c r="AL23" s="176">
        <f>SUMIFS(Database!$G:$G,Database!$E:$E,Lookup!$C$3,Database!$C:$C,Lookup!AL$5,Database!$F:$F,Lookup!$C23,Database!$D:$D,Lookup!$B$3)</f>
        <v>0</v>
      </c>
      <c r="AM23" s="176">
        <f>SUMIFS(Database!$G:$G,Database!$E:$E,Lookup!$C$3,Database!$C:$C,Lookup!AM$5,Database!$F:$F,Lookup!$C23,Database!$D:$D,Lookup!$B$3)</f>
        <v>0</v>
      </c>
      <c r="AN23" s="176">
        <f>SUMIFS(Database!$G:$G,Database!$E:$E,Lookup!$C$3,Database!$C:$C,Lookup!AN$5,Database!$F:$F,Lookup!$C23,Database!$D:$D,Lookup!$B$3)</f>
        <v>0</v>
      </c>
      <c r="AO23" s="176">
        <f>SUMIFS(Database!$G:$G,Database!$E:$E,Lookup!$C$3,Database!$C:$C,Lookup!AO$5,Database!$F:$F,Lookup!$C23,Database!$D:$D,Lookup!$B$3)</f>
        <v>0</v>
      </c>
      <c r="AP23" s="176">
        <f>SUMIFS(Database!$G:$G,Database!$E:$E,Lookup!$C$3,Database!$C:$C,Lookup!AP$5,Database!$F:$F,Lookup!$C23,Database!$D:$D,Lookup!$B$3)</f>
        <v>0</v>
      </c>
      <c r="AQ23" s="176">
        <f>SUMIFS(Database!$G:$G,Database!$E:$E,Lookup!$C$3,Database!$C:$C,Lookup!AQ$5,Database!$F:$F,Lookup!$C23,Database!$D:$D,Lookup!$B$3)</f>
        <v>0</v>
      </c>
      <c r="AR23" s="176">
        <f>SUMIFS(Database!$G:$G,Database!$E:$E,Lookup!$C$3,Database!$C:$C,Lookup!AR$5,Database!$F:$F,Lookup!$C23,Database!$D:$D,Lookup!$B$3)</f>
        <v>0</v>
      </c>
      <c r="AS23" s="176">
        <f>SUMIFS(Database!$G:$G,Database!$E:$E,Lookup!$C$3,Database!$C:$C,Lookup!AS$5,Database!$F:$F,Lookup!$C23,Database!$D:$D,Lookup!$B$3)</f>
        <v>0</v>
      </c>
      <c r="AT23" s="176">
        <f>SUMIFS(Database!$G:$G,Database!$E:$E,Lookup!$C$3,Database!$C:$C,Lookup!AT$5,Database!$F:$F,Lookup!$C23,Database!$D:$D,Lookup!$B$3)</f>
        <v>0</v>
      </c>
      <c r="AU23" s="176">
        <f>SUMIFS(Database!$G:$G,Database!$E:$E,Lookup!$C$3,Database!$C:$C,Lookup!AU$5,Database!$F:$F,Lookup!$C23,Database!$D:$D,Lookup!$B$3)</f>
        <v>0</v>
      </c>
      <c r="AV23" s="176">
        <f>SUMIFS(Database!$G:$G,Database!$E:$E,Lookup!$C$3,Database!$C:$C,Lookup!AV$5,Database!$F:$F,Lookup!$C23,Database!$D:$D,Lookup!$B$3)</f>
        <v>0</v>
      </c>
      <c r="AW23" s="176">
        <f>SUMIFS(Database!$G:$G,Database!$E:$E,Lookup!$C$3,Database!$C:$C,Lookup!AW$5,Database!$F:$F,Lookup!$C23,Database!$D:$D,Lookup!$B$3)</f>
        <v>0</v>
      </c>
      <c r="AX23" s="176">
        <f>SUMIFS(Database!$G:$G,Database!$E:$E,Lookup!$C$3,Database!$C:$C,Lookup!AX$5,Database!$F:$F,Lookup!$C23,Database!$D:$D,Lookup!$B$3)</f>
        <v>0</v>
      </c>
      <c r="AY23" s="176">
        <f>SUMIFS(Database!$G:$G,Database!$E:$E,Lookup!$C$3,Database!$C:$C,Lookup!AY$5,Database!$F:$F,Lookup!$C23,Database!$D:$D,Lookup!$B$3)</f>
        <v>0</v>
      </c>
      <c r="AZ23" s="176">
        <f>SUMIFS(Database!$G:$G,Database!$E:$E,Lookup!$C$3,Database!$C:$C,Lookup!AZ$5,Database!$F:$F,Lookup!$C23,Database!$D:$D,Lookup!$B$3)</f>
        <v>0</v>
      </c>
      <c r="BA23" s="176">
        <f>SUMIFS(Database!$G:$G,Database!$E:$E,Lookup!$C$3,Database!$C:$C,Lookup!BA$5,Database!$F:$F,Lookup!$C23,Database!$D:$D,Lookup!$B$3)</f>
        <v>0</v>
      </c>
      <c r="BB23" s="176">
        <f>SUMIFS(Database!$G:$G,Database!$E:$E,Lookup!$C$3,Database!$C:$C,Lookup!BB$5,Database!$F:$F,Lookup!$C23,Database!$D:$D,Lookup!$B$3)</f>
        <v>0</v>
      </c>
      <c r="BC23" s="176">
        <f>SUMIFS(Database!$G:$G,Database!$E:$E,Lookup!$C$3,Database!$C:$C,Lookup!BC$5,Database!$F:$F,Lookup!$C23,Database!$D:$D,Lookup!$B$3)</f>
        <v>0</v>
      </c>
      <c r="BD23" s="176">
        <f>SUMIFS(Database!$G:$G,Database!$E:$E,Lookup!$C$3,Database!$C:$C,Lookup!BD$5,Database!$F:$F,Lookup!$C23,Database!$D:$D,Lookup!$B$3)</f>
        <v>0</v>
      </c>
      <c r="BE23" s="176">
        <f>SUMIFS(Database!$G:$G,Database!$E:$E,Lookup!$C$3,Database!$C:$C,Lookup!BE$5,Database!$F:$F,Lookup!$C23,Database!$D:$D,Lookup!$B$3)</f>
        <v>0</v>
      </c>
      <c r="BF23" s="176">
        <f>SUMIFS(Database!$G:$G,Database!$E:$E,Lookup!$C$3,Database!$C:$C,Lookup!BF$5,Database!$F:$F,Lookup!$C23,Database!$D:$D,Lookup!$B$3)</f>
        <v>0</v>
      </c>
      <c r="BG23" s="176">
        <f>SUMIFS(Database!$G:$G,Database!$E:$E,Lookup!$C$3,Database!$C:$C,Lookup!BG$5,Database!$F:$F,Lookup!$C23,Database!$D:$D,Lookup!$B$3)</f>
        <v>0</v>
      </c>
      <c r="BH23" s="176">
        <f>SUMIFS(Database!$G:$G,Database!$E:$E,Lookup!$C$3,Database!$C:$C,Lookup!BH$5,Database!$F:$F,Lookup!$C23,Database!$D:$D,Lookup!$B$3)</f>
        <v>0</v>
      </c>
      <c r="BI23" s="176">
        <f>SUMIFS(Database!$G:$G,Database!$E:$E,Lookup!$C$3,Database!$C:$C,Lookup!BI$5,Database!$F:$F,Lookup!$C23,Database!$D:$D,Lookup!$B$3)</f>
        <v>0</v>
      </c>
      <c r="BJ23" s="176">
        <f>SUMIFS(Database!$G:$G,Database!$E:$E,Lookup!$C$3,Database!$C:$C,Lookup!BJ$5,Database!$F:$F,Lookup!$C23,Database!$D:$D,Lookup!$B$3)</f>
        <v>0</v>
      </c>
      <c r="BK23" s="176">
        <f>SUMIFS(Database!$G:$G,Database!$E:$E,Lookup!$C$3,Database!$C:$C,Lookup!BK$5,Database!$F:$F,Lookup!$C23,Database!$D:$D,Lookup!$B$3)</f>
        <v>0</v>
      </c>
      <c r="BL23" s="176">
        <f>SUMIFS(Database!$G:$G,Database!$E:$E,Lookup!$C$3,Database!$C:$C,Lookup!BL$5,Database!$F:$F,Lookup!$C23,Database!$D:$D,Lookup!$B$3)</f>
        <v>0</v>
      </c>
      <c r="BM23" s="176">
        <f>SUMIFS(Database!$G:$G,Database!$E:$E,Lookup!$C$3,Database!$C:$C,Lookup!BM$5,Database!$F:$F,Lookup!$C23,Database!$D:$D,Lookup!$B$3)</f>
        <v>0</v>
      </c>
      <c r="BN23" s="176">
        <f>SUMIFS(Database!$G:$G,Database!$E:$E,Lookup!$C$3,Database!$C:$C,Lookup!BN$5,Database!$F:$F,Lookup!$C23,Database!$D:$D,Lookup!$B$3)</f>
        <v>0</v>
      </c>
      <c r="BO23" s="176">
        <f>SUMIFS(Database!$G:$G,Database!$E:$E,Lookup!$C$3,Database!$C:$C,Lookup!BO$5,Database!$F:$F,Lookup!$C23,Database!$D:$D,Lookup!$B$3)</f>
        <v>0</v>
      </c>
      <c r="BP23" s="176">
        <f>SUMIFS(Database!$G:$G,Database!$E:$E,Lookup!$C$3,Database!$C:$C,Lookup!BP$5,Database!$F:$F,Lookup!$C23,Database!$D:$D,Lookup!$B$3)</f>
        <v>0</v>
      </c>
      <c r="BQ23" s="176">
        <f>SUMIFS(Database!$G:$G,Database!$E:$E,Lookup!$C$3,Database!$C:$C,Lookup!BQ$5,Database!$F:$F,Lookup!$C23,Database!$D:$D,Lookup!$B$3)</f>
        <v>0</v>
      </c>
      <c r="BR23" s="176">
        <f>SUMIFS(Database!$G:$G,Database!$E:$E,Lookup!$C$3,Database!$C:$C,Lookup!BR$5,Database!$F:$F,Lookup!$C23,Database!$D:$D,Lookup!$B$3)</f>
        <v>0</v>
      </c>
      <c r="BS23" s="176">
        <f>SUMIFS(Database!$G:$G,Database!$E:$E,Lookup!$C$3,Database!$C:$C,Lookup!BS$5,Database!$F:$F,Lookup!$C23,Database!$D:$D,Lookup!$B$3)</f>
        <v>0</v>
      </c>
      <c r="BT23" s="176">
        <f>SUMIFS(Database!$G:$G,Database!$E:$E,Lookup!$C$3,Database!$C:$C,Lookup!BT$5,Database!$F:$F,Lookup!$C23,Database!$D:$D,Lookup!$B$3)</f>
        <v>0</v>
      </c>
      <c r="BU23" s="176">
        <f>SUMIFS(Database!$G:$G,Database!$E:$E,Lookup!$C$3,Database!$C:$C,Lookup!BU$5,Database!$F:$F,Lookup!$C23,Database!$D:$D,Lookup!$B$3)</f>
        <v>0</v>
      </c>
      <c r="BV23" s="176">
        <f>SUMIFS(Database!$G:$G,Database!$E:$E,Lookup!$C$3,Database!$C:$C,Lookup!BV$5,Database!$F:$F,Lookup!$C23,Database!$D:$D,Lookup!$B$3)</f>
        <v>0</v>
      </c>
      <c r="BW23" s="176">
        <f>SUMIFS(Database!$G:$G,Database!$E:$E,Lookup!$C$3,Database!$C:$C,Lookup!BW$5,Database!$F:$F,Lookup!$C23,Database!$D:$D,Lookup!$B$3)</f>
        <v>0</v>
      </c>
      <c r="BX23" s="176">
        <f>SUMIFS(Database!$G:$G,Database!$E:$E,Lookup!$C$3,Database!$C:$C,Lookup!BX$5,Database!$F:$F,Lookup!$C23,Database!$D:$D,Lookup!$B$3)</f>
        <v>0</v>
      </c>
      <c r="BY23" s="176">
        <f>SUMIFS(Database!$G:$G,Database!$E:$E,Lookup!$C$3,Database!$C:$C,Lookup!BY$5,Database!$F:$F,Lookup!$C23,Database!$D:$D,Lookup!$B$3)</f>
        <v>0</v>
      </c>
      <c r="BZ23" s="176">
        <f>SUMIFS(Database!$G:$G,Database!$E:$E,Lookup!$C$3,Database!$C:$C,Lookup!BZ$5,Database!$F:$F,Lookup!$C23,Database!$D:$D,Lookup!$B$3)</f>
        <v>0</v>
      </c>
      <c r="CA23" s="176">
        <f>SUMIFS(Database!$G:$G,Database!$E:$E,Lookup!$C$3,Database!$C:$C,Lookup!CA$5,Database!$F:$F,Lookup!$C23,Database!$D:$D,Lookup!$B$3)</f>
        <v>0</v>
      </c>
      <c r="CB23" s="176">
        <f>SUMIFS(Database!$G:$G,Database!$E:$E,Lookup!$C$3,Database!$C:$C,Lookup!CB$5,Database!$F:$F,Lookup!$C23,Database!$D:$D,Lookup!$B$3)</f>
        <v>0</v>
      </c>
      <c r="CC23" s="176">
        <f>SUMIFS(Database!$G:$G,Database!$E:$E,Lookup!$C$3,Database!$C:$C,Lookup!CC$5,Database!$F:$F,Lookup!$C23,Database!$D:$D,Lookup!$B$3)</f>
        <v>0</v>
      </c>
      <c r="CD23" s="176">
        <f>SUMIFS(Database!$G:$G,Database!$E:$E,Lookup!$C$3,Database!$C:$C,Lookup!CD$5,Database!$F:$F,Lookup!$C23,Database!$D:$D,Lookup!$B$3)</f>
        <v>0</v>
      </c>
      <c r="CE23" s="176">
        <f>SUMIFS(Database!$G:$G,Database!$E:$E,Lookup!$C$3,Database!$C:$C,Lookup!CE$5,Database!$F:$F,Lookup!$C23,Database!$D:$D,Lookup!$B$3)</f>
        <v>0</v>
      </c>
      <c r="CF23" s="176">
        <f>SUMIFS(Database!$G:$G,Database!$E:$E,Lookup!$C$3,Database!$C:$C,Lookup!CF$5,Database!$F:$F,Lookup!$C23,Database!$D:$D,Lookup!$B$3)</f>
        <v>0</v>
      </c>
      <c r="CG23" s="176">
        <f>SUMIFS(Database!$G:$G,Database!$E:$E,Lookup!$C$3,Database!$C:$C,Lookup!CG$5,Database!$F:$F,Lookup!$C23,Database!$D:$D,Lookup!$B$3)</f>
        <v>0</v>
      </c>
      <c r="CH23" s="176">
        <f>SUMIFS(Database!$G:$G,Database!$E:$E,Lookup!$C$3,Database!$C:$C,Lookup!CH$5,Database!$F:$F,Lookup!$C23,Database!$D:$D,Lookup!$B$3)</f>
        <v>0</v>
      </c>
      <c r="CI23" s="176">
        <f>SUMIFS(Database!$G:$G,Database!$E:$E,Lookup!$C$3,Database!$C:$C,Lookup!CI$5,Database!$F:$F,Lookup!$C23,Database!$D:$D,Lookup!$B$3)</f>
        <v>0</v>
      </c>
      <c r="CJ23" s="176">
        <f>SUMIFS(Database!$G:$G,Database!$E:$E,Lookup!$C$3,Database!$C:$C,Lookup!CJ$5,Database!$F:$F,Lookup!$C23,Database!$D:$D,Lookup!$B$3)</f>
        <v>0</v>
      </c>
      <c r="CK23" s="176">
        <f>SUMIFS(Database!$G:$G,Database!$E:$E,Lookup!$C$3,Database!$C:$C,Lookup!CK$5,Database!$F:$F,Lookup!$C23,Database!$D:$D,Lookup!$B$3)</f>
        <v>0</v>
      </c>
      <c r="CL23" s="176">
        <f>SUMIFS(Database!$G:$G,Database!$E:$E,Lookup!$C$3,Database!$C:$C,Lookup!CL$5,Database!$F:$F,Lookup!$C23,Database!$D:$D,Lookup!$B$3)</f>
        <v>0</v>
      </c>
      <c r="CM23" s="176">
        <f>SUMIFS(Database!$G:$G,Database!$E:$E,Lookup!$C$3,Database!$C:$C,Lookup!CM$5,Database!$F:$F,Lookup!$C23,Database!$D:$D,Lookup!$B$3)</f>
        <v>0</v>
      </c>
      <c r="CN23" s="176">
        <f>SUMIFS(Database!$G:$G,Database!$E:$E,Lookup!$C$3,Database!$C:$C,Lookup!CN$5,Database!$F:$F,Lookup!$C23,Database!$D:$D,Lookup!$B$3)</f>
        <v>0</v>
      </c>
      <c r="CO23" s="176">
        <f>SUMIFS(Database!$G:$G,Database!$E:$E,Lookup!$C$3,Database!$C:$C,Lookup!CO$5,Database!$F:$F,Lookup!$C23,Database!$D:$D,Lookup!$B$3)</f>
        <v>0</v>
      </c>
      <c r="CP23" s="176">
        <f>SUMIFS(Database!$G:$G,Database!$E:$E,Lookup!$C$3,Database!$C:$C,Lookup!CP$5,Database!$F:$F,Lookup!$C23,Database!$D:$D,Lookup!$B$3)</f>
        <v>0</v>
      </c>
      <c r="CQ23" s="176">
        <f>SUMIFS(Database!$G:$G,Database!$E:$E,Lookup!$C$3,Database!$C:$C,Lookup!CQ$5,Database!$F:$F,Lookup!$C23,Database!$D:$D,Lookup!$B$3)</f>
        <v>0</v>
      </c>
      <c r="CR23" s="176">
        <f>SUMIFS(Database!$G:$G,Database!$E:$E,Lookup!$C$3,Database!$C:$C,Lookup!CR$5,Database!$F:$F,Lookup!$C23,Database!$D:$D,Lookup!$B$3)</f>
        <v>0</v>
      </c>
      <c r="CS23" s="176">
        <f>SUMIFS(Database!$G:$G,Database!$E:$E,Lookup!$C$3,Database!$C:$C,Lookup!CS$5,Database!$F:$F,Lookup!$C23,Database!$D:$D,Lookup!$B$3)</f>
        <v>0</v>
      </c>
      <c r="CT23" s="176">
        <f>SUMIFS(Database!$G:$G,Database!$E:$E,Lookup!$C$3,Database!$C:$C,Lookup!CT$5,Database!$F:$F,Lookup!$C23,Database!$D:$D,Lookup!$B$3)</f>
        <v>0</v>
      </c>
      <c r="CU23" s="176">
        <f>SUMIFS(Database!$G:$G,Database!$E:$E,Lookup!$C$3,Database!$C:$C,Lookup!CU$5,Database!$F:$F,Lookup!$C23,Database!$D:$D,Lookup!$B$3)</f>
        <v>0</v>
      </c>
      <c r="CV23" s="177">
        <f>SUMIFS(Database!$G:$G,Database!$E:$E,Lookup!$C$3,Database!$C:$C,Lookup!CV$5,Database!$F:$F,Lookup!$C23,Database!$D:$D,Lookup!$B$3)</f>
        <v>0</v>
      </c>
    </row>
    <row r="24" spans="3:100" x14ac:dyDescent="0.25">
      <c r="C24" s="217" t="s">
        <v>285</v>
      </c>
      <c r="D24" s="222"/>
      <c r="E24" s="228">
        <f>SUMIFS(Database!$G:$G,Database!$E:$E,Lookup!$C$3,Database!$C:$C,Lookup!E$5,Database!$F:$F,Lookup!$C24,Database!$D:$D,Lookup!$B$3)</f>
        <v>0</v>
      </c>
      <c r="F24" s="176">
        <f>SUMIFS(Database!$G:$G,Database!$E:$E,Lookup!$C$3,Database!$C:$C,Lookup!F$5,Database!$F:$F,Lookup!$C24,Database!$D:$D,Lookup!$B$3)</f>
        <v>0</v>
      </c>
      <c r="G24" s="176">
        <f>SUMIFS(Database!$G:$G,Database!$E:$E,Lookup!$C$3,Database!$C:$C,Lookup!G$5,Database!$F:$F,Lookup!$C24,Database!$D:$D,Lookup!$B$3)</f>
        <v>0</v>
      </c>
      <c r="H24" s="176">
        <f>SUMIFS(Database!$G:$G,Database!$E:$E,Lookup!$C$3,Database!$C:$C,Lookup!H$5,Database!$F:$F,Lookup!$C24,Database!$D:$D,Lookup!$B$3)</f>
        <v>0</v>
      </c>
      <c r="I24" s="176">
        <f>SUMIFS(Database!$G:$G,Database!$E:$E,Lookup!$C$3,Database!$C:$C,Lookup!I$5,Database!$F:$F,Lookup!$C24,Database!$D:$D,Lookup!$B$3)</f>
        <v>0</v>
      </c>
      <c r="J24" s="176">
        <f>SUMIFS(Database!$G:$G,Database!$E:$E,Lookup!$C$3,Database!$C:$C,Lookup!J$5,Database!$F:$F,Lookup!$C24,Database!$D:$D,Lookup!$B$3)</f>
        <v>0</v>
      </c>
      <c r="K24" s="176">
        <f>SUMIFS(Database!$G:$G,Database!$E:$E,Lookup!$C$3,Database!$C:$C,Lookup!K$5,Database!$F:$F,Lookup!$C24,Database!$D:$D,Lookup!$B$3)</f>
        <v>0</v>
      </c>
      <c r="L24" s="176">
        <f>SUMIFS(Database!$G:$G,Database!$E:$E,Lookup!$C$3,Database!$C:$C,Lookup!L$5,Database!$F:$F,Lookup!$C24,Database!$D:$D,Lookup!$B$3)</f>
        <v>0</v>
      </c>
      <c r="M24" s="176">
        <f>SUMIFS(Database!$G:$G,Database!$E:$E,Lookup!$C$3,Database!$C:$C,Lookup!M$5,Database!$F:$F,Lookup!$C24,Database!$D:$D,Lookup!$B$3)</f>
        <v>0</v>
      </c>
      <c r="N24" s="176">
        <f>SUMIFS(Database!$G:$G,Database!$E:$E,Lookup!$C$3,Database!$C:$C,Lookup!N$5,Database!$F:$F,Lookup!$C24,Database!$D:$D,Lookup!$B$3)</f>
        <v>0</v>
      </c>
      <c r="O24" s="176">
        <f>SUMIFS(Database!$G:$G,Database!$E:$E,Lookup!$C$3,Database!$C:$C,Lookup!O$5,Database!$F:$F,Lookup!$C24,Database!$D:$D,Lookup!$B$3)</f>
        <v>0</v>
      </c>
      <c r="P24" s="176">
        <f>SUMIFS(Database!$G:$G,Database!$E:$E,Lookup!$C$3,Database!$C:$C,Lookup!P$5,Database!$F:$F,Lookup!$C24,Database!$D:$D,Lookup!$B$3)</f>
        <v>0</v>
      </c>
      <c r="Q24" s="176">
        <f>SUMIFS(Database!$G:$G,Database!$E:$E,Lookup!$C$3,Database!$C:$C,Lookup!Q$5,Database!$F:$F,Lookup!$C24,Database!$D:$D,Lookup!$B$3)</f>
        <v>0</v>
      </c>
      <c r="R24" s="176">
        <f>SUMIFS(Database!$G:$G,Database!$E:$E,Lookup!$C$3,Database!$C:$C,Lookup!R$5,Database!$F:$F,Lookup!$C24,Database!$D:$D,Lookup!$B$3)</f>
        <v>0</v>
      </c>
      <c r="S24" s="176">
        <f>SUMIFS(Database!$G:$G,Database!$E:$E,Lookup!$C$3,Database!$C:$C,Lookup!S$5,Database!$F:$F,Lookup!$C24,Database!$D:$D,Lookup!$B$3)</f>
        <v>0</v>
      </c>
      <c r="T24" s="176">
        <f>SUMIFS(Database!$G:$G,Database!$E:$E,Lookup!$C$3,Database!$C:$C,Lookup!T$5,Database!$F:$F,Lookup!$C24,Database!$D:$D,Lookup!$B$3)</f>
        <v>0</v>
      </c>
      <c r="U24" s="176">
        <f>SUMIFS(Database!$G:$G,Database!$E:$E,Lookup!$C$3,Database!$C:$C,Lookup!U$5,Database!$F:$F,Lookup!$C24,Database!$D:$D,Lookup!$B$3)</f>
        <v>0</v>
      </c>
      <c r="V24" s="176">
        <f>SUMIFS(Database!$G:$G,Database!$E:$E,Lookup!$C$3,Database!$C:$C,Lookup!V$5,Database!$F:$F,Lookup!$C24,Database!$D:$D,Lookup!$B$3)</f>
        <v>0</v>
      </c>
      <c r="W24" s="176">
        <f>SUMIFS(Database!$G:$G,Database!$E:$E,Lookup!$C$3,Database!$C:$C,Lookup!W$5,Database!$F:$F,Lookup!$C24,Database!$D:$D,Lookup!$B$3)</f>
        <v>0</v>
      </c>
      <c r="X24" s="176">
        <f>SUMIFS(Database!$G:$G,Database!$E:$E,Lookup!$C$3,Database!$C:$C,Lookup!X$5,Database!$F:$F,Lookup!$C24,Database!$D:$D,Lookup!$B$3)</f>
        <v>0</v>
      </c>
      <c r="Y24" s="176">
        <f>SUMIFS(Database!$G:$G,Database!$E:$E,Lookup!$C$3,Database!$C:$C,Lookup!Y$5,Database!$F:$F,Lookup!$C24,Database!$D:$D,Lookup!$B$3)</f>
        <v>0</v>
      </c>
      <c r="Z24" s="176">
        <f>SUMIFS(Database!$G:$G,Database!$E:$E,Lookup!$C$3,Database!$C:$C,Lookup!Z$5,Database!$F:$F,Lookup!$C24,Database!$D:$D,Lookup!$B$3)</f>
        <v>0</v>
      </c>
      <c r="AA24" s="176">
        <f>SUMIFS(Database!$G:$G,Database!$E:$E,Lookup!$C$3,Database!$C:$C,Lookup!AA$5,Database!$F:$F,Lookup!$C24,Database!$D:$D,Lookup!$B$3)</f>
        <v>0</v>
      </c>
      <c r="AB24" s="176">
        <f>SUMIFS(Database!$G:$G,Database!$E:$E,Lookup!$C$3,Database!$C:$C,Lookup!AB$5,Database!$F:$F,Lookup!$C24,Database!$D:$D,Lookup!$B$3)</f>
        <v>0</v>
      </c>
      <c r="AC24" s="176">
        <f>SUMIFS(Database!$G:$G,Database!$E:$E,Lookup!$C$3,Database!$C:$C,Lookup!AC$5,Database!$F:$F,Lookup!$C24,Database!$D:$D,Lookup!$B$3)</f>
        <v>0</v>
      </c>
      <c r="AD24" s="176">
        <f>SUMIFS(Database!$G:$G,Database!$E:$E,Lookup!$C$3,Database!$C:$C,Lookup!AD$5,Database!$F:$F,Lookup!$C24,Database!$D:$D,Lookup!$B$3)</f>
        <v>0</v>
      </c>
      <c r="AE24" s="176">
        <f>SUMIFS(Database!$G:$G,Database!$E:$E,Lookup!$C$3,Database!$C:$C,Lookup!AE$5,Database!$F:$F,Lookup!$C24,Database!$D:$D,Lookup!$B$3)</f>
        <v>0</v>
      </c>
      <c r="AF24" s="176">
        <f>SUMIFS(Database!$G:$G,Database!$E:$E,Lookup!$C$3,Database!$C:$C,Lookup!AF$5,Database!$F:$F,Lookup!$C24,Database!$D:$D,Lookup!$B$3)</f>
        <v>0</v>
      </c>
      <c r="AG24" s="176">
        <f>SUMIFS(Database!$G:$G,Database!$E:$E,Lookup!$C$3,Database!$C:$C,Lookup!AG$5,Database!$F:$F,Lookup!$C24,Database!$D:$D,Lookup!$B$3)</f>
        <v>0</v>
      </c>
      <c r="AH24" s="176">
        <f>SUMIFS(Database!$G:$G,Database!$E:$E,Lookup!$C$3,Database!$C:$C,Lookup!AH$5,Database!$F:$F,Lookup!$C24,Database!$D:$D,Lookup!$B$3)</f>
        <v>0</v>
      </c>
      <c r="AI24" s="176">
        <f>SUMIFS(Database!$G:$G,Database!$E:$E,Lookup!$C$3,Database!$C:$C,Lookup!AI$5,Database!$F:$F,Lookup!$C24,Database!$D:$D,Lookup!$B$3)</f>
        <v>0</v>
      </c>
      <c r="AJ24" s="176">
        <f>SUMIFS(Database!$G:$G,Database!$E:$E,Lookup!$C$3,Database!$C:$C,Lookup!AJ$5,Database!$F:$F,Lookup!$C24,Database!$D:$D,Lookup!$B$3)</f>
        <v>0</v>
      </c>
      <c r="AK24" s="176">
        <f>SUMIFS(Database!$G:$G,Database!$E:$E,Lookup!$C$3,Database!$C:$C,Lookup!AK$5,Database!$F:$F,Lookup!$C24,Database!$D:$D,Lookup!$B$3)</f>
        <v>0</v>
      </c>
      <c r="AL24" s="176">
        <f>SUMIFS(Database!$G:$G,Database!$E:$E,Lookup!$C$3,Database!$C:$C,Lookup!AL$5,Database!$F:$F,Lookup!$C24,Database!$D:$D,Lookup!$B$3)</f>
        <v>0</v>
      </c>
      <c r="AM24" s="176">
        <f>SUMIFS(Database!$G:$G,Database!$E:$E,Lookup!$C$3,Database!$C:$C,Lookup!AM$5,Database!$F:$F,Lookup!$C24,Database!$D:$D,Lookup!$B$3)</f>
        <v>0</v>
      </c>
      <c r="AN24" s="176">
        <f>SUMIFS(Database!$G:$G,Database!$E:$E,Lookup!$C$3,Database!$C:$C,Lookup!AN$5,Database!$F:$F,Lookup!$C24,Database!$D:$D,Lookup!$B$3)</f>
        <v>0</v>
      </c>
      <c r="AO24" s="176">
        <f>SUMIFS(Database!$G:$G,Database!$E:$E,Lookup!$C$3,Database!$C:$C,Lookup!AO$5,Database!$F:$F,Lookup!$C24,Database!$D:$D,Lookup!$B$3)</f>
        <v>0</v>
      </c>
      <c r="AP24" s="176">
        <f>SUMIFS(Database!$G:$G,Database!$E:$E,Lookup!$C$3,Database!$C:$C,Lookup!AP$5,Database!$F:$F,Lookup!$C24,Database!$D:$D,Lookup!$B$3)</f>
        <v>0</v>
      </c>
      <c r="AQ24" s="176">
        <f>SUMIFS(Database!$G:$G,Database!$E:$E,Lookup!$C$3,Database!$C:$C,Lookup!AQ$5,Database!$F:$F,Lookup!$C24,Database!$D:$D,Lookup!$B$3)</f>
        <v>0</v>
      </c>
      <c r="AR24" s="176">
        <f>SUMIFS(Database!$G:$G,Database!$E:$E,Lookup!$C$3,Database!$C:$C,Lookup!AR$5,Database!$F:$F,Lookup!$C24,Database!$D:$D,Lookup!$B$3)</f>
        <v>0</v>
      </c>
      <c r="AS24" s="176">
        <f>SUMIFS(Database!$G:$G,Database!$E:$E,Lookup!$C$3,Database!$C:$C,Lookup!AS$5,Database!$F:$F,Lookup!$C24,Database!$D:$D,Lookup!$B$3)</f>
        <v>0</v>
      </c>
      <c r="AT24" s="176">
        <f>SUMIFS(Database!$G:$G,Database!$E:$E,Lookup!$C$3,Database!$C:$C,Lookup!AT$5,Database!$F:$F,Lookup!$C24,Database!$D:$D,Lookup!$B$3)</f>
        <v>0</v>
      </c>
      <c r="AU24" s="176">
        <f>SUMIFS(Database!$G:$G,Database!$E:$E,Lookup!$C$3,Database!$C:$C,Lookup!AU$5,Database!$F:$F,Lookup!$C24,Database!$D:$D,Lookup!$B$3)</f>
        <v>0</v>
      </c>
      <c r="AV24" s="176">
        <f>SUMIFS(Database!$G:$G,Database!$E:$E,Lookup!$C$3,Database!$C:$C,Lookup!AV$5,Database!$F:$F,Lookup!$C24,Database!$D:$D,Lookup!$B$3)</f>
        <v>0</v>
      </c>
      <c r="AW24" s="176">
        <f>SUMIFS(Database!$G:$G,Database!$E:$E,Lookup!$C$3,Database!$C:$C,Lookup!AW$5,Database!$F:$F,Lookup!$C24,Database!$D:$D,Lookup!$B$3)</f>
        <v>0</v>
      </c>
      <c r="AX24" s="176">
        <f>SUMIFS(Database!$G:$G,Database!$E:$E,Lookup!$C$3,Database!$C:$C,Lookup!AX$5,Database!$F:$F,Lookup!$C24,Database!$D:$D,Lookup!$B$3)</f>
        <v>0</v>
      </c>
      <c r="AY24" s="176">
        <f>SUMIFS(Database!$G:$G,Database!$E:$E,Lookup!$C$3,Database!$C:$C,Lookup!AY$5,Database!$F:$F,Lookup!$C24,Database!$D:$D,Lookup!$B$3)</f>
        <v>0</v>
      </c>
      <c r="AZ24" s="176">
        <f>SUMIFS(Database!$G:$G,Database!$E:$E,Lookup!$C$3,Database!$C:$C,Lookup!AZ$5,Database!$F:$F,Lookup!$C24,Database!$D:$D,Lookup!$B$3)</f>
        <v>0</v>
      </c>
      <c r="BA24" s="176">
        <f>SUMIFS(Database!$G:$G,Database!$E:$E,Lookup!$C$3,Database!$C:$C,Lookup!BA$5,Database!$F:$F,Lookup!$C24,Database!$D:$D,Lookup!$B$3)</f>
        <v>0</v>
      </c>
      <c r="BB24" s="176">
        <f>SUMIFS(Database!$G:$G,Database!$E:$E,Lookup!$C$3,Database!$C:$C,Lookup!BB$5,Database!$F:$F,Lookup!$C24,Database!$D:$D,Lookup!$B$3)</f>
        <v>0</v>
      </c>
      <c r="BC24" s="176">
        <f>SUMIFS(Database!$G:$G,Database!$E:$E,Lookup!$C$3,Database!$C:$C,Lookup!BC$5,Database!$F:$F,Lookup!$C24,Database!$D:$D,Lookup!$B$3)</f>
        <v>0</v>
      </c>
      <c r="BD24" s="176">
        <f>SUMIFS(Database!$G:$G,Database!$E:$E,Lookup!$C$3,Database!$C:$C,Lookup!BD$5,Database!$F:$F,Lookup!$C24,Database!$D:$D,Lookup!$B$3)</f>
        <v>0</v>
      </c>
      <c r="BE24" s="176">
        <f>SUMIFS(Database!$G:$G,Database!$E:$E,Lookup!$C$3,Database!$C:$C,Lookup!BE$5,Database!$F:$F,Lookup!$C24,Database!$D:$D,Lookup!$B$3)</f>
        <v>0</v>
      </c>
      <c r="BF24" s="176">
        <f>SUMIFS(Database!$G:$G,Database!$E:$E,Lookup!$C$3,Database!$C:$C,Lookup!BF$5,Database!$F:$F,Lookup!$C24,Database!$D:$D,Lookup!$B$3)</f>
        <v>0</v>
      </c>
      <c r="BG24" s="176">
        <f>SUMIFS(Database!$G:$G,Database!$E:$E,Lookup!$C$3,Database!$C:$C,Lookup!BG$5,Database!$F:$F,Lookup!$C24,Database!$D:$D,Lookup!$B$3)</f>
        <v>0</v>
      </c>
      <c r="BH24" s="176">
        <f>SUMIFS(Database!$G:$G,Database!$E:$E,Lookup!$C$3,Database!$C:$C,Lookup!BH$5,Database!$F:$F,Lookup!$C24,Database!$D:$D,Lookup!$B$3)</f>
        <v>0</v>
      </c>
      <c r="BI24" s="176">
        <f>SUMIFS(Database!$G:$G,Database!$E:$E,Lookup!$C$3,Database!$C:$C,Lookup!BI$5,Database!$F:$F,Lookup!$C24,Database!$D:$D,Lookup!$B$3)</f>
        <v>0</v>
      </c>
      <c r="BJ24" s="176">
        <f>SUMIFS(Database!$G:$G,Database!$E:$E,Lookup!$C$3,Database!$C:$C,Lookup!BJ$5,Database!$F:$F,Lookup!$C24,Database!$D:$D,Lookup!$B$3)</f>
        <v>0</v>
      </c>
      <c r="BK24" s="176">
        <f>SUMIFS(Database!$G:$G,Database!$E:$E,Lookup!$C$3,Database!$C:$C,Lookup!BK$5,Database!$F:$F,Lookup!$C24,Database!$D:$D,Lookup!$B$3)</f>
        <v>0</v>
      </c>
      <c r="BL24" s="176">
        <f>SUMIFS(Database!$G:$G,Database!$E:$E,Lookup!$C$3,Database!$C:$C,Lookup!BL$5,Database!$F:$F,Lookup!$C24,Database!$D:$D,Lookup!$B$3)</f>
        <v>0</v>
      </c>
      <c r="BM24" s="176">
        <f>SUMIFS(Database!$G:$G,Database!$E:$E,Lookup!$C$3,Database!$C:$C,Lookup!BM$5,Database!$F:$F,Lookup!$C24,Database!$D:$D,Lookup!$B$3)</f>
        <v>0</v>
      </c>
      <c r="BN24" s="176">
        <f>SUMIFS(Database!$G:$G,Database!$E:$E,Lookup!$C$3,Database!$C:$C,Lookup!BN$5,Database!$F:$F,Lookup!$C24,Database!$D:$D,Lookup!$B$3)</f>
        <v>0</v>
      </c>
      <c r="BO24" s="176">
        <f>SUMIFS(Database!$G:$G,Database!$E:$E,Lookup!$C$3,Database!$C:$C,Lookup!BO$5,Database!$F:$F,Lookup!$C24,Database!$D:$D,Lookup!$B$3)</f>
        <v>0</v>
      </c>
      <c r="BP24" s="176">
        <f>SUMIFS(Database!$G:$G,Database!$E:$E,Lookup!$C$3,Database!$C:$C,Lookup!BP$5,Database!$F:$F,Lookup!$C24,Database!$D:$D,Lookup!$B$3)</f>
        <v>0</v>
      </c>
      <c r="BQ24" s="176">
        <f>SUMIFS(Database!$G:$G,Database!$E:$E,Lookup!$C$3,Database!$C:$C,Lookup!BQ$5,Database!$F:$F,Lookup!$C24,Database!$D:$D,Lookup!$B$3)</f>
        <v>0</v>
      </c>
      <c r="BR24" s="176">
        <f>SUMIFS(Database!$G:$G,Database!$E:$E,Lookup!$C$3,Database!$C:$C,Lookup!BR$5,Database!$F:$F,Lookup!$C24,Database!$D:$D,Lookup!$B$3)</f>
        <v>0</v>
      </c>
      <c r="BS24" s="176">
        <f>SUMIFS(Database!$G:$G,Database!$E:$E,Lookup!$C$3,Database!$C:$C,Lookup!BS$5,Database!$F:$F,Lookup!$C24,Database!$D:$D,Lookup!$B$3)</f>
        <v>0</v>
      </c>
      <c r="BT24" s="176">
        <f>SUMIFS(Database!$G:$G,Database!$E:$E,Lookup!$C$3,Database!$C:$C,Lookup!BT$5,Database!$F:$F,Lookup!$C24,Database!$D:$D,Lookup!$B$3)</f>
        <v>0</v>
      </c>
      <c r="BU24" s="176">
        <f>SUMIFS(Database!$G:$G,Database!$E:$E,Lookup!$C$3,Database!$C:$C,Lookup!BU$5,Database!$F:$F,Lookup!$C24,Database!$D:$D,Lookup!$B$3)</f>
        <v>0</v>
      </c>
      <c r="BV24" s="176">
        <f>SUMIFS(Database!$G:$G,Database!$E:$E,Lookup!$C$3,Database!$C:$C,Lookup!BV$5,Database!$F:$F,Lookup!$C24,Database!$D:$D,Lookup!$B$3)</f>
        <v>0</v>
      </c>
      <c r="BW24" s="176">
        <f>SUMIFS(Database!$G:$G,Database!$E:$E,Lookup!$C$3,Database!$C:$C,Lookup!BW$5,Database!$F:$F,Lookup!$C24,Database!$D:$D,Lookup!$B$3)</f>
        <v>0</v>
      </c>
      <c r="BX24" s="176">
        <f>SUMIFS(Database!$G:$G,Database!$E:$E,Lookup!$C$3,Database!$C:$C,Lookup!BX$5,Database!$F:$F,Lookup!$C24,Database!$D:$D,Lookup!$B$3)</f>
        <v>0</v>
      </c>
      <c r="BY24" s="176">
        <f>SUMIFS(Database!$G:$G,Database!$E:$E,Lookup!$C$3,Database!$C:$C,Lookup!BY$5,Database!$F:$F,Lookup!$C24,Database!$D:$D,Lookup!$B$3)</f>
        <v>0</v>
      </c>
      <c r="BZ24" s="176">
        <f>SUMIFS(Database!$G:$G,Database!$E:$E,Lookup!$C$3,Database!$C:$C,Lookup!BZ$5,Database!$F:$F,Lookup!$C24,Database!$D:$D,Lookup!$B$3)</f>
        <v>0</v>
      </c>
      <c r="CA24" s="176">
        <f>SUMIFS(Database!$G:$G,Database!$E:$E,Lookup!$C$3,Database!$C:$C,Lookup!CA$5,Database!$F:$F,Lookup!$C24,Database!$D:$D,Lookup!$B$3)</f>
        <v>0</v>
      </c>
      <c r="CB24" s="176">
        <f>SUMIFS(Database!$G:$G,Database!$E:$E,Lookup!$C$3,Database!$C:$C,Lookup!CB$5,Database!$F:$F,Lookup!$C24,Database!$D:$D,Lookup!$B$3)</f>
        <v>0</v>
      </c>
      <c r="CC24" s="176">
        <f>SUMIFS(Database!$G:$G,Database!$E:$E,Lookup!$C$3,Database!$C:$C,Lookup!CC$5,Database!$F:$F,Lookup!$C24,Database!$D:$D,Lookup!$B$3)</f>
        <v>0</v>
      </c>
      <c r="CD24" s="176">
        <f>SUMIFS(Database!$G:$G,Database!$E:$E,Lookup!$C$3,Database!$C:$C,Lookup!CD$5,Database!$F:$F,Lookup!$C24,Database!$D:$D,Lookup!$B$3)</f>
        <v>0</v>
      </c>
      <c r="CE24" s="176">
        <f>SUMIFS(Database!$G:$G,Database!$E:$E,Lookup!$C$3,Database!$C:$C,Lookup!CE$5,Database!$F:$F,Lookup!$C24,Database!$D:$D,Lookup!$B$3)</f>
        <v>0</v>
      </c>
      <c r="CF24" s="176">
        <f>SUMIFS(Database!$G:$G,Database!$E:$E,Lookup!$C$3,Database!$C:$C,Lookup!CF$5,Database!$F:$F,Lookup!$C24,Database!$D:$D,Lookup!$B$3)</f>
        <v>0</v>
      </c>
      <c r="CG24" s="176">
        <f>SUMIFS(Database!$G:$G,Database!$E:$E,Lookup!$C$3,Database!$C:$C,Lookup!CG$5,Database!$F:$F,Lookup!$C24,Database!$D:$D,Lookup!$B$3)</f>
        <v>0</v>
      </c>
      <c r="CH24" s="176">
        <f>SUMIFS(Database!$G:$G,Database!$E:$E,Lookup!$C$3,Database!$C:$C,Lookup!CH$5,Database!$F:$F,Lookup!$C24,Database!$D:$D,Lookup!$B$3)</f>
        <v>0</v>
      </c>
      <c r="CI24" s="176">
        <f>SUMIFS(Database!$G:$G,Database!$E:$E,Lookup!$C$3,Database!$C:$C,Lookup!CI$5,Database!$F:$F,Lookup!$C24,Database!$D:$D,Lookup!$B$3)</f>
        <v>0</v>
      </c>
      <c r="CJ24" s="176">
        <f>SUMIFS(Database!$G:$G,Database!$E:$E,Lookup!$C$3,Database!$C:$C,Lookup!CJ$5,Database!$F:$F,Lookup!$C24,Database!$D:$D,Lookup!$B$3)</f>
        <v>0</v>
      </c>
      <c r="CK24" s="176">
        <f>SUMIFS(Database!$G:$G,Database!$E:$E,Lookup!$C$3,Database!$C:$C,Lookup!CK$5,Database!$F:$F,Lookup!$C24,Database!$D:$D,Lookup!$B$3)</f>
        <v>0</v>
      </c>
      <c r="CL24" s="176">
        <f>SUMIFS(Database!$G:$G,Database!$E:$E,Lookup!$C$3,Database!$C:$C,Lookup!CL$5,Database!$F:$F,Lookup!$C24,Database!$D:$D,Lookup!$B$3)</f>
        <v>0</v>
      </c>
      <c r="CM24" s="176">
        <f>SUMIFS(Database!$G:$G,Database!$E:$E,Lookup!$C$3,Database!$C:$C,Lookup!CM$5,Database!$F:$F,Lookup!$C24,Database!$D:$D,Lookup!$B$3)</f>
        <v>0</v>
      </c>
      <c r="CN24" s="176">
        <f>SUMIFS(Database!$G:$G,Database!$E:$E,Lookup!$C$3,Database!$C:$C,Lookup!CN$5,Database!$F:$F,Lookup!$C24,Database!$D:$D,Lookup!$B$3)</f>
        <v>0</v>
      </c>
      <c r="CO24" s="176">
        <f>SUMIFS(Database!$G:$G,Database!$E:$E,Lookup!$C$3,Database!$C:$C,Lookup!CO$5,Database!$F:$F,Lookup!$C24,Database!$D:$D,Lookup!$B$3)</f>
        <v>0</v>
      </c>
      <c r="CP24" s="176">
        <f>SUMIFS(Database!$G:$G,Database!$E:$E,Lookup!$C$3,Database!$C:$C,Lookup!CP$5,Database!$F:$F,Lookup!$C24,Database!$D:$D,Lookup!$B$3)</f>
        <v>0</v>
      </c>
      <c r="CQ24" s="176">
        <f>SUMIFS(Database!$G:$G,Database!$E:$E,Lookup!$C$3,Database!$C:$C,Lookup!CQ$5,Database!$F:$F,Lookup!$C24,Database!$D:$D,Lookup!$B$3)</f>
        <v>0</v>
      </c>
      <c r="CR24" s="176">
        <f>SUMIFS(Database!$G:$G,Database!$E:$E,Lookup!$C$3,Database!$C:$C,Lookup!CR$5,Database!$F:$F,Lookup!$C24,Database!$D:$D,Lookup!$B$3)</f>
        <v>0</v>
      </c>
      <c r="CS24" s="176">
        <f>SUMIFS(Database!$G:$G,Database!$E:$E,Lookup!$C$3,Database!$C:$C,Lookup!CS$5,Database!$F:$F,Lookup!$C24,Database!$D:$D,Lookup!$B$3)</f>
        <v>0</v>
      </c>
      <c r="CT24" s="176">
        <f>SUMIFS(Database!$G:$G,Database!$E:$E,Lookup!$C$3,Database!$C:$C,Lookup!CT$5,Database!$F:$F,Lookup!$C24,Database!$D:$D,Lookup!$B$3)</f>
        <v>0</v>
      </c>
      <c r="CU24" s="176">
        <f>SUMIFS(Database!$G:$G,Database!$E:$E,Lookup!$C$3,Database!$C:$C,Lookup!CU$5,Database!$F:$F,Lookup!$C24,Database!$D:$D,Lookup!$B$3)</f>
        <v>0</v>
      </c>
      <c r="CV24" s="177">
        <f>SUMIFS(Database!$G:$G,Database!$E:$E,Lookup!$C$3,Database!$C:$C,Lookup!CV$5,Database!$F:$F,Lookup!$C24,Database!$D:$D,Lookup!$B$3)</f>
        <v>0</v>
      </c>
    </row>
    <row r="25" spans="3:100" x14ac:dyDescent="0.25">
      <c r="C25" s="217" t="s">
        <v>287</v>
      </c>
      <c r="D25" s="222"/>
      <c r="E25" s="228">
        <f>SUMIFS(Database!$G:$G,Database!$E:$E,Lookup!$C$3,Database!$C:$C,Lookup!E$5,Database!$F:$F,Lookup!$C25,Database!$D:$D,Lookup!$B$3)</f>
        <v>0</v>
      </c>
      <c r="F25" s="176">
        <f>SUMIFS(Database!$G:$G,Database!$E:$E,Lookup!$C$3,Database!$C:$C,Lookup!F$5,Database!$F:$F,Lookup!$C25,Database!$D:$D,Lookup!$B$3)</f>
        <v>0</v>
      </c>
      <c r="G25" s="176">
        <f>SUMIFS(Database!$G:$G,Database!$E:$E,Lookup!$C$3,Database!$C:$C,Lookup!G$5,Database!$F:$F,Lookup!$C25,Database!$D:$D,Lookup!$B$3)</f>
        <v>0</v>
      </c>
      <c r="H25" s="176">
        <f>SUMIFS(Database!$G:$G,Database!$E:$E,Lookup!$C$3,Database!$C:$C,Lookup!H$5,Database!$F:$F,Lookup!$C25,Database!$D:$D,Lookup!$B$3)</f>
        <v>0</v>
      </c>
      <c r="I25" s="176">
        <f>SUMIFS(Database!$G:$G,Database!$E:$E,Lookup!$C$3,Database!$C:$C,Lookup!I$5,Database!$F:$F,Lookup!$C25,Database!$D:$D,Lookup!$B$3)</f>
        <v>0</v>
      </c>
      <c r="J25" s="176">
        <f>SUMIFS(Database!$G:$G,Database!$E:$E,Lookup!$C$3,Database!$C:$C,Lookup!J$5,Database!$F:$F,Lookup!$C25,Database!$D:$D,Lookup!$B$3)</f>
        <v>0</v>
      </c>
      <c r="K25" s="176">
        <f>SUMIFS(Database!$G:$G,Database!$E:$E,Lookup!$C$3,Database!$C:$C,Lookup!K$5,Database!$F:$F,Lookup!$C25,Database!$D:$D,Lookup!$B$3)</f>
        <v>0</v>
      </c>
      <c r="L25" s="176">
        <f>SUMIFS(Database!$G:$G,Database!$E:$E,Lookup!$C$3,Database!$C:$C,Lookup!L$5,Database!$F:$F,Lookup!$C25,Database!$D:$D,Lookup!$B$3)</f>
        <v>0</v>
      </c>
      <c r="M25" s="176">
        <f>SUMIFS(Database!$G:$G,Database!$E:$E,Lookup!$C$3,Database!$C:$C,Lookup!M$5,Database!$F:$F,Lookup!$C25,Database!$D:$D,Lookup!$B$3)</f>
        <v>0</v>
      </c>
      <c r="N25" s="176">
        <f>SUMIFS(Database!$G:$G,Database!$E:$E,Lookup!$C$3,Database!$C:$C,Lookup!N$5,Database!$F:$F,Lookup!$C25,Database!$D:$D,Lookup!$B$3)</f>
        <v>0</v>
      </c>
      <c r="O25" s="176">
        <f>SUMIFS(Database!$G:$G,Database!$E:$E,Lookup!$C$3,Database!$C:$C,Lookup!O$5,Database!$F:$F,Lookup!$C25,Database!$D:$D,Lookup!$B$3)</f>
        <v>0</v>
      </c>
      <c r="P25" s="176">
        <f>SUMIFS(Database!$G:$G,Database!$E:$E,Lookup!$C$3,Database!$C:$C,Lookup!P$5,Database!$F:$F,Lookup!$C25,Database!$D:$D,Lookup!$B$3)</f>
        <v>0</v>
      </c>
      <c r="Q25" s="176">
        <f>SUMIFS(Database!$G:$G,Database!$E:$E,Lookup!$C$3,Database!$C:$C,Lookup!Q$5,Database!$F:$F,Lookup!$C25,Database!$D:$D,Lookup!$B$3)</f>
        <v>0</v>
      </c>
      <c r="R25" s="176">
        <f>SUMIFS(Database!$G:$G,Database!$E:$E,Lookup!$C$3,Database!$C:$C,Lookup!R$5,Database!$F:$F,Lookup!$C25,Database!$D:$D,Lookup!$B$3)</f>
        <v>0</v>
      </c>
      <c r="S25" s="176">
        <f>SUMIFS(Database!$G:$G,Database!$E:$E,Lookup!$C$3,Database!$C:$C,Lookup!S$5,Database!$F:$F,Lookup!$C25,Database!$D:$D,Lookup!$B$3)</f>
        <v>0</v>
      </c>
      <c r="T25" s="176">
        <f>SUMIFS(Database!$G:$G,Database!$E:$E,Lookup!$C$3,Database!$C:$C,Lookup!T$5,Database!$F:$F,Lookup!$C25,Database!$D:$D,Lookup!$B$3)</f>
        <v>0</v>
      </c>
      <c r="U25" s="176">
        <f>SUMIFS(Database!$G:$G,Database!$E:$E,Lookup!$C$3,Database!$C:$C,Lookup!U$5,Database!$F:$F,Lookup!$C25,Database!$D:$D,Lookup!$B$3)</f>
        <v>0</v>
      </c>
      <c r="V25" s="176">
        <f>SUMIFS(Database!$G:$G,Database!$E:$E,Lookup!$C$3,Database!$C:$C,Lookup!V$5,Database!$F:$F,Lookup!$C25,Database!$D:$D,Lookup!$B$3)</f>
        <v>0</v>
      </c>
      <c r="W25" s="176">
        <f>SUMIFS(Database!$G:$G,Database!$E:$E,Lookup!$C$3,Database!$C:$C,Lookup!W$5,Database!$F:$F,Lookup!$C25,Database!$D:$D,Lookup!$B$3)</f>
        <v>0</v>
      </c>
      <c r="X25" s="176">
        <f>SUMIFS(Database!$G:$G,Database!$E:$E,Lookup!$C$3,Database!$C:$C,Lookup!X$5,Database!$F:$F,Lookup!$C25,Database!$D:$D,Lookup!$B$3)</f>
        <v>0</v>
      </c>
      <c r="Y25" s="176">
        <f>SUMIFS(Database!$G:$G,Database!$E:$E,Lookup!$C$3,Database!$C:$C,Lookup!Y$5,Database!$F:$F,Lookup!$C25,Database!$D:$D,Lookup!$B$3)</f>
        <v>0</v>
      </c>
      <c r="Z25" s="176">
        <f>SUMIFS(Database!$G:$G,Database!$E:$E,Lookup!$C$3,Database!$C:$C,Lookup!Z$5,Database!$F:$F,Lookup!$C25,Database!$D:$D,Lookup!$B$3)</f>
        <v>0</v>
      </c>
      <c r="AA25" s="176">
        <f>SUMIFS(Database!$G:$G,Database!$E:$E,Lookup!$C$3,Database!$C:$C,Lookup!AA$5,Database!$F:$F,Lookup!$C25,Database!$D:$D,Lookup!$B$3)</f>
        <v>0</v>
      </c>
      <c r="AB25" s="176">
        <f>SUMIFS(Database!$G:$G,Database!$E:$E,Lookup!$C$3,Database!$C:$C,Lookup!AB$5,Database!$F:$F,Lookup!$C25,Database!$D:$D,Lookup!$B$3)</f>
        <v>0</v>
      </c>
      <c r="AC25" s="176">
        <f>SUMIFS(Database!$G:$G,Database!$E:$E,Lookup!$C$3,Database!$C:$C,Lookup!AC$5,Database!$F:$F,Lookup!$C25,Database!$D:$D,Lookup!$B$3)</f>
        <v>0</v>
      </c>
      <c r="AD25" s="176">
        <f>SUMIFS(Database!$G:$G,Database!$E:$E,Lookup!$C$3,Database!$C:$C,Lookup!AD$5,Database!$F:$F,Lookup!$C25,Database!$D:$D,Lookup!$B$3)</f>
        <v>0</v>
      </c>
      <c r="AE25" s="176">
        <f>SUMIFS(Database!$G:$G,Database!$E:$E,Lookup!$C$3,Database!$C:$C,Lookup!AE$5,Database!$F:$F,Lookup!$C25,Database!$D:$D,Lookup!$B$3)</f>
        <v>0</v>
      </c>
      <c r="AF25" s="176">
        <f>SUMIFS(Database!$G:$G,Database!$E:$E,Lookup!$C$3,Database!$C:$C,Lookup!AF$5,Database!$F:$F,Lookup!$C25,Database!$D:$D,Lookup!$B$3)</f>
        <v>0</v>
      </c>
      <c r="AG25" s="176">
        <f>SUMIFS(Database!$G:$G,Database!$E:$E,Lookup!$C$3,Database!$C:$C,Lookup!AG$5,Database!$F:$F,Lookup!$C25,Database!$D:$D,Lookup!$B$3)</f>
        <v>0</v>
      </c>
      <c r="AH25" s="176">
        <f>SUMIFS(Database!$G:$G,Database!$E:$E,Lookup!$C$3,Database!$C:$C,Lookup!AH$5,Database!$F:$F,Lookup!$C25,Database!$D:$D,Lookup!$B$3)</f>
        <v>0</v>
      </c>
      <c r="AI25" s="176">
        <f>SUMIFS(Database!$G:$G,Database!$E:$E,Lookup!$C$3,Database!$C:$C,Lookup!AI$5,Database!$F:$F,Lookup!$C25,Database!$D:$D,Lookup!$B$3)</f>
        <v>0</v>
      </c>
      <c r="AJ25" s="176">
        <f>SUMIFS(Database!$G:$G,Database!$E:$E,Lookup!$C$3,Database!$C:$C,Lookup!AJ$5,Database!$F:$F,Lookup!$C25,Database!$D:$D,Lookup!$B$3)</f>
        <v>0</v>
      </c>
      <c r="AK25" s="176">
        <f>SUMIFS(Database!$G:$G,Database!$E:$E,Lookup!$C$3,Database!$C:$C,Lookup!AK$5,Database!$F:$F,Lookup!$C25,Database!$D:$D,Lookup!$B$3)</f>
        <v>0</v>
      </c>
      <c r="AL25" s="176">
        <f>SUMIFS(Database!$G:$G,Database!$E:$E,Lookup!$C$3,Database!$C:$C,Lookup!AL$5,Database!$F:$F,Lookup!$C25,Database!$D:$D,Lookup!$B$3)</f>
        <v>0</v>
      </c>
      <c r="AM25" s="176">
        <f>SUMIFS(Database!$G:$G,Database!$E:$E,Lookup!$C$3,Database!$C:$C,Lookup!AM$5,Database!$F:$F,Lookup!$C25,Database!$D:$D,Lookup!$B$3)</f>
        <v>0</v>
      </c>
      <c r="AN25" s="176">
        <f>SUMIFS(Database!$G:$G,Database!$E:$E,Lookup!$C$3,Database!$C:$C,Lookup!AN$5,Database!$F:$F,Lookup!$C25,Database!$D:$D,Lookup!$B$3)</f>
        <v>0</v>
      </c>
      <c r="AO25" s="176">
        <f>SUMIFS(Database!$G:$G,Database!$E:$E,Lookup!$C$3,Database!$C:$C,Lookup!AO$5,Database!$F:$F,Lookup!$C25,Database!$D:$D,Lookup!$B$3)</f>
        <v>0</v>
      </c>
      <c r="AP25" s="176">
        <f>SUMIFS(Database!$G:$G,Database!$E:$E,Lookup!$C$3,Database!$C:$C,Lookup!AP$5,Database!$F:$F,Lookup!$C25,Database!$D:$D,Lookup!$B$3)</f>
        <v>0</v>
      </c>
      <c r="AQ25" s="176">
        <f>SUMIFS(Database!$G:$G,Database!$E:$E,Lookup!$C$3,Database!$C:$C,Lookup!AQ$5,Database!$F:$F,Lookup!$C25,Database!$D:$D,Lookup!$B$3)</f>
        <v>0</v>
      </c>
      <c r="AR25" s="176">
        <f>SUMIFS(Database!$G:$G,Database!$E:$E,Lookup!$C$3,Database!$C:$C,Lookup!AR$5,Database!$F:$F,Lookup!$C25,Database!$D:$D,Lookup!$B$3)</f>
        <v>0</v>
      </c>
      <c r="AS25" s="176">
        <f>SUMIFS(Database!$G:$G,Database!$E:$E,Lookup!$C$3,Database!$C:$C,Lookup!AS$5,Database!$F:$F,Lookup!$C25,Database!$D:$D,Lookup!$B$3)</f>
        <v>0</v>
      </c>
      <c r="AT25" s="176">
        <f>SUMIFS(Database!$G:$G,Database!$E:$E,Lookup!$C$3,Database!$C:$C,Lookup!AT$5,Database!$F:$F,Lookup!$C25,Database!$D:$D,Lookup!$B$3)</f>
        <v>0</v>
      </c>
      <c r="AU25" s="176">
        <f>SUMIFS(Database!$G:$G,Database!$E:$E,Lookup!$C$3,Database!$C:$C,Lookup!AU$5,Database!$F:$F,Lookup!$C25,Database!$D:$D,Lookup!$B$3)</f>
        <v>0</v>
      </c>
      <c r="AV25" s="176">
        <f>SUMIFS(Database!$G:$G,Database!$E:$E,Lookup!$C$3,Database!$C:$C,Lookup!AV$5,Database!$F:$F,Lookup!$C25,Database!$D:$D,Lookup!$B$3)</f>
        <v>0</v>
      </c>
      <c r="AW25" s="176">
        <f>SUMIFS(Database!$G:$G,Database!$E:$E,Lookup!$C$3,Database!$C:$C,Lookup!AW$5,Database!$F:$F,Lookup!$C25,Database!$D:$D,Lookup!$B$3)</f>
        <v>0</v>
      </c>
      <c r="AX25" s="176">
        <f>SUMIFS(Database!$G:$G,Database!$E:$E,Lookup!$C$3,Database!$C:$C,Lookup!AX$5,Database!$F:$F,Lookup!$C25,Database!$D:$D,Lookup!$B$3)</f>
        <v>0</v>
      </c>
      <c r="AY25" s="176">
        <f>SUMIFS(Database!$G:$G,Database!$E:$E,Lookup!$C$3,Database!$C:$C,Lookup!AY$5,Database!$F:$F,Lookup!$C25,Database!$D:$D,Lookup!$B$3)</f>
        <v>0</v>
      </c>
      <c r="AZ25" s="176">
        <f>SUMIFS(Database!$G:$G,Database!$E:$E,Lookup!$C$3,Database!$C:$C,Lookup!AZ$5,Database!$F:$F,Lookup!$C25,Database!$D:$D,Lookup!$B$3)</f>
        <v>0</v>
      </c>
      <c r="BA25" s="176">
        <f>SUMIFS(Database!$G:$G,Database!$E:$E,Lookup!$C$3,Database!$C:$C,Lookup!BA$5,Database!$F:$F,Lookup!$C25,Database!$D:$D,Lookup!$B$3)</f>
        <v>0</v>
      </c>
      <c r="BB25" s="176">
        <f>SUMIFS(Database!$G:$G,Database!$E:$E,Lookup!$C$3,Database!$C:$C,Lookup!BB$5,Database!$F:$F,Lookup!$C25,Database!$D:$D,Lookup!$B$3)</f>
        <v>0</v>
      </c>
      <c r="BC25" s="176">
        <f>SUMIFS(Database!$G:$G,Database!$E:$E,Lookup!$C$3,Database!$C:$C,Lookup!BC$5,Database!$F:$F,Lookup!$C25,Database!$D:$D,Lookup!$B$3)</f>
        <v>0</v>
      </c>
      <c r="BD25" s="176">
        <f>SUMIFS(Database!$G:$G,Database!$E:$E,Lookup!$C$3,Database!$C:$C,Lookup!BD$5,Database!$F:$F,Lookup!$C25,Database!$D:$D,Lookup!$B$3)</f>
        <v>0</v>
      </c>
      <c r="BE25" s="176">
        <f>SUMIFS(Database!$G:$G,Database!$E:$E,Lookup!$C$3,Database!$C:$C,Lookup!BE$5,Database!$F:$F,Lookup!$C25,Database!$D:$D,Lookup!$B$3)</f>
        <v>0</v>
      </c>
      <c r="BF25" s="176">
        <f>SUMIFS(Database!$G:$G,Database!$E:$E,Lookup!$C$3,Database!$C:$C,Lookup!BF$5,Database!$F:$F,Lookup!$C25,Database!$D:$D,Lookup!$B$3)</f>
        <v>0</v>
      </c>
      <c r="BG25" s="176">
        <f>SUMIFS(Database!$G:$G,Database!$E:$E,Lookup!$C$3,Database!$C:$C,Lookup!BG$5,Database!$F:$F,Lookup!$C25,Database!$D:$D,Lookup!$B$3)</f>
        <v>0</v>
      </c>
      <c r="BH25" s="176">
        <f>SUMIFS(Database!$G:$G,Database!$E:$E,Lookup!$C$3,Database!$C:$C,Lookup!BH$5,Database!$F:$F,Lookup!$C25,Database!$D:$D,Lookup!$B$3)</f>
        <v>0</v>
      </c>
      <c r="BI25" s="176">
        <f>SUMIFS(Database!$G:$G,Database!$E:$E,Lookup!$C$3,Database!$C:$C,Lookup!BI$5,Database!$F:$F,Lookup!$C25,Database!$D:$D,Lookup!$B$3)</f>
        <v>0</v>
      </c>
      <c r="BJ25" s="176">
        <f>SUMIFS(Database!$G:$G,Database!$E:$E,Lookup!$C$3,Database!$C:$C,Lookup!BJ$5,Database!$F:$F,Lookup!$C25,Database!$D:$D,Lookup!$B$3)</f>
        <v>0</v>
      </c>
      <c r="BK25" s="176">
        <f>SUMIFS(Database!$G:$G,Database!$E:$E,Lookup!$C$3,Database!$C:$C,Lookup!BK$5,Database!$F:$F,Lookup!$C25,Database!$D:$D,Lookup!$B$3)</f>
        <v>0</v>
      </c>
      <c r="BL25" s="176">
        <f>SUMIFS(Database!$G:$G,Database!$E:$E,Lookup!$C$3,Database!$C:$C,Lookup!BL$5,Database!$F:$F,Lookup!$C25,Database!$D:$D,Lookup!$B$3)</f>
        <v>0</v>
      </c>
      <c r="BM25" s="176">
        <f>SUMIFS(Database!$G:$G,Database!$E:$E,Lookup!$C$3,Database!$C:$C,Lookup!BM$5,Database!$F:$F,Lookup!$C25,Database!$D:$D,Lookup!$B$3)</f>
        <v>0</v>
      </c>
      <c r="BN25" s="176">
        <f>SUMIFS(Database!$G:$G,Database!$E:$E,Lookup!$C$3,Database!$C:$C,Lookup!BN$5,Database!$F:$F,Lookup!$C25,Database!$D:$D,Lookup!$B$3)</f>
        <v>0</v>
      </c>
      <c r="BO25" s="176">
        <f>SUMIFS(Database!$G:$G,Database!$E:$E,Lookup!$C$3,Database!$C:$C,Lookup!BO$5,Database!$F:$F,Lookup!$C25,Database!$D:$D,Lookup!$B$3)</f>
        <v>0</v>
      </c>
      <c r="BP25" s="176">
        <f>SUMIFS(Database!$G:$G,Database!$E:$E,Lookup!$C$3,Database!$C:$C,Lookup!BP$5,Database!$F:$F,Lookup!$C25,Database!$D:$D,Lookup!$B$3)</f>
        <v>0</v>
      </c>
      <c r="BQ25" s="176">
        <f>SUMIFS(Database!$G:$G,Database!$E:$E,Lookup!$C$3,Database!$C:$C,Lookup!BQ$5,Database!$F:$F,Lookup!$C25,Database!$D:$D,Lookup!$B$3)</f>
        <v>0</v>
      </c>
      <c r="BR25" s="176">
        <f>SUMIFS(Database!$G:$G,Database!$E:$E,Lookup!$C$3,Database!$C:$C,Lookup!BR$5,Database!$F:$F,Lookup!$C25,Database!$D:$D,Lookup!$B$3)</f>
        <v>0</v>
      </c>
      <c r="BS25" s="176">
        <f>SUMIFS(Database!$G:$G,Database!$E:$E,Lookup!$C$3,Database!$C:$C,Lookup!BS$5,Database!$F:$F,Lookup!$C25,Database!$D:$D,Lookup!$B$3)</f>
        <v>0</v>
      </c>
      <c r="BT25" s="176">
        <f>SUMIFS(Database!$G:$G,Database!$E:$E,Lookup!$C$3,Database!$C:$C,Lookup!BT$5,Database!$F:$F,Lookup!$C25,Database!$D:$D,Lookup!$B$3)</f>
        <v>0</v>
      </c>
      <c r="BU25" s="176">
        <f>SUMIFS(Database!$G:$G,Database!$E:$E,Lookup!$C$3,Database!$C:$C,Lookup!BU$5,Database!$F:$F,Lookup!$C25,Database!$D:$D,Lookup!$B$3)</f>
        <v>0</v>
      </c>
      <c r="BV25" s="176">
        <f>SUMIFS(Database!$G:$G,Database!$E:$E,Lookup!$C$3,Database!$C:$C,Lookup!BV$5,Database!$F:$F,Lookup!$C25,Database!$D:$D,Lookup!$B$3)</f>
        <v>0</v>
      </c>
      <c r="BW25" s="176">
        <f>SUMIFS(Database!$G:$G,Database!$E:$E,Lookup!$C$3,Database!$C:$C,Lookup!BW$5,Database!$F:$F,Lookup!$C25,Database!$D:$D,Lookup!$B$3)</f>
        <v>0</v>
      </c>
      <c r="BX25" s="176">
        <f>SUMIFS(Database!$G:$G,Database!$E:$E,Lookup!$C$3,Database!$C:$C,Lookup!BX$5,Database!$F:$F,Lookup!$C25,Database!$D:$D,Lookup!$B$3)</f>
        <v>0</v>
      </c>
      <c r="BY25" s="176">
        <f>SUMIFS(Database!$G:$G,Database!$E:$E,Lookup!$C$3,Database!$C:$C,Lookup!BY$5,Database!$F:$F,Lookup!$C25,Database!$D:$D,Lookup!$B$3)</f>
        <v>0</v>
      </c>
      <c r="BZ25" s="176">
        <f>SUMIFS(Database!$G:$G,Database!$E:$E,Lookup!$C$3,Database!$C:$C,Lookup!BZ$5,Database!$F:$F,Lookup!$C25,Database!$D:$D,Lookup!$B$3)</f>
        <v>0</v>
      </c>
      <c r="CA25" s="176">
        <f>SUMIFS(Database!$G:$G,Database!$E:$E,Lookup!$C$3,Database!$C:$C,Lookup!CA$5,Database!$F:$F,Lookup!$C25,Database!$D:$D,Lookup!$B$3)</f>
        <v>0</v>
      </c>
      <c r="CB25" s="176">
        <f>SUMIFS(Database!$G:$G,Database!$E:$E,Lookup!$C$3,Database!$C:$C,Lookup!CB$5,Database!$F:$F,Lookup!$C25,Database!$D:$D,Lookup!$B$3)</f>
        <v>0</v>
      </c>
      <c r="CC25" s="176">
        <f>SUMIFS(Database!$G:$G,Database!$E:$E,Lookup!$C$3,Database!$C:$C,Lookup!CC$5,Database!$F:$F,Lookup!$C25,Database!$D:$D,Lookup!$B$3)</f>
        <v>0</v>
      </c>
      <c r="CD25" s="176">
        <f>SUMIFS(Database!$G:$G,Database!$E:$E,Lookup!$C$3,Database!$C:$C,Lookup!CD$5,Database!$F:$F,Lookup!$C25,Database!$D:$D,Lookup!$B$3)</f>
        <v>0</v>
      </c>
      <c r="CE25" s="176">
        <f>SUMIFS(Database!$G:$G,Database!$E:$E,Lookup!$C$3,Database!$C:$C,Lookup!CE$5,Database!$F:$F,Lookup!$C25,Database!$D:$D,Lookup!$B$3)</f>
        <v>0</v>
      </c>
      <c r="CF25" s="176">
        <f>SUMIFS(Database!$G:$G,Database!$E:$E,Lookup!$C$3,Database!$C:$C,Lookup!CF$5,Database!$F:$F,Lookup!$C25,Database!$D:$D,Lookup!$B$3)</f>
        <v>0</v>
      </c>
      <c r="CG25" s="176">
        <f>SUMIFS(Database!$G:$G,Database!$E:$E,Lookup!$C$3,Database!$C:$C,Lookup!CG$5,Database!$F:$F,Lookup!$C25,Database!$D:$D,Lookup!$B$3)</f>
        <v>0</v>
      </c>
      <c r="CH25" s="176">
        <f>SUMIFS(Database!$G:$G,Database!$E:$E,Lookup!$C$3,Database!$C:$C,Lookup!CH$5,Database!$F:$F,Lookup!$C25,Database!$D:$D,Lookup!$B$3)</f>
        <v>0</v>
      </c>
      <c r="CI25" s="176">
        <f>SUMIFS(Database!$G:$G,Database!$E:$E,Lookup!$C$3,Database!$C:$C,Lookup!CI$5,Database!$F:$F,Lookup!$C25,Database!$D:$D,Lookup!$B$3)</f>
        <v>0</v>
      </c>
      <c r="CJ25" s="176">
        <f>SUMIFS(Database!$G:$G,Database!$E:$E,Lookup!$C$3,Database!$C:$C,Lookup!CJ$5,Database!$F:$F,Lookup!$C25,Database!$D:$D,Lookup!$B$3)</f>
        <v>0</v>
      </c>
      <c r="CK25" s="176">
        <f>SUMIFS(Database!$G:$G,Database!$E:$E,Lookup!$C$3,Database!$C:$C,Lookup!CK$5,Database!$F:$F,Lookup!$C25,Database!$D:$D,Lookup!$B$3)</f>
        <v>0</v>
      </c>
      <c r="CL25" s="176">
        <f>SUMIFS(Database!$G:$G,Database!$E:$E,Lookup!$C$3,Database!$C:$C,Lookup!CL$5,Database!$F:$F,Lookup!$C25,Database!$D:$D,Lookup!$B$3)</f>
        <v>0</v>
      </c>
      <c r="CM25" s="176">
        <f>SUMIFS(Database!$G:$G,Database!$E:$E,Lookup!$C$3,Database!$C:$C,Lookup!CM$5,Database!$F:$F,Lookup!$C25,Database!$D:$D,Lookup!$B$3)</f>
        <v>0</v>
      </c>
      <c r="CN25" s="176">
        <f>SUMIFS(Database!$G:$G,Database!$E:$E,Lookup!$C$3,Database!$C:$C,Lookup!CN$5,Database!$F:$F,Lookup!$C25,Database!$D:$D,Lookup!$B$3)</f>
        <v>0</v>
      </c>
      <c r="CO25" s="176">
        <f>SUMIFS(Database!$G:$G,Database!$E:$E,Lookup!$C$3,Database!$C:$C,Lookup!CO$5,Database!$F:$F,Lookup!$C25,Database!$D:$D,Lookup!$B$3)</f>
        <v>0</v>
      </c>
      <c r="CP25" s="176">
        <f>SUMIFS(Database!$G:$G,Database!$E:$E,Lookup!$C$3,Database!$C:$C,Lookup!CP$5,Database!$F:$F,Lookup!$C25,Database!$D:$D,Lookup!$B$3)</f>
        <v>0</v>
      </c>
      <c r="CQ25" s="176">
        <f>SUMIFS(Database!$G:$G,Database!$E:$E,Lookup!$C$3,Database!$C:$C,Lookup!CQ$5,Database!$F:$F,Lookup!$C25,Database!$D:$D,Lookup!$B$3)</f>
        <v>0</v>
      </c>
      <c r="CR25" s="176">
        <f>SUMIFS(Database!$G:$G,Database!$E:$E,Lookup!$C$3,Database!$C:$C,Lookup!CR$5,Database!$F:$F,Lookup!$C25,Database!$D:$D,Lookup!$B$3)</f>
        <v>0</v>
      </c>
      <c r="CS25" s="176">
        <f>SUMIFS(Database!$G:$G,Database!$E:$E,Lookup!$C$3,Database!$C:$C,Lookup!CS$5,Database!$F:$F,Lookup!$C25,Database!$D:$D,Lookup!$B$3)</f>
        <v>0</v>
      </c>
      <c r="CT25" s="176">
        <f>SUMIFS(Database!$G:$G,Database!$E:$E,Lookup!$C$3,Database!$C:$C,Lookup!CT$5,Database!$F:$F,Lookup!$C25,Database!$D:$D,Lookup!$B$3)</f>
        <v>0</v>
      </c>
      <c r="CU25" s="176">
        <f>SUMIFS(Database!$G:$G,Database!$E:$E,Lookup!$C$3,Database!$C:$C,Lookup!CU$5,Database!$F:$F,Lookup!$C25,Database!$D:$D,Lookup!$B$3)</f>
        <v>0</v>
      </c>
      <c r="CV25" s="177">
        <f>SUMIFS(Database!$G:$G,Database!$E:$E,Lookup!$C$3,Database!$C:$C,Lookup!CV$5,Database!$F:$F,Lookup!$C25,Database!$D:$D,Lookup!$B$3)</f>
        <v>0</v>
      </c>
    </row>
    <row r="26" spans="3:100" x14ac:dyDescent="0.25">
      <c r="C26" s="217" t="s">
        <v>304</v>
      </c>
      <c r="D26" s="222"/>
      <c r="E26" s="228">
        <f>SUMIFS(Database!$G:$G,Database!$E:$E,Lookup!$C$3,Database!$C:$C,Lookup!E$5,Database!$F:$F,Lookup!$C26,Database!$D:$D,Lookup!$B$3)</f>
        <v>0</v>
      </c>
      <c r="F26" s="176">
        <f>SUMIFS(Database!$G:$G,Database!$E:$E,Lookup!$C$3,Database!$C:$C,Lookup!F$5,Database!$F:$F,Lookup!$C26,Database!$D:$D,Lookup!$B$3)</f>
        <v>0</v>
      </c>
      <c r="G26" s="176">
        <f>SUMIFS(Database!$G:$G,Database!$E:$E,Lookup!$C$3,Database!$C:$C,Lookup!G$5,Database!$F:$F,Lookup!$C26,Database!$D:$D,Lookup!$B$3)</f>
        <v>0</v>
      </c>
      <c r="H26" s="176">
        <f>SUMIFS(Database!$G:$G,Database!$E:$E,Lookup!$C$3,Database!$C:$C,Lookup!H$5,Database!$F:$F,Lookup!$C26,Database!$D:$D,Lookup!$B$3)</f>
        <v>0</v>
      </c>
      <c r="I26" s="176">
        <f>SUMIFS(Database!$G:$G,Database!$E:$E,Lookup!$C$3,Database!$C:$C,Lookup!I$5,Database!$F:$F,Lookup!$C26,Database!$D:$D,Lookup!$B$3)</f>
        <v>0</v>
      </c>
      <c r="J26" s="176">
        <f>SUMIFS(Database!$G:$G,Database!$E:$E,Lookup!$C$3,Database!$C:$C,Lookup!J$5,Database!$F:$F,Lookup!$C26,Database!$D:$D,Lookup!$B$3)</f>
        <v>0</v>
      </c>
      <c r="K26" s="176">
        <f>SUMIFS(Database!$G:$G,Database!$E:$E,Lookup!$C$3,Database!$C:$C,Lookup!K$5,Database!$F:$F,Lookup!$C26,Database!$D:$D,Lookup!$B$3)</f>
        <v>0</v>
      </c>
      <c r="L26" s="176">
        <f>SUMIFS(Database!$G:$G,Database!$E:$E,Lookup!$C$3,Database!$C:$C,Lookup!L$5,Database!$F:$F,Lookup!$C26,Database!$D:$D,Lookup!$B$3)</f>
        <v>0</v>
      </c>
      <c r="M26" s="176">
        <f>SUMIFS(Database!$G:$G,Database!$E:$E,Lookup!$C$3,Database!$C:$C,Lookup!M$5,Database!$F:$F,Lookup!$C26,Database!$D:$D,Lookup!$B$3)</f>
        <v>0</v>
      </c>
      <c r="N26" s="176">
        <f>SUMIFS(Database!$G:$G,Database!$E:$E,Lookup!$C$3,Database!$C:$C,Lookup!N$5,Database!$F:$F,Lookup!$C26,Database!$D:$D,Lookup!$B$3)</f>
        <v>0</v>
      </c>
      <c r="O26" s="176">
        <f>SUMIFS(Database!$G:$G,Database!$E:$E,Lookup!$C$3,Database!$C:$C,Lookup!O$5,Database!$F:$F,Lookup!$C26,Database!$D:$D,Lookup!$B$3)</f>
        <v>0</v>
      </c>
      <c r="P26" s="176">
        <f>SUMIFS(Database!$G:$G,Database!$E:$E,Lookup!$C$3,Database!$C:$C,Lookup!P$5,Database!$F:$F,Lookup!$C26,Database!$D:$D,Lookup!$B$3)</f>
        <v>0</v>
      </c>
      <c r="Q26" s="176">
        <f>SUMIFS(Database!$G:$G,Database!$E:$E,Lookup!$C$3,Database!$C:$C,Lookup!Q$5,Database!$F:$F,Lookup!$C26,Database!$D:$D,Lookup!$B$3)</f>
        <v>0</v>
      </c>
      <c r="R26" s="176">
        <f>SUMIFS(Database!$G:$G,Database!$E:$E,Lookup!$C$3,Database!$C:$C,Lookup!R$5,Database!$F:$F,Lookup!$C26,Database!$D:$D,Lookup!$B$3)</f>
        <v>0</v>
      </c>
      <c r="S26" s="176">
        <f>SUMIFS(Database!$G:$G,Database!$E:$E,Lookup!$C$3,Database!$C:$C,Lookup!S$5,Database!$F:$F,Lookup!$C26,Database!$D:$D,Lookup!$B$3)</f>
        <v>0</v>
      </c>
      <c r="T26" s="176">
        <f>SUMIFS(Database!$G:$G,Database!$E:$E,Lookup!$C$3,Database!$C:$C,Lookup!T$5,Database!$F:$F,Lookup!$C26,Database!$D:$D,Lookup!$B$3)</f>
        <v>0</v>
      </c>
      <c r="U26" s="176">
        <f>SUMIFS(Database!$G:$G,Database!$E:$E,Lookup!$C$3,Database!$C:$C,Lookup!U$5,Database!$F:$F,Lookup!$C26,Database!$D:$D,Lookup!$B$3)</f>
        <v>0</v>
      </c>
      <c r="V26" s="176">
        <f>SUMIFS(Database!$G:$G,Database!$E:$E,Lookup!$C$3,Database!$C:$C,Lookup!V$5,Database!$F:$F,Lookup!$C26,Database!$D:$D,Lookup!$B$3)</f>
        <v>0</v>
      </c>
      <c r="W26" s="176">
        <f>SUMIFS(Database!$G:$G,Database!$E:$E,Lookup!$C$3,Database!$C:$C,Lookup!W$5,Database!$F:$F,Lookup!$C26,Database!$D:$D,Lookup!$B$3)</f>
        <v>0</v>
      </c>
      <c r="X26" s="176">
        <f>SUMIFS(Database!$G:$G,Database!$E:$E,Lookup!$C$3,Database!$C:$C,Lookup!X$5,Database!$F:$F,Lookup!$C26,Database!$D:$D,Lookup!$B$3)</f>
        <v>0</v>
      </c>
      <c r="Y26" s="176">
        <f>SUMIFS(Database!$G:$G,Database!$E:$E,Lookup!$C$3,Database!$C:$C,Lookup!Y$5,Database!$F:$F,Lookup!$C26,Database!$D:$D,Lookup!$B$3)</f>
        <v>0</v>
      </c>
      <c r="Z26" s="176">
        <f>SUMIFS(Database!$G:$G,Database!$E:$E,Lookup!$C$3,Database!$C:$C,Lookup!Z$5,Database!$F:$F,Lookup!$C26,Database!$D:$D,Lookup!$B$3)</f>
        <v>0</v>
      </c>
      <c r="AA26" s="176">
        <f>SUMIFS(Database!$G:$G,Database!$E:$E,Lookup!$C$3,Database!$C:$C,Lookup!AA$5,Database!$F:$F,Lookup!$C26,Database!$D:$D,Lookup!$B$3)</f>
        <v>0</v>
      </c>
      <c r="AB26" s="176">
        <f>SUMIFS(Database!$G:$G,Database!$E:$E,Lookup!$C$3,Database!$C:$C,Lookup!AB$5,Database!$F:$F,Lookup!$C26,Database!$D:$D,Lookup!$B$3)</f>
        <v>0</v>
      </c>
      <c r="AC26" s="176">
        <f>SUMIFS(Database!$G:$G,Database!$E:$E,Lookup!$C$3,Database!$C:$C,Lookup!AC$5,Database!$F:$F,Lookup!$C26,Database!$D:$D,Lookup!$B$3)</f>
        <v>0</v>
      </c>
      <c r="AD26" s="176">
        <f>SUMIFS(Database!$G:$G,Database!$E:$E,Lookup!$C$3,Database!$C:$C,Lookup!AD$5,Database!$F:$F,Lookup!$C26,Database!$D:$D,Lookup!$B$3)</f>
        <v>0</v>
      </c>
      <c r="AE26" s="176">
        <f>SUMIFS(Database!$G:$G,Database!$E:$E,Lookup!$C$3,Database!$C:$C,Lookup!AE$5,Database!$F:$F,Lookup!$C26,Database!$D:$D,Lookup!$B$3)</f>
        <v>0</v>
      </c>
      <c r="AF26" s="176">
        <f>SUMIFS(Database!$G:$G,Database!$E:$E,Lookup!$C$3,Database!$C:$C,Lookup!AF$5,Database!$F:$F,Lookup!$C26,Database!$D:$D,Lookup!$B$3)</f>
        <v>0</v>
      </c>
      <c r="AG26" s="176">
        <f>SUMIFS(Database!$G:$G,Database!$E:$E,Lookup!$C$3,Database!$C:$C,Lookup!AG$5,Database!$F:$F,Lookup!$C26,Database!$D:$D,Lookup!$B$3)</f>
        <v>0</v>
      </c>
      <c r="AH26" s="176">
        <f>SUMIFS(Database!$G:$G,Database!$E:$E,Lookup!$C$3,Database!$C:$C,Lookup!AH$5,Database!$F:$F,Lookup!$C26,Database!$D:$D,Lookup!$B$3)</f>
        <v>0</v>
      </c>
      <c r="AI26" s="176">
        <f>SUMIFS(Database!$G:$G,Database!$E:$E,Lookup!$C$3,Database!$C:$C,Lookup!AI$5,Database!$F:$F,Lookup!$C26,Database!$D:$D,Lookup!$B$3)</f>
        <v>0</v>
      </c>
      <c r="AJ26" s="176">
        <f>SUMIFS(Database!$G:$G,Database!$E:$E,Lookup!$C$3,Database!$C:$C,Lookup!AJ$5,Database!$F:$F,Lookup!$C26,Database!$D:$D,Lookup!$B$3)</f>
        <v>0</v>
      </c>
      <c r="AK26" s="176">
        <f>SUMIFS(Database!$G:$G,Database!$E:$E,Lookup!$C$3,Database!$C:$C,Lookup!AK$5,Database!$F:$F,Lookup!$C26,Database!$D:$D,Lookup!$B$3)</f>
        <v>0</v>
      </c>
      <c r="AL26" s="176">
        <f>SUMIFS(Database!$G:$G,Database!$E:$E,Lookup!$C$3,Database!$C:$C,Lookup!AL$5,Database!$F:$F,Lookup!$C26,Database!$D:$D,Lookup!$B$3)</f>
        <v>0</v>
      </c>
      <c r="AM26" s="176">
        <f>SUMIFS(Database!$G:$G,Database!$E:$E,Lookup!$C$3,Database!$C:$C,Lookup!AM$5,Database!$F:$F,Lookup!$C26,Database!$D:$D,Lookup!$B$3)</f>
        <v>0</v>
      </c>
      <c r="AN26" s="176">
        <f>SUMIFS(Database!$G:$G,Database!$E:$E,Lookup!$C$3,Database!$C:$C,Lookup!AN$5,Database!$F:$F,Lookup!$C26,Database!$D:$D,Lookup!$B$3)</f>
        <v>0</v>
      </c>
      <c r="AO26" s="176">
        <f>SUMIFS(Database!$G:$G,Database!$E:$E,Lookup!$C$3,Database!$C:$C,Lookup!AO$5,Database!$F:$F,Lookup!$C26,Database!$D:$D,Lookup!$B$3)</f>
        <v>0</v>
      </c>
      <c r="AP26" s="176">
        <f>SUMIFS(Database!$G:$G,Database!$E:$E,Lookup!$C$3,Database!$C:$C,Lookup!AP$5,Database!$F:$F,Lookup!$C26,Database!$D:$D,Lookup!$B$3)</f>
        <v>0</v>
      </c>
      <c r="AQ26" s="176">
        <f>SUMIFS(Database!$G:$G,Database!$E:$E,Lookup!$C$3,Database!$C:$C,Lookup!AQ$5,Database!$F:$F,Lookup!$C26,Database!$D:$D,Lookup!$B$3)</f>
        <v>0</v>
      </c>
      <c r="AR26" s="176">
        <f>SUMIFS(Database!$G:$G,Database!$E:$E,Lookup!$C$3,Database!$C:$C,Lookup!AR$5,Database!$F:$F,Lookup!$C26,Database!$D:$D,Lookup!$B$3)</f>
        <v>0</v>
      </c>
      <c r="AS26" s="176">
        <f>SUMIFS(Database!$G:$G,Database!$E:$E,Lookup!$C$3,Database!$C:$C,Lookup!AS$5,Database!$F:$F,Lookup!$C26,Database!$D:$D,Lookup!$B$3)</f>
        <v>0</v>
      </c>
      <c r="AT26" s="176">
        <f>SUMIFS(Database!$G:$G,Database!$E:$E,Lookup!$C$3,Database!$C:$C,Lookup!AT$5,Database!$F:$F,Lookup!$C26,Database!$D:$D,Lookup!$B$3)</f>
        <v>0</v>
      </c>
      <c r="AU26" s="176">
        <f>SUMIFS(Database!$G:$G,Database!$E:$E,Lookup!$C$3,Database!$C:$C,Lookup!AU$5,Database!$F:$F,Lookup!$C26,Database!$D:$D,Lookup!$B$3)</f>
        <v>0</v>
      </c>
      <c r="AV26" s="176">
        <f>SUMIFS(Database!$G:$G,Database!$E:$E,Lookup!$C$3,Database!$C:$C,Lookup!AV$5,Database!$F:$F,Lookup!$C26,Database!$D:$D,Lookup!$B$3)</f>
        <v>0</v>
      </c>
      <c r="AW26" s="176">
        <f>SUMIFS(Database!$G:$G,Database!$E:$E,Lookup!$C$3,Database!$C:$C,Lookup!AW$5,Database!$F:$F,Lookup!$C26,Database!$D:$D,Lookup!$B$3)</f>
        <v>0</v>
      </c>
      <c r="AX26" s="176">
        <f>SUMIFS(Database!$G:$G,Database!$E:$E,Lookup!$C$3,Database!$C:$C,Lookup!AX$5,Database!$F:$F,Lookup!$C26,Database!$D:$D,Lookup!$B$3)</f>
        <v>0</v>
      </c>
      <c r="AY26" s="176">
        <f>SUMIFS(Database!$G:$G,Database!$E:$E,Lookup!$C$3,Database!$C:$C,Lookup!AY$5,Database!$F:$F,Lookup!$C26,Database!$D:$D,Lookup!$B$3)</f>
        <v>0</v>
      </c>
      <c r="AZ26" s="176">
        <f>SUMIFS(Database!$G:$G,Database!$E:$E,Lookup!$C$3,Database!$C:$C,Lookup!AZ$5,Database!$F:$F,Lookup!$C26,Database!$D:$D,Lookup!$B$3)</f>
        <v>0</v>
      </c>
      <c r="BA26" s="176">
        <f>SUMIFS(Database!$G:$G,Database!$E:$E,Lookup!$C$3,Database!$C:$C,Lookup!BA$5,Database!$F:$F,Lookup!$C26,Database!$D:$D,Lookup!$B$3)</f>
        <v>0</v>
      </c>
      <c r="BB26" s="176">
        <f>SUMIFS(Database!$G:$G,Database!$E:$E,Lookup!$C$3,Database!$C:$C,Lookup!BB$5,Database!$F:$F,Lookup!$C26,Database!$D:$D,Lookup!$B$3)</f>
        <v>0</v>
      </c>
      <c r="BC26" s="176">
        <f>SUMIFS(Database!$G:$G,Database!$E:$E,Lookup!$C$3,Database!$C:$C,Lookup!BC$5,Database!$F:$F,Lookup!$C26,Database!$D:$D,Lookup!$B$3)</f>
        <v>0</v>
      </c>
      <c r="BD26" s="176">
        <f>SUMIFS(Database!$G:$G,Database!$E:$E,Lookup!$C$3,Database!$C:$C,Lookup!BD$5,Database!$F:$F,Lookup!$C26,Database!$D:$D,Lookup!$B$3)</f>
        <v>0</v>
      </c>
      <c r="BE26" s="176">
        <f>SUMIFS(Database!$G:$G,Database!$E:$E,Lookup!$C$3,Database!$C:$C,Lookup!BE$5,Database!$F:$F,Lookup!$C26,Database!$D:$D,Lookup!$B$3)</f>
        <v>0</v>
      </c>
      <c r="BF26" s="176">
        <f>SUMIFS(Database!$G:$G,Database!$E:$E,Lookup!$C$3,Database!$C:$C,Lookup!BF$5,Database!$F:$F,Lookup!$C26,Database!$D:$D,Lookup!$B$3)</f>
        <v>0</v>
      </c>
      <c r="BG26" s="176">
        <f>SUMIFS(Database!$G:$G,Database!$E:$E,Lookup!$C$3,Database!$C:$C,Lookup!BG$5,Database!$F:$F,Lookup!$C26,Database!$D:$D,Lookup!$B$3)</f>
        <v>0</v>
      </c>
      <c r="BH26" s="176">
        <f>SUMIFS(Database!$G:$G,Database!$E:$E,Lookup!$C$3,Database!$C:$C,Lookup!BH$5,Database!$F:$F,Lookup!$C26,Database!$D:$D,Lookup!$B$3)</f>
        <v>0</v>
      </c>
      <c r="BI26" s="176">
        <f>SUMIFS(Database!$G:$G,Database!$E:$E,Lookup!$C$3,Database!$C:$C,Lookup!BI$5,Database!$F:$F,Lookup!$C26,Database!$D:$D,Lookup!$B$3)</f>
        <v>0</v>
      </c>
      <c r="BJ26" s="176">
        <f>SUMIFS(Database!$G:$G,Database!$E:$E,Lookup!$C$3,Database!$C:$C,Lookup!BJ$5,Database!$F:$F,Lookup!$C26,Database!$D:$D,Lookup!$B$3)</f>
        <v>0</v>
      </c>
      <c r="BK26" s="176">
        <f>SUMIFS(Database!$G:$G,Database!$E:$E,Lookup!$C$3,Database!$C:$C,Lookup!BK$5,Database!$F:$F,Lookup!$C26,Database!$D:$D,Lookup!$B$3)</f>
        <v>0</v>
      </c>
      <c r="BL26" s="176">
        <f>SUMIFS(Database!$G:$G,Database!$E:$E,Lookup!$C$3,Database!$C:$C,Lookup!BL$5,Database!$F:$F,Lookup!$C26,Database!$D:$D,Lookup!$B$3)</f>
        <v>0</v>
      </c>
      <c r="BM26" s="176">
        <f>SUMIFS(Database!$G:$G,Database!$E:$E,Lookup!$C$3,Database!$C:$C,Lookup!BM$5,Database!$F:$F,Lookup!$C26,Database!$D:$D,Lookup!$B$3)</f>
        <v>0</v>
      </c>
      <c r="BN26" s="176">
        <f>SUMIFS(Database!$G:$G,Database!$E:$E,Lookup!$C$3,Database!$C:$C,Lookup!BN$5,Database!$F:$F,Lookup!$C26,Database!$D:$D,Lookup!$B$3)</f>
        <v>0</v>
      </c>
      <c r="BO26" s="176">
        <f>SUMIFS(Database!$G:$G,Database!$E:$E,Lookup!$C$3,Database!$C:$C,Lookup!BO$5,Database!$F:$F,Lookup!$C26,Database!$D:$D,Lookup!$B$3)</f>
        <v>0</v>
      </c>
      <c r="BP26" s="176">
        <f>SUMIFS(Database!$G:$G,Database!$E:$E,Lookup!$C$3,Database!$C:$C,Lookup!BP$5,Database!$F:$F,Lookup!$C26,Database!$D:$D,Lookup!$B$3)</f>
        <v>0</v>
      </c>
      <c r="BQ26" s="176">
        <f>SUMIFS(Database!$G:$G,Database!$E:$E,Lookup!$C$3,Database!$C:$C,Lookup!BQ$5,Database!$F:$F,Lookup!$C26,Database!$D:$D,Lookup!$B$3)</f>
        <v>0</v>
      </c>
      <c r="BR26" s="176">
        <f>SUMIFS(Database!$G:$G,Database!$E:$E,Lookup!$C$3,Database!$C:$C,Lookup!BR$5,Database!$F:$F,Lookup!$C26,Database!$D:$D,Lookup!$B$3)</f>
        <v>0</v>
      </c>
      <c r="BS26" s="176">
        <f>SUMIFS(Database!$G:$G,Database!$E:$E,Lookup!$C$3,Database!$C:$C,Lookup!BS$5,Database!$F:$F,Lookup!$C26,Database!$D:$D,Lookup!$B$3)</f>
        <v>0</v>
      </c>
      <c r="BT26" s="176">
        <f>SUMIFS(Database!$G:$G,Database!$E:$E,Lookup!$C$3,Database!$C:$C,Lookup!BT$5,Database!$F:$F,Lookup!$C26,Database!$D:$D,Lookup!$B$3)</f>
        <v>0</v>
      </c>
      <c r="BU26" s="176">
        <f>SUMIFS(Database!$G:$G,Database!$E:$E,Lookup!$C$3,Database!$C:$C,Lookup!BU$5,Database!$F:$F,Lookup!$C26,Database!$D:$D,Lookup!$B$3)</f>
        <v>0</v>
      </c>
      <c r="BV26" s="176">
        <f>SUMIFS(Database!$G:$G,Database!$E:$E,Lookup!$C$3,Database!$C:$C,Lookup!BV$5,Database!$F:$F,Lookup!$C26,Database!$D:$D,Lookup!$B$3)</f>
        <v>0</v>
      </c>
      <c r="BW26" s="176">
        <f>SUMIFS(Database!$G:$G,Database!$E:$E,Lookup!$C$3,Database!$C:$C,Lookup!BW$5,Database!$F:$F,Lookup!$C26,Database!$D:$D,Lookup!$B$3)</f>
        <v>0</v>
      </c>
      <c r="BX26" s="176">
        <f>SUMIFS(Database!$G:$G,Database!$E:$E,Lookup!$C$3,Database!$C:$C,Lookup!BX$5,Database!$F:$F,Lookup!$C26,Database!$D:$D,Lookup!$B$3)</f>
        <v>0</v>
      </c>
      <c r="BY26" s="176">
        <f>SUMIFS(Database!$G:$G,Database!$E:$E,Lookup!$C$3,Database!$C:$C,Lookup!BY$5,Database!$F:$F,Lookup!$C26,Database!$D:$D,Lookup!$B$3)</f>
        <v>0</v>
      </c>
      <c r="BZ26" s="176">
        <f>SUMIFS(Database!$G:$G,Database!$E:$E,Lookup!$C$3,Database!$C:$C,Lookup!BZ$5,Database!$F:$F,Lookup!$C26,Database!$D:$D,Lookup!$B$3)</f>
        <v>0</v>
      </c>
      <c r="CA26" s="176">
        <f>SUMIFS(Database!$G:$G,Database!$E:$E,Lookup!$C$3,Database!$C:$C,Lookup!CA$5,Database!$F:$F,Lookup!$C26,Database!$D:$D,Lookup!$B$3)</f>
        <v>0</v>
      </c>
      <c r="CB26" s="176">
        <f>SUMIFS(Database!$G:$G,Database!$E:$E,Lookup!$C$3,Database!$C:$C,Lookup!CB$5,Database!$F:$F,Lookup!$C26,Database!$D:$D,Lookup!$B$3)</f>
        <v>0</v>
      </c>
      <c r="CC26" s="176">
        <f>SUMIFS(Database!$G:$G,Database!$E:$E,Lookup!$C$3,Database!$C:$C,Lookup!CC$5,Database!$F:$F,Lookup!$C26,Database!$D:$D,Lookup!$B$3)</f>
        <v>0</v>
      </c>
      <c r="CD26" s="176">
        <f>SUMIFS(Database!$G:$G,Database!$E:$E,Lookup!$C$3,Database!$C:$C,Lookup!CD$5,Database!$F:$F,Lookup!$C26,Database!$D:$D,Lookup!$B$3)</f>
        <v>0</v>
      </c>
      <c r="CE26" s="176">
        <f>SUMIFS(Database!$G:$G,Database!$E:$E,Lookup!$C$3,Database!$C:$C,Lookup!CE$5,Database!$F:$F,Lookup!$C26,Database!$D:$D,Lookup!$B$3)</f>
        <v>0</v>
      </c>
      <c r="CF26" s="176">
        <f>SUMIFS(Database!$G:$G,Database!$E:$E,Lookup!$C$3,Database!$C:$C,Lookup!CF$5,Database!$F:$F,Lookup!$C26,Database!$D:$D,Lookup!$B$3)</f>
        <v>0</v>
      </c>
      <c r="CG26" s="176">
        <f>SUMIFS(Database!$G:$G,Database!$E:$E,Lookup!$C$3,Database!$C:$C,Lookup!CG$5,Database!$F:$F,Lookup!$C26,Database!$D:$D,Lookup!$B$3)</f>
        <v>0</v>
      </c>
      <c r="CH26" s="176">
        <f>SUMIFS(Database!$G:$G,Database!$E:$E,Lookup!$C$3,Database!$C:$C,Lookup!CH$5,Database!$F:$F,Lookup!$C26,Database!$D:$D,Lookup!$B$3)</f>
        <v>0</v>
      </c>
      <c r="CI26" s="176">
        <f>SUMIFS(Database!$G:$G,Database!$E:$E,Lookup!$C$3,Database!$C:$C,Lookup!CI$5,Database!$F:$F,Lookup!$C26,Database!$D:$D,Lookup!$B$3)</f>
        <v>0</v>
      </c>
      <c r="CJ26" s="176">
        <f>SUMIFS(Database!$G:$G,Database!$E:$E,Lookup!$C$3,Database!$C:$C,Lookup!CJ$5,Database!$F:$F,Lookup!$C26,Database!$D:$D,Lookup!$B$3)</f>
        <v>0</v>
      </c>
      <c r="CK26" s="176">
        <f>SUMIFS(Database!$G:$G,Database!$E:$E,Lookup!$C$3,Database!$C:$C,Lookup!CK$5,Database!$F:$F,Lookup!$C26,Database!$D:$D,Lookup!$B$3)</f>
        <v>0</v>
      </c>
      <c r="CL26" s="176">
        <f>SUMIFS(Database!$G:$G,Database!$E:$E,Lookup!$C$3,Database!$C:$C,Lookup!CL$5,Database!$F:$F,Lookup!$C26,Database!$D:$D,Lookup!$B$3)</f>
        <v>0</v>
      </c>
      <c r="CM26" s="176">
        <f>SUMIFS(Database!$G:$G,Database!$E:$E,Lookup!$C$3,Database!$C:$C,Lookup!CM$5,Database!$F:$F,Lookup!$C26,Database!$D:$D,Lookup!$B$3)</f>
        <v>0</v>
      </c>
      <c r="CN26" s="176">
        <f>SUMIFS(Database!$G:$G,Database!$E:$E,Lookup!$C$3,Database!$C:$C,Lookup!CN$5,Database!$F:$F,Lookup!$C26,Database!$D:$D,Lookup!$B$3)</f>
        <v>0</v>
      </c>
      <c r="CO26" s="176">
        <f>SUMIFS(Database!$G:$G,Database!$E:$E,Lookup!$C$3,Database!$C:$C,Lookup!CO$5,Database!$F:$F,Lookup!$C26,Database!$D:$D,Lookup!$B$3)</f>
        <v>0</v>
      </c>
      <c r="CP26" s="176">
        <f>SUMIFS(Database!$G:$G,Database!$E:$E,Lookup!$C$3,Database!$C:$C,Lookup!CP$5,Database!$F:$F,Lookup!$C26,Database!$D:$D,Lookup!$B$3)</f>
        <v>0</v>
      </c>
      <c r="CQ26" s="176">
        <f>SUMIFS(Database!$G:$G,Database!$E:$E,Lookup!$C$3,Database!$C:$C,Lookup!CQ$5,Database!$F:$F,Lookup!$C26,Database!$D:$D,Lookup!$B$3)</f>
        <v>0</v>
      </c>
      <c r="CR26" s="176">
        <f>SUMIFS(Database!$G:$G,Database!$E:$E,Lookup!$C$3,Database!$C:$C,Lookup!CR$5,Database!$F:$F,Lookup!$C26,Database!$D:$D,Lookup!$B$3)</f>
        <v>0</v>
      </c>
      <c r="CS26" s="176">
        <f>SUMIFS(Database!$G:$G,Database!$E:$E,Lookup!$C$3,Database!$C:$C,Lookup!CS$5,Database!$F:$F,Lookup!$C26,Database!$D:$D,Lookup!$B$3)</f>
        <v>0</v>
      </c>
      <c r="CT26" s="176">
        <f>SUMIFS(Database!$G:$G,Database!$E:$E,Lookup!$C$3,Database!$C:$C,Lookup!CT$5,Database!$F:$F,Lookup!$C26,Database!$D:$D,Lookup!$B$3)</f>
        <v>0</v>
      </c>
      <c r="CU26" s="176">
        <f>SUMIFS(Database!$G:$G,Database!$E:$E,Lookup!$C$3,Database!$C:$C,Lookup!CU$5,Database!$F:$F,Lookup!$C26,Database!$D:$D,Lookup!$B$3)</f>
        <v>0</v>
      </c>
      <c r="CV26" s="177">
        <f>SUMIFS(Database!$G:$G,Database!$E:$E,Lookup!$C$3,Database!$C:$C,Lookup!CV$5,Database!$F:$F,Lookup!$C26,Database!$D:$D,Lookup!$B$3)</f>
        <v>0</v>
      </c>
    </row>
    <row r="27" spans="3:100" s="119" customFormat="1" ht="21" customHeight="1" thickBot="1" x14ac:dyDescent="0.3">
      <c r="C27" s="218" t="s">
        <v>15</v>
      </c>
      <c r="D27" s="224"/>
      <c r="E27" s="230">
        <f>SUMIFS(Database!$G:$G,Database!$E:$E,Lookup!$C$3,Database!$C:$C,Lookup!E$5,Database!$F:$F,Lookup!$C27,Database!$D:$D,Lookup!$B$3)</f>
        <v>0</v>
      </c>
      <c r="F27" s="180">
        <f>SUMIFS(Database!$G:$G,Database!$E:$E,Lookup!$C$3,Database!$C:$C,Lookup!F$5,Database!$F:$F,Lookup!$C27,Database!$D:$D,Lookup!$B$3)</f>
        <v>0</v>
      </c>
      <c r="G27" s="180">
        <f>SUMIFS(Database!$G:$G,Database!$E:$E,Lookup!$C$3,Database!$C:$C,Lookup!G$5,Database!$F:$F,Lookup!$C27,Database!$D:$D,Lookup!$B$3)</f>
        <v>0</v>
      </c>
      <c r="H27" s="180">
        <f>SUMIFS(Database!$G:$G,Database!$E:$E,Lookup!$C$3,Database!$C:$C,Lookup!H$5,Database!$F:$F,Lookup!$C27,Database!$D:$D,Lookup!$B$3)</f>
        <v>0</v>
      </c>
      <c r="I27" s="180">
        <f>SUMIFS(Database!$G:$G,Database!$E:$E,Lookup!$C$3,Database!$C:$C,Lookup!I$5,Database!$F:$F,Lookup!$C27,Database!$D:$D,Lookup!$B$3)</f>
        <v>0</v>
      </c>
      <c r="J27" s="180">
        <f>SUMIFS(Database!$G:$G,Database!$E:$E,Lookup!$C$3,Database!$C:$C,Lookup!J$5,Database!$F:$F,Lookup!$C27,Database!$D:$D,Lookup!$B$3)</f>
        <v>0</v>
      </c>
      <c r="K27" s="180">
        <f>SUMIFS(Database!$G:$G,Database!$E:$E,Lookup!$C$3,Database!$C:$C,Lookup!K$5,Database!$F:$F,Lookup!$C27,Database!$D:$D,Lookup!$B$3)</f>
        <v>0</v>
      </c>
      <c r="L27" s="180">
        <f>SUMIFS(Database!$G:$G,Database!$E:$E,Lookup!$C$3,Database!$C:$C,Lookup!L$5,Database!$F:$F,Lookup!$C27,Database!$D:$D,Lookup!$B$3)</f>
        <v>0</v>
      </c>
      <c r="M27" s="180">
        <f>SUMIFS(Database!$G:$G,Database!$E:$E,Lookup!$C$3,Database!$C:$C,Lookup!M$5,Database!$F:$F,Lookup!$C27,Database!$D:$D,Lookup!$B$3)</f>
        <v>0</v>
      </c>
      <c r="N27" s="180">
        <f>SUMIFS(Database!$G:$G,Database!$E:$E,Lookup!$C$3,Database!$C:$C,Lookup!N$5,Database!$F:$F,Lookup!$C27,Database!$D:$D,Lookup!$B$3)</f>
        <v>0</v>
      </c>
      <c r="O27" s="180">
        <f>SUMIFS(Database!$G:$G,Database!$E:$E,Lookup!$C$3,Database!$C:$C,Lookup!O$5,Database!$F:$F,Lookup!$C27,Database!$D:$D,Lookup!$B$3)</f>
        <v>0</v>
      </c>
      <c r="P27" s="180">
        <f>SUMIFS(Database!$G:$G,Database!$E:$E,Lookup!$C$3,Database!$C:$C,Lookup!P$5,Database!$F:$F,Lookup!$C27,Database!$D:$D,Lookup!$B$3)</f>
        <v>0</v>
      </c>
      <c r="Q27" s="180">
        <f>SUMIFS(Database!$G:$G,Database!$E:$E,Lookup!$C$3,Database!$C:$C,Lookup!Q$5,Database!$F:$F,Lookup!$C27,Database!$D:$D,Lookup!$B$3)</f>
        <v>0</v>
      </c>
      <c r="R27" s="180">
        <f>SUMIFS(Database!$G:$G,Database!$E:$E,Lookup!$C$3,Database!$C:$C,Lookup!R$5,Database!$F:$F,Lookup!$C27,Database!$D:$D,Lookup!$B$3)</f>
        <v>0</v>
      </c>
      <c r="S27" s="180">
        <f>SUMIFS(Database!$G:$G,Database!$E:$E,Lookup!$C$3,Database!$C:$C,Lookup!S$5,Database!$F:$F,Lookup!$C27,Database!$D:$D,Lookup!$B$3)</f>
        <v>0</v>
      </c>
      <c r="T27" s="180">
        <f>SUMIFS(Database!$G:$G,Database!$E:$E,Lookup!$C$3,Database!$C:$C,Lookup!T$5,Database!$F:$F,Lookup!$C27,Database!$D:$D,Lookup!$B$3)</f>
        <v>0</v>
      </c>
      <c r="U27" s="180">
        <f>SUMIFS(Database!$G:$G,Database!$E:$E,Lookup!$C$3,Database!$C:$C,Lookup!U$5,Database!$F:$F,Lookup!$C27,Database!$D:$D,Lookup!$B$3)</f>
        <v>0</v>
      </c>
      <c r="V27" s="180">
        <f>SUMIFS(Database!$G:$G,Database!$E:$E,Lookup!$C$3,Database!$C:$C,Lookup!V$5,Database!$F:$F,Lookup!$C27,Database!$D:$D,Lookup!$B$3)</f>
        <v>0</v>
      </c>
      <c r="W27" s="180">
        <f>SUMIFS(Database!$G:$G,Database!$E:$E,Lookup!$C$3,Database!$C:$C,Lookup!W$5,Database!$F:$F,Lookup!$C27,Database!$D:$D,Lookup!$B$3)</f>
        <v>0</v>
      </c>
      <c r="X27" s="180">
        <f>SUMIFS(Database!$G:$G,Database!$E:$E,Lookup!$C$3,Database!$C:$C,Lookup!X$5,Database!$F:$F,Lookup!$C27,Database!$D:$D,Lookup!$B$3)</f>
        <v>0</v>
      </c>
      <c r="Y27" s="180">
        <f>SUMIFS(Database!$G:$G,Database!$E:$E,Lookup!$C$3,Database!$C:$C,Lookup!Y$5,Database!$F:$F,Lookup!$C27,Database!$D:$D,Lookup!$B$3)</f>
        <v>0</v>
      </c>
      <c r="Z27" s="180">
        <f>SUMIFS(Database!$G:$G,Database!$E:$E,Lookup!$C$3,Database!$C:$C,Lookup!Z$5,Database!$F:$F,Lookup!$C27,Database!$D:$D,Lookup!$B$3)</f>
        <v>0</v>
      </c>
      <c r="AA27" s="180">
        <f>SUMIFS(Database!$G:$G,Database!$E:$E,Lookup!$C$3,Database!$C:$C,Lookup!AA$5,Database!$F:$F,Lookup!$C27,Database!$D:$D,Lookup!$B$3)</f>
        <v>0</v>
      </c>
      <c r="AB27" s="180">
        <f>SUMIFS(Database!$G:$G,Database!$E:$E,Lookup!$C$3,Database!$C:$C,Lookup!AB$5,Database!$F:$F,Lookup!$C27,Database!$D:$D,Lookup!$B$3)</f>
        <v>0</v>
      </c>
      <c r="AC27" s="180">
        <f>SUMIFS(Database!$G:$G,Database!$E:$E,Lookup!$C$3,Database!$C:$C,Lookup!AC$5,Database!$F:$F,Lookup!$C27,Database!$D:$D,Lookup!$B$3)</f>
        <v>0</v>
      </c>
      <c r="AD27" s="180">
        <f>SUMIFS(Database!$G:$G,Database!$E:$E,Lookup!$C$3,Database!$C:$C,Lookup!AD$5,Database!$F:$F,Lookup!$C27,Database!$D:$D,Lookup!$B$3)</f>
        <v>0</v>
      </c>
      <c r="AE27" s="180">
        <f>SUMIFS(Database!$G:$G,Database!$E:$E,Lookup!$C$3,Database!$C:$C,Lookup!AE$5,Database!$F:$F,Lookup!$C27,Database!$D:$D,Lookup!$B$3)</f>
        <v>0</v>
      </c>
      <c r="AF27" s="180">
        <f>SUMIFS(Database!$G:$G,Database!$E:$E,Lookup!$C$3,Database!$C:$C,Lookup!AF$5,Database!$F:$F,Lookup!$C27,Database!$D:$D,Lookup!$B$3)</f>
        <v>0</v>
      </c>
      <c r="AG27" s="180">
        <f>SUMIFS(Database!$G:$G,Database!$E:$E,Lookup!$C$3,Database!$C:$C,Lookup!AG$5,Database!$F:$F,Lookup!$C27,Database!$D:$D,Lookup!$B$3)</f>
        <v>0</v>
      </c>
      <c r="AH27" s="180">
        <f>SUMIFS(Database!$G:$G,Database!$E:$E,Lookup!$C$3,Database!$C:$C,Lookup!AH$5,Database!$F:$F,Lookup!$C27,Database!$D:$D,Lookup!$B$3)</f>
        <v>0</v>
      </c>
      <c r="AI27" s="180">
        <f>SUMIFS(Database!$G:$G,Database!$E:$E,Lookup!$C$3,Database!$C:$C,Lookup!AI$5,Database!$F:$F,Lookup!$C27,Database!$D:$D,Lookup!$B$3)</f>
        <v>0</v>
      </c>
      <c r="AJ27" s="180">
        <f>SUMIFS(Database!$G:$G,Database!$E:$E,Lookup!$C$3,Database!$C:$C,Lookup!AJ$5,Database!$F:$F,Lookup!$C27,Database!$D:$D,Lookup!$B$3)</f>
        <v>0</v>
      </c>
      <c r="AK27" s="180">
        <f>SUMIFS(Database!$G:$G,Database!$E:$E,Lookup!$C$3,Database!$C:$C,Lookup!AK$5,Database!$F:$F,Lookup!$C27,Database!$D:$D,Lookup!$B$3)</f>
        <v>0</v>
      </c>
      <c r="AL27" s="180">
        <f>SUMIFS(Database!$G:$G,Database!$E:$E,Lookup!$C$3,Database!$C:$C,Lookup!AL$5,Database!$F:$F,Lookup!$C27,Database!$D:$D,Lookup!$B$3)</f>
        <v>104610</v>
      </c>
      <c r="AM27" s="180">
        <f>SUMIFS(Database!$G:$G,Database!$E:$E,Lookup!$C$3,Database!$C:$C,Lookup!AM$5,Database!$F:$F,Lookup!$C27,Database!$D:$D,Lookup!$B$3)</f>
        <v>974</v>
      </c>
      <c r="AN27" s="180">
        <f>SUMIFS(Database!$G:$G,Database!$E:$E,Lookup!$C$3,Database!$C:$C,Lookup!AN$5,Database!$F:$F,Lookup!$C27,Database!$D:$D,Lookup!$B$3)</f>
        <v>816</v>
      </c>
      <c r="AO27" s="180">
        <f>SUMIFS(Database!$G:$G,Database!$E:$E,Lookup!$C$3,Database!$C:$C,Lookup!AO$5,Database!$F:$F,Lookup!$C27,Database!$D:$D,Lookup!$B$3)</f>
        <v>58</v>
      </c>
      <c r="AP27" s="180">
        <f>SUMIFS(Database!$G:$G,Database!$E:$E,Lookup!$C$3,Database!$C:$C,Lookup!AP$5,Database!$F:$F,Lookup!$C27,Database!$D:$D,Lookup!$B$3)</f>
        <v>148</v>
      </c>
      <c r="AQ27" s="180">
        <f>SUMIFS(Database!$G:$G,Database!$E:$E,Lookup!$C$3,Database!$C:$C,Lookup!AQ$5,Database!$F:$F,Lookup!$C27,Database!$D:$D,Lookup!$B$3)</f>
        <v>184</v>
      </c>
      <c r="AR27" s="180">
        <f>SUMIFS(Database!$G:$G,Database!$E:$E,Lookup!$C$3,Database!$C:$C,Lookup!AR$5,Database!$F:$F,Lookup!$C27,Database!$D:$D,Lookup!$B$3)</f>
        <v>7025</v>
      </c>
      <c r="AS27" s="180">
        <f>SUMIFS(Database!$G:$G,Database!$E:$E,Lookup!$C$3,Database!$C:$C,Lookup!AS$5,Database!$F:$F,Lookup!$C27,Database!$D:$D,Lookup!$B$3)</f>
        <v>4876</v>
      </c>
      <c r="AT27" s="180">
        <f>SUMIFS(Database!$G:$G,Database!$E:$E,Lookup!$C$3,Database!$C:$C,Lookup!AT$5,Database!$F:$F,Lookup!$C27,Database!$D:$D,Lookup!$B$3)</f>
        <v>0</v>
      </c>
      <c r="AU27" s="180">
        <f>SUMIFS(Database!$G:$G,Database!$E:$E,Lookup!$C$3,Database!$C:$C,Lookup!AU$5,Database!$F:$F,Lookup!$C27,Database!$D:$D,Lookup!$B$3)</f>
        <v>37386</v>
      </c>
      <c r="AV27" s="180">
        <f>SUMIFS(Database!$G:$G,Database!$E:$E,Lookup!$C$3,Database!$C:$C,Lookup!AV$5,Database!$F:$F,Lookup!$C27,Database!$D:$D,Lookup!$B$3)</f>
        <v>20056</v>
      </c>
      <c r="AW27" s="180">
        <f>SUMIFS(Database!$G:$G,Database!$E:$E,Lookup!$C$3,Database!$C:$C,Lookup!AW$5,Database!$F:$F,Lookup!$C27,Database!$D:$D,Lookup!$B$3)</f>
        <v>56450</v>
      </c>
      <c r="AX27" s="180">
        <f>SUMIFS(Database!$G:$G,Database!$E:$E,Lookup!$C$3,Database!$C:$C,Lookup!AX$5,Database!$F:$F,Lookup!$C27,Database!$D:$D,Lookup!$B$3)</f>
        <v>72400</v>
      </c>
      <c r="AY27" s="180">
        <f>SUMIFS(Database!$G:$G,Database!$E:$E,Lookup!$C$3,Database!$C:$C,Lookup!AY$5,Database!$F:$F,Lookup!$C27,Database!$D:$D,Lookup!$B$3)</f>
        <v>60947</v>
      </c>
      <c r="AZ27" s="180">
        <f>SUMIFS(Database!$G:$G,Database!$E:$E,Lookup!$C$3,Database!$C:$C,Lookup!AZ$5,Database!$F:$F,Lookup!$C27,Database!$D:$D,Lookup!$B$3)</f>
        <v>61802</v>
      </c>
      <c r="BA27" s="180">
        <f>SUMIFS(Database!$G:$G,Database!$E:$E,Lookup!$C$3,Database!$C:$C,Lookup!BA$5,Database!$F:$F,Lookup!$C27,Database!$D:$D,Lookup!$B$3)</f>
        <v>50856</v>
      </c>
      <c r="BB27" s="180">
        <f>SUMIFS(Database!$G:$G,Database!$E:$E,Lookup!$C$3,Database!$C:$C,Lookup!BB$5,Database!$F:$F,Lookup!$C27,Database!$D:$D,Lookup!$B$3)</f>
        <v>62932</v>
      </c>
      <c r="BC27" s="180">
        <f>SUMIFS(Database!$G:$G,Database!$E:$E,Lookup!$C$3,Database!$C:$C,Lookup!BC$5,Database!$F:$F,Lookup!$C27,Database!$D:$D,Lookup!$B$3)</f>
        <v>69420</v>
      </c>
      <c r="BD27" s="180">
        <f>SUMIFS(Database!$G:$G,Database!$E:$E,Lookup!$C$3,Database!$C:$C,Lookup!BD$5,Database!$F:$F,Lookup!$C27,Database!$D:$D,Lookup!$B$3)</f>
        <v>74378</v>
      </c>
      <c r="BE27" s="180">
        <f>SUMIFS(Database!$G:$G,Database!$E:$E,Lookup!$C$3,Database!$C:$C,Lookup!BE$5,Database!$F:$F,Lookup!$C27,Database!$D:$D,Lookup!$B$3)</f>
        <v>70035</v>
      </c>
      <c r="BF27" s="180">
        <f>SUMIFS(Database!$G:$G,Database!$E:$E,Lookup!$C$3,Database!$C:$C,Lookup!BF$5,Database!$F:$F,Lookup!$C27,Database!$D:$D,Lookup!$B$3)</f>
        <v>55182</v>
      </c>
      <c r="BG27" s="180">
        <f>SUMIFS(Database!$G:$G,Database!$E:$E,Lookup!$C$3,Database!$C:$C,Lookup!BG$5,Database!$F:$F,Lookup!$C27,Database!$D:$D,Lookup!$B$3)</f>
        <v>70063</v>
      </c>
      <c r="BH27" s="180">
        <f>SUMIFS(Database!$G:$G,Database!$E:$E,Lookup!$C$3,Database!$C:$C,Lookup!BH$5,Database!$F:$F,Lookup!$C27,Database!$D:$D,Lookup!$B$3)</f>
        <v>65940</v>
      </c>
      <c r="BI27" s="180">
        <f>SUMIFS(Database!$G:$G,Database!$E:$E,Lookup!$C$3,Database!$C:$C,Lookup!BI$5,Database!$F:$F,Lookup!$C27,Database!$D:$D,Lookup!$B$3)</f>
        <v>60405</v>
      </c>
      <c r="BJ27" s="180">
        <f>SUMIFS(Database!$G:$G,Database!$E:$E,Lookup!$C$3,Database!$C:$C,Lookup!BJ$5,Database!$F:$F,Lookup!$C27,Database!$D:$D,Lookup!$B$3)</f>
        <v>63229</v>
      </c>
      <c r="BK27" s="180">
        <f>SUMIFS(Database!$G:$G,Database!$E:$E,Lookup!$C$3,Database!$C:$C,Lookup!BK$5,Database!$F:$F,Lookup!$C27,Database!$D:$D,Lookup!$B$3)</f>
        <v>58166.5</v>
      </c>
      <c r="BL27" s="180">
        <f>SUMIFS(Database!$G:$G,Database!$E:$E,Lookup!$C$3,Database!$C:$C,Lookup!BL$5,Database!$F:$F,Lookup!$C27,Database!$D:$D,Lookup!$B$3)</f>
        <v>37691.5</v>
      </c>
      <c r="BM27" s="180">
        <f>SUMIFS(Database!$G:$G,Database!$E:$E,Lookup!$C$3,Database!$C:$C,Lookup!BM$5,Database!$F:$F,Lookup!$C27,Database!$D:$D,Lookup!$B$3)</f>
        <v>0</v>
      </c>
      <c r="BN27" s="180">
        <f>SUMIFS(Database!$G:$G,Database!$E:$E,Lookup!$C$3,Database!$C:$C,Lookup!BN$5,Database!$F:$F,Lookup!$C27,Database!$D:$D,Lookup!$B$3)</f>
        <v>0</v>
      </c>
      <c r="BO27" s="180">
        <f>SUMIFS(Database!$G:$G,Database!$E:$E,Lookup!$C$3,Database!$C:$C,Lookup!BO$5,Database!$F:$F,Lookup!$C27,Database!$D:$D,Lookup!$B$3)</f>
        <v>49354</v>
      </c>
      <c r="BP27" s="180">
        <f>SUMIFS(Database!$G:$G,Database!$E:$E,Lookup!$C$3,Database!$C:$C,Lookup!BP$5,Database!$F:$F,Lookup!$C27,Database!$D:$D,Lookup!$B$3)</f>
        <v>0</v>
      </c>
      <c r="BQ27" s="180">
        <f>SUMIFS(Database!$G:$G,Database!$E:$E,Lookup!$C$3,Database!$C:$C,Lookup!BQ$5,Database!$F:$F,Lookup!$C27,Database!$D:$D,Lookup!$B$3)</f>
        <v>53998.5</v>
      </c>
      <c r="BR27" s="180">
        <f>SUMIFS(Database!$G:$G,Database!$E:$E,Lookup!$C$3,Database!$C:$C,Lookup!BR$5,Database!$F:$F,Lookup!$C27,Database!$D:$D,Lookup!$B$3)</f>
        <v>80545.5</v>
      </c>
      <c r="BS27" s="180">
        <f>SUMIFS(Database!$G:$G,Database!$E:$E,Lookup!$C$3,Database!$C:$C,Lookup!BS$5,Database!$F:$F,Lookup!$C27,Database!$D:$D,Lookup!$B$3)</f>
        <v>56351</v>
      </c>
      <c r="BT27" s="180">
        <f>SUMIFS(Database!$G:$G,Database!$E:$E,Lookup!$C$3,Database!$C:$C,Lookup!BT$5,Database!$F:$F,Lookup!$C27,Database!$D:$D,Lookup!$B$3)</f>
        <v>76573</v>
      </c>
      <c r="BU27" s="180">
        <f>SUMIFS(Database!$G:$G,Database!$E:$E,Lookup!$C$3,Database!$C:$C,Lookup!BU$5,Database!$F:$F,Lookup!$C27,Database!$D:$D,Lookup!$B$3)</f>
        <v>69111</v>
      </c>
      <c r="BV27" s="180">
        <f>SUMIFS(Database!$G:$G,Database!$E:$E,Lookup!$C$3,Database!$C:$C,Lookup!BV$5,Database!$F:$F,Lookup!$C27,Database!$D:$D,Lookup!$B$3)</f>
        <v>64525</v>
      </c>
      <c r="BW27" s="180">
        <f>SUMIFS(Database!$G:$G,Database!$E:$E,Lookup!$C$3,Database!$C:$C,Lookup!BW$5,Database!$F:$F,Lookup!$C27,Database!$D:$D,Lookup!$B$3)</f>
        <v>131581</v>
      </c>
      <c r="BX27" s="180">
        <f>SUMIFS(Database!$G:$G,Database!$E:$E,Lookup!$C$3,Database!$C:$C,Lookup!BX$5,Database!$F:$F,Lookup!$C27,Database!$D:$D,Lookup!$B$3)</f>
        <v>127820</v>
      </c>
      <c r="BY27" s="180">
        <f>SUMIFS(Database!$G:$G,Database!$E:$E,Lookup!$C$3,Database!$C:$C,Lookup!BY$5,Database!$F:$F,Lookup!$C27,Database!$D:$D,Lookup!$B$3)</f>
        <v>97486</v>
      </c>
      <c r="BZ27" s="180">
        <f>SUMIFS(Database!$G:$G,Database!$E:$E,Lookup!$C$3,Database!$C:$C,Lookup!BZ$5,Database!$F:$F,Lookup!$C27,Database!$D:$D,Lookup!$B$3)</f>
        <v>106369</v>
      </c>
      <c r="CA27" s="180">
        <f>SUMIFS(Database!$G:$G,Database!$E:$E,Lookup!$C$3,Database!$C:$C,Lookup!CA$5,Database!$F:$F,Lookup!$C27,Database!$D:$D,Lookup!$B$3)</f>
        <v>139610</v>
      </c>
      <c r="CB27" s="180">
        <f>SUMIFS(Database!$G:$G,Database!$E:$E,Lookup!$C$3,Database!$C:$C,Lookup!CB$5,Database!$F:$F,Lookup!$C27,Database!$D:$D,Lookup!$B$3)</f>
        <v>117027</v>
      </c>
      <c r="CC27" s="180">
        <f>SUMIFS(Database!$G:$G,Database!$E:$E,Lookup!$C$3,Database!$C:$C,Lookup!CC$5,Database!$F:$F,Lookup!$C27,Database!$D:$D,Lookup!$B$3)</f>
        <v>0</v>
      </c>
      <c r="CD27" s="180">
        <f>SUMIFS(Database!$G:$G,Database!$E:$E,Lookup!$C$3,Database!$C:$C,Lookup!CD$5,Database!$F:$F,Lookup!$C27,Database!$D:$D,Lookup!$B$3)</f>
        <v>0</v>
      </c>
      <c r="CE27" s="180">
        <f>SUMIFS(Database!$G:$G,Database!$E:$E,Lookup!$C$3,Database!$C:$C,Lookup!CE$5,Database!$F:$F,Lookup!$C27,Database!$D:$D,Lookup!$B$3)</f>
        <v>0</v>
      </c>
      <c r="CF27" s="180">
        <f>SUMIFS(Database!$G:$G,Database!$E:$E,Lookup!$C$3,Database!$C:$C,Lookup!CF$5,Database!$F:$F,Lookup!$C27,Database!$D:$D,Lookup!$B$3)</f>
        <v>0</v>
      </c>
      <c r="CG27" s="180">
        <f>SUMIFS(Database!$G:$G,Database!$E:$E,Lookup!$C$3,Database!$C:$C,Lookup!CG$5,Database!$F:$F,Lookup!$C27,Database!$D:$D,Lookup!$B$3)</f>
        <v>0</v>
      </c>
      <c r="CH27" s="180">
        <f>SUMIFS(Database!$G:$G,Database!$E:$E,Lookup!$C$3,Database!$C:$C,Lookup!CH$5,Database!$F:$F,Lookup!$C27,Database!$D:$D,Lookup!$B$3)</f>
        <v>0</v>
      </c>
      <c r="CI27" s="180">
        <f>SUMIFS(Database!$G:$G,Database!$E:$E,Lookup!$C$3,Database!$C:$C,Lookup!CI$5,Database!$F:$F,Lookup!$C27,Database!$D:$D,Lookup!$B$3)</f>
        <v>0</v>
      </c>
      <c r="CJ27" s="180">
        <f>SUMIFS(Database!$G:$G,Database!$E:$E,Lookup!$C$3,Database!$C:$C,Lookup!CJ$5,Database!$F:$F,Lookup!$C27,Database!$D:$D,Lookup!$B$3)</f>
        <v>0</v>
      </c>
      <c r="CK27" s="180">
        <f>SUMIFS(Database!$G:$G,Database!$E:$E,Lookup!$C$3,Database!$C:$C,Lookup!CK$5,Database!$F:$F,Lookup!$C27,Database!$D:$D,Lookup!$B$3)</f>
        <v>0</v>
      </c>
      <c r="CL27" s="180">
        <f>SUMIFS(Database!$G:$G,Database!$E:$E,Lookup!$C$3,Database!$C:$C,Lookup!CL$5,Database!$F:$F,Lookup!$C27,Database!$D:$D,Lookup!$B$3)</f>
        <v>0</v>
      </c>
      <c r="CM27" s="180">
        <f>SUMIFS(Database!$G:$G,Database!$E:$E,Lookup!$C$3,Database!$C:$C,Lookup!CM$5,Database!$F:$F,Lookup!$C27,Database!$D:$D,Lookup!$B$3)</f>
        <v>0</v>
      </c>
      <c r="CN27" s="180">
        <f>SUMIFS(Database!$G:$G,Database!$E:$E,Lookup!$C$3,Database!$C:$C,Lookup!CN$5,Database!$F:$F,Lookup!$C27,Database!$D:$D,Lookup!$B$3)</f>
        <v>0</v>
      </c>
      <c r="CO27" s="180">
        <f>SUMIFS(Database!$G:$G,Database!$E:$E,Lookup!$C$3,Database!$C:$C,Lookup!CO$5,Database!$F:$F,Lookup!$C27,Database!$D:$D,Lookup!$B$3)</f>
        <v>0</v>
      </c>
      <c r="CP27" s="180">
        <f>SUMIFS(Database!$G:$G,Database!$E:$E,Lookup!$C$3,Database!$C:$C,Lookup!CP$5,Database!$F:$F,Lookup!$C27,Database!$D:$D,Lookup!$B$3)</f>
        <v>0</v>
      </c>
      <c r="CQ27" s="180">
        <f>SUMIFS(Database!$G:$G,Database!$E:$E,Lookup!$C$3,Database!$C:$C,Lookup!CQ$5,Database!$F:$F,Lookup!$C27,Database!$D:$D,Lookup!$B$3)</f>
        <v>0</v>
      </c>
      <c r="CR27" s="180">
        <f>SUMIFS(Database!$G:$G,Database!$E:$E,Lookup!$C$3,Database!$C:$C,Lookup!CR$5,Database!$F:$F,Lookup!$C27,Database!$D:$D,Lookup!$B$3)</f>
        <v>0</v>
      </c>
      <c r="CS27" s="180">
        <f>SUMIFS(Database!$G:$G,Database!$E:$E,Lookup!$C$3,Database!$C:$C,Lookup!CS$5,Database!$F:$F,Lookup!$C27,Database!$D:$D,Lookup!$B$3)</f>
        <v>0</v>
      </c>
      <c r="CT27" s="180">
        <f>SUMIFS(Database!$G:$G,Database!$E:$E,Lookup!$C$3,Database!$C:$C,Lookup!CT$5,Database!$F:$F,Lookup!$C27,Database!$D:$D,Lookup!$B$3)</f>
        <v>0</v>
      </c>
      <c r="CU27" s="180">
        <f>SUMIFS(Database!$G:$G,Database!$E:$E,Lookup!$C$3,Database!$C:$C,Lookup!CU$5,Database!$F:$F,Lookup!$C27,Database!$D:$D,Lookup!$B$3)</f>
        <v>0</v>
      </c>
      <c r="CV27" s="181">
        <f>SUMIFS(Database!$G:$G,Database!$E:$E,Lookup!$C$3,Database!$C:$C,Lookup!CV$5,Database!$F:$F,Lookup!$C27,Database!$D:$D,Lookup!$B$3)</f>
        <v>0</v>
      </c>
    </row>
  </sheetData>
  <mergeCells count="22">
    <mergeCell ref="C17:D17"/>
    <mergeCell ref="C6:D6"/>
    <mergeCell ref="C7:D7"/>
    <mergeCell ref="C8:D8"/>
    <mergeCell ref="C9:D9"/>
    <mergeCell ref="C10:D10"/>
    <mergeCell ref="C11:D11"/>
    <mergeCell ref="C12:D12"/>
    <mergeCell ref="C13:D13"/>
    <mergeCell ref="C14:D14"/>
    <mergeCell ref="C15:D15"/>
    <mergeCell ref="C16:D16"/>
    <mergeCell ref="C24:D24"/>
    <mergeCell ref="C25:D25"/>
    <mergeCell ref="C26:D26"/>
    <mergeCell ref="C27:D27"/>
    <mergeCell ref="C18:D18"/>
    <mergeCell ref="C19:D19"/>
    <mergeCell ref="C20:D20"/>
    <mergeCell ref="C21:D21"/>
    <mergeCell ref="C22:D22"/>
    <mergeCell ref="C23:D23"/>
  </mergeCells>
  <phoneticPr fontId="9" type="noConversion"/>
  <dataValidations count="2">
    <dataValidation type="list" allowBlank="1" showInputMessage="1" showErrorMessage="1" sqref="C3:D3" xr:uid="{7510FFE7-41EB-4983-8969-97F5ABD67507}">
      <formula1>commodities</formula1>
    </dataValidation>
    <dataValidation type="list" errorStyle="warning" allowBlank="1" showInputMessage="1" showErrorMessage="1" error="Input either 'Import' or 'Export'" sqref="B3" xr:uid="{EB07503A-6837-4CAF-8E78-C4E10215E6EF}">
      <formula1>"Import, Export"</formula1>
    </dataValidation>
  </dataValidation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481C5-11E3-4C41-98E1-228136C8666F}">
  <dimension ref="A1:DJ24"/>
  <sheetViews>
    <sheetView workbookViewId="0">
      <pane xSplit="1" ySplit="1" topLeftCell="B2" activePane="bottomRight" state="frozen"/>
      <selection activeCell="E23" sqref="E23"/>
      <selection pane="topRight" activeCell="E23" sqref="E23"/>
      <selection pane="bottomLeft" activeCell="E23" sqref="E23"/>
      <selection pane="bottomRight" activeCell="B4" sqref="B4"/>
    </sheetView>
  </sheetViews>
  <sheetFormatPr defaultRowHeight="15" x14ac:dyDescent="0.25"/>
  <cols>
    <col min="1" max="1" width="35.85546875" style="6" customWidth="1"/>
    <col min="2" max="2" width="16.140625" style="5" customWidth="1"/>
    <col min="3" max="3" width="18.5703125" style="5" customWidth="1"/>
    <col min="4" max="4" width="24" style="5" customWidth="1"/>
    <col min="5" max="5" width="21.5703125" style="5" customWidth="1"/>
    <col min="6" max="7" width="16.140625" style="5" customWidth="1"/>
    <col min="8" max="11" width="16.140625" style="3" customWidth="1"/>
    <col min="12" max="20" width="16.140625" style="5" customWidth="1"/>
    <col min="21" max="114" width="16.140625" style="3" customWidth="1"/>
    <col min="115" max="16384" width="9.140625" style="3"/>
  </cols>
  <sheetData>
    <row r="1" spans="1:114" s="196" customFormat="1" ht="30.75" customHeight="1" x14ac:dyDescent="0.25">
      <c r="A1" s="205" t="s">
        <v>680</v>
      </c>
      <c r="B1" s="214" t="s">
        <v>28</v>
      </c>
      <c r="C1" s="214" t="s">
        <v>327</v>
      </c>
      <c r="D1" s="214" t="s">
        <v>31</v>
      </c>
      <c r="E1" s="215" t="s">
        <v>32</v>
      </c>
      <c r="F1" s="36" t="s">
        <v>499</v>
      </c>
      <c r="G1" s="36" t="s">
        <v>34</v>
      </c>
      <c r="H1" s="36" t="s">
        <v>35</v>
      </c>
      <c r="I1" s="36" t="s">
        <v>36</v>
      </c>
      <c r="J1" s="36" t="s">
        <v>39</v>
      </c>
      <c r="K1" s="36" t="s">
        <v>40</v>
      </c>
      <c r="L1" s="36" t="s">
        <v>42</v>
      </c>
      <c r="M1" s="36" t="s">
        <v>45</v>
      </c>
      <c r="N1" s="36" t="s">
        <v>450</v>
      </c>
      <c r="O1" s="36" t="s">
        <v>497</v>
      </c>
      <c r="P1" s="36" t="s">
        <v>48</v>
      </c>
      <c r="Q1" s="36" t="s">
        <v>49</v>
      </c>
      <c r="R1" s="36" t="s">
        <v>51</v>
      </c>
      <c r="S1" s="36" t="s">
        <v>500</v>
      </c>
      <c r="T1" s="36" t="s">
        <v>52</v>
      </c>
      <c r="U1" s="36" t="s">
        <v>53</v>
      </c>
      <c r="V1" s="36" t="s">
        <v>54</v>
      </c>
      <c r="W1" s="36" t="s">
        <v>382</v>
      </c>
      <c r="X1" s="36" t="s">
        <v>335</v>
      </c>
      <c r="Y1" s="36" t="s">
        <v>336</v>
      </c>
      <c r="Z1" s="36" t="s">
        <v>339</v>
      </c>
      <c r="AA1" s="36" t="s">
        <v>340</v>
      </c>
      <c r="AB1" s="36" t="s">
        <v>351</v>
      </c>
      <c r="AC1" s="36" t="s">
        <v>367</v>
      </c>
      <c r="AD1" s="36" t="s">
        <v>352</v>
      </c>
      <c r="AE1" s="36" t="s">
        <v>435</v>
      </c>
      <c r="AF1" s="36" t="s">
        <v>442</v>
      </c>
      <c r="AG1" s="36" t="s">
        <v>466</v>
      </c>
      <c r="AH1" s="36" t="s">
        <v>386</v>
      </c>
      <c r="AI1" s="36" t="s">
        <v>387</v>
      </c>
      <c r="AJ1" s="36" t="s">
        <v>388</v>
      </c>
      <c r="AK1" s="36" t="s">
        <v>55</v>
      </c>
      <c r="AL1" s="36" t="s">
        <v>57</v>
      </c>
      <c r="AM1" s="36" t="s">
        <v>58</v>
      </c>
      <c r="AN1" s="36" t="s">
        <v>566</v>
      </c>
      <c r="AO1" s="36" t="s">
        <v>567</v>
      </c>
      <c r="AP1" s="36" t="s">
        <v>569</v>
      </c>
      <c r="AQ1" s="36" t="s">
        <v>568</v>
      </c>
      <c r="AR1" s="36" t="s">
        <v>570</v>
      </c>
      <c r="AS1" s="36" t="s">
        <v>571</v>
      </c>
      <c r="AT1" s="36" t="s">
        <v>572</v>
      </c>
      <c r="AU1" s="36" t="s">
        <v>573</v>
      </c>
      <c r="AV1" s="36" t="s">
        <v>62</v>
      </c>
      <c r="AW1" s="36" t="s">
        <v>63</v>
      </c>
      <c r="AX1" s="36" t="s">
        <v>498</v>
      </c>
      <c r="AY1" s="36" t="s">
        <v>64</v>
      </c>
      <c r="AZ1" s="36" t="s">
        <v>65</v>
      </c>
      <c r="BA1" s="36" t="s">
        <v>66</v>
      </c>
      <c r="BB1" s="36" t="s">
        <v>460</v>
      </c>
      <c r="BC1" s="36" t="s">
        <v>392</v>
      </c>
      <c r="BD1" s="36" t="s">
        <v>69</v>
      </c>
      <c r="BE1" s="36" t="s">
        <v>70</v>
      </c>
      <c r="BF1" s="36" t="s">
        <v>71</v>
      </c>
      <c r="BG1" s="36" t="s">
        <v>72</v>
      </c>
      <c r="BH1" s="36" t="s">
        <v>74</v>
      </c>
      <c r="BI1" s="36" t="s">
        <v>75</v>
      </c>
      <c r="BJ1" s="36" t="s">
        <v>76</v>
      </c>
      <c r="BK1" s="36" t="s">
        <v>77</v>
      </c>
      <c r="BL1" s="36" t="s">
        <v>78</v>
      </c>
      <c r="BM1" s="36" t="s">
        <v>79</v>
      </c>
      <c r="BN1" s="36" t="s">
        <v>329</v>
      </c>
      <c r="BO1" s="36" t="s">
        <v>82</v>
      </c>
      <c r="BP1" s="36" t="s">
        <v>83</v>
      </c>
      <c r="BQ1" s="36" t="s">
        <v>398</v>
      </c>
      <c r="BR1" s="36" t="s">
        <v>85</v>
      </c>
      <c r="BS1" s="36" t="s">
        <v>86</v>
      </c>
      <c r="BT1" s="36" t="s">
        <v>383</v>
      </c>
      <c r="BU1" s="36" t="s">
        <v>384</v>
      </c>
      <c r="BV1" s="36" t="s">
        <v>277</v>
      </c>
      <c r="BW1" s="36" t="s">
        <v>323</v>
      </c>
      <c r="BX1" s="36" t="s">
        <v>88</v>
      </c>
      <c r="BY1" s="36" t="s">
        <v>89</v>
      </c>
      <c r="BZ1" s="36" t="s">
        <v>494</v>
      </c>
      <c r="CA1" s="36" t="s">
        <v>495</v>
      </c>
      <c r="CB1" s="36" t="s">
        <v>91</v>
      </c>
      <c r="CC1" s="36" t="s">
        <v>92</v>
      </c>
      <c r="CD1" s="36" t="s">
        <v>93</v>
      </c>
      <c r="CE1" s="36" t="s">
        <v>94</v>
      </c>
      <c r="CF1" s="36" t="s">
        <v>95</v>
      </c>
      <c r="CG1" s="36" t="s">
        <v>96</v>
      </c>
      <c r="CH1" s="36" t="s">
        <v>459</v>
      </c>
      <c r="CI1" s="36" t="s">
        <v>98</v>
      </c>
      <c r="CJ1" s="36" t="s">
        <v>99</v>
      </c>
      <c r="CK1" s="36" t="s">
        <v>100</v>
      </c>
      <c r="CL1" s="36" t="s">
        <v>101</v>
      </c>
      <c r="CM1" s="36" t="s">
        <v>102</v>
      </c>
      <c r="CN1" s="36" t="s">
        <v>103</v>
      </c>
      <c r="CO1" s="36" t="s">
        <v>104</v>
      </c>
      <c r="CP1" s="36" t="s">
        <v>493</v>
      </c>
      <c r="CQ1" s="36" t="s">
        <v>276</v>
      </c>
      <c r="CR1" s="36" t="s">
        <v>105</v>
      </c>
      <c r="CS1" s="36" t="s">
        <v>106</v>
      </c>
      <c r="CT1" s="36" t="s">
        <v>107</v>
      </c>
      <c r="CU1" s="36" t="s">
        <v>496</v>
      </c>
      <c r="CV1" s="36" t="s">
        <v>108</v>
      </c>
      <c r="CW1" s="36" t="s">
        <v>109</v>
      </c>
      <c r="CX1" s="36" t="s">
        <v>110</v>
      </c>
      <c r="CY1" s="36" t="s">
        <v>328</v>
      </c>
      <c r="CZ1" s="36" t="s">
        <v>111</v>
      </c>
      <c r="DA1" s="36" t="s">
        <v>112</v>
      </c>
      <c r="DB1" s="36" t="s">
        <v>113</v>
      </c>
      <c r="DC1" s="36"/>
      <c r="DD1" s="36"/>
      <c r="DE1" s="36"/>
      <c r="DF1" s="36"/>
      <c r="DG1" s="36"/>
      <c r="DH1" s="36"/>
      <c r="DI1" s="36"/>
      <c r="DJ1" s="36"/>
    </row>
    <row r="2" spans="1:114" s="26" customFormat="1" x14ac:dyDescent="0.25">
      <c r="A2" s="206" t="s">
        <v>0</v>
      </c>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row>
    <row r="3" spans="1:114" s="26" customFormat="1" x14ac:dyDescent="0.25">
      <c r="A3" s="206" t="s">
        <v>1</v>
      </c>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c r="CM3" s="17"/>
      <c r="CN3" s="17"/>
      <c r="CO3" s="17"/>
      <c r="CP3" s="17"/>
      <c r="CQ3" s="17"/>
      <c r="CR3" s="17"/>
      <c r="CS3" s="17"/>
      <c r="CT3" s="17"/>
      <c r="CU3" s="17"/>
      <c r="CV3" s="17"/>
      <c r="CW3" s="17"/>
      <c r="CX3" s="17"/>
      <c r="CY3" s="17"/>
      <c r="CZ3" s="17"/>
      <c r="DA3" s="17"/>
      <c r="DB3" s="17"/>
      <c r="DC3" s="17"/>
      <c r="DD3" s="17"/>
      <c r="DE3" s="17"/>
      <c r="DF3" s="17"/>
      <c r="DG3" s="17"/>
      <c r="DH3" s="17"/>
      <c r="DI3" s="17"/>
      <c r="DJ3" s="17"/>
    </row>
    <row r="4" spans="1:114" s="26" customFormat="1" x14ac:dyDescent="0.25">
      <c r="A4" s="206" t="s">
        <v>169</v>
      </c>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row>
    <row r="5" spans="1:114" s="26" customFormat="1" x14ac:dyDescent="0.25">
      <c r="A5" s="206" t="s">
        <v>2</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row>
    <row r="6" spans="1:114" s="26" customFormat="1" x14ac:dyDescent="0.25">
      <c r="A6" s="206" t="s">
        <v>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row>
    <row r="7" spans="1:114" s="26" customFormat="1" x14ac:dyDescent="0.25">
      <c r="A7" s="206" t="s">
        <v>4</v>
      </c>
      <c r="B7" s="17"/>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row>
    <row r="8" spans="1:114" s="26" customFormat="1" x14ac:dyDescent="0.25">
      <c r="A8" s="206" t="s">
        <v>6</v>
      </c>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row>
    <row r="9" spans="1:114" s="26" customFormat="1" x14ac:dyDescent="0.25">
      <c r="A9" s="207" t="s">
        <v>7</v>
      </c>
      <c r="B9" s="19">
        <f t="shared" ref="B9:E9" si="0">SUM(B1:B8)</f>
        <v>0</v>
      </c>
      <c r="C9" s="19">
        <f t="shared" si="0"/>
        <v>0</v>
      </c>
      <c r="D9" s="19">
        <f t="shared" si="0"/>
        <v>0</v>
      </c>
      <c r="E9" s="19">
        <f t="shared" si="0"/>
        <v>0</v>
      </c>
      <c r="F9" s="19">
        <f t="shared" ref="F9:BM9" si="1">SUM(F1:F8)</f>
        <v>0</v>
      </c>
      <c r="G9" s="19">
        <f t="shared" si="1"/>
        <v>0</v>
      </c>
      <c r="H9" s="19">
        <f t="shared" si="1"/>
        <v>0</v>
      </c>
      <c r="I9" s="19">
        <f t="shared" si="1"/>
        <v>0</v>
      </c>
      <c r="J9" s="19">
        <f t="shared" si="1"/>
        <v>0</v>
      </c>
      <c r="K9" s="19">
        <f t="shared" si="1"/>
        <v>0</v>
      </c>
      <c r="L9" s="19">
        <f t="shared" si="1"/>
        <v>0</v>
      </c>
      <c r="M9" s="19">
        <f t="shared" si="1"/>
        <v>0</v>
      </c>
      <c r="N9" s="19">
        <f t="shared" si="1"/>
        <v>0</v>
      </c>
      <c r="O9" s="19">
        <f t="shared" si="1"/>
        <v>0</v>
      </c>
      <c r="P9" s="19">
        <f t="shared" si="1"/>
        <v>0</v>
      </c>
      <c r="Q9" s="19">
        <f t="shared" si="1"/>
        <v>0</v>
      </c>
      <c r="R9" s="19">
        <f t="shared" si="1"/>
        <v>0</v>
      </c>
      <c r="S9" s="19">
        <f t="shared" si="1"/>
        <v>0</v>
      </c>
      <c r="T9" s="19">
        <f t="shared" si="1"/>
        <v>0</v>
      </c>
      <c r="U9" s="19">
        <f t="shared" si="1"/>
        <v>0</v>
      </c>
      <c r="V9" s="19">
        <f t="shared" si="1"/>
        <v>0</v>
      </c>
      <c r="W9" s="19">
        <f t="shared" si="1"/>
        <v>0</v>
      </c>
      <c r="X9" s="19">
        <f t="shared" si="1"/>
        <v>0</v>
      </c>
      <c r="Y9" s="19">
        <f t="shared" si="1"/>
        <v>0</v>
      </c>
      <c r="Z9" s="19">
        <f t="shared" si="1"/>
        <v>0</v>
      </c>
      <c r="AA9" s="19">
        <f t="shared" si="1"/>
        <v>0</v>
      </c>
      <c r="AB9" s="19">
        <f t="shared" si="1"/>
        <v>0</v>
      </c>
      <c r="AC9" s="19">
        <f t="shared" si="1"/>
        <v>0</v>
      </c>
      <c r="AD9" s="19">
        <f t="shared" si="1"/>
        <v>0</v>
      </c>
      <c r="AE9" s="19">
        <f t="shared" si="1"/>
        <v>0</v>
      </c>
      <c r="AF9" s="19">
        <f t="shared" si="1"/>
        <v>0</v>
      </c>
      <c r="AG9" s="19">
        <f t="shared" si="1"/>
        <v>0</v>
      </c>
      <c r="AH9" s="19">
        <f t="shared" si="1"/>
        <v>0</v>
      </c>
      <c r="AI9" s="19">
        <f t="shared" si="1"/>
        <v>0</v>
      </c>
      <c r="AJ9" s="19">
        <f t="shared" si="1"/>
        <v>0</v>
      </c>
      <c r="AK9" s="19">
        <f t="shared" si="1"/>
        <v>0</v>
      </c>
      <c r="AL9" s="19">
        <f t="shared" si="1"/>
        <v>0</v>
      </c>
      <c r="AM9" s="19">
        <f t="shared" si="1"/>
        <v>0</v>
      </c>
      <c r="AN9" s="19">
        <f t="shared" si="1"/>
        <v>0</v>
      </c>
      <c r="AO9" s="19">
        <f t="shared" si="1"/>
        <v>0</v>
      </c>
      <c r="AP9" s="19">
        <f t="shared" si="1"/>
        <v>0</v>
      </c>
      <c r="AQ9" s="19">
        <f t="shared" si="1"/>
        <v>0</v>
      </c>
      <c r="AR9" s="19">
        <f t="shared" si="1"/>
        <v>0</v>
      </c>
      <c r="AS9" s="19">
        <f t="shared" si="1"/>
        <v>0</v>
      </c>
      <c r="AT9" s="19">
        <f t="shared" si="1"/>
        <v>0</v>
      </c>
      <c r="AU9" s="19">
        <f t="shared" si="1"/>
        <v>0</v>
      </c>
      <c r="AV9" s="19">
        <f t="shared" si="1"/>
        <v>0</v>
      </c>
      <c r="AW9" s="19">
        <f t="shared" si="1"/>
        <v>0</v>
      </c>
      <c r="AX9" s="19">
        <f t="shared" si="1"/>
        <v>0</v>
      </c>
      <c r="AY9" s="19">
        <f t="shared" si="1"/>
        <v>0</v>
      </c>
      <c r="AZ9" s="19">
        <f t="shared" si="1"/>
        <v>0</v>
      </c>
      <c r="BA9" s="19">
        <f t="shared" si="1"/>
        <v>0</v>
      </c>
      <c r="BB9" s="19">
        <f t="shared" si="1"/>
        <v>0</v>
      </c>
      <c r="BC9" s="19">
        <f t="shared" si="1"/>
        <v>0</v>
      </c>
      <c r="BD9" s="19">
        <f t="shared" si="1"/>
        <v>0</v>
      </c>
      <c r="BE9" s="19">
        <f t="shared" si="1"/>
        <v>0</v>
      </c>
      <c r="BF9" s="19">
        <f t="shared" si="1"/>
        <v>0</v>
      </c>
      <c r="BG9" s="19">
        <f t="shared" si="1"/>
        <v>0</v>
      </c>
      <c r="BH9" s="19">
        <f t="shared" si="1"/>
        <v>0</v>
      </c>
      <c r="BI9" s="19">
        <f t="shared" si="1"/>
        <v>0</v>
      </c>
      <c r="BJ9" s="19">
        <f t="shared" si="1"/>
        <v>0</v>
      </c>
      <c r="BK9" s="19">
        <f t="shared" si="1"/>
        <v>0</v>
      </c>
      <c r="BL9" s="19">
        <f t="shared" si="1"/>
        <v>0</v>
      </c>
      <c r="BM9" s="19">
        <f t="shared" si="1"/>
        <v>0</v>
      </c>
      <c r="BN9" s="19">
        <f t="shared" ref="BN9:BR9" si="2">SUM(BN1:BN8)</f>
        <v>0</v>
      </c>
      <c r="BO9" s="19">
        <f t="shared" si="2"/>
        <v>0</v>
      </c>
      <c r="BP9" s="19">
        <f t="shared" si="2"/>
        <v>0</v>
      </c>
      <c r="BQ9" s="19">
        <f t="shared" si="2"/>
        <v>0</v>
      </c>
      <c r="BR9" s="19">
        <f t="shared" si="2"/>
        <v>0</v>
      </c>
      <c r="BS9" s="19">
        <f t="shared" ref="BS9:DJ9" si="3">SUM(BS1:BS8)</f>
        <v>0</v>
      </c>
      <c r="BT9" s="19">
        <f t="shared" si="3"/>
        <v>0</v>
      </c>
      <c r="BU9" s="19">
        <f t="shared" si="3"/>
        <v>0</v>
      </c>
      <c r="BV9" s="19">
        <f t="shared" si="3"/>
        <v>0</v>
      </c>
      <c r="BW9" s="19">
        <f t="shared" si="3"/>
        <v>0</v>
      </c>
      <c r="BX9" s="19">
        <f t="shared" si="3"/>
        <v>0</v>
      </c>
      <c r="BY9" s="19">
        <f t="shared" si="3"/>
        <v>0</v>
      </c>
      <c r="BZ9" s="19">
        <f t="shared" si="3"/>
        <v>0</v>
      </c>
      <c r="CA9" s="19">
        <f t="shared" si="3"/>
        <v>0</v>
      </c>
      <c r="CB9" s="19">
        <f t="shared" si="3"/>
        <v>0</v>
      </c>
      <c r="CC9" s="19">
        <f t="shared" si="3"/>
        <v>0</v>
      </c>
      <c r="CD9" s="19">
        <f t="shared" si="3"/>
        <v>0</v>
      </c>
      <c r="CE9" s="19">
        <f t="shared" si="3"/>
        <v>0</v>
      </c>
      <c r="CF9" s="19">
        <f t="shared" si="3"/>
        <v>0</v>
      </c>
      <c r="CG9" s="19">
        <f t="shared" si="3"/>
        <v>0</v>
      </c>
      <c r="CH9" s="19">
        <f t="shared" si="3"/>
        <v>0</v>
      </c>
      <c r="CI9" s="19">
        <f t="shared" si="3"/>
        <v>0</v>
      </c>
      <c r="CJ9" s="19">
        <f t="shared" si="3"/>
        <v>0</v>
      </c>
      <c r="CK9" s="19">
        <f t="shared" si="3"/>
        <v>0</v>
      </c>
      <c r="CL9" s="19">
        <f t="shared" si="3"/>
        <v>0</v>
      </c>
      <c r="CM9" s="19">
        <f t="shared" si="3"/>
        <v>0</v>
      </c>
      <c r="CN9" s="19">
        <f t="shared" si="3"/>
        <v>0</v>
      </c>
      <c r="CO9" s="19">
        <f t="shared" si="3"/>
        <v>0</v>
      </c>
      <c r="CP9" s="19">
        <f t="shared" si="3"/>
        <v>0</v>
      </c>
      <c r="CQ9" s="19">
        <f t="shared" si="3"/>
        <v>0</v>
      </c>
      <c r="CR9" s="19">
        <f t="shared" si="3"/>
        <v>0</v>
      </c>
      <c r="CS9" s="19">
        <f t="shared" si="3"/>
        <v>0</v>
      </c>
      <c r="CT9" s="19">
        <f t="shared" si="3"/>
        <v>0</v>
      </c>
      <c r="CU9" s="19">
        <f t="shared" si="3"/>
        <v>0</v>
      </c>
      <c r="CV9" s="19">
        <f t="shared" si="3"/>
        <v>0</v>
      </c>
      <c r="CW9" s="19">
        <f t="shared" si="3"/>
        <v>0</v>
      </c>
      <c r="CX9" s="19">
        <f t="shared" si="3"/>
        <v>0</v>
      </c>
      <c r="CY9" s="19">
        <f t="shared" si="3"/>
        <v>0</v>
      </c>
      <c r="CZ9" s="19">
        <f t="shared" si="3"/>
        <v>0</v>
      </c>
      <c r="DA9" s="19">
        <f t="shared" si="3"/>
        <v>0</v>
      </c>
      <c r="DB9" s="19">
        <f t="shared" si="3"/>
        <v>0</v>
      </c>
      <c r="DC9" s="19">
        <f t="shared" si="3"/>
        <v>0</v>
      </c>
      <c r="DD9" s="19">
        <f t="shared" si="3"/>
        <v>0</v>
      </c>
      <c r="DE9" s="19">
        <f t="shared" si="3"/>
        <v>0</v>
      </c>
      <c r="DF9" s="19">
        <f t="shared" si="3"/>
        <v>0</v>
      </c>
      <c r="DG9" s="19">
        <f t="shared" si="3"/>
        <v>0</v>
      </c>
      <c r="DH9" s="19">
        <f t="shared" si="3"/>
        <v>0</v>
      </c>
      <c r="DI9" s="19">
        <f t="shared" si="3"/>
        <v>0</v>
      </c>
      <c r="DJ9" s="19">
        <f t="shared" si="3"/>
        <v>0</v>
      </c>
    </row>
    <row r="10" spans="1:114" s="26" customFormat="1" x14ac:dyDescent="0.25">
      <c r="A10" s="206" t="s">
        <v>8</v>
      </c>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row>
    <row r="11" spans="1:114" s="26" customFormat="1" x14ac:dyDescent="0.25">
      <c r="A11" s="206" t="s">
        <v>9</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row>
    <row r="12" spans="1:114" s="26" customFormat="1" x14ac:dyDescent="0.25">
      <c r="A12" s="206" t="s">
        <v>164</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row>
    <row r="13" spans="1:114" s="26" customFormat="1" x14ac:dyDescent="0.25">
      <c r="A13" s="206" t="s">
        <v>486</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row>
    <row r="14" spans="1:114" s="26" customFormat="1" x14ac:dyDescent="0.25">
      <c r="A14" s="206" t="s">
        <v>10</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row>
    <row r="15" spans="1:114" s="26" customFormat="1" x14ac:dyDescent="0.25">
      <c r="A15" s="206"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row>
    <row r="16" spans="1:114" s="26" customFormat="1" x14ac:dyDescent="0.25">
      <c r="A16" s="206" t="s">
        <v>13</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row>
    <row r="17" spans="1:114" s="26" customFormat="1" x14ac:dyDescent="0.25">
      <c r="A17" s="207" t="s">
        <v>14</v>
      </c>
      <c r="B17" s="19">
        <f t="shared" ref="B17:E17" si="4">SUM(B10:B16)</f>
        <v>0</v>
      </c>
      <c r="C17" s="19">
        <f t="shared" si="4"/>
        <v>0</v>
      </c>
      <c r="D17" s="19">
        <f t="shared" si="4"/>
        <v>0</v>
      </c>
      <c r="E17" s="19">
        <f t="shared" si="4"/>
        <v>0</v>
      </c>
      <c r="F17" s="19">
        <f t="shared" ref="F17:BN17" si="5">SUM(F10:F16)</f>
        <v>0</v>
      </c>
      <c r="G17" s="19">
        <f t="shared" si="5"/>
        <v>0</v>
      </c>
      <c r="H17" s="19">
        <f t="shared" si="5"/>
        <v>0</v>
      </c>
      <c r="I17" s="19">
        <f t="shared" si="5"/>
        <v>0</v>
      </c>
      <c r="J17" s="19">
        <f t="shared" si="5"/>
        <v>0</v>
      </c>
      <c r="K17" s="19">
        <f t="shared" si="5"/>
        <v>0</v>
      </c>
      <c r="L17" s="19">
        <f t="shared" si="5"/>
        <v>0</v>
      </c>
      <c r="M17" s="19">
        <f t="shared" si="5"/>
        <v>0</v>
      </c>
      <c r="N17" s="19">
        <f t="shared" si="5"/>
        <v>0</v>
      </c>
      <c r="O17" s="19">
        <f t="shared" si="5"/>
        <v>0</v>
      </c>
      <c r="P17" s="19">
        <f t="shared" si="5"/>
        <v>0</v>
      </c>
      <c r="Q17" s="19">
        <f t="shared" si="5"/>
        <v>0</v>
      </c>
      <c r="R17" s="19">
        <f t="shared" si="5"/>
        <v>0</v>
      </c>
      <c r="S17" s="19">
        <f t="shared" si="5"/>
        <v>0</v>
      </c>
      <c r="T17" s="19">
        <f t="shared" si="5"/>
        <v>0</v>
      </c>
      <c r="U17" s="19">
        <f t="shared" si="5"/>
        <v>0</v>
      </c>
      <c r="V17" s="19">
        <f t="shared" si="5"/>
        <v>0</v>
      </c>
      <c r="W17" s="19">
        <f t="shared" si="5"/>
        <v>0</v>
      </c>
      <c r="X17" s="19">
        <f t="shared" si="5"/>
        <v>0</v>
      </c>
      <c r="Y17" s="19">
        <f t="shared" si="5"/>
        <v>0</v>
      </c>
      <c r="Z17" s="19">
        <f t="shared" si="5"/>
        <v>0</v>
      </c>
      <c r="AA17" s="19">
        <f t="shared" si="5"/>
        <v>0</v>
      </c>
      <c r="AB17" s="19">
        <f t="shared" si="5"/>
        <v>0</v>
      </c>
      <c r="AC17" s="19">
        <f t="shared" si="5"/>
        <v>0</v>
      </c>
      <c r="AD17" s="19">
        <f t="shared" si="5"/>
        <v>0</v>
      </c>
      <c r="AE17" s="19">
        <f t="shared" si="5"/>
        <v>0</v>
      </c>
      <c r="AF17" s="19">
        <f t="shared" si="5"/>
        <v>0</v>
      </c>
      <c r="AG17" s="19">
        <f t="shared" si="5"/>
        <v>0</v>
      </c>
      <c r="AH17" s="19">
        <f t="shared" si="5"/>
        <v>0</v>
      </c>
      <c r="AI17" s="19">
        <f t="shared" si="5"/>
        <v>0</v>
      </c>
      <c r="AJ17" s="19">
        <f t="shared" si="5"/>
        <v>0</v>
      </c>
      <c r="AK17" s="19">
        <f t="shared" si="5"/>
        <v>0</v>
      </c>
      <c r="AL17" s="19">
        <f t="shared" si="5"/>
        <v>0</v>
      </c>
      <c r="AM17" s="19">
        <f t="shared" si="5"/>
        <v>0</v>
      </c>
      <c r="AN17" s="19">
        <f t="shared" si="5"/>
        <v>0</v>
      </c>
      <c r="AO17" s="19">
        <f t="shared" si="5"/>
        <v>0</v>
      </c>
      <c r="AP17" s="19">
        <f t="shared" si="5"/>
        <v>0</v>
      </c>
      <c r="AQ17" s="19">
        <f t="shared" si="5"/>
        <v>0</v>
      </c>
      <c r="AR17" s="19">
        <f t="shared" si="5"/>
        <v>0</v>
      </c>
      <c r="AS17" s="19">
        <f t="shared" si="5"/>
        <v>0</v>
      </c>
      <c r="AT17" s="19">
        <f t="shared" si="5"/>
        <v>0</v>
      </c>
      <c r="AU17" s="19">
        <f t="shared" si="5"/>
        <v>0</v>
      </c>
      <c r="AV17" s="19">
        <f t="shared" si="5"/>
        <v>0</v>
      </c>
      <c r="AW17" s="19">
        <f t="shared" si="5"/>
        <v>0</v>
      </c>
      <c r="AX17" s="19">
        <f t="shared" si="5"/>
        <v>0</v>
      </c>
      <c r="AY17" s="19">
        <f t="shared" si="5"/>
        <v>0</v>
      </c>
      <c r="AZ17" s="19">
        <f t="shared" si="5"/>
        <v>0</v>
      </c>
      <c r="BA17" s="19">
        <f t="shared" si="5"/>
        <v>0</v>
      </c>
      <c r="BB17" s="19">
        <f t="shared" si="5"/>
        <v>0</v>
      </c>
      <c r="BC17" s="19">
        <f t="shared" si="5"/>
        <v>0</v>
      </c>
      <c r="BD17" s="19">
        <f t="shared" si="5"/>
        <v>0</v>
      </c>
      <c r="BE17" s="19">
        <f t="shared" si="5"/>
        <v>0</v>
      </c>
      <c r="BF17" s="19">
        <f t="shared" si="5"/>
        <v>0</v>
      </c>
      <c r="BG17" s="19">
        <f t="shared" si="5"/>
        <v>0</v>
      </c>
      <c r="BH17" s="19">
        <f t="shared" si="5"/>
        <v>0</v>
      </c>
      <c r="BI17" s="19">
        <f t="shared" si="5"/>
        <v>0</v>
      </c>
      <c r="BJ17" s="19">
        <f t="shared" si="5"/>
        <v>0</v>
      </c>
      <c r="BK17" s="19">
        <f t="shared" si="5"/>
        <v>0</v>
      </c>
      <c r="BL17" s="19">
        <f t="shared" si="5"/>
        <v>0</v>
      </c>
      <c r="BM17" s="19">
        <f t="shared" si="5"/>
        <v>0</v>
      </c>
      <c r="BN17" s="19">
        <f t="shared" si="5"/>
        <v>0</v>
      </c>
      <c r="BO17" s="19">
        <f t="shared" ref="BO17:BR17" si="6">SUM(BO10:BO16)</f>
        <v>0</v>
      </c>
      <c r="BP17" s="19">
        <f t="shared" si="6"/>
        <v>0</v>
      </c>
      <c r="BQ17" s="19">
        <f t="shared" si="6"/>
        <v>0</v>
      </c>
      <c r="BR17" s="19">
        <f t="shared" si="6"/>
        <v>0</v>
      </c>
      <c r="BS17" s="19">
        <f t="shared" ref="BS17:DJ17" si="7">SUM(BS10:BS16)</f>
        <v>0</v>
      </c>
      <c r="BT17" s="19">
        <f t="shared" si="7"/>
        <v>0</v>
      </c>
      <c r="BU17" s="19">
        <f t="shared" si="7"/>
        <v>0</v>
      </c>
      <c r="BV17" s="19">
        <f t="shared" si="7"/>
        <v>0</v>
      </c>
      <c r="BW17" s="19">
        <f t="shared" si="7"/>
        <v>0</v>
      </c>
      <c r="BX17" s="19">
        <f t="shared" si="7"/>
        <v>0</v>
      </c>
      <c r="BY17" s="19">
        <f t="shared" si="7"/>
        <v>0</v>
      </c>
      <c r="BZ17" s="19">
        <f t="shared" si="7"/>
        <v>0</v>
      </c>
      <c r="CA17" s="19">
        <f t="shared" si="7"/>
        <v>0</v>
      </c>
      <c r="CB17" s="19">
        <f t="shared" si="7"/>
        <v>0</v>
      </c>
      <c r="CC17" s="19">
        <f t="shared" si="7"/>
        <v>0</v>
      </c>
      <c r="CD17" s="19">
        <f t="shared" si="7"/>
        <v>0</v>
      </c>
      <c r="CE17" s="19">
        <f t="shared" si="7"/>
        <v>0</v>
      </c>
      <c r="CF17" s="19">
        <f t="shared" si="7"/>
        <v>0</v>
      </c>
      <c r="CG17" s="19">
        <f t="shared" si="7"/>
        <v>0</v>
      </c>
      <c r="CH17" s="19">
        <f t="shared" si="7"/>
        <v>0</v>
      </c>
      <c r="CI17" s="19">
        <f t="shared" si="7"/>
        <v>0</v>
      </c>
      <c r="CJ17" s="19">
        <f t="shared" si="7"/>
        <v>0</v>
      </c>
      <c r="CK17" s="19">
        <f t="shared" si="7"/>
        <v>0</v>
      </c>
      <c r="CL17" s="19">
        <f t="shared" si="7"/>
        <v>0</v>
      </c>
      <c r="CM17" s="19">
        <f t="shared" si="7"/>
        <v>0</v>
      </c>
      <c r="CN17" s="19">
        <f t="shared" si="7"/>
        <v>0</v>
      </c>
      <c r="CO17" s="19">
        <f t="shared" si="7"/>
        <v>0</v>
      </c>
      <c r="CP17" s="19">
        <f t="shared" si="7"/>
        <v>0</v>
      </c>
      <c r="CQ17" s="19">
        <f t="shared" si="7"/>
        <v>0</v>
      </c>
      <c r="CR17" s="19">
        <f t="shared" si="7"/>
        <v>0</v>
      </c>
      <c r="CS17" s="19">
        <f t="shared" si="7"/>
        <v>0</v>
      </c>
      <c r="CT17" s="19">
        <f t="shared" si="7"/>
        <v>0</v>
      </c>
      <c r="CU17" s="19">
        <f t="shared" si="7"/>
        <v>0</v>
      </c>
      <c r="CV17" s="19">
        <f t="shared" si="7"/>
        <v>0</v>
      </c>
      <c r="CW17" s="19">
        <f t="shared" si="7"/>
        <v>0</v>
      </c>
      <c r="CX17" s="19">
        <f t="shared" si="7"/>
        <v>0</v>
      </c>
      <c r="CY17" s="19">
        <f t="shared" si="7"/>
        <v>0</v>
      </c>
      <c r="CZ17" s="19">
        <f t="shared" si="7"/>
        <v>0</v>
      </c>
      <c r="DA17" s="19">
        <f t="shared" si="7"/>
        <v>0</v>
      </c>
      <c r="DB17" s="19">
        <f t="shared" si="7"/>
        <v>0</v>
      </c>
      <c r="DC17" s="19">
        <f t="shared" si="7"/>
        <v>0</v>
      </c>
      <c r="DD17" s="19">
        <f t="shared" si="7"/>
        <v>0</v>
      </c>
      <c r="DE17" s="19">
        <f t="shared" si="7"/>
        <v>0</v>
      </c>
      <c r="DF17" s="19">
        <f t="shared" si="7"/>
        <v>0</v>
      </c>
      <c r="DG17" s="19">
        <f t="shared" si="7"/>
        <v>0</v>
      </c>
      <c r="DH17" s="19">
        <f t="shared" si="7"/>
        <v>0</v>
      </c>
      <c r="DI17" s="19">
        <f t="shared" si="7"/>
        <v>0</v>
      </c>
      <c r="DJ17" s="19">
        <f t="shared" si="7"/>
        <v>0</v>
      </c>
    </row>
    <row r="18" spans="1:114" x14ac:dyDescent="0.25">
      <c r="A18" s="207" t="s">
        <v>15</v>
      </c>
      <c r="B18" s="19">
        <f t="shared" ref="B18:E18" si="8">SUM(B9,B17)</f>
        <v>0</v>
      </c>
      <c r="C18" s="19">
        <f t="shared" si="8"/>
        <v>0</v>
      </c>
      <c r="D18" s="19">
        <f t="shared" si="8"/>
        <v>0</v>
      </c>
      <c r="E18" s="19">
        <f t="shared" si="8"/>
        <v>0</v>
      </c>
      <c r="F18" s="19">
        <f t="shared" ref="F18:BM18" si="9">SUM(F9,F17)</f>
        <v>0</v>
      </c>
      <c r="G18" s="19">
        <f t="shared" si="9"/>
        <v>0</v>
      </c>
      <c r="H18" s="19">
        <f t="shared" si="9"/>
        <v>0</v>
      </c>
      <c r="I18" s="19">
        <f t="shared" si="9"/>
        <v>0</v>
      </c>
      <c r="J18" s="19">
        <f t="shared" si="9"/>
        <v>0</v>
      </c>
      <c r="K18" s="19">
        <f t="shared" si="9"/>
        <v>0</v>
      </c>
      <c r="L18" s="19">
        <f t="shared" si="9"/>
        <v>0</v>
      </c>
      <c r="M18" s="19">
        <f t="shared" si="9"/>
        <v>0</v>
      </c>
      <c r="N18" s="19">
        <f t="shared" si="9"/>
        <v>0</v>
      </c>
      <c r="O18" s="19">
        <f t="shared" si="9"/>
        <v>0</v>
      </c>
      <c r="P18" s="19">
        <f t="shared" si="9"/>
        <v>0</v>
      </c>
      <c r="Q18" s="19">
        <f t="shared" si="9"/>
        <v>0</v>
      </c>
      <c r="R18" s="19">
        <f t="shared" si="9"/>
        <v>0</v>
      </c>
      <c r="S18" s="19">
        <f t="shared" si="9"/>
        <v>0</v>
      </c>
      <c r="T18" s="19">
        <f t="shared" si="9"/>
        <v>0</v>
      </c>
      <c r="U18" s="19">
        <f t="shared" si="9"/>
        <v>0</v>
      </c>
      <c r="V18" s="19">
        <f t="shared" si="9"/>
        <v>0</v>
      </c>
      <c r="W18" s="19">
        <f t="shared" si="9"/>
        <v>0</v>
      </c>
      <c r="X18" s="19">
        <f t="shared" si="9"/>
        <v>0</v>
      </c>
      <c r="Y18" s="19">
        <f t="shared" si="9"/>
        <v>0</v>
      </c>
      <c r="Z18" s="19">
        <f t="shared" si="9"/>
        <v>0</v>
      </c>
      <c r="AA18" s="19">
        <f t="shared" si="9"/>
        <v>0</v>
      </c>
      <c r="AB18" s="19">
        <f t="shared" si="9"/>
        <v>0</v>
      </c>
      <c r="AC18" s="19">
        <f t="shared" si="9"/>
        <v>0</v>
      </c>
      <c r="AD18" s="19">
        <f t="shared" si="9"/>
        <v>0</v>
      </c>
      <c r="AE18" s="19">
        <f t="shared" si="9"/>
        <v>0</v>
      </c>
      <c r="AF18" s="19">
        <f t="shared" si="9"/>
        <v>0</v>
      </c>
      <c r="AG18" s="19">
        <f t="shared" si="9"/>
        <v>0</v>
      </c>
      <c r="AH18" s="19">
        <f t="shared" si="9"/>
        <v>0</v>
      </c>
      <c r="AI18" s="19">
        <f t="shared" si="9"/>
        <v>0</v>
      </c>
      <c r="AJ18" s="19">
        <f t="shared" si="9"/>
        <v>0</v>
      </c>
      <c r="AK18" s="19">
        <f t="shared" si="9"/>
        <v>0</v>
      </c>
      <c r="AL18" s="19">
        <f t="shared" si="9"/>
        <v>0</v>
      </c>
      <c r="AM18" s="19">
        <f t="shared" si="9"/>
        <v>0</v>
      </c>
      <c r="AN18" s="19">
        <f t="shared" si="9"/>
        <v>0</v>
      </c>
      <c r="AO18" s="19">
        <f t="shared" si="9"/>
        <v>0</v>
      </c>
      <c r="AP18" s="19">
        <f t="shared" si="9"/>
        <v>0</v>
      </c>
      <c r="AQ18" s="19">
        <f t="shared" si="9"/>
        <v>0</v>
      </c>
      <c r="AR18" s="19">
        <f t="shared" si="9"/>
        <v>0</v>
      </c>
      <c r="AS18" s="19">
        <f t="shared" si="9"/>
        <v>0</v>
      </c>
      <c r="AT18" s="19">
        <f t="shared" si="9"/>
        <v>0</v>
      </c>
      <c r="AU18" s="19">
        <f t="shared" si="9"/>
        <v>0</v>
      </c>
      <c r="AV18" s="19">
        <f t="shared" si="9"/>
        <v>0</v>
      </c>
      <c r="AW18" s="19">
        <f t="shared" si="9"/>
        <v>0</v>
      </c>
      <c r="AX18" s="19">
        <f t="shared" si="9"/>
        <v>0</v>
      </c>
      <c r="AY18" s="19">
        <f t="shared" si="9"/>
        <v>0</v>
      </c>
      <c r="AZ18" s="19">
        <f t="shared" si="9"/>
        <v>0</v>
      </c>
      <c r="BA18" s="19">
        <f t="shared" si="9"/>
        <v>0</v>
      </c>
      <c r="BB18" s="19">
        <f t="shared" si="9"/>
        <v>0</v>
      </c>
      <c r="BC18" s="19">
        <f t="shared" si="9"/>
        <v>0</v>
      </c>
      <c r="BD18" s="19">
        <f t="shared" si="9"/>
        <v>0</v>
      </c>
      <c r="BE18" s="19">
        <f t="shared" si="9"/>
        <v>0</v>
      </c>
      <c r="BF18" s="19">
        <f t="shared" si="9"/>
        <v>0</v>
      </c>
      <c r="BG18" s="19">
        <f t="shared" si="9"/>
        <v>0</v>
      </c>
      <c r="BH18" s="19">
        <f t="shared" si="9"/>
        <v>0</v>
      </c>
      <c r="BI18" s="19">
        <f t="shared" si="9"/>
        <v>0</v>
      </c>
      <c r="BJ18" s="19">
        <f t="shared" si="9"/>
        <v>0</v>
      </c>
      <c r="BK18" s="19">
        <f t="shared" si="9"/>
        <v>0</v>
      </c>
      <c r="BL18" s="19">
        <f t="shared" si="9"/>
        <v>0</v>
      </c>
      <c r="BM18" s="19">
        <f t="shared" si="9"/>
        <v>0</v>
      </c>
      <c r="BN18" s="19">
        <f t="shared" ref="BN18:BR18" si="10">SUM(BN9,BN17)</f>
        <v>0</v>
      </c>
      <c r="BO18" s="19">
        <f t="shared" si="10"/>
        <v>0</v>
      </c>
      <c r="BP18" s="19">
        <f t="shared" si="10"/>
        <v>0</v>
      </c>
      <c r="BQ18" s="19">
        <f t="shared" si="10"/>
        <v>0</v>
      </c>
      <c r="BR18" s="19">
        <f t="shared" si="10"/>
        <v>0</v>
      </c>
      <c r="BS18" s="19">
        <f t="shared" ref="BS18:DJ18" si="11">SUM(BS9,BS17)</f>
        <v>0</v>
      </c>
      <c r="BT18" s="19">
        <f t="shared" si="11"/>
        <v>0</v>
      </c>
      <c r="BU18" s="19">
        <f t="shared" si="11"/>
        <v>0</v>
      </c>
      <c r="BV18" s="19">
        <f t="shared" si="11"/>
        <v>0</v>
      </c>
      <c r="BW18" s="19">
        <f t="shared" si="11"/>
        <v>0</v>
      </c>
      <c r="BX18" s="19">
        <f t="shared" si="11"/>
        <v>0</v>
      </c>
      <c r="BY18" s="19">
        <f t="shared" si="11"/>
        <v>0</v>
      </c>
      <c r="BZ18" s="19">
        <f t="shared" si="11"/>
        <v>0</v>
      </c>
      <c r="CA18" s="19">
        <f t="shared" si="11"/>
        <v>0</v>
      </c>
      <c r="CB18" s="19">
        <f t="shared" si="11"/>
        <v>0</v>
      </c>
      <c r="CC18" s="19">
        <f t="shared" si="11"/>
        <v>0</v>
      </c>
      <c r="CD18" s="19">
        <f t="shared" si="11"/>
        <v>0</v>
      </c>
      <c r="CE18" s="19">
        <f t="shared" si="11"/>
        <v>0</v>
      </c>
      <c r="CF18" s="19">
        <f t="shared" si="11"/>
        <v>0</v>
      </c>
      <c r="CG18" s="19">
        <f t="shared" si="11"/>
        <v>0</v>
      </c>
      <c r="CH18" s="19">
        <f t="shared" si="11"/>
        <v>0</v>
      </c>
      <c r="CI18" s="19">
        <f t="shared" si="11"/>
        <v>0</v>
      </c>
      <c r="CJ18" s="19">
        <f t="shared" si="11"/>
        <v>0</v>
      </c>
      <c r="CK18" s="19">
        <f t="shared" si="11"/>
        <v>0</v>
      </c>
      <c r="CL18" s="19">
        <f t="shared" si="11"/>
        <v>0</v>
      </c>
      <c r="CM18" s="19">
        <f t="shared" si="11"/>
        <v>0</v>
      </c>
      <c r="CN18" s="19">
        <f t="shared" si="11"/>
        <v>0</v>
      </c>
      <c r="CO18" s="19">
        <f t="shared" si="11"/>
        <v>0</v>
      </c>
      <c r="CP18" s="19">
        <f t="shared" si="11"/>
        <v>0</v>
      </c>
      <c r="CQ18" s="19">
        <f t="shared" si="11"/>
        <v>0</v>
      </c>
      <c r="CR18" s="19">
        <f t="shared" si="11"/>
        <v>0</v>
      </c>
      <c r="CS18" s="19">
        <f t="shared" si="11"/>
        <v>0</v>
      </c>
      <c r="CT18" s="19">
        <f t="shared" si="11"/>
        <v>0</v>
      </c>
      <c r="CU18" s="19">
        <f t="shared" si="11"/>
        <v>0</v>
      </c>
      <c r="CV18" s="19">
        <f t="shared" si="11"/>
        <v>0</v>
      </c>
      <c r="CW18" s="19">
        <f t="shared" si="11"/>
        <v>0</v>
      </c>
      <c r="CX18" s="19">
        <f t="shared" si="11"/>
        <v>0</v>
      </c>
      <c r="CY18" s="19">
        <f t="shared" si="11"/>
        <v>0</v>
      </c>
      <c r="CZ18" s="19">
        <f t="shared" si="11"/>
        <v>0</v>
      </c>
      <c r="DA18" s="19">
        <f t="shared" si="11"/>
        <v>0</v>
      </c>
      <c r="DB18" s="19">
        <f t="shared" si="11"/>
        <v>0</v>
      </c>
      <c r="DC18" s="19">
        <f t="shared" si="11"/>
        <v>0</v>
      </c>
      <c r="DD18" s="19">
        <f t="shared" si="11"/>
        <v>0</v>
      </c>
      <c r="DE18" s="19">
        <f t="shared" si="11"/>
        <v>0</v>
      </c>
      <c r="DF18" s="19">
        <f t="shared" si="11"/>
        <v>0</v>
      </c>
      <c r="DG18" s="19">
        <f t="shared" si="11"/>
        <v>0</v>
      </c>
      <c r="DH18" s="19">
        <f t="shared" si="11"/>
        <v>0</v>
      </c>
      <c r="DI18" s="19">
        <f t="shared" si="11"/>
        <v>0</v>
      </c>
      <c r="DJ18" s="19">
        <f t="shared" si="11"/>
        <v>0</v>
      </c>
    </row>
    <row r="19" spans="1:114" x14ac:dyDescent="0.25">
      <c r="A19" s="5"/>
    </row>
    <row r="20" spans="1:114" x14ac:dyDescent="0.25">
      <c r="B20" s="44"/>
      <c r="C20" s="44"/>
      <c r="D20" s="44"/>
      <c r="E20" s="44"/>
      <c r="F20" s="44"/>
      <c r="G20" s="44"/>
      <c r="L20" s="44"/>
      <c r="M20" s="44"/>
      <c r="N20" s="44"/>
      <c r="O20" s="44"/>
      <c r="P20" s="44"/>
      <c r="Q20" s="44"/>
      <c r="R20" s="44"/>
      <c r="S20" s="44"/>
      <c r="T20" s="44"/>
    </row>
    <row r="22" spans="1:114" x14ac:dyDescent="0.25">
      <c r="B22" s="44"/>
      <c r="C22" s="44"/>
      <c r="D22" s="44"/>
      <c r="E22" s="44"/>
      <c r="F22" s="44"/>
      <c r="G22" s="44"/>
      <c r="L22" s="44"/>
      <c r="M22" s="44"/>
      <c r="N22" s="44"/>
      <c r="O22" s="44"/>
      <c r="P22" s="44"/>
      <c r="Q22" s="44"/>
      <c r="R22" s="44"/>
      <c r="S22" s="44"/>
      <c r="T22" s="44"/>
    </row>
    <row r="24" spans="1:114" x14ac:dyDescent="0.25">
      <c r="B24" s="44"/>
      <c r="C24" s="44"/>
      <c r="D24" s="44"/>
      <c r="E24" s="44"/>
      <c r="F24" s="44"/>
      <c r="G24" s="44"/>
      <c r="L24" s="44"/>
      <c r="M24" s="44"/>
      <c r="N24" s="44"/>
      <c r="O24" s="44"/>
      <c r="P24" s="44"/>
      <c r="Q24" s="44"/>
      <c r="R24" s="44"/>
      <c r="S24" s="44"/>
      <c r="T24" s="44"/>
    </row>
  </sheetData>
  <sheetProtection formatCells="0" formatColumns="0" formatRows="0" insertColumns="0" insertRows="0" sort="0" autoFilter="0" pivotTables="0"/>
  <dataValidations count="1">
    <dataValidation type="list" errorStyle="information" allowBlank="1" showInputMessage="1" showErrorMessage="1" error="This commodity is not listed in the Summary table." sqref="B1:BR1" xr:uid="{398CCB20-5AB5-41DE-B067-F26A6701382A}">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F68C3-DA47-4B76-8329-5CEFF85CC944}">
  <dimension ref="A1:BR24"/>
  <sheetViews>
    <sheetView workbookViewId="0">
      <pane xSplit="1" ySplit="1" topLeftCell="B2" activePane="bottomRight" state="frozen"/>
      <selection activeCell="E23" sqref="E23"/>
      <selection pane="topRight" activeCell="E23" sqref="E23"/>
      <selection pane="bottomLeft" activeCell="E23" sqref="E23"/>
      <selection pane="bottomRight" activeCell="D16" sqref="D16"/>
    </sheetView>
  </sheetViews>
  <sheetFormatPr defaultRowHeight="15" x14ac:dyDescent="0.25"/>
  <cols>
    <col min="1" max="1" width="35.85546875" style="6" customWidth="1"/>
    <col min="2" max="7" width="16.140625" style="5" customWidth="1"/>
    <col min="8" max="11" width="16.140625" style="3" customWidth="1"/>
    <col min="12" max="20" width="16.140625" style="5" customWidth="1"/>
    <col min="21" max="70" width="16.140625" style="3" customWidth="1"/>
    <col min="71" max="16384" width="9.140625" style="3"/>
  </cols>
  <sheetData>
    <row r="1" spans="1:70" s="196" customFormat="1" ht="30" x14ac:dyDescent="0.25">
      <c r="A1" s="36" t="s">
        <v>602</v>
      </c>
      <c r="B1" s="36" t="s">
        <v>114</v>
      </c>
      <c r="C1" s="36" t="s">
        <v>115</v>
      </c>
      <c r="D1" s="36" t="s">
        <v>116</v>
      </c>
      <c r="E1" s="36" t="s">
        <v>117</v>
      </c>
      <c r="F1" s="36" t="s">
        <v>36</v>
      </c>
      <c r="G1" s="36" t="s">
        <v>45</v>
      </c>
      <c r="H1" s="36" t="s">
        <v>118</v>
      </c>
      <c r="I1" s="36" t="s">
        <v>305</v>
      </c>
      <c r="J1" s="36" t="s">
        <v>119</v>
      </c>
      <c r="K1" s="36" t="s">
        <v>120</v>
      </c>
      <c r="L1" s="36" t="s">
        <v>121</v>
      </c>
      <c r="M1" s="36" t="s">
        <v>122</v>
      </c>
      <c r="N1" s="36" t="s">
        <v>123</v>
      </c>
      <c r="O1" s="36" t="s">
        <v>124</v>
      </c>
      <c r="P1" s="36" t="s">
        <v>125</v>
      </c>
      <c r="Q1" s="36" t="s">
        <v>126</v>
      </c>
      <c r="R1" s="36" t="s">
        <v>127</v>
      </c>
      <c r="S1" s="36" t="s">
        <v>292</v>
      </c>
      <c r="T1" s="36" t="s">
        <v>128</v>
      </c>
      <c r="U1" s="36" t="s">
        <v>567</v>
      </c>
      <c r="V1" s="36" t="s">
        <v>62</v>
      </c>
      <c r="W1" s="36" t="s">
        <v>129</v>
      </c>
      <c r="X1" s="36" t="s">
        <v>130</v>
      </c>
      <c r="Y1" s="36" t="s">
        <v>131</v>
      </c>
      <c r="Z1" s="36" t="s">
        <v>132</v>
      </c>
      <c r="AA1" s="36" t="s">
        <v>133</v>
      </c>
      <c r="AB1" s="36" t="s">
        <v>134</v>
      </c>
      <c r="AC1" s="36" t="s">
        <v>135</v>
      </c>
      <c r="AD1" s="36" t="s">
        <v>136</v>
      </c>
      <c r="AE1" s="36" t="s">
        <v>137</v>
      </c>
      <c r="AF1" s="36" t="s">
        <v>70</v>
      </c>
      <c r="AG1" s="36" t="s">
        <v>74</v>
      </c>
      <c r="AH1" s="36" t="s">
        <v>75</v>
      </c>
      <c r="AI1" s="36" t="s">
        <v>78</v>
      </c>
      <c r="AJ1" s="36" t="s">
        <v>138</v>
      </c>
      <c r="AK1" s="36" t="s">
        <v>139</v>
      </c>
      <c r="AL1" s="36" t="s">
        <v>141</v>
      </c>
      <c r="AM1" s="36" t="s">
        <v>142</v>
      </c>
      <c r="AN1" s="36" t="s">
        <v>143</v>
      </c>
      <c r="AO1" s="36" t="s">
        <v>144</v>
      </c>
      <c r="AP1" s="36" t="s">
        <v>145</v>
      </c>
      <c r="AQ1" s="36" t="s">
        <v>146</v>
      </c>
      <c r="AR1" s="36" t="s">
        <v>99</v>
      </c>
      <c r="AS1" s="36" t="s">
        <v>314</v>
      </c>
      <c r="AT1" s="36" t="s">
        <v>147</v>
      </c>
      <c r="AU1" s="36" t="s">
        <v>148</v>
      </c>
      <c r="AV1" s="36" t="s">
        <v>149</v>
      </c>
      <c r="AW1" s="36" t="s">
        <v>150</v>
      </c>
      <c r="AX1" s="36" t="s">
        <v>151</v>
      </c>
      <c r="AY1" s="36" t="s">
        <v>152</v>
      </c>
      <c r="AZ1" s="36" t="s">
        <v>101</v>
      </c>
      <c r="BA1" s="36" t="s">
        <v>153</v>
      </c>
      <c r="BB1" s="36" t="s">
        <v>154</v>
      </c>
      <c r="BC1" s="36" t="s">
        <v>155</v>
      </c>
      <c r="BD1" s="36" t="s">
        <v>156</v>
      </c>
      <c r="BE1" s="36" t="s">
        <v>157</v>
      </c>
      <c r="BF1" s="36" t="s">
        <v>549</v>
      </c>
      <c r="BG1" s="36" t="s">
        <v>550</v>
      </c>
      <c r="BH1" s="36" t="s">
        <v>158</v>
      </c>
      <c r="BI1" s="36" t="s">
        <v>171</v>
      </c>
      <c r="BJ1" s="36" t="s">
        <v>159</v>
      </c>
      <c r="BK1" s="36"/>
      <c r="BL1" s="36"/>
      <c r="BM1" s="36"/>
      <c r="BN1" s="36"/>
      <c r="BO1" s="36"/>
      <c r="BP1" s="36"/>
      <c r="BQ1" s="36"/>
      <c r="BR1" s="36"/>
    </row>
    <row r="2" spans="1:70" s="26" customFormat="1" x14ac:dyDescent="0.25">
      <c r="A2" s="34" t="s">
        <v>0</v>
      </c>
      <c r="B2" s="16"/>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row>
    <row r="3" spans="1:70" s="26" customFormat="1" x14ac:dyDescent="0.25">
      <c r="A3" s="34" t="s">
        <v>1</v>
      </c>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row>
    <row r="4" spans="1:70"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row>
    <row r="5" spans="1:70" s="26" customFormat="1" x14ac:dyDescent="0.25">
      <c r="A5" s="34" t="s">
        <v>2</v>
      </c>
      <c r="B5" s="16"/>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70" s="26" customFormat="1" x14ac:dyDescent="0.25">
      <c r="A6" s="34" t="s">
        <v>3</v>
      </c>
      <c r="B6" s="16"/>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row>
    <row r="7" spans="1:70" s="26" customFormat="1" x14ac:dyDescent="0.25">
      <c r="A7" s="34" t="s">
        <v>4</v>
      </c>
      <c r="B7" s="16"/>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row>
    <row r="8" spans="1:70" s="26" customFormat="1" x14ac:dyDescent="0.25">
      <c r="A8" s="34" t="s">
        <v>6</v>
      </c>
      <c r="B8" s="16"/>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70" s="26" customFormat="1" x14ac:dyDescent="0.25">
      <c r="A9" s="35" t="s">
        <v>7</v>
      </c>
      <c r="B9" s="19">
        <f t="shared" ref="B9:Z9" si="0">SUM(B1:B8)</f>
        <v>0</v>
      </c>
      <c r="C9" s="19">
        <f t="shared" si="0"/>
        <v>0</v>
      </c>
      <c r="D9" s="19">
        <f t="shared" si="0"/>
        <v>0</v>
      </c>
      <c r="E9" s="19">
        <f t="shared" si="0"/>
        <v>0</v>
      </c>
      <c r="F9" s="19">
        <f t="shared" si="0"/>
        <v>0</v>
      </c>
      <c r="G9" s="19">
        <f t="shared" si="0"/>
        <v>0</v>
      </c>
      <c r="H9" s="19">
        <f t="shared" si="0"/>
        <v>0</v>
      </c>
      <c r="I9" s="19">
        <f t="shared" si="0"/>
        <v>0</v>
      </c>
      <c r="J9" s="19">
        <f t="shared" si="0"/>
        <v>0</v>
      </c>
      <c r="K9" s="19">
        <f t="shared" si="0"/>
        <v>0</v>
      </c>
      <c r="L9" s="19">
        <f t="shared" si="0"/>
        <v>0</v>
      </c>
      <c r="M9" s="19">
        <f t="shared" si="0"/>
        <v>0</v>
      </c>
      <c r="N9" s="19">
        <f t="shared" si="0"/>
        <v>0</v>
      </c>
      <c r="O9" s="19">
        <f t="shared" si="0"/>
        <v>0</v>
      </c>
      <c r="P9" s="19">
        <f t="shared" si="0"/>
        <v>0</v>
      </c>
      <c r="Q9" s="19">
        <f t="shared" si="0"/>
        <v>0</v>
      </c>
      <c r="R9" s="19">
        <f t="shared" si="0"/>
        <v>0</v>
      </c>
      <c r="S9" s="19">
        <f t="shared" si="0"/>
        <v>0</v>
      </c>
      <c r="T9" s="19">
        <f t="shared" si="0"/>
        <v>0</v>
      </c>
      <c r="U9" s="19">
        <f t="shared" si="0"/>
        <v>0</v>
      </c>
      <c r="V9" s="19">
        <f t="shared" si="0"/>
        <v>0</v>
      </c>
      <c r="W9" s="19">
        <f t="shared" si="0"/>
        <v>0</v>
      </c>
      <c r="X9" s="19">
        <f t="shared" si="0"/>
        <v>0</v>
      </c>
      <c r="Y9" s="19">
        <f t="shared" si="0"/>
        <v>0</v>
      </c>
      <c r="Z9" s="19">
        <f t="shared" si="0"/>
        <v>0</v>
      </c>
      <c r="AA9" s="19">
        <f t="shared" ref="AA9:AD9" si="1">SUM(AA1:AA8)</f>
        <v>0</v>
      </c>
      <c r="AB9" s="19">
        <f t="shared" si="1"/>
        <v>0</v>
      </c>
      <c r="AC9" s="19">
        <f t="shared" si="1"/>
        <v>0</v>
      </c>
      <c r="AD9" s="19">
        <f t="shared" si="1"/>
        <v>0</v>
      </c>
      <c r="AE9" s="19">
        <f t="shared" ref="AE9" si="2">SUM(AE1:AE8)</f>
        <v>0</v>
      </c>
      <c r="AF9" s="19">
        <f t="shared" ref="AF9" si="3">SUM(AF1:AF8)</f>
        <v>0</v>
      </c>
      <c r="AG9" s="19">
        <f t="shared" ref="AG9" si="4">SUM(AG1:AG8)</f>
        <v>0</v>
      </c>
      <c r="AH9" s="19">
        <f t="shared" ref="AH9" si="5">SUM(AH1:AH8)</f>
        <v>0</v>
      </c>
      <c r="AI9" s="19">
        <f t="shared" ref="AI9" si="6">SUM(AI1:AI8)</f>
        <v>0</v>
      </c>
      <c r="AJ9" s="19">
        <f t="shared" ref="AJ9" si="7">SUM(AJ1:AJ8)</f>
        <v>0</v>
      </c>
      <c r="AK9" s="19">
        <f t="shared" ref="AK9" si="8">SUM(AK1:AK8)</f>
        <v>0</v>
      </c>
      <c r="AL9" s="19">
        <f t="shared" ref="AL9" si="9">SUM(AL1:AL8)</f>
        <v>0</v>
      </c>
      <c r="AM9" s="19">
        <f t="shared" ref="AM9" si="10">SUM(AM1:AM8)</f>
        <v>0</v>
      </c>
      <c r="AN9" s="19">
        <f t="shared" ref="AN9" si="11">SUM(AN1:AN8)</f>
        <v>0</v>
      </c>
      <c r="AO9" s="19">
        <f t="shared" ref="AO9" si="12">SUM(AO1:AO8)</f>
        <v>0</v>
      </c>
      <c r="AP9" s="19">
        <f t="shared" ref="AP9" si="13">SUM(AP1:AP8)</f>
        <v>0</v>
      </c>
      <c r="AQ9" s="19">
        <f t="shared" ref="AQ9" si="14">SUM(AQ1:AQ8)</f>
        <v>0</v>
      </c>
      <c r="AR9" s="19">
        <f t="shared" ref="AR9" si="15">SUM(AR1:AR8)</f>
        <v>0</v>
      </c>
      <c r="AS9" s="19">
        <f t="shared" ref="AS9" si="16">SUM(AS1:AS8)</f>
        <v>0</v>
      </c>
      <c r="AT9" s="19">
        <f t="shared" ref="AT9" si="17">SUM(AT1:AT8)</f>
        <v>0</v>
      </c>
      <c r="AU9" s="19">
        <f t="shared" ref="AU9" si="18">SUM(AU1:AU8)</f>
        <v>0</v>
      </c>
      <c r="AV9" s="19">
        <f t="shared" ref="AV9" si="19">SUM(AV1:AV8)</f>
        <v>0</v>
      </c>
      <c r="AW9" s="19">
        <f t="shared" ref="AW9" si="20">SUM(AW1:AW8)</f>
        <v>0</v>
      </c>
      <c r="AX9" s="19">
        <f t="shared" ref="AX9" si="21">SUM(AX1:AX8)</f>
        <v>0</v>
      </c>
      <c r="AY9" s="19">
        <f t="shared" ref="AY9" si="22">SUM(AY1:AY8)</f>
        <v>0</v>
      </c>
      <c r="AZ9" s="19">
        <f t="shared" ref="AZ9" si="23">SUM(AZ1:AZ8)</f>
        <v>0</v>
      </c>
      <c r="BA9" s="19">
        <f t="shared" ref="BA9" si="24">SUM(BA1:BA8)</f>
        <v>0</v>
      </c>
      <c r="BB9" s="19">
        <f t="shared" ref="BB9" si="25">SUM(BB1:BB8)</f>
        <v>0</v>
      </c>
      <c r="BC9" s="19">
        <f t="shared" ref="BC9" si="26">SUM(BC1:BC8)</f>
        <v>0</v>
      </c>
      <c r="BD9" s="19">
        <f t="shared" ref="BD9" si="27">SUM(BD1:BD8)</f>
        <v>0</v>
      </c>
      <c r="BE9" s="19">
        <f t="shared" ref="BE9" si="28">SUM(BE1:BE8)</f>
        <v>0</v>
      </c>
      <c r="BF9" s="19">
        <f t="shared" ref="BF9" si="29">SUM(BF1:BF8)</f>
        <v>0</v>
      </c>
      <c r="BG9" s="19">
        <f t="shared" ref="BG9" si="30">SUM(BG1:BG8)</f>
        <v>0</v>
      </c>
      <c r="BH9" s="19">
        <f t="shared" ref="BH9" si="31">SUM(BH1:BH8)</f>
        <v>0</v>
      </c>
      <c r="BI9" s="19">
        <f t="shared" ref="BI9" si="32">SUM(BI1:BI8)</f>
        <v>0</v>
      </c>
      <c r="BJ9" s="19">
        <f t="shared" ref="BJ9" si="33">SUM(BJ1:BJ8)</f>
        <v>0</v>
      </c>
      <c r="BK9" s="19">
        <f t="shared" ref="BK9" si="34">SUM(BK1:BK8)</f>
        <v>0</v>
      </c>
      <c r="BL9" s="19">
        <f t="shared" ref="BL9" si="35">SUM(BL1:BL8)</f>
        <v>0</v>
      </c>
      <c r="BM9" s="19">
        <f t="shared" ref="BM9" si="36">SUM(BM1:BM8)</f>
        <v>0</v>
      </c>
      <c r="BN9" s="19">
        <f t="shared" ref="BN9" si="37">SUM(BN1:BN8)</f>
        <v>0</v>
      </c>
      <c r="BO9" s="19">
        <f t="shared" ref="BO9" si="38">SUM(BO1:BO8)</f>
        <v>0</v>
      </c>
      <c r="BP9" s="19">
        <f t="shared" ref="BP9" si="39">SUM(BP1:BP8)</f>
        <v>0</v>
      </c>
      <c r="BQ9" s="19">
        <f t="shared" ref="BQ9" si="40">SUM(BQ1:BQ8)</f>
        <v>0</v>
      </c>
      <c r="BR9" s="19">
        <f t="shared" ref="BR9" si="41">SUM(BR1:BR8)</f>
        <v>0</v>
      </c>
    </row>
    <row r="10" spans="1:70" s="26" customFormat="1" x14ac:dyDescent="0.25">
      <c r="A10" s="34" t="s">
        <v>8</v>
      </c>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row>
    <row r="11" spans="1:70" s="26" customFormat="1" x14ac:dyDescent="0.25">
      <c r="A11" s="34" t="s">
        <v>9</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row>
    <row r="12" spans="1:70" s="26" customFormat="1" x14ac:dyDescent="0.25">
      <c r="A12" s="34" t="s">
        <v>164</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row>
    <row r="13" spans="1:70" s="26" customFormat="1" x14ac:dyDescent="0.25">
      <c r="A13" s="34" t="s">
        <v>486</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row>
    <row r="14" spans="1:70" s="26" customFormat="1" x14ac:dyDescent="0.25">
      <c r="A14" s="34" t="s">
        <v>10</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row>
    <row r="15" spans="1:70"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row>
    <row r="16" spans="1:70" s="26" customFormat="1" x14ac:dyDescent="0.25">
      <c r="A16" s="34" t="s">
        <v>13</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row>
    <row r="17" spans="1:70" s="26" customFormat="1" x14ac:dyDescent="0.25">
      <c r="A17" s="35" t="s">
        <v>14</v>
      </c>
      <c r="B17" s="19">
        <f>SUM(B10:B16)</f>
        <v>0</v>
      </c>
      <c r="C17" s="19">
        <f t="shared" ref="C17:AD17" si="42">SUM(C10:C16)</f>
        <v>0</v>
      </c>
      <c r="D17" s="19">
        <f t="shared" si="42"/>
        <v>0</v>
      </c>
      <c r="E17" s="19">
        <f t="shared" si="42"/>
        <v>0</v>
      </c>
      <c r="F17" s="19">
        <f t="shared" si="42"/>
        <v>0</v>
      </c>
      <c r="G17" s="19">
        <f t="shared" si="42"/>
        <v>0</v>
      </c>
      <c r="H17" s="19">
        <f t="shared" si="42"/>
        <v>0</v>
      </c>
      <c r="I17" s="19">
        <f t="shared" si="42"/>
        <v>0</v>
      </c>
      <c r="J17" s="19">
        <f t="shared" si="42"/>
        <v>0</v>
      </c>
      <c r="K17" s="19">
        <f t="shared" si="42"/>
        <v>0</v>
      </c>
      <c r="L17" s="19">
        <f t="shared" si="42"/>
        <v>0</v>
      </c>
      <c r="M17" s="19">
        <f t="shared" si="42"/>
        <v>0</v>
      </c>
      <c r="N17" s="19">
        <f t="shared" si="42"/>
        <v>0</v>
      </c>
      <c r="O17" s="19">
        <f t="shared" si="42"/>
        <v>0</v>
      </c>
      <c r="P17" s="19">
        <f t="shared" si="42"/>
        <v>0</v>
      </c>
      <c r="Q17" s="19">
        <f t="shared" si="42"/>
        <v>0</v>
      </c>
      <c r="R17" s="19">
        <f t="shared" si="42"/>
        <v>0</v>
      </c>
      <c r="S17" s="19">
        <f t="shared" si="42"/>
        <v>0</v>
      </c>
      <c r="T17" s="19">
        <f t="shared" si="42"/>
        <v>0</v>
      </c>
      <c r="U17" s="19">
        <f t="shared" si="42"/>
        <v>0</v>
      </c>
      <c r="V17" s="19">
        <f t="shared" si="42"/>
        <v>0</v>
      </c>
      <c r="W17" s="19">
        <f t="shared" si="42"/>
        <v>0</v>
      </c>
      <c r="X17" s="19">
        <f t="shared" si="42"/>
        <v>0</v>
      </c>
      <c r="Y17" s="19">
        <f t="shared" si="42"/>
        <v>0</v>
      </c>
      <c r="Z17" s="19">
        <f t="shared" si="42"/>
        <v>0</v>
      </c>
      <c r="AA17" s="19">
        <f t="shared" si="42"/>
        <v>0</v>
      </c>
      <c r="AB17" s="19">
        <f t="shared" si="42"/>
        <v>0</v>
      </c>
      <c r="AC17" s="19">
        <f t="shared" si="42"/>
        <v>0</v>
      </c>
      <c r="AD17" s="19">
        <f t="shared" si="42"/>
        <v>0</v>
      </c>
      <c r="AE17" s="19">
        <f t="shared" ref="AE17" si="43">SUM(AE10:AE16)</f>
        <v>0</v>
      </c>
      <c r="AF17" s="19">
        <f t="shared" ref="AF17" si="44">SUM(AF10:AF16)</f>
        <v>0</v>
      </c>
      <c r="AG17" s="19">
        <f t="shared" ref="AG17" si="45">SUM(AG10:AG16)</f>
        <v>0</v>
      </c>
      <c r="AH17" s="19">
        <f t="shared" ref="AH17" si="46">SUM(AH10:AH16)</f>
        <v>0</v>
      </c>
      <c r="AI17" s="19">
        <f t="shared" ref="AI17" si="47">SUM(AI10:AI16)</f>
        <v>0</v>
      </c>
      <c r="AJ17" s="19">
        <f t="shared" ref="AJ17" si="48">SUM(AJ10:AJ16)</f>
        <v>0</v>
      </c>
      <c r="AK17" s="19">
        <f t="shared" ref="AK17" si="49">SUM(AK10:AK16)</f>
        <v>0</v>
      </c>
      <c r="AL17" s="19">
        <f t="shared" ref="AL17" si="50">SUM(AL10:AL16)</f>
        <v>0</v>
      </c>
      <c r="AM17" s="19">
        <f t="shared" ref="AM17" si="51">SUM(AM10:AM16)</f>
        <v>0</v>
      </c>
      <c r="AN17" s="19">
        <f t="shared" ref="AN17" si="52">SUM(AN10:AN16)</f>
        <v>0</v>
      </c>
      <c r="AO17" s="19">
        <f t="shared" ref="AO17" si="53">SUM(AO10:AO16)</f>
        <v>0</v>
      </c>
      <c r="AP17" s="19">
        <f t="shared" ref="AP17" si="54">SUM(AP10:AP16)</f>
        <v>0</v>
      </c>
      <c r="AQ17" s="19">
        <f t="shared" ref="AQ17" si="55">SUM(AQ10:AQ16)</f>
        <v>0</v>
      </c>
      <c r="AR17" s="19">
        <f t="shared" ref="AR17" si="56">SUM(AR10:AR16)</f>
        <v>0</v>
      </c>
      <c r="AS17" s="19">
        <f t="shared" ref="AS17" si="57">SUM(AS10:AS16)</f>
        <v>0</v>
      </c>
      <c r="AT17" s="19">
        <f t="shared" ref="AT17" si="58">SUM(AT10:AT16)</f>
        <v>0</v>
      </c>
      <c r="AU17" s="19">
        <f t="shared" ref="AU17" si="59">SUM(AU10:AU16)</f>
        <v>0</v>
      </c>
      <c r="AV17" s="19">
        <f t="shared" ref="AV17" si="60">SUM(AV10:AV16)</f>
        <v>0</v>
      </c>
      <c r="AW17" s="19">
        <f t="shared" ref="AW17" si="61">SUM(AW10:AW16)</f>
        <v>0</v>
      </c>
      <c r="AX17" s="19">
        <f t="shared" ref="AX17" si="62">SUM(AX10:AX16)</f>
        <v>0</v>
      </c>
      <c r="AY17" s="19">
        <f t="shared" ref="AY17" si="63">SUM(AY10:AY16)</f>
        <v>0</v>
      </c>
      <c r="AZ17" s="19">
        <f t="shared" ref="AZ17" si="64">SUM(AZ10:AZ16)</f>
        <v>0</v>
      </c>
      <c r="BA17" s="19">
        <f t="shared" ref="BA17" si="65">SUM(BA10:BA16)</f>
        <v>0</v>
      </c>
      <c r="BB17" s="19">
        <f t="shared" ref="BB17" si="66">SUM(BB10:BB16)</f>
        <v>0</v>
      </c>
      <c r="BC17" s="19">
        <f t="shared" ref="BC17" si="67">SUM(BC10:BC16)</f>
        <v>0</v>
      </c>
      <c r="BD17" s="19">
        <f t="shared" ref="BD17" si="68">SUM(BD10:BD16)</f>
        <v>0</v>
      </c>
      <c r="BE17" s="19">
        <f t="shared" ref="BE17" si="69">SUM(BE10:BE16)</f>
        <v>0</v>
      </c>
      <c r="BF17" s="19">
        <f t="shared" ref="BF17" si="70">SUM(BF10:BF16)</f>
        <v>0</v>
      </c>
      <c r="BG17" s="19">
        <f t="shared" ref="BG17" si="71">SUM(BG10:BG16)</f>
        <v>0</v>
      </c>
      <c r="BH17" s="19">
        <f t="shared" ref="BH17" si="72">SUM(BH10:BH16)</f>
        <v>0</v>
      </c>
      <c r="BI17" s="19">
        <f t="shared" ref="BI17" si="73">SUM(BI10:BI16)</f>
        <v>0</v>
      </c>
      <c r="BJ17" s="19">
        <f t="shared" ref="BJ17" si="74">SUM(BJ10:BJ16)</f>
        <v>0</v>
      </c>
      <c r="BK17" s="19">
        <f t="shared" ref="BK17" si="75">SUM(BK10:BK16)</f>
        <v>0</v>
      </c>
      <c r="BL17" s="19">
        <f t="shared" ref="BL17" si="76">SUM(BL10:BL16)</f>
        <v>0</v>
      </c>
      <c r="BM17" s="19">
        <f t="shared" ref="BM17" si="77">SUM(BM10:BM16)</f>
        <v>0</v>
      </c>
      <c r="BN17" s="19">
        <f t="shared" ref="BN17" si="78">SUM(BN10:BN16)</f>
        <v>0</v>
      </c>
      <c r="BO17" s="19">
        <f t="shared" ref="BO17" si="79">SUM(BO10:BO16)</f>
        <v>0</v>
      </c>
      <c r="BP17" s="19">
        <f t="shared" ref="BP17" si="80">SUM(BP10:BP16)</f>
        <v>0</v>
      </c>
      <c r="BQ17" s="19">
        <f t="shared" ref="BQ17" si="81">SUM(BQ10:BQ16)</f>
        <v>0</v>
      </c>
      <c r="BR17" s="19">
        <f t="shared" ref="BR17" si="82">SUM(BR10:BR16)</f>
        <v>0</v>
      </c>
    </row>
    <row r="18" spans="1:70" x14ac:dyDescent="0.25">
      <c r="A18" s="35" t="s">
        <v>15</v>
      </c>
      <c r="B18" s="19">
        <f t="shared" ref="B18:AD18" si="83">SUM(B9,B17)</f>
        <v>0</v>
      </c>
      <c r="C18" s="19">
        <f t="shared" si="83"/>
        <v>0</v>
      </c>
      <c r="D18" s="19">
        <f t="shared" si="83"/>
        <v>0</v>
      </c>
      <c r="E18" s="19">
        <f t="shared" si="83"/>
        <v>0</v>
      </c>
      <c r="F18" s="19">
        <f t="shared" si="83"/>
        <v>0</v>
      </c>
      <c r="G18" s="19">
        <f t="shared" si="83"/>
        <v>0</v>
      </c>
      <c r="H18" s="19">
        <f t="shared" si="83"/>
        <v>0</v>
      </c>
      <c r="I18" s="19">
        <f t="shared" si="83"/>
        <v>0</v>
      </c>
      <c r="J18" s="19">
        <f t="shared" si="83"/>
        <v>0</v>
      </c>
      <c r="K18" s="19">
        <f t="shared" si="83"/>
        <v>0</v>
      </c>
      <c r="L18" s="19">
        <f t="shared" si="83"/>
        <v>0</v>
      </c>
      <c r="M18" s="19">
        <f t="shared" si="83"/>
        <v>0</v>
      </c>
      <c r="N18" s="19">
        <f t="shared" si="83"/>
        <v>0</v>
      </c>
      <c r="O18" s="19">
        <f t="shared" si="83"/>
        <v>0</v>
      </c>
      <c r="P18" s="19">
        <f t="shared" si="83"/>
        <v>0</v>
      </c>
      <c r="Q18" s="19">
        <f t="shared" si="83"/>
        <v>0</v>
      </c>
      <c r="R18" s="19">
        <f t="shared" si="83"/>
        <v>0</v>
      </c>
      <c r="S18" s="19">
        <f t="shared" si="83"/>
        <v>0</v>
      </c>
      <c r="T18" s="19">
        <f t="shared" si="83"/>
        <v>0</v>
      </c>
      <c r="U18" s="19">
        <f t="shared" si="83"/>
        <v>0</v>
      </c>
      <c r="V18" s="19">
        <f t="shared" si="83"/>
        <v>0</v>
      </c>
      <c r="W18" s="19">
        <f t="shared" si="83"/>
        <v>0</v>
      </c>
      <c r="X18" s="19">
        <f t="shared" si="83"/>
        <v>0</v>
      </c>
      <c r="Y18" s="19">
        <f t="shared" si="83"/>
        <v>0</v>
      </c>
      <c r="Z18" s="19">
        <f t="shared" si="83"/>
        <v>0</v>
      </c>
      <c r="AA18" s="19">
        <f t="shared" si="83"/>
        <v>0</v>
      </c>
      <c r="AB18" s="19">
        <f t="shared" si="83"/>
        <v>0</v>
      </c>
      <c r="AC18" s="19">
        <f t="shared" si="83"/>
        <v>0</v>
      </c>
      <c r="AD18" s="19">
        <f t="shared" si="83"/>
        <v>0</v>
      </c>
      <c r="AE18" s="19">
        <f t="shared" ref="AE18:BJ18" si="84">SUM(AE9,AE17)</f>
        <v>0</v>
      </c>
      <c r="AF18" s="19">
        <f t="shared" si="84"/>
        <v>0</v>
      </c>
      <c r="AG18" s="19">
        <f t="shared" si="84"/>
        <v>0</v>
      </c>
      <c r="AH18" s="19">
        <f t="shared" si="84"/>
        <v>0</v>
      </c>
      <c r="AI18" s="19">
        <f t="shared" si="84"/>
        <v>0</v>
      </c>
      <c r="AJ18" s="19">
        <f t="shared" si="84"/>
        <v>0</v>
      </c>
      <c r="AK18" s="19">
        <f t="shared" si="84"/>
        <v>0</v>
      </c>
      <c r="AL18" s="19">
        <f t="shared" si="84"/>
        <v>0</v>
      </c>
      <c r="AM18" s="19">
        <f t="shared" si="84"/>
        <v>0</v>
      </c>
      <c r="AN18" s="19">
        <f t="shared" si="84"/>
        <v>0</v>
      </c>
      <c r="AO18" s="19">
        <f t="shared" si="84"/>
        <v>0</v>
      </c>
      <c r="AP18" s="19">
        <f t="shared" si="84"/>
        <v>0</v>
      </c>
      <c r="AQ18" s="19">
        <f t="shared" si="84"/>
        <v>0</v>
      </c>
      <c r="AR18" s="19">
        <f t="shared" si="84"/>
        <v>0</v>
      </c>
      <c r="AS18" s="19">
        <f t="shared" si="84"/>
        <v>0</v>
      </c>
      <c r="AT18" s="19">
        <f t="shared" si="84"/>
        <v>0</v>
      </c>
      <c r="AU18" s="19">
        <f t="shared" si="84"/>
        <v>0</v>
      </c>
      <c r="AV18" s="19">
        <f t="shared" si="84"/>
        <v>0</v>
      </c>
      <c r="AW18" s="19">
        <f t="shared" si="84"/>
        <v>0</v>
      </c>
      <c r="AX18" s="19">
        <f t="shared" si="84"/>
        <v>0</v>
      </c>
      <c r="AY18" s="19">
        <f t="shared" si="84"/>
        <v>0</v>
      </c>
      <c r="AZ18" s="19">
        <f t="shared" si="84"/>
        <v>0</v>
      </c>
      <c r="BA18" s="19">
        <f t="shared" si="84"/>
        <v>0</v>
      </c>
      <c r="BB18" s="19">
        <f t="shared" si="84"/>
        <v>0</v>
      </c>
      <c r="BC18" s="19">
        <f t="shared" si="84"/>
        <v>0</v>
      </c>
      <c r="BD18" s="19">
        <f t="shared" si="84"/>
        <v>0</v>
      </c>
      <c r="BE18" s="19">
        <f t="shared" si="84"/>
        <v>0</v>
      </c>
      <c r="BF18" s="19">
        <f t="shared" si="84"/>
        <v>0</v>
      </c>
      <c r="BG18" s="19">
        <f t="shared" si="84"/>
        <v>0</v>
      </c>
      <c r="BH18" s="19">
        <f t="shared" si="84"/>
        <v>0</v>
      </c>
      <c r="BI18" s="19">
        <f t="shared" si="84"/>
        <v>0</v>
      </c>
      <c r="BJ18" s="19">
        <f t="shared" si="84"/>
        <v>0</v>
      </c>
      <c r="BK18" s="19">
        <f t="shared" ref="BK18" si="85">SUM(BK9,BK17)</f>
        <v>0</v>
      </c>
      <c r="BL18" s="19">
        <f t="shared" ref="BL18" si="86">SUM(BL9,BL17)</f>
        <v>0</v>
      </c>
      <c r="BM18" s="19">
        <f t="shared" ref="BM18" si="87">SUM(BM9,BM17)</f>
        <v>0</v>
      </c>
      <c r="BN18" s="19">
        <f t="shared" ref="BN18" si="88">SUM(BN9,BN17)</f>
        <v>0</v>
      </c>
      <c r="BO18" s="19">
        <f t="shared" ref="BO18" si="89">SUM(BO9,BO17)</f>
        <v>0</v>
      </c>
      <c r="BP18" s="19">
        <f t="shared" ref="BP18" si="90">SUM(BP9,BP17)</f>
        <v>0</v>
      </c>
      <c r="BQ18" s="19">
        <f t="shared" ref="BQ18" si="91">SUM(BQ9,BQ17)</f>
        <v>0</v>
      </c>
      <c r="BR18" s="19">
        <f t="shared" ref="BR18" si="92">SUM(BR9,BR17)</f>
        <v>0</v>
      </c>
    </row>
    <row r="20" spans="1:70" x14ac:dyDescent="0.25">
      <c r="B20" s="44"/>
      <c r="C20" s="44"/>
      <c r="D20" s="44"/>
      <c r="E20" s="44"/>
      <c r="F20" s="44"/>
      <c r="G20" s="44"/>
      <c r="L20" s="44"/>
      <c r="M20" s="44"/>
      <c r="N20" s="44"/>
      <c r="O20" s="44"/>
      <c r="P20" s="44"/>
      <c r="Q20" s="44"/>
      <c r="R20" s="44"/>
      <c r="S20" s="44"/>
      <c r="T20" s="44"/>
    </row>
    <row r="22" spans="1:70" x14ac:dyDescent="0.25">
      <c r="B22" s="44"/>
      <c r="C22" s="44"/>
      <c r="D22" s="44"/>
      <c r="E22" s="44"/>
      <c r="F22" s="44"/>
      <c r="G22" s="44"/>
      <c r="L22" s="44"/>
      <c r="M22" s="44"/>
      <c r="N22" s="44"/>
      <c r="O22" s="44"/>
      <c r="P22" s="44"/>
      <c r="Q22" s="44"/>
      <c r="R22" s="44"/>
      <c r="S22" s="44"/>
      <c r="T22" s="44"/>
    </row>
    <row r="24" spans="1:70" x14ac:dyDescent="0.25">
      <c r="B24" s="44"/>
      <c r="C24" s="44"/>
      <c r="D24" s="44"/>
      <c r="E24" s="44"/>
      <c r="F24" s="44"/>
      <c r="G24" s="44"/>
      <c r="L24" s="44"/>
      <c r="M24" s="44"/>
      <c r="N24" s="44"/>
      <c r="O24" s="44"/>
      <c r="P24" s="44"/>
      <c r="Q24" s="44"/>
      <c r="R24" s="44"/>
      <c r="S24" s="44"/>
      <c r="T24" s="44"/>
    </row>
  </sheetData>
  <sheetProtection formatCells="0" formatColumns="0" formatRows="0" insertColumns="0" insertRows="0" sort="0" autoFilter="0" pivotTables="0"/>
  <dataValidations count="1">
    <dataValidation type="list" errorStyle="information" allowBlank="1" showInputMessage="1" showErrorMessage="1" error="This commodity is not listed in the Summary table." sqref="B1:BR1" xr:uid="{A3DB0696-D12B-494B-B9FE-2EBEB1F6DDBB}">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A5F11-2488-4E22-81D8-1E6A43BC2DA2}">
  <dimension ref="A1:AC29"/>
  <sheetViews>
    <sheetView zoomScaleNormal="100" workbookViewId="0">
      <pane xSplit="1" ySplit="1" topLeftCell="B8" activePane="bottomRight" state="frozen"/>
      <selection pane="topRight" activeCell="B1" sqref="B1"/>
      <selection pane="bottomLeft" activeCell="A2" sqref="A2"/>
      <selection pane="bottomRight" activeCell="G23" sqref="G23"/>
    </sheetView>
  </sheetViews>
  <sheetFormatPr defaultColWidth="16.28515625" defaultRowHeight="15" x14ac:dyDescent="0.25"/>
  <cols>
    <col min="1" max="1" width="20.140625" style="210" bestFit="1" customWidth="1"/>
  </cols>
  <sheetData>
    <row r="1" spans="1:29" s="233" customFormat="1" ht="45" x14ac:dyDescent="0.25">
      <c r="A1" s="233" t="s">
        <v>667</v>
      </c>
      <c r="B1" s="233" t="s">
        <v>62</v>
      </c>
      <c r="C1" s="233" t="s">
        <v>40</v>
      </c>
      <c r="D1" s="233" t="s">
        <v>55</v>
      </c>
      <c r="E1" s="233" t="s">
        <v>98</v>
      </c>
      <c r="F1" s="233" t="s">
        <v>53</v>
      </c>
      <c r="G1" s="233" t="s">
        <v>661</v>
      </c>
      <c r="H1" s="233" t="s">
        <v>28</v>
      </c>
      <c r="I1" s="233" t="s">
        <v>89</v>
      </c>
      <c r="J1" s="233" t="s">
        <v>662</v>
      </c>
      <c r="K1" s="233" t="s">
        <v>663</v>
      </c>
      <c r="L1" s="233" t="s">
        <v>450</v>
      </c>
      <c r="M1" s="233" t="s">
        <v>102</v>
      </c>
      <c r="N1" s="233" t="s">
        <v>48</v>
      </c>
      <c r="O1" s="233" t="s">
        <v>34</v>
      </c>
      <c r="P1" s="233" t="s">
        <v>63</v>
      </c>
      <c r="Q1" s="233" t="s">
        <v>105</v>
      </c>
      <c r="R1" s="233" t="s">
        <v>106</v>
      </c>
      <c r="S1" s="233" t="s">
        <v>75</v>
      </c>
      <c r="T1" s="233" t="s">
        <v>101</v>
      </c>
      <c r="U1" s="233" t="s">
        <v>66</v>
      </c>
      <c r="V1" s="233" t="s">
        <v>330</v>
      </c>
      <c r="W1" s="233" t="s">
        <v>331</v>
      </c>
      <c r="X1" s="233" t="s">
        <v>332</v>
      </c>
      <c r="Y1" s="233" t="s">
        <v>333</v>
      </c>
      <c r="Z1" s="233" t="s">
        <v>664</v>
      </c>
      <c r="AA1" s="233" t="s">
        <v>665</v>
      </c>
      <c r="AB1" s="233" t="s">
        <v>113</v>
      </c>
      <c r="AC1" s="233" t="s">
        <v>112</v>
      </c>
    </row>
    <row r="2" spans="1:29" x14ac:dyDescent="0.25">
      <c r="A2" s="210">
        <v>1816</v>
      </c>
      <c r="B2" s="18">
        <v>60947</v>
      </c>
      <c r="C2" s="18">
        <v>1275925</v>
      </c>
      <c r="D2" s="18">
        <v>16643</v>
      </c>
      <c r="E2" s="18">
        <v>2670580</v>
      </c>
      <c r="F2" s="18">
        <v>36135</v>
      </c>
      <c r="G2" s="18">
        <v>3491</v>
      </c>
      <c r="H2" s="18">
        <v>0</v>
      </c>
      <c r="I2" s="18">
        <v>0</v>
      </c>
      <c r="J2" s="18">
        <v>60670</v>
      </c>
      <c r="K2" s="18">
        <v>48348</v>
      </c>
      <c r="L2" s="18">
        <v>0</v>
      </c>
      <c r="M2" s="18">
        <v>0</v>
      </c>
      <c r="N2" s="18">
        <v>0</v>
      </c>
      <c r="O2" s="18">
        <v>0</v>
      </c>
      <c r="P2" s="18">
        <v>0</v>
      </c>
      <c r="Q2" s="18">
        <v>6250629</v>
      </c>
      <c r="R2" s="18">
        <v>3125314</v>
      </c>
      <c r="S2" s="18">
        <v>9192775</v>
      </c>
      <c r="T2" s="18">
        <v>10071830</v>
      </c>
      <c r="U2" s="18">
        <v>0</v>
      </c>
      <c r="V2" s="18">
        <v>2035</v>
      </c>
      <c r="W2" s="18">
        <v>6211</v>
      </c>
      <c r="X2" s="18">
        <v>501</v>
      </c>
      <c r="Y2" s="18">
        <v>5675</v>
      </c>
      <c r="Z2" s="18"/>
      <c r="AA2" s="18">
        <v>0</v>
      </c>
      <c r="AB2" s="18"/>
      <c r="AC2" s="18"/>
    </row>
    <row r="3" spans="1:29" x14ac:dyDescent="0.25">
      <c r="A3" s="210">
        <v>1817</v>
      </c>
      <c r="B3" s="18">
        <v>61802</v>
      </c>
      <c r="C3" s="18">
        <v>798908</v>
      </c>
      <c r="D3" s="18">
        <v>8926</v>
      </c>
      <c r="E3" s="18">
        <v>2361080</v>
      </c>
      <c r="F3" s="18">
        <v>25524</v>
      </c>
      <c r="G3" s="18">
        <v>903</v>
      </c>
      <c r="H3" s="18">
        <v>0</v>
      </c>
      <c r="I3" s="18">
        <v>0</v>
      </c>
      <c r="J3" s="18">
        <v>67153</v>
      </c>
      <c r="K3" s="18">
        <v>51668</v>
      </c>
      <c r="L3" s="18">
        <v>0</v>
      </c>
      <c r="M3" s="18">
        <v>0</v>
      </c>
      <c r="N3" s="18">
        <v>0</v>
      </c>
      <c r="O3" s="18">
        <v>0</v>
      </c>
      <c r="P3" s="18">
        <v>0</v>
      </c>
      <c r="Q3" s="18">
        <v>3575210</v>
      </c>
      <c r="R3" s="18">
        <v>1787619</v>
      </c>
      <c r="S3" s="18">
        <v>12118211</v>
      </c>
      <c r="T3" s="18">
        <v>15018392</v>
      </c>
      <c r="U3" s="18">
        <v>0</v>
      </c>
      <c r="V3" s="18">
        <v>1181</v>
      </c>
      <c r="W3" s="18">
        <v>2871</v>
      </c>
      <c r="X3" s="18">
        <v>263</v>
      </c>
      <c r="Y3" s="18">
        <v>3895</v>
      </c>
      <c r="Z3" s="18"/>
      <c r="AA3" s="18"/>
      <c r="AB3" s="18"/>
      <c r="AC3" s="18"/>
    </row>
    <row r="4" spans="1:29" x14ac:dyDescent="0.25">
      <c r="A4" s="210">
        <v>1818</v>
      </c>
      <c r="B4" s="18">
        <v>50856</v>
      </c>
      <c r="C4" s="18">
        <v>875957</v>
      </c>
      <c r="D4" s="18">
        <v>10258</v>
      </c>
      <c r="E4" s="18">
        <v>1619050</v>
      </c>
      <c r="F4" s="18">
        <v>32095</v>
      </c>
      <c r="G4" s="18">
        <v>1462</v>
      </c>
      <c r="H4" s="18">
        <v>0</v>
      </c>
      <c r="I4" s="18">
        <v>0</v>
      </c>
      <c r="J4" s="18">
        <v>73413</v>
      </c>
      <c r="K4" s="18">
        <v>60881</v>
      </c>
      <c r="L4" s="18">
        <v>0</v>
      </c>
      <c r="M4" s="18">
        <v>0</v>
      </c>
      <c r="N4" s="18">
        <v>0</v>
      </c>
      <c r="O4" s="18">
        <v>0</v>
      </c>
      <c r="P4" s="18">
        <v>0</v>
      </c>
      <c r="Q4" s="18">
        <v>2918088</v>
      </c>
      <c r="R4" s="18">
        <v>1171011</v>
      </c>
      <c r="S4" s="18">
        <v>7523611</v>
      </c>
      <c r="T4" s="18">
        <v>10329918</v>
      </c>
      <c r="U4" s="18">
        <v>0</v>
      </c>
      <c r="V4" s="18">
        <v>1213</v>
      </c>
      <c r="W4" s="18">
        <v>3843</v>
      </c>
      <c r="X4" s="18">
        <v>802</v>
      </c>
      <c r="Y4" s="18">
        <v>2696</v>
      </c>
      <c r="Z4" s="18"/>
      <c r="AA4" s="18"/>
      <c r="AB4" s="18"/>
      <c r="AC4" s="18"/>
    </row>
    <row r="5" spans="1:29" x14ac:dyDescent="0.25">
      <c r="A5" s="210">
        <v>1819</v>
      </c>
      <c r="B5" s="18">
        <v>62932</v>
      </c>
      <c r="C5" s="18">
        <v>899368</v>
      </c>
      <c r="D5" s="18">
        <v>12680</v>
      </c>
      <c r="E5" s="18">
        <v>2609130</v>
      </c>
      <c r="F5" s="18">
        <v>26760</v>
      </c>
      <c r="G5" s="18">
        <v>5722</v>
      </c>
      <c r="H5" s="18">
        <v>0</v>
      </c>
      <c r="I5" s="18">
        <v>0</v>
      </c>
      <c r="J5" s="18">
        <v>84510</v>
      </c>
      <c r="K5" s="18">
        <v>63586</v>
      </c>
      <c r="L5" s="18">
        <v>0</v>
      </c>
      <c r="M5" s="18">
        <v>0</v>
      </c>
      <c r="N5" s="18">
        <v>0</v>
      </c>
      <c r="O5" s="18">
        <v>0</v>
      </c>
      <c r="P5" s="18">
        <v>0</v>
      </c>
      <c r="Q5" s="18">
        <v>3088998</v>
      </c>
      <c r="R5" s="18">
        <v>1940199</v>
      </c>
      <c r="S5" s="18">
        <v>7318635</v>
      </c>
      <c r="T5" s="18">
        <v>8895711</v>
      </c>
      <c r="U5" s="18">
        <v>0</v>
      </c>
      <c r="V5" s="18">
        <v>1672</v>
      </c>
      <c r="W5" s="18">
        <v>32802</v>
      </c>
      <c r="X5" s="18">
        <v>1025</v>
      </c>
      <c r="Y5" s="18">
        <v>1525</v>
      </c>
      <c r="Z5" s="18"/>
      <c r="AA5" s="18"/>
      <c r="AB5" s="18"/>
      <c r="AC5" s="18"/>
    </row>
    <row r="6" spans="1:29" x14ac:dyDescent="0.25">
      <c r="A6" s="210">
        <v>1820</v>
      </c>
      <c r="B6" s="18">
        <v>69420</v>
      </c>
      <c r="C6" s="18">
        <v>888616</v>
      </c>
      <c r="D6" s="18">
        <v>8717</v>
      </c>
      <c r="E6" s="18">
        <v>2728680</v>
      </c>
      <c r="F6" s="18">
        <v>31314</v>
      </c>
      <c r="G6" s="18">
        <v>8867</v>
      </c>
      <c r="H6" s="18">
        <v>0</v>
      </c>
      <c r="I6" s="18">
        <v>0</v>
      </c>
      <c r="J6" s="18">
        <v>84376</v>
      </c>
      <c r="K6" s="18">
        <v>58987</v>
      </c>
      <c r="L6" s="18">
        <v>0</v>
      </c>
      <c r="M6" s="18">
        <v>0</v>
      </c>
      <c r="N6" s="18">
        <v>0</v>
      </c>
      <c r="O6" s="18">
        <v>0</v>
      </c>
      <c r="P6" s="18">
        <v>0</v>
      </c>
      <c r="Q6" s="18">
        <v>5699853</v>
      </c>
      <c r="R6" s="18">
        <v>2519855</v>
      </c>
      <c r="S6" s="18">
        <v>9112506</v>
      </c>
      <c r="T6" s="18">
        <v>11360313</v>
      </c>
      <c r="U6" s="18">
        <v>0</v>
      </c>
      <c r="V6" s="18">
        <v>1563</v>
      </c>
      <c r="W6" s="18">
        <v>2420</v>
      </c>
      <c r="X6" s="18">
        <v>777</v>
      </c>
      <c r="Y6" s="18">
        <v>1303</v>
      </c>
      <c r="Z6" s="18"/>
      <c r="AA6" s="18"/>
      <c r="AB6" s="18"/>
      <c r="AC6" s="18"/>
    </row>
    <row r="7" spans="1:29" x14ac:dyDescent="0.25">
      <c r="A7" s="210">
        <v>1821</v>
      </c>
      <c r="B7" s="18">
        <v>74378</v>
      </c>
      <c r="C7" s="18">
        <v>450529</v>
      </c>
      <c r="D7" s="18">
        <v>9010</v>
      </c>
      <c r="E7" s="18">
        <v>1524720</v>
      </c>
      <c r="F7" s="18">
        <v>31987</v>
      </c>
      <c r="G7" s="18">
        <v>2176</v>
      </c>
      <c r="H7" s="18">
        <v>0</v>
      </c>
      <c r="I7" s="18">
        <v>0</v>
      </c>
      <c r="J7" s="18">
        <v>75479</v>
      </c>
      <c r="K7" s="18">
        <v>58136</v>
      </c>
      <c r="L7" s="18">
        <v>0</v>
      </c>
      <c r="M7" s="18">
        <v>0</v>
      </c>
      <c r="N7" s="18">
        <v>0</v>
      </c>
      <c r="O7" s="18">
        <v>0</v>
      </c>
      <c r="P7" s="18">
        <v>0</v>
      </c>
      <c r="Q7" s="18">
        <v>4456031</v>
      </c>
      <c r="R7" s="18">
        <v>2228608</v>
      </c>
      <c r="S7" s="18">
        <v>8541753</v>
      </c>
      <c r="T7" s="18">
        <v>9920739</v>
      </c>
      <c r="U7" s="18">
        <v>0</v>
      </c>
      <c r="V7" s="18">
        <v>1629</v>
      </c>
      <c r="W7" s="18">
        <v>2143</v>
      </c>
      <c r="X7" s="18">
        <v>691</v>
      </c>
      <c r="Y7" s="18">
        <v>1963</v>
      </c>
      <c r="Z7" s="18"/>
      <c r="AA7" s="18"/>
      <c r="AB7" s="18"/>
      <c r="AC7" s="18"/>
    </row>
    <row r="8" spans="1:29" x14ac:dyDescent="0.25">
      <c r="A8" s="210">
        <v>1822</v>
      </c>
      <c r="B8" s="18">
        <v>70035</v>
      </c>
      <c r="C8" s="18">
        <v>805167</v>
      </c>
      <c r="D8" s="18">
        <v>14063</v>
      </c>
      <c r="E8" s="18">
        <v>3928340</v>
      </c>
      <c r="F8" s="18">
        <v>28173</v>
      </c>
      <c r="G8" s="18">
        <v>2688</v>
      </c>
      <c r="H8" s="18">
        <v>0</v>
      </c>
      <c r="I8" s="18">
        <v>0</v>
      </c>
      <c r="J8" s="18">
        <v>90392</v>
      </c>
      <c r="K8" s="18">
        <v>52818</v>
      </c>
      <c r="L8" s="18">
        <v>0</v>
      </c>
      <c r="M8" s="18">
        <v>0</v>
      </c>
      <c r="N8" s="18">
        <v>0</v>
      </c>
      <c r="O8" s="18">
        <v>0</v>
      </c>
      <c r="P8" s="18">
        <v>0</v>
      </c>
      <c r="Q8" s="18">
        <v>2288132</v>
      </c>
      <c r="R8" s="18">
        <v>1111066</v>
      </c>
      <c r="S8" s="18">
        <v>6565138</v>
      </c>
      <c r="T8" s="18">
        <v>7671315</v>
      </c>
      <c r="U8" s="18">
        <v>0</v>
      </c>
      <c r="V8" s="18">
        <v>1679</v>
      </c>
      <c r="W8" s="18">
        <v>736</v>
      </c>
      <c r="X8" s="18">
        <v>276</v>
      </c>
      <c r="Y8" s="18">
        <v>891</v>
      </c>
      <c r="Z8" s="18"/>
      <c r="AA8" s="18"/>
      <c r="AB8" s="18"/>
      <c r="AC8" s="18"/>
    </row>
    <row r="9" spans="1:29" x14ac:dyDescent="0.25">
      <c r="A9" s="210">
        <v>1823</v>
      </c>
      <c r="B9" s="18">
        <v>55182</v>
      </c>
      <c r="C9" s="18">
        <v>920786</v>
      </c>
      <c r="D9" s="18">
        <v>8710</v>
      </c>
      <c r="E9" s="18">
        <v>1297130</v>
      </c>
      <c r="F9" s="18">
        <v>51582</v>
      </c>
      <c r="G9" s="18">
        <v>7969</v>
      </c>
      <c r="H9" s="18">
        <v>0</v>
      </c>
      <c r="I9" s="18">
        <v>0</v>
      </c>
      <c r="J9" s="18">
        <v>79271</v>
      </c>
      <c r="K9" s="18">
        <v>55879</v>
      </c>
      <c r="L9" s="18">
        <v>0</v>
      </c>
      <c r="M9" s="18">
        <v>0</v>
      </c>
      <c r="N9" s="18">
        <v>0</v>
      </c>
      <c r="O9" s="18">
        <v>0</v>
      </c>
      <c r="P9" s="18">
        <v>0</v>
      </c>
      <c r="Q9" s="18">
        <v>2115651</v>
      </c>
      <c r="R9" s="18">
        <v>1072826</v>
      </c>
      <c r="S9" s="18">
        <v>7011249</v>
      </c>
      <c r="T9" s="18">
        <v>8363115</v>
      </c>
      <c r="U9" s="18">
        <v>0</v>
      </c>
      <c r="V9" s="18">
        <v>413</v>
      </c>
      <c r="W9" s="18">
        <v>179</v>
      </c>
      <c r="X9" s="18">
        <v>177</v>
      </c>
      <c r="Y9" s="18">
        <v>172</v>
      </c>
      <c r="Z9" s="18"/>
      <c r="AA9" s="18"/>
      <c r="AB9" s="18"/>
      <c r="AC9" s="18"/>
    </row>
    <row r="10" spans="1:29" x14ac:dyDescent="0.25">
      <c r="A10" s="210">
        <v>1824</v>
      </c>
      <c r="B10" s="18">
        <v>70063</v>
      </c>
      <c r="C10" s="18">
        <v>916664</v>
      </c>
      <c r="D10" s="18">
        <v>16994</v>
      </c>
      <c r="E10" s="18">
        <v>3126110</v>
      </c>
      <c r="F10" s="18">
        <v>54218</v>
      </c>
      <c r="G10" s="18">
        <v>9557</v>
      </c>
      <c r="H10" s="18">
        <v>0</v>
      </c>
      <c r="I10" s="18">
        <v>0</v>
      </c>
      <c r="J10" s="18">
        <v>82279</v>
      </c>
      <c r="K10" s="18">
        <v>77057</v>
      </c>
      <c r="L10" s="18">
        <v>0</v>
      </c>
      <c r="M10" s="18">
        <v>0</v>
      </c>
      <c r="N10" s="18">
        <v>0</v>
      </c>
      <c r="O10" s="18">
        <v>0</v>
      </c>
      <c r="P10" s="18">
        <v>0</v>
      </c>
      <c r="Q10" s="18">
        <v>3950936</v>
      </c>
      <c r="R10" s="18">
        <v>1975471</v>
      </c>
      <c r="S10" s="18">
        <v>2711659</v>
      </c>
      <c r="T10" s="18">
        <v>7977680</v>
      </c>
      <c r="U10" s="18">
        <v>0</v>
      </c>
      <c r="V10" s="18">
        <v>404</v>
      </c>
      <c r="W10" s="18">
        <v>197</v>
      </c>
      <c r="X10" s="18">
        <v>361</v>
      </c>
      <c r="Y10" s="18">
        <v>37</v>
      </c>
      <c r="Z10" s="18"/>
      <c r="AA10" s="18"/>
      <c r="AB10" s="18"/>
      <c r="AC10" s="18"/>
    </row>
    <row r="11" spans="1:29" x14ac:dyDescent="0.25">
      <c r="A11" s="210">
        <v>1825</v>
      </c>
      <c r="B11" s="18">
        <v>65940</v>
      </c>
      <c r="C11" s="18">
        <v>827940</v>
      </c>
      <c r="D11" s="18">
        <v>20760</v>
      </c>
      <c r="E11" s="18">
        <v>2237830</v>
      </c>
      <c r="F11" s="18">
        <v>69832</v>
      </c>
      <c r="G11" s="18">
        <v>7129</v>
      </c>
      <c r="H11" s="18">
        <v>0</v>
      </c>
      <c r="I11" s="18">
        <v>0</v>
      </c>
      <c r="J11" s="18">
        <v>77753</v>
      </c>
      <c r="K11" s="18">
        <v>63138</v>
      </c>
      <c r="L11" s="18">
        <v>0</v>
      </c>
      <c r="M11" s="18">
        <v>0</v>
      </c>
      <c r="N11" s="18">
        <v>0</v>
      </c>
      <c r="O11" s="18">
        <v>0</v>
      </c>
      <c r="P11" s="18">
        <v>0</v>
      </c>
      <c r="Q11" s="18">
        <v>2986087</v>
      </c>
      <c r="R11" s="18">
        <v>1181041</v>
      </c>
      <c r="S11" s="18">
        <v>5488075</v>
      </c>
      <c r="T11" s="18">
        <v>5623219</v>
      </c>
      <c r="U11" s="18">
        <v>0</v>
      </c>
      <c r="V11" s="18">
        <v>420</v>
      </c>
      <c r="W11" s="18">
        <v>204</v>
      </c>
      <c r="X11" s="18">
        <v>86</v>
      </c>
      <c r="Y11" s="18">
        <v>20</v>
      </c>
      <c r="Z11" s="18"/>
      <c r="AA11" s="18"/>
      <c r="AB11" s="18"/>
      <c r="AC11" s="18"/>
    </row>
    <row r="12" spans="1:29" x14ac:dyDescent="0.25">
      <c r="A12" s="210">
        <v>1826</v>
      </c>
      <c r="B12" s="18">
        <v>60405</v>
      </c>
      <c r="C12" s="18">
        <v>903182</v>
      </c>
      <c r="D12" s="18">
        <v>10095</v>
      </c>
      <c r="E12" s="18">
        <v>1683813</v>
      </c>
      <c r="F12" s="18">
        <v>12517</v>
      </c>
      <c r="G12" s="18">
        <v>0</v>
      </c>
      <c r="H12" s="18">
        <v>0</v>
      </c>
      <c r="I12" s="18">
        <v>0</v>
      </c>
      <c r="J12" s="18">
        <v>83265</v>
      </c>
      <c r="K12" s="18">
        <v>65383</v>
      </c>
      <c r="L12" s="18">
        <v>0</v>
      </c>
      <c r="M12" s="18">
        <v>0</v>
      </c>
      <c r="N12" s="18">
        <v>0</v>
      </c>
      <c r="O12" s="18">
        <v>0</v>
      </c>
      <c r="P12" s="18">
        <v>0</v>
      </c>
      <c r="Q12" s="18">
        <v>3103627</v>
      </c>
      <c r="R12" s="18">
        <v>1701806</v>
      </c>
      <c r="S12" s="18">
        <v>4660205</v>
      </c>
      <c r="T12" s="18">
        <v>9118659</v>
      </c>
      <c r="U12" s="18">
        <v>111980</v>
      </c>
      <c r="V12" s="18">
        <v>635</v>
      </c>
      <c r="W12" s="18">
        <v>258</v>
      </c>
      <c r="X12" s="18">
        <v>61</v>
      </c>
      <c r="Y12" s="18">
        <v>116</v>
      </c>
      <c r="Z12" s="18"/>
      <c r="AA12" s="18"/>
      <c r="AB12" s="18"/>
      <c r="AC12" s="18"/>
    </row>
    <row r="13" spans="1:29" s="151" customFormat="1" x14ac:dyDescent="0.25">
      <c r="A13" s="236">
        <v>1827</v>
      </c>
      <c r="B13" s="235">
        <v>63229</v>
      </c>
      <c r="C13" s="235">
        <v>830193</v>
      </c>
      <c r="D13" s="235">
        <v>8985</v>
      </c>
      <c r="E13" s="235">
        <v>1221034</v>
      </c>
      <c r="F13" s="235">
        <v>39531</v>
      </c>
      <c r="G13" s="235">
        <v>0</v>
      </c>
      <c r="H13" s="235">
        <v>0</v>
      </c>
      <c r="I13" s="235">
        <v>0</v>
      </c>
      <c r="J13" s="235">
        <v>87213</v>
      </c>
      <c r="K13" s="235">
        <v>66766</v>
      </c>
      <c r="L13" s="235">
        <v>0</v>
      </c>
      <c r="M13" s="235">
        <v>0</v>
      </c>
      <c r="N13" s="235">
        <v>0</v>
      </c>
      <c r="O13" s="235">
        <v>0</v>
      </c>
      <c r="P13" s="235">
        <v>0</v>
      </c>
      <c r="Q13" s="235">
        <v>3629602</v>
      </c>
      <c r="R13" s="235">
        <v>1807100</v>
      </c>
      <c r="S13" s="235">
        <v>8630145</v>
      </c>
      <c r="T13" s="235">
        <v>6578604</v>
      </c>
      <c r="U13" s="235">
        <v>115010</v>
      </c>
      <c r="V13" s="235">
        <v>386</v>
      </c>
      <c r="W13" s="235">
        <v>315</v>
      </c>
      <c r="X13" s="235">
        <v>48</v>
      </c>
      <c r="Y13" s="235">
        <v>54</v>
      </c>
      <c r="Z13" s="235"/>
      <c r="AA13" s="235"/>
      <c r="AB13" s="235"/>
      <c r="AC13" s="235"/>
    </row>
    <row r="14" spans="1:29" x14ac:dyDescent="0.25">
      <c r="A14" s="210">
        <v>1828</v>
      </c>
      <c r="B14" s="18">
        <v>58166.5</v>
      </c>
      <c r="C14" s="18">
        <v>660187</v>
      </c>
      <c r="D14" s="18">
        <v>14874</v>
      </c>
      <c r="E14" s="18">
        <v>1809356</v>
      </c>
      <c r="F14" s="18">
        <v>41276</v>
      </c>
      <c r="G14" s="18">
        <v>0</v>
      </c>
      <c r="H14" s="18">
        <v>0</v>
      </c>
      <c r="I14" s="18">
        <v>0</v>
      </c>
      <c r="J14" s="18">
        <v>91473</v>
      </c>
      <c r="K14" s="18">
        <v>384874</v>
      </c>
      <c r="L14" s="18">
        <v>0</v>
      </c>
      <c r="M14" s="18">
        <v>0</v>
      </c>
      <c r="N14" s="18">
        <v>0</v>
      </c>
      <c r="O14" s="18">
        <v>0</v>
      </c>
      <c r="P14" s="18">
        <v>0</v>
      </c>
      <c r="Q14" s="18">
        <v>3963372</v>
      </c>
      <c r="R14" s="18">
        <v>1981686</v>
      </c>
      <c r="S14" s="18">
        <v>1177207</v>
      </c>
      <c r="T14" s="18">
        <v>552131</v>
      </c>
      <c r="U14" s="18">
        <v>101091</v>
      </c>
      <c r="V14" s="18">
        <v>787</v>
      </c>
      <c r="W14" s="18">
        <v>443</v>
      </c>
      <c r="X14" s="18">
        <v>8</v>
      </c>
      <c r="Y14" s="18">
        <v>107</v>
      </c>
      <c r="Z14" s="18"/>
      <c r="AA14" s="18"/>
      <c r="AB14" s="18"/>
      <c r="AC14" s="18"/>
    </row>
    <row r="15" spans="1:29" x14ac:dyDescent="0.25">
      <c r="A15" s="210">
        <v>1829</v>
      </c>
      <c r="B15" s="18">
        <v>37691.5</v>
      </c>
      <c r="C15" s="18">
        <v>112973</v>
      </c>
      <c r="D15" s="18">
        <v>10264</v>
      </c>
      <c r="E15" s="18">
        <v>745999</v>
      </c>
      <c r="F15" s="18">
        <v>22596</v>
      </c>
      <c r="G15" s="18">
        <v>0</v>
      </c>
      <c r="H15" s="18">
        <v>0</v>
      </c>
      <c r="I15" s="18">
        <v>0</v>
      </c>
      <c r="J15" s="18">
        <v>71631</v>
      </c>
      <c r="K15" s="18">
        <v>1155329</v>
      </c>
      <c r="L15" s="18">
        <v>0</v>
      </c>
      <c r="M15" s="18">
        <v>0</v>
      </c>
      <c r="N15" s="18">
        <v>0</v>
      </c>
      <c r="O15" s="18">
        <v>0</v>
      </c>
      <c r="P15" s="18">
        <v>0</v>
      </c>
      <c r="Q15" s="18">
        <v>4011878</v>
      </c>
      <c r="R15" s="18">
        <v>2003938</v>
      </c>
      <c r="S15" s="18">
        <v>5832548</v>
      </c>
      <c r="T15" s="18">
        <v>6623969</v>
      </c>
      <c r="U15" s="18">
        <v>119432</v>
      </c>
      <c r="V15" s="18">
        <v>1326</v>
      </c>
      <c r="W15" s="18">
        <v>1519</v>
      </c>
      <c r="X15" s="18">
        <v>347</v>
      </c>
      <c r="Y15" s="18">
        <v>1090</v>
      </c>
      <c r="Z15" s="18"/>
      <c r="AA15" s="18"/>
      <c r="AB15" s="18"/>
      <c r="AC15" s="18"/>
    </row>
    <row r="16" spans="1:29" x14ac:dyDescent="0.25">
      <c r="A16" s="210">
        <v>1834</v>
      </c>
      <c r="B16" s="18">
        <v>53998.5</v>
      </c>
      <c r="C16" s="18">
        <v>969712</v>
      </c>
      <c r="D16" s="18">
        <v>13132</v>
      </c>
      <c r="E16" s="18">
        <v>2342980</v>
      </c>
      <c r="F16" s="18">
        <v>17231.5</v>
      </c>
      <c r="G16" s="18">
        <v>0</v>
      </c>
      <c r="H16" s="18">
        <v>3904.5</v>
      </c>
      <c r="I16" s="18">
        <v>15665</v>
      </c>
      <c r="J16" s="18">
        <v>69734</v>
      </c>
      <c r="K16" s="18">
        <v>68352</v>
      </c>
      <c r="L16" s="18">
        <v>13717.5</v>
      </c>
      <c r="M16" s="18">
        <v>18866</v>
      </c>
      <c r="N16" s="18">
        <v>17178.5</v>
      </c>
      <c r="O16" s="18">
        <v>26946</v>
      </c>
      <c r="P16" s="18">
        <v>2091</v>
      </c>
      <c r="Q16" s="18">
        <v>2908532</v>
      </c>
      <c r="R16" s="18">
        <v>1212171</v>
      </c>
      <c r="S16" s="18">
        <v>5989691</v>
      </c>
      <c r="T16" s="18">
        <v>8690801</v>
      </c>
      <c r="U16" s="18">
        <v>906739</v>
      </c>
      <c r="V16" s="18">
        <v>997</v>
      </c>
      <c r="W16" s="18">
        <v>277</v>
      </c>
      <c r="X16" s="18">
        <v>470</v>
      </c>
      <c r="Y16" s="18">
        <v>255</v>
      </c>
      <c r="Z16" s="18"/>
      <c r="AA16" s="18"/>
      <c r="AB16" s="18"/>
      <c r="AC16" s="18"/>
    </row>
    <row r="17" spans="1:29" x14ac:dyDescent="0.25">
      <c r="A17" s="210">
        <v>1835</v>
      </c>
      <c r="B17" s="18">
        <v>80547.5</v>
      </c>
      <c r="C17" s="18"/>
      <c r="D17" s="18">
        <v>7934</v>
      </c>
      <c r="E17" s="18">
        <v>1349816</v>
      </c>
      <c r="F17" s="18">
        <v>25923</v>
      </c>
      <c r="G17" s="18">
        <v>0</v>
      </c>
      <c r="H17" s="18">
        <v>2672.25</v>
      </c>
      <c r="I17" s="18">
        <v>8212</v>
      </c>
      <c r="J17" s="18">
        <v>70413</v>
      </c>
      <c r="K17" s="18">
        <v>65628</v>
      </c>
      <c r="L17" s="18">
        <v>12354</v>
      </c>
      <c r="M17" s="18">
        <v>23213.5</v>
      </c>
      <c r="N17" s="18">
        <v>9134</v>
      </c>
      <c r="O17" s="18">
        <v>41945</v>
      </c>
      <c r="P17" s="18">
        <v>5950.5</v>
      </c>
      <c r="Q17" s="18">
        <v>2367111</v>
      </c>
      <c r="R17" s="18">
        <v>1370521</v>
      </c>
      <c r="S17" s="18">
        <v>6248776</v>
      </c>
      <c r="T17" s="18">
        <v>5469194</v>
      </c>
      <c r="U17" s="18">
        <v>685423</v>
      </c>
      <c r="V17" s="18">
        <v>663</v>
      </c>
      <c r="W17" s="18">
        <v>57</v>
      </c>
      <c r="X17" s="18">
        <v>328</v>
      </c>
      <c r="Y17" s="18">
        <v>46</v>
      </c>
      <c r="Z17" s="18"/>
      <c r="AA17" s="18"/>
      <c r="AB17" s="18"/>
      <c r="AC17" s="18"/>
    </row>
    <row r="18" spans="1:29" x14ac:dyDescent="0.25">
      <c r="A18" s="210">
        <v>1836</v>
      </c>
      <c r="B18" s="18">
        <v>56351</v>
      </c>
      <c r="C18" s="18">
        <v>427669</v>
      </c>
      <c r="D18" s="18">
        <v>6884</v>
      </c>
      <c r="E18" s="18">
        <v>1628264</v>
      </c>
      <c r="F18" s="18">
        <v>41016</v>
      </c>
      <c r="G18" s="18">
        <v>0</v>
      </c>
      <c r="H18" s="18">
        <v>5100.5</v>
      </c>
      <c r="I18" s="18">
        <v>3380.5</v>
      </c>
      <c r="J18" s="18">
        <v>46386</v>
      </c>
      <c r="K18" s="18">
        <v>50365</v>
      </c>
      <c r="L18" s="18">
        <v>23338.5</v>
      </c>
      <c r="M18" s="18">
        <v>23376</v>
      </c>
      <c r="N18" s="18">
        <v>18130</v>
      </c>
      <c r="O18" s="18">
        <v>52421</v>
      </c>
      <c r="P18" s="18">
        <v>20915</v>
      </c>
      <c r="Q18" s="18">
        <v>2688233</v>
      </c>
      <c r="R18" s="18">
        <v>1058453</v>
      </c>
      <c r="S18" s="18">
        <v>6701217</v>
      </c>
      <c r="T18" s="18">
        <v>6861241</v>
      </c>
      <c r="U18" s="18">
        <v>351814</v>
      </c>
      <c r="V18" s="18">
        <v>1733</v>
      </c>
      <c r="W18" s="18">
        <v>206</v>
      </c>
      <c r="X18" s="18">
        <v>124</v>
      </c>
      <c r="Y18" s="18">
        <v>144</v>
      </c>
      <c r="Z18" s="18"/>
      <c r="AA18" s="18"/>
      <c r="AB18" s="18"/>
      <c r="AC18" s="18"/>
    </row>
    <row r="19" spans="1:29" x14ac:dyDescent="0.25">
      <c r="A19" s="210">
        <v>1837</v>
      </c>
      <c r="B19" s="18">
        <v>76573</v>
      </c>
      <c r="C19" s="18">
        <v>821066</v>
      </c>
      <c r="D19" s="18">
        <v>11015</v>
      </c>
      <c r="E19" s="18">
        <v>2029582</v>
      </c>
      <c r="F19" s="18">
        <v>50736</v>
      </c>
      <c r="G19" s="18">
        <v>0</v>
      </c>
      <c r="H19" s="18">
        <v>2690</v>
      </c>
      <c r="I19" s="18">
        <v>8646</v>
      </c>
      <c r="J19" s="18">
        <v>43102</v>
      </c>
      <c r="K19" s="18">
        <v>86719</v>
      </c>
      <c r="L19" s="18">
        <v>11053</v>
      </c>
      <c r="M19" s="18">
        <v>20591</v>
      </c>
      <c r="N19" s="18">
        <v>15441</v>
      </c>
      <c r="O19" s="18">
        <v>32421</v>
      </c>
      <c r="P19" s="18">
        <v>46211</v>
      </c>
      <c r="Q19" s="18">
        <v>2405020</v>
      </c>
      <c r="R19" s="18">
        <v>1606239</v>
      </c>
      <c r="S19" s="18">
        <v>9239118</v>
      </c>
      <c r="T19" s="18">
        <v>11817410</v>
      </c>
      <c r="U19" s="18">
        <v>670300</v>
      </c>
      <c r="V19" s="18">
        <v>3004</v>
      </c>
      <c r="W19" s="18">
        <v>1320</v>
      </c>
      <c r="X19" s="18">
        <v>533</v>
      </c>
      <c r="Y19" s="18">
        <v>886</v>
      </c>
      <c r="Z19" s="18"/>
      <c r="AA19" s="18"/>
      <c r="AB19" s="18"/>
      <c r="AC19" s="18"/>
    </row>
    <row r="20" spans="1:29" x14ac:dyDescent="0.25">
      <c r="A20" s="210">
        <v>1838</v>
      </c>
      <c r="B20" s="18">
        <v>69111</v>
      </c>
      <c r="C20" s="18">
        <v>780611</v>
      </c>
      <c r="D20" s="18">
        <v>11569</v>
      </c>
      <c r="E20" s="18">
        <v>2918132</v>
      </c>
      <c r="F20" s="18">
        <v>33011</v>
      </c>
      <c r="G20" s="18">
        <v>0</v>
      </c>
      <c r="H20" s="18">
        <v>2671</v>
      </c>
      <c r="I20" s="18">
        <v>9299</v>
      </c>
      <c r="J20" s="18">
        <v>42209</v>
      </c>
      <c r="K20" s="18">
        <v>89835</v>
      </c>
      <c r="L20" s="18">
        <v>17997</v>
      </c>
      <c r="M20" s="18">
        <v>11350</v>
      </c>
      <c r="N20" s="18">
        <v>8812</v>
      </c>
      <c r="O20" s="18">
        <v>28654</v>
      </c>
      <c r="P20" s="18">
        <v>7133</v>
      </c>
      <c r="Q20" s="18">
        <v>2017480</v>
      </c>
      <c r="R20" s="18">
        <v>1283571</v>
      </c>
      <c r="S20" s="18">
        <v>16006072</v>
      </c>
      <c r="T20" s="18">
        <v>9407611</v>
      </c>
      <c r="U20" s="18">
        <v>825631</v>
      </c>
      <c r="V20" s="18">
        <v>3190</v>
      </c>
      <c r="W20" s="18">
        <v>988</v>
      </c>
      <c r="X20" s="18">
        <v>399</v>
      </c>
      <c r="Y20" s="18">
        <v>2667</v>
      </c>
      <c r="Z20" s="18"/>
      <c r="AA20" s="18"/>
      <c r="AB20" s="18"/>
      <c r="AC20" s="18"/>
    </row>
    <row r="21" spans="1:29" x14ac:dyDescent="0.25">
      <c r="A21" s="210">
        <v>1839</v>
      </c>
      <c r="B21" s="18">
        <v>64361</v>
      </c>
      <c r="C21" s="18">
        <v>281853</v>
      </c>
      <c r="D21" s="18">
        <v>8425</v>
      </c>
      <c r="E21" s="18">
        <v>1735983</v>
      </c>
      <c r="F21" s="18">
        <v>49464</v>
      </c>
      <c r="G21" s="18">
        <v>0</v>
      </c>
      <c r="H21" s="18">
        <v>6548</v>
      </c>
      <c r="I21" s="18">
        <v>14653</v>
      </c>
      <c r="J21" s="18">
        <v>24517</v>
      </c>
      <c r="K21" s="18">
        <v>192985</v>
      </c>
      <c r="L21" s="18">
        <v>21836</v>
      </c>
      <c r="M21" s="18">
        <v>33557</v>
      </c>
      <c r="N21" s="18">
        <v>22872</v>
      </c>
      <c r="O21" s="18">
        <v>37129</v>
      </c>
      <c r="P21" s="18">
        <v>8740</v>
      </c>
      <c r="Q21" s="18">
        <v>1587500</v>
      </c>
      <c r="R21" s="18">
        <v>1107055</v>
      </c>
      <c r="S21" s="18">
        <v>8374771</v>
      </c>
      <c r="T21" s="18">
        <v>7910965</v>
      </c>
      <c r="U21" s="18">
        <v>860287</v>
      </c>
      <c r="V21" s="18">
        <v>4910</v>
      </c>
      <c r="W21" s="18">
        <v>629</v>
      </c>
      <c r="X21" s="18">
        <v>321</v>
      </c>
      <c r="Y21" s="18">
        <v>1803</v>
      </c>
      <c r="Z21" s="18"/>
      <c r="AA21" s="18"/>
      <c r="AB21" s="18"/>
      <c r="AC21" s="18"/>
    </row>
    <row r="22" spans="1:29" s="151" customFormat="1" x14ac:dyDescent="0.25">
      <c r="A22" s="236">
        <v>1840</v>
      </c>
      <c r="B22" s="235">
        <v>131581</v>
      </c>
      <c r="C22" s="235">
        <v>4620158</v>
      </c>
      <c r="D22" s="235">
        <v>101747</v>
      </c>
      <c r="E22" s="235">
        <v>8074331</v>
      </c>
      <c r="F22" s="235">
        <v>75433</v>
      </c>
      <c r="G22" s="235">
        <v>0</v>
      </c>
      <c r="H22" s="235">
        <v>3134</v>
      </c>
      <c r="I22" s="235">
        <v>21182</v>
      </c>
      <c r="J22" s="235">
        <v>28365</v>
      </c>
      <c r="K22" s="235">
        <v>130077</v>
      </c>
      <c r="L22" s="235">
        <v>21150</v>
      </c>
      <c r="M22" s="235">
        <v>38864</v>
      </c>
      <c r="N22" s="235">
        <v>13634</v>
      </c>
      <c r="O22" s="235">
        <v>64003</v>
      </c>
      <c r="P22" s="235">
        <v>5981</v>
      </c>
      <c r="Q22" s="235">
        <v>5056565</v>
      </c>
      <c r="R22" s="235">
        <v>502389</v>
      </c>
      <c r="S22" s="235">
        <v>6356325</v>
      </c>
      <c r="T22" s="235">
        <v>8331318</v>
      </c>
      <c r="U22" s="235">
        <v>1015381</v>
      </c>
      <c r="V22" s="235">
        <v>2184</v>
      </c>
      <c r="W22" s="235">
        <v>168</v>
      </c>
      <c r="X22" s="235">
        <v>255</v>
      </c>
      <c r="Y22" s="235">
        <v>151</v>
      </c>
      <c r="Z22" s="235"/>
      <c r="AA22" s="235"/>
      <c r="AB22" s="235"/>
      <c r="AC22" s="235"/>
    </row>
    <row r="23" spans="1:29" s="151" customFormat="1" x14ac:dyDescent="0.25">
      <c r="A23" s="236">
        <v>1841</v>
      </c>
      <c r="B23" s="235">
        <v>127820</v>
      </c>
      <c r="C23" s="235">
        <v>1116917</v>
      </c>
      <c r="D23" s="235">
        <v>25995</v>
      </c>
      <c r="E23" s="235">
        <v>3280167</v>
      </c>
      <c r="F23" s="235">
        <v>83718</v>
      </c>
      <c r="G23" s="235">
        <v>0</v>
      </c>
      <c r="H23" s="235">
        <v>3455</v>
      </c>
      <c r="I23" s="235">
        <v>21185</v>
      </c>
      <c r="J23" s="235">
        <v>32370</v>
      </c>
      <c r="K23" s="235">
        <v>141120</v>
      </c>
      <c r="L23" s="235">
        <v>21046</v>
      </c>
      <c r="M23" s="235">
        <v>47101</v>
      </c>
      <c r="N23" s="235">
        <v>13292</v>
      </c>
      <c r="O23" s="235">
        <v>36658</v>
      </c>
      <c r="P23" s="235">
        <v>19963</v>
      </c>
      <c r="Q23" s="235">
        <v>1064823</v>
      </c>
      <c r="R23" s="235">
        <v>509192</v>
      </c>
      <c r="S23" s="235">
        <v>10108327</v>
      </c>
      <c r="T23" s="235">
        <v>14815163</v>
      </c>
      <c r="U23" s="235">
        <v>928053</v>
      </c>
      <c r="V23" s="235">
        <v>1739</v>
      </c>
      <c r="W23" s="235">
        <v>37</v>
      </c>
      <c r="X23" s="235">
        <v>375</v>
      </c>
      <c r="Y23" s="235">
        <v>489</v>
      </c>
      <c r="Z23" s="235">
        <v>1301</v>
      </c>
      <c r="AA23" s="235">
        <v>246</v>
      </c>
      <c r="AB23" s="235">
        <v>294</v>
      </c>
      <c r="AC23" s="235">
        <v>214</v>
      </c>
    </row>
    <row r="24" spans="1:29" s="151" customFormat="1" x14ac:dyDescent="0.25">
      <c r="A24" s="236">
        <v>1842</v>
      </c>
      <c r="B24" s="235">
        <v>97486</v>
      </c>
      <c r="C24" s="235">
        <v>1076343</v>
      </c>
      <c r="D24" s="235">
        <v>11272</v>
      </c>
      <c r="E24" s="235">
        <v>3822147</v>
      </c>
      <c r="F24" s="235">
        <v>78895</v>
      </c>
      <c r="G24" s="235">
        <v>0</v>
      </c>
      <c r="H24" s="235">
        <v>4099</v>
      </c>
      <c r="I24" s="235">
        <v>35313</v>
      </c>
      <c r="J24" s="235">
        <v>50663</v>
      </c>
      <c r="K24" s="235">
        <v>150015</v>
      </c>
      <c r="L24" s="235">
        <v>29086</v>
      </c>
      <c r="M24" s="235">
        <v>28650</v>
      </c>
      <c r="N24" s="235">
        <v>17273</v>
      </c>
      <c r="O24" s="235">
        <v>53603</v>
      </c>
      <c r="P24" s="235">
        <v>22312</v>
      </c>
      <c r="Q24" s="235">
        <v>1810100</v>
      </c>
      <c r="R24" s="235">
        <v>887983</v>
      </c>
      <c r="S24" s="235">
        <v>11014909</v>
      </c>
      <c r="T24" s="235">
        <v>14920553</v>
      </c>
      <c r="U24" s="235">
        <v>839123</v>
      </c>
      <c r="V24" s="235">
        <v>1630</v>
      </c>
      <c r="W24" s="235">
        <v>71</v>
      </c>
      <c r="X24" s="235">
        <v>480</v>
      </c>
      <c r="Y24" s="235">
        <v>689</v>
      </c>
      <c r="Z24" s="235">
        <v>0</v>
      </c>
      <c r="AA24" s="235">
        <v>0</v>
      </c>
      <c r="AB24" s="235">
        <v>559</v>
      </c>
      <c r="AC24" s="235">
        <v>141</v>
      </c>
    </row>
    <row r="25" spans="1:29" s="151" customFormat="1" x14ac:dyDescent="0.25">
      <c r="A25" s="236">
        <v>1843</v>
      </c>
      <c r="B25" s="235">
        <v>106369</v>
      </c>
      <c r="C25" s="235">
        <v>1573779</v>
      </c>
      <c r="D25" s="235">
        <v>13268</v>
      </c>
      <c r="E25" s="235">
        <v>1824447</v>
      </c>
      <c r="F25" s="235">
        <v>68637</v>
      </c>
      <c r="G25" s="235">
        <v>0</v>
      </c>
      <c r="H25" s="235">
        <v>2198</v>
      </c>
      <c r="I25" s="235">
        <v>25308</v>
      </c>
      <c r="J25" s="235">
        <v>40559</v>
      </c>
      <c r="K25" s="235">
        <v>140652</v>
      </c>
      <c r="L25" s="235">
        <v>34588</v>
      </c>
      <c r="M25" s="235">
        <v>35870</v>
      </c>
      <c r="N25" s="235">
        <v>30967</v>
      </c>
      <c r="O25" s="235">
        <v>35171</v>
      </c>
      <c r="P25" s="235">
        <v>14381</v>
      </c>
      <c r="Q25" s="235">
        <v>2149992</v>
      </c>
      <c r="R25" s="235">
        <v>1313327</v>
      </c>
      <c r="S25" s="235">
        <v>7158512</v>
      </c>
      <c r="T25" s="235">
        <v>9828010</v>
      </c>
      <c r="U25" s="235">
        <v>1074302</v>
      </c>
      <c r="V25" s="235">
        <v>1849</v>
      </c>
      <c r="W25" s="235">
        <v>69</v>
      </c>
      <c r="X25" s="235">
        <v>411</v>
      </c>
      <c r="Y25" s="235">
        <v>1639</v>
      </c>
      <c r="Z25" s="235">
        <v>0</v>
      </c>
      <c r="AA25" s="235">
        <v>0</v>
      </c>
      <c r="AB25" s="235">
        <v>220</v>
      </c>
      <c r="AC25" s="235">
        <v>103</v>
      </c>
    </row>
    <row r="26" spans="1:29" s="151" customFormat="1" x14ac:dyDescent="0.25">
      <c r="A26" s="236">
        <v>1844</v>
      </c>
      <c r="B26" s="235">
        <v>139610</v>
      </c>
      <c r="C26" s="235">
        <v>1966359</v>
      </c>
      <c r="D26" s="235">
        <v>32337</v>
      </c>
      <c r="E26" s="235">
        <v>2181941</v>
      </c>
      <c r="F26" s="235">
        <v>79863</v>
      </c>
      <c r="G26" s="235">
        <v>0</v>
      </c>
      <c r="H26" s="235">
        <v>3901</v>
      </c>
      <c r="I26" s="235">
        <v>29803</v>
      </c>
      <c r="J26" s="235">
        <v>37061</v>
      </c>
      <c r="K26" s="235">
        <v>142598</v>
      </c>
      <c r="L26" s="235">
        <v>26472</v>
      </c>
      <c r="M26" s="235">
        <v>30934</v>
      </c>
      <c r="N26" s="235">
        <v>16028</v>
      </c>
      <c r="O26" s="235">
        <v>23284</v>
      </c>
      <c r="P26" s="235">
        <v>5216</v>
      </c>
      <c r="Q26" s="235">
        <v>567374</v>
      </c>
      <c r="R26" s="235">
        <v>159888</v>
      </c>
      <c r="S26" s="235">
        <v>7526293</v>
      </c>
      <c r="T26" s="235">
        <v>6743092</v>
      </c>
      <c r="U26" s="235">
        <v>1140555</v>
      </c>
      <c r="V26" s="235">
        <v>1010</v>
      </c>
      <c r="W26" s="235">
        <v>85</v>
      </c>
      <c r="X26" s="235">
        <v>286</v>
      </c>
      <c r="Y26" s="235">
        <v>1583</v>
      </c>
      <c r="Z26" s="235">
        <v>997</v>
      </c>
      <c r="AA26" s="235">
        <v>173</v>
      </c>
      <c r="AB26" s="235">
        <v>308</v>
      </c>
      <c r="AC26" s="235">
        <v>135</v>
      </c>
    </row>
    <row r="27" spans="1:29" s="151" customFormat="1" x14ac:dyDescent="0.25">
      <c r="A27" s="236">
        <v>1845</v>
      </c>
      <c r="B27" s="235">
        <v>117027</v>
      </c>
      <c r="C27" s="235">
        <v>1282923</v>
      </c>
      <c r="D27" s="235">
        <v>19070</v>
      </c>
      <c r="E27" s="235">
        <v>3655393</v>
      </c>
      <c r="F27" s="235">
        <v>75946</v>
      </c>
      <c r="G27" s="235">
        <v>0</v>
      </c>
      <c r="H27" s="235">
        <v>2622</v>
      </c>
      <c r="I27" s="235">
        <v>15213</v>
      </c>
      <c r="J27" s="235">
        <v>35346</v>
      </c>
      <c r="K27" s="235">
        <v>177658</v>
      </c>
      <c r="L27" s="235">
        <v>29776</v>
      </c>
      <c r="M27" s="235">
        <v>52277</v>
      </c>
      <c r="N27" s="235">
        <v>21045</v>
      </c>
      <c r="O27" s="235">
        <v>52931</v>
      </c>
      <c r="P27" s="235">
        <v>4526</v>
      </c>
      <c r="Q27" s="235">
        <v>965901</v>
      </c>
      <c r="R27" s="235">
        <v>602630</v>
      </c>
      <c r="S27" s="235">
        <v>9008221</v>
      </c>
      <c r="T27" s="235">
        <v>7668018</v>
      </c>
      <c r="U27" s="235">
        <v>951435</v>
      </c>
      <c r="V27" s="235">
        <v>456</v>
      </c>
      <c r="W27" s="235">
        <v>90</v>
      </c>
      <c r="X27" s="235">
        <v>266</v>
      </c>
      <c r="Y27" s="235">
        <v>1937</v>
      </c>
      <c r="Z27" s="235">
        <v>0</v>
      </c>
      <c r="AA27" s="235">
        <v>0</v>
      </c>
      <c r="AB27" s="235">
        <v>0</v>
      </c>
      <c r="AC27" s="235">
        <v>0</v>
      </c>
    </row>
    <row r="28" spans="1:29" x14ac:dyDescent="0.25">
      <c r="B28" s="18"/>
      <c r="C28" s="18"/>
      <c r="D28" s="18"/>
      <c r="E28" s="18"/>
      <c r="F28" s="18"/>
      <c r="G28" s="18"/>
      <c r="H28" s="18"/>
      <c r="I28" s="18"/>
      <c r="J28" s="18"/>
      <c r="L28" s="18"/>
      <c r="M28" s="18"/>
      <c r="N28" s="18"/>
      <c r="O28" s="18"/>
      <c r="P28" s="18"/>
      <c r="Q28" s="18"/>
      <c r="R28" s="18"/>
      <c r="S28" s="18"/>
      <c r="T28" s="18"/>
      <c r="U28" s="18"/>
      <c r="V28" s="18"/>
      <c r="W28" s="18"/>
      <c r="X28" s="18"/>
      <c r="Y28" s="18"/>
      <c r="AA28" s="18"/>
      <c r="AB28" s="18"/>
      <c r="AC28" s="18"/>
    </row>
    <row r="29" spans="1:29" x14ac:dyDescent="0.25">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row>
  </sheetData>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16BC5-F92D-40AC-AB53-5E3333FA5375}">
  <dimension ref="A1:C10"/>
  <sheetViews>
    <sheetView workbookViewId="0">
      <selection activeCell="B16" sqref="B16"/>
    </sheetView>
  </sheetViews>
  <sheetFormatPr defaultRowHeight="15" x14ac:dyDescent="0.25"/>
  <cols>
    <col min="1" max="1" width="11.42578125" bestFit="1" customWidth="1"/>
    <col min="2" max="2" width="38.140625" customWidth="1"/>
    <col min="3" max="3" width="10.42578125" bestFit="1" customWidth="1"/>
  </cols>
  <sheetData>
    <row r="1" spans="1:3" x14ac:dyDescent="0.25">
      <c r="A1" t="s">
        <v>504</v>
      </c>
      <c r="B1" t="s">
        <v>161</v>
      </c>
      <c r="C1" t="s">
        <v>477</v>
      </c>
    </row>
    <row r="2" spans="1:3" x14ac:dyDescent="0.25">
      <c r="A2" s="237" t="s">
        <v>671</v>
      </c>
      <c r="B2" s="237" t="s">
        <v>155</v>
      </c>
      <c r="C2">
        <v>76109</v>
      </c>
    </row>
    <row r="3" spans="1:3" x14ac:dyDescent="0.25">
      <c r="A3" s="237" t="s">
        <v>672</v>
      </c>
      <c r="B3" s="237" t="s">
        <v>155</v>
      </c>
      <c r="C3">
        <v>80738</v>
      </c>
    </row>
    <row r="4" spans="1:3" x14ac:dyDescent="0.25">
      <c r="A4" s="237" t="s">
        <v>673</v>
      </c>
      <c r="B4" s="237" t="s">
        <v>155</v>
      </c>
      <c r="C4">
        <v>75781</v>
      </c>
    </row>
    <row r="5" spans="1:3" x14ac:dyDescent="0.25">
      <c r="A5" s="237" t="s">
        <v>674</v>
      </c>
      <c r="B5" s="237" t="s">
        <v>155</v>
      </c>
      <c r="C5">
        <v>81401</v>
      </c>
    </row>
    <row r="6" spans="1:3" x14ac:dyDescent="0.25">
      <c r="A6" s="237" t="s">
        <v>675</v>
      </c>
      <c r="B6" s="237" t="s">
        <v>155</v>
      </c>
      <c r="C6">
        <v>89340</v>
      </c>
    </row>
    <row r="7" spans="1:3" x14ac:dyDescent="0.25">
      <c r="A7" s="237" t="s">
        <v>676</v>
      </c>
      <c r="B7" s="237" t="s">
        <v>155</v>
      </c>
      <c r="C7">
        <v>91021</v>
      </c>
    </row>
    <row r="8" spans="1:3" x14ac:dyDescent="0.25">
      <c r="A8" s="237" t="s">
        <v>677</v>
      </c>
      <c r="B8" s="237" t="s">
        <v>155</v>
      </c>
      <c r="C8">
        <v>91131</v>
      </c>
    </row>
    <row r="9" spans="1:3" x14ac:dyDescent="0.25">
      <c r="A9" s="237" t="s">
        <v>678</v>
      </c>
      <c r="B9" s="237" t="s">
        <v>155</v>
      </c>
      <c r="C9">
        <v>91020</v>
      </c>
    </row>
    <row r="10" spans="1:3" x14ac:dyDescent="0.25">
      <c r="A10" s="237" t="s">
        <v>679</v>
      </c>
      <c r="B10" s="237" t="s">
        <v>155</v>
      </c>
      <c r="C10">
        <v>82136</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365D6-D976-486E-8DFC-C3A6435CC18D}">
  <dimension ref="A1:H73"/>
  <sheetViews>
    <sheetView zoomScaleNormal="100" workbookViewId="0">
      <pane xSplit="1" ySplit="1" topLeftCell="B2" activePane="bottomRight" state="frozen"/>
      <selection pane="topRight" activeCell="B1" sqref="B1"/>
      <selection pane="bottomLeft" activeCell="A2" sqref="A2"/>
      <selection pane="bottomRight" activeCell="E11" sqref="E11"/>
    </sheetView>
  </sheetViews>
  <sheetFormatPr defaultColWidth="16.28515625" defaultRowHeight="15" x14ac:dyDescent="0.25"/>
  <cols>
    <col min="1" max="1" width="20.140625" style="210" bestFit="1" customWidth="1"/>
    <col min="8" max="8" width="59.85546875" customWidth="1"/>
  </cols>
  <sheetData>
    <row r="1" spans="1:8" s="233" customFormat="1" ht="45" x14ac:dyDescent="0.25">
      <c r="A1" s="233" t="s">
        <v>668</v>
      </c>
      <c r="B1" s="233" t="s">
        <v>155</v>
      </c>
      <c r="C1" s="233" t="s">
        <v>150</v>
      </c>
      <c r="D1" s="233" t="s">
        <v>139</v>
      </c>
      <c r="E1" s="233" t="s">
        <v>669</v>
      </c>
      <c r="F1" s="233" t="s">
        <v>145</v>
      </c>
      <c r="G1" s="233" t="s">
        <v>124</v>
      </c>
      <c r="H1" s="234" t="s">
        <v>670</v>
      </c>
    </row>
    <row r="2" spans="1:8" s="233" customFormat="1" x14ac:dyDescent="0.25">
      <c r="A2" s="232">
        <v>1772</v>
      </c>
      <c r="B2" s="241">
        <v>76109</v>
      </c>
      <c r="C2" s="241"/>
      <c r="D2" s="241"/>
      <c r="E2" s="241"/>
      <c r="F2" s="241"/>
      <c r="G2" s="241"/>
      <c r="H2" s="241"/>
    </row>
    <row r="3" spans="1:8" s="233" customFormat="1" x14ac:dyDescent="0.25">
      <c r="A3" s="232">
        <v>1773</v>
      </c>
      <c r="B3" s="241">
        <v>80738</v>
      </c>
      <c r="C3" s="241"/>
      <c r="D3" s="241"/>
      <c r="E3" s="241"/>
      <c r="F3" s="241"/>
      <c r="G3" s="241"/>
      <c r="H3" s="241"/>
    </row>
    <row r="4" spans="1:8" s="233" customFormat="1" x14ac:dyDescent="0.25">
      <c r="A4" s="232">
        <v>1774</v>
      </c>
      <c r="B4" s="241">
        <v>75781</v>
      </c>
      <c r="C4" s="241"/>
      <c r="D4" s="241"/>
      <c r="E4" s="241"/>
      <c r="F4" s="241"/>
      <c r="G4" s="241"/>
      <c r="H4" s="241"/>
    </row>
    <row r="5" spans="1:8" s="233" customFormat="1" x14ac:dyDescent="0.25">
      <c r="A5" s="232">
        <v>1775</v>
      </c>
      <c r="B5" s="241">
        <v>81401</v>
      </c>
      <c r="C5" s="241"/>
      <c r="D5" s="241"/>
      <c r="E5" s="241"/>
      <c r="F5" s="241"/>
      <c r="G5" s="241"/>
      <c r="H5" s="241"/>
    </row>
    <row r="6" spans="1:8" s="233" customFormat="1" x14ac:dyDescent="0.25">
      <c r="A6" s="232">
        <v>1776</v>
      </c>
      <c r="B6" s="241">
        <v>89340</v>
      </c>
      <c r="C6" s="241"/>
      <c r="D6" s="241"/>
      <c r="E6" s="241"/>
      <c r="F6" s="241"/>
      <c r="G6" s="241"/>
      <c r="H6" s="241"/>
    </row>
    <row r="7" spans="1:8" s="233" customFormat="1" x14ac:dyDescent="0.25">
      <c r="A7" s="232">
        <v>1777</v>
      </c>
      <c r="B7" s="241">
        <v>91021</v>
      </c>
      <c r="C7" s="241"/>
      <c r="D7" s="241"/>
      <c r="E7" s="241"/>
      <c r="F7" s="241"/>
      <c r="G7" s="241"/>
      <c r="H7" s="241"/>
    </row>
    <row r="8" spans="1:8" s="233" customFormat="1" x14ac:dyDescent="0.25">
      <c r="A8" s="232">
        <v>1778</v>
      </c>
      <c r="B8" s="241">
        <v>91131</v>
      </c>
      <c r="C8" s="241"/>
      <c r="D8" s="241"/>
      <c r="E8" s="241"/>
      <c r="F8" s="241"/>
      <c r="G8" s="241"/>
      <c r="H8" s="241"/>
    </row>
    <row r="9" spans="1:8" s="233" customFormat="1" x14ac:dyDescent="0.25">
      <c r="A9" s="232">
        <v>1779</v>
      </c>
      <c r="B9" s="241">
        <v>91020</v>
      </c>
      <c r="C9" s="241"/>
      <c r="D9" s="241"/>
      <c r="E9" s="241"/>
      <c r="F9" s="241"/>
      <c r="G9" s="241"/>
      <c r="H9" s="241"/>
    </row>
    <row r="10" spans="1:8" s="233" customFormat="1" x14ac:dyDescent="0.25">
      <c r="A10" s="232">
        <v>1780</v>
      </c>
      <c r="B10" s="241">
        <v>82136</v>
      </c>
      <c r="C10" s="241"/>
      <c r="D10" s="241"/>
      <c r="E10" s="241"/>
      <c r="F10" s="241"/>
      <c r="G10" s="241"/>
      <c r="H10" s="241"/>
    </row>
    <row r="11" spans="1:8" s="233" customFormat="1" x14ac:dyDescent="0.25">
      <c r="A11" s="232">
        <v>1781</v>
      </c>
      <c r="B11" s="241"/>
      <c r="C11" s="241"/>
      <c r="D11" s="241"/>
      <c r="E11" s="241"/>
      <c r="F11" s="241"/>
      <c r="G11" s="241"/>
      <c r="H11" s="241"/>
    </row>
    <row r="12" spans="1:8" s="233" customFormat="1" x14ac:dyDescent="0.25">
      <c r="A12" s="232">
        <v>1782</v>
      </c>
      <c r="B12" s="241"/>
      <c r="C12" s="241"/>
      <c r="D12" s="241"/>
      <c r="E12" s="241"/>
      <c r="F12" s="241"/>
      <c r="G12" s="241"/>
      <c r="H12" s="241"/>
    </row>
    <row r="13" spans="1:8" s="233" customFormat="1" x14ac:dyDescent="0.25">
      <c r="A13" s="232">
        <v>1783</v>
      </c>
      <c r="B13" s="241"/>
      <c r="C13" s="241"/>
      <c r="D13" s="241"/>
      <c r="E13" s="241"/>
      <c r="F13" s="241"/>
      <c r="G13" s="241"/>
      <c r="H13" s="241"/>
    </row>
    <row r="14" spans="1:8" s="233" customFormat="1" x14ac:dyDescent="0.25">
      <c r="A14" s="232">
        <v>1784</v>
      </c>
      <c r="B14" s="241"/>
      <c r="C14" s="241"/>
      <c r="D14" s="241"/>
      <c r="E14" s="241"/>
      <c r="F14" s="241"/>
      <c r="G14" s="241"/>
      <c r="H14" s="241"/>
    </row>
    <row r="15" spans="1:8" s="233" customFormat="1" x14ac:dyDescent="0.25">
      <c r="A15" s="232">
        <v>1785</v>
      </c>
      <c r="B15" s="241"/>
      <c r="C15" s="241"/>
      <c r="D15" s="241"/>
      <c r="E15" s="241"/>
      <c r="F15" s="241"/>
      <c r="G15" s="241"/>
      <c r="H15" s="241"/>
    </row>
    <row r="16" spans="1:8" s="233" customFormat="1" x14ac:dyDescent="0.25">
      <c r="A16" s="232">
        <v>1786</v>
      </c>
      <c r="B16" s="241"/>
      <c r="C16" s="241"/>
      <c r="D16" s="241"/>
      <c r="E16" s="241"/>
      <c r="F16" s="241"/>
      <c r="G16" s="241"/>
      <c r="H16" s="241"/>
    </row>
    <row r="17" spans="1:8" s="233" customFormat="1" x14ac:dyDescent="0.25">
      <c r="A17" s="232">
        <v>1787</v>
      </c>
      <c r="B17" s="241"/>
      <c r="C17" s="241"/>
      <c r="D17" s="241"/>
      <c r="E17" s="241"/>
      <c r="F17" s="241"/>
      <c r="G17" s="241"/>
      <c r="H17" s="241"/>
    </row>
    <row r="18" spans="1:8" s="233" customFormat="1" x14ac:dyDescent="0.25">
      <c r="A18" s="232">
        <v>1788</v>
      </c>
      <c r="B18" s="241"/>
      <c r="C18" s="241"/>
      <c r="D18" s="241"/>
      <c r="E18" s="241"/>
      <c r="F18" s="241"/>
      <c r="G18" s="241"/>
      <c r="H18" s="241"/>
    </row>
    <row r="19" spans="1:8" s="233" customFormat="1" x14ac:dyDescent="0.25">
      <c r="A19" s="232">
        <v>1789</v>
      </c>
      <c r="B19" s="241"/>
      <c r="C19" s="241"/>
      <c r="D19" s="241"/>
      <c r="E19" s="241"/>
      <c r="F19" s="241"/>
      <c r="G19" s="241"/>
      <c r="H19" s="241"/>
    </row>
    <row r="20" spans="1:8" s="233" customFormat="1" x14ac:dyDescent="0.25">
      <c r="A20" s="232">
        <v>1790</v>
      </c>
      <c r="B20" s="241"/>
      <c r="C20" s="241"/>
      <c r="D20" s="241"/>
      <c r="E20" s="241"/>
      <c r="F20" s="241"/>
      <c r="G20" s="241"/>
      <c r="H20" s="241"/>
    </row>
    <row r="21" spans="1:8" s="233" customFormat="1" x14ac:dyDescent="0.25">
      <c r="A21" s="232">
        <v>1791</v>
      </c>
      <c r="B21" s="241"/>
      <c r="C21" s="241"/>
      <c r="D21" s="241"/>
      <c r="E21" s="241"/>
      <c r="F21" s="241"/>
      <c r="G21" s="241"/>
      <c r="H21" s="241"/>
    </row>
    <row r="22" spans="1:8" s="233" customFormat="1" x14ac:dyDescent="0.25">
      <c r="A22" s="232">
        <v>1792</v>
      </c>
      <c r="B22" s="241"/>
      <c r="C22" s="241"/>
      <c r="D22" s="241"/>
      <c r="E22" s="241"/>
      <c r="F22" s="241"/>
      <c r="G22" s="241"/>
      <c r="H22" s="241"/>
    </row>
    <row r="23" spans="1:8" s="233" customFormat="1" x14ac:dyDescent="0.25">
      <c r="A23" s="232">
        <v>1793</v>
      </c>
      <c r="B23" s="241"/>
      <c r="C23" s="241"/>
      <c r="D23" s="241"/>
      <c r="E23" s="241"/>
      <c r="F23" s="241"/>
      <c r="G23" s="241"/>
      <c r="H23" s="241"/>
    </row>
    <row r="24" spans="1:8" s="233" customFormat="1" x14ac:dyDescent="0.25">
      <c r="A24" s="232">
        <v>1794</v>
      </c>
      <c r="B24" s="241"/>
      <c r="C24" s="241"/>
      <c r="D24" s="241"/>
      <c r="E24" s="241"/>
      <c r="F24" s="241"/>
      <c r="G24" s="241"/>
      <c r="H24" s="241"/>
    </row>
    <row r="25" spans="1:8" s="233" customFormat="1" x14ac:dyDescent="0.25">
      <c r="A25" s="232">
        <v>1795</v>
      </c>
      <c r="B25" s="241"/>
      <c r="C25" s="241"/>
      <c r="D25" s="241"/>
      <c r="E25" s="241"/>
      <c r="F25" s="241"/>
      <c r="G25" s="241"/>
      <c r="H25" s="241"/>
    </row>
    <row r="26" spans="1:8" s="151" customFormat="1" x14ac:dyDescent="0.25">
      <c r="A26" s="232">
        <v>1796</v>
      </c>
      <c r="B26" s="152"/>
      <c r="C26" s="152"/>
      <c r="D26" s="152"/>
      <c r="E26" s="152"/>
      <c r="F26" s="152"/>
      <c r="G26" s="152"/>
      <c r="H26" s="152"/>
    </row>
    <row r="27" spans="1:8" s="151" customFormat="1" x14ac:dyDescent="0.25">
      <c r="A27" s="232">
        <v>1797</v>
      </c>
      <c r="B27" s="152"/>
      <c r="C27" s="152"/>
      <c r="D27" s="152"/>
      <c r="E27" s="152"/>
      <c r="F27" s="152"/>
      <c r="G27" s="152"/>
      <c r="H27" s="152"/>
    </row>
    <row r="28" spans="1:8" s="151" customFormat="1" x14ac:dyDescent="0.25">
      <c r="A28" s="232">
        <v>1798</v>
      </c>
      <c r="B28" s="152"/>
      <c r="C28" s="152"/>
      <c r="D28" s="152"/>
      <c r="E28" s="152"/>
      <c r="F28" s="152"/>
      <c r="G28" s="152"/>
      <c r="H28" s="152"/>
    </row>
    <row r="29" spans="1:8" s="151" customFormat="1" x14ac:dyDescent="0.25">
      <c r="A29" s="232">
        <v>1799</v>
      </c>
      <c r="B29" s="152"/>
      <c r="C29" s="152"/>
      <c r="D29" s="152"/>
      <c r="E29" s="152"/>
      <c r="F29" s="152"/>
      <c r="G29" s="152"/>
      <c r="H29" s="152"/>
    </row>
    <row r="30" spans="1:8" s="151" customFormat="1" x14ac:dyDescent="0.25">
      <c r="A30" s="232">
        <v>1800</v>
      </c>
      <c r="B30" s="152"/>
      <c r="C30" s="152"/>
      <c r="D30" s="152"/>
      <c r="E30" s="152"/>
      <c r="F30" s="152"/>
      <c r="G30" s="152"/>
      <c r="H30" s="152"/>
    </row>
    <row r="31" spans="1:8" s="151" customFormat="1" x14ac:dyDescent="0.25">
      <c r="A31" s="232">
        <v>1801</v>
      </c>
      <c r="B31" s="152"/>
      <c r="C31" s="152"/>
      <c r="D31" s="152"/>
      <c r="E31" s="152"/>
      <c r="F31" s="152"/>
      <c r="G31" s="152"/>
      <c r="H31" s="152"/>
    </row>
    <row r="32" spans="1:8" s="151" customFormat="1" x14ac:dyDescent="0.25">
      <c r="A32" s="232">
        <v>1802</v>
      </c>
      <c r="B32" s="152"/>
      <c r="C32" s="152"/>
      <c r="D32" s="152"/>
      <c r="E32" s="152"/>
      <c r="F32" s="152"/>
      <c r="G32" s="152"/>
      <c r="H32" s="152"/>
    </row>
    <row r="33" spans="1:8" s="151" customFormat="1" x14ac:dyDescent="0.25">
      <c r="A33" s="232">
        <v>1803</v>
      </c>
      <c r="B33" s="152"/>
      <c r="C33" s="152"/>
      <c r="D33" s="152"/>
      <c r="E33" s="152"/>
      <c r="F33" s="152"/>
      <c r="G33" s="152"/>
      <c r="H33" s="152"/>
    </row>
    <row r="34" spans="1:8" s="151" customFormat="1" x14ac:dyDescent="0.25">
      <c r="A34" s="232">
        <v>1804</v>
      </c>
      <c r="B34" s="152"/>
      <c r="C34" s="152"/>
      <c r="D34" s="152"/>
      <c r="E34" s="152"/>
      <c r="F34" s="152"/>
      <c r="G34" s="152"/>
      <c r="H34" s="152"/>
    </row>
    <row r="35" spans="1:8" s="151" customFormat="1" x14ac:dyDescent="0.25">
      <c r="A35" s="232">
        <v>1805</v>
      </c>
      <c r="B35" s="152"/>
      <c r="C35" s="152"/>
      <c r="D35" s="152"/>
      <c r="E35" s="152"/>
      <c r="F35" s="152"/>
      <c r="G35" s="152"/>
      <c r="H35" s="152"/>
    </row>
    <row r="36" spans="1:8" s="151" customFormat="1" x14ac:dyDescent="0.25">
      <c r="A36" s="232">
        <v>1806</v>
      </c>
      <c r="B36" s="152"/>
      <c r="C36" s="152"/>
      <c r="D36" s="152"/>
      <c r="E36" s="152"/>
      <c r="F36" s="152"/>
      <c r="G36" s="152"/>
      <c r="H36" s="152"/>
    </row>
    <row r="37" spans="1:8" s="151" customFormat="1" x14ac:dyDescent="0.25">
      <c r="A37" s="232">
        <v>1807</v>
      </c>
      <c r="B37" s="152"/>
      <c r="C37" s="152"/>
      <c r="D37" s="152"/>
      <c r="E37" s="152"/>
      <c r="F37" s="152"/>
      <c r="G37" s="152"/>
      <c r="H37" s="152"/>
    </row>
    <row r="38" spans="1:8" s="151" customFormat="1" x14ac:dyDescent="0.25">
      <c r="A38" s="232">
        <v>1808</v>
      </c>
      <c r="B38" s="152"/>
      <c r="C38" s="152"/>
      <c r="D38" s="152"/>
      <c r="E38" s="152"/>
      <c r="F38" s="152"/>
      <c r="G38" s="152"/>
      <c r="H38" s="152"/>
    </row>
    <row r="39" spans="1:8" s="151" customFormat="1" x14ac:dyDescent="0.25">
      <c r="A39" s="232">
        <v>1809</v>
      </c>
      <c r="B39" s="152"/>
      <c r="C39" s="152"/>
      <c r="D39" s="152"/>
      <c r="E39" s="152"/>
      <c r="F39" s="152"/>
      <c r="G39" s="152"/>
      <c r="H39" s="152"/>
    </row>
    <row r="40" spans="1:8" s="151" customFormat="1" x14ac:dyDescent="0.25">
      <c r="A40" s="232">
        <v>1810</v>
      </c>
      <c r="B40" s="152"/>
      <c r="C40" s="152"/>
      <c r="D40" s="152"/>
      <c r="E40" s="152"/>
      <c r="F40" s="152"/>
      <c r="G40" s="152"/>
      <c r="H40" s="152"/>
    </row>
    <row r="41" spans="1:8" s="151" customFormat="1" x14ac:dyDescent="0.25">
      <c r="A41" s="232">
        <v>1811</v>
      </c>
      <c r="B41" s="152"/>
      <c r="C41" s="152"/>
      <c r="D41" s="152"/>
      <c r="E41" s="152"/>
      <c r="F41" s="152"/>
      <c r="G41" s="152"/>
      <c r="H41" s="152"/>
    </row>
    <row r="42" spans="1:8" s="151" customFormat="1" x14ac:dyDescent="0.25">
      <c r="A42" s="232">
        <v>1812</v>
      </c>
      <c r="B42" s="152"/>
      <c r="C42" s="152"/>
      <c r="D42" s="152"/>
      <c r="E42" s="152"/>
      <c r="F42" s="152"/>
      <c r="G42" s="152"/>
      <c r="H42" s="152"/>
    </row>
    <row r="43" spans="1:8" s="151" customFormat="1" x14ac:dyDescent="0.25">
      <c r="A43" s="232">
        <v>1813</v>
      </c>
      <c r="B43" s="152"/>
      <c r="C43" s="152"/>
      <c r="D43" s="152"/>
      <c r="E43" s="152"/>
      <c r="F43" s="152"/>
      <c r="G43" s="152"/>
      <c r="H43" s="152"/>
    </row>
    <row r="44" spans="1:8" s="151" customFormat="1" x14ac:dyDescent="0.25">
      <c r="A44" s="232">
        <v>1814</v>
      </c>
      <c r="B44" s="152"/>
      <c r="C44" s="152"/>
      <c r="D44" s="152"/>
      <c r="E44" s="152"/>
      <c r="F44" s="152"/>
      <c r="G44" s="152"/>
      <c r="H44" s="152"/>
    </row>
    <row r="45" spans="1:8" s="151" customFormat="1" x14ac:dyDescent="0.25">
      <c r="A45" s="232">
        <v>1815</v>
      </c>
      <c r="B45" s="152"/>
      <c r="C45" s="152"/>
      <c r="D45" s="152"/>
      <c r="E45" s="152"/>
      <c r="F45" s="152"/>
      <c r="G45" s="152"/>
      <c r="H45" s="152"/>
    </row>
    <row r="46" spans="1:8" s="151" customFormat="1" x14ac:dyDescent="0.25">
      <c r="A46" s="232">
        <v>1816</v>
      </c>
      <c r="B46" s="152"/>
      <c r="C46" s="152"/>
      <c r="D46" s="152"/>
      <c r="E46" s="152"/>
      <c r="F46" s="152"/>
      <c r="G46" s="152"/>
      <c r="H46" s="152"/>
    </row>
    <row r="47" spans="1:8" s="151" customFormat="1" x14ac:dyDescent="0.25">
      <c r="A47" s="232">
        <v>1817</v>
      </c>
      <c r="B47" s="152"/>
      <c r="C47" s="152"/>
      <c r="D47" s="152"/>
      <c r="E47" s="152"/>
      <c r="F47" s="152"/>
      <c r="G47" s="152"/>
      <c r="H47" s="152"/>
    </row>
    <row r="48" spans="1:8" s="151" customFormat="1" x14ac:dyDescent="0.25">
      <c r="A48" s="232">
        <v>1818</v>
      </c>
      <c r="B48" s="152"/>
      <c r="C48" s="152"/>
      <c r="D48" s="152"/>
      <c r="E48" s="152"/>
      <c r="F48" s="152"/>
      <c r="G48" s="152"/>
      <c r="H48" s="152"/>
    </row>
    <row r="49" spans="1:8" s="151" customFormat="1" x14ac:dyDescent="0.25">
      <c r="A49" s="232">
        <v>1819</v>
      </c>
      <c r="B49" s="152"/>
      <c r="C49" s="152"/>
      <c r="D49" s="152"/>
      <c r="E49" s="152"/>
      <c r="F49" s="152"/>
      <c r="G49" s="152"/>
      <c r="H49" s="152"/>
    </row>
    <row r="50" spans="1:8" s="151" customFormat="1" x14ac:dyDescent="0.25">
      <c r="A50" s="232">
        <v>1820</v>
      </c>
      <c r="B50" s="152"/>
      <c r="C50" s="152"/>
      <c r="D50" s="152"/>
      <c r="E50" s="152"/>
      <c r="F50" s="152"/>
      <c r="G50" s="152"/>
      <c r="H50" s="152"/>
    </row>
    <row r="51" spans="1:8" s="151" customFormat="1" x14ac:dyDescent="0.25">
      <c r="A51" s="232">
        <v>1821</v>
      </c>
      <c r="B51" s="152"/>
      <c r="C51" s="152"/>
      <c r="D51" s="152"/>
      <c r="E51" s="152"/>
      <c r="F51" s="152"/>
      <c r="G51" s="152"/>
      <c r="H51" s="152"/>
    </row>
    <row r="52" spans="1:8" s="151" customFormat="1" x14ac:dyDescent="0.25">
      <c r="A52" s="232">
        <v>1822</v>
      </c>
      <c r="B52" s="152"/>
      <c r="C52" s="152"/>
      <c r="D52" s="152"/>
      <c r="E52" s="152"/>
      <c r="F52" s="152"/>
      <c r="G52" s="152"/>
      <c r="H52" s="152"/>
    </row>
    <row r="53" spans="1:8" s="151" customFormat="1" x14ac:dyDescent="0.25">
      <c r="A53" s="232">
        <v>1823</v>
      </c>
      <c r="B53" s="152"/>
      <c r="C53" s="152"/>
      <c r="D53" s="152"/>
      <c r="E53" s="152"/>
      <c r="F53" s="152"/>
      <c r="G53" s="152"/>
      <c r="H53" s="152"/>
    </row>
    <row r="54" spans="1:8" s="151" customFormat="1" x14ac:dyDescent="0.25">
      <c r="A54" s="232">
        <v>1824</v>
      </c>
      <c r="B54" s="152"/>
      <c r="C54" s="152"/>
      <c r="D54" s="152"/>
      <c r="E54" s="152"/>
      <c r="F54" s="152"/>
      <c r="G54" s="152"/>
      <c r="H54" s="152"/>
    </row>
    <row r="55" spans="1:8" s="151" customFormat="1" x14ac:dyDescent="0.25">
      <c r="A55" s="232">
        <v>1825</v>
      </c>
      <c r="B55" s="152"/>
      <c r="C55" s="152"/>
      <c r="D55" s="152"/>
      <c r="E55" s="152"/>
      <c r="F55" s="152"/>
      <c r="G55" s="152"/>
      <c r="H55" s="152"/>
    </row>
    <row r="56" spans="1:8" s="151" customFormat="1" x14ac:dyDescent="0.25">
      <c r="A56" s="232">
        <v>1826</v>
      </c>
      <c r="B56" s="152"/>
      <c r="C56" s="152"/>
      <c r="D56" s="152"/>
      <c r="E56" s="152"/>
      <c r="F56" s="152"/>
      <c r="G56" s="152"/>
      <c r="H56" s="152"/>
    </row>
    <row r="57" spans="1:8" s="151" customFormat="1" x14ac:dyDescent="0.25">
      <c r="A57" s="232">
        <v>1827</v>
      </c>
      <c r="B57" s="152"/>
      <c r="C57" s="152"/>
      <c r="D57" s="152"/>
      <c r="E57" s="152"/>
      <c r="F57" s="152"/>
      <c r="G57" s="152"/>
      <c r="H57" s="152"/>
    </row>
    <row r="58" spans="1:8" s="151" customFormat="1" x14ac:dyDescent="0.25">
      <c r="A58" s="232">
        <v>1828</v>
      </c>
      <c r="B58" s="152"/>
      <c r="C58" s="152"/>
      <c r="D58" s="152"/>
      <c r="E58" s="152"/>
      <c r="F58" s="152"/>
      <c r="G58" s="152"/>
      <c r="H58" s="152"/>
    </row>
    <row r="59" spans="1:8" s="151" customFormat="1" x14ac:dyDescent="0.25">
      <c r="A59" s="232">
        <v>1829</v>
      </c>
      <c r="B59" s="152"/>
      <c r="C59" s="152"/>
      <c r="D59" s="152"/>
      <c r="E59" s="152"/>
      <c r="F59" s="152"/>
      <c r="G59" s="152"/>
      <c r="H59" s="152"/>
    </row>
    <row r="60" spans="1:8" s="151" customFormat="1" x14ac:dyDescent="0.25">
      <c r="A60" s="232">
        <v>1834</v>
      </c>
      <c r="B60" s="152"/>
      <c r="C60" s="152"/>
      <c r="D60" s="152"/>
      <c r="E60" s="152"/>
      <c r="F60" s="152"/>
      <c r="G60" s="152"/>
      <c r="H60" s="152"/>
    </row>
    <row r="61" spans="1:8" s="151" customFormat="1" x14ac:dyDescent="0.25">
      <c r="A61" s="232">
        <v>1835</v>
      </c>
      <c r="B61" s="152"/>
      <c r="C61" s="152"/>
      <c r="D61" s="152"/>
      <c r="E61" s="152"/>
      <c r="F61" s="152"/>
      <c r="G61" s="152"/>
      <c r="H61" s="152"/>
    </row>
    <row r="62" spans="1:8" s="151" customFormat="1" x14ac:dyDescent="0.25">
      <c r="A62" s="232">
        <v>1836</v>
      </c>
      <c r="B62" s="152"/>
      <c r="C62" s="152"/>
      <c r="D62" s="152"/>
      <c r="E62" s="152"/>
      <c r="F62" s="152"/>
      <c r="G62" s="152"/>
      <c r="H62" s="152"/>
    </row>
    <row r="63" spans="1:8" s="151" customFormat="1" x14ac:dyDescent="0.25">
      <c r="A63" s="232">
        <v>1837</v>
      </c>
      <c r="B63" s="152"/>
      <c r="C63" s="152"/>
      <c r="D63" s="152"/>
      <c r="E63" s="152"/>
      <c r="F63" s="152"/>
      <c r="G63" s="152"/>
      <c r="H63" s="152"/>
    </row>
    <row r="64" spans="1:8" s="151" customFormat="1" x14ac:dyDescent="0.25">
      <c r="A64" s="232">
        <v>1838</v>
      </c>
      <c r="B64" s="152"/>
      <c r="C64" s="152"/>
      <c r="D64" s="152"/>
      <c r="E64" s="152"/>
      <c r="F64" s="152"/>
      <c r="G64" s="152"/>
      <c r="H64" s="152"/>
    </row>
    <row r="65" spans="1:8" s="151" customFormat="1" x14ac:dyDescent="0.25">
      <c r="A65" s="232">
        <v>1839</v>
      </c>
      <c r="B65" s="152"/>
      <c r="C65" s="152"/>
      <c r="D65" s="152"/>
      <c r="E65" s="152"/>
      <c r="F65" s="152"/>
      <c r="G65" s="152"/>
      <c r="H65" s="152"/>
    </row>
    <row r="66" spans="1:8" s="151" customFormat="1" x14ac:dyDescent="0.25">
      <c r="A66" s="232">
        <v>1840</v>
      </c>
      <c r="B66" s="152"/>
      <c r="C66" s="152"/>
      <c r="D66" s="152"/>
      <c r="E66" s="152"/>
      <c r="F66" s="152"/>
      <c r="G66" s="152"/>
      <c r="H66" s="152"/>
    </row>
    <row r="67" spans="1:8" s="151" customFormat="1" x14ac:dyDescent="0.25">
      <c r="A67" s="232">
        <v>1841</v>
      </c>
      <c r="B67" s="152"/>
      <c r="C67" s="152"/>
      <c r="D67" s="152"/>
      <c r="E67" s="152"/>
      <c r="F67" s="152"/>
      <c r="G67" s="152"/>
      <c r="H67" s="152"/>
    </row>
    <row r="68" spans="1:8" s="151" customFormat="1" x14ac:dyDescent="0.25">
      <c r="A68" s="232">
        <v>1842</v>
      </c>
      <c r="B68" s="152"/>
      <c r="C68" s="152"/>
      <c r="D68" s="152"/>
      <c r="E68" s="152"/>
      <c r="F68" s="152"/>
      <c r="G68" s="152"/>
      <c r="H68" s="152"/>
    </row>
    <row r="69" spans="1:8" s="151" customFormat="1" x14ac:dyDescent="0.25">
      <c r="A69" s="232">
        <v>1843</v>
      </c>
      <c r="B69" s="152"/>
      <c r="C69" s="152"/>
      <c r="D69" s="152"/>
      <c r="E69" s="152"/>
      <c r="F69" s="152"/>
      <c r="G69" s="152"/>
      <c r="H69" s="152"/>
    </row>
    <row r="70" spans="1:8" s="151" customFormat="1" x14ac:dyDescent="0.25">
      <c r="A70" s="232">
        <v>1844</v>
      </c>
      <c r="B70" s="152"/>
      <c r="C70" s="152"/>
      <c r="D70" s="152"/>
      <c r="E70" s="152"/>
      <c r="F70" s="152"/>
      <c r="G70" s="152"/>
      <c r="H70" s="152"/>
    </row>
    <row r="71" spans="1:8" s="151" customFormat="1" x14ac:dyDescent="0.25">
      <c r="A71" s="232">
        <v>1845</v>
      </c>
      <c r="B71" s="152"/>
      <c r="C71" s="152"/>
      <c r="D71" s="152"/>
      <c r="E71" s="152"/>
      <c r="F71" s="152"/>
      <c r="G71" s="152"/>
      <c r="H71" s="152"/>
    </row>
    <row r="72" spans="1:8" x14ac:dyDescent="0.25">
      <c r="B72" s="18"/>
      <c r="C72" s="18"/>
      <c r="D72" s="18"/>
      <c r="E72" s="18"/>
      <c r="F72" s="18"/>
      <c r="G72" s="18"/>
      <c r="H72" s="18"/>
    </row>
    <row r="73" spans="1:8" x14ac:dyDescent="0.25">
      <c r="B73" s="18"/>
      <c r="C73" s="18"/>
      <c r="D73" s="18"/>
      <c r="E73" s="18"/>
      <c r="F73" s="18"/>
      <c r="G73" s="18"/>
      <c r="H73" s="18"/>
    </row>
  </sheetData>
  <pageMargins left="0.7" right="0.7" top="0.75" bottom="0.75" header="0.3" footer="0.3"/>
  <pageSetup paperSize="9"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41155-4890-45F4-B26C-EE6CAB53836B}">
  <dimension ref="A1:AD25"/>
  <sheetViews>
    <sheetView workbookViewId="0">
      <pane xSplit="1" ySplit="1" topLeftCell="B2" activePane="bottomRight" state="frozen"/>
      <selection activeCell="E23" sqref="E23"/>
      <selection pane="topRight" activeCell="E23" sqref="E23"/>
      <selection pane="bottomLeft" activeCell="E23" sqref="E23"/>
      <selection pane="bottomRight" activeCell="A24" sqref="A24"/>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7" style="3" customWidth="1"/>
    <col min="9" max="9" width="15.5703125" style="3" customWidth="1"/>
    <col min="10" max="10" width="17.140625" style="3" customWidth="1"/>
    <col min="11" max="11" width="15" style="3" customWidth="1"/>
    <col min="12" max="12" width="17.85546875" style="5" customWidth="1"/>
    <col min="13" max="13" width="17.140625" style="5" customWidth="1"/>
    <col min="14" max="14" width="15" style="5" customWidth="1"/>
    <col min="15" max="15" width="18.7109375" style="5" customWidth="1"/>
    <col min="16" max="16" width="16.5703125" style="5" customWidth="1"/>
    <col min="17" max="17" width="15.7109375" style="5" customWidth="1"/>
    <col min="18" max="18" width="14.42578125" style="5" customWidth="1"/>
    <col min="19" max="19" width="16.85546875" style="5" customWidth="1"/>
    <col min="20" max="20" width="14.28515625" style="5" customWidth="1"/>
    <col min="21" max="21" width="23" style="3" customWidth="1"/>
    <col min="22" max="22" width="20.140625" style="3" customWidth="1"/>
    <col min="23" max="23" width="14.28515625" style="3" customWidth="1"/>
    <col min="24" max="24" width="17.85546875" style="3" customWidth="1"/>
    <col min="25" max="25" width="14.28515625" style="3" customWidth="1"/>
    <col min="26" max="26" width="18.5703125" style="3" customWidth="1"/>
    <col min="27" max="30" width="14.5703125" style="3" customWidth="1"/>
    <col min="31" max="16384" width="9.140625" style="3"/>
  </cols>
  <sheetData>
    <row r="1" spans="1:30" s="14" customFormat="1" ht="30" x14ac:dyDescent="0.25">
      <c r="A1" s="36" t="s">
        <v>479</v>
      </c>
      <c r="B1" s="36" t="s">
        <v>155</v>
      </c>
      <c r="C1" s="36" t="s">
        <v>156</v>
      </c>
      <c r="D1" s="36" t="s">
        <v>154</v>
      </c>
      <c r="E1" s="36" t="s">
        <v>150</v>
      </c>
      <c r="F1" s="36" t="s">
        <v>148</v>
      </c>
      <c r="G1" s="36" t="s">
        <v>147</v>
      </c>
      <c r="H1" s="36" t="s">
        <v>125</v>
      </c>
      <c r="I1" s="36" t="s">
        <v>123</v>
      </c>
      <c r="J1" s="36" t="s">
        <v>122</v>
      </c>
      <c r="K1" s="36" t="s">
        <v>121</v>
      </c>
      <c r="L1" s="36" t="s">
        <v>139</v>
      </c>
      <c r="M1" s="36" t="s">
        <v>131</v>
      </c>
      <c r="N1" s="36" t="s">
        <v>130</v>
      </c>
      <c r="O1" s="36" t="s">
        <v>143</v>
      </c>
      <c r="P1" s="36" t="s">
        <v>142</v>
      </c>
      <c r="Q1" s="36" t="s">
        <v>127</v>
      </c>
      <c r="R1" s="36" t="s">
        <v>133</v>
      </c>
      <c r="S1" s="36" t="s">
        <v>74</v>
      </c>
      <c r="T1" s="36" t="s">
        <v>129</v>
      </c>
      <c r="U1" s="36" t="s">
        <v>141</v>
      </c>
      <c r="V1" s="36" t="s">
        <v>135</v>
      </c>
      <c r="W1" s="36" t="s">
        <v>128</v>
      </c>
      <c r="X1" s="36" t="s">
        <v>78</v>
      </c>
      <c r="Y1" s="36" t="s">
        <v>119</v>
      </c>
      <c r="Z1" s="36" t="s">
        <v>134</v>
      </c>
      <c r="AA1" s="31"/>
      <c r="AB1" s="31"/>
      <c r="AC1" s="31"/>
      <c r="AD1" s="31"/>
    </row>
    <row r="2" spans="1:30" s="26" customFormat="1" x14ac:dyDescent="0.25">
      <c r="A2" s="34" t="s">
        <v>0</v>
      </c>
      <c r="B2" s="16"/>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row>
    <row r="3" spans="1:30" s="26" customFormat="1" x14ac:dyDescent="0.25">
      <c r="A3" s="34" t="s">
        <v>1</v>
      </c>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row>
    <row r="4" spans="1:30"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row>
    <row r="5" spans="1:30" s="26" customFormat="1" x14ac:dyDescent="0.25">
      <c r="A5" s="34" t="s">
        <v>2</v>
      </c>
      <c r="B5" s="16"/>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row>
    <row r="6" spans="1:30" s="26" customFormat="1" x14ac:dyDescent="0.25">
      <c r="A6" s="34" t="s">
        <v>3</v>
      </c>
      <c r="B6" s="16"/>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row>
    <row r="7" spans="1:30" s="26" customFormat="1" x14ac:dyDescent="0.25">
      <c r="A7" s="34" t="s">
        <v>4</v>
      </c>
      <c r="B7" s="16"/>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row>
    <row r="8" spans="1:30" s="26" customFormat="1" x14ac:dyDescent="0.25">
      <c r="A8" s="34" t="s">
        <v>5</v>
      </c>
      <c r="B8" s="16"/>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row>
    <row r="9" spans="1:30" s="26" customFormat="1" x14ac:dyDescent="0.25">
      <c r="A9" s="34" t="s">
        <v>6</v>
      </c>
      <c r="B9" s="16"/>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row>
    <row r="10" spans="1:30" s="26" customFormat="1" x14ac:dyDescent="0.25">
      <c r="A10" s="35" t="s">
        <v>7</v>
      </c>
      <c r="B10" s="19">
        <v>4064</v>
      </c>
      <c r="C10" s="19">
        <v>673</v>
      </c>
      <c r="D10" s="19">
        <v>626</v>
      </c>
      <c r="E10" s="19">
        <v>1392</v>
      </c>
      <c r="F10" s="19">
        <v>220</v>
      </c>
      <c r="G10" s="19">
        <v>26</v>
      </c>
      <c r="H10" s="19">
        <v>6165</v>
      </c>
      <c r="I10" s="19">
        <v>534</v>
      </c>
      <c r="J10" s="19">
        <v>1844</v>
      </c>
      <c r="K10" s="19">
        <v>185</v>
      </c>
      <c r="L10" s="19">
        <v>0</v>
      </c>
      <c r="M10" s="19">
        <v>166</v>
      </c>
      <c r="N10" s="19">
        <v>0</v>
      </c>
      <c r="O10" s="19">
        <v>42</v>
      </c>
      <c r="P10" s="19">
        <v>3155</v>
      </c>
      <c r="Q10" s="19">
        <v>1498</v>
      </c>
      <c r="R10" s="19">
        <v>2094</v>
      </c>
      <c r="S10" s="19">
        <v>1345</v>
      </c>
      <c r="T10" s="19">
        <v>350</v>
      </c>
      <c r="U10" s="19">
        <v>67</v>
      </c>
      <c r="V10" s="19">
        <v>179</v>
      </c>
      <c r="W10" s="19">
        <v>50</v>
      </c>
      <c r="X10" s="19">
        <v>64</v>
      </c>
      <c r="Y10" s="19">
        <v>36</v>
      </c>
      <c r="Z10" s="19">
        <f>162</f>
        <v>162</v>
      </c>
      <c r="AA10" s="19"/>
      <c r="AB10" s="19"/>
      <c r="AC10" s="19"/>
      <c r="AD10" s="19"/>
    </row>
    <row r="11" spans="1:30"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row>
    <row r="13" spans="1:30"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row>
    <row r="14" spans="1:30" s="26" customFormat="1" x14ac:dyDescent="0.25">
      <c r="A14" s="34" t="s">
        <v>10</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row>
    <row r="15" spans="1:30"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row>
    <row r="16" spans="1:30"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row>
    <row r="17" spans="1:30"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s="26" customFormat="1" x14ac:dyDescent="0.25">
      <c r="A18" s="35" t="s">
        <v>14</v>
      </c>
      <c r="B18" s="19">
        <f>4153+647+2732+2263+2018+3015+7433+4374+2987+1636+6897</f>
        <v>38155</v>
      </c>
      <c r="C18" s="19">
        <f>745+100+379+533+451+471+1099+358+386+135+632</f>
        <v>5289</v>
      </c>
      <c r="D18" s="19">
        <f>290+11+17+13+140+39+190+47+74+8+134</f>
        <v>963</v>
      </c>
      <c r="E18" s="19">
        <f>1420+260+1119+921+775+1905+3098+1016+1117+568+1888</f>
        <v>14087</v>
      </c>
      <c r="F18" s="19">
        <f>50+5+63+30+34+102+102+62+10+22</f>
        <v>480</v>
      </c>
      <c r="G18" s="19">
        <f>5+3+1+169+8</f>
        <v>186</v>
      </c>
      <c r="H18" s="19">
        <f>142+12+54+122+354+183+34+2905+539</f>
        <v>4345</v>
      </c>
      <c r="I18" s="19">
        <f>22+24+12+65+20+6+316+25</f>
        <v>490</v>
      </c>
      <c r="J18" s="19">
        <f>53+3+21+4+1+5+240+17+28</f>
        <v>372</v>
      </c>
      <c r="K18" s="19">
        <f>1+1</f>
        <v>2</v>
      </c>
      <c r="L18" s="19">
        <f>18+1</f>
        <v>19</v>
      </c>
      <c r="M18" s="19">
        <f>6+18+7+87+1651+1171+628+1419</f>
        <v>4987</v>
      </c>
      <c r="N18" s="19">
        <f>3+305+31+2</f>
        <v>341</v>
      </c>
      <c r="O18" s="19">
        <f>3+25+4+14+6+40+90</f>
        <v>182</v>
      </c>
      <c r="P18" s="19">
        <f>133+201+868+1030+7572+6129+111+1738+1922</f>
        <v>19704</v>
      </c>
      <c r="Q18" s="19">
        <f>2+3</f>
        <v>5</v>
      </c>
      <c r="R18" s="19">
        <f>78+334+9383+835+845+69+749+1157+159</f>
        <v>13609</v>
      </c>
      <c r="S18" s="19">
        <f>291+9+185+255+225+269+979+336+1606+3790+725</f>
        <v>8670</v>
      </c>
      <c r="T18" s="19">
        <f>14+11+29+55+115+116+371+23+55+88+34</f>
        <v>911</v>
      </c>
      <c r="U18" s="19">
        <v>46</v>
      </c>
      <c r="V18" s="19">
        <f>1+6+29+2+47</f>
        <v>85</v>
      </c>
      <c r="W18" s="19">
        <f>25+1+10+83+6</f>
        <v>125</v>
      </c>
      <c r="X18" s="19">
        <f>49+502+2302+8+20+5</f>
        <v>2886</v>
      </c>
      <c r="Y18" s="19">
        <f>784+11</f>
        <v>795</v>
      </c>
      <c r="Z18" s="19">
        <f>165+725+360+2701+5370+910+590+1006</f>
        <v>11827</v>
      </c>
      <c r="AA18" s="19"/>
      <c r="AB18" s="19"/>
      <c r="AC18" s="19"/>
      <c r="AD18" s="19"/>
    </row>
    <row r="19" spans="1:30" s="26" customFormat="1" x14ac:dyDescent="0.25">
      <c r="A19" s="35" t="s">
        <v>15</v>
      </c>
      <c r="B19" s="19">
        <f>SUM(B10,B18)</f>
        <v>42219</v>
      </c>
      <c r="C19" s="19">
        <f t="shared" ref="C19:AD19" si="0">SUM(C10,C18)</f>
        <v>5962</v>
      </c>
      <c r="D19" s="19">
        <f t="shared" si="0"/>
        <v>1589</v>
      </c>
      <c r="E19" s="19">
        <f t="shared" si="0"/>
        <v>15479</v>
      </c>
      <c r="F19" s="19">
        <f t="shared" si="0"/>
        <v>700</v>
      </c>
      <c r="G19" s="19">
        <f t="shared" si="0"/>
        <v>212</v>
      </c>
      <c r="H19" s="19">
        <f>SUM(H10,H18)</f>
        <v>10510</v>
      </c>
      <c r="I19" s="19">
        <f>SUM(I10,I18)</f>
        <v>1024</v>
      </c>
      <c r="J19" s="19">
        <f>SUM(J10,J18)</f>
        <v>2216</v>
      </c>
      <c r="K19" s="19">
        <f>SUM(K10,K18)</f>
        <v>187</v>
      </c>
      <c r="L19" s="19">
        <f t="shared" si="0"/>
        <v>19</v>
      </c>
      <c r="M19" s="19">
        <f t="shared" si="0"/>
        <v>5153</v>
      </c>
      <c r="N19" s="19">
        <f t="shared" si="0"/>
        <v>341</v>
      </c>
      <c r="O19" s="19">
        <f t="shared" si="0"/>
        <v>224</v>
      </c>
      <c r="P19" s="19">
        <f t="shared" si="0"/>
        <v>22859</v>
      </c>
      <c r="Q19" s="19">
        <f t="shared" si="0"/>
        <v>1503</v>
      </c>
      <c r="R19" s="19">
        <f t="shared" si="0"/>
        <v>15703</v>
      </c>
      <c r="S19" s="19">
        <f t="shared" si="0"/>
        <v>10015</v>
      </c>
      <c r="T19" s="19">
        <f t="shared" si="0"/>
        <v>1261</v>
      </c>
      <c r="U19" s="19">
        <f t="shared" si="0"/>
        <v>113</v>
      </c>
      <c r="V19" s="19">
        <f>SUM(V10,V18)</f>
        <v>264</v>
      </c>
      <c r="W19" s="19">
        <f t="shared" si="0"/>
        <v>175</v>
      </c>
      <c r="X19" s="19">
        <f t="shared" si="0"/>
        <v>2950</v>
      </c>
      <c r="Y19" s="19">
        <f>SUM(Y10,Y18)</f>
        <v>831</v>
      </c>
      <c r="Z19" s="19">
        <f t="shared" si="0"/>
        <v>11989</v>
      </c>
      <c r="AA19" s="19">
        <f t="shared" si="0"/>
        <v>0</v>
      </c>
      <c r="AB19" s="19">
        <f t="shared" si="0"/>
        <v>0</v>
      </c>
      <c r="AC19" s="19">
        <f t="shared" si="0"/>
        <v>0</v>
      </c>
      <c r="AD19" s="19">
        <f t="shared" si="0"/>
        <v>0</v>
      </c>
    </row>
    <row r="21" spans="1:30" x14ac:dyDescent="0.25">
      <c r="B21" s="44"/>
      <c r="C21" s="44"/>
      <c r="D21" s="44"/>
      <c r="E21" s="44"/>
      <c r="F21" s="44"/>
      <c r="G21" s="44"/>
      <c r="L21" s="44"/>
      <c r="M21" s="44"/>
      <c r="N21" s="44"/>
      <c r="O21" s="44"/>
      <c r="P21" s="44"/>
      <c r="Q21" s="44"/>
      <c r="R21" s="44"/>
      <c r="S21" s="44"/>
      <c r="T21" s="44"/>
    </row>
    <row r="23" spans="1:30" x14ac:dyDescent="0.25">
      <c r="B23" s="44"/>
      <c r="C23" s="44"/>
      <c r="D23" s="44"/>
      <c r="E23" s="44"/>
      <c r="F23" s="44"/>
      <c r="G23" s="44"/>
      <c r="L23" s="44"/>
      <c r="M23" s="44"/>
      <c r="N23" s="44"/>
      <c r="O23" s="44"/>
      <c r="P23" s="44"/>
      <c r="Q23" s="44"/>
      <c r="R23" s="44"/>
      <c r="S23" s="44"/>
      <c r="T23" s="44"/>
    </row>
    <row r="25" spans="1:30" x14ac:dyDescent="0.25">
      <c r="B25" s="44"/>
      <c r="C25" s="44"/>
      <c r="D25" s="44"/>
      <c r="E25" s="44"/>
      <c r="F25" s="44"/>
      <c r="G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AD1" xr:uid="{87BE0DE1-8CCD-4B92-8160-22D12469B054}">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2E4E88E1-15B0-406D-B6F6-DAE01DA24A8B}">
          <x14:formula1>
            <xm:f>'Term List'!$A2:$A242</xm:f>
          </x14:formula1>
          <xm:sqref>AE1:XFD1</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06E02-84AD-43F9-9A94-F98FECCA6340}">
  <dimension ref="A1:AD25"/>
  <sheetViews>
    <sheetView workbookViewId="0">
      <pane xSplit="1" ySplit="1" topLeftCell="C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7.42578125" style="5" customWidth="1"/>
    <col min="3" max="3" width="16.28515625" style="5" customWidth="1"/>
    <col min="4" max="4" width="15.85546875" style="5" customWidth="1"/>
    <col min="5" max="5" width="20.140625" style="5" customWidth="1"/>
    <col min="6" max="6" width="16.28515625" style="5" customWidth="1"/>
    <col min="7" max="8" width="15.85546875" style="5" customWidth="1"/>
    <col min="9" max="9" width="21.42578125" style="5" customWidth="1"/>
    <col min="10" max="10" width="16" style="3" customWidth="1"/>
    <col min="11" max="11" width="26.28515625" style="3" customWidth="1"/>
    <col min="12" max="12" width="16.28515625" style="5" customWidth="1"/>
    <col min="13" max="13" width="17" style="5" customWidth="1"/>
    <col min="14" max="14" width="21.140625" style="3" customWidth="1"/>
    <col min="15" max="15" width="21.28515625" style="5" customWidth="1"/>
    <col min="16" max="16" width="18.28515625" style="5" customWidth="1"/>
    <col min="17" max="17" width="17.28515625" style="3" customWidth="1"/>
    <col min="18" max="18" width="19.42578125" style="3" customWidth="1"/>
    <col min="19" max="21" width="15.85546875" style="3" customWidth="1"/>
    <col min="22" max="23" width="16.42578125" style="3" customWidth="1"/>
    <col min="24" max="24" width="23.7109375" style="3" customWidth="1"/>
    <col min="25" max="25" width="17.28515625" style="3" customWidth="1"/>
    <col min="26" max="26" width="16.42578125" style="3" customWidth="1"/>
    <col min="27" max="27" width="18.28515625" style="3" customWidth="1"/>
    <col min="28" max="28" width="17.85546875" style="3" customWidth="1"/>
    <col min="29" max="29" width="17.28515625" style="3" customWidth="1"/>
    <col min="30" max="30" width="17.5703125" style="3" customWidth="1"/>
    <col min="31" max="16384" width="9.140625" style="3"/>
  </cols>
  <sheetData>
    <row r="1" spans="1:30" s="40" customFormat="1" ht="30" x14ac:dyDescent="0.25">
      <c r="A1" s="36" t="s">
        <v>480</v>
      </c>
      <c r="B1" s="36" t="s">
        <v>34</v>
      </c>
      <c r="C1" s="36" t="s">
        <v>63</v>
      </c>
      <c r="D1" s="36" t="s">
        <v>62</v>
      </c>
      <c r="E1" s="36" t="s">
        <v>55</v>
      </c>
      <c r="F1" s="36" t="s">
        <v>36</v>
      </c>
      <c r="G1" s="36" t="s">
        <v>35</v>
      </c>
      <c r="H1" s="36" t="s">
        <v>40</v>
      </c>
      <c r="I1" s="36" t="s">
        <v>96</v>
      </c>
      <c r="J1" s="36" t="s">
        <v>98</v>
      </c>
      <c r="K1" s="36" t="s">
        <v>52</v>
      </c>
      <c r="L1" s="36" t="s">
        <v>571</v>
      </c>
      <c r="M1" s="36" t="s">
        <v>572</v>
      </c>
      <c r="N1" s="36" t="s">
        <v>566</v>
      </c>
      <c r="O1" s="36" t="s">
        <v>567</v>
      </c>
      <c r="P1" s="36" t="s">
        <v>568</v>
      </c>
      <c r="Q1" s="36" t="s">
        <v>105</v>
      </c>
      <c r="R1" s="36" t="s">
        <v>106</v>
      </c>
      <c r="S1" s="36" t="s">
        <v>101</v>
      </c>
      <c r="T1" s="36" t="s">
        <v>75</v>
      </c>
      <c r="U1" s="36" t="s">
        <v>66</v>
      </c>
      <c r="V1" s="36" t="s">
        <v>28</v>
      </c>
      <c r="W1" s="36" t="s">
        <v>89</v>
      </c>
      <c r="X1" s="36" t="s">
        <v>450</v>
      </c>
      <c r="Y1" s="36" t="s">
        <v>48</v>
      </c>
      <c r="Z1" s="36" t="s">
        <v>102</v>
      </c>
      <c r="AA1" s="36" t="s">
        <v>330</v>
      </c>
      <c r="AB1" s="36" t="s">
        <v>331</v>
      </c>
      <c r="AC1" s="36" t="s">
        <v>332</v>
      </c>
      <c r="AD1" s="36" t="s">
        <v>333</v>
      </c>
    </row>
    <row r="2" spans="1:30"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row>
    <row r="3" spans="1:30"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row>
    <row r="4" spans="1:30" s="26" customFormat="1" x14ac:dyDescent="0.25">
      <c r="A4" s="34" t="s">
        <v>169</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row>
    <row r="5" spans="1:30"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row>
    <row r="6" spans="1:30" s="26" customFormat="1" x14ac:dyDescent="0.25">
      <c r="A6" s="34" t="s">
        <v>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s="26" customFormat="1" x14ac:dyDescent="0.25">
      <c r="A7" s="34" t="s">
        <v>4</v>
      </c>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row>
    <row r="8" spans="1:30" s="26" customFormat="1" x14ac:dyDescent="0.25">
      <c r="A8" s="34" t="s">
        <v>5</v>
      </c>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row>
    <row r="9" spans="1:30"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row>
    <row r="10" spans="1:30" s="26" customFormat="1" x14ac:dyDescent="0.25">
      <c r="A10" s="35" t="s">
        <v>7</v>
      </c>
      <c r="B10" s="19">
        <v>13197</v>
      </c>
      <c r="C10" s="19">
        <v>7515</v>
      </c>
      <c r="D10" s="19">
        <v>48000</v>
      </c>
      <c r="E10" s="19">
        <v>4996</v>
      </c>
      <c r="F10" s="19">
        <v>7464</v>
      </c>
      <c r="G10" s="19">
        <v>573</v>
      </c>
      <c r="H10" s="19">
        <f>10*112</f>
        <v>1120</v>
      </c>
      <c r="I10" s="19">
        <v>6647</v>
      </c>
      <c r="J10" s="19">
        <v>6064</v>
      </c>
      <c r="K10" s="19">
        <v>39797</v>
      </c>
      <c r="L10" s="19">
        <v>12322</v>
      </c>
      <c r="M10" s="19">
        <v>9720</v>
      </c>
      <c r="N10" s="19">
        <v>2414</v>
      </c>
      <c r="O10" s="19">
        <v>7804</v>
      </c>
      <c r="P10" s="19">
        <v>2972</v>
      </c>
      <c r="Q10" s="19">
        <v>491949</v>
      </c>
      <c r="R10" s="19">
        <v>429792</v>
      </c>
      <c r="S10" s="19">
        <v>3315450</v>
      </c>
      <c r="T10" s="19">
        <v>3617474</v>
      </c>
      <c r="U10" s="19">
        <v>356950</v>
      </c>
      <c r="V10" s="19">
        <v>5289</v>
      </c>
      <c r="W10" s="19">
        <v>10286</v>
      </c>
      <c r="X10" s="19">
        <v>12607</v>
      </c>
      <c r="Y10" s="19">
        <v>19023</v>
      </c>
      <c r="Z10" s="19">
        <v>27796</v>
      </c>
      <c r="AA10" s="19">
        <v>2554</v>
      </c>
      <c r="AB10" s="19">
        <v>399</v>
      </c>
      <c r="AC10" s="19">
        <v>317</v>
      </c>
      <c r="AD10" s="19">
        <v>1478</v>
      </c>
    </row>
    <row r="11" spans="1:30"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row>
    <row r="13" spans="1:30"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row>
    <row r="14" spans="1:30" s="26" customFormat="1" x14ac:dyDescent="0.25">
      <c r="A14" s="34" t="s">
        <v>10</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row>
    <row r="15" spans="1:30"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row>
    <row r="16" spans="1:30"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row>
    <row r="17" spans="1:30"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s="26" customFormat="1" x14ac:dyDescent="0.25">
      <c r="A18" s="35" t="s">
        <v>14</v>
      </c>
      <c r="B18" s="19">
        <f>86+204+106+677+1673+2155+49+116+700+166</f>
        <v>5932</v>
      </c>
      <c r="C18" s="19">
        <f>4+99+146+298+499+59+120</f>
        <v>1225</v>
      </c>
      <c r="D18" s="19">
        <f>117+291+46+111+162+5590+8890+128+657+519+14</f>
        <v>16525</v>
      </c>
      <c r="E18" s="19">
        <f>5+1651+1252+96+350+65+10</f>
        <v>3429</v>
      </c>
      <c r="F18" s="19">
        <f>10+30+9+468+1457+43+206+137</f>
        <v>2360</v>
      </c>
      <c r="G18" s="19">
        <f>10+40+40+20</f>
        <v>110</v>
      </c>
      <c r="H18" s="19">
        <f>(21+30+20+5+144+1048+135+98)*112</f>
        <v>168112</v>
      </c>
      <c r="I18" s="19">
        <f>25+25+1063+514+95+223</f>
        <v>1945</v>
      </c>
      <c r="J18" s="19">
        <f>18147+1456+2734+13582+182488+135478+20212+42565+4057+20400</f>
        <v>441119</v>
      </c>
      <c r="K18" s="19">
        <f>1126+798+1448+816+4177+104+384+254+560</f>
        <v>9667</v>
      </c>
      <c r="L18" s="19">
        <f>127+416+169+306+196+3062+3210+40+368+81</f>
        <v>7975</v>
      </c>
      <c r="M18" s="19">
        <f>171+206+128+246+77+4623+3294+30+319+119</f>
        <v>9213</v>
      </c>
      <c r="N18" s="19">
        <f>88+14+218+3+182</f>
        <v>505</v>
      </c>
      <c r="O18" s="19">
        <f>708+846+1111+1388+211+3316+3945+679+704+1322+576</f>
        <v>14806</v>
      </c>
      <c r="P18" s="19">
        <f>9+101+99+78+10+222+272+2+49</f>
        <v>842</v>
      </c>
      <c r="Q18" s="19">
        <f>34250+39640+84060+84060+6500+218535+265220+100903+197319+64+65000</f>
        <v>1095551</v>
      </c>
      <c r="R18" s="19">
        <f>24000+11450+36600+43258+3750+133956+259719+37736+92768+26026+8000</f>
        <v>677263</v>
      </c>
      <c r="S18" s="19">
        <f>390850+173000+100000+320326+95000+1179925+1176040+372000+442900+218218+127256</f>
        <v>4595515</v>
      </c>
      <c r="T18" s="19">
        <f>340288+185000+327581+327581+62634+1339872+1196180+292021+529491+150149+6500</f>
        <v>4757297</v>
      </c>
      <c r="U18" s="19">
        <f>123200+600+852+21377+160+168750+127+19300+93925+72072+2974</f>
        <v>503337</v>
      </c>
      <c r="V18" s="19">
        <f>87+48+20+34+12+374+324+14+62+176+108</f>
        <v>1259</v>
      </c>
      <c r="W18" s="19">
        <f>104+50+151+82+110+704+2562+24+163+313+104</f>
        <v>4367</v>
      </c>
      <c r="X18" s="19">
        <f>144+43+83+91+20+389+1780+25+244+256+154</f>
        <v>3229</v>
      </c>
      <c r="Y18" s="19">
        <f>87+48+64+91+54+1397+1408+6+320+281+93</f>
        <v>3849</v>
      </c>
      <c r="Z18" s="19">
        <f>168+40+25+84+32+941+3564+32+312+406+177</f>
        <v>5781</v>
      </c>
      <c r="AA18" s="19">
        <f>189+112+590+1148+216+101</f>
        <v>2356</v>
      </c>
      <c r="AB18" s="19">
        <f>9+11+43+52+62+1+52</f>
        <v>230</v>
      </c>
      <c r="AC18" s="19">
        <f>3+1+3</f>
        <v>7</v>
      </c>
      <c r="AD18" s="19">
        <f>153+42+4+3+40+56</f>
        <v>298</v>
      </c>
    </row>
    <row r="19" spans="1:30" s="26" customFormat="1" x14ac:dyDescent="0.25">
      <c r="A19" s="35" t="s">
        <v>15</v>
      </c>
      <c r="B19" s="19">
        <f t="shared" ref="B19:AD19" si="0">SUM(B10,B18)</f>
        <v>19129</v>
      </c>
      <c r="C19" s="19">
        <f t="shared" si="0"/>
        <v>8740</v>
      </c>
      <c r="D19" s="19">
        <f t="shared" si="0"/>
        <v>64525</v>
      </c>
      <c r="E19" s="19">
        <f t="shared" si="0"/>
        <v>8425</v>
      </c>
      <c r="F19" s="19">
        <f t="shared" si="0"/>
        <v>9824</v>
      </c>
      <c r="G19" s="19">
        <f t="shared" si="0"/>
        <v>683</v>
      </c>
      <c r="H19" s="19">
        <f t="shared" si="0"/>
        <v>169232</v>
      </c>
      <c r="I19" s="19">
        <f t="shared" si="0"/>
        <v>8592</v>
      </c>
      <c r="J19" s="19">
        <f t="shared" si="0"/>
        <v>447183</v>
      </c>
      <c r="K19" s="19">
        <f t="shared" si="0"/>
        <v>49464</v>
      </c>
      <c r="L19" s="19">
        <f t="shared" si="0"/>
        <v>20297</v>
      </c>
      <c r="M19" s="19">
        <f t="shared" si="0"/>
        <v>18933</v>
      </c>
      <c r="N19" s="19">
        <f t="shared" si="0"/>
        <v>2919</v>
      </c>
      <c r="O19" s="19">
        <f t="shared" si="0"/>
        <v>22610</v>
      </c>
      <c r="P19" s="19">
        <f t="shared" si="0"/>
        <v>3814</v>
      </c>
      <c r="Q19" s="19">
        <f t="shared" si="0"/>
        <v>1587500</v>
      </c>
      <c r="R19" s="19">
        <f t="shared" si="0"/>
        <v>1107055</v>
      </c>
      <c r="S19" s="19">
        <f t="shared" si="0"/>
        <v>7910965</v>
      </c>
      <c r="T19" s="19">
        <f t="shared" si="0"/>
        <v>8374771</v>
      </c>
      <c r="U19" s="19">
        <f t="shared" si="0"/>
        <v>860287</v>
      </c>
      <c r="V19" s="19">
        <f t="shared" si="0"/>
        <v>6548</v>
      </c>
      <c r="W19" s="19">
        <f t="shared" si="0"/>
        <v>14653</v>
      </c>
      <c r="X19" s="19">
        <f t="shared" si="0"/>
        <v>15836</v>
      </c>
      <c r="Y19" s="19">
        <f t="shared" si="0"/>
        <v>22872</v>
      </c>
      <c r="Z19" s="19">
        <f t="shared" si="0"/>
        <v>33577</v>
      </c>
      <c r="AA19" s="19">
        <f t="shared" si="0"/>
        <v>4910</v>
      </c>
      <c r="AB19" s="19">
        <f t="shared" si="0"/>
        <v>629</v>
      </c>
      <c r="AC19" s="19">
        <f t="shared" si="0"/>
        <v>324</v>
      </c>
      <c r="AD19" s="19">
        <f t="shared" si="0"/>
        <v>1776</v>
      </c>
    </row>
    <row r="20" spans="1:30" x14ac:dyDescent="0.25">
      <c r="H20" s="44"/>
      <c r="R20" s="5"/>
      <c r="V20" s="5"/>
      <c r="W20" s="5"/>
    </row>
    <row r="21" spans="1:30" x14ac:dyDescent="0.25">
      <c r="B21" s="44"/>
      <c r="C21" s="44"/>
      <c r="D21" s="44"/>
      <c r="E21" s="44"/>
      <c r="F21" s="44"/>
      <c r="G21" s="44"/>
      <c r="H21" s="44"/>
      <c r="I21" s="44"/>
      <c r="J21" s="44"/>
      <c r="K21" s="44"/>
      <c r="L21" s="44"/>
      <c r="M21" s="44"/>
      <c r="N21" s="44"/>
      <c r="O21" s="44"/>
      <c r="P21" s="44"/>
      <c r="Q21" s="44"/>
      <c r="R21" s="44"/>
      <c r="S21" s="44"/>
      <c r="T21" s="44"/>
      <c r="U21" s="44"/>
      <c r="V21" s="44"/>
      <c r="W21" s="44"/>
      <c r="X21" s="47"/>
      <c r="AA21" s="44"/>
      <c r="AB21" s="44"/>
      <c r="AC21" s="44"/>
      <c r="AD21" s="44"/>
    </row>
    <row r="22" spans="1:30" x14ac:dyDescent="0.25">
      <c r="B22" s="44"/>
      <c r="C22" s="44"/>
      <c r="D22" s="44"/>
      <c r="E22" s="44"/>
      <c r="F22" s="44"/>
      <c r="G22" s="44"/>
      <c r="H22" s="44"/>
      <c r="I22" s="44"/>
      <c r="J22" s="44"/>
      <c r="K22" s="44"/>
      <c r="L22" s="44"/>
      <c r="M22" s="44"/>
      <c r="N22" s="44"/>
      <c r="O22" s="44"/>
      <c r="P22" s="44"/>
      <c r="Q22" s="44"/>
      <c r="R22" s="44"/>
      <c r="S22" s="44"/>
      <c r="T22" s="44"/>
      <c r="U22" s="44"/>
      <c r="V22" s="44"/>
      <c r="W22" s="44"/>
      <c r="AA22" s="44"/>
      <c r="AB22" s="44"/>
      <c r="AC22" s="44"/>
      <c r="AD22" s="44"/>
    </row>
    <row r="23" spans="1:30" x14ac:dyDescent="0.25">
      <c r="B23" s="44"/>
      <c r="C23" s="44"/>
      <c r="D23" s="44"/>
      <c r="E23" s="44"/>
      <c r="F23" s="44"/>
      <c r="G23" s="44"/>
      <c r="H23" s="44"/>
      <c r="I23" s="44"/>
      <c r="J23" s="44"/>
      <c r="K23" s="44"/>
      <c r="L23" s="44"/>
      <c r="M23" s="44"/>
      <c r="N23" s="44"/>
      <c r="O23" s="44"/>
      <c r="P23" s="44"/>
      <c r="Q23" s="44"/>
      <c r="R23" s="44"/>
      <c r="S23" s="44"/>
      <c r="T23" s="44"/>
      <c r="U23" s="44"/>
      <c r="V23" s="44"/>
      <c r="W23" s="44"/>
      <c r="AA23" s="44"/>
      <c r="AB23" s="44"/>
      <c r="AC23" s="44"/>
      <c r="AD23" s="44"/>
    </row>
    <row r="24" spans="1:30" x14ac:dyDescent="0.25">
      <c r="B24" s="44"/>
      <c r="C24" s="44"/>
      <c r="D24" s="44"/>
      <c r="E24" s="44"/>
      <c r="F24" s="44"/>
      <c r="G24" s="44"/>
      <c r="H24" s="44"/>
      <c r="I24" s="44"/>
      <c r="J24" s="44"/>
      <c r="K24" s="44"/>
      <c r="L24" s="44"/>
      <c r="M24" s="44"/>
      <c r="N24" s="44"/>
      <c r="O24" s="44"/>
      <c r="P24" s="44"/>
      <c r="Q24" s="44"/>
      <c r="R24" s="44"/>
      <c r="S24" s="44"/>
      <c r="T24" s="44"/>
      <c r="U24" s="44"/>
      <c r="V24" s="44"/>
      <c r="W24" s="44"/>
      <c r="AA24" s="44"/>
      <c r="AB24" s="44"/>
      <c r="AC24" s="44"/>
      <c r="AD24" s="44"/>
    </row>
    <row r="25" spans="1:30" x14ac:dyDescent="0.25">
      <c r="B25" s="44"/>
      <c r="C25" s="44"/>
      <c r="D25" s="44"/>
      <c r="E25" s="44"/>
      <c r="F25" s="44"/>
      <c r="G25" s="44"/>
      <c r="H25" s="44"/>
      <c r="I25" s="44"/>
      <c r="J25" s="44"/>
      <c r="K25" s="44"/>
      <c r="L25" s="44"/>
      <c r="M25" s="44"/>
      <c r="N25" s="44"/>
      <c r="O25" s="44"/>
      <c r="P25" s="44"/>
      <c r="Q25" s="44"/>
      <c r="R25" s="44"/>
      <c r="S25" s="44"/>
      <c r="T25" s="44"/>
      <c r="U25" s="44"/>
      <c r="V25" s="44"/>
      <c r="W25" s="44"/>
      <c r="AA25" s="44"/>
      <c r="AB25" s="44"/>
      <c r="AC25" s="44"/>
      <c r="AD25" s="44"/>
    </row>
  </sheetData>
  <sheetProtection formatCells="0" formatColumns="0" formatRows="0" insertColumns="0" insertRows="0" sort="0" autoFilter="0" pivotTables="0"/>
  <dataValidations count="1">
    <dataValidation type="list" errorStyle="information" allowBlank="1" showInputMessage="1" showErrorMessage="1" sqref="B1:AD1" xr:uid="{DED077ED-EDE6-4CF6-A923-FC3A554501DF}">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2821E0D-F293-4ACE-A241-57A92C4701A7}">
          <x14:formula1>
            <xm:f>'Term List'!$A2:$A242</xm:f>
          </x14:formula1>
          <xm:sqref>AE1:XFD1</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494C9-8097-44B4-84DF-26DB9B3D506B}">
  <dimension ref="A1:AD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ColWidth="16.42578125" defaultRowHeight="15" x14ac:dyDescent="0.25"/>
  <cols>
    <col min="1" max="1" width="35.7109375" style="6" bestFit="1" customWidth="1"/>
    <col min="2" max="7" width="16.42578125" style="5"/>
    <col min="8" max="11" width="16.42578125" style="3"/>
    <col min="12" max="20" width="16.42578125" style="5"/>
    <col min="21" max="16384" width="16.42578125" style="3"/>
  </cols>
  <sheetData>
    <row r="1" spans="1:30" s="14" customFormat="1" ht="30" x14ac:dyDescent="0.25">
      <c r="A1" s="36" t="s">
        <v>473</v>
      </c>
      <c r="B1" s="36" t="s">
        <v>155</v>
      </c>
      <c r="C1" s="36" t="s">
        <v>156</v>
      </c>
      <c r="D1" s="36" t="s">
        <v>154</v>
      </c>
      <c r="E1" s="36" t="s">
        <v>150</v>
      </c>
      <c r="F1" s="36" t="s">
        <v>148</v>
      </c>
      <c r="G1" s="36" t="s">
        <v>147</v>
      </c>
      <c r="H1" s="36" t="s">
        <v>125</v>
      </c>
      <c r="I1" s="36" t="s">
        <v>122</v>
      </c>
      <c r="J1" s="36" t="s">
        <v>123</v>
      </c>
      <c r="K1" s="36" t="s">
        <v>121</v>
      </c>
      <c r="L1" s="36" t="s">
        <v>139</v>
      </c>
      <c r="M1" s="36" t="s">
        <v>131</v>
      </c>
      <c r="N1" s="36" t="s">
        <v>130</v>
      </c>
      <c r="O1" s="36" t="s">
        <v>143</v>
      </c>
      <c r="P1" s="36" t="s">
        <v>142</v>
      </c>
      <c r="Q1" s="36" t="s">
        <v>127</v>
      </c>
      <c r="R1" s="36" t="s">
        <v>133</v>
      </c>
      <c r="S1" s="36" t="s">
        <v>74</v>
      </c>
      <c r="T1" s="36" t="s">
        <v>129</v>
      </c>
      <c r="U1" s="36" t="s">
        <v>141</v>
      </c>
      <c r="V1" s="36" t="s">
        <v>135</v>
      </c>
      <c r="W1" s="36" t="s">
        <v>128</v>
      </c>
      <c r="X1" s="36" t="s">
        <v>78</v>
      </c>
      <c r="Y1" s="36" t="s">
        <v>119</v>
      </c>
      <c r="Z1" s="36" t="s">
        <v>134</v>
      </c>
      <c r="AA1" s="31"/>
      <c r="AB1" s="31"/>
      <c r="AC1" s="31"/>
      <c r="AD1" s="31"/>
    </row>
    <row r="2" spans="1:30" s="26" customFormat="1" x14ac:dyDescent="0.25">
      <c r="A2" s="34" t="s">
        <v>0</v>
      </c>
      <c r="B2" s="16"/>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row>
    <row r="3" spans="1:30" s="26" customFormat="1" x14ac:dyDescent="0.25">
      <c r="A3" s="34" t="s">
        <v>1</v>
      </c>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row>
    <row r="4" spans="1:30"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row>
    <row r="5" spans="1:30" s="26" customFormat="1" x14ac:dyDescent="0.25">
      <c r="A5" s="34" t="s">
        <v>2</v>
      </c>
      <c r="B5" s="16"/>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row>
    <row r="6" spans="1:30" s="26" customFormat="1" x14ac:dyDescent="0.25">
      <c r="A6" s="34" t="s">
        <v>3</v>
      </c>
      <c r="B6" s="16"/>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row>
    <row r="7" spans="1:30" s="26" customFormat="1" x14ac:dyDescent="0.25">
      <c r="A7" s="34" t="s">
        <v>4</v>
      </c>
      <c r="B7" s="16"/>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row>
    <row r="8" spans="1:30" s="26" customFormat="1" x14ac:dyDescent="0.25">
      <c r="A8" s="34" t="s">
        <v>5</v>
      </c>
      <c r="B8" s="16"/>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row>
    <row r="9" spans="1:30" s="26" customFormat="1" x14ac:dyDescent="0.25">
      <c r="A9" s="34" t="s">
        <v>6</v>
      </c>
      <c r="B9" s="16"/>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row>
    <row r="10" spans="1:30" s="26" customFormat="1" x14ac:dyDescent="0.25">
      <c r="A10" s="35" t="s">
        <v>7</v>
      </c>
      <c r="B10" s="19">
        <v>4774</v>
      </c>
      <c r="C10" s="19">
        <v>673</v>
      </c>
      <c r="D10" s="42">
        <v>1374.5</v>
      </c>
      <c r="E10" s="19">
        <v>2268</v>
      </c>
      <c r="F10" s="19">
        <v>201</v>
      </c>
      <c r="G10" s="110">
        <f>20.25</f>
        <v>20.25</v>
      </c>
      <c r="H10" s="19">
        <v>6220</v>
      </c>
      <c r="I10" s="19">
        <v>2853.5</v>
      </c>
      <c r="J10" s="110">
        <v>554.25</v>
      </c>
      <c r="K10" s="19">
        <v>289</v>
      </c>
      <c r="L10" s="19">
        <v>0</v>
      </c>
      <c r="M10" s="19">
        <f>123</f>
        <v>123</v>
      </c>
      <c r="N10" s="19">
        <v>0</v>
      </c>
      <c r="O10" s="19">
        <v>32</v>
      </c>
      <c r="P10" s="19">
        <v>4320</v>
      </c>
      <c r="Q10" s="19">
        <v>43</v>
      </c>
      <c r="R10" s="19">
        <v>7554</v>
      </c>
      <c r="S10" s="19">
        <v>803</v>
      </c>
      <c r="T10" s="42">
        <v>75</v>
      </c>
      <c r="U10" s="42">
        <v>160</v>
      </c>
      <c r="V10" s="19">
        <v>66</v>
      </c>
      <c r="W10" s="19">
        <v>4</v>
      </c>
      <c r="X10" s="19">
        <v>297</v>
      </c>
      <c r="Y10" s="19">
        <v>0</v>
      </c>
      <c r="Z10" s="19">
        <v>380</v>
      </c>
      <c r="AA10" s="19"/>
      <c r="AB10" s="19"/>
      <c r="AC10" s="19"/>
      <c r="AD10" s="19"/>
    </row>
    <row r="11" spans="1:30" s="26" customFormat="1" x14ac:dyDescent="0.25">
      <c r="A11" s="34" t="s">
        <v>8</v>
      </c>
      <c r="B11" s="16"/>
      <c r="C11" s="16"/>
      <c r="D11" s="43"/>
      <c r="E11" s="16"/>
      <c r="F11" s="16"/>
      <c r="G11" s="111"/>
      <c r="H11" s="16"/>
      <c r="I11" s="16"/>
      <c r="J11" s="111"/>
      <c r="K11" s="16"/>
      <c r="L11" s="16"/>
      <c r="M11" s="16"/>
      <c r="N11" s="16"/>
      <c r="O11" s="16"/>
      <c r="P11" s="16"/>
      <c r="Q11" s="16"/>
      <c r="R11" s="16"/>
      <c r="S11" s="16"/>
      <c r="T11" s="43"/>
      <c r="U11" s="43"/>
      <c r="V11" s="16"/>
      <c r="W11" s="16"/>
      <c r="X11" s="16"/>
      <c r="Y11" s="16"/>
      <c r="Z11" s="16"/>
      <c r="AA11" s="16"/>
      <c r="AB11" s="16"/>
      <c r="AC11" s="16"/>
      <c r="AD11" s="16"/>
    </row>
    <row r="12" spans="1:30" s="26" customFormat="1" x14ac:dyDescent="0.25">
      <c r="A12" s="34" t="s">
        <v>9</v>
      </c>
      <c r="B12" s="16"/>
      <c r="C12" s="16"/>
      <c r="D12" s="43"/>
      <c r="E12" s="16"/>
      <c r="F12" s="16"/>
      <c r="G12" s="111"/>
      <c r="H12" s="16"/>
      <c r="I12" s="16"/>
      <c r="J12" s="111"/>
      <c r="K12" s="16"/>
      <c r="L12" s="16"/>
      <c r="M12" s="16"/>
      <c r="N12" s="16"/>
      <c r="O12" s="16"/>
      <c r="P12" s="16"/>
      <c r="Q12" s="16"/>
      <c r="R12" s="16"/>
      <c r="S12" s="16"/>
      <c r="T12" s="43"/>
      <c r="U12" s="43"/>
      <c r="V12" s="16"/>
      <c r="W12" s="16"/>
      <c r="X12" s="16"/>
      <c r="Y12" s="16"/>
      <c r="Z12" s="16"/>
      <c r="AA12" s="16"/>
      <c r="AB12" s="16"/>
      <c r="AC12" s="16"/>
      <c r="AD12" s="16"/>
    </row>
    <row r="13" spans="1:30" s="26" customFormat="1" x14ac:dyDescent="0.25">
      <c r="A13" s="34" t="s">
        <v>164</v>
      </c>
      <c r="B13" s="16"/>
      <c r="C13" s="16"/>
      <c r="D13" s="43"/>
      <c r="E13" s="16"/>
      <c r="F13" s="16"/>
      <c r="G13" s="111"/>
      <c r="H13" s="16"/>
      <c r="I13" s="16"/>
      <c r="J13" s="111"/>
      <c r="K13" s="16"/>
      <c r="L13" s="16"/>
      <c r="M13" s="16"/>
      <c r="N13" s="16"/>
      <c r="O13" s="16"/>
      <c r="P13" s="16"/>
      <c r="Q13" s="16"/>
      <c r="R13" s="16"/>
      <c r="S13" s="16"/>
      <c r="T13" s="43"/>
      <c r="U13" s="43"/>
      <c r="V13" s="16"/>
      <c r="W13" s="16"/>
      <c r="X13" s="16"/>
      <c r="Y13" s="16"/>
      <c r="Z13" s="16"/>
      <c r="AA13" s="16"/>
      <c r="AB13" s="16"/>
      <c r="AC13" s="16"/>
      <c r="AD13" s="16"/>
    </row>
    <row r="14" spans="1:30" s="26" customFormat="1" x14ac:dyDescent="0.25">
      <c r="A14" s="34" t="s">
        <v>10</v>
      </c>
      <c r="B14" s="16"/>
      <c r="C14" s="16"/>
      <c r="D14" s="43"/>
      <c r="E14" s="16"/>
      <c r="F14" s="16"/>
      <c r="G14" s="111"/>
      <c r="H14" s="16"/>
      <c r="I14" s="16"/>
      <c r="J14" s="111"/>
      <c r="K14" s="16"/>
      <c r="L14" s="16"/>
      <c r="M14" s="16"/>
      <c r="N14" s="16"/>
      <c r="O14" s="16"/>
      <c r="P14" s="16"/>
      <c r="Q14" s="16"/>
      <c r="R14" s="16"/>
      <c r="S14" s="16"/>
      <c r="T14" s="43"/>
      <c r="U14" s="43"/>
      <c r="V14" s="16"/>
      <c r="W14" s="16"/>
      <c r="X14" s="16"/>
      <c r="Y14" s="16"/>
      <c r="Z14" s="16"/>
      <c r="AA14" s="16"/>
      <c r="AB14" s="16"/>
      <c r="AC14" s="16"/>
      <c r="AD14" s="16"/>
    </row>
    <row r="15" spans="1:30" s="26" customFormat="1" x14ac:dyDescent="0.25">
      <c r="A15" s="34" t="s">
        <v>11</v>
      </c>
      <c r="B15" s="16"/>
      <c r="C15" s="16"/>
      <c r="D15" s="43"/>
      <c r="E15" s="16"/>
      <c r="F15" s="16"/>
      <c r="G15" s="111"/>
      <c r="H15" s="16"/>
      <c r="I15" s="16"/>
      <c r="J15" s="111"/>
      <c r="K15" s="16"/>
      <c r="L15" s="16"/>
      <c r="M15" s="16"/>
      <c r="N15" s="16"/>
      <c r="O15" s="16"/>
      <c r="P15" s="16"/>
      <c r="Q15" s="16"/>
      <c r="R15" s="16"/>
      <c r="S15" s="16"/>
      <c r="T15" s="43"/>
      <c r="U15" s="43"/>
      <c r="V15" s="16"/>
      <c r="W15" s="16"/>
      <c r="X15" s="16"/>
      <c r="Y15" s="16"/>
      <c r="Z15" s="16"/>
      <c r="AA15" s="16"/>
      <c r="AB15" s="16"/>
      <c r="AC15" s="16"/>
      <c r="AD15" s="16"/>
    </row>
    <row r="16" spans="1:30" s="26" customFormat="1" x14ac:dyDescent="0.25">
      <c r="A16" s="34" t="s">
        <v>12</v>
      </c>
      <c r="B16" s="16"/>
      <c r="C16" s="16"/>
      <c r="D16" s="43"/>
      <c r="E16" s="16"/>
      <c r="F16" s="16"/>
      <c r="G16" s="111"/>
      <c r="H16" s="16"/>
      <c r="I16" s="16"/>
      <c r="J16" s="111"/>
      <c r="K16" s="16"/>
      <c r="L16" s="16"/>
      <c r="M16" s="16"/>
      <c r="N16" s="16"/>
      <c r="O16" s="16"/>
      <c r="P16" s="16"/>
      <c r="Q16" s="16"/>
      <c r="R16" s="16"/>
      <c r="S16" s="16"/>
      <c r="T16" s="43"/>
      <c r="U16" s="43"/>
      <c r="V16" s="16"/>
      <c r="W16" s="16"/>
      <c r="X16" s="16"/>
      <c r="Y16" s="16"/>
      <c r="Z16" s="16"/>
      <c r="AA16" s="16"/>
      <c r="AB16" s="16"/>
      <c r="AC16" s="16"/>
      <c r="AD16" s="16"/>
    </row>
    <row r="17" spans="1:30" s="26" customFormat="1" x14ac:dyDescent="0.25">
      <c r="A17" s="34" t="s">
        <v>13</v>
      </c>
      <c r="B17" s="16"/>
      <c r="C17" s="16"/>
      <c r="D17" s="43"/>
      <c r="E17" s="16"/>
      <c r="F17" s="16"/>
      <c r="G17" s="111"/>
      <c r="H17" s="16"/>
      <c r="I17" s="16"/>
      <c r="J17" s="111"/>
      <c r="K17" s="16"/>
      <c r="L17" s="16"/>
      <c r="M17" s="16"/>
      <c r="N17" s="16"/>
      <c r="O17" s="16"/>
      <c r="P17" s="16"/>
      <c r="Q17" s="16"/>
      <c r="R17" s="16"/>
      <c r="S17" s="16"/>
      <c r="T17" s="43"/>
      <c r="U17" s="43"/>
      <c r="V17" s="16"/>
      <c r="W17" s="16"/>
      <c r="X17" s="16"/>
      <c r="Y17" s="16"/>
      <c r="Z17" s="16"/>
      <c r="AA17" s="16"/>
      <c r="AB17" s="16"/>
      <c r="AC17" s="16"/>
      <c r="AD17" s="16"/>
    </row>
    <row r="18" spans="1:30" s="26" customFormat="1" x14ac:dyDescent="0.25">
      <c r="A18" s="35" t="s">
        <v>14</v>
      </c>
      <c r="B18" s="19">
        <f>5350+1760+3110+4860+2848+7198+8921+5864+1940+2340+53</f>
        <v>44244</v>
      </c>
      <c r="C18" s="19">
        <f>1318+301+895+1131+579+931+1188+498+303+388+770</f>
        <v>8302</v>
      </c>
      <c r="D18" s="42">
        <f>321+45+11+52+407+166+551+17+60+22+171</f>
        <v>1823</v>
      </c>
      <c r="E18" s="19">
        <f>1751+514+1491+1986+1046+2602+5685+1462+1002+682+3297</f>
        <v>21518</v>
      </c>
      <c r="F18" s="19">
        <f>55+29+89+32+150+248+4+12</f>
        <v>619</v>
      </c>
      <c r="G18" s="110">
        <f>32+119+5.5+63+417+97+17+22+10</f>
        <v>782.5</v>
      </c>
      <c r="H18" s="19">
        <f>930+33+174+170+1363+34+4+6039+785</f>
        <v>9532</v>
      </c>
      <c r="I18" s="19">
        <f>30+4+132+13+125.5+108+43+607+73</f>
        <v>1135.5</v>
      </c>
      <c r="J18" s="110">
        <f>11+3+245+13+9+3+2</f>
        <v>286</v>
      </c>
      <c r="K18" s="19">
        <f>12+3+41+5</f>
        <v>61</v>
      </c>
      <c r="L18" s="19">
        <f>4+15+6+2+89</f>
        <v>116</v>
      </c>
      <c r="M18" s="19">
        <f>24+84+459+2177+443+1881</f>
        <v>5068</v>
      </c>
      <c r="N18" s="19">
        <f>1+4+1</f>
        <v>6</v>
      </c>
      <c r="O18" s="19">
        <f>14+27+10+2+19+39+3+2*1.5</f>
        <v>117</v>
      </c>
      <c r="P18" s="19">
        <f>237+162+432+371+3277+615+3644+146+474+3796+93</f>
        <v>13247</v>
      </c>
      <c r="Q18" s="19">
        <v>5</v>
      </c>
      <c r="R18" s="19">
        <f>294+261+303+2340+387+493+302+215</f>
        <v>4595</v>
      </c>
      <c r="S18" s="19">
        <f>259+35+151.5+167+133.5+240+845+310+771+1915+774</f>
        <v>5601</v>
      </c>
      <c r="T18" s="42">
        <f>4+16+22+253+41+40+12.5</f>
        <v>388.5</v>
      </c>
      <c r="U18" s="42">
        <f>29+40+18+33.5</f>
        <v>120.5</v>
      </c>
      <c r="V18" s="19">
        <f>14+48+8+4</f>
        <v>74</v>
      </c>
      <c r="W18" s="19">
        <f>1.5+4+4+10.5</f>
        <v>20</v>
      </c>
      <c r="X18" s="19">
        <f>8+804</f>
        <v>812</v>
      </c>
      <c r="Y18" s="19">
        <v>210</v>
      </c>
      <c r="Z18" s="19">
        <f>150+840+981+2794+5093+1830+72+461</f>
        <v>12221</v>
      </c>
      <c r="AA18" s="19"/>
      <c r="AB18" s="19"/>
      <c r="AC18" s="19"/>
      <c r="AD18" s="19"/>
    </row>
    <row r="19" spans="1:30" s="26" customFormat="1" x14ac:dyDescent="0.25">
      <c r="A19" s="35" t="s">
        <v>15</v>
      </c>
      <c r="B19" s="19">
        <f>SUM(B10,B18)</f>
        <v>49018</v>
      </c>
      <c r="C19" s="19">
        <f t="shared" ref="C19:AD19" si="0">SUM(C10,C18)</f>
        <v>8975</v>
      </c>
      <c r="D19" s="42">
        <f t="shared" si="0"/>
        <v>3197.5</v>
      </c>
      <c r="E19" s="19">
        <f t="shared" si="0"/>
        <v>23786</v>
      </c>
      <c r="F19" s="19">
        <f t="shared" si="0"/>
        <v>820</v>
      </c>
      <c r="G19" s="110">
        <f t="shared" si="0"/>
        <v>802.75</v>
      </c>
      <c r="H19" s="19">
        <f>SUM(H10,H18)</f>
        <v>15752</v>
      </c>
      <c r="I19" s="19">
        <f>SUM(I10,I18)</f>
        <v>3989</v>
      </c>
      <c r="J19" s="110">
        <f>SUM(J10,J18)</f>
        <v>840.25</v>
      </c>
      <c r="K19" s="19">
        <f>SUM(K10,K18)</f>
        <v>350</v>
      </c>
      <c r="L19" s="19">
        <f t="shared" si="0"/>
        <v>116</v>
      </c>
      <c r="M19" s="19">
        <f t="shared" si="0"/>
        <v>5191</v>
      </c>
      <c r="N19" s="19">
        <f t="shared" si="0"/>
        <v>6</v>
      </c>
      <c r="O19" s="19">
        <f t="shared" si="0"/>
        <v>149</v>
      </c>
      <c r="P19" s="19">
        <f t="shared" si="0"/>
        <v>17567</v>
      </c>
      <c r="Q19" s="19">
        <f t="shared" si="0"/>
        <v>48</v>
      </c>
      <c r="R19" s="19">
        <f t="shared" si="0"/>
        <v>12149</v>
      </c>
      <c r="S19" s="19">
        <f t="shared" si="0"/>
        <v>6404</v>
      </c>
      <c r="T19" s="42">
        <f t="shared" si="0"/>
        <v>463.5</v>
      </c>
      <c r="U19" s="42">
        <f t="shared" si="0"/>
        <v>280.5</v>
      </c>
      <c r="V19" s="19">
        <f>SUM(V10,V18)</f>
        <v>140</v>
      </c>
      <c r="W19" s="19">
        <f t="shared" si="0"/>
        <v>24</v>
      </c>
      <c r="X19" s="19">
        <f t="shared" si="0"/>
        <v>1109</v>
      </c>
      <c r="Y19" s="19">
        <f>SUM(Y10,Y18)</f>
        <v>210</v>
      </c>
      <c r="Z19" s="19">
        <f t="shared" si="0"/>
        <v>12601</v>
      </c>
      <c r="AA19" s="19">
        <f t="shared" si="0"/>
        <v>0</v>
      </c>
      <c r="AB19" s="19">
        <f t="shared" si="0"/>
        <v>0</v>
      </c>
      <c r="AC19" s="19">
        <f t="shared" si="0"/>
        <v>0</v>
      </c>
      <c r="AD19" s="19">
        <f t="shared" si="0"/>
        <v>0</v>
      </c>
    </row>
    <row r="21" spans="1:30" x14ac:dyDescent="0.25">
      <c r="B21" s="44"/>
      <c r="C21" s="44"/>
      <c r="D21" s="44"/>
      <c r="E21" s="44"/>
      <c r="F21" s="44"/>
      <c r="G21" s="44"/>
      <c r="L21" s="44"/>
      <c r="M21" s="44"/>
      <c r="N21" s="44"/>
      <c r="O21" s="44"/>
      <c r="P21" s="44"/>
      <c r="Q21" s="44"/>
      <c r="R21" s="44"/>
      <c r="S21" s="44"/>
      <c r="T21" s="44"/>
    </row>
    <row r="23" spans="1:30" x14ac:dyDescent="0.25">
      <c r="B23" s="44"/>
      <c r="C23" s="44"/>
      <c r="D23" s="44"/>
      <c r="E23" s="44"/>
      <c r="F23" s="44"/>
      <c r="G23" s="44"/>
      <c r="L23" s="44"/>
      <c r="M23" s="44"/>
      <c r="N23" s="44"/>
      <c r="O23" s="44"/>
      <c r="P23" s="44"/>
      <c r="Q23" s="44"/>
      <c r="R23" s="44"/>
      <c r="S23" s="44"/>
      <c r="T23" s="44"/>
    </row>
    <row r="25" spans="1:30" x14ac:dyDescent="0.25">
      <c r="B25" s="44"/>
      <c r="C25" s="44"/>
      <c r="D25" s="44"/>
      <c r="E25" s="44"/>
      <c r="F25" s="44"/>
      <c r="G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AD1" xr:uid="{7C198DC4-0F52-4325-93DC-5E7D590795FE}">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219173A0-B6F4-48D2-A717-5CAD0E316098}">
          <x14:formula1>
            <xm:f>'Term List'!$A2:$A242</xm:f>
          </x14:formula1>
          <xm:sqref>AE1:XFD1</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BC95D-CAF0-4D72-A0A4-C2D3FE553B46}">
  <dimension ref="A1:AD25"/>
  <sheetViews>
    <sheetView workbookViewId="0">
      <pane xSplit="1" ySplit="1" topLeftCell="B2" activePane="bottomRight" state="frozen"/>
      <selection activeCell="E23" sqref="E23"/>
      <selection pane="topRight" activeCell="E23" sqref="E23"/>
      <selection pane="bottomLeft" activeCell="E23" sqref="E23"/>
      <selection pane="bottomRight" activeCell="B5" sqref="B5"/>
    </sheetView>
  </sheetViews>
  <sheetFormatPr defaultRowHeight="15" x14ac:dyDescent="0.25"/>
  <cols>
    <col min="1" max="1" width="35.7109375" style="6" bestFit="1" customWidth="1"/>
    <col min="2" max="2" width="17.42578125" style="5" customWidth="1"/>
    <col min="3" max="3" width="16.28515625" style="5" customWidth="1"/>
    <col min="4" max="4" width="15.85546875" style="5" customWidth="1"/>
    <col min="5" max="5" width="20.140625" style="5" customWidth="1"/>
    <col min="6" max="6" width="16.28515625" style="5" customWidth="1"/>
    <col min="7" max="8" width="15.85546875" style="5" customWidth="1"/>
    <col min="9" max="9" width="21.42578125" style="5" customWidth="1"/>
    <col min="10" max="10" width="16" style="3" customWidth="1"/>
    <col min="11" max="11" width="26.28515625" style="3" customWidth="1"/>
    <col min="12" max="12" width="16.28515625" style="5" customWidth="1"/>
    <col min="13" max="13" width="17" style="5" customWidth="1"/>
    <col min="14" max="14" width="21.140625" style="3" customWidth="1"/>
    <col min="15" max="15" width="21.28515625" style="5" customWidth="1"/>
    <col min="16" max="16" width="18.28515625" style="5" customWidth="1"/>
    <col min="17" max="17" width="17.28515625" style="3" customWidth="1"/>
    <col min="18" max="18" width="19.42578125" style="3" customWidth="1"/>
    <col min="19" max="21" width="15.85546875" style="3" customWidth="1"/>
    <col min="22" max="23" width="16.42578125" style="3" customWidth="1"/>
    <col min="24" max="24" width="23.7109375" style="3" customWidth="1"/>
    <col min="25" max="25" width="17.28515625" style="3" customWidth="1"/>
    <col min="26" max="26" width="16.42578125" style="3" customWidth="1"/>
    <col min="27" max="27" width="18.28515625" style="3" customWidth="1"/>
    <col min="28" max="28" width="17.85546875" style="3" customWidth="1"/>
    <col min="29" max="29" width="17.28515625" style="3" customWidth="1"/>
    <col min="30" max="30" width="17.5703125" style="3" customWidth="1"/>
    <col min="31" max="16384" width="9.140625" style="3"/>
  </cols>
  <sheetData>
    <row r="1" spans="1:30" s="40" customFormat="1" ht="30" x14ac:dyDescent="0.25">
      <c r="A1" s="36" t="s">
        <v>472</v>
      </c>
      <c r="B1" s="36" t="s">
        <v>34</v>
      </c>
      <c r="C1" s="36" t="s">
        <v>63</v>
      </c>
      <c r="D1" s="36" t="s">
        <v>62</v>
      </c>
      <c r="E1" s="36" t="s">
        <v>55</v>
      </c>
      <c r="F1" s="36" t="s">
        <v>36</v>
      </c>
      <c r="G1" s="36" t="s">
        <v>35</v>
      </c>
      <c r="H1" s="36" t="s">
        <v>40</v>
      </c>
      <c r="I1" s="36" t="s">
        <v>96</v>
      </c>
      <c r="J1" s="36" t="s">
        <v>98</v>
      </c>
      <c r="K1" s="36" t="s">
        <v>52</v>
      </c>
      <c r="L1" s="36" t="s">
        <v>571</v>
      </c>
      <c r="M1" s="36" t="s">
        <v>572</v>
      </c>
      <c r="N1" s="36" t="s">
        <v>566</v>
      </c>
      <c r="O1" s="36" t="s">
        <v>567</v>
      </c>
      <c r="P1" s="36" t="s">
        <v>568</v>
      </c>
      <c r="Q1" s="36" t="s">
        <v>105</v>
      </c>
      <c r="R1" s="36" t="s">
        <v>106</v>
      </c>
      <c r="S1" s="36" t="s">
        <v>101</v>
      </c>
      <c r="T1" s="36" t="s">
        <v>75</v>
      </c>
      <c r="U1" s="36" t="s">
        <v>66</v>
      </c>
      <c r="V1" s="36" t="s">
        <v>28</v>
      </c>
      <c r="W1" s="36" t="s">
        <v>89</v>
      </c>
      <c r="X1" s="36" t="s">
        <v>450</v>
      </c>
      <c r="Y1" s="36" t="s">
        <v>48</v>
      </c>
      <c r="Z1" s="36" t="s">
        <v>102</v>
      </c>
      <c r="AA1" s="36" t="s">
        <v>330</v>
      </c>
      <c r="AB1" s="36" t="s">
        <v>331</v>
      </c>
      <c r="AC1" s="36" t="s">
        <v>332</v>
      </c>
      <c r="AD1" s="36" t="s">
        <v>333</v>
      </c>
    </row>
    <row r="2" spans="1:30"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row>
    <row r="3" spans="1:30"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row>
    <row r="4" spans="1:30" s="26" customFormat="1" x14ac:dyDescent="0.25">
      <c r="A4" s="34" t="s">
        <v>169</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row>
    <row r="5" spans="1:30"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row>
    <row r="6" spans="1:30" s="26" customFormat="1" x14ac:dyDescent="0.25">
      <c r="A6" s="34" t="s">
        <v>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s="26" customFormat="1" x14ac:dyDescent="0.25">
      <c r="A7" s="34" t="s">
        <v>4</v>
      </c>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row>
    <row r="8" spans="1:30" s="26" customFormat="1" x14ac:dyDescent="0.25">
      <c r="A8" s="34" t="s">
        <v>5</v>
      </c>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row>
    <row r="9" spans="1:30"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row>
    <row r="10" spans="1:30" s="26" customFormat="1" x14ac:dyDescent="0.25">
      <c r="A10" s="35" t="s">
        <v>7</v>
      </c>
      <c r="B10" s="19">
        <v>24557</v>
      </c>
      <c r="C10" s="19">
        <v>6654</v>
      </c>
      <c r="D10" s="19">
        <v>60468</v>
      </c>
      <c r="E10" s="19">
        <v>8303</v>
      </c>
      <c r="F10" s="19">
        <v>5661</v>
      </c>
      <c r="G10" s="19">
        <v>355</v>
      </c>
      <c r="H10" s="19">
        <v>0</v>
      </c>
      <c r="I10" s="19">
        <v>17105</v>
      </c>
      <c r="J10" s="19">
        <v>12350</v>
      </c>
      <c r="K10" s="19">
        <v>24228</v>
      </c>
      <c r="L10" s="19">
        <v>6626</v>
      </c>
      <c r="M10" s="19">
        <v>7159</v>
      </c>
      <c r="N10" s="19">
        <v>776</v>
      </c>
      <c r="O10" s="19">
        <v>18042</v>
      </c>
      <c r="P10" s="19">
        <v>646</v>
      </c>
      <c r="Q10" s="19">
        <v>439171</v>
      </c>
      <c r="R10" s="19">
        <v>189455</v>
      </c>
      <c r="S10" s="19">
        <v>3995958</v>
      </c>
      <c r="T10" s="19">
        <v>3472378</v>
      </c>
      <c r="U10" s="19">
        <v>742300</v>
      </c>
      <c r="V10" s="19">
        <v>1977</v>
      </c>
      <c r="W10" s="19">
        <v>7384</v>
      </c>
      <c r="X10" s="19">
        <v>17113</v>
      </c>
      <c r="Y10" s="19">
        <v>7975</v>
      </c>
      <c r="Z10" s="19">
        <v>10341</v>
      </c>
      <c r="AA10" s="19">
        <v>1019</v>
      </c>
      <c r="AB10" s="19">
        <f>431</f>
        <v>431</v>
      </c>
      <c r="AC10" s="19">
        <v>334</v>
      </c>
      <c r="AD10" s="19">
        <v>1899</v>
      </c>
    </row>
    <row r="11" spans="1:30"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row>
    <row r="13" spans="1:30"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row>
    <row r="14" spans="1:30" s="26" customFormat="1" x14ac:dyDescent="0.25">
      <c r="A14" s="34" t="s">
        <v>10</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row>
    <row r="15" spans="1:30"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row>
    <row r="16" spans="1:30"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row>
    <row r="17" spans="1:30"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s="26" customFormat="1" x14ac:dyDescent="0.25">
      <c r="A18" s="35" t="s">
        <v>14</v>
      </c>
      <c r="B18" s="19">
        <f>271+110+116+1518+1615+39+18+32+378</f>
        <v>4097</v>
      </c>
      <c r="C18" s="19">
        <f>36+56+15+8+119+39+40+54+112</f>
        <v>479</v>
      </c>
      <c r="D18" s="19">
        <f>52+35+8+112+98+2158+5571+73+467+61+8</f>
        <v>8643</v>
      </c>
      <c r="E18" s="19">
        <f>30+20+373+2667+20+122+34</f>
        <v>3266</v>
      </c>
      <c r="F18" s="19">
        <f>30+40+1090+20+42</f>
        <v>1222</v>
      </c>
      <c r="G18" s="19">
        <v>38</v>
      </c>
      <c r="H18" s="19">
        <f>(14+3+188+866+4)*112</f>
        <v>120400</v>
      </c>
      <c r="I18" s="19">
        <f>30+14+27+16+494+1</f>
        <v>582</v>
      </c>
      <c r="J18" s="19">
        <f>15397+2796+5484+17112+135624+48585+27734</f>
        <v>252732</v>
      </c>
      <c r="K18" s="19">
        <f>374+380+270+390+4267+900+999+1149+84</f>
        <v>8813</v>
      </c>
      <c r="L18" s="19">
        <f>252+419+170+44+428+1329+105+257+3</f>
        <v>3007</v>
      </c>
      <c r="M18" s="19">
        <f>163+455+50+11+483+898+46+122</f>
        <v>2228</v>
      </c>
      <c r="N18" s="19">
        <v>70</v>
      </c>
      <c r="O18" s="19">
        <f>602+2269+1585+3668+596+1785+7997+2105+1354+1554</f>
        <v>23515</v>
      </c>
      <c r="P18" s="19">
        <f>60+99+55+207+109+35+73+20</f>
        <v>658</v>
      </c>
      <c r="Q18" s="19">
        <f>18360+67000+182237+173817+264135+795170+60000+17600</f>
        <v>1578319</v>
      </c>
      <c r="R18" s="19">
        <f>322260+28000+67060+95996+123604+373896+18000+65300</f>
        <v>1094116</v>
      </c>
      <c r="S18" s="19">
        <f>539000+303938+143000+1154265+2487370+257380+526700</f>
        <v>5411653</v>
      </c>
      <c r="T18" s="19">
        <f>365353+279000+8167544+72687+5390+471986+2223496+488815+327179+2000+130244</f>
        <v>12533694</v>
      </c>
      <c r="U18" s="19">
        <f>71950+1296+2048+851+700+2784+1801+713+1191</f>
        <v>83334</v>
      </c>
      <c r="V18" s="19">
        <f>95+75+30+14+398+27+7+48</f>
        <v>694</v>
      </c>
      <c r="W18" s="19">
        <f>87+59+27+14+12+1379+140+56+141</f>
        <v>1915</v>
      </c>
      <c r="X18" s="19">
        <f>85+85+55+2+30+350+64+30+183</f>
        <v>884</v>
      </c>
      <c r="Y18" s="19">
        <f>82+76+51+40+444+32+55+57</f>
        <v>837</v>
      </c>
      <c r="Z18" s="19">
        <f>90+51+74+636+59+40+59</f>
        <v>1009</v>
      </c>
      <c r="AA18" s="19">
        <f>20+21+12+248+27+198+1095+281+124+145</f>
        <v>2171</v>
      </c>
      <c r="AB18" s="19">
        <f>15+1+37+20+349+89+46</f>
        <v>557</v>
      </c>
      <c r="AC18" s="19">
        <f>12+2+8+36+7</f>
        <v>65</v>
      </c>
      <c r="AD18" s="19">
        <f>77+31+30+1+68+362+36+45+118</f>
        <v>768</v>
      </c>
    </row>
    <row r="19" spans="1:30" s="26" customFormat="1" x14ac:dyDescent="0.25">
      <c r="A19" s="35" t="s">
        <v>15</v>
      </c>
      <c r="B19" s="19">
        <f t="shared" ref="B19:AD19" si="0">SUM(B10,B18)</f>
        <v>28654</v>
      </c>
      <c r="C19" s="19">
        <f t="shared" si="0"/>
        <v>7133</v>
      </c>
      <c r="D19" s="19">
        <f t="shared" si="0"/>
        <v>69111</v>
      </c>
      <c r="E19" s="19">
        <f t="shared" si="0"/>
        <v>11569</v>
      </c>
      <c r="F19" s="19">
        <f t="shared" si="0"/>
        <v>6883</v>
      </c>
      <c r="G19" s="19">
        <f t="shared" si="0"/>
        <v>393</v>
      </c>
      <c r="H19" s="19">
        <f t="shared" si="0"/>
        <v>120400</v>
      </c>
      <c r="I19" s="19">
        <f t="shared" si="0"/>
        <v>17687</v>
      </c>
      <c r="J19" s="19">
        <f t="shared" si="0"/>
        <v>265082</v>
      </c>
      <c r="K19" s="19">
        <f t="shared" si="0"/>
        <v>33041</v>
      </c>
      <c r="L19" s="19">
        <f t="shared" si="0"/>
        <v>9633</v>
      </c>
      <c r="M19" s="19">
        <f t="shared" si="0"/>
        <v>9387</v>
      </c>
      <c r="N19" s="19">
        <f t="shared" si="0"/>
        <v>846</v>
      </c>
      <c r="O19" s="19">
        <f t="shared" si="0"/>
        <v>41557</v>
      </c>
      <c r="P19" s="19">
        <f t="shared" si="0"/>
        <v>1304</v>
      </c>
      <c r="Q19" s="19">
        <f t="shared" si="0"/>
        <v>2017490</v>
      </c>
      <c r="R19" s="19">
        <f t="shared" si="0"/>
        <v>1283571</v>
      </c>
      <c r="S19" s="19">
        <f t="shared" si="0"/>
        <v>9407611</v>
      </c>
      <c r="T19" s="19">
        <f t="shared" si="0"/>
        <v>16006072</v>
      </c>
      <c r="U19" s="19">
        <f t="shared" si="0"/>
        <v>825634</v>
      </c>
      <c r="V19" s="19">
        <f t="shared" si="0"/>
        <v>2671</v>
      </c>
      <c r="W19" s="19">
        <f t="shared" si="0"/>
        <v>9299</v>
      </c>
      <c r="X19" s="19">
        <f t="shared" si="0"/>
        <v>17997</v>
      </c>
      <c r="Y19" s="19">
        <f t="shared" si="0"/>
        <v>8812</v>
      </c>
      <c r="Z19" s="19">
        <f t="shared" si="0"/>
        <v>11350</v>
      </c>
      <c r="AA19" s="19">
        <f t="shared" si="0"/>
        <v>3190</v>
      </c>
      <c r="AB19" s="19">
        <f t="shared" si="0"/>
        <v>988</v>
      </c>
      <c r="AC19" s="19">
        <f t="shared" si="0"/>
        <v>399</v>
      </c>
      <c r="AD19" s="19">
        <f t="shared" si="0"/>
        <v>2667</v>
      </c>
    </row>
    <row r="20" spans="1:30" x14ac:dyDescent="0.25">
      <c r="H20" s="44"/>
      <c r="R20" s="5"/>
      <c r="V20" s="5"/>
      <c r="W20" s="5"/>
    </row>
    <row r="21" spans="1:30" x14ac:dyDescent="0.25">
      <c r="B21" s="44"/>
      <c r="C21" s="44"/>
      <c r="D21" s="44"/>
      <c r="E21" s="44"/>
      <c r="F21" s="44"/>
      <c r="G21" s="44"/>
      <c r="H21" s="44"/>
      <c r="I21" s="44"/>
      <c r="J21" s="44"/>
      <c r="K21" s="44"/>
      <c r="L21" s="44"/>
      <c r="M21" s="44"/>
      <c r="N21" s="44"/>
      <c r="O21" s="44"/>
      <c r="P21" s="44"/>
      <c r="Q21" s="44"/>
      <c r="R21" s="44"/>
      <c r="S21" s="44"/>
      <c r="T21" s="44"/>
      <c r="U21" s="44"/>
      <c r="V21" s="44"/>
      <c r="W21" s="44"/>
      <c r="AA21" s="44"/>
      <c r="AB21" s="44"/>
      <c r="AC21" s="44"/>
      <c r="AD21" s="44"/>
    </row>
    <row r="22" spans="1:30" x14ac:dyDescent="0.25">
      <c r="B22" s="44"/>
      <c r="C22" s="44"/>
      <c r="D22" s="44"/>
      <c r="E22" s="44"/>
      <c r="F22" s="44"/>
      <c r="G22" s="44"/>
      <c r="H22" s="44"/>
      <c r="I22" s="44"/>
      <c r="J22" s="44"/>
      <c r="K22" s="44"/>
      <c r="L22" s="44"/>
      <c r="M22" s="44"/>
      <c r="N22" s="44"/>
      <c r="O22" s="44"/>
      <c r="P22" s="44"/>
      <c r="Q22" s="44"/>
      <c r="R22" s="44"/>
      <c r="S22" s="44"/>
      <c r="T22" s="44"/>
      <c r="U22" s="44"/>
      <c r="V22" s="44"/>
      <c r="W22" s="44"/>
      <c r="AA22" s="44"/>
      <c r="AB22" s="44"/>
      <c r="AC22" s="44"/>
      <c r="AD22" s="44"/>
    </row>
    <row r="23" spans="1:30" x14ac:dyDescent="0.25">
      <c r="B23" s="44"/>
      <c r="C23" s="44"/>
      <c r="D23" s="44"/>
      <c r="E23" s="44"/>
      <c r="F23" s="44"/>
      <c r="G23" s="44"/>
      <c r="H23" s="44"/>
      <c r="I23" s="44"/>
      <c r="J23" s="44"/>
      <c r="K23" s="44"/>
      <c r="L23" s="44"/>
      <c r="M23" s="44"/>
      <c r="N23" s="44"/>
      <c r="O23" s="44"/>
      <c r="P23" s="44"/>
      <c r="Q23" s="44"/>
      <c r="R23" s="44"/>
      <c r="S23" s="44"/>
      <c r="T23" s="44"/>
      <c r="U23" s="44"/>
      <c r="V23" s="44"/>
      <c r="W23" s="44"/>
      <c r="AA23" s="44"/>
      <c r="AB23" s="44"/>
      <c r="AC23" s="44"/>
      <c r="AD23" s="44"/>
    </row>
    <row r="24" spans="1:30" x14ac:dyDescent="0.25">
      <c r="B24" s="44"/>
      <c r="C24" s="44"/>
      <c r="D24" s="44"/>
      <c r="E24" s="44"/>
      <c r="F24" s="44"/>
      <c r="G24" s="44"/>
      <c r="H24" s="44"/>
      <c r="I24" s="44"/>
      <c r="J24" s="44"/>
      <c r="K24" s="44"/>
      <c r="L24" s="44"/>
      <c r="M24" s="44"/>
      <c r="N24" s="44"/>
      <c r="O24" s="44"/>
      <c r="P24" s="44"/>
      <c r="Q24" s="44"/>
      <c r="R24" s="44"/>
      <c r="S24" s="44"/>
      <c r="T24" s="44"/>
      <c r="U24" s="44"/>
      <c r="V24" s="44"/>
      <c r="W24" s="44"/>
      <c r="AA24" s="44"/>
      <c r="AB24" s="44"/>
      <c r="AC24" s="44"/>
      <c r="AD24" s="44"/>
    </row>
    <row r="25" spans="1:30" x14ac:dyDescent="0.25">
      <c r="B25" s="44"/>
      <c r="C25" s="44"/>
      <c r="D25" s="44"/>
      <c r="E25" s="44"/>
      <c r="F25" s="44"/>
      <c r="G25" s="44"/>
      <c r="H25" s="44"/>
      <c r="I25" s="44"/>
      <c r="J25" s="44"/>
      <c r="K25" s="44"/>
      <c r="L25" s="44"/>
      <c r="M25" s="44"/>
      <c r="N25" s="44"/>
      <c r="O25" s="44"/>
      <c r="P25" s="44"/>
      <c r="Q25" s="44"/>
      <c r="R25" s="44"/>
      <c r="S25" s="44"/>
      <c r="T25" s="44"/>
      <c r="U25" s="44"/>
      <c r="V25" s="44"/>
      <c r="W25" s="44"/>
      <c r="AA25" s="44"/>
      <c r="AB25" s="44"/>
      <c r="AC25" s="44"/>
      <c r="AD25" s="44"/>
    </row>
  </sheetData>
  <sheetProtection formatCells="0" formatColumns="0" formatRows="0" insertColumns="0" insertRows="0" sort="0" autoFilter="0" pivotTables="0"/>
  <dataValidations count="1">
    <dataValidation type="list" errorStyle="information" allowBlank="1" showInputMessage="1" showErrorMessage="1" sqref="B1:AD1" xr:uid="{5CFE2E71-E532-4F87-8E47-2C9D4DDC4696}">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7F963D06-1E74-4B36-8678-EAC700B80FDD}">
          <x14:formula1>
            <xm:f>'Term List'!$A2:$A242</xm:f>
          </x14:formula1>
          <xm:sqref>AE1:XFD1</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86D37-CC6E-4D31-B872-60974E9A8118}">
  <dimension ref="A1:AD25"/>
  <sheetViews>
    <sheetView workbookViewId="0">
      <pane xSplit="1" ySplit="1" topLeftCell="H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1.42578125" style="5" bestFit="1" customWidth="1"/>
    <col min="8" max="8" width="15" style="3" bestFit="1" customWidth="1"/>
    <col min="9" max="9" width="15.140625" style="3" bestFit="1" customWidth="1"/>
    <col min="10" max="10" width="13.5703125" style="3" bestFit="1" customWidth="1"/>
    <col min="11" max="11" width="12.85546875" style="3" bestFit="1" customWidth="1"/>
    <col min="12" max="12" width="15.85546875" style="5" bestFit="1" customWidth="1"/>
    <col min="13" max="13" width="15.140625" style="5" bestFit="1" customWidth="1"/>
    <col min="14" max="14" width="12.85546875" style="5" bestFit="1" customWidth="1"/>
    <col min="15" max="15" width="16.7109375" style="5" bestFit="1" customWidth="1"/>
    <col min="16" max="16" width="14.5703125" style="5" bestFit="1" customWidth="1"/>
    <col min="17" max="17" width="13.7109375" style="5" bestFit="1" customWidth="1"/>
    <col min="18" max="18" width="8" style="5" bestFit="1" customWidth="1"/>
    <col min="19" max="19" width="14.85546875" style="5" bestFit="1" customWidth="1"/>
    <col min="20" max="20" width="11.85546875" style="5" bestFit="1" customWidth="1"/>
    <col min="21" max="21" width="21.140625" style="3" bestFit="1" customWidth="1"/>
    <col min="22" max="22" width="18.28515625" style="3" bestFit="1" customWidth="1"/>
    <col min="23" max="23" width="12.140625" style="3" bestFit="1" customWidth="1"/>
    <col min="24" max="24" width="15.85546875" style="3" bestFit="1" customWidth="1"/>
    <col min="25" max="25" width="11.5703125" style="3" bestFit="1" customWidth="1"/>
    <col min="26" max="26" width="16.140625" style="3" bestFit="1" customWidth="1"/>
    <col min="27" max="30" width="5.140625" style="3" bestFit="1" customWidth="1"/>
    <col min="31" max="16384" width="9.140625" style="3"/>
  </cols>
  <sheetData>
    <row r="1" spans="1:30" s="14" customFormat="1" ht="30" x14ac:dyDescent="0.25">
      <c r="A1" s="36" t="s">
        <v>470</v>
      </c>
      <c r="B1" s="36" t="s">
        <v>155</v>
      </c>
      <c r="C1" s="36" t="s">
        <v>156</v>
      </c>
      <c r="D1" s="36" t="s">
        <v>154</v>
      </c>
      <c r="E1" s="36" t="s">
        <v>150</v>
      </c>
      <c r="F1" s="36" t="s">
        <v>148</v>
      </c>
      <c r="G1" s="36" t="s">
        <v>147</v>
      </c>
      <c r="H1" s="36" t="s">
        <v>125</v>
      </c>
      <c r="I1" s="36" t="s">
        <v>122</v>
      </c>
      <c r="J1" s="36" t="s">
        <v>123</v>
      </c>
      <c r="K1" s="36" t="s">
        <v>121</v>
      </c>
      <c r="L1" s="36" t="s">
        <v>139</v>
      </c>
      <c r="M1" s="36" t="s">
        <v>131</v>
      </c>
      <c r="N1" s="36" t="s">
        <v>130</v>
      </c>
      <c r="O1" s="36" t="s">
        <v>143</v>
      </c>
      <c r="P1" s="36" t="s">
        <v>142</v>
      </c>
      <c r="Q1" s="36" t="s">
        <v>127</v>
      </c>
      <c r="R1" s="36" t="s">
        <v>133</v>
      </c>
      <c r="S1" s="36" t="s">
        <v>74</v>
      </c>
      <c r="T1" s="36" t="s">
        <v>129</v>
      </c>
      <c r="U1" s="36" t="s">
        <v>141</v>
      </c>
      <c r="V1" s="36" t="s">
        <v>135</v>
      </c>
      <c r="W1" s="36" t="s">
        <v>128</v>
      </c>
      <c r="X1" s="36" t="s">
        <v>78</v>
      </c>
      <c r="Y1" s="36" t="s">
        <v>119</v>
      </c>
      <c r="Z1" s="36" t="s">
        <v>134</v>
      </c>
      <c r="AA1" s="31"/>
      <c r="AB1" s="31"/>
      <c r="AC1" s="31"/>
      <c r="AD1" s="31"/>
    </row>
    <row r="2" spans="1:30" s="26" customFormat="1" x14ac:dyDescent="0.25">
      <c r="A2" s="34" t="s">
        <v>0</v>
      </c>
      <c r="B2" s="16"/>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row>
    <row r="3" spans="1:30" s="26" customFormat="1" x14ac:dyDescent="0.25">
      <c r="A3" s="34" t="s">
        <v>1</v>
      </c>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row>
    <row r="4" spans="1:30"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row>
    <row r="5" spans="1:30" s="26" customFormat="1" x14ac:dyDescent="0.25">
      <c r="A5" s="34" t="s">
        <v>2</v>
      </c>
      <c r="B5" s="16"/>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row>
    <row r="6" spans="1:30" s="26" customFormat="1" x14ac:dyDescent="0.25">
      <c r="A6" s="34" t="s">
        <v>3</v>
      </c>
      <c r="B6" s="16"/>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row>
    <row r="7" spans="1:30" s="26" customFormat="1" x14ac:dyDescent="0.25">
      <c r="A7" s="34" t="s">
        <v>4</v>
      </c>
      <c r="B7" s="16"/>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row>
    <row r="8" spans="1:30" s="26" customFormat="1" x14ac:dyDescent="0.25">
      <c r="A8" s="34" t="s">
        <v>5</v>
      </c>
      <c r="B8" s="16"/>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row>
    <row r="9" spans="1:30" s="26" customFormat="1" x14ac:dyDescent="0.25">
      <c r="A9" s="34" t="s">
        <v>6</v>
      </c>
      <c r="B9" s="16"/>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row>
    <row r="10" spans="1:30" s="26" customFormat="1" x14ac:dyDescent="0.25">
      <c r="A10" s="35" t="s">
        <v>7</v>
      </c>
      <c r="B10" s="19">
        <v>7632</v>
      </c>
      <c r="C10" s="42">
        <v>2143.5</v>
      </c>
      <c r="D10" s="42">
        <v>670</v>
      </c>
      <c r="E10" s="19">
        <v>2609</v>
      </c>
      <c r="F10" s="19">
        <v>275</v>
      </c>
      <c r="G10" s="42">
        <v>56.5</v>
      </c>
      <c r="H10" s="19">
        <v>5284</v>
      </c>
      <c r="I10" s="42">
        <v>1774.5</v>
      </c>
      <c r="J10" s="19">
        <v>110</v>
      </c>
      <c r="K10" s="42">
        <v>540.5</v>
      </c>
      <c r="L10" s="19">
        <v>0</v>
      </c>
      <c r="M10" s="42">
        <v>532.5</v>
      </c>
      <c r="N10" s="19">
        <v>1</v>
      </c>
      <c r="O10" s="19">
        <v>285</v>
      </c>
      <c r="P10" s="19">
        <v>6490</v>
      </c>
      <c r="Q10" s="19">
        <v>0</v>
      </c>
      <c r="R10" s="19">
        <v>11530</v>
      </c>
      <c r="S10" s="42">
        <v>1059.5</v>
      </c>
      <c r="T10" s="42">
        <v>79.5</v>
      </c>
      <c r="U10" s="19">
        <v>44</v>
      </c>
      <c r="V10" s="42">
        <v>64</v>
      </c>
      <c r="W10" s="19">
        <v>46</v>
      </c>
      <c r="X10" s="19">
        <v>330</v>
      </c>
      <c r="Y10" s="19">
        <v>863</v>
      </c>
      <c r="Z10" s="19">
        <v>1873</v>
      </c>
      <c r="AA10" s="19"/>
      <c r="AB10" s="19"/>
      <c r="AC10" s="19"/>
      <c r="AD10" s="19"/>
    </row>
    <row r="11" spans="1:30" s="26" customFormat="1" x14ac:dyDescent="0.25">
      <c r="A11" s="34" t="s">
        <v>8</v>
      </c>
      <c r="B11" s="16"/>
      <c r="C11" s="43"/>
      <c r="D11" s="43"/>
      <c r="E11" s="16"/>
      <c r="F11" s="16"/>
      <c r="G11" s="43"/>
      <c r="H11" s="16"/>
      <c r="I11" s="43"/>
      <c r="J11" s="16"/>
      <c r="K11" s="43"/>
      <c r="L11" s="16"/>
      <c r="M11" s="43"/>
      <c r="N11" s="16"/>
      <c r="O11" s="16"/>
      <c r="P11" s="16"/>
      <c r="Q11" s="16"/>
      <c r="R11" s="16"/>
      <c r="S11" s="43"/>
      <c r="T11" s="43"/>
      <c r="U11" s="16"/>
      <c r="V11" s="43"/>
      <c r="W11" s="16"/>
      <c r="X11" s="16"/>
      <c r="Y11" s="16"/>
      <c r="Z11" s="16"/>
      <c r="AA11" s="16"/>
      <c r="AB11" s="16"/>
      <c r="AC11" s="16"/>
      <c r="AD11" s="16"/>
    </row>
    <row r="12" spans="1:30" s="26" customFormat="1" x14ac:dyDescent="0.25">
      <c r="A12" s="34" t="s">
        <v>9</v>
      </c>
      <c r="B12" s="16"/>
      <c r="C12" s="43"/>
      <c r="D12" s="43"/>
      <c r="E12" s="16"/>
      <c r="F12" s="16"/>
      <c r="G12" s="43"/>
      <c r="H12" s="16"/>
      <c r="I12" s="43"/>
      <c r="J12" s="16"/>
      <c r="K12" s="43"/>
      <c r="L12" s="16"/>
      <c r="M12" s="43"/>
      <c r="N12" s="16"/>
      <c r="O12" s="16"/>
      <c r="P12" s="16"/>
      <c r="Q12" s="16"/>
      <c r="R12" s="16"/>
      <c r="S12" s="43"/>
      <c r="T12" s="43"/>
      <c r="U12" s="16"/>
      <c r="V12" s="43"/>
      <c r="W12" s="16"/>
      <c r="X12" s="16"/>
      <c r="Y12" s="16"/>
      <c r="Z12" s="16"/>
      <c r="AA12" s="16"/>
      <c r="AB12" s="16"/>
      <c r="AC12" s="16"/>
      <c r="AD12" s="16"/>
    </row>
    <row r="13" spans="1:30" s="26" customFormat="1" x14ac:dyDescent="0.25">
      <c r="A13" s="34" t="s">
        <v>164</v>
      </c>
      <c r="B13" s="16"/>
      <c r="C13" s="43"/>
      <c r="D13" s="43"/>
      <c r="E13" s="16"/>
      <c r="F13" s="16"/>
      <c r="G13" s="43"/>
      <c r="H13" s="16"/>
      <c r="I13" s="43"/>
      <c r="J13" s="16"/>
      <c r="K13" s="43"/>
      <c r="L13" s="16"/>
      <c r="M13" s="43"/>
      <c r="N13" s="16"/>
      <c r="O13" s="16"/>
      <c r="P13" s="16"/>
      <c r="Q13" s="16"/>
      <c r="R13" s="16"/>
      <c r="S13" s="43"/>
      <c r="T13" s="43"/>
      <c r="U13" s="16"/>
      <c r="V13" s="43"/>
      <c r="W13" s="16"/>
      <c r="X13" s="16"/>
      <c r="Y13" s="16"/>
      <c r="Z13" s="16"/>
      <c r="AA13" s="16"/>
      <c r="AB13" s="16"/>
      <c r="AC13" s="16"/>
      <c r="AD13" s="16"/>
    </row>
    <row r="14" spans="1:30" s="26" customFormat="1" x14ac:dyDescent="0.25">
      <c r="A14" s="34" t="s">
        <v>10</v>
      </c>
      <c r="B14" s="16"/>
      <c r="C14" s="43"/>
      <c r="D14" s="43"/>
      <c r="E14" s="16"/>
      <c r="F14" s="16"/>
      <c r="G14" s="43"/>
      <c r="H14" s="16"/>
      <c r="I14" s="43"/>
      <c r="J14" s="16"/>
      <c r="K14" s="43"/>
      <c r="L14" s="16"/>
      <c r="M14" s="43"/>
      <c r="N14" s="16"/>
      <c r="O14" s="16"/>
      <c r="P14" s="16"/>
      <c r="Q14" s="16"/>
      <c r="R14" s="16"/>
      <c r="S14" s="43"/>
      <c r="T14" s="43"/>
      <c r="U14" s="16"/>
      <c r="V14" s="43"/>
      <c r="W14" s="16"/>
      <c r="X14" s="16"/>
      <c r="Y14" s="16"/>
      <c r="Z14" s="16"/>
      <c r="AA14" s="16"/>
      <c r="AB14" s="16"/>
      <c r="AC14" s="16"/>
      <c r="AD14" s="16"/>
    </row>
    <row r="15" spans="1:30" s="26" customFormat="1" x14ac:dyDescent="0.25">
      <c r="A15" s="34" t="s">
        <v>11</v>
      </c>
      <c r="B15" s="16"/>
      <c r="C15" s="43"/>
      <c r="D15" s="43"/>
      <c r="E15" s="16"/>
      <c r="F15" s="16"/>
      <c r="G15" s="43"/>
      <c r="H15" s="16"/>
      <c r="I15" s="43"/>
      <c r="J15" s="16"/>
      <c r="K15" s="43"/>
      <c r="L15" s="16"/>
      <c r="M15" s="43"/>
      <c r="N15" s="16"/>
      <c r="O15" s="16"/>
      <c r="P15" s="16"/>
      <c r="Q15" s="16"/>
      <c r="R15" s="16"/>
      <c r="S15" s="43"/>
      <c r="T15" s="43"/>
      <c r="U15" s="16"/>
      <c r="V15" s="43"/>
      <c r="W15" s="16"/>
      <c r="X15" s="16"/>
      <c r="Y15" s="16"/>
      <c r="Z15" s="16"/>
      <c r="AA15" s="16"/>
      <c r="AB15" s="16"/>
      <c r="AC15" s="16"/>
      <c r="AD15" s="16"/>
    </row>
    <row r="16" spans="1:30" s="26" customFormat="1" x14ac:dyDescent="0.25">
      <c r="A16" s="34" t="s">
        <v>12</v>
      </c>
      <c r="B16" s="16"/>
      <c r="C16" s="43"/>
      <c r="D16" s="43"/>
      <c r="E16" s="16"/>
      <c r="F16" s="16"/>
      <c r="G16" s="43"/>
      <c r="H16" s="16"/>
      <c r="I16" s="43"/>
      <c r="J16" s="16"/>
      <c r="K16" s="43"/>
      <c r="L16" s="16"/>
      <c r="M16" s="43"/>
      <c r="N16" s="16"/>
      <c r="O16" s="16"/>
      <c r="P16" s="16"/>
      <c r="Q16" s="16"/>
      <c r="R16" s="16"/>
      <c r="S16" s="43"/>
      <c r="T16" s="43"/>
      <c r="U16" s="16"/>
      <c r="V16" s="43"/>
      <c r="W16" s="16"/>
      <c r="X16" s="16"/>
      <c r="Y16" s="16"/>
      <c r="Z16" s="16"/>
      <c r="AA16" s="16"/>
      <c r="AB16" s="16"/>
      <c r="AC16" s="16"/>
      <c r="AD16" s="16"/>
    </row>
    <row r="17" spans="1:30" s="26" customFormat="1" x14ac:dyDescent="0.25">
      <c r="A17" s="34" t="s">
        <v>13</v>
      </c>
      <c r="B17" s="16"/>
      <c r="C17" s="43"/>
      <c r="D17" s="43"/>
      <c r="E17" s="16"/>
      <c r="F17" s="16"/>
      <c r="G17" s="43"/>
      <c r="H17" s="16"/>
      <c r="I17" s="43"/>
      <c r="J17" s="16"/>
      <c r="K17" s="43"/>
      <c r="L17" s="16"/>
      <c r="M17" s="43"/>
      <c r="N17" s="16"/>
      <c r="O17" s="16"/>
      <c r="P17" s="16"/>
      <c r="Q17" s="16"/>
      <c r="R17" s="16"/>
      <c r="S17" s="43"/>
      <c r="T17" s="43"/>
      <c r="U17" s="16"/>
      <c r="V17" s="43"/>
      <c r="W17" s="16"/>
      <c r="X17" s="16"/>
      <c r="Y17" s="16"/>
      <c r="Z17" s="16"/>
      <c r="AA17" s="16"/>
      <c r="AB17" s="16"/>
      <c r="AC17" s="16"/>
      <c r="AD17" s="16"/>
    </row>
    <row r="18" spans="1:30" s="26" customFormat="1" x14ac:dyDescent="0.25">
      <c r="A18" s="35" t="s">
        <v>14</v>
      </c>
      <c r="B18" s="19">
        <f>4288+1361+2692+4559+3081+7513+9281+5286+2996+2688+4843</f>
        <v>48588</v>
      </c>
      <c r="C18" s="42">
        <f>1036+267+371+547+389+947+1368+566+362+355+407</f>
        <v>6615</v>
      </c>
      <c r="D18" s="42">
        <f>72+64+11+136+25+158+385+102.5+113+53+108</f>
        <v>1227.5</v>
      </c>
      <c r="E18" s="19">
        <f>1396+277+1134+1608+1135+2929+5075+1422+1228+707+224</f>
        <v>17135</v>
      </c>
      <c r="F18" s="19">
        <f>75+83+44+103+176+232+109+6+1572</f>
        <v>2400</v>
      </c>
      <c r="G18" s="42">
        <f>5+9+1+239+14+48+6+9</f>
        <v>331</v>
      </c>
      <c r="H18" s="19">
        <f>146+6+99+105+562+67+29+3673+2</f>
        <v>4689</v>
      </c>
      <c r="I18" s="42">
        <f>1+7+32+77+13+365+372</f>
        <v>867</v>
      </c>
      <c r="J18" s="19">
        <f>8+357+26+3+161+25+6</f>
        <v>586</v>
      </c>
      <c r="K18" s="42">
        <f>10+2+2+1+5+28</f>
        <v>48</v>
      </c>
      <c r="L18" s="19">
        <f>7+16+40+113</f>
        <v>176</v>
      </c>
      <c r="M18" s="42">
        <f>23+95+2+267+1981+4107+690+634+41</f>
        <v>7840</v>
      </c>
      <c r="N18" s="19">
        <f>3+90+6+1</f>
        <v>100</v>
      </c>
      <c r="O18" s="19">
        <f>1+7+7+18+6</f>
        <v>39</v>
      </c>
      <c r="P18" s="19">
        <f>141+1262+406+2618+15560+12973+4924+161+1212+2599+94</f>
        <v>41950</v>
      </c>
      <c r="Q18" s="19">
        <f>1+45+2</f>
        <v>48</v>
      </c>
      <c r="R18" s="19">
        <f>27+104+63+375+1066+1650+121+180+840+36</f>
        <v>4462</v>
      </c>
      <c r="S18" s="42">
        <f>161+2486+128+114+370+970+362+1213+577</f>
        <v>6381</v>
      </c>
      <c r="T18" s="42">
        <f>12.5+10+11+186+10+70+68+4+3+50+8</f>
        <v>432.5</v>
      </c>
      <c r="U18" s="19">
        <f>40+48+17+25</f>
        <v>130</v>
      </c>
      <c r="V18" s="42">
        <f>3.5+11+27</f>
        <v>41.5</v>
      </c>
      <c r="W18" s="19">
        <f>30+10+2.5+4.5+16+6</f>
        <v>69</v>
      </c>
      <c r="X18" s="19">
        <f>60+1+1645+118+401+30</f>
        <v>2255</v>
      </c>
      <c r="Y18" s="19">
        <f>2951+53</f>
        <v>3004</v>
      </c>
      <c r="Z18" s="19">
        <f>121+1875+2060+1183+7820+1896+1142+602</f>
        <v>16699</v>
      </c>
      <c r="AA18" s="19"/>
      <c r="AB18" s="19"/>
      <c r="AC18" s="19"/>
      <c r="AD18" s="19"/>
    </row>
    <row r="19" spans="1:30" s="26" customFormat="1" x14ac:dyDescent="0.25">
      <c r="A19" s="35" t="s">
        <v>15</v>
      </c>
      <c r="B19" s="19">
        <f>SUM(B10,B18)</f>
        <v>56220</v>
      </c>
      <c r="C19" s="42">
        <f t="shared" ref="C19:AD19" si="0">SUM(C10,C18)</f>
        <v>8758.5</v>
      </c>
      <c r="D19" s="42">
        <f t="shared" si="0"/>
        <v>1897.5</v>
      </c>
      <c r="E19" s="19">
        <f t="shared" si="0"/>
        <v>19744</v>
      </c>
      <c r="F19" s="19">
        <f t="shared" si="0"/>
        <v>2675</v>
      </c>
      <c r="G19" s="42">
        <f t="shared" si="0"/>
        <v>387.5</v>
      </c>
      <c r="H19" s="19">
        <f>SUM(H10,H18)</f>
        <v>9973</v>
      </c>
      <c r="I19" s="42">
        <f>SUM(I10,I18)</f>
        <v>2641.5</v>
      </c>
      <c r="J19" s="19">
        <f>SUM(J10,J18)</f>
        <v>696</v>
      </c>
      <c r="K19" s="42">
        <f>SUM(K10,K18)</f>
        <v>588.5</v>
      </c>
      <c r="L19" s="19">
        <f t="shared" si="0"/>
        <v>176</v>
      </c>
      <c r="M19" s="42">
        <f t="shared" si="0"/>
        <v>8372.5</v>
      </c>
      <c r="N19" s="19">
        <f t="shared" si="0"/>
        <v>101</v>
      </c>
      <c r="O19" s="19">
        <f t="shared" si="0"/>
        <v>324</v>
      </c>
      <c r="P19" s="19">
        <f t="shared" si="0"/>
        <v>48440</v>
      </c>
      <c r="Q19" s="19">
        <f t="shared" si="0"/>
        <v>48</v>
      </c>
      <c r="R19" s="19">
        <f t="shared" si="0"/>
        <v>15992</v>
      </c>
      <c r="S19" s="42">
        <f t="shared" si="0"/>
        <v>7440.5</v>
      </c>
      <c r="T19" s="42">
        <f t="shared" si="0"/>
        <v>512</v>
      </c>
      <c r="U19" s="19">
        <f t="shared" si="0"/>
        <v>174</v>
      </c>
      <c r="V19" s="42">
        <f>SUM(V10,V18)</f>
        <v>105.5</v>
      </c>
      <c r="W19" s="19">
        <f t="shared" si="0"/>
        <v>115</v>
      </c>
      <c r="X19" s="19">
        <f t="shared" si="0"/>
        <v>2585</v>
      </c>
      <c r="Y19" s="19">
        <f>SUM(Y10,Y18)</f>
        <v>3867</v>
      </c>
      <c r="Z19" s="19">
        <f t="shared" si="0"/>
        <v>18572</v>
      </c>
      <c r="AA19" s="19">
        <f t="shared" si="0"/>
        <v>0</v>
      </c>
      <c r="AB19" s="19">
        <f t="shared" si="0"/>
        <v>0</v>
      </c>
      <c r="AC19" s="19">
        <f t="shared" si="0"/>
        <v>0</v>
      </c>
      <c r="AD19" s="19">
        <f t="shared" si="0"/>
        <v>0</v>
      </c>
    </row>
    <row r="21" spans="1:30" x14ac:dyDescent="0.25">
      <c r="B21" s="44"/>
      <c r="C21" s="44"/>
      <c r="D21" s="44"/>
      <c r="E21" s="44"/>
      <c r="F21" s="44"/>
      <c r="G21" s="44"/>
      <c r="L21" s="44"/>
      <c r="M21" s="44"/>
      <c r="N21" s="44"/>
      <c r="O21" s="44"/>
      <c r="P21" s="44"/>
      <c r="Q21" s="44"/>
      <c r="R21" s="44"/>
      <c r="S21" s="44"/>
      <c r="T21" s="44"/>
    </row>
    <row r="23" spans="1:30" x14ac:dyDescent="0.25">
      <c r="B23" s="44"/>
      <c r="C23" s="44"/>
      <c r="D23" s="44"/>
      <c r="E23" s="44"/>
      <c r="F23" s="44"/>
      <c r="G23" s="44"/>
      <c r="L23" s="44"/>
      <c r="M23" s="44"/>
      <c r="N23" s="44"/>
      <c r="O23" s="44"/>
      <c r="P23" s="44"/>
      <c r="Q23" s="44"/>
      <c r="R23" s="44"/>
      <c r="S23" s="44"/>
      <c r="T23" s="44"/>
    </row>
    <row r="25" spans="1:30" x14ac:dyDescent="0.25">
      <c r="B25" s="44"/>
      <c r="C25" s="44"/>
      <c r="D25" s="44"/>
      <c r="E25" s="44"/>
      <c r="F25" s="44"/>
      <c r="G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AD1" xr:uid="{687D7D90-0C32-4363-94B9-3BC2C33C78B5}">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2C78317-30D4-4260-99FA-9EE5E7F9F3D9}">
          <x14:formula1>
            <xm:f>'Term List'!$A2:$A242</xm:f>
          </x14:formula1>
          <xm:sqref>AE1:XFD1</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E6AB2-C21B-4C26-976B-E41257F5109D}">
  <dimension ref="A1:AD25"/>
  <sheetViews>
    <sheetView workbookViewId="0">
      <pane xSplit="1" ySplit="1" topLeftCell="K2" activePane="bottomRight" state="frozen"/>
      <selection activeCell="E23" sqref="E23"/>
      <selection pane="topRight" activeCell="E23" sqref="E23"/>
      <selection pane="bottomLeft" activeCell="E23" sqref="E23"/>
      <selection pane="bottomRight" activeCell="K21" sqref="K21"/>
    </sheetView>
  </sheetViews>
  <sheetFormatPr defaultColWidth="17.7109375" defaultRowHeight="15" x14ac:dyDescent="0.25"/>
  <cols>
    <col min="1" max="1" width="35.7109375" style="6" bestFit="1" customWidth="1"/>
    <col min="2" max="9" width="17.7109375" style="5"/>
    <col min="10" max="11" width="17.7109375" style="3"/>
    <col min="12" max="13" width="17.7109375" style="5"/>
    <col min="14" max="14" width="17.7109375" style="3"/>
    <col min="15" max="16" width="17.7109375" style="5"/>
    <col min="17" max="16384" width="17.7109375" style="3"/>
  </cols>
  <sheetData>
    <row r="1" spans="1:30" s="40" customFormat="1" ht="30" x14ac:dyDescent="0.25">
      <c r="A1" s="36" t="s">
        <v>471</v>
      </c>
      <c r="B1" s="36" t="s">
        <v>34</v>
      </c>
      <c r="C1" s="36" t="s">
        <v>63</v>
      </c>
      <c r="D1" s="36" t="s">
        <v>62</v>
      </c>
      <c r="E1" s="36" t="s">
        <v>55</v>
      </c>
      <c r="F1" s="36" t="s">
        <v>36</v>
      </c>
      <c r="G1" s="36" t="s">
        <v>35</v>
      </c>
      <c r="H1" s="36" t="s">
        <v>40</v>
      </c>
      <c r="I1" s="36" t="s">
        <v>96</v>
      </c>
      <c r="J1" s="36" t="s">
        <v>98</v>
      </c>
      <c r="K1" s="36" t="s">
        <v>466</v>
      </c>
      <c r="L1" s="36" t="s">
        <v>571</v>
      </c>
      <c r="M1" s="36" t="s">
        <v>572</v>
      </c>
      <c r="N1" s="36" t="s">
        <v>566</v>
      </c>
      <c r="O1" s="36" t="s">
        <v>567</v>
      </c>
      <c r="P1" s="36" t="s">
        <v>568</v>
      </c>
      <c r="Q1" s="36" t="s">
        <v>105</v>
      </c>
      <c r="R1" s="36" t="s">
        <v>106</v>
      </c>
      <c r="S1" s="36" t="s">
        <v>101</v>
      </c>
      <c r="T1" s="36" t="s">
        <v>75</v>
      </c>
      <c r="U1" s="36" t="s">
        <v>66</v>
      </c>
      <c r="V1" s="36" t="s">
        <v>28</v>
      </c>
      <c r="W1" s="36" t="s">
        <v>89</v>
      </c>
      <c r="X1" s="36" t="s">
        <v>450</v>
      </c>
      <c r="Y1" s="36" t="s">
        <v>48</v>
      </c>
      <c r="Z1" s="36" t="s">
        <v>102</v>
      </c>
      <c r="AA1" s="36" t="s">
        <v>330</v>
      </c>
      <c r="AB1" s="36" t="s">
        <v>331</v>
      </c>
      <c r="AC1" s="36" t="s">
        <v>332</v>
      </c>
      <c r="AD1" s="36" t="s">
        <v>333</v>
      </c>
    </row>
    <row r="2" spans="1:30"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row>
    <row r="3" spans="1:30"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row>
    <row r="4" spans="1:30" s="26" customFormat="1" x14ac:dyDescent="0.25">
      <c r="A4" s="34" t="s">
        <v>169</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row>
    <row r="5" spans="1:30"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row>
    <row r="6" spans="1:30" s="26" customFormat="1" x14ac:dyDescent="0.25">
      <c r="A6" s="34" t="s">
        <v>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s="26" customFormat="1" x14ac:dyDescent="0.25">
      <c r="A7" s="34" t="s">
        <v>4</v>
      </c>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row>
    <row r="8" spans="1:30" s="26" customFormat="1" x14ac:dyDescent="0.25">
      <c r="A8" s="34" t="s">
        <v>5</v>
      </c>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row>
    <row r="9" spans="1:30"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row>
    <row r="10" spans="1:30" s="26" customFormat="1" x14ac:dyDescent="0.25">
      <c r="A10" s="35" t="s">
        <v>7</v>
      </c>
      <c r="B10" s="19">
        <v>25201</v>
      </c>
      <c r="C10" s="19">
        <v>44282</v>
      </c>
      <c r="D10" s="19"/>
      <c r="E10" s="19">
        <v>8470</v>
      </c>
      <c r="F10" s="19">
        <f>6665</f>
        <v>6665</v>
      </c>
      <c r="G10" s="19">
        <v>265</v>
      </c>
      <c r="H10" s="19">
        <f>443*112</f>
        <v>49616</v>
      </c>
      <c r="I10" s="19">
        <v>9416</v>
      </c>
      <c r="J10" s="19">
        <v>141790</v>
      </c>
      <c r="K10" s="19">
        <v>10568</v>
      </c>
      <c r="L10" s="19">
        <v>6876</v>
      </c>
      <c r="M10" s="19">
        <v>6591</v>
      </c>
      <c r="N10" s="19">
        <v>278</v>
      </c>
      <c r="O10" s="19">
        <v>21653</v>
      </c>
      <c r="P10" s="19">
        <v>445</v>
      </c>
      <c r="Q10" s="19">
        <v>1071799</v>
      </c>
      <c r="R10" s="19">
        <v>787151</v>
      </c>
      <c r="S10" s="19">
        <v>6182822</v>
      </c>
      <c r="T10" s="19">
        <v>4528904</v>
      </c>
      <c r="U10" s="19">
        <v>226250</v>
      </c>
      <c r="V10" s="19">
        <v>1851</v>
      </c>
      <c r="W10" s="19">
        <v>7188</v>
      </c>
      <c r="X10" s="19">
        <v>13206</v>
      </c>
      <c r="Y10" s="19">
        <v>13729</v>
      </c>
      <c r="Z10" s="19">
        <v>18253</v>
      </c>
      <c r="AA10" s="19">
        <v>782</v>
      </c>
      <c r="AB10" s="19">
        <v>157</v>
      </c>
      <c r="AC10" s="19">
        <v>520</v>
      </c>
      <c r="AD10" s="19">
        <v>651</v>
      </c>
    </row>
    <row r="11" spans="1:30"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row>
    <row r="13" spans="1:30"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row>
    <row r="14" spans="1:30" s="26" customFormat="1" x14ac:dyDescent="0.25">
      <c r="A14" s="34" t="s">
        <v>10</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row>
    <row r="15" spans="1:30"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row>
    <row r="16" spans="1:30"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row>
    <row r="17" spans="1:30"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s="26" customFormat="1" x14ac:dyDescent="0.25">
      <c r="A18" s="35" t="s">
        <v>14</v>
      </c>
      <c r="B18" s="19">
        <f>433+177+195+247+2690+1527+424+57+1199+271</f>
        <v>7220</v>
      </c>
      <c r="C18" s="19">
        <f>72+115+28+103+980+355+249+57</f>
        <v>1959</v>
      </c>
      <c r="D18" s="19"/>
      <c r="E18" s="19">
        <f>10+591+1927+10+7</f>
        <v>2545</v>
      </c>
      <c r="F18" s="19">
        <f>75+912+22+40</f>
        <v>1049</v>
      </c>
      <c r="G18" s="19">
        <f>5+70+10</f>
        <v>85</v>
      </c>
      <c r="H18" s="19">
        <f>(52+315+699+6+300)*112</f>
        <v>153664</v>
      </c>
      <c r="I18" s="19">
        <f>48+20+25+152+125+373+4</f>
        <v>747</v>
      </c>
      <c r="J18" s="19">
        <f>5898+12242+39188+128815+130446+29825+3016+13912</f>
        <v>363342</v>
      </c>
      <c r="K18" s="19">
        <f>552+320+122+25+1524+3132+504+165</f>
        <v>6344</v>
      </c>
      <c r="L18" s="19">
        <f>769+415+190+109+146+936+114+211</f>
        <v>2890</v>
      </c>
      <c r="M18" s="19">
        <f>361+189+100+155+208+141+773+49+124</f>
        <v>2100</v>
      </c>
      <c r="N18" s="19">
        <f>29+3</f>
        <v>32</v>
      </c>
      <c r="O18" s="19">
        <f>76+1566+1966+2173+617+2038+6950+2763+783+1691</f>
        <v>20623</v>
      </c>
      <c r="P18" s="19">
        <f>50+60+79+208+238+20+23</f>
        <v>678</v>
      </c>
      <c r="Q18" s="19">
        <f>125630+21000+219345+137270+5000+157453+495523+62400+109600</f>
        <v>1333221</v>
      </c>
      <c r="R18" s="19">
        <f>40354+11600+96956+113850+1000+161870+331158+37600+24700</f>
        <v>819088</v>
      </c>
      <c r="S18" s="19">
        <f>59075+278000+646532+56320+310250+1234290+2426525+329000+270596+24000</f>
        <v>5634588</v>
      </c>
      <c r="T18" s="19">
        <f>626446+137000+372979+66000+214000+914146+1682419+290431+213595+72000+18198</f>
        <v>4607214</v>
      </c>
      <c r="U18" s="19">
        <f>51000+1958+59000+2000+3500+142500+133025+698+1669+49700</f>
        <v>445050</v>
      </c>
      <c r="V18" s="19">
        <f>5+64+81+62+22+397+47+113+28</f>
        <v>819</v>
      </c>
      <c r="W18" s="19">
        <f>10+50+82+105+29+888+106+165+23</f>
        <v>1458</v>
      </c>
      <c r="X18" s="19">
        <f>56+95+96+46+186+124+6+202+36</f>
        <v>847</v>
      </c>
      <c r="Y18" s="19">
        <f>30+44+104+22+226+983+49+28+197+36</f>
        <v>1719</v>
      </c>
      <c r="Z18" s="19">
        <f>25+37+289+8+1520+105+17+297+43</f>
        <v>2341</v>
      </c>
      <c r="AA18" s="19">
        <f>94+60+120+467+1214+165+37+65</f>
        <v>2222</v>
      </c>
      <c r="AB18" s="19">
        <f>1+141+103+65+762+90+1</f>
        <v>1163</v>
      </c>
      <c r="AC18" s="19">
        <f>13</f>
        <v>13</v>
      </c>
      <c r="AD18" s="19">
        <f>28+58+149</f>
        <v>235</v>
      </c>
    </row>
    <row r="19" spans="1:30" s="26" customFormat="1" x14ac:dyDescent="0.25">
      <c r="A19" s="35" t="s">
        <v>15</v>
      </c>
      <c r="B19" s="19">
        <f t="shared" ref="B19:AD19" si="0">SUM(B10,B18)</f>
        <v>32421</v>
      </c>
      <c r="C19" s="19">
        <f t="shared" si="0"/>
        <v>46241</v>
      </c>
      <c r="D19" s="19">
        <f>76573</f>
        <v>76573</v>
      </c>
      <c r="E19" s="19">
        <f t="shared" si="0"/>
        <v>11015</v>
      </c>
      <c r="F19" s="19">
        <f t="shared" si="0"/>
        <v>7714</v>
      </c>
      <c r="G19" s="19">
        <f t="shared" si="0"/>
        <v>350</v>
      </c>
      <c r="H19" s="19">
        <f t="shared" si="0"/>
        <v>203280</v>
      </c>
      <c r="I19" s="19">
        <f t="shared" si="0"/>
        <v>10163</v>
      </c>
      <c r="J19" s="19">
        <f t="shared" si="0"/>
        <v>505132</v>
      </c>
      <c r="K19" s="19">
        <f t="shared" si="0"/>
        <v>16912</v>
      </c>
      <c r="L19" s="19">
        <f t="shared" si="0"/>
        <v>9766</v>
      </c>
      <c r="M19" s="19">
        <f t="shared" si="0"/>
        <v>8691</v>
      </c>
      <c r="N19" s="19">
        <f t="shared" si="0"/>
        <v>310</v>
      </c>
      <c r="O19" s="19">
        <f t="shared" si="0"/>
        <v>42276</v>
      </c>
      <c r="P19" s="19">
        <f t="shared" si="0"/>
        <v>1123</v>
      </c>
      <c r="Q19" s="19">
        <f t="shared" si="0"/>
        <v>2405020</v>
      </c>
      <c r="R19" s="19">
        <f t="shared" si="0"/>
        <v>1606239</v>
      </c>
      <c r="S19" s="19">
        <f t="shared" si="0"/>
        <v>11817410</v>
      </c>
      <c r="T19" s="19">
        <f t="shared" si="0"/>
        <v>9136118</v>
      </c>
      <c r="U19" s="19">
        <f t="shared" si="0"/>
        <v>671300</v>
      </c>
      <c r="V19" s="19">
        <f t="shared" si="0"/>
        <v>2670</v>
      </c>
      <c r="W19" s="19">
        <f t="shared" si="0"/>
        <v>8646</v>
      </c>
      <c r="X19" s="19">
        <f t="shared" si="0"/>
        <v>14053</v>
      </c>
      <c r="Y19" s="19">
        <f t="shared" si="0"/>
        <v>15448</v>
      </c>
      <c r="Z19" s="19">
        <f t="shared" si="0"/>
        <v>20594</v>
      </c>
      <c r="AA19" s="19">
        <f t="shared" si="0"/>
        <v>3004</v>
      </c>
      <c r="AB19" s="19">
        <f t="shared" si="0"/>
        <v>1320</v>
      </c>
      <c r="AC19" s="19">
        <f t="shared" si="0"/>
        <v>533</v>
      </c>
      <c r="AD19" s="19">
        <f t="shared" si="0"/>
        <v>886</v>
      </c>
    </row>
    <row r="20" spans="1:30" x14ac:dyDescent="0.25">
      <c r="H20" s="44"/>
      <c r="R20" s="5"/>
      <c r="V20" s="5"/>
      <c r="W20" s="5"/>
    </row>
    <row r="21" spans="1:30" x14ac:dyDescent="0.25">
      <c r="B21" s="44"/>
      <c r="C21" s="44"/>
      <c r="D21" s="44"/>
      <c r="E21" s="44"/>
      <c r="F21" s="44"/>
      <c r="G21" s="44"/>
      <c r="H21" s="44"/>
      <c r="I21" s="44"/>
      <c r="J21" s="44"/>
      <c r="K21" s="44"/>
      <c r="L21" s="44"/>
      <c r="M21" s="44"/>
      <c r="N21" s="44"/>
      <c r="O21" s="44"/>
      <c r="P21" s="44"/>
      <c r="Q21" s="44"/>
      <c r="R21" s="44"/>
      <c r="S21" s="44"/>
      <c r="T21" s="44"/>
      <c r="U21" s="44"/>
      <c r="V21" s="44"/>
      <c r="W21" s="44"/>
      <c r="AA21" s="44"/>
      <c r="AB21" s="44"/>
      <c r="AC21" s="44"/>
      <c r="AD21" s="44"/>
    </row>
    <row r="22" spans="1:30" x14ac:dyDescent="0.25">
      <c r="B22" s="44"/>
      <c r="C22" s="44"/>
      <c r="D22" s="44"/>
      <c r="E22" s="44"/>
      <c r="F22" s="44"/>
      <c r="G22" s="44"/>
      <c r="H22" s="44"/>
      <c r="I22" s="44"/>
      <c r="J22" s="44"/>
      <c r="K22" s="44"/>
      <c r="L22" s="44"/>
      <c r="M22" s="44"/>
      <c r="N22" s="44"/>
      <c r="O22" s="44"/>
      <c r="P22" s="44"/>
      <c r="Q22" s="44"/>
      <c r="R22" s="44"/>
      <c r="S22" s="44"/>
      <c r="T22" s="44"/>
      <c r="U22" s="44"/>
      <c r="V22" s="44"/>
      <c r="W22" s="44"/>
      <c r="AA22" s="44"/>
      <c r="AB22" s="44"/>
      <c r="AC22" s="44"/>
      <c r="AD22" s="44"/>
    </row>
    <row r="23" spans="1:30" x14ac:dyDescent="0.25">
      <c r="B23" s="44"/>
      <c r="C23" s="44"/>
      <c r="D23" s="44"/>
      <c r="E23" s="44"/>
      <c r="F23" s="44"/>
      <c r="G23" s="44"/>
      <c r="H23" s="44"/>
      <c r="I23" s="44"/>
      <c r="J23" s="44"/>
      <c r="K23" s="44"/>
      <c r="L23" s="44"/>
      <c r="M23" s="44"/>
      <c r="N23" s="44"/>
      <c r="O23" s="44"/>
      <c r="P23" s="44"/>
      <c r="Q23" s="44"/>
      <c r="R23" s="44"/>
      <c r="S23" s="44"/>
      <c r="T23" s="44"/>
      <c r="U23" s="44"/>
      <c r="V23" s="44"/>
      <c r="W23" s="44"/>
      <c r="AA23" s="44"/>
      <c r="AB23" s="44"/>
      <c r="AC23" s="44"/>
      <c r="AD23" s="44"/>
    </row>
    <row r="24" spans="1:30" x14ac:dyDescent="0.25">
      <c r="B24" s="44"/>
      <c r="C24" s="44"/>
      <c r="D24" s="44"/>
      <c r="E24" s="44"/>
      <c r="F24" s="44"/>
      <c r="G24" s="44"/>
      <c r="H24" s="44"/>
      <c r="I24" s="44"/>
      <c r="J24" s="44"/>
      <c r="K24" s="44"/>
      <c r="L24" s="44"/>
      <c r="M24" s="44"/>
      <c r="N24" s="44"/>
      <c r="O24" s="44"/>
      <c r="P24" s="44"/>
      <c r="Q24" s="44"/>
      <c r="R24" s="44"/>
      <c r="S24" s="44"/>
      <c r="T24" s="44"/>
      <c r="U24" s="44"/>
      <c r="V24" s="44"/>
      <c r="W24" s="44"/>
      <c r="AA24" s="44"/>
      <c r="AB24" s="44"/>
      <c r="AC24" s="44"/>
      <c r="AD24" s="44"/>
    </row>
    <row r="25" spans="1:30" x14ac:dyDescent="0.25">
      <c r="B25" s="44"/>
      <c r="C25" s="44"/>
      <c r="D25" s="44"/>
      <c r="E25" s="44"/>
      <c r="F25" s="44"/>
      <c r="G25" s="44"/>
      <c r="H25" s="44"/>
      <c r="I25" s="44"/>
      <c r="J25" s="44"/>
      <c r="K25" s="44"/>
      <c r="L25" s="44"/>
      <c r="M25" s="44"/>
      <c r="N25" s="44"/>
      <c r="O25" s="44"/>
      <c r="P25" s="44"/>
      <c r="Q25" s="44"/>
      <c r="R25" s="44"/>
      <c r="S25" s="44"/>
      <c r="T25" s="44"/>
      <c r="U25" s="44"/>
      <c r="V25" s="44"/>
      <c r="W25" s="44"/>
      <c r="AA25" s="44"/>
      <c r="AB25" s="44"/>
      <c r="AC25" s="44"/>
      <c r="AD25" s="44"/>
    </row>
  </sheetData>
  <sheetProtection formatCells="0" formatColumns="0" formatRows="0" insertColumns="0" insertRows="0" sort="0" autoFilter="0" pivotTables="0"/>
  <dataValidations count="1">
    <dataValidation type="list" errorStyle="information" allowBlank="1" showInputMessage="1" showErrorMessage="1" sqref="B1:AD1" xr:uid="{5EF8FBC9-110D-42EB-A9BE-E46D66C18829}">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B669CE0-0AA2-466E-B553-217C715D88CA}">
          <x14:formula1>
            <xm:f>'Term List'!$A2:$A242</xm:f>
          </x14:formula1>
          <xm:sqref>AE1:XFD1</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A0AD5-A34A-4D8E-AE08-5B5DAABAFF73}">
  <dimension ref="A1:AD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7" style="3" customWidth="1"/>
    <col min="9" max="9" width="17.140625" style="3" customWidth="1"/>
    <col min="10" max="10" width="15.5703125" style="3" customWidth="1"/>
    <col min="11" max="11" width="15" style="3" customWidth="1"/>
    <col min="12" max="12" width="17.85546875" style="5" customWidth="1"/>
    <col min="13" max="13" width="17.140625" style="5" customWidth="1"/>
    <col min="14" max="14" width="15" style="5" customWidth="1"/>
    <col min="15" max="15" width="18.7109375" style="5" customWidth="1"/>
    <col min="16" max="16" width="16.5703125" style="5" customWidth="1"/>
    <col min="17" max="17" width="15.7109375" style="5" customWidth="1"/>
    <col min="18" max="18" width="14.42578125" style="5" customWidth="1"/>
    <col min="19" max="19" width="16.85546875" style="5" customWidth="1"/>
    <col min="20" max="20" width="14.28515625" style="5" customWidth="1"/>
    <col min="21" max="21" width="23" style="3" customWidth="1"/>
    <col min="22" max="22" width="20.140625" style="3" customWidth="1"/>
    <col min="23" max="23" width="14.28515625" style="3" customWidth="1"/>
    <col min="24" max="24" width="17.85546875" style="3" customWidth="1"/>
    <col min="25" max="25" width="14.28515625" style="3" customWidth="1"/>
    <col min="26" max="26" width="18.5703125" style="3" customWidth="1"/>
    <col min="27" max="30" width="14.5703125" style="3" customWidth="1"/>
    <col min="31" max="16384" width="9.140625" style="3"/>
  </cols>
  <sheetData>
    <row r="1" spans="1:30" s="14" customFormat="1" ht="30" x14ac:dyDescent="0.25">
      <c r="A1" s="36" t="s">
        <v>376</v>
      </c>
      <c r="B1" s="36" t="s">
        <v>155</v>
      </c>
      <c r="C1" s="36" t="s">
        <v>156</v>
      </c>
      <c r="D1" s="36" t="s">
        <v>154</v>
      </c>
      <c r="E1" s="36" t="s">
        <v>150</v>
      </c>
      <c r="F1" s="36" t="s">
        <v>148</v>
      </c>
      <c r="G1" s="36" t="s">
        <v>147</v>
      </c>
      <c r="H1" s="36" t="s">
        <v>125</v>
      </c>
      <c r="I1" s="36" t="s">
        <v>122</v>
      </c>
      <c r="J1" s="36" t="s">
        <v>123</v>
      </c>
      <c r="K1" s="36" t="s">
        <v>121</v>
      </c>
      <c r="L1" s="36" t="s">
        <v>139</v>
      </c>
      <c r="M1" s="36" t="s">
        <v>131</v>
      </c>
      <c r="N1" s="36" t="s">
        <v>130</v>
      </c>
      <c r="O1" s="36" t="s">
        <v>143</v>
      </c>
      <c r="P1" s="36" t="s">
        <v>142</v>
      </c>
      <c r="Q1" s="36" t="s">
        <v>127</v>
      </c>
      <c r="R1" s="36" t="s">
        <v>133</v>
      </c>
      <c r="S1" s="36" t="s">
        <v>74</v>
      </c>
      <c r="T1" s="36" t="s">
        <v>129</v>
      </c>
      <c r="U1" s="36" t="s">
        <v>141</v>
      </c>
      <c r="V1" s="36" t="s">
        <v>135</v>
      </c>
      <c r="W1" s="36" t="s">
        <v>128</v>
      </c>
      <c r="X1" s="36" t="s">
        <v>78</v>
      </c>
      <c r="Y1" s="36" t="s">
        <v>119</v>
      </c>
      <c r="Z1" s="36" t="s">
        <v>134</v>
      </c>
      <c r="AA1" s="31"/>
      <c r="AB1" s="31"/>
      <c r="AC1" s="31"/>
      <c r="AD1" s="31"/>
    </row>
    <row r="2" spans="1:30" s="26" customFormat="1" x14ac:dyDescent="0.25">
      <c r="A2" s="34" t="s">
        <v>0</v>
      </c>
      <c r="B2" s="16"/>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row>
    <row r="3" spans="1:30" s="26" customFormat="1" x14ac:dyDescent="0.25">
      <c r="A3" s="34" t="s">
        <v>1</v>
      </c>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row>
    <row r="4" spans="1:30"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row>
    <row r="5" spans="1:30" s="26" customFormat="1" x14ac:dyDescent="0.25">
      <c r="A5" s="34" t="s">
        <v>2</v>
      </c>
      <c r="B5" s="16"/>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row>
    <row r="6" spans="1:30" s="26" customFormat="1" x14ac:dyDescent="0.25">
      <c r="A6" s="34" t="s">
        <v>3</v>
      </c>
      <c r="B6" s="16"/>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row>
    <row r="7" spans="1:30" s="26" customFormat="1" x14ac:dyDescent="0.25">
      <c r="A7" s="34" t="s">
        <v>4</v>
      </c>
      <c r="B7" s="16"/>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row>
    <row r="8" spans="1:30" s="26" customFormat="1" x14ac:dyDescent="0.25">
      <c r="A8" s="34" t="s">
        <v>5</v>
      </c>
      <c r="B8" s="16"/>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row>
    <row r="9" spans="1:30" s="26" customFormat="1" x14ac:dyDescent="0.25">
      <c r="A9" s="34" t="s">
        <v>6</v>
      </c>
      <c r="B9" s="16"/>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row>
    <row r="10" spans="1:30" s="26" customFormat="1" x14ac:dyDescent="0.25">
      <c r="A10" s="35" t="s">
        <v>7</v>
      </c>
      <c r="B10" s="19">
        <v>16925</v>
      </c>
      <c r="C10" s="19">
        <v>1436</v>
      </c>
      <c r="D10" s="19">
        <v>2356</v>
      </c>
      <c r="E10" s="19">
        <v>4901</v>
      </c>
      <c r="F10" s="19">
        <v>268</v>
      </c>
      <c r="G10" s="19">
        <v>97</v>
      </c>
      <c r="H10" s="19">
        <v>7093</v>
      </c>
      <c r="I10" s="19">
        <v>2234</v>
      </c>
      <c r="J10" s="19">
        <v>194</v>
      </c>
      <c r="K10" s="19">
        <v>149</v>
      </c>
      <c r="L10" s="19">
        <v>0</v>
      </c>
      <c r="M10" s="19">
        <v>267</v>
      </c>
      <c r="N10" s="19">
        <v>0</v>
      </c>
      <c r="O10" s="19">
        <f>513</f>
        <v>513</v>
      </c>
      <c r="P10" s="19">
        <v>11489</v>
      </c>
      <c r="Q10" s="19">
        <v>227</v>
      </c>
      <c r="R10" s="19">
        <v>4604</v>
      </c>
      <c r="S10" s="19">
        <v>1722</v>
      </c>
      <c r="T10" s="19">
        <v>137</v>
      </c>
      <c r="U10" s="19">
        <v>455</v>
      </c>
      <c r="V10" s="19">
        <v>98</v>
      </c>
      <c r="W10" s="19">
        <v>134</v>
      </c>
      <c r="X10" s="19">
        <v>696</v>
      </c>
      <c r="Y10" s="19">
        <v>135</v>
      </c>
      <c r="Z10" s="19">
        <v>5572</v>
      </c>
      <c r="AA10" s="19"/>
      <c r="AB10" s="19"/>
      <c r="AC10" s="19"/>
      <c r="AD10" s="19"/>
    </row>
    <row r="11" spans="1:30"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row>
    <row r="13" spans="1:30"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row>
    <row r="14" spans="1:30" s="26" customFormat="1" x14ac:dyDescent="0.25">
      <c r="A14" s="34" t="s">
        <v>10</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row>
    <row r="15" spans="1:30"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row>
    <row r="16" spans="1:30"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row>
    <row r="17" spans="1:30"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s="26" customFormat="1" x14ac:dyDescent="0.25">
      <c r="A18" s="35" t="s">
        <v>14</v>
      </c>
      <c r="B18" s="19">
        <f>4892+1434+1985+6013+2876+8000+8912+5228+2656+2366</f>
        <v>44362</v>
      </c>
      <c r="C18" s="19">
        <f>1104+254+380+797+300+925+1441+482+444+535</f>
        <v>6662</v>
      </c>
      <c r="D18" s="19">
        <f>257+45+6+47+102+107+697+24+44+83</f>
        <v>1412</v>
      </c>
      <c r="E18" s="19">
        <f>1192+323+681+1904+1108+2784+4247+1363+815+654</f>
        <v>15071</v>
      </c>
      <c r="F18" s="19">
        <f>7+7+22+70+44+239+281+96+13+10</f>
        <v>789</v>
      </c>
      <c r="G18" s="19">
        <f>44+8+6+1+266+7+30+9</f>
        <v>371</v>
      </c>
      <c r="H18" s="19">
        <f>236+28+96+359+907+454+10+107+7102</f>
        <v>9299</v>
      </c>
      <c r="I18" s="19">
        <f>9+37+72+224+23+14+7+680</f>
        <v>1066</v>
      </c>
      <c r="J18" s="19">
        <f>137+34+113+73+59+1+15</f>
        <v>432</v>
      </c>
      <c r="K18" s="19">
        <f>4+1+3</f>
        <v>8</v>
      </c>
      <c r="L18" s="19">
        <f>44+42+78+16</f>
        <v>180</v>
      </c>
      <c r="M18" s="42">
        <f>2+57+1+4+96+1813+1791.5+645+775</f>
        <v>5184.5</v>
      </c>
      <c r="N18" s="19">
        <f>1+80+9</f>
        <v>90</v>
      </c>
      <c r="O18" s="19">
        <f>2+13+5+31</f>
        <v>51</v>
      </c>
      <c r="P18" s="19">
        <f>134+956+185+3927+19429+13284+5665+130+2216+5217</f>
        <v>51143</v>
      </c>
      <c r="Q18" s="19">
        <f>1+12</f>
        <v>13</v>
      </c>
      <c r="R18" s="19">
        <f>110+173+114+716+1610+212+99+1963</f>
        <v>4997</v>
      </c>
      <c r="S18" s="19">
        <f>181+10+72.5+282+160.5+300+1020+205+489+1285</f>
        <v>4005</v>
      </c>
      <c r="T18" s="42">
        <f>4.5+4+17+80+204+63+2+45</f>
        <v>419.5</v>
      </c>
      <c r="U18" s="42">
        <f>28+26+11.5+45</f>
        <v>110.5</v>
      </c>
      <c r="V18" s="42">
        <f>2+4.5+70+5+22</f>
        <v>103.5</v>
      </c>
      <c r="W18" s="42">
        <f>8+16.5+69+1+80</f>
        <v>174.5</v>
      </c>
      <c r="X18" s="19">
        <f>26+3483+656+276</f>
        <v>4441</v>
      </c>
      <c r="Y18" s="19">
        <f>32+1042+50+19</f>
        <v>1143</v>
      </c>
      <c r="Z18" s="19">
        <f>13+729+596+1821+783+8356+19410+2194+720+2554</f>
        <v>37176</v>
      </c>
      <c r="AA18" s="19"/>
      <c r="AB18" s="19"/>
      <c r="AC18" s="19"/>
      <c r="AD18" s="19"/>
    </row>
    <row r="19" spans="1:30" s="26" customFormat="1" x14ac:dyDescent="0.25">
      <c r="A19" s="35" t="s">
        <v>15</v>
      </c>
      <c r="B19" s="19">
        <f>SUM(B10,B18)</f>
        <v>61287</v>
      </c>
      <c r="C19" s="19">
        <f t="shared" ref="C19:AD19" si="0">SUM(C10,C18)</f>
        <v>8098</v>
      </c>
      <c r="D19" s="19">
        <f t="shared" si="0"/>
        <v>3768</v>
      </c>
      <c r="E19" s="19">
        <f t="shared" si="0"/>
        <v>19972</v>
      </c>
      <c r="F19" s="19">
        <f t="shared" si="0"/>
        <v>1057</v>
      </c>
      <c r="G19" s="19">
        <f t="shared" si="0"/>
        <v>468</v>
      </c>
      <c r="H19" s="19">
        <f>SUM(H10,H18)</f>
        <v>16392</v>
      </c>
      <c r="I19" s="19">
        <f>SUM(I10,I18)</f>
        <v>3300</v>
      </c>
      <c r="J19" s="19">
        <f>SUM(J10,J18)</f>
        <v>626</v>
      </c>
      <c r="K19" s="19">
        <f>SUM(K10,K18)</f>
        <v>157</v>
      </c>
      <c r="L19" s="19">
        <f t="shared" si="0"/>
        <v>180</v>
      </c>
      <c r="M19" s="42">
        <f t="shared" si="0"/>
        <v>5451.5</v>
      </c>
      <c r="N19" s="19">
        <f t="shared" si="0"/>
        <v>90</v>
      </c>
      <c r="O19" s="19">
        <f t="shared" si="0"/>
        <v>564</v>
      </c>
      <c r="P19" s="19">
        <f t="shared" si="0"/>
        <v>62632</v>
      </c>
      <c r="Q19" s="19">
        <f t="shared" si="0"/>
        <v>240</v>
      </c>
      <c r="R19" s="19">
        <f t="shared" si="0"/>
        <v>9601</v>
      </c>
      <c r="S19" s="19">
        <f t="shared" si="0"/>
        <v>5727</v>
      </c>
      <c r="T19" s="42">
        <f t="shared" si="0"/>
        <v>556.5</v>
      </c>
      <c r="U19" s="42">
        <f t="shared" si="0"/>
        <v>565.5</v>
      </c>
      <c r="V19" s="42">
        <f>SUM(V10,V18)</f>
        <v>201.5</v>
      </c>
      <c r="W19" s="42">
        <f t="shared" si="0"/>
        <v>308.5</v>
      </c>
      <c r="X19" s="19">
        <f t="shared" si="0"/>
        <v>5137</v>
      </c>
      <c r="Y19" s="19">
        <f>SUM(Y10,Y18)</f>
        <v>1278</v>
      </c>
      <c r="Z19" s="19">
        <f t="shared" si="0"/>
        <v>42748</v>
      </c>
      <c r="AA19" s="19">
        <f t="shared" si="0"/>
        <v>0</v>
      </c>
      <c r="AB19" s="19">
        <f t="shared" si="0"/>
        <v>0</v>
      </c>
      <c r="AC19" s="19">
        <f t="shared" si="0"/>
        <v>0</v>
      </c>
      <c r="AD19" s="19">
        <f t="shared" si="0"/>
        <v>0</v>
      </c>
    </row>
    <row r="21" spans="1:30" x14ac:dyDescent="0.25">
      <c r="B21" s="44"/>
      <c r="C21" s="44"/>
      <c r="D21" s="44"/>
      <c r="E21" s="44"/>
      <c r="F21" s="44"/>
      <c r="G21" s="44"/>
      <c r="L21" s="44"/>
      <c r="M21" s="44"/>
      <c r="N21" s="44"/>
      <c r="O21" s="44"/>
      <c r="P21" s="44"/>
      <c r="Q21" s="44"/>
      <c r="R21" s="44"/>
      <c r="S21" s="44"/>
      <c r="T21" s="44"/>
    </row>
    <row r="23" spans="1:30" x14ac:dyDescent="0.25">
      <c r="B23" s="44"/>
      <c r="C23" s="44"/>
      <c r="D23" s="44"/>
      <c r="E23" s="44"/>
      <c r="F23" s="44"/>
      <c r="G23" s="44"/>
      <c r="L23" s="44"/>
      <c r="M23" s="44"/>
      <c r="N23" s="44"/>
      <c r="O23" s="44"/>
      <c r="P23" s="44"/>
      <c r="Q23" s="44"/>
      <c r="R23" s="44"/>
      <c r="S23" s="44"/>
      <c r="T23" s="44"/>
    </row>
    <row r="25" spans="1:30" x14ac:dyDescent="0.25">
      <c r="B25" s="44"/>
      <c r="C25" s="44"/>
      <c r="D25" s="44"/>
      <c r="E25" s="44"/>
      <c r="F25" s="44"/>
      <c r="G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AD1" xr:uid="{3BAA7101-648C-4938-99FD-5822E7D7489E}">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EFF65A8A-1397-4B51-9A1A-A5D390C002E5}">
          <x14:formula1>
            <xm:f>'Term List'!$A2:$A242</xm:f>
          </x14:formula1>
          <xm:sqref>AE1:XFD1</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575A5-F083-43AB-A3C2-407568FED040}">
  <dimension ref="A1:AF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7.42578125" style="5" customWidth="1"/>
    <col min="3" max="3" width="16.28515625" style="5" customWidth="1"/>
    <col min="4" max="4" width="15.85546875" style="5" customWidth="1"/>
    <col min="5" max="5" width="20.140625" style="5" customWidth="1"/>
    <col min="6" max="6" width="16.28515625" style="5" customWidth="1"/>
    <col min="7" max="8" width="15.85546875" style="5" customWidth="1"/>
    <col min="9" max="9" width="23.5703125" style="5" customWidth="1"/>
    <col min="10" max="10" width="15.85546875" style="5" customWidth="1"/>
    <col min="11" max="11" width="16" style="3" customWidth="1"/>
    <col min="12" max="12" width="30.5703125" style="3" customWidth="1"/>
    <col min="13" max="13" width="16.28515625" style="5" customWidth="1"/>
    <col min="14" max="14" width="17" style="5" customWidth="1"/>
    <col min="15" max="15" width="21.140625" style="3" customWidth="1"/>
    <col min="16" max="16" width="21.28515625" style="5" customWidth="1"/>
    <col min="17" max="17" width="18.28515625" style="5" customWidth="1"/>
    <col min="18" max="18" width="17.28515625" style="3" customWidth="1"/>
    <col min="19" max="19" width="19.42578125" style="3" customWidth="1"/>
    <col min="20" max="22" width="15.85546875" style="3" customWidth="1"/>
    <col min="23" max="23" width="17.7109375" style="3" customWidth="1"/>
    <col min="24" max="25" width="16.42578125" style="3" customWidth="1"/>
    <col min="26" max="26" width="23.7109375" style="3" customWidth="1"/>
    <col min="27" max="27" width="17.28515625" style="3" customWidth="1"/>
    <col min="28" max="28" width="16.42578125" style="3" customWidth="1"/>
    <col min="29" max="29" width="18.28515625" style="3" customWidth="1"/>
    <col min="30" max="30" width="17.85546875" style="3" customWidth="1"/>
    <col min="31" max="31" width="17.28515625" style="3" customWidth="1"/>
    <col min="32" max="32" width="17.5703125" style="3" customWidth="1"/>
    <col min="33" max="16384" width="9.140625" style="3"/>
  </cols>
  <sheetData>
    <row r="1" spans="1:32" s="40" customFormat="1" ht="30" x14ac:dyDescent="0.25">
      <c r="A1" s="36" t="s">
        <v>462</v>
      </c>
      <c r="B1" s="36" t="s">
        <v>34</v>
      </c>
      <c r="C1" s="36" t="s">
        <v>63</v>
      </c>
      <c r="D1" s="36" t="s">
        <v>62</v>
      </c>
      <c r="E1" s="36" t="s">
        <v>55</v>
      </c>
      <c r="F1" s="36" t="s">
        <v>36</v>
      </c>
      <c r="G1" s="36" t="s">
        <v>35</v>
      </c>
      <c r="H1" s="36" t="s">
        <v>40</v>
      </c>
      <c r="I1" s="36" t="s">
        <v>459</v>
      </c>
      <c r="J1" s="36" t="s">
        <v>94</v>
      </c>
      <c r="K1" s="36" t="s">
        <v>98</v>
      </c>
      <c r="L1" s="36" t="s">
        <v>466</v>
      </c>
      <c r="M1" s="36" t="s">
        <v>571</v>
      </c>
      <c r="N1" s="36" t="s">
        <v>572</v>
      </c>
      <c r="O1" s="36" t="s">
        <v>566</v>
      </c>
      <c r="P1" s="36" t="s">
        <v>567</v>
      </c>
      <c r="Q1" s="36" t="s">
        <v>568</v>
      </c>
      <c r="R1" s="36" t="s">
        <v>105</v>
      </c>
      <c r="S1" s="36" t="s">
        <v>106</v>
      </c>
      <c r="T1" s="36" t="s">
        <v>101</v>
      </c>
      <c r="U1" s="36" t="s">
        <v>75</v>
      </c>
      <c r="V1" s="36" t="s">
        <v>66</v>
      </c>
      <c r="W1" s="36" t="s">
        <v>460</v>
      </c>
      <c r="X1" s="36" t="s">
        <v>28</v>
      </c>
      <c r="Y1" s="36" t="s">
        <v>89</v>
      </c>
      <c r="Z1" s="36" t="s">
        <v>450</v>
      </c>
      <c r="AA1" s="36" t="s">
        <v>48</v>
      </c>
      <c r="AB1" s="36" t="s">
        <v>102</v>
      </c>
      <c r="AC1" s="36" t="s">
        <v>330</v>
      </c>
      <c r="AD1" s="36" t="s">
        <v>331</v>
      </c>
      <c r="AE1" s="36" t="s">
        <v>332</v>
      </c>
      <c r="AF1" s="36" t="s">
        <v>333</v>
      </c>
    </row>
    <row r="2" spans="1:32"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row>
    <row r="3" spans="1:32"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row>
    <row r="4" spans="1:32" s="26" customFormat="1" x14ac:dyDescent="0.25">
      <c r="A4" s="34" t="s">
        <v>169</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1:32"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spans="1:32" s="26" customFormat="1" x14ac:dyDescent="0.25">
      <c r="A6" s="34" t="s">
        <v>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s="26" customFormat="1" x14ac:dyDescent="0.25">
      <c r="A7" s="34" t="s">
        <v>4</v>
      </c>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row>
    <row r="8" spans="1:32" s="26" customFormat="1" x14ac:dyDescent="0.25">
      <c r="A8" s="34" t="s">
        <v>5</v>
      </c>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row>
    <row r="9" spans="1:32"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row>
    <row r="10" spans="1:32" s="26" customFormat="1" x14ac:dyDescent="0.25">
      <c r="A10" s="35" t="s">
        <v>7</v>
      </c>
      <c r="B10" s="19">
        <v>47591</v>
      </c>
      <c r="C10" s="19">
        <v>20451</v>
      </c>
      <c r="D10" s="19">
        <v>49657</v>
      </c>
      <c r="E10" s="19">
        <v>4952</v>
      </c>
      <c r="F10" s="19">
        <v>3892</v>
      </c>
      <c r="G10" s="19">
        <v>0</v>
      </c>
      <c r="H10" s="19">
        <v>0</v>
      </c>
      <c r="I10" s="19">
        <v>5465</v>
      </c>
      <c r="J10" s="19">
        <v>0</v>
      </c>
      <c r="K10" s="19">
        <v>231152</v>
      </c>
      <c r="L10" s="19">
        <v>9148</v>
      </c>
      <c r="M10" s="19">
        <v>4467</v>
      </c>
      <c r="N10" s="19">
        <v>5032</v>
      </c>
      <c r="O10" s="19">
        <v>230</v>
      </c>
      <c r="P10" s="19">
        <v>21390</v>
      </c>
      <c r="Q10" s="19">
        <v>386</v>
      </c>
      <c r="R10" s="19">
        <v>891889</v>
      </c>
      <c r="S10" s="19">
        <v>290170</v>
      </c>
      <c r="T10" s="19">
        <v>3285895</v>
      </c>
      <c r="U10" s="19">
        <v>3066988</v>
      </c>
      <c r="V10" s="19">
        <v>226230</v>
      </c>
      <c r="W10" s="19">
        <v>0</v>
      </c>
      <c r="X10" s="42">
        <v>4442</v>
      </c>
      <c r="Y10" s="42">
        <v>1818</v>
      </c>
      <c r="Z10" s="42">
        <v>20627</v>
      </c>
      <c r="AA10" s="19">
        <v>16630</v>
      </c>
      <c r="AB10" s="19">
        <v>22030</v>
      </c>
      <c r="AC10" s="19">
        <v>617</v>
      </c>
      <c r="AD10" s="19">
        <v>114</v>
      </c>
      <c r="AE10" s="19">
        <v>392</v>
      </c>
      <c r="AF10" s="19">
        <v>124</v>
      </c>
    </row>
    <row r="11" spans="1:32"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43"/>
      <c r="Y11" s="43"/>
      <c r="Z11" s="43"/>
      <c r="AA11" s="16"/>
      <c r="AB11" s="16"/>
      <c r="AC11" s="16"/>
      <c r="AD11" s="16"/>
      <c r="AE11" s="16"/>
      <c r="AF11" s="16"/>
    </row>
    <row r="12" spans="1:32"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43"/>
      <c r="Y12" s="43"/>
      <c r="Z12" s="43"/>
      <c r="AA12" s="16"/>
      <c r="AB12" s="16"/>
      <c r="AC12" s="16"/>
      <c r="AD12" s="16"/>
      <c r="AE12" s="16"/>
      <c r="AF12" s="16"/>
    </row>
    <row r="13" spans="1:32"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43"/>
      <c r="Y13" s="43"/>
      <c r="Z13" s="43"/>
      <c r="AA13" s="16"/>
      <c r="AB13" s="16"/>
      <c r="AC13" s="16"/>
      <c r="AD13" s="16"/>
      <c r="AE13" s="16"/>
      <c r="AF13" s="16"/>
    </row>
    <row r="14" spans="1:32" s="26" customFormat="1" x14ac:dyDescent="0.25">
      <c r="A14" s="34" t="s">
        <v>10</v>
      </c>
      <c r="B14" s="16"/>
      <c r="C14" s="16"/>
      <c r="D14" s="16"/>
      <c r="E14" s="16"/>
      <c r="F14" s="16"/>
      <c r="G14" s="16"/>
      <c r="H14" s="16"/>
      <c r="I14" s="16"/>
      <c r="J14" s="16"/>
      <c r="K14" s="16"/>
      <c r="L14" s="16"/>
      <c r="M14" s="16"/>
      <c r="N14" s="16"/>
      <c r="O14" s="16"/>
      <c r="P14" s="16"/>
      <c r="Q14" s="16"/>
      <c r="R14" s="16"/>
      <c r="S14" s="16"/>
      <c r="T14" s="16"/>
      <c r="U14" s="16"/>
      <c r="V14" s="16"/>
      <c r="W14" s="16"/>
      <c r="X14" s="43"/>
      <c r="Y14" s="43"/>
      <c r="Z14" s="43"/>
      <c r="AA14" s="16"/>
      <c r="AB14" s="16"/>
      <c r="AC14" s="16"/>
      <c r="AD14" s="16"/>
      <c r="AE14" s="16"/>
      <c r="AF14" s="16"/>
    </row>
    <row r="15" spans="1:32"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43"/>
      <c r="Y15" s="43"/>
      <c r="Z15" s="43"/>
      <c r="AA15" s="16"/>
      <c r="AB15" s="16"/>
      <c r="AC15" s="16"/>
      <c r="AD15" s="16"/>
      <c r="AE15" s="16"/>
      <c r="AF15" s="16"/>
    </row>
    <row r="16" spans="1:32"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43"/>
      <c r="Y16" s="43"/>
      <c r="Z16" s="43"/>
      <c r="AA16" s="16"/>
      <c r="AB16" s="16"/>
      <c r="AC16" s="16"/>
      <c r="AD16" s="16"/>
      <c r="AE16" s="16"/>
      <c r="AF16" s="16"/>
    </row>
    <row r="17" spans="1:32"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43"/>
      <c r="Y17" s="43"/>
      <c r="Z17" s="43"/>
      <c r="AA17" s="16"/>
      <c r="AB17" s="16"/>
      <c r="AC17" s="16"/>
      <c r="AD17" s="16"/>
      <c r="AE17" s="16"/>
      <c r="AF17" s="16"/>
    </row>
    <row r="18" spans="1:32" s="26" customFormat="1" x14ac:dyDescent="0.25">
      <c r="A18" s="35" t="s">
        <v>14</v>
      </c>
      <c r="B18" s="19">
        <v>4833</v>
      </c>
      <c r="C18" s="19">
        <v>494</v>
      </c>
      <c r="D18" s="19">
        <v>6694</v>
      </c>
      <c r="E18" s="19">
        <v>1932</v>
      </c>
      <c r="F18" s="19">
        <v>517</v>
      </c>
      <c r="G18" s="19">
        <v>110</v>
      </c>
      <c r="H18" s="19">
        <v>84672</v>
      </c>
      <c r="I18" s="19">
        <f>3+10+10+236+35+8</f>
        <v>302</v>
      </c>
      <c r="J18" s="19">
        <v>60</v>
      </c>
      <c r="K18" s="19">
        <f>4356+740+5957+6200+107437+172496+19415+6461</f>
        <v>323062</v>
      </c>
      <c r="L18" s="19">
        <f>240+516+580+2669+370+50+99</f>
        <v>4524</v>
      </c>
      <c r="M18" s="19">
        <f>328+450+134+47+803+107+122+2</f>
        <v>1993</v>
      </c>
      <c r="N18" s="19">
        <f>1074+644+20+187+164+496+52+16</f>
        <v>2653</v>
      </c>
      <c r="O18" s="19">
        <v>77</v>
      </c>
      <c r="P18" s="19">
        <f>25+3400+365+3096+501+3451+7121+2182+1498+2450</f>
        <v>24089</v>
      </c>
      <c r="Q18" s="19">
        <f>16+130+56+99+146+42+20</f>
        <v>509</v>
      </c>
      <c r="R18" s="19">
        <f>194736+49700+91110+140000+481434+437964+289900+111500</f>
        <v>1796344</v>
      </c>
      <c r="S18" s="19">
        <f>58000+12500+18000+73000+205212+315561+88040+18000</f>
        <v>788313</v>
      </c>
      <c r="T18" s="19">
        <f>601931+492500+199630+35000+660050+1075605+184430+329200</f>
        <v>3578346</v>
      </c>
      <c r="U18" s="19">
        <f>408750+198700+244284+242000+500+693426+1252913+208964+377692+7000</f>
        <v>3634229</v>
      </c>
      <c r="V18" s="19">
        <f>178+1498+1655+3800+1504+429+1720</f>
        <v>10784</v>
      </c>
      <c r="W18" s="19">
        <f>1600+2992</f>
        <v>4592</v>
      </c>
      <c r="X18" s="42">
        <f>77+51+33+5+352+25.5+16+99</f>
        <v>658.5</v>
      </c>
      <c r="Y18" s="42">
        <f>42+54.5+39+42+1146+49.5+13.5+176</f>
        <v>1562.5</v>
      </c>
      <c r="Z18" s="42">
        <f>11+57.5+52+7+1724+595+63+10+192</f>
        <v>2711.5</v>
      </c>
      <c r="AA18" s="19">
        <f>34+46+45+107+1449+37+28+54</f>
        <v>1800</v>
      </c>
      <c r="AB18" s="19">
        <f>52+48+63+24+937+56+2+164</f>
        <v>1346</v>
      </c>
      <c r="AC18" s="19">
        <f>2+147+23+163+447+116+216+2</f>
        <v>1116</v>
      </c>
      <c r="AD18" s="19">
        <f>6+1+85</f>
        <v>92</v>
      </c>
      <c r="AE18" s="19">
        <v>32</v>
      </c>
      <c r="AF18" s="19">
        <f>16+4</f>
        <v>20</v>
      </c>
    </row>
    <row r="19" spans="1:32" s="26" customFormat="1" x14ac:dyDescent="0.25">
      <c r="A19" s="35" t="s">
        <v>15</v>
      </c>
      <c r="B19" s="19">
        <f t="shared" ref="B19:AF19" si="0">SUM(B10,B18)</f>
        <v>52424</v>
      </c>
      <c r="C19" s="19">
        <f t="shared" si="0"/>
        <v>20945</v>
      </c>
      <c r="D19" s="19">
        <f t="shared" si="0"/>
        <v>56351</v>
      </c>
      <c r="E19" s="19">
        <f t="shared" si="0"/>
        <v>6884</v>
      </c>
      <c r="F19" s="19">
        <f t="shared" si="0"/>
        <v>4409</v>
      </c>
      <c r="G19" s="19">
        <f t="shared" si="0"/>
        <v>110</v>
      </c>
      <c r="H19" s="19">
        <f t="shared" si="0"/>
        <v>84672</v>
      </c>
      <c r="I19" s="19">
        <f t="shared" si="0"/>
        <v>5767</v>
      </c>
      <c r="J19" s="19">
        <f t="shared" si="0"/>
        <v>60</v>
      </c>
      <c r="K19" s="19">
        <f t="shared" si="0"/>
        <v>554214</v>
      </c>
      <c r="L19" s="19">
        <f t="shared" si="0"/>
        <v>13672</v>
      </c>
      <c r="M19" s="19">
        <f t="shared" si="0"/>
        <v>6460</v>
      </c>
      <c r="N19" s="19">
        <f t="shared" si="0"/>
        <v>7685</v>
      </c>
      <c r="O19" s="19">
        <f t="shared" si="0"/>
        <v>307</v>
      </c>
      <c r="P19" s="19">
        <f t="shared" si="0"/>
        <v>45479</v>
      </c>
      <c r="Q19" s="19">
        <f t="shared" si="0"/>
        <v>895</v>
      </c>
      <c r="R19" s="19">
        <f t="shared" si="0"/>
        <v>2688233</v>
      </c>
      <c r="S19" s="19">
        <f t="shared" si="0"/>
        <v>1078483</v>
      </c>
      <c r="T19" s="19">
        <f t="shared" si="0"/>
        <v>6864241</v>
      </c>
      <c r="U19" s="19">
        <f t="shared" si="0"/>
        <v>6701217</v>
      </c>
      <c r="V19" s="19">
        <f t="shared" si="0"/>
        <v>237014</v>
      </c>
      <c r="W19" s="19">
        <f t="shared" si="0"/>
        <v>4592</v>
      </c>
      <c r="X19" s="42">
        <f t="shared" si="0"/>
        <v>5100.5</v>
      </c>
      <c r="Y19" s="42">
        <f t="shared" si="0"/>
        <v>3380.5</v>
      </c>
      <c r="Z19" s="42">
        <f t="shared" si="0"/>
        <v>23338.5</v>
      </c>
      <c r="AA19" s="19">
        <f t="shared" si="0"/>
        <v>18430</v>
      </c>
      <c r="AB19" s="19">
        <f t="shared" si="0"/>
        <v>23376</v>
      </c>
      <c r="AC19" s="19">
        <f t="shared" si="0"/>
        <v>1733</v>
      </c>
      <c r="AD19" s="19">
        <f t="shared" si="0"/>
        <v>206</v>
      </c>
      <c r="AE19" s="19">
        <f t="shared" si="0"/>
        <v>424</v>
      </c>
      <c r="AF19" s="19">
        <f t="shared" si="0"/>
        <v>144</v>
      </c>
    </row>
    <row r="20" spans="1:32" x14ac:dyDescent="0.25">
      <c r="H20" s="44"/>
      <c r="S20" s="5"/>
      <c r="X20" s="5"/>
      <c r="Y20" s="114"/>
    </row>
    <row r="21" spans="1:32"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AC21" s="44"/>
      <c r="AD21" s="44"/>
      <c r="AE21" s="44"/>
      <c r="AF21" s="44"/>
    </row>
    <row r="22" spans="1:32"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AC22" s="44"/>
      <c r="AD22" s="44"/>
      <c r="AE22" s="44"/>
      <c r="AF22" s="44"/>
    </row>
    <row r="23" spans="1:32"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AC23" s="44"/>
      <c r="AD23" s="44"/>
      <c r="AE23" s="44"/>
      <c r="AF23" s="44"/>
    </row>
    <row r="24" spans="1:32"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AC24" s="44"/>
      <c r="AD24" s="44"/>
      <c r="AE24" s="44"/>
      <c r="AF24" s="44"/>
    </row>
    <row r="25" spans="1:32"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AC25" s="44"/>
      <c r="AD25" s="44"/>
      <c r="AE25" s="44"/>
      <c r="AF25" s="44"/>
    </row>
  </sheetData>
  <sheetProtection formatCells="0" formatColumns="0" formatRows="0" insertColumns="0" insertRows="0" sort="0" autoFilter="0" pivotTables="0"/>
  <dataValidations count="1">
    <dataValidation type="list" errorStyle="information" allowBlank="1" showInputMessage="1" showErrorMessage="1" sqref="B1:AF1" xr:uid="{CB1F1577-4B50-4AF9-94A9-55FC23640045}">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2E721E9-F3D7-4BB9-9B55-8DFDE687FD05}">
          <x14:formula1>
            <xm:f>'Term List'!$A2:$A242</xm:f>
          </x14:formula1>
          <xm:sqref>AG1:XFD1</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C63F1-D1BA-4F9A-89F6-C97843FFBDCF}">
  <dimension ref="A1:AD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7" style="3" customWidth="1"/>
    <col min="9" max="9" width="17.140625" style="3" customWidth="1"/>
    <col min="10" max="10" width="15" style="3" customWidth="1"/>
    <col min="11" max="11" width="15.5703125" style="3" customWidth="1"/>
    <col min="12" max="12" width="18.7109375" style="5" customWidth="1"/>
    <col min="13" max="13" width="16.5703125" style="5" customWidth="1"/>
    <col min="14" max="14" width="17.140625" style="5" customWidth="1"/>
    <col min="15" max="15" width="15" style="5" customWidth="1"/>
    <col min="16" max="16" width="17.85546875" style="5" customWidth="1"/>
    <col min="17" max="17" width="15.7109375" style="5" customWidth="1"/>
    <col min="18" max="18" width="14.42578125" style="5" customWidth="1"/>
    <col min="19" max="19" width="16.85546875" style="5" customWidth="1"/>
    <col min="20" max="20" width="14.28515625" style="5" customWidth="1"/>
    <col min="21" max="21" width="23" style="3" customWidth="1"/>
    <col min="22" max="22" width="20.140625" style="3" customWidth="1"/>
    <col min="23" max="23" width="14.28515625" style="3" customWidth="1"/>
    <col min="24" max="24" width="17.85546875" style="3" customWidth="1"/>
    <col min="25" max="25" width="14.28515625" style="3" customWidth="1"/>
    <col min="26" max="26" width="18.5703125" style="3" customWidth="1"/>
    <col min="27" max="30" width="14.5703125" style="3" customWidth="1"/>
    <col min="31" max="16384" width="9.140625" style="3"/>
  </cols>
  <sheetData>
    <row r="1" spans="1:30" s="14" customFormat="1" ht="30" x14ac:dyDescent="0.25">
      <c r="A1" s="36" t="s">
        <v>457</v>
      </c>
      <c r="B1" s="36" t="s">
        <v>155</v>
      </c>
      <c r="C1" s="36" t="s">
        <v>156</v>
      </c>
      <c r="D1" s="36" t="s">
        <v>154</v>
      </c>
      <c r="E1" s="36" t="s">
        <v>150</v>
      </c>
      <c r="F1" s="36" t="s">
        <v>148</v>
      </c>
      <c r="G1" s="36" t="s">
        <v>147</v>
      </c>
      <c r="H1" s="36" t="s">
        <v>125</v>
      </c>
      <c r="I1" s="36" t="s">
        <v>122</v>
      </c>
      <c r="J1" s="36" t="s">
        <v>121</v>
      </c>
      <c r="K1" s="36" t="s">
        <v>123</v>
      </c>
      <c r="L1" s="36" t="s">
        <v>143</v>
      </c>
      <c r="M1" s="36" t="s">
        <v>142</v>
      </c>
      <c r="N1" s="36" t="s">
        <v>131</v>
      </c>
      <c r="O1" s="36" t="s">
        <v>130</v>
      </c>
      <c r="P1" s="36" t="s">
        <v>139</v>
      </c>
      <c r="Q1" s="36" t="s">
        <v>127</v>
      </c>
      <c r="R1" s="36" t="s">
        <v>133</v>
      </c>
      <c r="S1" s="36" t="s">
        <v>74</v>
      </c>
      <c r="T1" s="36" t="s">
        <v>129</v>
      </c>
      <c r="U1" s="36" t="s">
        <v>141</v>
      </c>
      <c r="V1" s="36" t="s">
        <v>135</v>
      </c>
      <c r="W1" s="36" t="s">
        <v>128</v>
      </c>
      <c r="X1" s="36" t="s">
        <v>78</v>
      </c>
      <c r="Y1" s="36" t="s">
        <v>119</v>
      </c>
      <c r="Z1" s="36" t="s">
        <v>134</v>
      </c>
      <c r="AA1" s="31"/>
      <c r="AB1" s="31"/>
      <c r="AC1" s="31"/>
      <c r="AD1" s="31"/>
    </row>
    <row r="2" spans="1:30" s="26" customFormat="1" x14ac:dyDescent="0.25">
      <c r="A2" s="34" t="s">
        <v>0</v>
      </c>
      <c r="B2" s="16"/>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row>
    <row r="3" spans="1:30" s="26" customFormat="1" x14ac:dyDescent="0.25">
      <c r="A3" s="34" t="s">
        <v>1</v>
      </c>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row>
    <row r="4" spans="1:30"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row>
    <row r="5" spans="1:30" s="26" customFormat="1" x14ac:dyDescent="0.25">
      <c r="A5" s="34" t="s">
        <v>2</v>
      </c>
      <c r="B5" s="16"/>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row>
    <row r="6" spans="1:30" s="26" customFormat="1" x14ac:dyDescent="0.25">
      <c r="A6" s="34" t="s">
        <v>3</v>
      </c>
      <c r="B6" s="16"/>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row>
    <row r="7" spans="1:30" s="26" customFormat="1" x14ac:dyDescent="0.25">
      <c r="A7" s="34" t="s">
        <v>4</v>
      </c>
      <c r="B7" s="16"/>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row>
    <row r="8" spans="1:30" s="26" customFormat="1" x14ac:dyDescent="0.25">
      <c r="A8" s="34" t="s">
        <v>5</v>
      </c>
      <c r="B8" s="16"/>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row>
    <row r="9" spans="1:30" s="26" customFormat="1" x14ac:dyDescent="0.25">
      <c r="A9" s="34" t="s">
        <v>6</v>
      </c>
      <c r="B9" s="16"/>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row>
    <row r="10" spans="1:30" s="26" customFormat="1" x14ac:dyDescent="0.25">
      <c r="A10" s="35" t="s">
        <v>7</v>
      </c>
      <c r="B10" s="19">
        <v>17940</v>
      </c>
      <c r="C10" s="42">
        <v>1418.5</v>
      </c>
      <c r="D10" s="42">
        <v>1861.5</v>
      </c>
      <c r="E10" s="19">
        <v>6361</v>
      </c>
      <c r="F10" s="19">
        <v>312</v>
      </c>
      <c r="G10" s="19">
        <v>162</v>
      </c>
      <c r="H10" s="42">
        <v>9145.5</v>
      </c>
      <c r="I10" s="42">
        <v>3230</v>
      </c>
      <c r="J10" s="19">
        <v>378</v>
      </c>
      <c r="K10" s="19">
        <v>40</v>
      </c>
      <c r="L10" s="19">
        <v>288</v>
      </c>
      <c r="M10" s="19">
        <v>4032</v>
      </c>
      <c r="N10" s="42">
        <v>314.5</v>
      </c>
      <c r="O10" s="19">
        <v>2</v>
      </c>
      <c r="P10" s="19">
        <v>14</v>
      </c>
      <c r="Q10" s="19">
        <v>198</v>
      </c>
      <c r="R10" s="19">
        <v>8105</v>
      </c>
      <c r="S10" s="19">
        <v>1617</v>
      </c>
      <c r="T10" s="42">
        <f>910.5</f>
        <v>910.5</v>
      </c>
      <c r="U10" s="19">
        <v>569</v>
      </c>
      <c r="V10" s="19">
        <v>75</v>
      </c>
      <c r="W10" s="19">
        <v>541</v>
      </c>
      <c r="X10" s="19">
        <v>1007</v>
      </c>
      <c r="Y10" s="19">
        <v>254</v>
      </c>
      <c r="Z10" s="19">
        <v>4047</v>
      </c>
      <c r="AA10" s="19"/>
      <c r="AB10" s="19"/>
      <c r="AC10" s="19"/>
      <c r="AD10" s="19"/>
    </row>
    <row r="11" spans="1:30" s="26" customFormat="1" x14ac:dyDescent="0.25">
      <c r="A11" s="34" t="s">
        <v>8</v>
      </c>
      <c r="B11" s="16"/>
      <c r="C11" s="16"/>
      <c r="D11" s="43"/>
      <c r="E11" s="16"/>
      <c r="F11" s="16"/>
      <c r="G11" s="16"/>
      <c r="H11" s="43"/>
      <c r="I11" s="43"/>
      <c r="J11" s="16"/>
      <c r="K11" s="16"/>
      <c r="L11" s="16"/>
      <c r="M11" s="16"/>
      <c r="N11" s="43"/>
      <c r="O11" s="16"/>
      <c r="P11" s="16"/>
      <c r="Q11" s="16"/>
      <c r="R11" s="16"/>
      <c r="S11" s="16"/>
      <c r="T11" s="43"/>
      <c r="U11" s="16"/>
      <c r="V11" s="16"/>
      <c r="W11" s="16"/>
      <c r="X11" s="16"/>
      <c r="Y11" s="16"/>
      <c r="Z11" s="16"/>
      <c r="AA11" s="16"/>
      <c r="AB11" s="16"/>
      <c r="AC11" s="16"/>
      <c r="AD11" s="16"/>
    </row>
    <row r="12" spans="1:30" s="26" customFormat="1" x14ac:dyDescent="0.25">
      <c r="A12" s="34" t="s">
        <v>9</v>
      </c>
      <c r="B12" s="16"/>
      <c r="C12" s="16"/>
      <c r="D12" s="43"/>
      <c r="E12" s="16"/>
      <c r="F12" s="16"/>
      <c r="G12" s="16"/>
      <c r="H12" s="43"/>
      <c r="I12" s="43"/>
      <c r="J12" s="16"/>
      <c r="K12" s="16"/>
      <c r="L12" s="16"/>
      <c r="M12" s="16"/>
      <c r="N12" s="43"/>
      <c r="O12" s="16"/>
      <c r="P12" s="16"/>
      <c r="Q12" s="16"/>
      <c r="R12" s="16"/>
      <c r="S12" s="16"/>
      <c r="T12" s="43"/>
      <c r="U12" s="16"/>
      <c r="V12" s="16"/>
      <c r="W12" s="16"/>
      <c r="X12" s="16"/>
      <c r="Y12" s="16"/>
      <c r="Z12" s="16"/>
      <c r="AA12" s="16"/>
      <c r="AB12" s="16"/>
      <c r="AC12" s="16"/>
      <c r="AD12" s="16"/>
    </row>
    <row r="13" spans="1:30" s="26" customFormat="1" x14ac:dyDescent="0.25">
      <c r="A13" s="34" t="s">
        <v>164</v>
      </c>
      <c r="B13" s="16"/>
      <c r="C13" s="16"/>
      <c r="D13" s="43"/>
      <c r="E13" s="16"/>
      <c r="F13" s="16"/>
      <c r="G13" s="16"/>
      <c r="H13" s="43"/>
      <c r="I13" s="43"/>
      <c r="J13" s="16"/>
      <c r="K13" s="16"/>
      <c r="L13" s="16"/>
      <c r="M13" s="16"/>
      <c r="N13" s="43"/>
      <c r="O13" s="16"/>
      <c r="P13" s="16"/>
      <c r="Q13" s="16"/>
      <c r="R13" s="16"/>
      <c r="S13" s="16"/>
      <c r="T13" s="43"/>
      <c r="U13" s="16"/>
      <c r="V13" s="16"/>
      <c r="W13" s="16"/>
      <c r="X13" s="16"/>
      <c r="Y13" s="16"/>
      <c r="Z13" s="16"/>
      <c r="AA13" s="16"/>
      <c r="AB13" s="16"/>
      <c r="AC13" s="16"/>
      <c r="AD13" s="16"/>
    </row>
    <row r="14" spans="1:30" s="26" customFormat="1" x14ac:dyDescent="0.25">
      <c r="A14" s="34" t="s">
        <v>10</v>
      </c>
      <c r="B14" s="16"/>
      <c r="C14" s="16"/>
      <c r="D14" s="43"/>
      <c r="E14" s="16"/>
      <c r="F14" s="16"/>
      <c r="G14" s="16"/>
      <c r="H14" s="43"/>
      <c r="I14" s="43"/>
      <c r="J14" s="16"/>
      <c r="K14" s="16"/>
      <c r="L14" s="16"/>
      <c r="M14" s="16"/>
      <c r="N14" s="43"/>
      <c r="O14" s="16"/>
      <c r="P14" s="16"/>
      <c r="Q14" s="16"/>
      <c r="R14" s="16"/>
      <c r="S14" s="16"/>
      <c r="T14" s="43"/>
      <c r="U14" s="16"/>
      <c r="V14" s="16"/>
      <c r="W14" s="16"/>
      <c r="X14" s="16"/>
      <c r="Y14" s="16"/>
      <c r="Z14" s="16"/>
      <c r="AA14" s="16"/>
      <c r="AB14" s="16"/>
      <c r="AC14" s="16"/>
      <c r="AD14" s="16"/>
    </row>
    <row r="15" spans="1:30" s="26" customFormat="1" x14ac:dyDescent="0.25">
      <c r="A15" s="34" t="s">
        <v>11</v>
      </c>
      <c r="B15" s="16"/>
      <c r="C15" s="16"/>
      <c r="D15" s="43"/>
      <c r="E15" s="16"/>
      <c r="F15" s="16"/>
      <c r="G15" s="16"/>
      <c r="H15" s="43"/>
      <c r="I15" s="43"/>
      <c r="J15" s="16"/>
      <c r="K15" s="16"/>
      <c r="L15" s="16"/>
      <c r="M15" s="16"/>
      <c r="N15" s="43"/>
      <c r="O15" s="16"/>
      <c r="P15" s="16"/>
      <c r="Q15" s="16"/>
      <c r="R15" s="16"/>
      <c r="S15" s="16"/>
      <c r="T15" s="43"/>
      <c r="U15" s="16"/>
      <c r="V15" s="16"/>
      <c r="W15" s="16"/>
      <c r="X15" s="16"/>
      <c r="Y15" s="16"/>
      <c r="Z15" s="16"/>
      <c r="AA15" s="16"/>
      <c r="AB15" s="16"/>
      <c r="AC15" s="16"/>
      <c r="AD15" s="16"/>
    </row>
    <row r="16" spans="1:30" s="26" customFormat="1" x14ac:dyDescent="0.25">
      <c r="A16" s="34" t="s">
        <v>12</v>
      </c>
      <c r="B16" s="16"/>
      <c r="C16" s="16"/>
      <c r="D16" s="43"/>
      <c r="E16" s="16"/>
      <c r="F16" s="16"/>
      <c r="G16" s="16"/>
      <c r="H16" s="43"/>
      <c r="I16" s="43"/>
      <c r="J16" s="16"/>
      <c r="K16" s="16"/>
      <c r="L16" s="16"/>
      <c r="M16" s="16"/>
      <c r="N16" s="43"/>
      <c r="O16" s="16"/>
      <c r="P16" s="16"/>
      <c r="Q16" s="16"/>
      <c r="R16" s="16"/>
      <c r="S16" s="16"/>
      <c r="T16" s="43"/>
      <c r="U16" s="16"/>
      <c r="V16" s="16"/>
      <c r="W16" s="16"/>
      <c r="X16" s="16"/>
      <c r="Y16" s="16"/>
      <c r="Z16" s="16"/>
      <c r="AA16" s="16"/>
      <c r="AB16" s="16"/>
      <c r="AC16" s="16"/>
      <c r="AD16" s="16"/>
    </row>
    <row r="17" spans="1:30" s="26" customFormat="1" x14ac:dyDescent="0.25">
      <c r="A17" s="34" t="s">
        <v>13</v>
      </c>
      <c r="B17" s="16"/>
      <c r="C17" s="16"/>
      <c r="D17" s="43"/>
      <c r="E17" s="16"/>
      <c r="F17" s="16"/>
      <c r="G17" s="16"/>
      <c r="H17" s="43"/>
      <c r="I17" s="43"/>
      <c r="J17" s="16"/>
      <c r="K17" s="16"/>
      <c r="L17" s="16"/>
      <c r="M17" s="16"/>
      <c r="N17" s="43"/>
      <c r="O17" s="16"/>
      <c r="P17" s="16"/>
      <c r="Q17" s="16"/>
      <c r="R17" s="16"/>
      <c r="S17" s="16"/>
      <c r="T17" s="43"/>
      <c r="U17" s="16"/>
      <c r="V17" s="16"/>
      <c r="W17" s="16"/>
      <c r="X17" s="16"/>
      <c r="Y17" s="16"/>
      <c r="Z17" s="16"/>
      <c r="AA17" s="16"/>
      <c r="AB17" s="16"/>
      <c r="AC17" s="16"/>
      <c r="AD17" s="16"/>
    </row>
    <row r="18" spans="1:30" s="26" customFormat="1" x14ac:dyDescent="0.25">
      <c r="A18" s="35" t="s">
        <v>14</v>
      </c>
      <c r="B18" s="19">
        <f>6988+1705+3418+5404+2807+10892+9562+5576+3300+2247</f>
        <v>51899</v>
      </c>
      <c r="C18" s="19">
        <f>1250+320+430+806+328+1410+1498+461+504+435</f>
        <v>7442</v>
      </c>
      <c r="D18" s="42">
        <f>226+88+11+121+20+268+555+50+16+7</f>
        <v>1362</v>
      </c>
      <c r="E18" s="19">
        <f>2510+429+1478+1609+894+3925+5462+1803+1401+508</f>
        <v>20019</v>
      </c>
      <c r="F18" s="19">
        <f>111+7+61+243+55+509+268+71+46+11</f>
        <v>1382</v>
      </c>
      <c r="G18" s="19">
        <f>154+1+124+4+31+308+7+29</f>
        <v>658</v>
      </c>
      <c r="H18" s="42">
        <f>374+23+162.5+196+538+10+41+17+2809</f>
        <v>4170.5</v>
      </c>
      <c r="I18" s="42">
        <f>34+13+17+87+157+28+29.5+31+330</f>
        <v>726.5</v>
      </c>
      <c r="J18" s="19">
        <f>242+1+2+4+30+28</f>
        <v>307</v>
      </c>
      <c r="K18" s="19">
        <f>12+228+7+145</f>
        <v>392</v>
      </c>
      <c r="L18" s="19">
        <f>10+7+3+17+22+22</f>
        <v>81</v>
      </c>
      <c r="M18" s="19">
        <f>221+1771+350+4830+12978+10033+4015+96+734+4814</f>
        <v>39842</v>
      </c>
      <c r="N18" s="42">
        <f>60+2+55+216+1793+1298+432+680</f>
        <v>4536</v>
      </c>
      <c r="O18" s="19">
        <f>2+2+87+1+11</f>
        <v>103</v>
      </c>
      <c r="P18" s="19">
        <f>12+10+26+2+106+109+19+25+25</f>
        <v>334</v>
      </c>
      <c r="Q18" s="19">
        <f>880+20</f>
        <v>900</v>
      </c>
      <c r="R18" s="19">
        <f>164+60+86+166+419+1466+536+241+132</f>
        <v>3270</v>
      </c>
      <c r="S18" s="19">
        <f>307+37+145+165+128+138+794+359+836+1519</f>
        <v>4428</v>
      </c>
      <c r="T18" s="42">
        <f>96+7+34+84.5+145+34+95</f>
        <v>495.5</v>
      </c>
      <c r="U18" s="19">
        <f>55+12+103+48+90+45</f>
        <v>353</v>
      </c>
      <c r="V18" s="19">
        <f>2+3+153+15+10</f>
        <v>183</v>
      </c>
      <c r="W18" s="19">
        <f>107+5+35+8+3+79</f>
        <v>237</v>
      </c>
      <c r="X18" s="19">
        <f>1+41+12+37+1+28+402+54+10+45</f>
        <v>631</v>
      </c>
      <c r="Y18" s="19">
        <f>175+2000+460+1+12</f>
        <v>2648</v>
      </c>
      <c r="Z18" s="19">
        <f>504+1942+671+1904+820+6339+7279+618+1165+1027</f>
        <v>22269</v>
      </c>
      <c r="AA18" s="19"/>
      <c r="AB18" s="19"/>
      <c r="AC18" s="19"/>
      <c r="AD18" s="19"/>
    </row>
    <row r="19" spans="1:30" s="26" customFormat="1" x14ac:dyDescent="0.25">
      <c r="A19" s="35" t="s">
        <v>15</v>
      </c>
      <c r="B19" s="19">
        <f>SUM(B10,B18)</f>
        <v>69839</v>
      </c>
      <c r="C19" s="42">
        <f t="shared" ref="C19:AD19" si="0">SUM(C10,C18)</f>
        <v>8860.5</v>
      </c>
      <c r="D19" s="42">
        <f t="shared" si="0"/>
        <v>3223.5</v>
      </c>
      <c r="E19" s="19">
        <f t="shared" si="0"/>
        <v>26380</v>
      </c>
      <c r="F19" s="19">
        <f t="shared" si="0"/>
        <v>1694</v>
      </c>
      <c r="G19" s="42">
        <f t="shared" si="0"/>
        <v>820</v>
      </c>
      <c r="H19" s="42">
        <f t="shared" ref="H19:O19" si="1">SUM(H10,H18)</f>
        <v>13316</v>
      </c>
      <c r="I19" s="42">
        <f t="shared" si="1"/>
        <v>3956.5</v>
      </c>
      <c r="J19" s="19">
        <f t="shared" si="1"/>
        <v>685</v>
      </c>
      <c r="K19" s="19">
        <f t="shared" si="1"/>
        <v>432</v>
      </c>
      <c r="L19" s="19">
        <f t="shared" si="1"/>
        <v>369</v>
      </c>
      <c r="M19" s="19">
        <f t="shared" si="1"/>
        <v>43874</v>
      </c>
      <c r="N19" s="42">
        <f t="shared" si="1"/>
        <v>4850.5</v>
      </c>
      <c r="O19" s="19">
        <f t="shared" si="1"/>
        <v>105</v>
      </c>
      <c r="P19" s="19">
        <f t="shared" si="0"/>
        <v>348</v>
      </c>
      <c r="Q19" s="19">
        <f t="shared" si="0"/>
        <v>1098</v>
      </c>
      <c r="R19" s="19">
        <f t="shared" si="0"/>
        <v>11375</v>
      </c>
      <c r="S19" s="19">
        <f t="shared" si="0"/>
        <v>6045</v>
      </c>
      <c r="T19" s="42">
        <f t="shared" si="0"/>
        <v>1406</v>
      </c>
      <c r="U19" s="19">
        <f t="shared" si="0"/>
        <v>922</v>
      </c>
      <c r="V19" s="19">
        <f>SUM(V10,V18)</f>
        <v>258</v>
      </c>
      <c r="W19" s="19">
        <f t="shared" si="0"/>
        <v>778</v>
      </c>
      <c r="X19" s="19">
        <f t="shared" si="0"/>
        <v>1638</v>
      </c>
      <c r="Y19" s="19">
        <f>SUM(Y10,Y18)</f>
        <v>2902</v>
      </c>
      <c r="Z19" s="19">
        <f t="shared" si="0"/>
        <v>26316</v>
      </c>
      <c r="AA19" s="19">
        <f t="shared" si="0"/>
        <v>0</v>
      </c>
      <c r="AB19" s="19">
        <f t="shared" si="0"/>
        <v>0</v>
      </c>
      <c r="AC19" s="19">
        <f t="shared" si="0"/>
        <v>0</v>
      </c>
      <c r="AD19" s="19">
        <f t="shared" si="0"/>
        <v>0</v>
      </c>
    </row>
    <row r="21" spans="1:30" x14ac:dyDescent="0.25">
      <c r="B21" s="44"/>
      <c r="C21" s="44"/>
      <c r="D21" s="44"/>
      <c r="E21" s="44"/>
      <c r="F21" s="44"/>
      <c r="G21" s="44"/>
      <c r="L21" s="44"/>
      <c r="M21" s="44"/>
      <c r="N21" s="44"/>
      <c r="O21" s="44"/>
      <c r="P21" s="44"/>
      <c r="Q21" s="44"/>
      <c r="R21" s="44"/>
      <c r="S21" s="44"/>
      <c r="T21" s="44"/>
    </row>
    <row r="23" spans="1:30" x14ac:dyDescent="0.25">
      <c r="B23" s="44"/>
      <c r="C23" s="44"/>
      <c r="D23" s="44"/>
      <c r="E23" s="44"/>
      <c r="F23" s="44"/>
      <c r="G23" s="44"/>
      <c r="L23" s="44"/>
      <c r="M23" s="44"/>
      <c r="N23" s="44"/>
      <c r="O23" s="44"/>
      <c r="P23" s="44"/>
      <c r="Q23" s="44"/>
      <c r="R23" s="44"/>
      <c r="S23" s="44"/>
      <c r="T23" s="44"/>
    </row>
    <row r="25" spans="1:30" x14ac:dyDescent="0.25">
      <c r="B25" s="44"/>
      <c r="C25" s="44"/>
      <c r="D25" s="44"/>
      <c r="E25" s="44"/>
      <c r="F25" s="44"/>
      <c r="G25" s="44"/>
      <c r="L25" s="44"/>
      <c r="M25" s="44"/>
      <c r="N25" s="44"/>
      <c r="O25" s="44"/>
      <c r="P25" s="44"/>
      <c r="Q25" s="44"/>
      <c r="R25" s="44"/>
      <c r="S25" s="44"/>
      <c r="T25" s="44"/>
    </row>
  </sheetData>
  <sheetProtection formatCells="0" formatColumns="0" formatRows="0" insertColumns="0" insertRows="0" sort="0" autoFilter="0" pivotTables="0"/>
  <dataValidations disablePrompts="1" count="1">
    <dataValidation type="list" errorStyle="information" allowBlank="1" showInputMessage="1" showErrorMessage="1" sqref="B1:AD1" xr:uid="{8304916D-07B3-421E-86E3-D275EC128894}">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FC2FF36D-E5FF-4DE0-B872-FE1D5A84C690}">
          <x14:formula1>
            <xm:f>'Term List'!$A2:$A242</xm:f>
          </x14:formula1>
          <xm:sqref>AE1:XFD1</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C69E2-63E5-48B3-945D-089E97719399}">
  <dimension ref="A1:AD25"/>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7.42578125" style="5" customWidth="1"/>
    <col min="3" max="3" width="16.28515625" style="5" customWidth="1"/>
    <col min="4" max="4" width="15.85546875" style="5" customWidth="1"/>
    <col min="5" max="5" width="20.140625" style="5" customWidth="1"/>
    <col min="6" max="6" width="16.28515625" style="5" customWidth="1"/>
    <col min="7" max="7" width="15.85546875" style="5" customWidth="1"/>
    <col min="8" max="8" width="21.42578125" style="5" customWidth="1"/>
    <col min="9" max="9" width="16" style="3" customWidth="1"/>
    <col min="10" max="10" width="15.85546875" style="5" customWidth="1"/>
    <col min="11" max="11" width="31.28515625" style="3" customWidth="1"/>
    <col min="12" max="12" width="16.28515625" style="5" customWidth="1"/>
    <col min="13" max="13" width="17" style="5" customWidth="1"/>
    <col min="14" max="14" width="21.140625" style="3" customWidth="1"/>
    <col min="15" max="15" width="21.28515625" style="5" customWidth="1"/>
    <col min="16" max="16" width="18.28515625" style="5" customWidth="1"/>
    <col min="17" max="17" width="17.28515625" style="3" customWidth="1"/>
    <col min="18" max="18" width="19.42578125" style="3" customWidth="1"/>
    <col min="19" max="21" width="15.85546875" style="3" customWidth="1"/>
    <col min="22" max="24" width="16.42578125" style="3" customWidth="1"/>
    <col min="25" max="25" width="17.28515625" style="3" customWidth="1"/>
    <col min="26" max="26" width="16.42578125" style="3" customWidth="1"/>
    <col min="27" max="27" width="18.28515625" style="3" customWidth="1"/>
    <col min="28" max="28" width="17.85546875" style="3" customWidth="1"/>
    <col min="29" max="29" width="17.28515625" style="3" customWidth="1"/>
    <col min="30" max="30" width="17.5703125" style="3" customWidth="1"/>
    <col min="31" max="16384" width="9.140625" style="3"/>
  </cols>
  <sheetData>
    <row r="1" spans="1:30" s="40" customFormat="1" ht="30" x14ac:dyDescent="0.25">
      <c r="A1" s="36" t="s">
        <v>456</v>
      </c>
      <c r="B1" s="36" t="s">
        <v>34</v>
      </c>
      <c r="C1" s="36" t="s">
        <v>63</v>
      </c>
      <c r="D1" s="36" t="s">
        <v>62</v>
      </c>
      <c r="E1" s="36" t="s">
        <v>55</v>
      </c>
      <c r="F1" s="36" t="s">
        <v>36</v>
      </c>
      <c r="G1" s="36" t="s">
        <v>40</v>
      </c>
      <c r="H1" s="36" t="s">
        <v>96</v>
      </c>
      <c r="I1" s="36" t="s">
        <v>98</v>
      </c>
      <c r="J1" s="36" t="s">
        <v>35</v>
      </c>
      <c r="K1" s="36" t="s">
        <v>442</v>
      </c>
      <c r="L1" s="36" t="s">
        <v>571</v>
      </c>
      <c r="M1" s="36" t="s">
        <v>572</v>
      </c>
      <c r="N1" s="36" t="s">
        <v>566</v>
      </c>
      <c r="O1" s="36" t="s">
        <v>567</v>
      </c>
      <c r="P1" s="36" t="s">
        <v>568</v>
      </c>
      <c r="Q1" s="36" t="s">
        <v>105</v>
      </c>
      <c r="R1" s="36" t="s">
        <v>106</v>
      </c>
      <c r="S1" s="36" t="s">
        <v>101</v>
      </c>
      <c r="T1" s="36" t="s">
        <v>75</v>
      </c>
      <c r="U1" s="36" t="s">
        <v>66</v>
      </c>
      <c r="V1" s="36" t="s">
        <v>28</v>
      </c>
      <c r="W1" s="36" t="s">
        <v>89</v>
      </c>
      <c r="X1" s="36" t="s">
        <v>45</v>
      </c>
      <c r="Y1" s="36" t="s">
        <v>48</v>
      </c>
      <c r="Z1" s="36" t="s">
        <v>102</v>
      </c>
      <c r="AA1" s="36" t="s">
        <v>330</v>
      </c>
      <c r="AB1" s="36" t="s">
        <v>331</v>
      </c>
      <c r="AC1" s="36" t="s">
        <v>332</v>
      </c>
      <c r="AD1" s="36" t="s">
        <v>333</v>
      </c>
    </row>
    <row r="2" spans="1:30"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row>
    <row r="3" spans="1:30"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row>
    <row r="4" spans="1:30" s="26" customFormat="1" x14ac:dyDescent="0.25">
      <c r="A4" s="34" t="s">
        <v>169</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row>
    <row r="5" spans="1:30"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row>
    <row r="6" spans="1:30" s="26" customFormat="1" x14ac:dyDescent="0.25">
      <c r="A6" s="34" t="s">
        <v>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s="26" customFormat="1" x14ac:dyDescent="0.25">
      <c r="A7" s="34" t="s">
        <v>4</v>
      </c>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row>
    <row r="8" spans="1:30" s="26" customFormat="1" x14ac:dyDescent="0.25">
      <c r="A8" s="34" t="s">
        <v>5</v>
      </c>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row>
    <row r="9" spans="1:30"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row>
    <row r="10" spans="1:30" s="26" customFormat="1" x14ac:dyDescent="0.25">
      <c r="A10" s="35" t="s">
        <v>7</v>
      </c>
      <c r="B10" s="35"/>
      <c r="C10" s="42">
        <v>134.5</v>
      </c>
      <c r="D10" s="42">
        <v>71386.5</v>
      </c>
      <c r="E10" s="19">
        <v>5421</v>
      </c>
      <c r="F10" s="19">
        <v>5280</v>
      </c>
      <c r="G10" s="19">
        <f>515*112</f>
        <v>57680</v>
      </c>
      <c r="H10" s="110">
        <v>3934.25</v>
      </c>
      <c r="I10" s="19">
        <v>14301</v>
      </c>
      <c r="J10" s="19">
        <v>2040504</v>
      </c>
      <c r="K10" s="19">
        <v>20110</v>
      </c>
      <c r="L10" s="19">
        <v>5175</v>
      </c>
      <c r="M10" s="19">
        <v>4960</v>
      </c>
      <c r="N10" s="19">
        <v>202</v>
      </c>
      <c r="O10" s="42">
        <v>33416.5</v>
      </c>
      <c r="P10" s="19">
        <v>406</v>
      </c>
      <c r="Q10" s="19">
        <v>492606</v>
      </c>
      <c r="R10" s="19">
        <v>428887</v>
      </c>
      <c r="S10" s="19">
        <v>3455658</v>
      </c>
      <c r="T10" s="19">
        <v>3319559</v>
      </c>
      <c r="U10" s="19">
        <v>669909</v>
      </c>
      <c r="V10" s="110">
        <v>1788.75</v>
      </c>
      <c r="W10" s="19">
        <v>6307.5</v>
      </c>
      <c r="X10" s="19">
        <v>10954</v>
      </c>
      <c r="Y10" s="19">
        <v>7698</v>
      </c>
      <c r="Z10" s="42">
        <v>20937.5</v>
      </c>
      <c r="AA10" s="19">
        <v>444</v>
      </c>
      <c r="AB10" s="19">
        <v>57</v>
      </c>
      <c r="AC10" s="19">
        <v>328</v>
      </c>
      <c r="AD10" s="19">
        <v>44</v>
      </c>
    </row>
    <row r="11" spans="1:30" s="26" customFormat="1" x14ac:dyDescent="0.25">
      <c r="A11" s="34" t="s">
        <v>8</v>
      </c>
      <c r="B11" s="34"/>
      <c r="C11" s="16"/>
      <c r="D11" s="43"/>
      <c r="E11" s="16"/>
      <c r="F11" s="16"/>
      <c r="G11" s="16"/>
      <c r="H11" s="111"/>
      <c r="I11" s="16"/>
      <c r="J11" s="16"/>
      <c r="K11" s="16"/>
      <c r="L11" s="16"/>
      <c r="M11" s="16"/>
      <c r="N11" s="16"/>
      <c r="O11" s="43"/>
      <c r="P11" s="16"/>
      <c r="Q11" s="16"/>
      <c r="R11" s="16"/>
      <c r="S11" s="16"/>
      <c r="T11" s="16"/>
      <c r="U11" s="16"/>
      <c r="V11" s="111"/>
      <c r="W11" s="16"/>
      <c r="X11" s="16"/>
      <c r="Y11" s="16"/>
      <c r="Z11" s="16"/>
      <c r="AA11" s="16"/>
      <c r="AB11" s="16"/>
      <c r="AC11" s="16"/>
      <c r="AD11" s="16"/>
    </row>
    <row r="12" spans="1:30" s="26" customFormat="1" x14ac:dyDescent="0.25">
      <c r="A12" s="34" t="s">
        <v>9</v>
      </c>
      <c r="B12" s="34"/>
      <c r="C12" s="16"/>
      <c r="D12" s="43"/>
      <c r="E12" s="16"/>
      <c r="F12" s="16"/>
      <c r="G12" s="16"/>
      <c r="H12" s="111"/>
      <c r="I12" s="16"/>
      <c r="J12" s="16"/>
      <c r="K12" s="16"/>
      <c r="L12" s="16"/>
      <c r="M12" s="16"/>
      <c r="N12" s="16"/>
      <c r="O12" s="43"/>
      <c r="P12" s="16"/>
      <c r="Q12" s="16"/>
      <c r="R12" s="16"/>
      <c r="S12" s="16"/>
      <c r="T12" s="16"/>
      <c r="U12" s="16"/>
      <c r="V12" s="111"/>
      <c r="W12" s="16"/>
      <c r="X12" s="16"/>
      <c r="Y12" s="16"/>
      <c r="Z12" s="16"/>
      <c r="AA12" s="16"/>
      <c r="AB12" s="16"/>
      <c r="AC12" s="16"/>
      <c r="AD12" s="16"/>
    </row>
    <row r="13" spans="1:30" s="26" customFormat="1" x14ac:dyDescent="0.25">
      <c r="A13" s="34" t="s">
        <v>164</v>
      </c>
      <c r="B13" s="34"/>
      <c r="C13" s="16"/>
      <c r="D13" s="43"/>
      <c r="E13" s="16"/>
      <c r="F13" s="16"/>
      <c r="G13" s="16"/>
      <c r="H13" s="111"/>
      <c r="I13" s="16"/>
      <c r="J13" s="16"/>
      <c r="K13" s="16"/>
      <c r="L13" s="16"/>
      <c r="M13" s="16"/>
      <c r="N13" s="16"/>
      <c r="O13" s="43"/>
      <c r="P13" s="16"/>
      <c r="Q13" s="16"/>
      <c r="R13" s="16"/>
      <c r="S13" s="16"/>
      <c r="T13" s="16"/>
      <c r="U13" s="16"/>
      <c r="V13" s="111"/>
      <c r="W13" s="16"/>
      <c r="X13" s="16"/>
      <c r="Y13" s="16"/>
      <c r="Z13" s="16"/>
      <c r="AA13" s="16"/>
      <c r="AB13" s="16"/>
      <c r="AC13" s="16"/>
      <c r="AD13" s="16"/>
    </row>
    <row r="14" spans="1:30" s="26" customFormat="1" x14ac:dyDescent="0.25">
      <c r="A14" s="34" t="s">
        <v>10</v>
      </c>
      <c r="B14" s="34"/>
      <c r="C14" s="16"/>
      <c r="D14" s="43"/>
      <c r="E14" s="16"/>
      <c r="F14" s="16"/>
      <c r="G14" s="16"/>
      <c r="H14" s="111"/>
      <c r="I14" s="16"/>
      <c r="J14" s="16"/>
      <c r="K14" s="16"/>
      <c r="L14" s="16"/>
      <c r="M14" s="16"/>
      <c r="N14" s="16"/>
      <c r="O14" s="43"/>
      <c r="P14" s="16"/>
      <c r="Q14" s="16"/>
      <c r="R14" s="16"/>
      <c r="S14" s="16"/>
      <c r="T14" s="16"/>
      <c r="U14" s="16"/>
      <c r="V14" s="111"/>
      <c r="W14" s="16"/>
      <c r="X14" s="16"/>
      <c r="Y14" s="16"/>
      <c r="Z14" s="16"/>
      <c r="AA14" s="16"/>
      <c r="AB14" s="16"/>
      <c r="AC14" s="16"/>
      <c r="AD14" s="16"/>
    </row>
    <row r="15" spans="1:30" s="26" customFormat="1" x14ac:dyDescent="0.25">
      <c r="A15" s="34" t="s">
        <v>11</v>
      </c>
      <c r="B15" s="34"/>
      <c r="C15" s="16"/>
      <c r="D15" s="43"/>
      <c r="E15" s="16"/>
      <c r="F15" s="16"/>
      <c r="G15" s="16"/>
      <c r="H15" s="111"/>
      <c r="I15" s="16"/>
      <c r="J15" s="16"/>
      <c r="K15" s="16"/>
      <c r="L15" s="16"/>
      <c r="M15" s="16"/>
      <c r="N15" s="16"/>
      <c r="O15" s="43"/>
      <c r="P15" s="16"/>
      <c r="Q15" s="16"/>
      <c r="R15" s="16"/>
      <c r="S15" s="16"/>
      <c r="T15" s="16"/>
      <c r="U15" s="16"/>
      <c r="V15" s="111"/>
      <c r="W15" s="16"/>
      <c r="X15" s="16"/>
      <c r="Y15" s="16"/>
      <c r="Z15" s="16"/>
      <c r="AA15" s="16"/>
      <c r="AB15" s="16"/>
      <c r="AC15" s="16"/>
      <c r="AD15" s="16"/>
    </row>
    <row r="16" spans="1:30" s="26" customFormat="1" x14ac:dyDescent="0.25">
      <c r="A16" s="34" t="s">
        <v>12</v>
      </c>
      <c r="B16" s="34"/>
      <c r="C16" s="16"/>
      <c r="D16" s="43"/>
      <c r="E16" s="16"/>
      <c r="F16" s="16"/>
      <c r="G16" s="16"/>
      <c r="H16" s="111"/>
      <c r="I16" s="16"/>
      <c r="J16" s="16"/>
      <c r="K16" s="16"/>
      <c r="L16" s="16"/>
      <c r="M16" s="16"/>
      <c r="N16" s="16"/>
      <c r="O16" s="43"/>
      <c r="P16" s="16"/>
      <c r="Q16" s="16"/>
      <c r="R16" s="16"/>
      <c r="S16" s="16"/>
      <c r="T16" s="16"/>
      <c r="U16" s="16"/>
      <c r="V16" s="111"/>
      <c r="W16" s="16"/>
      <c r="X16" s="16"/>
      <c r="Y16" s="16"/>
      <c r="Z16" s="16"/>
      <c r="AA16" s="16"/>
      <c r="AB16" s="16"/>
      <c r="AC16" s="16"/>
      <c r="AD16" s="16"/>
    </row>
    <row r="17" spans="1:30" s="26" customFormat="1" x14ac:dyDescent="0.25">
      <c r="A17" s="34" t="s">
        <v>13</v>
      </c>
      <c r="B17" s="34"/>
      <c r="C17" s="16"/>
      <c r="D17" s="43"/>
      <c r="E17" s="16"/>
      <c r="F17" s="16"/>
      <c r="G17" s="16"/>
      <c r="H17" s="111"/>
      <c r="I17" s="16"/>
      <c r="J17" s="16"/>
      <c r="K17" s="16"/>
      <c r="L17" s="16"/>
      <c r="M17" s="16"/>
      <c r="N17" s="16"/>
      <c r="O17" s="43"/>
      <c r="P17" s="16"/>
      <c r="Q17" s="16"/>
      <c r="R17" s="16"/>
      <c r="S17" s="16"/>
      <c r="T17" s="16"/>
      <c r="U17" s="16"/>
      <c r="V17" s="111"/>
      <c r="W17" s="16"/>
      <c r="X17" s="16"/>
      <c r="Y17" s="16"/>
      <c r="Z17" s="16"/>
      <c r="AA17" s="16"/>
      <c r="AB17" s="16"/>
      <c r="AC17" s="16"/>
      <c r="AD17" s="16"/>
    </row>
    <row r="18" spans="1:30" s="26" customFormat="1" x14ac:dyDescent="0.25">
      <c r="A18" s="157" t="s">
        <v>14</v>
      </c>
      <c r="B18" s="157"/>
      <c r="C18" s="112">
        <f>61+50+176+402+59+68</f>
        <v>816</v>
      </c>
      <c r="D18" s="112">
        <f>248+202+25+64+12+3162+4940+92+302+112</f>
        <v>9159</v>
      </c>
      <c r="E18" s="112">
        <f>21+1613+791+26+50+21</f>
        <v>2522</v>
      </c>
      <c r="F18" s="113">
        <f>17.5+20+4+715+120+3</f>
        <v>879.5</v>
      </c>
      <c r="G18" s="112">
        <f>(26+1340)*112</f>
        <v>152992</v>
      </c>
      <c r="H18" s="115">
        <f>16.25+900+3230+15+392+81</f>
        <v>4634.25</v>
      </c>
      <c r="I18" s="112">
        <f>5+17+15+88+30+115</f>
        <v>270</v>
      </c>
      <c r="J18" s="112">
        <f>35661+11300+2240+117650+85093+66692+13670+40</f>
        <v>332346</v>
      </c>
      <c r="K18" s="112">
        <f>538+465+8+2170+1911+570+108+43</f>
        <v>5813</v>
      </c>
      <c r="L18" s="112">
        <f>368+416+311+808+90+161</f>
        <v>2154</v>
      </c>
      <c r="M18" s="112">
        <f>437+571+200+776+95+27</f>
        <v>2106</v>
      </c>
      <c r="N18" s="112">
        <f>20+3946+65</f>
        <v>4031</v>
      </c>
      <c r="O18" s="112">
        <f>7124+2277+1024+505+4366+9059+3620+1073+1310</f>
        <v>30358</v>
      </c>
      <c r="P18" s="112">
        <f>52+46+7+50+57+20</f>
        <v>232</v>
      </c>
      <c r="Q18" s="112">
        <f>51446+31500+159297+102900+385910+1020455+50200+72800</f>
        <v>1874508</v>
      </c>
      <c r="R18" s="112">
        <f>66600+80475+55700+249540+409222+31100+49000</f>
        <v>941637</v>
      </c>
      <c r="S18" s="112">
        <f>268297+80000+9780+822770+487389+162500+182800</f>
        <v>2013536</v>
      </c>
      <c r="T18" s="112">
        <f>384544+84000+65950+82626+516859+350210+999448+267330+175250+3000</f>
        <v>2929217</v>
      </c>
      <c r="U18" s="112">
        <f>553+1500+2193+1750+530+27+3229+3067+1230+1435</f>
        <v>15514</v>
      </c>
      <c r="V18" s="115">
        <f>150+79+98.5+30+27+311+75+3+110</f>
        <v>883.5</v>
      </c>
      <c r="W18" s="112">
        <f>148+101+99.5+40+332+925+96+47+116</f>
        <v>1904.5</v>
      </c>
      <c r="X18" s="112">
        <f>100+77+96.5+43+56.5+780+128+108+11</f>
        <v>1400</v>
      </c>
      <c r="Y18" s="112">
        <f>102+63+68+53+150+715+93+116+96</f>
        <v>1456</v>
      </c>
      <c r="Z18" s="112">
        <f>1022+86+66+42+108+505+100+238+109</f>
        <v>2276</v>
      </c>
      <c r="AA18" s="112">
        <f>28+2+36+74+66+1+6+6</f>
        <v>219</v>
      </c>
      <c r="AB18" s="112">
        <v>0</v>
      </c>
      <c r="AC18" s="112">
        <v>0</v>
      </c>
      <c r="AD18" s="112">
        <v>2</v>
      </c>
    </row>
    <row r="19" spans="1:30" s="26" customFormat="1" x14ac:dyDescent="0.25">
      <c r="A19" s="35" t="s">
        <v>15</v>
      </c>
      <c r="B19" s="19"/>
      <c r="C19" s="42">
        <f t="shared" ref="C19:AD19" si="0">SUM(C10,C18)</f>
        <v>950.5</v>
      </c>
      <c r="D19" s="42">
        <f t="shared" si="0"/>
        <v>80545.5</v>
      </c>
      <c r="E19" s="19">
        <f t="shared" si="0"/>
        <v>7943</v>
      </c>
      <c r="F19" s="42">
        <f t="shared" si="0"/>
        <v>6159.5</v>
      </c>
      <c r="G19" s="19">
        <f t="shared" si="0"/>
        <v>210672</v>
      </c>
      <c r="H19" s="110">
        <f t="shared" si="0"/>
        <v>8568.5</v>
      </c>
      <c r="I19" s="19">
        <f t="shared" si="0"/>
        <v>14571</v>
      </c>
      <c r="J19" s="19">
        <f t="shared" si="0"/>
        <v>2372850</v>
      </c>
      <c r="K19" s="19">
        <f t="shared" si="0"/>
        <v>25923</v>
      </c>
      <c r="L19" s="19">
        <f t="shared" si="0"/>
        <v>7329</v>
      </c>
      <c r="M19" s="19">
        <f t="shared" si="0"/>
        <v>7066</v>
      </c>
      <c r="N19" s="19">
        <f t="shared" si="0"/>
        <v>4233</v>
      </c>
      <c r="O19" s="42">
        <f t="shared" si="0"/>
        <v>63774.5</v>
      </c>
      <c r="P19" s="19">
        <f t="shared" si="0"/>
        <v>638</v>
      </c>
      <c r="Q19" s="19">
        <f t="shared" si="0"/>
        <v>2367114</v>
      </c>
      <c r="R19" s="19">
        <f t="shared" si="0"/>
        <v>1370524</v>
      </c>
      <c r="S19" s="19">
        <f t="shared" si="0"/>
        <v>5469194</v>
      </c>
      <c r="T19" s="19">
        <f t="shared" si="0"/>
        <v>6248776</v>
      </c>
      <c r="U19" s="19">
        <f t="shared" si="0"/>
        <v>685423</v>
      </c>
      <c r="V19" s="110">
        <f t="shared" si="0"/>
        <v>2672.25</v>
      </c>
      <c r="W19" s="19">
        <f t="shared" si="0"/>
        <v>8212</v>
      </c>
      <c r="X19" s="19">
        <f t="shared" si="0"/>
        <v>12354</v>
      </c>
      <c r="Y19" s="19">
        <f t="shared" si="0"/>
        <v>9154</v>
      </c>
      <c r="Z19" s="42">
        <f t="shared" si="0"/>
        <v>23213.5</v>
      </c>
      <c r="AA19" s="19">
        <f t="shared" si="0"/>
        <v>663</v>
      </c>
      <c r="AB19" s="19">
        <f t="shared" si="0"/>
        <v>57</v>
      </c>
      <c r="AC19" s="19">
        <f t="shared" si="0"/>
        <v>328</v>
      </c>
      <c r="AD19" s="19">
        <f t="shared" si="0"/>
        <v>46</v>
      </c>
    </row>
    <row r="20" spans="1:30" x14ac:dyDescent="0.25">
      <c r="G20" s="44"/>
      <c r="R20" s="5"/>
      <c r="V20" s="5"/>
      <c r="W20" s="5"/>
    </row>
    <row r="21" spans="1:30" x14ac:dyDescent="0.25">
      <c r="B21" s="44"/>
      <c r="C21" s="44"/>
      <c r="D21" s="44"/>
      <c r="E21" s="44"/>
      <c r="F21" s="44"/>
      <c r="G21" s="44"/>
      <c r="H21" s="44"/>
      <c r="I21" s="44"/>
      <c r="J21" s="44"/>
      <c r="K21" s="44"/>
      <c r="L21" s="44"/>
      <c r="M21" s="44"/>
      <c r="N21" s="44"/>
      <c r="O21" s="44"/>
      <c r="P21" s="44"/>
      <c r="Q21" s="44"/>
      <c r="R21" s="44"/>
      <c r="S21" s="44"/>
      <c r="T21" s="44"/>
      <c r="U21" s="44"/>
      <c r="V21" s="44"/>
      <c r="W21" s="44"/>
      <c r="AA21" s="44"/>
      <c r="AB21" s="44"/>
      <c r="AC21" s="44"/>
      <c r="AD21" s="44"/>
    </row>
    <row r="22" spans="1:30" x14ac:dyDescent="0.25">
      <c r="B22" s="44"/>
      <c r="C22" s="44"/>
      <c r="D22" s="44"/>
      <c r="E22" s="44"/>
      <c r="F22" s="44"/>
      <c r="G22" s="44"/>
      <c r="H22" s="44"/>
      <c r="I22" s="44"/>
      <c r="J22" s="44"/>
      <c r="K22" s="44"/>
      <c r="L22" s="44"/>
      <c r="M22" s="44"/>
      <c r="N22" s="44"/>
      <c r="O22" s="44"/>
      <c r="P22" s="44"/>
      <c r="Q22" s="44"/>
      <c r="R22" s="44"/>
      <c r="S22" s="44"/>
      <c r="T22" s="44"/>
      <c r="U22" s="44"/>
      <c r="V22" s="44"/>
      <c r="W22" s="44"/>
      <c r="AA22" s="44"/>
      <c r="AB22" s="44"/>
      <c r="AC22" s="44"/>
      <c r="AD22" s="44"/>
    </row>
    <row r="23" spans="1:30" x14ac:dyDescent="0.25">
      <c r="B23" s="44"/>
      <c r="C23" s="44"/>
      <c r="D23" s="44"/>
      <c r="E23" s="44"/>
      <c r="F23" s="44"/>
      <c r="G23" s="44"/>
      <c r="H23" s="44"/>
      <c r="I23" s="44"/>
      <c r="J23" s="44"/>
      <c r="K23" s="44"/>
      <c r="L23" s="44"/>
      <c r="M23" s="44"/>
      <c r="N23" s="44"/>
      <c r="O23" s="44"/>
      <c r="P23" s="44"/>
      <c r="Q23" s="44"/>
      <c r="R23" s="44"/>
      <c r="S23" s="44"/>
      <c r="T23" s="44"/>
      <c r="U23" s="44"/>
      <c r="V23" s="44"/>
      <c r="W23" s="44"/>
      <c r="AA23" s="44"/>
      <c r="AB23" s="44"/>
      <c r="AC23" s="44"/>
      <c r="AD23" s="44"/>
    </row>
    <row r="24" spans="1:30" x14ac:dyDescent="0.25">
      <c r="B24" s="44"/>
      <c r="C24" s="44"/>
      <c r="D24" s="44"/>
      <c r="E24" s="44"/>
      <c r="F24" s="44"/>
      <c r="G24" s="44"/>
      <c r="H24" s="44"/>
      <c r="I24" s="44"/>
      <c r="J24" s="44"/>
      <c r="K24" s="44"/>
      <c r="L24" s="44"/>
      <c r="M24" s="44"/>
      <c r="N24" s="44"/>
      <c r="O24" s="44"/>
      <c r="P24" s="44"/>
      <c r="Q24" s="44"/>
      <c r="R24" s="44"/>
      <c r="S24" s="44"/>
      <c r="T24" s="44"/>
      <c r="U24" s="44"/>
      <c r="V24" s="44"/>
      <c r="W24" s="44"/>
      <c r="AA24" s="44"/>
      <c r="AB24" s="44"/>
      <c r="AC24" s="44"/>
      <c r="AD24" s="44"/>
    </row>
    <row r="25" spans="1:30" x14ac:dyDescent="0.25">
      <c r="B25" s="44"/>
      <c r="C25" s="44"/>
      <c r="D25" s="44"/>
      <c r="E25" s="44"/>
      <c r="F25" s="44"/>
      <c r="G25" s="44"/>
      <c r="H25" s="44"/>
      <c r="I25" s="44"/>
      <c r="J25" s="44"/>
      <c r="K25" s="44"/>
      <c r="L25" s="44"/>
      <c r="M25" s="44"/>
      <c r="N25" s="44"/>
      <c r="O25" s="44"/>
      <c r="P25" s="44"/>
      <c r="Q25" s="44"/>
      <c r="R25" s="44"/>
      <c r="S25" s="44"/>
      <c r="T25" s="44"/>
      <c r="U25" s="44"/>
      <c r="V25" s="44"/>
      <c r="W25" s="44"/>
      <c r="AA25" s="44"/>
      <c r="AB25" s="44"/>
      <c r="AC25" s="44"/>
      <c r="AD25" s="44"/>
    </row>
  </sheetData>
  <sheetProtection formatCells="0" formatColumns="0" formatRows="0" insertColumns="0" insertRows="0" sort="0" autoFilter="0" pivotTables="0"/>
  <dataValidations count="1">
    <dataValidation type="list" errorStyle="information" allowBlank="1" showInputMessage="1" showErrorMessage="1" sqref="B1:AD1" xr:uid="{F0218F70-E06D-4A3B-BC5A-072CDD7B4619}">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632F917-D327-43BC-B104-3E98C3BCDEC1}">
          <x14:formula1>
            <xm:f>'Term List'!$A2:$A242</xm:f>
          </x14:formula1>
          <xm:sqref>AE1:XFD1</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ADB38-8206-4B27-A78C-F3A1D9B81909}">
  <dimension ref="A1:AB25"/>
  <sheetViews>
    <sheetView workbookViewId="0">
      <pane xSplit="1" ySplit="1" topLeftCell="B2" activePane="bottomRight" state="frozen"/>
      <selection activeCell="E23" sqref="E23"/>
      <selection pane="topRight" activeCell="E23" sqref="E23"/>
      <selection pane="bottomLeft" activeCell="E23" sqref="E23"/>
      <selection pane="bottomRight" activeCell="A24" sqref="A24"/>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7" style="3" customWidth="1"/>
    <col min="9" max="9" width="17.140625" style="3" customWidth="1"/>
    <col min="10" max="10" width="15" style="3" customWidth="1"/>
    <col min="11" max="11" width="17.85546875" style="5" customWidth="1"/>
    <col min="12" max="12" width="18.7109375" style="5" customWidth="1"/>
    <col min="13" max="13" width="16.5703125" style="5" customWidth="1"/>
    <col min="14" max="14" width="17.140625" style="5" customWidth="1"/>
    <col min="15" max="15" width="15" style="5" customWidth="1"/>
    <col min="16" max="16" width="15.7109375" style="5" customWidth="1"/>
    <col min="17" max="17" width="14.42578125" style="5" customWidth="1"/>
    <col min="18" max="18" width="16.85546875" style="5" customWidth="1"/>
    <col min="19" max="19" width="14.28515625" style="5" customWidth="1"/>
    <col min="20" max="20" width="23" style="3" customWidth="1"/>
    <col min="21" max="21" width="20.140625" style="3" customWidth="1"/>
    <col min="22" max="22" width="14.28515625" style="3" customWidth="1"/>
    <col min="23" max="23" width="17.85546875" style="3" customWidth="1"/>
    <col min="24" max="24" width="14.28515625" style="3" customWidth="1"/>
    <col min="25" max="25" width="18.5703125" style="3" customWidth="1"/>
    <col min="26" max="28" width="14.85546875" style="3" customWidth="1"/>
    <col min="29" max="16384" width="9.140625" style="3"/>
  </cols>
  <sheetData>
    <row r="1" spans="1:28" s="14" customFormat="1" ht="30" x14ac:dyDescent="0.25">
      <c r="A1" s="36" t="s">
        <v>452</v>
      </c>
      <c r="B1" s="36" t="s">
        <v>155</v>
      </c>
      <c r="C1" s="36" t="s">
        <v>156</v>
      </c>
      <c r="D1" s="36" t="s">
        <v>154</v>
      </c>
      <c r="E1" s="36" t="s">
        <v>150</v>
      </c>
      <c r="F1" s="36" t="s">
        <v>148</v>
      </c>
      <c r="G1" s="36" t="s">
        <v>147</v>
      </c>
      <c r="H1" s="36" t="s">
        <v>125</v>
      </c>
      <c r="I1" s="36" t="s">
        <v>122</v>
      </c>
      <c r="J1" s="36" t="s">
        <v>121</v>
      </c>
      <c r="K1" s="36" t="s">
        <v>139</v>
      </c>
      <c r="L1" s="36" t="s">
        <v>143</v>
      </c>
      <c r="M1" s="36" t="s">
        <v>142</v>
      </c>
      <c r="N1" s="36" t="s">
        <v>131</v>
      </c>
      <c r="O1" s="36" t="s">
        <v>130</v>
      </c>
      <c r="P1" s="36" t="s">
        <v>127</v>
      </c>
      <c r="Q1" s="36" t="s">
        <v>133</v>
      </c>
      <c r="R1" s="36" t="s">
        <v>74</v>
      </c>
      <c r="S1" s="36" t="s">
        <v>129</v>
      </c>
      <c r="T1" s="36" t="s">
        <v>141</v>
      </c>
      <c r="U1" s="36" t="s">
        <v>135</v>
      </c>
      <c r="V1" s="36" t="s">
        <v>128</v>
      </c>
      <c r="W1" s="36" t="s">
        <v>78</v>
      </c>
      <c r="X1" s="36" t="s">
        <v>119</v>
      </c>
      <c r="Y1" s="36" t="s">
        <v>134</v>
      </c>
      <c r="Z1" s="31"/>
      <c r="AA1" s="31"/>
      <c r="AB1" s="31"/>
    </row>
    <row r="2" spans="1:28" s="26" customFormat="1" x14ac:dyDescent="0.25">
      <c r="A2" s="34" t="s">
        <v>0</v>
      </c>
      <c r="B2" s="16">
        <v>17352</v>
      </c>
      <c r="C2" s="17">
        <v>1191</v>
      </c>
      <c r="D2" s="17">
        <v>762</v>
      </c>
      <c r="E2" s="17">
        <v>5232</v>
      </c>
      <c r="F2" s="17">
        <v>345</v>
      </c>
      <c r="G2" s="17">
        <v>150</v>
      </c>
      <c r="H2" s="17">
        <v>11745</v>
      </c>
      <c r="I2" s="41">
        <v>4038.5</v>
      </c>
      <c r="J2" s="17">
        <v>124</v>
      </c>
      <c r="K2" s="17">
        <v>1</v>
      </c>
      <c r="L2" s="17">
        <v>148</v>
      </c>
      <c r="M2" s="17">
        <v>2440</v>
      </c>
      <c r="N2" s="41">
        <v>481.5</v>
      </c>
      <c r="O2" s="41">
        <v>5.5</v>
      </c>
      <c r="P2" s="17">
        <v>78</v>
      </c>
      <c r="Q2" s="17">
        <v>4929</v>
      </c>
      <c r="R2" s="109">
        <f>2111+13/20</f>
        <v>2111.65</v>
      </c>
      <c r="S2" s="109">
        <f>722+3/20</f>
        <v>722.15</v>
      </c>
      <c r="T2" s="109">
        <f>431+5/20</f>
        <v>431.25</v>
      </c>
      <c r="U2" s="109">
        <f>131+6/20</f>
        <v>131.30000000000001</v>
      </c>
      <c r="V2" s="109">
        <v>612</v>
      </c>
      <c r="W2" s="17">
        <v>124</v>
      </c>
      <c r="X2" s="17">
        <v>7</v>
      </c>
      <c r="Y2" s="17">
        <v>2504</v>
      </c>
      <c r="Z2" s="17"/>
      <c r="AA2" s="17"/>
      <c r="AB2" s="17"/>
    </row>
    <row r="3" spans="1:28" s="26" customFormat="1" x14ac:dyDescent="0.25">
      <c r="A3" s="34" t="s">
        <v>1</v>
      </c>
      <c r="B3" s="16">
        <v>383</v>
      </c>
      <c r="C3" s="17">
        <v>26</v>
      </c>
      <c r="D3" s="41">
        <v>102.5</v>
      </c>
      <c r="E3" s="17">
        <v>200</v>
      </c>
      <c r="F3" s="17">
        <v>1</v>
      </c>
      <c r="G3" s="17">
        <v>0</v>
      </c>
      <c r="H3" s="17">
        <v>64</v>
      </c>
      <c r="I3" s="41">
        <v>15.5</v>
      </c>
      <c r="J3" s="17">
        <v>1</v>
      </c>
      <c r="K3" s="17">
        <v>0</v>
      </c>
      <c r="L3" s="17">
        <v>0</v>
      </c>
      <c r="M3" s="17">
        <v>70</v>
      </c>
      <c r="N3" s="41">
        <v>0</v>
      </c>
      <c r="O3" s="17">
        <v>0</v>
      </c>
      <c r="P3" s="17">
        <v>0</v>
      </c>
      <c r="Q3" s="17">
        <v>0</v>
      </c>
      <c r="R3" s="109">
        <f>53.5</f>
        <v>53.5</v>
      </c>
      <c r="S3" s="109">
        <v>0</v>
      </c>
      <c r="T3" s="109">
        <v>25</v>
      </c>
      <c r="U3" s="109">
        <v>0</v>
      </c>
      <c r="V3" s="109">
        <v>0</v>
      </c>
      <c r="W3" s="17">
        <v>0</v>
      </c>
      <c r="X3" s="17">
        <v>0</v>
      </c>
      <c r="Y3" s="17">
        <v>0</v>
      </c>
      <c r="Z3" s="17"/>
      <c r="AA3" s="17"/>
      <c r="AB3" s="17"/>
    </row>
    <row r="4" spans="1:28" s="26" customFormat="1" x14ac:dyDescent="0.25">
      <c r="A4" s="34" t="s">
        <v>169</v>
      </c>
      <c r="B4" s="16"/>
      <c r="C4" s="17"/>
      <c r="D4" s="41"/>
      <c r="E4" s="17"/>
      <c r="F4" s="17"/>
      <c r="G4" s="17"/>
      <c r="H4" s="17"/>
      <c r="I4" s="41"/>
      <c r="J4" s="17"/>
      <c r="K4" s="17"/>
      <c r="L4" s="17"/>
      <c r="M4" s="17"/>
      <c r="N4" s="41"/>
      <c r="O4" s="17"/>
      <c r="P4" s="17"/>
      <c r="Q4" s="17"/>
      <c r="R4" s="109"/>
      <c r="S4" s="109"/>
      <c r="T4" s="109"/>
      <c r="U4" s="109"/>
      <c r="V4" s="109"/>
      <c r="W4" s="17"/>
      <c r="X4" s="17"/>
      <c r="Y4" s="17"/>
      <c r="Z4" s="17"/>
      <c r="AA4" s="17"/>
      <c r="AB4" s="17"/>
    </row>
    <row r="5" spans="1:28" s="26" customFormat="1" x14ac:dyDescent="0.25">
      <c r="A5" s="34" t="s">
        <v>2</v>
      </c>
      <c r="B5" s="16">
        <v>0</v>
      </c>
      <c r="C5" s="17">
        <v>0</v>
      </c>
      <c r="D5" s="41">
        <v>0</v>
      </c>
      <c r="E5" s="17">
        <v>74</v>
      </c>
      <c r="F5" s="17">
        <v>0</v>
      </c>
      <c r="G5" s="17">
        <v>0</v>
      </c>
      <c r="H5" s="17">
        <v>0</v>
      </c>
      <c r="I5" s="41">
        <v>0</v>
      </c>
      <c r="J5" s="17">
        <v>0</v>
      </c>
      <c r="K5" s="17">
        <v>0</v>
      </c>
      <c r="L5" s="17">
        <v>0</v>
      </c>
      <c r="M5" s="17">
        <v>105</v>
      </c>
      <c r="N5" s="41">
        <v>0</v>
      </c>
      <c r="O5" s="17">
        <v>0</v>
      </c>
      <c r="P5" s="17">
        <v>0</v>
      </c>
      <c r="Q5" s="17">
        <v>0</v>
      </c>
      <c r="R5" s="109">
        <v>0</v>
      </c>
      <c r="S5" s="109">
        <v>0</v>
      </c>
      <c r="T5" s="109">
        <v>0</v>
      </c>
      <c r="U5" s="109">
        <v>0</v>
      </c>
      <c r="V5" s="109">
        <v>0</v>
      </c>
      <c r="W5" s="17">
        <v>0</v>
      </c>
      <c r="X5" s="17">
        <v>0</v>
      </c>
      <c r="Y5" s="17">
        <v>0</v>
      </c>
      <c r="Z5" s="17"/>
      <c r="AA5" s="17"/>
      <c r="AB5" s="17"/>
    </row>
    <row r="6" spans="1:28" s="26" customFormat="1" x14ac:dyDescent="0.25">
      <c r="A6" s="34" t="s">
        <v>3</v>
      </c>
      <c r="B6" s="16">
        <v>247</v>
      </c>
      <c r="C6" s="17">
        <v>70</v>
      </c>
      <c r="D6" s="41">
        <v>592.5</v>
      </c>
      <c r="E6" s="17">
        <v>1434</v>
      </c>
      <c r="F6" s="17">
        <v>147</v>
      </c>
      <c r="G6" s="17">
        <v>17</v>
      </c>
      <c r="H6" s="17">
        <v>64</v>
      </c>
      <c r="I6" s="41">
        <v>163</v>
      </c>
      <c r="J6" s="17">
        <v>67</v>
      </c>
      <c r="K6" s="17">
        <v>3</v>
      </c>
      <c r="L6" s="17">
        <v>0</v>
      </c>
      <c r="M6" s="17">
        <v>197</v>
      </c>
      <c r="N6" s="17">
        <v>5</v>
      </c>
      <c r="O6" s="17">
        <v>0</v>
      </c>
      <c r="P6" s="17">
        <v>0</v>
      </c>
      <c r="Q6" s="17">
        <v>0</v>
      </c>
      <c r="R6" s="109">
        <v>6.25</v>
      </c>
      <c r="S6" s="109">
        <v>0</v>
      </c>
      <c r="T6" s="109">
        <v>0</v>
      </c>
      <c r="U6" s="109">
        <f>41+18/20</f>
        <v>41.9</v>
      </c>
      <c r="V6" s="109">
        <v>0</v>
      </c>
      <c r="W6" s="17">
        <v>1</v>
      </c>
      <c r="X6" s="17">
        <v>1</v>
      </c>
      <c r="Y6" s="17">
        <v>0</v>
      </c>
      <c r="Z6" s="17"/>
      <c r="AA6" s="17"/>
      <c r="AB6" s="17"/>
    </row>
    <row r="7" spans="1:28" s="26" customFormat="1" x14ac:dyDescent="0.25">
      <c r="A7" s="34" t="s">
        <v>4</v>
      </c>
      <c r="B7" s="16">
        <v>45</v>
      </c>
      <c r="C7" s="17">
        <v>21</v>
      </c>
      <c r="D7" s="41">
        <v>137.5</v>
      </c>
      <c r="E7" s="17">
        <v>14</v>
      </c>
      <c r="F7" s="17">
        <v>0</v>
      </c>
      <c r="G7" s="17">
        <v>0</v>
      </c>
      <c r="H7" s="17">
        <v>84</v>
      </c>
      <c r="I7" s="41">
        <v>108</v>
      </c>
      <c r="J7" s="17">
        <v>0</v>
      </c>
      <c r="K7" s="17">
        <v>16</v>
      </c>
      <c r="L7" s="17">
        <v>80</v>
      </c>
      <c r="M7" s="17">
        <v>5959</v>
      </c>
      <c r="N7" s="17">
        <v>6</v>
      </c>
      <c r="O7" s="17">
        <v>0</v>
      </c>
      <c r="P7" s="17">
        <v>0</v>
      </c>
      <c r="Q7" s="17">
        <v>2928</v>
      </c>
      <c r="R7" s="109">
        <f>152+11/20</f>
        <v>152.55000000000001</v>
      </c>
      <c r="S7" s="109">
        <v>313</v>
      </c>
      <c r="T7" s="109">
        <v>0</v>
      </c>
      <c r="U7" s="109">
        <v>13</v>
      </c>
      <c r="V7" s="109">
        <v>0</v>
      </c>
      <c r="W7" s="17">
        <v>0</v>
      </c>
      <c r="X7" s="17">
        <v>0</v>
      </c>
      <c r="Y7" s="17">
        <v>0</v>
      </c>
      <c r="Z7" s="17"/>
      <c r="AA7" s="17"/>
      <c r="AB7" s="17"/>
    </row>
    <row r="8" spans="1:28" s="26" customFormat="1" x14ac:dyDescent="0.25">
      <c r="A8" s="34" t="s">
        <v>5</v>
      </c>
      <c r="B8" s="16"/>
      <c r="C8" s="17"/>
      <c r="D8" s="41"/>
      <c r="E8" s="17"/>
      <c r="F8" s="17"/>
      <c r="G8" s="17"/>
      <c r="H8" s="17"/>
      <c r="I8" s="41"/>
      <c r="J8" s="17"/>
      <c r="K8" s="17"/>
      <c r="L8" s="17"/>
      <c r="M8" s="17"/>
      <c r="N8" s="17"/>
      <c r="O8" s="17"/>
      <c r="P8" s="17"/>
      <c r="Q8" s="17"/>
      <c r="R8" s="109"/>
      <c r="S8" s="109"/>
      <c r="T8" s="109"/>
      <c r="U8" s="109"/>
      <c r="V8" s="109"/>
      <c r="W8" s="17"/>
      <c r="X8" s="17"/>
      <c r="Y8" s="17"/>
      <c r="Z8" s="17"/>
      <c r="AA8" s="17"/>
      <c r="AB8" s="17"/>
    </row>
    <row r="9" spans="1:28" s="26" customFormat="1" x14ac:dyDescent="0.25">
      <c r="A9" s="34" t="s">
        <v>6</v>
      </c>
      <c r="B9" s="16">
        <v>0</v>
      </c>
      <c r="C9" s="17">
        <v>0</v>
      </c>
      <c r="D9" s="17">
        <v>34</v>
      </c>
      <c r="E9" s="17">
        <v>128</v>
      </c>
      <c r="F9" s="17">
        <v>80</v>
      </c>
      <c r="G9" s="17">
        <v>104</v>
      </c>
      <c r="H9" s="17">
        <v>0</v>
      </c>
      <c r="I9" s="41">
        <v>2</v>
      </c>
      <c r="J9" s="17">
        <v>0</v>
      </c>
      <c r="K9" s="17">
        <v>0</v>
      </c>
      <c r="L9" s="17">
        <v>0</v>
      </c>
      <c r="M9" s="17">
        <v>57</v>
      </c>
      <c r="N9" s="17">
        <v>0</v>
      </c>
      <c r="O9" s="17">
        <v>0</v>
      </c>
      <c r="P9" s="17">
        <v>0</v>
      </c>
      <c r="Q9" s="17">
        <v>0</v>
      </c>
      <c r="R9" s="109">
        <v>9</v>
      </c>
      <c r="S9" s="109">
        <v>12</v>
      </c>
      <c r="T9" s="109">
        <v>0</v>
      </c>
      <c r="U9" s="109">
        <v>0</v>
      </c>
      <c r="V9" s="109">
        <v>6.5</v>
      </c>
      <c r="W9" s="17">
        <v>0</v>
      </c>
      <c r="X9" s="17">
        <v>0</v>
      </c>
      <c r="Y9" s="17">
        <v>0</v>
      </c>
      <c r="Z9" s="17"/>
      <c r="AA9" s="17"/>
      <c r="AB9" s="17"/>
    </row>
    <row r="10" spans="1:28" s="26" customFormat="1" x14ac:dyDescent="0.25">
      <c r="A10" s="35" t="s">
        <v>7</v>
      </c>
      <c r="B10" s="19">
        <f>SUM(B2:B9)</f>
        <v>18027</v>
      </c>
      <c r="C10" s="19">
        <f t="shared" ref="C10:Y10" si="0">SUM(C2:C9)</f>
        <v>1308</v>
      </c>
      <c r="D10" s="19">
        <f t="shared" si="0"/>
        <v>1628.5</v>
      </c>
      <c r="E10" s="19">
        <f t="shared" si="0"/>
        <v>7082</v>
      </c>
      <c r="F10" s="19">
        <f t="shared" si="0"/>
        <v>573</v>
      </c>
      <c r="G10" s="19">
        <f t="shared" si="0"/>
        <v>271</v>
      </c>
      <c r="H10" s="19">
        <f>SUM(H2:H9)</f>
        <v>11957</v>
      </c>
      <c r="I10" s="42">
        <f>SUM(I2:I9)</f>
        <v>4327</v>
      </c>
      <c r="J10" s="19">
        <f>SUM(J2:J9)</f>
        <v>192</v>
      </c>
      <c r="K10" s="19">
        <f t="shared" si="0"/>
        <v>20</v>
      </c>
      <c r="L10" s="19">
        <f>SUM(L2:L9)</f>
        <v>228</v>
      </c>
      <c r="M10" s="19">
        <f>SUM(M2:M9)</f>
        <v>8828</v>
      </c>
      <c r="N10" s="19">
        <f t="shared" si="0"/>
        <v>492.5</v>
      </c>
      <c r="O10" s="19">
        <f t="shared" si="0"/>
        <v>5.5</v>
      </c>
      <c r="P10" s="19">
        <f t="shared" si="0"/>
        <v>78</v>
      </c>
      <c r="Q10" s="19">
        <f t="shared" si="0"/>
        <v>7857</v>
      </c>
      <c r="R10" s="110">
        <f t="shared" si="0"/>
        <v>2332.9500000000003</v>
      </c>
      <c r="S10" s="110">
        <f t="shared" si="0"/>
        <v>1047.1500000000001</v>
      </c>
      <c r="T10" s="110">
        <f t="shared" si="0"/>
        <v>456.25</v>
      </c>
      <c r="U10" s="110">
        <f>SUM(U2:U9)</f>
        <v>186.20000000000002</v>
      </c>
      <c r="V10" s="110">
        <f t="shared" si="0"/>
        <v>618.5</v>
      </c>
      <c r="W10" s="19">
        <f t="shared" si="0"/>
        <v>125</v>
      </c>
      <c r="X10" s="19">
        <f>SUM(X2:X9)</f>
        <v>8</v>
      </c>
      <c r="Y10" s="19">
        <f t="shared" si="0"/>
        <v>2504</v>
      </c>
      <c r="Z10" s="19">
        <f t="shared" ref="Z10:AB10" si="1">SUM(Z2:Z9)</f>
        <v>0</v>
      </c>
      <c r="AA10" s="19">
        <f t="shared" si="1"/>
        <v>0</v>
      </c>
      <c r="AB10" s="19">
        <f t="shared" si="1"/>
        <v>0</v>
      </c>
    </row>
    <row r="11" spans="1:28" s="26" customFormat="1" x14ac:dyDescent="0.25">
      <c r="A11" s="34" t="s">
        <v>8</v>
      </c>
      <c r="B11" s="16"/>
      <c r="C11" s="16"/>
      <c r="D11" s="16"/>
      <c r="E11" s="16"/>
      <c r="F11" s="16"/>
      <c r="G11" s="16"/>
      <c r="H11" s="16"/>
      <c r="I11" s="43"/>
      <c r="J11" s="16"/>
      <c r="K11" s="16"/>
      <c r="L11" s="16"/>
      <c r="M11" s="16"/>
      <c r="N11" s="16"/>
      <c r="O11" s="16"/>
      <c r="P11" s="16"/>
      <c r="Q11" s="16"/>
      <c r="R11" s="111"/>
      <c r="S11" s="111"/>
      <c r="T11" s="111"/>
      <c r="U11" s="111"/>
      <c r="V11" s="111"/>
      <c r="W11" s="16"/>
      <c r="X11" s="16"/>
      <c r="Y11" s="16"/>
      <c r="Z11" s="16"/>
      <c r="AA11" s="16"/>
      <c r="AB11" s="16"/>
    </row>
    <row r="12" spans="1:28" s="26" customFormat="1" x14ac:dyDescent="0.25">
      <c r="A12" s="34" t="s">
        <v>9</v>
      </c>
      <c r="B12" s="16"/>
      <c r="C12" s="16"/>
      <c r="D12" s="16"/>
      <c r="E12" s="16"/>
      <c r="F12" s="16"/>
      <c r="G12" s="16"/>
      <c r="H12" s="16"/>
      <c r="I12" s="43"/>
      <c r="J12" s="16"/>
      <c r="K12" s="16"/>
      <c r="L12" s="16"/>
      <c r="M12" s="16"/>
      <c r="N12" s="16"/>
      <c r="O12" s="16"/>
      <c r="P12" s="16"/>
      <c r="Q12" s="16"/>
      <c r="R12" s="111"/>
      <c r="S12" s="111"/>
      <c r="T12" s="111"/>
      <c r="U12" s="111"/>
      <c r="V12" s="111"/>
      <c r="W12" s="16"/>
      <c r="X12" s="16"/>
      <c r="Y12" s="16"/>
      <c r="Z12" s="16"/>
      <c r="AA12" s="16"/>
      <c r="AB12" s="16"/>
    </row>
    <row r="13" spans="1:28" s="26" customFormat="1" x14ac:dyDescent="0.25">
      <c r="A13" s="34" t="s">
        <v>164</v>
      </c>
      <c r="B13" s="16"/>
      <c r="C13" s="16"/>
      <c r="D13" s="16"/>
      <c r="E13" s="16"/>
      <c r="F13" s="16"/>
      <c r="G13" s="16"/>
      <c r="H13" s="16"/>
      <c r="I13" s="43"/>
      <c r="J13" s="16"/>
      <c r="K13" s="16"/>
      <c r="L13" s="16"/>
      <c r="M13" s="16"/>
      <c r="N13" s="16"/>
      <c r="O13" s="16"/>
      <c r="P13" s="16"/>
      <c r="Q13" s="16"/>
      <c r="R13" s="111"/>
      <c r="S13" s="111"/>
      <c r="T13" s="111"/>
      <c r="U13" s="111"/>
      <c r="V13" s="111"/>
      <c r="W13" s="16"/>
      <c r="X13" s="16"/>
      <c r="Y13" s="16"/>
      <c r="Z13" s="16"/>
      <c r="AA13" s="16"/>
      <c r="AB13" s="16"/>
    </row>
    <row r="14" spans="1:28" s="26" customFormat="1" x14ac:dyDescent="0.25">
      <c r="A14" s="34" t="s">
        <v>10</v>
      </c>
      <c r="B14" s="16"/>
      <c r="C14" s="16"/>
      <c r="D14" s="16"/>
      <c r="E14" s="16"/>
      <c r="F14" s="16"/>
      <c r="G14" s="16"/>
      <c r="H14" s="16"/>
      <c r="I14" s="43"/>
      <c r="J14" s="16"/>
      <c r="K14" s="16"/>
      <c r="L14" s="16"/>
      <c r="M14" s="16"/>
      <c r="N14" s="16"/>
      <c r="O14" s="16"/>
      <c r="P14" s="16"/>
      <c r="Q14" s="16"/>
      <c r="R14" s="111"/>
      <c r="S14" s="111"/>
      <c r="T14" s="111"/>
      <c r="U14" s="111"/>
      <c r="V14" s="111"/>
      <c r="W14" s="16"/>
      <c r="X14" s="16"/>
      <c r="Y14" s="16"/>
      <c r="Z14" s="16"/>
      <c r="AA14" s="16"/>
      <c r="AB14" s="16"/>
    </row>
    <row r="15" spans="1:28" s="26" customFormat="1" x14ac:dyDescent="0.25">
      <c r="A15" s="34" t="s">
        <v>11</v>
      </c>
      <c r="B15" s="16"/>
      <c r="C15" s="16"/>
      <c r="D15" s="16"/>
      <c r="E15" s="16"/>
      <c r="F15" s="16"/>
      <c r="G15" s="16"/>
      <c r="H15" s="16"/>
      <c r="I15" s="43"/>
      <c r="J15" s="16"/>
      <c r="K15" s="16"/>
      <c r="L15" s="16"/>
      <c r="M15" s="16"/>
      <c r="N15" s="16"/>
      <c r="O15" s="16"/>
      <c r="P15" s="16"/>
      <c r="Q15" s="16"/>
      <c r="R15" s="111"/>
      <c r="S15" s="111"/>
      <c r="T15" s="111"/>
      <c r="U15" s="111"/>
      <c r="V15" s="111"/>
      <c r="W15" s="16"/>
      <c r="X15" s="16"/>
      <c r="Y15" s="16"/>
      <c r="Z15" s="16"/>
      <c r="AA15" s="16"/>
      <c r="AB15" s="16"/>
    </row>
    <row r="16" spans="1:28" s="26" customFormat="1" x14ac:dyDescent="0.25">
      <c r="A16" s="34" t="s">
        <v>12</v>
      </c>
      <c r="B16" s="16"/>
      <c r="C16" s="16"/>
      <c r="D16" s="16"/>
      <c r="E16" s="16"/>
      <c r="F16" s="16"/>
      <c r="G16" s="16"/>
      <c r="H16" s="16"/>
      <c r="I16" s="43"/>
      <c r="J16" s="16"/>
      <c r="K16" s="16"/>
      <c r="L16" s="16"/>
      <c r="M16" s="16"/>
      <c r="N16" s="16"/>
      <c r="O16" s="16"/>
      <c r="P16" s="16"/>
      <c r="Q16" s="16"/>
      <c r="R16" s="111"/>
      <c r="S16" s="111"/>
      <c r="T16" s="111"/>
      <c r="U16" s="111"/>
      <c r="V16" s="111"/>
      <c r="W16" s="16"/>
      <c r="X16" s="16"/>
      <c r="Y16" s="16"/>
      <c r="Z16" s="16"/>
      <c r="AA16" s="16"/>
      <c r="AB16" s="16"/>
    </row>
    <row r="17" spans="1:28" s="26" customFormat="1" x14ac:dyDescent="0.25">
      <c r="A17" s="34" t="s">
        <v>13</v>
      </c>
      <c r="B17" s="16"/>
      <c r="C17" s="16"/>
      <c r="D17" s="16"/>
      <c r="E17" s="16"/>
      <c r="F17" s="16"/>
      <c r="G17" s="16"/>
      <c r="H17" s="16"/>
      <c r="I17" s="43"/>
      <c r="J17" s="16"/>
      <c r="K17" s="16"/>
      <c r="L17" s="16"/>
      <c r="M17" s="16"/>
      <c r="N17" s="16"/>
      <c r="O17" s="16"/>
      <c r="P17" s="16"/>
      <c r="Q17" s="16"/>
      <c r="R17" s="111"/>
      <c r="S17" s="111"/>
      <c r="T17" s="111"/>
      <c r="U17" s="111"/>
      <c r="V17" s="111"/>
      <c r="W17" s="16"/>
      <c r="X17" s="16"/>
      <c r="Y17" s="16"/>
      <c r="Z17" s="16"/>
      <c r="AA17" s="16"/>
      <c r="AB17" s="16"/>
    </row>
    <row r="18" spans="1:28" s="26" customFormat="1" x14ac:dyDescent="0.25">
      <c r="A18" s="157" t="s">
        <v>14</v>
      </c>
      <c r="B18" s="112">
        <v>60684</v>
      </c>
      <c r="C18" s="112">
        <v>8856</v>
      </c>
      <c r="D18" s="112">
        <v>1645</v>
      </c>
      <c r="E18" s="112">
        <v>23118</v>
      </c>
      <c r="F18" s="112">
        <v>2042</v>
      </c>
      <c r="G18" s="112">
        <v>672</v>
      </c>
      <c r="H18" s="112">
        <v>11020</v>
      </c>
      <c r="I18" s="113">
        <v>3147</v>
      </c>
      <c r="J18" s="112">
        <v>1131</v>
      </c>
      <c r="K18" s="112">
        <v>487</v>
      </c>
      <c r="L18" s="112">
        <v>643</v>
      </c>
      <c r="M18" s="112">
        <v>14708</v>
      </c>
      <c r="N18" s="112">
        <v>6070</v>
      </c>
      <c r="O18" s="112">
        <v>174</v>
      </c>
      <c r="P18" s="112">
        <v>0</v>
      </c>
      <c r="Q18" s="112">
        <v>3121</v>
      </c>
      <c r="R18" s="115">
        <v>7066.25</v>
      </c>
      <c r="S18" s="115">
        <v>2041.5</v>
      </c>
      <c r="T18" s="115">
        <v>82.5</v>
      </c>
      <c r="U18" s="115">
        <f>64+6/20</f>
        <v>64.3</v>
      </c>
      <c r="V18" s="115">
        <v>276.5</v>
      </c>
      <c r="W18" s="112">
        <v>682</v>
      </c>
      <c r="X18" s="112">
        <v>1530</v>
      </c>
      <c r="Y18" s="112">
        <v>16310</v>
      </c>
      <c r="Z18" s="112"/>
      <c r="AA18" s="112"/>
      <c r="AB18" s="112"/>
    </row>
    <row r="19" spans="1:28" s="26" customFormat="1" x14ac:dyDescent="0.25">
      <c r="A19" s="35" t="s">
        <v>15</v>
      </c>
      <c r="B19" s="19">
        <f>SUM(B10,B18)</f>
        <v>78711</v>
      </c>
      <c r="C19" s="19">
        <f t="shared" ref="C19:Y19" si="2">SUM(C10,C18)</f>
        <v>10164</v>
      </c>
      <c r="D19" s="42">
        <f t="shared" si="2"/>
        <v>3273.5</v>
      </c>
      <c r="E19" s="19">
        <f t="shared" si="2"/>
        <v>30200</v>
      </c>
      <c r="F19" s="19">
        <f t="shared" si="2"/>
        <v>2615</v>
      </c>
      <c r="G19" s="19">
        <f t="shared" si="2"/>
        <v>943</v>
      </c>
      <c r="H19" s="19">
        <f>SUM(H10,H18)</f>
        <v>22977</v>
      </c>
      <c r="I19" s="42">
        <f>SUM(I10,I18)</f>
        <v>7474</v>
      </c>
      <c r="J19" s="19">
        <f>SUM(J10,J18)</f>
        <v>1323</v>
      </c>
      <c r="K19" s="19">
        <f t="shared" si="2"/>
        <v>507</v>
      </c>
      <c r="L19" s="19">
        <f>SUM(L10,L18)</f>
        <v>871</v>
      </c>
      <c r="M19" s="19">
        <f>SUM(M10,M18)</f>
        <v>23536</v>
      </c>
      <c r="N19" s="42">
        <f t="shared" si="2"/>
        <v>6562.5</v>
      </c>
      <c r="O19" s="42">
        <f t="shared" si="2"/>
        <v>179.5</v>
      </c>
      <c r="P19" s="19">
        <f t="shared" si="2"/>
        <v>78</v>
      </c>
      <c r="Q19" s="19">
        <f t="shared" si="2"/>
        <v>10978</v>
      </c>
      <c r="R19" s="110">
        <f t="shared" si="2"/>
        <v>9399.2000000000007</v>
      </c>
      <c r="S19" s="110">
        <f t="shared" si="2"/>
        <v>3088.65</v>
      </c>
      <c r="T19" s="110">
        <f t="shared" si="2"/>
        <v>538.75</v>
      </c>
      <c r="U19" s="110">
        <f>SUM(U10,U18)</f>
        <v>250.5</v>
      </c>
      <c r="V19" s="110">
        <f t="shared" si="2"/>
        <v>895</v>
      </c>
      <c r="W19" s="19">
        <f t="shared" si="2"/>
        <v>807</v>
      </c>
      <c r="X19" s="19">
        <f>SUM(X10,X18)</f>
        <v>1538</v>
      </c>
      <c r="Y19" s="19">
        <f t="shared" si="2"/>
        <v>18814</v>
      </c>
      <c r="Z19" s="19">
        <f t="shared" ref="Z19:AB19" si="3">SUM(Z10,Z18)</f>
        <v>0</v>
      </c>
      <c r="AA19" s="19">
        <f t="shared" si="3"/>
        <v>0</v>
      </c>
      <c r="AB19" s="19">
        <f t="shared" si="3"/>
        <v>0</v>
      </c>
    </row>
    <row r="21" spans="1:28" x14ac:dyDescent="0.25">
      <c r="B21" s="44"/>
      <c r="C21" s="44"/>
      <c r="D21" s="44"/>
      <c r="E21" s="44"/>
      <c r="F21" s="44"/>
      <c r="G21" s="44"/>
      <c r="K21" s="44"/>
      <c r="L21" s="44"/>
      <c r="M21" s="44"/>
      <c r="N21" s="44"/>
      <c r="O21" s="44"/>
      <c r="P21" s="44"/>
      <c r="Q21" s="44"/>
      <c r="R21" s="44"/>
      <c r="S21" s="44"/>
    </row>
    <row r="23" spans="1:28" x14ac:dyDescent="0.25">
      <c r="B23" s="44"/>
      <c r="C23" s="44"/>
      <c r="D23" s="44"/>
      <c r="E23" s="44"/>
      <c r="F23" s="44"/>
      <c r="G23" s="44"/>
      <c r="K23" s="44"/>
      <c r="L23" s="44"/>
      <c r="M23" s="44"/>
      <c r="N23" s="44"/>
      <c r="O23" s="44"/>
      <c r="P23" s="44"/>
      <c r="Q23" s="44"/>
      <c r="R23" s="44"/>
      <c r="S23" s="44"/>
    </row>
    <row r="25" spans="1:28" x14ac:dyDescent="0.25">
      <c r="B25" s="44"/>
      <c r="C25" s="44"/>
      <c r="D25" s="44"/>
      <c r="E25" s="44"/>
      <c r="F25" s="44"/>
      <c r="G25" s="44"/>
      <c r="K25" s="44"/>
      <c r="L25" s="44"/>
      <c r="M25" s="44"/>
      <c r="N25" s="44"/>
      <c r="O25" s="44"/>
      <c r="P25" s="44"/>
      <c r="Q25" s="44"/>
      <c r="R25" s="44"/>
      <c r="S25" s="44"/>
    </row>
  </sheetData>
  <sheetProtection formatCells="0" formatColumns="0" formatRows="0" insertColumns="0" insertRows="0" sort="0" autoFilter="0" pivotTables="0"/>
  <dataValidations count="1">
    <dataValidation type="list" errorStyle="information" allowBlank="1" showInputMessage="1" showErrorMessage="1" sqref="B1:AB1" xr:uid="{D2A265F9-A947-463E-AF11-A65FFCA5973B}">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7FAC5F6A-DA0F-4D59-9BD4-ED84114BAFEC}">
          <x14:formula1>
            <xm:f>'Term List'!$A2:$A242</xm:f>
          </x14:formula1>
          <xm:sqref>AC1:XFD1</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99F27-93B3-4FB3-89DE-9B1747EFD236}">
  <dimension ref="A1:AD25"/>
  <sheetViews>
    <sheetView workbookViewId="0">
      <pane xSplit="1" ySplit="1" topLeftCell="B2" activePane="bottomRight" state="frozen"/>
      <selection activeCell="E23" sqref="E23"/>
      <selection pane="topRight" activeCell="E23" sqref="E23"/>
      <selection pane="bottomLeft" activeCell="E23" sqref="E23"/>
      <selection pane="bottomRight" activeCell="A18" sqref="A18"/>
    </sheetView>
  </sheetViews>
  <sheetFormatPr defaultRowHeight="15" x14ac:dyDescent="0.25"/>
  <cols>
    <col min="1" max="1" width="35.7109375" style="6" bestFit="1" customWidth="1"/>
    <col min="2" max="2" width="17.42578125" style="5" customWidth="1"/>
    <col min="3" max="3" width="16.28515625" style="5" customWidth="1"/>
    <col min="4" max="4" width="15.85546875" style="5" customWidth="1"/>
    <col min="5" max="5" width="20.140625" style="5" customWidth="1"/>
    <col min="6" max="6" width="16.28515625" style="5" customWidth="1"/>
    <col min="7" max="8" width="15.85546875" style="5" customWidth="1"/>
    <col min="9" max="9" width="21.42578125" style="5" customWidth="1"/>
    <col min="10" max="10" width="16" style="3" customWidth="1"/>
    <col min="11" max="11" width="31.28515625" style="3" customWidth="1"/>
    <col min="12" max="12" width="16.28515625" style="5" customWidth="1"/>
    <col min="13" max="13" width="17" style="5" customWidth="1"/>
    <col min="14" max="14" width="21.140625" style="3" customWidth="1"/>
    <col min="15" max="15" width="21.28515625" style="5" customWidth="1"/>
    <col min="16" max="16" width="18.28515625" style="5" customWidth="1"/>
    <col min="17" max="17" width="17.28515625" style="3" customWidth="1"/>
    <col min="18" max="18" width="19.42578125" style="3" customWidth="1"/>
    <col min="19" max="21" width="15.85546875" style="3" customWidth="1"/>
    <col min="22" max="23" width="16.42578125" style="3" customWidth="1"/>
    <col min="24" max="24" width="23.7109375" style="3" customWidth="1"/>
    <col min="25" max="25" width="17.28515625" style="3" customWidth="1"/>
    <col min="26" max="26" width="16.42578125" style="3" customWidth="1"/>
    <col min="27" max="27" width="18.28515625" style="3" customWidth="1"/>
    <col min="28" max="28" width="17.85546875" style="3" customWidth="1"/>
    <col min="29" max="29" width="17.28515625" style="3" customWidth="1"/>
    <col min="30" max="30" width="17.5703125" style="3" customWidth="1"/>
    <col min="31" max="16384" width="9.140625" style="3"/>
  </cols>
  <sheetData>
    <row r="1" spans="1:30" s="40" customFormat="1" ht="30" x14ac:dyDescent="0.25">
      <c r="A1" s="36" t="s">
        <v>559</v>
      </c>
      <c r="B1" s="36" t="s">
        <v>34</v>
      </c>
      <c r="C1" s="36" t="s">
        <v>63</v>
      </c>
      <c r="D1" s="36" t="s">
        <v>62</v>
      </c>
      <c r="E1" s="36" t="s">
        <v>55</v>
      </c>
      <c r="F1" s="36" t="s">
        <v>36</v>
      </c>
      <c r="G1" s="36" t="s">
        <v>35</v>
      </c>
      <c r="H1" s="36" t="s">
        <v>40</v>
      </c>
      <c r="I1" s="36" t="s">
        <v>96</v>
      </c>
      <c r="J1" s="36" t="s">
        <v>98</v>
      </c>
      <c r="K1" s="36" t="s">
        <v>442</v>
      </c>
      <c r="L1" s="36" t="s">
        <v>571</v>
      </c>
      <c r="M1" s="36" t="s">
        <v>572</v>
      </c>
      <c r="N1" s="36" t="s">
        <v>566</v>
      </c>
      <c r="O1" s="36" t="s">
        <v>567</v>
      </c>
      <c r="P1" s="36" t="s">
        <v>568</v>
      </c>
      <c r="Q1" s="36" t="s">
        <v>105</v>
      </c>
      <c r="R1" s="36" t="s">
        <v>106</v>
      </c>
      <c r="S1" s="36" t="s">
        <v>101</v>
      </c>
      <c r="T1" s="36" t="s">
        <v>75</v>
      </c>
      <c r="U1" s="36" t="s">
        <v>66</v>
      </c>
      <c r="V1" s="36" t="s">
        <v>28</v>
      </c>
      <c r="W1" s="36" t="s">
        <v>89</v>
      </c>
      <c r="X1" s="36" t="s">
        <v>450</v>
      </c>
      <c r="Y1" s="36" t="s">
        <v>48</v>
      </c>
      <c r="Z1" s="36" t="s">
        <v>102</v>
      </c>
      <c r="AA1" s="36" t="s">
        <v>330</v>
      </c>
      <c r="AB1" s="36" t="s">
        <v>331</v>
      </c>
      <c r="AC1" s="36" t="s">
        <v>332</v>
      </c>
      <c r="AD1" s="36" t="s">
        <v>333</v>
      </c>
    </row>
    <row r="2" spans="1:30"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row>
    <row r="3" spans="1:30"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row>
    <row r="4" spans="1:30" s="26" customFormat="1" x14ac:dyDescent="0.25">
      <c r="A4" s="34" t="s">
        <v>169</v>
      </c>
      <c r="B4" s="16">
        <v>19072</v>
      </c>
      <c r="C4" s="16">
        <v>1574</v>
      </c>
      <c r="D4" s="16">
        <v>10716</v>
      </c>
      <c r="E4" s="16"/>
      <c r="F4" s="16">
        <v>0</v>
      </c>
      <c r="G4" s="16">
        <v>107</v>
      </c>
      <c r="H4" s="16">
        <f>70*112</f>
        <v>7840</v>
      </c>
      <c r="I4" s="16">
        <v>1349</v>
      </c>
      <c r="J4" s="16">
        <v>285076</v>
      </c>
      <c r="K4" s="16">
        <v>1918</v>
      </c>
      <c r="L4" s="16">
        <v>0</v>
      </c>
      <c r="M4" s="16">
        <v>1</v>
      </c>
      <c r="N4" s="16">
        <v>0</v>
      </c>
      <c r="O4" s="16">
        <v>12458</v>
      </c>
      <c r="P4" s="16">
        <v>0</v>
      </c>
      <c r="Q4" s="16">
        <v>0</v>
      </c>
      <c r="R4" s="16">
        <v>0</v>
      </c>
      <c r="S4" s="16">
        <v>0</v>
      </c>
      <c r="T4" s="16">
        <v>0</v>
      </c>
      <c r="U4" s="16">
        <v>440750</v>
      </c>
      <c r="V4" s="43">
        <v>2551.5</v>
      </c>
      <c r="W4" s="16">
        <v>13436</v>
      </c>
      <c r="X4" s="43">
        <v>12192.5</v>
      </c>
      <c r="Y4" s="16">
        <v>15487</v>
      </c>
      <c r="Z4" s="16">
        <v>15396</v>
      </c>
      <c r="AA4" s="16">
        <v>33</v>
      </c>
      <c r="AB4" s="16">
        <v>0</v>
      </c>
      <c r="AC4" s="16">
        <v>0</v>
      </c>
      <c r="AD4" s="16">
        <v>0</v>
      </c>
    </row>
    <row r="5" spans="1:30" s="26" customFormat="1" x14ac:dyDescent="0.25">
      <c r="A5" s="34" t="s">
        <v>2</v>
      </c>
      <c r="B5" s="16">
        <v>0</v>
      </c>
      <c r="C5" s="16">
        <v>0</v>
      </c>
      <c r="D5" s="16">
        <v>0</v>
      </c>
      <c r="E5" s="16">
        <v>0</v>
      </c>
      <c r="F5" s="16">
        <v>0</v>
      </c>
      <c r="G5" s="16">
        <v>0</v>
      </c>
      <c r="H5" s="16">
        <v>0</v>
      </c>
      <c r="I5" s="16">
        <v>0</v>
      </c>
      <c r="J5" s="16">
        <v>0</v>
      </c>
      <c r="K5" s="16"/>
      <c r="L5" s="16"/>
      <c r="M5" s="16"/>
      <c r="N5" s="16"/>
      <c r="O5" s="16"/>
      <c r="P5" s="16"/>
      <c r="Q5" s="16"/>
      <c r="R5" s="16"/>
      <c r="S5" s="16"/>
      <c r="T5" s="16"/>
      <c r="U5" s="16"/>
      <c r="V5" s="43"/>
      <c r="W5" s="16"/>
      <c r="X5" s="43"/>
      <c r="Y5" s="43"/>
      <c r="Z5" s="16"/>
      <c r="AA5" s="16"/>
      <c r="AB5" s="16"/>
      <c r="AC5" s="16"/>
      <c r="AD5" s="16"/>
    </row>
    <row r="6" spans="1:30" s="26" customFormat="1" x14ac:dyDescent="0.25">
      <c r="A6" s="34" t="s">
        <v>3</v>
      </c>
      <c r="B6" s="16">
        <v>60</v>
      </c>
      <c r="C6" s="16">
        <v>0</v>
      </c>
      <c r="D6" s="16">
        <v>1956</v>
      </c>
      <c r="E6" s="16">
        <v>120</v>
      </c>
      <c r="F6" s="16">
        <v>25</v>
      </c>
      <c r="G6" s="16">
        <v>28</v>
      </c>
      <c r="H6" s="16">
        <f>37.5*112</f>
        <v>4200</v>
      </c>
      <c r="I6" s="16">
        <v>71</v>
      </c>
      <c r="J6" s="16">
        <v>34761</v>
      </c>
      <c r="K6" s="16">
        <v>610</v>
      </c>
      <c r="L6" s="16">
        <v>4769</v>
      </c>
      <c r="M6" s="16">
        <v>6477</v>
      </c>
      <c r="N6" s="16">
        <v>69</v>
      </c>
      <c r="O6" s="16">
        <v>18079</v>
      </c>
      <c r="P6" s="16">
        <v>348</v>
      </c>
      <c r="Q6" s="16">
        <v>217594</v>
      </c>
      <c r="R6" s="16">
        <v>42000</v>
      </c>
      <c r="S6" s="16">
        <v>2975213</v>
      </c>
      <c r="T6" s="16">
        <v>1581049</v>
      </c>
      <c r="U6" s="16">
        <v>43100</v>
      </c>
      <c r="V6" s="16">
        <v>294</v>
      </c>
      <c r="W6" s="16">
        <v>582</v>
      </c>
      <c r="X6" s="16">
        <v>129</v>
      </c>
      <c r="Y6" s="16">
        <v>75</v>
      </c>
      <c r="Z6" s="16">
        <v>0</v>
      </c>
      <c r="AA6" s="16">
        <v>1</v>
      </c>
      <c r="AB6" s="16">
        <v>0</v>
      </c>
      <c r="AC6" s="16">
        <v>0</v>
      </c>
      <c r="AD6" s="16">
        <v>16</v>
      </c>
    </row>
    <row r="7" spans="1:30" s="26" customFormat="1" x14ac:dyDescent="0.25">
      <c r="A7" s="34" t="s">
        <v>4</v>
      </c>
      <c r="B7" s="16">
        <v>2265</v>
      </c>
      <c r="C7" s="16">
        <v>0</v>
      </c>
      <c r="D7" s="43">
        <v>35079.5</v>
      </c>
      <c r="E7" s="16">
        <v>9707</v>
      </c>
      <c r="F7" s="16">
        <v>829</v>
      </c>
      <c r="G7" s="16">
        <v>0</v>
      </c>
      <c r="H7" s="16">
        <f>3426.75*112</f>
        <v>383796</v>
      </c>
      <c r="I7" s="16">
        <v>1848</v>
      </c>
      <c r="J7" s="16">
        <v>969081</v>
      </c>
      <c r="K7" s="16">
        <v>5673</v>
      </c>
      <c r="L7" s="16">
        <v>0</v>
      </c>
      <c r="M7" s="16">
        <v>0</v>
      </c>
      <c r="N7" s="16">
        <v>0</v>
      </c>
      <c r="O7" s="16">
        <v>0</v>
      </c>
      <c r="P7" s="16">
        <v>0</v>
      </c>
      <c r="Q7" s="16">
        <v>649340</v>
      </c>
      <c r="R7" s="16">
        <v>330744</v>
      </c>
      <c r="S7" s="16">
        <v>1704232</v>
      </c>
      <c r="T7" s="16">
        <v>747262</v>
      </c>
      <c r="U7" s="16">
        <v>0</v>
      </c>
      <c r="V7" s="43">
        <v>206.5</v>
      </c>
      <c r="W7" s="43">
        <v>2.5</v>
      </c>
      <c r="X7" s="16">
        <v>227</v>
      </c>
      <c r="Y7" s="16">
        <v>233</v>
      </c>
      <c r="Z7" s="16">
        <v>341</v>
      </c>
      <c r="AA7" s="16">
        <v>157</v>
      </c>
      <c r="AB7" s="16">
        <v>0</v>
      </c>
      <c r="AC7" s="16">
        <v>0</v>
      </c>
      <c r="AD7" s="16">
        <v>0</v>
      </c>
    </row>
    <row r="8" spans="1:30" s="26" customFormat="1" x14ac:dyDescent="0.25">
      <c r="A8" s="34" t="s">
        <v>6</v>
      </c>
      <c r="B8" s="16">
        <v>1500</v>
      </c>
      <c r="C8" s="16">
        <v>0</v>
      </c>
      <c r="D8" s="43">
        <v>0</v>
      </c>
      <c r="E8" s="16">
        <v>0</v>
      </c>
      <c r="F8" s="16">
        <v>0</v>
      </c>
      <c r="G8" s="16">
        <v>0</v>
      </c>
      <c r="H8" s="16">
        <v>0</v>
      </c>
      <c r="I8" s="16">
        <v>124</v>
      </c>
      <c r="J8" s="16">
        <v>11920</v>
      </c>
      <c r="K8" s="16">
        <v>5779</v>
      </c>
      <c r="L8" s="16">
        <v>0</v>
      </c>
      <c r="M8" s="16">
        <v>0</v>
      </c>
      <c r="N8" s="16">
        <v>0</v>
      </c>
      <c r="O8" s="16">
        <v>0</v>
      </c>
      <c r="P8" s="16">
        <v>0</v>
      </c>
      <c r="Q8" s="16">
        <v>0</v>
      </c>
      <c r="R8" s="16">
        <v>0</v>
      </c>
      <c r="S8" s="16">
        <v>0</v>
      </c>
      <c r="T8" s="16">
        <v>0</v>
      </c>
      <c r="U8" s="16">
        <v>0</v>
      </c>
      <c r="V8" s="43">
        <v>0</v>
      </c>
      <c r="W8" s="43">
        <v>0</v>
      </c>
      <c r="X8" s="43">
        <v>0</v>
      </c>
      <c r="Y8" s="43">
        <v>0</v>
      </c>
      <c r="Z8" s="16">
        <v>0</v>
      </c>
      <c r="AA8" s="16">
        <v>457</v>
      </c>
      <c r="AB8" s="16">
        <v>216</v>
      </c>
      <c r="AC8" s="16">
        <v>478</v>
      </c>
      <c r="AD8" s="16">
        <v>238</v>
      </c>
    </row>
    <row r="9" spans="1:30" s="26" customFormat="1" x14ac:dyDescent="0.25">
      <c r="A9" s="34" t="s">
        <v>5</v>
      </c>
      <c r="B9" s="16"/>
      <c r="C9" s="16"/>
      <c r="D9" s="43"/>
      <c r="E9" s="16"/>
      <c r="F9" s="16"/>
      <c r="G9" s="16"/>
      <c r="H9" s="16"/>
      <c r="I9" s="16"/>
      <c r="J9" s="16"/>
      <c r="K9" s="16"/>
      <c r="L9" s="16"/>
      <c r="M9" s="16"/>
      <c r="N9" s="16"/>
      <c r="O9" s="16"/>
      <c r="P9" s="16"/>
      <c r="Q9" s="16"/>
      <c r="R9" s="16"/>
      <c r="S9" s="16"/>
      <c r="T9" s="16"/>
      <c r="U9" s="16"/>
      <c r="V9" s="43"/>
      <c r="W9" s="43"/>
      <c r="X9" s="43"/>
      <c r="Y9" s="43"/>
      <c r="Z9" s="16"/>
      <c r="AA9" s="16"/>
      <c r="AB9" s="16"/>
      <c r="AC9" s="16"/>
      <c r="AD9" s="16"/>
    </row>
    <row r="10" spans="1:30" s="26" customFormat="1" x14ac:dyDescent="0.25">
      <c r="A10" s="35" t="s">
        <v>7</v>
      </c>
      <c r="B10" s="19">
        <f t="shared" ref="B10:AD10" si="0">SUM(B2:B9)</f>
        <v>22897</v>
      </c>
      <c r="C10" s="19">
        <f t="shared" si="0"/>
        <v>1574</v>
      </c>
      <c r="D10" s="42">
        <f t="shared" si="0"/>
        <v>47751.5</v>
      </c>
      <c r="E10" s="19">
        <f t="shared" si="0"/>
        <v>9827</v>
      </c>
      <c r="F10" s="19">
        <f t="shared" si="0"/>
        <v>854</v>
      </c>
      <c r="G10" s="19">
        <f t="shared" si="0"/>
        <v>135</v>
      </c>
      <c r="H10" s="19">
        <f t="shared" si="0"/>
        <v>395836</v>
      </c>
      <c r="I10" s="19">
        <f t="shared" si="0"/>
        <v>3392</v>
      </c>
      <c r="J10" s="19">
        <f t="shared" si="0"/>
        <v>1300838</v>
      </c>
      <c r="K10" s="19">
        <f t="shared" si="0"/>
        <v>13980</v>
      </c>
      <c r="L10" s="19">
        <f t="shared" si="0"/>
        <v>4769</v>
      </c>
      <c r="M10" s="19">
        <f t="shared" si="0"/>
        <v>6478</v>
      </c>
      <c r="N10" s="19">
        <f t="shared" si="0"/>
        <v>69</v>
      </c>
      <c r="O10" s="19">
        <f t="shared" si="0"/>
        <v>30537</v>
      </c>
      <c r="P10" s="19">
        <f t="shared" si="0"/>
        <v>348</v>
      </c>
      <c r="Q10" s="19">
        <f t="shared" si="0"/>
        <v>866934</v>
      </c>
      <c r="R10" s="19">
        <f t="shared" si="0"/>
        <v>372744</v>
      </c>
      <c r="S10" s="19">
        <f t="shared" si="0"/>
        <v>4679445</v>
      </c>
      <c r="T10" s="19">
        <f t="shared" si="0"/>
        <v>2328311</v>
      </c>
      <c r="U10" s="19">
        <f t="shared" si="0"/>
        <v>483850</v>
      </c>
      <c r="V10" s="42">
        <f t="shared" si="0"/>
        <v>3052</v>
      </c>
      <c r="W10" s="42">
        <f t="shared" si="0"/>
        <v>14020.5</v>
      </c>
      <c r="X10" s="42">
        <f t="shared" si="0"/>
        <v>12548.5</v>
      </c>
      <c r="Y10" s="42">
        <f t="shared" si="0"/>
        <v>15795</v>
      </c>
      <c r="Z10" s="19">
        <f t="shared" si="0"/>
        <v>15737</v>
      </c>
      <c r="AA10" s="19">
        <f t="shared" si="0"/>
        <v>648</v>
      </c>
      <c r="AB10" s="19">
        <f t="shared" si="0"/>
        <v>216</v>
      </c>
      <c r="AC10" s="19">
        <f t="shared" si="0"/>
        <v>478</v>
      </c>
      <c r="AD10" s="19">
        <f t="shared" si="0"/>
        <v>254</v>
      </c>
    </row>
    <row r="11" spans="1:30" s="26" customFormat="1" x14ac:dyDescent="0.25">
      <c r="A11" s="34" t="s">
        <v>8</v>
      </c>
      <c r="B11" s="16"/>
      <c r="C11" s="16"/>
      <c r="D11" s="43"/>
      <c r="E11" s="16"/>
      <c r="F11" s="16"/>
      <c r="G11" s="16"/>
      <c r="H11" s="16"/>
      <c r="I11" s="16"/>
      <c r="J11" s="16"/>
      <c r="K11" s="16"/>
      <c r="L11" s="16"/>
      <c r="M11" s="16"/>
      <c r="N11" s="16"/>
      <c r="O11" s="16"/>
      <c r="P11" s="16"/>
      <c r="Q11" s="16"/>
      <c r="R11" s="16"/>
      <c r="S11" s="16"/>
      <c r="T11" s="16"/>
      <c r="U11" s="16"/>
      <c r="V11" s="43"/>
      <c r="W11" s="43"/>
      <c r="X11" s="43"/>
      <c r="Y11" s="43"/>
      <c r="Z11" s="16"/>
      <c r="AA11" s="16"/>
      <c r="AB11" s="16"/>
      <c r="AC11" s="16"/>
      <c r="AD11" s="16"/>
    </row>
    <row r="12" spans="1:30" s="26" customFormat="1" x14ac:dyDescent="0.25">
      <c r="A12" s="34" t="s">
        <v>9</v>
      </c>
      <c r="B12" s="16"/>
      <c r="C12" s="16"/>
      <c r="D12" s="43"/>
      <c r="E12" s="16"/>
      <c r="F12" s="16"/>
      <c r="G12" s="16"/>
      <c r="H12" s="16"/>
      <c r="I12" s="16"/>
      <c r="J12" s="16"/>
      <c r="K12" s="16"/>
      <c r="L12" s="16"/>
      <c r="M12" s="16"/>
      <c r="N12" s="16"/>
      <c r="O12" s="16"/>
      <c r="P12" s="16"/>
      <c r="Q12" s="16"/>
      <c r="R12" s="16"/>
      <c r="S12" s="16"/>
      <c r="T12" s="16"/>
      <c r="U12" s="16"/>
      <c r="V12" s="43"/>
      <c r="W12" s="43"/>
      <c r="X12" s="43"/>
      <c r="Y12" s="43"/>
      <c r="Z12" s="16"/>
      <c r="AA12" s="16"/>
      <c r="AB12" s="16"/>
      <c r="AC12" s="16"/>
      <c r="AD12" s="16"/>
    </row>
    <row r="13" spans="1:30" s="26" customFormat="1" x14ac:dyDescent="0.25">
      <c r="A13" s="34" t="s">
        <v>164</v>
      </c>
      <c r="B13" s="16"/>
      <c r="C13" s="16"/>
      <c r="D13" s="43"/>
      <c r="E13" s="16"/>
      <c r="F13" s="16"/>
      <c r="G13" s="16"/>
      <c r="H13" s="16"/>
      <c r="I13" s="16"/>
      <c r="J13" s="16"/>
      <c r="K13" s="16"/>
      <c r="L13" s="16"/>
      <c r="M13" s="16"/>
      <c r="N13" s="16"/>
      <c r="O13" s="16"/>
      <c r="P13" s="16"/>
      <c r="Q13" s="16"/>
      <c r="R13" s="16"/>
      <c r="S13" s="16"/>
      <c r="T13" s="16"/>
      <c r="U13" s="16"/>
      <c r="V13" s="43"/>
      <c r="W13" s="43"/>
      <c r="X13" s="43"/>
      <c r="Y13" s="43"/>
      <c r="Z13" s="16"/>
      <c r="AA13" s="16"/>
      <c r="AB13" s="16"/>
      <c r="AC13" s="16"/>
      <c r="AD13" s="16"/>
    </row>
    <row r="14" spans="1:30" s="26" customFormat="1" x14ac:dyDescent="0.25">
      <c r="A14" s="34" t="s">
        <v>10</v>
      </c>
      <c r="B14" s="16"/>
      <c r="C14" s="16"/>
      <c r="D14" s="43"/>
      <c r="E14" s="16"/>
      <c r="F14" s="16"/>
      <c r="G14" s="16"/>
      <c r="H14" s="16"/>
      <c r="I14" s="16"/>
      <c r="J14" s="16"/>
      <c r="K14" s="16"/>
      <c r="L14" s="16"/>
      <c r="M14" s="16"/>
      <c r="N14" s="16"/>
      <c r="O14" s="16"/>
      <c r="P14" s="16"/>
      <c r="Q14" s="16"/>
      <c r="R14" s="16"/>
      <c r="S14" s="16"/>
      <c r="T14" s="16"/>
      <c r="U14" s="16"/>
      <c r="V14" s="43"/>
      <c r="W14" s="43"/>
      <c r="X14" s="43"/>
      <c r="Y14" s="43"/>
      <c r="Z14" s="16"/>
      <c r="AA14" s="16"/>
      <c r="AB14" s="16"/>
      <c r="AC14" s="16"/>
      <c r="AD14" s="16"/>
    </row>
    <row r="15" spans="1:30" s="26" customFormat="1" x14ac:dyDescent="0.25">
      <c r="A15" s="34" t="s">
        <v>13</v>
      </c>
      <c r="B15" s="16"/>
      <c r="C15" s="16"/>
      <c r="D15" s="43"/>
      <c r="E15" s="16"/>
      <c r="F15" s="16"/>
      <c r="G15" s="16"/>
      <c r="H15" s="16"/>
      <c r="I15" s="16"/>
      <c r="J15" s="16"/>
      <c r="K15" s="16"/>
      <c r="L15" s="16"/>
      <c r="M15" s="16"/>
      <c r="N15" s="16"/>
      <c r="O15" s="16"/>
      <c r="P15" s="16"/>
      <c r="Q15" s="16"/>
      <c r="R15" s="16"/>
      <c r="S15" s="16"/>
      <c r="T15" s="16"/>
      <c r="U15" s="16"/>
      <c r="V15" s="43"/>
      <c r="W15" s="43"/>
      <c r="X15" s="43"/>
      <c r="Y15" s="43"/>
      <c r="Z15" s="16"/>
      <c r="AA15" s="16"/>
      <c r="AB15" s="16"/>
      <c r="AC15" s="16"/>
      <c r="AD15" s="16"/>
    </row>
    <row r="16" spans="1:30" s="26" customFormat="1" x14ac:dyDescent="0.25">
      <c r="A16" s="34" t="s">
        <v>11</v>
      </c>
      <c r="B16" s="16"/>
      <c r="C16" s="16"/>
      <c r="D16" s="43"/>
      <c r="E16" s="16"/>
      <c r="F16" s="16"/>
      <c r="G16" s="16"/>
      <c r="H16" s="16"/>
      <c r="I16" s="16"/>
      <c r="J16" s="16"/>
      <c r="K16" s="16"/>
      <c r="L16" s="16"/>
      <c r="M16" s="16"/>
      <c r="N16" s="16"/>
      <c r="O16" s="16"/>
      <c r="P16" s="16"/>
      <c r="Q16" s="16"/>
      <c r="R16" s="16"/>
      <c r="S16" s="16"/>
      <c r="T16" s="16"/>
      <c r="U16" s="16"/>
      <c r="V16" s="43"/>
      <c r="W16" s="43"/>
      <c r="X16" s="43"/>
      <c r="Y16" s="43"/>
      <c r="Z16" s="16"/>
      <c r="AA16" s="16"/>
      <c r="AB16" s="16"/>
      <c r="AC16" s="16"/>
      <c r="AD16" s="16"/>
    </row>
    <row r="17" spans="1:30" s="26" customFormat="1" x14ac:dyDescent="0.25">
      <c r="A17" s="34" t="s">
        <v>12</v>
      </c>
      <c r="B17" s="16"/>
      <c r="C17" s="16"/>
      <c r="D17" s="43"/>
      <c r="E17" s="16"/>
      <c r="F17" s="16"/>
      <c r="G17" s="16"/>
      <c r="H17" s="16"/>
      <c r="I17" s="16"/>
      <c r="J17" s="16"/>
      <c r="K17" s="16"/>
      <c r="L17" s="16"/>
      <c r="M17" s="16"/>
      <c r="N17" s="16"/>
      <c r="O17" s="16"/>
      <c r="P17" s="16"/>
      <c r="Q17" s="16"/>
      <c r="R17" s="16"/>
      <c r="S17" s="16"/>
      <c r="T17" s="16"/>
      <c r="U17" s="16"/>
      <c r="V17" s="43"/>
      <c r="W17" s="43"/>
      <c r="X17" s="43"/>
      <c r="Y17" s="43"/>
      <c r="Z17" s="16"/>
      <c r="AA17" s="16"/>
      <c r="AB17" s="16"/>
      <c r="AC17" s="16"/>
      <c r="AD17" s="16"/>
    </row>
    <row r="18" spans="1:30" s="26" customFormat="1" x14ac:dyDescent="0.25">
      <c r="A18" s="157" t="s">
        <v>14</v>
      </c>
      <c r="B18" s="112">
        <v>4049</v>
      </c>
      <c r="C18" s="112">
        <v>520</v>
      </c>
      <c r="D18" s="112">
        <v>6247</v>
      </c>
      <c r="E18" s="112">
        <v>3325</v>
      </c>
      <c r="F18" s="113">
        <v>1528.5</v>
      </c>
      <c r="G18" s="112">
        <v>0</v>
      </c>
      <c r="H18" s="112">
        <f>715.5*112</f>
        <v>80136</v>
      </c>
      <c r="I18" s="112">
        <v>690</v>
      </c>
      <c r="J18" s="112">
        <v>429842</v>
      </c>
      <c r="K18" s="113">
        <v>3254.5</v>
      </c>
      <c r="L18" s="112">
        <v>2794</v>
      </c>
      <c r="M18" s="112">
        <v>1360</v>
      </c>
      <c r="N18" s="112">
        <v>125</v>
      </c>
      <c r="O18" s="112">
        <v>38585</v>
      </c>
      <c r="P18" s="112">
        <v>294</v>
      </c>
      <c r="Q18" s="112">
        <v>2041598</v>
      </c>
      <c r="R18" s="112">
        <v>869430</v>
      </c>
      <c r="S18" s="112">
        <v>3621356</v>
      </c>
      <c r="T18" s="112">
        <v>3661380</v>
      </c>
      <c r="U18" s="112">
        <v>422889</v>
      </c>
      <c r="V18" s="113">
        <v>852.5</v>
      </c>
      <c r="W18" s="113">
        <v>1644.5</v>
      </c>
      <c r="X18" s="112">
        <v>1169</v>
      </c>
      <c r="Y18" s="113">
        <v>1683.5</v>
      </c>
      <c r="Z18" s="112">
        <v>3129</v>
      </c>
      <c r="AA18" s="112">
        <v>349</v>
      </c>
      <c r="AB18" s="112">
        <v>61</v>
      </c>
      <c r="AC18" s="112">
        <v>92</v>
      </c>
      <c r="AD18" s="112">
        <v>1</v>
      </c>
    </row>
    <row r="19" spans="1:30" s="26" customFormat="1" x14ac:dyDescent="0.25">
      <c r="A19" s="35" t="s">
        <v>15</v>
      </c>
      <c r="B19" s="19">
        <f t="shared" ref="B19:AD19" si="1">SUM(B10,B18)</f>
        <v>26946</v>
      </c>
      <c r="C19" s="19">
        <f t="shared" si="1"/>
        <v>2094</v>
      </c>
      <c r="D19" s="42">
        <f t="shared" si="1"/>
        <v>53998.5</v>
      </c>
      <c r="E19" s="19">
        <f t="shared" si="1"/>
        <v>13152</v>
      </c>
      <c r="F19" s="42">
        <f t="shared" si="1"/>
        <v>2382.5</v>
      </c>
      <c r="G19" s="19">
        <f t="shared" si="1"/>
        <v>135</v>
      </c>
      <c r="H19" s="19">
        <f t="shared" si="1"/>
        <v>475972</v>
      </c>
      <c r="I19" s="19">
        <f t="shared" si="1"/>
        <v>4082</v>
      </c>
      <c r="J19" s="19">
        <f t="shared" si="1"/>
        <v>1730680</v>
      </c>
      <c r="K19" s="42">
        <f t="shared" si="1"/>
        <v>17234.5</v>
      </c>
      <c r="L19" s="19">
        <f t="shared" si="1"/>
        <v>7563</v>
      </c>
      <c r="M19" s="19">
        <f t="shared" si="1"/>
        <v>7838</v>
      </c>
      <c r="N19" s="19">
        <f t="shared" si="1"/>
        <v>194</v>
      </c>
      <c r="O19" s="19">
        <f t="shared" si="1"/>
        <v>69122</v>
      </c>
      <c r="P19" s="19">
        <f t="shared" si="1"/>
        <v>642</v>
      </c>
      <c r="Q19" s="19">
        <f t="shared" si="1"/>
        <v>2908532</v>
      </c>
      <c r="R19" s="19">
        <f t="shared" si="1"/>
        <v>1242174</v>
      </c>
      <c r="S19" s="19">
        <f t="shared" si="1"/>
        <v>8300801</v>
      </c>
      <c r="T19" s="19">
        <f t="shared" si="1"/>
        <v>5989691</v>
      </c>
      <c r="U19" s="19">
        <f t="shared" si="1"/>
        <v>906739</v>
      </c>
      <c r="V19" s="42">
        <f t="shared" si="1"/>
        <v>3904.5</v>
      </c>
      <c r="W19" s="19">
        <f t="shared" si="1"/>
        <v>15665</v>
      </c>
      <c r="X19" s="42">
        <f t="shared" si="1"/>
        <v>13717.5</v>
      </c>
      <c r="Y19" s="42">
        <f t="shared" si="1"/>
        <v>17478.5</v>
      </c>
      <c r="Z19" s="19">
        <f t="shared" si="1"/>
        <v>18866</v>
      </c>
      <c r="AA19" s="19">
        <f t="shared" si="1"/>
        <v>997</v>
      </c>
      <c r="AB19" s="19">
        <f t="shared" si="1"/>
        <v>277</v>
      </c>
      <c r="AC19" s="19">
        <f t="shared" si="1"/>
        <v>570</v>
      </c>
      <c r="AD19" s="19">
        <f t="shared" si="1"/>
        <v>255</v>
      </c>
    </row>
    <row r="20" spans="1:30" x14ac:dyDescent="0.25">
      <c r="H20" s="116"/>
      <c r="R20" s="5"/>
      <c r="V20" s="5"/>
      <c r="W20" s="5"/>
    </row>
    <row r="21" spans="1:30" x14ac:dyDescent="0.25">
      <c r="B21" s="44"/>
      <c r="C21" s="44"/>
      <c r="D21" s="44"/>
      <c r="E21" s="44"/>
      <c r="F21" s="44"/>
      <c r="G21" s="44"/>
      <c r="H21" s="44"/>
      <c r="I21" s="44"/>
      <c r="J21" s="44"/>
      <c r="K21" s="44"/>
      <c r="L21" s="44"/>
      <c r="M21" s="44"/>
      <c r="N21" s="44"/>
      <c r="O21" s="44"/>
      <c r="P21" s="44"/>
      <c r="Q21" s="44"/>
      <c r="R21" s="44"/>
      <c r="S21" s="44"/>
      <c r="T21" s="44"/>
      <c r="U21" s="44"/>
      <c r="V21" s="44"/>
      <c r="W21" s="44"/>
      <c r="AA21" s="44"/>
      <c r="AB21" s="44"/>
      <c r="AC21" s="44"/>
      <c r="AD21" s="44"/>
    </row>
    <row r="22" spans="1:30" x14ac:dyDescent="0.25">
      <c r="B22" s="44"/>
      <c r="C22" s="44"/>
      <c r="D22" s="44"/>
      <c r="E22" s="44"/>
      <c r="F22" s="44"/>
      <c r="G22" s="44"/>
      <c r="H22" s="44"/>
      <c r="I22" s="44"/>
      <c r="J22" s="44"/>
      <c r="K22" s="44"/>
      <c r="L22" s="44"/>
      <c r="M22" s="44"/>
      <c r="N22" s="44"/>
      <c r="O22" s="44"/>
      <c r="P22" s="44"/>
      <c r="Q22" s="44"/>
      <c r="R22" s="44"/>
      <c r="S22" s="44"/>
      <c r="T22" s="44"/>
      <c r="U22" s="44"/>
      <c r="V22" s="44"/>
      <c r="W22" s="44"/>
      <c r="AA22" s="44"/>
      <c r="AB22" s="44"/>
      <c r="AC22" s="44"/>
      <c r="AD22" s="44"/>
    </row>
    <row r="23" spans="1:30" x14ac:dyDescent="0.25">
      <c r="B23" s="44"/>
      <c r="C23" s="44"/>
      <c r="D23" s="44"/>
      <c r="E23" s="44"/>
      <c r="F23" s="44"/>
      <c r="G23" s="44"/>
      <c r="H23" s="44"/>
      <c r="I23" s="44"/>
      <c r="J23" s="44"/>
      <c r="K23" s="44"/>
      <c r="L23" s="44"/>
      <c r="M23" s="44"/>
      <c r="N23" s="44"/>
      <c r="O23" s="44"/>
      <c r="P23" s="44"/>
      <c r="Q23" s="44"/>
      <c r="R23" s="44"/>
      <c r="S23" s="44"/>
      <c r="T23" s="44"/>
      <c r="U23" s="44"/>
      <c r="V23" s="44"/>
      <c r="W23" s="44"/>
      <c r="AA23" s="44"/>
      <c r="AB23" s="44"/>
      <c r="AC23" s="44"/>
      <c r="AD23" s="44"/>
    </row>
    <row r="24" spans="1:30" x14ac:dyDescent="0.25">
      <c r="B24" s="44"/>
      <c r="C24" s="44"/>
      <c r="D24" s="44"/>
      <c r="E24" s="44"/>
      <c r="F24" s="44"/>
      <c r="G24" s="44"/>
      <c r="H24" s="44"/>
      <c r="I24" s="44"/>
      <c r="J24" s="44"/>
      <c r="K24" s="44"/>
      <c r="L24" s="44"/>
      <c r="M24" s="44"/>
      <c r="N24" s="44"/>
      <c r="O24" s="44"/>
      <c r="P24" s="44"/>
      <c r="Q24" s="44"/>
      <c r="R24" s="44"/>
      <c r="S24" s="44"/>
      <c r="T24" s="44"/>
      <c r="U24" s="44"/>
      <c r="V24" s="44"/>
      <c r="W24" s="44"/>
      <c r="AA24" s="44"/>
      <c r="AB24" s="44"/>
      <c r="AC24" s="44"/>
      <c r="AD24" s="44"/>
    </row>
    <row r="25" spans="1:30" x14ac:dyDescent="0.25">
      <c r="B25" s="44"/>
      <c r="C25" s="44"/>
      <c r="D25" s="44"/>
      <c r="E25" s="44"/>
      <c r="F25" s="44"/>
      <c r="G25" s="44"/>
      <c r="H25" s="44"/>
      <c r="I25" s="44"/>
      <c r="J25" s="44"/>
      <c r="K25" s="44"/>
      <c r="L25" s="44"/>
      <c r="M25" s="44"/>
      <c r="N25" s="44"/>
      <c r="O25" s="44"/>
      <c r="P25" s="44"/>
      <c r="Q25" s="44"/>
      <c r="R25" s="44"/>
      <c r="S25" s="44"/>
      <c r="T25" s="44"/>
      <c r="U25" s="44"/>
      <c r="V25" s="44"/>
      <c r="W25" s="44"/>
      <c r="AA25" s="44"/>
      <c r="AB25" s="44"/>
      <c r="AC25" s="44"/>
      <c r="AD25" s="44"/>
    </row>
  </sheetData>
  <sheetProtection formatCells="0" formatColumns="0" formatRows="0" insertColumns="0" insertRows="0" sort="0" autoFilter="0" pivotTables="0"/>
  <dataValidations count="1">
    <dataValidation type="list" errorStyle="information" allowBlank="1" showInputMessage="1" showErrorMessage="1" sqref="B1:AD1" xr:uid="{B46A37FF-AC45-46AC-BA8F-63F328785009}">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8364F36-CB5C-4B3C-B858-9D8A331C8CE5}">
          <x14:formula1>
            <xm:f>'Term List'!$A2:$A242</xm:f>
          </x14:formula1>
          <xm:sqref>AE1:XFD1</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60D6E-DB7E-4EC3-ADED-B967DAB23278}">
  <dimension ref="A1:Z26"/>
  <sheetViews>
    <sheetView workbookViewId="0">
      <pane xSplit="1" ySplit="1" topLeftCell="B2" activePane="bottomRight" state="frozen"/>
      <selection activeCell="E23" sqref="E23"/>
      <selection pane="topRight" activeCell="E23" sqref="E23"/>
      <selection pane="bottomLeft" activeCell="E23" sqref="E23"/>
      <selection pane="bottomRight" activeCell="A19" sqref="A19"/>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7.85546875" style="5" customWidth="1"/>
    <col min="9" max="9" width="15.5703125" style="5" customWidth="1"/>
    <col min="10" max="10" width="15" style="5" customWidth="1"/>
    <col min="11" max="11" width="18.7109375" style="5" customWidth="1"/>
    <col min="12" max="12" width="16.5703125" style="5" customWidth="1"/>
    <col min="13" max="13" width="17" style="3" customWidth="1"/>
    <col min="14" max="14" width="17.140625" style="3" customWidth="1"/>
    <col min="15" max="15" width="15" style="3" customWidth="1"/>
    <col min="16" max="16" width="15.7109375" style="5" customWidth="1"/>
    <col min="17" max="17" width="14.42578125" style="5" customWidth="1"/>
    <col min="18" max="18" width="16.85546875" style="5" customWidth="1"/>
    <col min="19" max="19" width="14.28515625" style="5" customWidth="1"/>
    <col min="20" max="20" width="23" style="3" customWidth="1"/>
    <col min="21" max="21" width="14.28515625" style="3" customWidth="1"/>
    <col min="22" max="22" width="20.140625" style="3" customWidth="1"/>
    <col min="23" max="23" width="26.85546875" style="3" customWidth="1"/>
    <col min="24" max="24" width="18.5703125" style="3" customWidth="1"/>
    <col min="25" max="26" width="14.85546875" style="3" customWidth="1"/>
    <col min="27" max="16384" width="9.140625" style="3"/>
  </cols>
  <sheetData>
    <row r="1" spans="1:26" s="14" customFormat="1" ht="30" x14ac:dyDescent="0.25">
      <c r="A1" s="36" t="s">
        <v>445</v>
      </c>
      <c r="B1" s="36" t="s">
        <v>155</v>
      </c>
      <c r="C1" s="36" t="s">
        <v>156</v>
      </c>
      <c r="D1" s="36" t="s">
        <v>154</v>
      </c>
      <c r="E1" s="36" t="s">
        <v>150</v>
      </c>
      <c r="F1" s="36" t="s">
        <v>148</v>
      </c>
      <c r="G1" s="36" t="s">
        <v>147</v>
      </c>
      <c r="H1" s="36" t="s">
        <v>139</v>
      </c>
      <c r="I1" s="36" t="s">
        <v>132</v>
      </c>
      <c r="J1" s="36" t="s">
        <v>130</v>
      </c>
      <c r="K1" s="36" t="s">
        <v>143</v>
      </c>
      <c r="L1" s="36" t="s">
        <v>142</v>
      </c>
      <c r="M1" s="36" t="s">
        <v>125</v>
      </c>
      <c r="N1" s="36" t="s">
        <v>122</v>
      </c>
      <c r="O1" s="36" t="s">
        <v>121</v>
      </c>
      <c r="P1" s="36" t="s">
        <v>127</v>
      </c>
      <c r="Q1" s="36" t="s">
        <v>133</v>
      </c>
      <c r="R1" s="36" t="s">
        <v>74</v>
      </c>
      <c r="S1" s="36" t="s">
        <v>129</v>
      </c>
      <c r="T1" s="36" t="s">
        <v>141</v>
      </c>
      <c r="U1" s="36" t="s">
        <v>128</v>
      </c>
      <c r="V1" s="36" t="s">
        <v>135</v>
      </c>
      <c r="W1" s="36" t="s">
        <v>138</v>
      </c>
      <c r="X1" s="36" t="s">
        <v>134</v>
      </c>
      <c r="Y1" s="31"/>
      <c r="Z1" s="31"/>
    </row>
    <row r="2" spans="1:26" s="26" customFormat="1" x14ac:dyDescent="0.25">
      <c r="A2" s="34" t="s">
        <v>0</v>
      </c>
      <c r="B2" s="16">
        <v>20799</v>
      </c>
      <c r="C2" s="17">
        <v>989</v>
      </c>
      <c r="D2" s="17">
        <v>455</v>
      </c>
      <c r="E2" s="17">
        <v>4804</v>
      </c>
      <c r="F2" s="17">
        <v>395</v>
      </c>
      <c r="G2" s="17">
        <v>136</v>
      </c>
      <c r="H2" s="17">
        <v>0</v>
      </c>
      <c r="I2" s="17">
        <v>134</v>
      </c>
      <c r="J2" s="17">
        <v>35</v>
      </c>
      <c r="K2" s="17">
        <v>68</v>
      </c>
      <c r="L2" s="17">
        <v>1474</v>
      </c>
      <c r="M2" s="17">
        <v>7675</v>
      </c>
      <c r="N2" s="17">
        <v>2530</v>
      </c>
      <c r="O2" s="17">
        <v>301</v>
      </c>
      <c r="P2" s="17">
        <v>73</v>
      </c>
      <c r="Q2" s="17">
        <v>1177</v>
      </c>
      <c r="R2" s="109">
        <f>2139+(8/20)</f>
        <v>2139.4</v>
      </c>
      <c r="S2" s="109">
        <f>99+(6/20)</f>
        <v>99.3</v>
      </c>
      <c r="T2" s="109">
        <f>160+(13/20)</f>
        <v>160.65</v>
      </c>
      <c r="U2" s="109">
        <v>0</v>
      </c>
      <c r="V2" s="109">
        <v>5</v>
      </c>
      <c r="W2" s="17">
        <v>401</v>
      </c>
      <c r="X2" s="17">
        <v>1763</v>
      </c>
      <c r="Y2" s="17"/>
      <c r="Z2" s="17"/>
    </row>
    <row r="3" spans="1:26" s="26" customFormat="1" x14ac:dyDescent="0.25">
      <c r="A3" s="34" t="s">
        <v>1</v>
      </c>
      <c r="B3" s="16">
        <v>647</v>
      </c>
      <c r="C3" s="17">
        <v>85</v>
      </c>
      <c r="D3" s="17">
        <v>220</v>
      </c>
      <c r="E3" s="17">
        <v>0</v>
      </c>
      <c r="F3" s="17">
        <v>29</v>
      </c>
      <c r="G3" s="17">
        <v>0</v>
      </c>
      <c r="H3" s="17">
        <v>0</v>
      </c>
      <c r="I3" s="17">
        <v>0</v>
      </c>
      <c r="J3" s="17">
        <v>0</v>
      </c>
      <c r="K3" s="17">
        <v>0</v>
      </c>
      <c r="L3" s="17">
        <v>0</v>
      </c>
      <c r="M3" s="17">
        <v>7</v>
      </c>
      <c r="N3" s="17">
        <v>108</v>
      </c>
      <c r="O3" s="17">
        <v>0</v>
      </c>
      <c r="P3" s="17">
        <v>0</v>
      </c>
      <c r="Q3" s="17">
        <v>237</v>
      </c>
      <c r="R3" s="109">
        <f>122+(17/20)</f>
        <v>122.85</v>
      </c>
      <c r="S3" s="109">
        <v>0</v>
      </c>
      <c r="T3" s="109">
        <v>0</v>
      </c>
      <c r="U3" s="109">
        <v>0</v>
      </c>
      <c r="V3" s="109">
        <f>5+(3/20)</f>
        <v>5.15</v>
      </c>
      <c r="W3" s="17">
        <v>0</v>
      </c>
      <c r="X3" s="17">
        <v>0</v>
      </c>
      <c r="Y3" s="17"/>
      <c r="Z3" s="17"/>
    </row>
    <row r="4" spans="1:26" s="26" customFormat="1" x14ac:dyDescent="0.25">
      <c r="A4" s="34" t="s">
        <v>169</v>
      </c>
      <c r="B4" s="16"/>
      <c r="C4" s="17"/>
      <c r="D4" s="17"/>
      <c r="E4" s="17"/>
      <c r="F4" s="17"/>
      <c r="G4" s="17"/>
      <c r="H4" s="17"/>
      <c r="I4" s="17"/>
      <c r="J4" s="17"/>
      <c r="K4" s="17"/>
      <c r="L4" s="17"/>
      <c r="M4" s="17"/>
      <c r="N4" s="17"/>
      <c r="O4" s="17"/>
      <c r="P4" s="17"/>
      <c r="Q4" s="17"/>
      <c r="R4" s="109"/>
      <c r="S4" s="109"/>
      <c r="T4" s="109"/>
      <c r="U4" s="109"/>
      <c r="V4" s="109"/>
      <c r="W4" s="17"/>
      <c r="X4" s="17"/>
      <c r="Y4" s="17"/>
      <c r="Z4" s="17"/>
    </row>
    <row r="5" spans="1:26" s="26" customFormat="1" x14ac:dyDescent="0.25">
      <c r="A5" s="150" t="s">
        <v>2</v>
      </c>
      <c r="B5" s="16">
        <v>0</v>
      </c>
      <c r="C5" s="17">
        <v>0</v>
      </c>
      <c r="D5" s="17">
        <v>0</v>
      </c>
      <c r="E5" s="17">
        <v>0</v>
      </c>
      <c r="F5" s="17">
        <v>0</v>
      </c>
      <c r="G5" s="17">
        <v>0</v>
      </c>
      <c r="H5" s="17">
        <v>0</v>
      </c>
      <c r="I5" s="17">
        <v>0</v>
      </c>
      <c r="J5" s="17">
        <v>0</v>
      </c>
      <c r="K5" s="17">
        <v>0</v>
      </c>
      <c r="L5" s="17">
        <v>0</v>
      </c>
      <c r="M5" s="17">
        <v>0</v>
      </c>
      <c r="N5" s="17">
        <v>0</v>
      </c>
      <c r="O5" s="17">
        <v>0</v>
      </c>
      <c r="P5" s="17">
        <v>0</v>
      </c>
      <c r="Q5" s="17">
        <v>0</v>
      </c>
      <c r="R5" s="109">
        <v>0</v>
      </c>
      <c r="S5" s="109">
        <v>0</v>
      </c>
      <c r="T5" s="109">
        <v>0</v>
      </c>
      <c r="U5" s="109">
        <v>0</v>
      </c>
      <c r="V5" s="109">
        <v>0</v>
      </c>
      <c r="W5" s="17">
        <v>0</v>
      </c>
      <c r="X5" s="17">
        <v>0</v>
      </c>
      <c r="Y5" s="17"/>
      <c r="Z5" s="17"/>
    </row>
    <row r="6" spans="1:26" s="26" customFormat="1" x14ac:dyDescent="0.25">
      <c r="A6" s="34" t="s">
        <v>3</v>
      </c>
      <c r="B6" s="16">
        <v>245</v>
      </c>
      <c r="C6" s="17">
        <v>117</v>
      </c>
      <c r="D6" s="17">
        <v>1011</v>
      </c>
      <c r="E6" s="17">
        <v>979</v>
      </c>
      <c r="F6" s="17">
        <v>242</v>
      </c>
      <c r="G6" s="17">
        <v>268</v>
      </c>
      <c r="H6" s="17">
        <v>0</v>
      </c>
      <c r="I6" s="17">
        <v>0</v>
      </c>
      <c r="J6" s="17">
        <v>0</v>
      </c>
      <c r="K6" s="17">
        <v>0</v>
      </c>
      <c r="L6" s="17">
        <v>33</v>
      </c>
      <c r="M6" s="17">
        <v>83</v>
      </c>
      <c r="N6" s="17">
        <v>153</v>
      </c>
      <c r="O6" s="17">
        <v>146</v>
      </c>
      <c r="P6" s="17">
        <v>0</v>
      </c>
      <c r="Q6" s="17">
        <v>2702</v>
      </c>
      <c r="R6" s="109">
        <f>65+(7/20)</f>
        <v>65.349999999999994</v>
      </c>
      <c r="S6" s="109">
        <v>0</v>
      </c>
      <c r="T6" s="109">
        <v>0</v>
      </c>
      <c r="U6" s="109">
        <v>0</v>
      </c>
      <c r="V6" s="109">
        <v>17</v>
      </c>
      <c r="W6" s="17">
        <v>8</v>
      </c>
      <c r="X6" s="17">
        <v>0</v>
      </c>
      <c r="Y6" s="17"/>
      <c r="Z6" s="17"/>
    </row>
    <row r="7" spans="1:26" s="26" customFormat="1" x14ac:dyDescent="0.25">
      <c r="A7" s="34" t="s">
        <v>6</v>
      </c>
      <c r="B7" s="16">
        <v>0</v>
      </c>
      <c r="C7" s="17">
        <v>0</v>
      </c>
      <c r="D7" s="17">
        <v>17</v>
      </c>
      <c r="E7" s="17">
        <v>95</v>
      </c>
      <c r="F7" s="17">
        <v>27</v>
      </c>
      <c r="G7" s="17">
        <v>545</v>
      </c>
      <c r="H7" s="17">
        <v>1</v>
      </c>
      <c r="I7" s="17">
        <v>0</v>
      </c>
      <c r="J7" s="17">
        <v>0</v>
      </c>
      <c r="K7" s="17">
        <v>0</v>
      </c>
      <c r="L7" s="17">
        <v>10</v>
      </c>
      <c r="M7" s="17">
        <v>0</v>
      </c>
      <c r="N7" s="17">
        <v>0</v>
      </c>
      <c r="O7" s="17">
        <v>0</v>
      </c>
      <c r="P7" s="17">
        <v>0</v>
      </c>
      <c r="Q7" s="17">
        <v>0</v>
      </c>
      <c r="R7" s="109">
        <v>0</v>
      </c>
      <c r="S7" s="109">
        <v>0</v>
      </c>
      <c r="T7" s="109">
        <v>0</v>
      </c>
      <c r="U7" s="109">
        <v>0</v>
      </c>
      <c r="V7" s="109">
        <v>0</v>
      </c>
      <c r="W7" s="17">
        <v>0</v>
      </c>
      <c r="X7" s="17">
        <v>0</v>
      </c>
      <c r="Y7" s="17"/>
      <c r="Z7" s="17"/>
    </row>
    <row r="8" spans="1:26" s="26" customFormat="1" x14ac:dyDescent="0.25">
      <c r="A8" s="34" t="s">
        <v>4</v>
      </c>
      <c r="B8" s="16">
        <v>80</v>
      </c>
      <c r="C8" s="17">
        <v>37</v>
      </c>
      <c r="D8" s="17">
        <v>30</v>
      </c>
      <c r="E8" s="17">
        <v>344</v>
      </c>
      <c r="F8" s="17">
        <v>0</v>
      </c>
      <c r="G8" s="17">
        <v>12</v>
      </c>
      <c r="H8" s="17">
        <v>32</v>
      </c>
      <c r="I8" s="17">
        <v>0</v>
      </c>
      <c r="J8" s="17">
        <v>0</v>
      </c>
      <c r="K8" s="17">
        <v>48</v>
      </c>
      <c r="L8" s="17">
        <v>6508</v>
      </c>
      <c r="M8" s="17">
        <v>6</v>
      </c>
      <c r="N8" s="17">
        <v>7</v>
      </c>
      <c r="O8" s="17">
        <v>61</v>
      </c>
      <c r="P8" s="17">
        <v>0</v>
      </c>
      <c r="Q8" s="17">
        <v>5549</v>
      </c>
      <c r="R8" s="109">
        <v>206</v>
      </c>
      <c r="S8" s="109">
        <v>43</v>
      </c>
      <c r="T8" s="109">
        <v>0</v>
      </c>
      <c r="U8" s="109">
        <v>15</v>
      </c>
      <c r="V8" s="109">
        <v>0</v>
      </c>
      <c r="W8" s="17">
        <v>586</v>
      </c>
      <c r="X8" s="17">
        <v>12</v>
      </c>
      <c r="Y8" s="17"/>
      <c r="Z8" s="17"/>
    </row>
    <row r="9" spans="1:26" s="26" customFormat="1" x14ac:dyDescent="0.25">
      <c r="A9" s="34" t="s">
        <v>5</v>
      </c>
      <c r="B9" s="16"/>
      <c r="C9" s="17"/>
      <c r="D9" s="17"/>
      <c r="E9" s="17"/>
      <c r="F9" s="17"/>
      <c r="G9" s="17"/>
      <c r="H9" s="17"/>
      <c r="I9" s="17"/>
      <c r="J9" s="17"/>
      <c r="K9" s="17"/>
      <c r="L9" s="17"/>
      <c r="M9" s="17"/>
      <c r="N9" s="17"/>
      <c r="O9" s="17"/>
      <c r="P9" s="17"/>
      <c r="Q9" s="17"/>
      <c r="R9" s="109"/>
      <c r="S9" s="109"/>
      <c r="T9" s="109"/>
      <c r="U9" s="109"/>
      <c r="V9" s="109"/>
      <c r="W9" s="17"/>
      <c r="X9" s="17"/>
      <c r="Y9" s="17"/>
      <c r="Z9" s="17"/>
    </row>
    <row r="10" spans="1:26" s="26" customFormat="1" x14ac:dyDescent="0.25">
      <c r="A10" s="35" t="s">
        <v>7</v>
      </c>
      <c r="B10" s="19">
        <f t="shared" ref="B10:X10" si="0">SUM(B2:B9)</f>
        <v>21771</v>
      </c>
      <c r="C10" s="19">
        <f t="shared" si="0"/>
        <v>1228</v>
      </c>
      <c r="D10" s="19">
        <f t="shared" si="0"/>
        <v>1733</v>
      </c>
      <c r="E10" s="19">
        <f t="shared" si="0"/>
        <v>6222</v>
      </c>
      <c r="F10" s="19">
        <f t="shared" si="0"/>
        <v>693</v>
      </c>
      <c r="G10" s="19">
        <f t="shared" si="0"/>
        <v>961</v>
      </c>
      <c r="H10" s="19">
        <f t="shared" si="0"/>
        <v>33</v>
      </c>
      <c r="I10" s="19">
        <f t="shared" si="0"/>
        <v>134</v>
      </c>
      <c r="J10" s="19">
        <f t="shared" si="0"/>
        <v>35</v>
      </c>
      <c r="K10" s="19">
        <f t="shared" si="0"/>
        <v>116</v>
      </c>
      <c r="L10" s="19">
        <f t="shared" si="0"/>
        <v>8025</v>
      </c>
      <c r="M10" s="19">
        <f t="shared" si="0"/>
        <v>7771</v>
      </c>
      <c r="N10" s="19">
        <f t="shared" si="0"/>
        <v>2798</v>
      </c>
      <c r="O10" s="19">
        <f t="shared" si="0"/>
        <v>508</v>
      </c>
      <c r="P10" s="19">
        <f t="shared" si="0"/>
        <v>73</v>
      </c>
      <c r="Q10" s="19">
        <f t="shared" si="0"/>
        <v>9665</v>
      </c>
      <c r="R10" s="110">
        <f t="shared" si="0"/>
        <v>2533.6</v>
      </c>
      <c r="S10" s="110">
        <f t="shared" si="0"/>
        <v>142.30000000000001</v>
      </c>
      <c r="T10" s="110">
        <f t="shared" si="0"/>
        <v>160.65</v>
      </c>
      <c r="U10" s="110">
        <f t="shared" si="0"/>
        <v>15</v>
      </c>
      <c r="V10" s="110">
        <f t="shared" si="0"/>
        <v>27.15</v>
      </c>
      <c r="W10" s="19">
        <f t="shared" si="0"/>
        <v>995</v>
      </c>
      <c r="X10" s="19">
        <f t="shared" si="0"/>
        <v>1775</v>
      </c>
      <c r="Y10" s="19">
        <f t="shared" ref="Y10:Z10" si="1">SUM(Y2:Y9)</f>
        <v>0</v>
      </c>
      <c r="Z10" s="19">
        <f t="shared" si="1"/>
        <v>0</v>
      </c>
    </row>
    <row r="11" spans="1:26" s="26" customFormat="1" x14ac:dyDescent="0.25">
      <c r="A11" s="34" t="s">
        <v>8</v>
      </c>
      <c r="B11" s="16">
        <v>60377</v>
      </c>
      <c r="C11" s="16">
        <v>7441</v>
      </c>
      <c r="D11" s="16">
        <v>1418</v>
      </c>
      <c r="E11" s="16">
        <v>15617</v>
      </c>
      <c r="F11" s="16">
        <v>1352</v>
      </c>
      <c r="G11" s="16">
        <v>247</v>
      </c>
      <c r="H11" s="16">
        <v>253</v>
      </c>
      <c r="I11" s="16">
        <v>1614</v>
      </c>
      <c r="J11" s="16">
        <v>839</v>
      </c>
      <c r="K11" s="16">
        <v>54</v>
      </c>
      <c r="L11" s="16">
        <v>5969</v>
      </c>
      <c r="M11" s="16">
        <v>7494</v>
      </c>
      <c r="N11" s="16">
        <v>766</v>
      </c>
      <c r="O11" s="16">
        <v>59</v>
      </c>
      <c r="P11" s="16">
        <v>3</v>
      </c>
      <c r="Q11" s="16">
        <v>575</v>
      </c>
      <c r="R11" s="111">
        <f>3503+(10/20)</f>
        <v>3503.5</v>
      </c>
      <c r="S11" s="111">
        <f>459+(13/20)</f>
        <v>459.65</v>
      </c>
      <c r="T11" s="111">
        <v>32</v>
      </c>
      <c r="U11" s="111">
        <v>14</v>
      </c>
      <c r="V11" s="111">
        <v>0</v>
      </c>
      <c r="W11" s="16">
        <v>417</v>
      </c>
      <c r="X11" s="16">
        <v>12751</v>
      </c>
      <c r="Y11" s="16"/>
      <c r="Z11" s="16"/>
    </row>
    <row r="12" spans="1:26" s="26" customFormat="1" x14ac:dyDescent="0.25">
      <c r="A12" s="34" t="s">
        <v>9</v>
      </c>
      <c r="B12" s="16">
        <v>100</v>
      </c>
      <c r="C12" s="16">
        <v>1</v>
      </c>
      <c r="D12" s="16">
        <v>4</v>
      </c>
      <c r="E12" s="16">
        <v>0</v>
      </c>
      <c r="F12" s="16">
        <v>0</v>
      </c>
      <c r="G12" s="16">
        <v>0</v>
      </c>
      <c r="H12" s="16">
        <v>0</v>
      </c>
      <c r="I12" s="16">
        <v>0</v>
      </c>
      <c r="J12" s="16">
        <v>0</v>
      </c>
      <c r="K12" s="16">
        <v>0</v>
      </c>
      <c r="L12" s="16">
        <v>0</v>
      </c>
      <c r="M12" s="16">
        <v>40</v>
      </c>
      <c r="N12" s="16">
        <v>0</v>
      </c>
      <c r="O12" s="16">
        <v>0</v>
      </c>
      <c r="P12" s="16">
        <v>0</v>
      </c>
      <c r="Q12" s="16">
        <v>0</v>
      </c>
      <c r="R12" s="111">
        <v>32</v>
      </c>
      <c r="S12" s="111">
        <v>0</v>
      </c>
      <c r="T12" s="111">
        <v>0</v>
      </c>
      <c r="U12" s="111">
        <v>0</v>
      </c>
      <c r="V12" s="111">
        <v>0</v>
      </c>
      <c r="W12" s="16">
        <v>0</v>
      </c>
      <c r="X12" s="16">
        <v>0</v>
      </c>
      <c r="Y12" s="16"/>
      <c r="Z12" s="16"/>
    </row>
    <row r="13" spans="1:26" s="26" customFormat="1" x14ac:dyDescent="0.25">
      <c r="A13" s="34" t="s">
        <v>164</v>
      </c>
      <c r="B13" s="16"/>
      <c r="C13" s="16"/>
      <c r="D13" s="16"/>
      <c r="E13" s="16"/>
      <c r="F13" s="16"/>
      <c r="G13" s="16"/>
      <c r="H13" s="16"/>
      <c r="I13" s="16"/>
      <c r="J13" s="16"/>
      <c r="K13" s="16"/>
      <c r="L13" s="16"/>
      <c r="M13" s="16"/>
      <c r="N13" s="16"/>
      <c r="O13" s="16"/>
      <c r="P13" s="16"/>
      <c r="Q13" s="16"/>
      <c r="R13" s="111"/>
      <c r="S13" s="111"/>
      <c r="T13" s="111"/>
      <c r="U13" s="111"/>
      <c r="V13" s="111"/>
      <c r="W13" s="16"/>
      <c r="X13" s="16"/>
      <c r="Y13" s="16"/>
      <c r="Z13" s="16"/>
    </row>
    <row r="14" spans="1:26" s="26" customFormat="1" x14ac:dyDescent="0.25">
      <c r="A14" s="150" t="s">
        <v>486</v>
      </c>
      <c r="B14" s="16">
        <v>0</v>
      </c>
      <c r="C14" s="16">
        <v>0</v>
      </c>
      <c r="D14" s="16">
        <v>0</v>
      </c>
      <c r="E14" s="16">
        <v>0</v>
      </c>
      <c r="F14" s="16">
        <v>0</v>
      </c>
      <c r="G14" s="16">
        <v>0</v>
      </c>
      <c r="H14" s="16">
        <v>0</v>
      </c>
      <c r="I14" s="16">
        <v>0</v>
      </c>
      <c r="J14" s="16">
        <v>0</v>
      </c>
      <c r="K14" s="16">
        <v>0</v>
      </c>
      <c r="L14" s="16">
        <v>0</v>
      </c>
      <c r="M14" s="16">
        <v>0</v>
      </c>
      <c r="N14" s="16">
        <v>0</v>
      </c>
      <c r="O14" s="16">
        <v>0</v>
      </c>
      <c r="P14" s="16">
        <v>0</v>
      </c>
      <c r="Q14" s="16">
        <v>0</v>
      </c>
      <c r="R14" s="111">
        <v>0</v>
      </c>
      <c r="S14" s="111">
        <v>0</v>
      </c>
      <c r="T14" s="111">
        <v>0</v>
      </c>
      <c r="U14" s="111">
        <v>0</v>
      </c>
      <c r="V14" s="111">
        <v>0</v>
      </c>
      <c r="W14" s="16">
        <v>0</v>
      </c>
      <c r="X14" s="16">
        <v>0</v>
      </c>
      <c r="Y14" s="16"/>
      <c r="Z14" s="16"/>
    </row>
    <row r="15" spans="1:26" s="26" customFormat="1" x14ac:dyDescent="0.25">
      <c r="A15" s="34" t="s">
        <v>10</v>
      </c>
      <c r="B15" s="16">
        <v>1203</v>
      </c>
      <c r="C15" s="16">
        <v>529</v>
      </c>
      <c r="D15" s="16">
        <v>1012</v>
      </c>
      <c r="E15" s="16">
        <v>4826</v>
      </c>
      <c r="F15" s="16">
        <v>232</v>
      </c>
      <c r="G15" s="16">
        <v>274</v>
      </c>
      <c r="H15" s="16">
        <v>363</v>
      </c>
      <c r="I15" s="16">
        <v>22</v>
      </c>
      <c r="J15" s="16">
        <v>0</v>
      </c>
      <c r="K15" s="16">
        <v>37</v>
      </c>
      <c r="L15" s="16">
        <v>103</v>
      </c>
      <c r="M15" s="16">
        <v>29</v>
      </c>
      <c r="N15" s="16">
        <v>77</v>
      </c>
      <c r="O15" s="16">
        <v>25</v>
      </c>
      <c r="P15" s="16">
        <v>0</v>
      </c>
      <c r="Q15" s="16">
        <v>2158</v>
      </c>
      <c r="R15" s="111">
        <v>117</v>
      </c>
      <c r="S15" s="111">
        <v>2</v>
      </c>
      <c r="T15" s="111">
        <v>0</v>
      </c>
      <c r="U15" s="111">
        <v>0</v>
      </c>
      <c r="V15" s="111">
        <v>8</v>
      </c>
      <c r="W15" s="16">
        <v>192</v>
      </c>
      <c r="X15" s="16">
        <v>0</v>
      </c>
      <c r="Y15" s="16"/>
      <c r="Z15" s="16"/>
    </row>
    <row r="16" spans="1:26" s="26" customFormat="1" x14ac:dyDescent="0.25">
      <c r="A16" s="34" t="s">
        <v>13</v>
      </c>
      <c r="B16" s="16">
        <v>0</v>
      </c>
      <c r="C16" s="16">
        <v>0</v>
      </c>
      <c r="D16" s="16">
        <v>6</v>
      </c>
      <c r="E16" s="16">
        <v>107</v>
      </c>
      <c r="F16" s="16">
        <v>1</v>
      </c>
      <c r="G16" s="16">
        <v>7</v>
      </c>
      <c r="H16" s="16">
        <v>0</v>
      </c>
      <c r="I16" s="16">
        <v>0</v>
      </c>
      <c r="J16" s="16">
        <v>0</v>
      </c>
      <c r="K16" s="16">
        <v>0</v>
      </c>
      <c r="L16" s="16">
        <v>0</v>
      </c>
      <c r="M16" s="16">
        <v>0</v>
      </c>
      <c r="N16" s="16">
        <v>0</v>
      </c>
      <c r="O16" s="16">
        <v>0</v>
      </c>
      <c r="P16" s="16">
        <v>0</v>
      </c>
      <c r="Q16" s="16">
        <v>0</v>
      </c>
      <c r="R16" s="111">
        <v>0</v>
      </c>
      <c r="S16" s="111">
        <v>0</v>
      </c>
      <c r="T16" s="111">
        <v>0</v>
      </c>
      <c r="U16" s="111">
        <v>0</v>
      </c>
      <c r="V16" s="111">
        <v>0</v>
      </c>
      <c r="W16" s="16">
        <v>0</v>
      </c>
      <c r="X16" s="16">
        <v>0</v>
      </c>
      <c r="Y16" s="16"/>
      <c r="Z16" s="16"/>
    </row>
    <row r="17" spans="1:26" s="26" customFormat="1" x14ac:dyDescent="0.25">
      <c r="A17" s="34" t="s">
        <v>11</v>
      </c>
      <c r="B17" s="16">
        <v>2</v>
      </c>
      <c r="C17" s="16">
        <v>0</v>
      </c>
      <c r="D17" s="16">
        <v>65</v>
      </c>
      <c r="E17" s="16">
        <v>1625</v>
      </c>
      <c r="F17" s="16">
        <v>0</v>
      </c>
      <c r="G17" s="16">
        <v>6</v>
      </c>
      <c r="H17" s="16">
        <v>215</v>
      </c>
      <c r="I17" s="16">
        <v>1</v>
      </c>
      <c r="J17" s="16">
        <v>0</v>
      </c>
      <c r="K17" s="16">
        <v>0</v>
      </c>
      <c r="L17" s="16">
        <v>2148</v>
      </c>
      <c r="M17" s="16">
        <v>21</v>
      </c>
      <c r="N17" s="16">
        <v>4</v>
      </c>
      <c r="O17" s="16">
        <v>1098</v>
      </c>
      <c r="P17" s="16">
        <v>0</v>
      </c>
      <c r="Q17" s="16">
        <v>1163</v>
      </c>
      <c r="R17" s="111">
        <v>163</v>
      </c>
      <c r="S17" s="111">
        <f>10+(15/20)</f>
        <v>10.75</v>
      </c>
      <c r="T17" s="111">
        <v>0</v>
      </c>
      <c r="U17" s="111">
        <v>0</v>
      </c>
      <c r="V17" s="111">
        <v>2</v>
      </c>
      <c r="W17" s="16">
        <v>477</v>
      </c>
      <c r="X17" s="16">
        <v>0</v>
      </c>
      <c r="Y17" s="16"/>
      <c r="Z17" s="16"/>
    </row>
    <row r="18" spans="1:26" s="26" customFormat="1" x14ac:dyDescent="0.25">
      <c r="A18" s="34" t="s">
        <v>12</v>
      </c>
      <c r="B18" s="16"/>
      <c r="C18" s="16"/>
      <c r="D18" s="16"/>
      <c r="E18" s="16"/>
      <c r="F18" s="16"/>
      <c r="G18" s="16"/>
      <c r="H18" s="16"/>
      <c r="I18" s="16"/>
      <c r="J18" s="16"/>
      <c r="K18" s="16"/>
      <c r="L18" s="16"/>
      <c r="M18" s="16"/>
      <c r="N18" s="16"/>
      <c r="O18" s="16"/>
      <c r="P18" s="16"/>
      <c r="Q18" s="16"/>
      <c r="R18" s="111"/>
      <c r="S18" s="111"/>
      <c r="T18" s="111"/>
      <c r="U18" s="111"/>
      <c r="V18" s="111"/>
      <c r="W18" s="16"/>
      <c r="X18" s="16"/>
      <c r="Y18" s="16"/>
      <c r="Z18" s="16"/>
    </row>
    <row r="19" spans="1:26" s="26" customFormat="1" x14ac:dyDescent="0.25">
      <c r="A19" s="35" t="s">
        <v>14</v>
      </c>
      <c r="B19" s="19">
        <f t="shared" ref="B19:X19" si="2">SUM(B11:B18)</f>
        <v>61682</v>
      </c>
      <c r="C19" s="19">
        <f t="shared" si="2"/>
        <v>7971</v>
      </c>
      <c r="D19" s="19">
        <f t="shared" si="2"/>
        <v>2505</v>
      </c>
      <c r="E19" s="19">
        <f t="shared" si="2"/>
        <v>22175</v>
      </c>
      <c r="F19" s="19">
        <f t="shared" si="2"/>
        <v>1585</v>
      </c>
      <c r="G19" s="19">
        <f t="shared" si="2"/>
        <v>534</v>
      </c>
      <c r="H19" s="19">
        <f t="shared" si="2"/>
        <v>831</v>
      </c>
      <c r="I19" s="19">
        <f t="shared" si="2"/>
        <v>1637</v>
      </c>
      <c r="J19" s="19">
        <f t="shared" si="2"/>
        <v>839</v>
      </c>
      <c r="K19" s="19">
        <f t="shared" si="2"/>
        <v>91</v>
      </c>
      <c r="L19" s="19">
        <f t="shared" si="2"/>
        <v>8220</v>
      </c>
      <c r="M19" s="19">
        <f t="shared" si="2"/>
        <v>7584</v>
      </c>
      <c r="N19" s="19">
        <f t="shared" si="2"/>
        <v>847</v>
      </c>
      <c r="O19" s="19">
        <f t="shared" si="2"/>
        <v>1182</v>
      </c>
      <c r="P19" s="19">
        <f t="shared" si="2"/>
        <v>3</v>
      </c>
      <c r="Q19" s="19">
        <f t="shared" si="2"/>
        <v>3896</v>
      </c>
      <c r="R19" s="110">
        <f t="shared" si="2"/>
        <v>3815.5</v>
      </c>
      <c r="S19" s="110">
        <f t="shared" si="2"/>
        <v>472.4</v>
      </c>
      <c r="T19" s="110">
        <f t="shared" si="2"/>
        <v>32</v>
      </c>
      <c r="U19" s="110">
        <f t="shared" si="2"/>
        <v>14</v>
      </c>
      <c r="V19" s="110">
        <f t="shared" si="2"/>
        <v>10</v>
      </c>
      <c r="W19" s="19">
        <f t="shared" si="2"/>
        <v>1086</v>
      </c>
      <c r="X19" s="19">
        <f t="shared" si="2"/>
        <v>12751</v>
      </c>
      <c r="Y19" s="19">
        <f t="shared" ref="Y19:Z19" si="3">SUM(Y11:Y18)</f>
        <v>0</v>
      </c>
      <c r="Z19" s="19">
        <f t="shared" si="3"/>
        <v>0</v>
      </c>
    </row>
    <row r="20" spans="1:26" s="26" customFormat="1" x14ac:dyDescent="0.25">
      <c r="A20" s="35" t="s">
        <v>15</v>
      </c>
      <c r="B20" s="19">
        <f t="shared" ref="B20:X20" si="4">SUM(B10,B19)</f>
        <v>83453</v>
      </c>
      <c r="C20" s="19">
        <f t="shared" si="4"/>
        <v>9199</v>
      </c>
      <c r="D20" s="19">
        <f t="shared" si="4"/>
        <v>4238</v>
      </c>
      <c r="E20" s="19">
        <f t="shared" si="4"/>
        <v>28397</v>
      </c>
      <c r="F20" s="19">
        <f t="shared" si="4"/>
        <v>2278</v>
      </c>
      <c r="G20" s="19">
        <f t="shared" si="4"/>
        <v>1495</v>
      </c>
      <c r="H20" s="19">
        <f t="shared" si="4"/>
        <v>864</v>
      </c>
      <c r="I20" s="19">
        <f t="shared" si="4"/>
        <v>1771</v>
      </c>
      <c r="J20" s="19">
        <f t="shared" si="4"/>
        <v>874</v>
      </c>
      <c r="K20" s="19">
        <f t="shared" si="4"/>
        <v>207</v>
      </c>
      <c r="L20" s="19">
        <f t="shared" si="4"/>
        <v>16245</v>
      </c>
      <c r="M20" s="19">
        <f t="shared" si="4"/>
        <v>15355</v>
      </c>
      <c r="N20" s="19">
        <f t="shared" si="4"/>
        <v>3645</v>
      </c>
      <c r="O20" s="19">
        <f t="shared" si="4"/>
        <v>1690</v>
      </c>
      <c r="P20" s="19">
        <f t="shared" si="4"/>
        <v>76</v>
      </c>
      <c r="Q20" s="19">
        <f t="shared" si="4"/>
        <v>13561</v>
      </c>
      <c r="R20" s="110">
        <f t="shared" si="4"/>
        <v>6349.1</v>
      </c>
      <c r="S20" s="110">
        <f t="shared" si="4"/>
        <v>614.70000000000005</v>
      </c>
      <c r="T20" s="110">
        <f t="shared" si="4"/>
        <v>192.65</v>
      </c>
      <c r="U20" s="110">
        <f t="shared" si="4"/>
        <v>29</v>
      </c>
      <c r="V20" s="110">
        <f t="shared" si="4"/>
        <v>37.15</v>
      </c>
      <c r="W20" s="19">
        <f t="shared" si="4"/>
        <v>2081</v>
      </c>
      <c r="X20" s="19">
        <f t="shared" si="4"/>
        <v>14526</v>
      </c>
      <c r="Y20" s="19">
        <f t="shared" ref="Y20:Z20" si="5">SUM(Y10,Y19)</f>
        <v>0</v>
      </c>
      <c r="Z20" s="19">
        <f t="shared" si="5"/>
        <v>0</v>
      </c>
    </row>
    <row r="22" spans="1:26" x14ac:dyDescent="0.25">
      <c r="B22" s="44"/>
      <c r="C22" s="44"/>
      <c r="D22" s="44"/>
      <c r="E22" s="44"/>
      <c r="F22" s="44"/>
      <c r="G22" s="44"/>
      <c r="H22" s="44"/>
      <c r="I22" s="44"/>
      <c r="J22" s="44"/>
      <c r="K22" s="44"/>
      <c r="L22" s="44"/>
      <c r="P22" s="44"/>
      <c r="Q22" s="44"/>
      <c r="R22" s="44"/>
      <c r="S22" s="44"/>
    </row>
    <row r="24" spans="1:26" x14ac:dyDescent="0.25">
      <c r="B24" s="44"/>
      <c r="C24" s="44"/>
      <c r="D24" s="44"/>
      <c r="E24" s="44"/>
      <c r="F24" s="44"/>
      <c r="G24" s="44"/>
      <c r="H24" s="44"/>
      <c r="I24" s="44"/>
      <c r="J24" s="44"/>
      <c r="K24" s="44"/>
      <c r="L24" s="44"/>
      <c r="P24" s="44"/>
      <c r="Q24" s="44"/>
      <c r="R24" s="44"/>
      <c r="S24" s="44"/>
    </row>
    <row r="26" spans="1:26" x14ac:dyDescent="0.25">
      <c r="B26" s="44"/>
      <c r="C26" s="44"/>
      <c r="D26" s="44"/>
      <c r="E26" s="44"/>
      <c r="F26" s="44"/>
      <c r="G26" s="44"/>
      <c r="H26" s="44"/>
      <c r="I26" s="44"/>
      <c r="J26" s="44"/>
      <c r="K26" s="44"/>
      <c r="L26" s="44"/>
      <c r="P26" s="44"/>
      <c r="Q26" s="44"/>
      <c r="R26" s="44"/>
      <c r="S26" s="44"/>
    </row>
  </sheetData>
  <sheetProtection formatCells="0" formatColumns="0" formatRows="0" insertColumns="0" insertRows="0" sort="0" autoFilter="0" pivotTables="0"/>
  <dataValidations count="1">
    <dataValidation type="list" errorStyle="information" allowBlank="1" showInputMessage="1" showErrorMessage="1" sqref="B1:Z1" xr:uid="{E28CBC7E-2A4E-4B8E-A990-AA4539E4EC09}">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D1A93DA-8579-4497-BAB2-903DE8C785C1}">
          <x14:formula1>
            <xm:f>'Term List'!$A2:$A242</xm:f>
          </x14:formula1>
          <xm:sqref>AA1:XFD1</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2E7BF-A37C-4754-812A-1B3153E457F9}">
  <dimension ref="A1:AD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7.42578125" style="5" customWidth="1"/>
    <col min="3" max="3" width="16.28515625" style="5" customWidth="1"/>
    <col min="4" max="4" width="15.85546875" style="5" customWidth="1"/>
    <col min="5" max="5" width="20.140625" style="5" customWidth="1"/>
    <col min="6" max="6" width="16.28515625" style="5" customWidth="1"/>
    <col min="7" max="8" width="15.85546875" style="5" customWidth="1"/>
    <col min="9" max="9" width="21.42578125" style="5" customWidth="1"/>
    <col min="10" max="10" width="16" style="3" customWidth="1"/>
    <col min="11" max="11" width="31.28515625" style="3" customWidth="1"/>
    <col min="12" max="12" width="16.28515625" style="5" customWidth="1"/>
    <col min="13" max="13" width="17" style="5" customWidth="1"/>
    <col min="14" max="14" width="21.140625" style="3" customWidth="1"/>
    <col min="15" max="15" width="21.28515625" style="5" customWidth="1"/>
    <col min="16" max="16" width="18.28515625" style="5" customWidth="1"/>
    <col min="17" max="17" width="17.28515625" style="3" customWidth="1"/>
    <col min="18" max="18" width="19.42578125" style="3" customWidth="1"/>
    <col min="19" max="21" width="15.85546875" style="3" customWidth="1"/>
    <col min="22" max="24" width="16.42578125" style="3" customWidth="1"/>
    <col min="25" max="25" width="17.28515625" style="3" customWidth="1"/>
    <col min="26" max="26" width="16.42578125" style="3" customWidth="1"/>
    <col min="27" max="27" width="18.28515625" style="3" customWidth="1"/>
    <col min="28" max="28" width="17.85546875" style="3" customWidth="1"/>
    <col min="29" max="29" width="17.28515625" style="3" customWidth="1"/>
    <col min="30" max="30" width="17.5703125" style="3" customWidth="1"/>
    <col min="31" max="16384" width="9.140625" style="3"/>
  </cols>
  <sheetData>
    <row r="1" spans="1:30" s="40" customFormat="1" ht="30" x14ac:dyDescent="0.25">
      <c r="A1" s="36" t="s">
        <v>558</v>
      </c>
      <c r="B1" s="36" t="s">
        <v>34</v>
      </c>
      <c r="C1" s="36" t="s">
        <v>63</v>
      </c>
      <c r="D1" s="36" t="s">
        <v>62</v>
      </c>
      <c r="E1" s="36" t="s">
        <v>55</v>
      </c>
      <c r="F1" s="36" t="s">
        <v>36</v>
      </c>
      <c r="G1" s="36" t="s">
        <v>35</v>
      </c>
      <c r="H1" s="36" t="s">
        <v>40</v>
      </c>
      <c r="I1" s="36" t="s">
        <v>96</v>
      </c>
      <c r="J1" s="36" t="s">
        <v>98</v>
      </c>
      <c r="K1" s="36" t="s">
        <v>442</v>
      </c>
      <c r="L1" s="36" t="s">
        <v>571</v>
      </c>
      <c r="M1" s="36" t="s">
        <v>572</v>
      </c>
      <c r="N1" s="36" t="s">
        <v>566</v>
      </c>
      <c r="O1" s="36" t="s">
        <v>567</v>
      </c>
      <c r="P1" s="36" t="s">
        <v>568</v>
      </c>
      <c r="Q1" s="36" t="s">
        <v>105</v>
      </c>
      <c r="R1" s="36" t="s">
        <v>106</v>
      </c>
      <c r="S1" s="36" t="s">
        <v>101</v>
      </c>
      <c r="T1" s="36" t="s">
        <v>75</v>
      </c>
      <c r="U1" s="36" t="s">
        <v>66</v>
      </c>
      <c r="V1" s="36" t="s">
        <v>28</v>
      </c>
      <c r="W1" s="36" t="s">
        <v>89</v>
      </c>
      <c r="X1" s="36" t="s">
        <v>45</v>
      </c>
      <c r="Y1" s="36" t="s">
        <v>48</v>
      </c>
      <c r="Z1" s="36" t="s">
        <v>102</v>
      </c>
      <c r="AA1" s="36" t="s">
        <v>330</v>
      </c>
      <c r="AB1" s="36" t="s">
        <v>331</v>
      </c>
      <c r="AC1" s="36" t="s">
        <v>332</v>
      </c>
      <c r="AD1" s="36" t="s">
        <v>333</v>
      </c>
    </row>
    <row r="2" spans="1:30" s="26" customFormat="1" x14ac:dyDescent="0.25">
      <c r="A2" s="34" t="s">
        <v>0</v>
      </c>
      <c r="B2" s="16">
        <v>31099</v>
      </c>
      <c r="C2" s="16">
        <v>4193</v>
      </c>
      <c r="D2" s="16">
        <v>7000</v>
      </c>
      <c r="E2" s="16">
        <v>0</v>
      </c>
      <c r="F2" s="16">
        <v>536</v>
      </c>
      <c r="G2" s="16">
        <v>0</v>
      </c>
      <c r="H2" s="16">
        <v>0</v>
      </c>
      <c r="I2" s="16">
        <v>870</v>
      </c>
      <c r="J2" s="16">
        <v>11400</v>
      </c>
      <c r="K2" s="16">
        <v>205</v>
      </c>
      <c r="L2" s="16">
        <v>457</v>
      </c>
      <c r="M2" s="16">
        <v>30</v>
      </c>
      <c r="N2" s="16">
        <v>3008</v>
      </c>
      <c r="O2" s="16">
        <v>8624</v>
      </c>
      <c r="P2" s="16">
        <v>128</v>
      </c>
      <c r="Q2" s="16">
        <v>6300</v>
      </c>
      <c r="R2" s="16">
        <v>316</v>
      </c>
      <c r="S2" s="16">
        <v>21000</v>
      </c>
      <c r="T2" s="16">
        <v>138574</v>
      </c>
      <c r="U2" s="16">
        <v>107714</v>
      </c>
      <c r="V2" s="16">
        <v>902</v>
      </c>
      <c r="W2" s="16">
        <v>1333</v>
      </c>
      <c r="X2" s="16">
        <v>3544</v>
      </c>
      <c r="Y2" s="16">
        <v>5902</v>
      </c>
      <c r="Z2" s="16">
        <v>9565</v>
      </c>
      <c r="AA2" s="16">
        <v>11</v>
      </c>
      <c r="AB2" s="16">
        <v>14</v>
      </c>
      <c r="AC2" s="16">
        <v>0</v>
      </c>
      <c r="AD2" s="16">
        <v>0</v>
      </c>
    </row>
    <row r="3" spans="1:30" s="26" customFormat="1" x14ac:dyDescent="0.25">
      <c r="A3" s="34" t="s">
        <v>1</v>
      </c>
      <c r="B3" s="16">
        <v>163</v>
      </c>
      <c r="C3" s="16">
        <v>155</v>
      </c>
      <c r="D3" s="16">
        <v>1</v>
      </c>
      <c r="E3" s="16">
        <v>0</v>
      </c>
      <c r="F3" s="16">
        <v>0</v>
      </c>
      <c r="G3" s="16">
        <v>0</v>
      </c>
      <c r="H3" s="16">
        <v>0</v>
      </c>
      <c r="I3" s="16">
        <v>0</v>
      </c>
      <c r="J3" s="16">
        <v>0</v>
      </c>
      <c r="K3" s="16">
        <v>0</v>
      </c>
      <c r="L3" s="16">
        <v>1</v>
      </c>
      <c r="M3" s="16">
        <v>0</v>
      </c>
      <c r="N3" s="16">
        <v>0</v>
      </c>
      <c r="O3" s="16">
        <v>251</v>
      </c>
      <c r="P3" s="16">
        <v>0</v>
      </c>
      <c r="Q3" s="16">
        <v>0</v>
      </c>
      <c r="R3" s="16">
        <v>0</v>
      </c>
      <c r="S3" s="16">
        <v>0</v>
      </c>
      <c r="T3" s="16">
        <v>0</v>
      </c>
      <c r="U3" s="16">
        <v>0</v>
      </c>
      <c r="V3" s="16">
        <v>675</v>
      </c>
      <c r="W3" s="16">
        <v>2014</v>
      </c>
      <c r="X3" s="16">
        <v>3457</v>
      </c>
      <c r="Y3" s="16">
        <v>3073</v>
      </c>
      <c r="Z3" s="16">
        <v>2</v>
      </c>
      <c r="AA3" s="16">
        <v>0</v>
      </c>
      <c r="AB3" s="16">
        <v>0</v>
      </c>
      <c r="AC3" s="16">
        <v>0</v>
      </c>
      <c r="AD3" s="16">
        <v>0</v>
      </c>
    </row>
    <row r="4" spans="1:30" s="26" customFormat="1" x14ac:dyDescent="0.25">
      <c r="A4" s="34" t="s">
        <v>169</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row>
    <row r="5" spans="1:30"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row>
    <row r="6" spans="1:30" s="26" customFormat="1" x14ac:dyDescent="0.25">
      <c r="A6" s="34" t="s">
        <v>3</v>
      </c>
      <c r="B6" s="16">
        <v>0</v>
      </c>
      <c r="C6" s="16">
        <v>120</v>
      </c>
      <c r="D6" s="16">
        <v>2739</v>
      </c>
      <c r="E6" s="16">
        <v>278</v>
      </c>
      <c r="F6" s="16">
        <v>99</v>
      </c>
      <c r="G6" s="16">
        <v>0</v>
      </c>
      <c r="H6" s="16">
        <v>0</v>
      </c>
      <c r="I6" s="16">
        <v>60</v>
      </c>
      <c r="J6" s="16">
        <v>0</v>
      </c>
      <c r="K6" s="16">
        <v>1334</v>
      </c>
      <c r="L6" s="16">
        <v>4017</v>
      </c>
      <c r="M6" s="16">
        <v>4186</v>
      </c>
      <c r="N6" s="16">
        <v>260</v>
      </c>
      <c r="O6" s="16">
        <v>16185</v>
      </c>
      <c r="P6" s="16">
        <v>559</v>
      </c>
      <c r="Q6" s="16">
        <v>142464</v>
      </c>
      <c r="R6" s="16">
        <v>174921</v>
      </c>
      <c r="S6" s="16">
        <v>875989</v>
      </c>
      <c r="T6" s="16">
        <v>1323148</v>
      </c>
      <c r="U6" s="16">
        <v>59550</v>
      </c>
      <c r="V6" s="16">
        <v>515</v>
      </c>
      <c r="W6" s="16">
        <v>1706</v>
      </c>
      <c r="X6" s="16">
        <v>11</v>
      </c>
      <c r="Y6" s="16">
        <v>0</v>
      </c>
      <c r="Z6" s="16">
        <v>0</v>
      </c>
      <c r="AA6" s="16">
        <v>0</v>
      </c>
      <c r="AB6" s="16">
        <v>0</v>
      </c>
      <c r="AC6" s="16">
        <v>0</v>
      </c>
      <c r="AD6" s="16">
        <v>0</v>
      </c>
    </row>
    <row r="7" spans="1:30" s="26" customFormat="1" x14ac:dyDescent="0.25">
      <c r="A7" s="34" t="s">
        <v>6</v>
      </c>
      <c r="B7" s="16">
        <v>29</v>
      </c>
      <c r="C7" s="16">
        <v>41</v>
      </c>
      <c r="D7" s="16">
        <v>335</v>
      </c>
      <c r="E7" s="16">
        <v>107</v>
      </c>
      <c r="F7" s="16">
        <v>10</v>
      </c>
      <c r="G7" s="16">
        <v>50</v>
      </c>
      <c r="H7" s="16">
        <v>0</v>
      </c>
      <c r="I7" s="16">
        <v>14</v>
      </c>
      <c r="J7" s="16">
        <v>43107</v>
      </c>
      <c r="K7" s="16">
        <v>4359</v>
      </c>
      <c r="L7" s="16">
        <v>0</v>
      </c>
      <c r="M7" s="16">
        <v>322</v>
      </c>
      <c r="N7" s="16">
        <v>0</v>
      </c>
      <c r="O7" s="16">
        <v>0</v>
      </c>
      <c r="P7" s="16">
        <v>0</v>
      </c>
      <c r="Q7" s="16">
        <v>0</v>
      </c>
      <c r="R7" s="16">
        <v>0</v>
      </c>
      <c r="S7" s="16">
        <v>90000</v>
      </c>
      <c r="T7" s="16">
        <v>220000</v>
      </c>
      <c r="U7" s="16">
        <v>0</v>
      </c>
      <c r="V7" s="16">
        <v>0</v>
      </c>
      <c r="W7" s="16">
        <v>0</v>
      </c>
      <c r="X7" s="16">
        <v>0</v>
      </c>
      <c r="Y7" s="16">
        <v>0</v>
      </c>
      <c r="Z7" s="16">
        <v>0</v>
      </c>
      <c r="AA7" s="16">
        <v>597</v>
      </c>
      <c r="AB7" s="16">
        <v>460</v>
      </c>
      <c r="AC7" s="16">
        <v>606</v>
      </c>
      <c r="AD7" s="16">
        <v>591</v>
      </c>
    </row>
    <row r="8" spans="1:30" s="26" customFormat="1" x14ac:dyDescent="0.25">
      <c r="A8" s="34" t="s">
        <v>4</v>
      </c>
      <c r="B8" s="16">
        <v>800</v>
      </c>
      <c r="C8" s="16">
        <v>0</v>
      </c>
      <c r="D8" s="16">
        <v>33246</v>
      </c>
      <c r="E8" s="16">
        <v>5456</v>
      </c>
      <c r="F8" s="16">
        <v>3240</v>
      </c>
      <c r="G8" s="16">
        <v>380</v>
      </c>
      <c r="H8" s="16">
        <f>2086*112</f>
        <v>233632</v>
      </c>
      <c r="I8" s="16">
        <v>1939</v>
      </c>
      <c r="J8" s="16">
        <v>1140779</v>
      </c>
      <c r="K8" s="16">
        <v>4637</v>
      </c>
      <c r="L8" s="16">
        <v>128</v>
      </c>
      <c r="M8" s="16">
        <v>0</v>
      </c>
      <c r="N8" s="16">
        <v>224</v>
      </c>
      <c r="O8" s="16">
        <v>0</v>
      </c>
      <c r="P8" s="16">
        <v>0</v>
      </c>
      <c r="Q8" s="16">
        <v>947434</v>
      </c>
      <c r="R8" s="16">
        <v>161265</v>
      </c>
      <c r="S8" s="16">
        <v>684320</v>
      </c>
      <c r="T8" s="16">
        <v>551889</v>
      </c>
      <c r="U8" s="16">
        <v>33010</v>
      </c>
      <c r="V8" s="16">
        <v>130</v>
      </c>
      <c r="W8" s="16">
        <v>477</v>
      </c>
      <c r="X8" s="16">
        <v>1147</v>
      </c>
      <c r="Y8" s="16">
        <v>695</v>
      </c>
      <c r="Z8" s="16">
        <v>151</v>
      </c>
      <c r="AA8" s="16">
        <v>8</v>
      </c>
      <c r="AB8" s="16">
        <v>0</v>
      </c>
      <c r="AC8" s="16">
        <v>0</v>
      </c>
      <c r="AD8" s="16">
        <v>0</v>
      </c>
    </row>
    <row r="9" spans="1:30" s="26" customFormat="1" x14ac:dyDescent="0.25">
      <c r="A9" s="34" t="s">
        <v>5</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row>
    <row r="10" spans="1:30" s="26" customFormat="1" x14ac:dyDescent="0.25">
      <c r="A10" s="35" t="s">
        <v>7</v>
      </c>
      <c r="B10" s="19">
        <f t="shared" ref="B10:AD10" si="0">SUM(B2:B9)</f>
        <v>32091</v>
      </c>
      <c r="C10" s="19">
        <f t="shared" si="0"/>
        <v>4509</v>
      </c>
      <c r="D10" s="19">
        <f t="shared" si="0"/>
        <v>43321</v>
      </c>
      <c r="E10" s="19">
        <f t="shared" si="0"/>
        <v>5841</v>
      </c>
      <c r="F10" s="19">
        <f t="shared" si="0"/>
        <v>3885</v>
      </c>
      <c r="G10" s="19">
        <f t="shared" si="0"/>
        <v>430</v>
      </c>
      <c r="H10" s="19">
        <f t="shared" si="0"/>
        <v>233632</v>
      </c>
      <c r="I10" s="19">
        <f t="shared" si="0"/>
        <v>2883</v>
      </c>
      <c r="J10" s="19">
        <f t="shared" si="0"/>
        <v>1195286</v>
      </c>
      <c r="K10" s="19">
        <f t="shared" si="0"/>
        <v>10535</v>
      </c>
      <c r="L10" s="19">
        <f t="shared" si="0"/>
        <v>4603</v>
      </c>
      <c r="M10" s="19">
        <f t="shared" si="0"/>
        <v>4538</v>
      </c>
      <c r="N10" s="19">
        <f t="shared" si="0"/>
        <v>3492</v>
      </c>
      <c r="O10" s="19">
        <f t="shared" si="0"/>
        <v>25060</v>
      </c>
      <c r="P10" s="19">
        <f t="shared" si="0"/>
        <v>687</v>
      </c>
      <c r="Q10" s="19">
        <f t="shared" si="0"/>
        <v>1096198</v>
      </c>
      <c r="R10" s="19">
        <f t="shared" si="0"/>
        <v>336502</v>
      </c>
      <c r="S10" s="19">
        <f t="shared" si="0"/>
        <v>1671309</v>
      </c>
      <c r="T10" s="19">
        <f t="shared" si="0"/>
        <v>2233611</v>
      </c>
      <c r="U10" s="19">
        <f t="shared" si="0"/>
        <v>200274</v>
      </c>
      <c r="V10" s="19">
        <f t="shared" si="0"/>
        <v>2222</v>
      </c>
      <c r="W10" s="19">
        <f t="shared" si="0"/>
        <v>5530</v>
      </c>
      <c r="X10" s="19">
        <f t="shared" si="0"/>
        <v>8159</v>
      </c>
      <c r="Y10" s="19">
        <f t="shared" si="0"/>
        <v>9670</v>
      </c>
      <c r="Z10" s="19">
        <f t="shared" si="0"/>
        <v>9718</v>
      </c>
      <c r="AA10" s="19">
        <f t="shared" si="0"/>
        <v>616</v>
      </c>
      <c r="AB10" s="19">
        <f t="shared" si="0"/>
        <v>474</v>
      </c>
      <c r="AC10" s="19">
        <f t="shared" si="0"/>
        <v>606</v>
      </c>
      <c r="AD10" s="19">
        <f t="shared" si="0"/>
        <v>591</v>
      </c>
    </row>
    <row r="11" spans="1:30" s="26" customFormat="1" x14ac:dyDescent="0.25">
      <c r="A11" s="34" t="s">
        <v>8</v>
      </c>
      <c r="B11" s="16">
        <v>5179</v>
      </c>
      <c r="C11" s="16">
        <v>445</v>
      </c>
      <c r="D11" s="16">
        <v>384</v>
      </c>
      <c r="E11" s="16">
        <v>0</v>
      </c>
      <c r="F11" s="16">
        <v>69</v>
      </c>
      <c r="G11" s="16">
        <v>0</v>
      </c>
      <c r="H11" s="16">
        <v>0</v>
      </c>
      <c r="I11" s="16">
        <v>150</v>
      </c>
      <c r="J11" s="16">
        <v>10231</v>
      </c>
      <c r="K11" s="16">
        <v>553</v>
      </c>
      <c r="L11" s="16">
        <v>4</v>
      </c>
      <c r="M11" s="16">
        <v>0</v>
      </c>
      <c r="N11" s="16">
        <v>0</v>
      </c>
      <c r="O11" s="16">
        <v>46229</v>
      </c>
      <c r="P11" s="16">
        <v>26</v>
      </c>
      <c r="Q11" s="16">
        <v>16313</v>
      </c>
      <c r="R11" s="16">
        <v>0</v>
      </c>
      <c r="S11" s="16">
        <v>0</v>
      </c>
      <c r="T11" s="16">
        <v>103444</v>
      </c>
      <c r="U11" s="16">
        <v>65803</v>
      </c>
      <c r="V11" s="16">
        <v>920</v>
      </c>
      <c r="W11" s="16">
        <v>829</v>
      </c>
      <c r="X11" s="16">
        <v>727</v>
      </c>
      <c r="Y11" s="16">
        <v>962</v>
      </c>
      <c r="Z11" s="16">
        <v>899</v>
      </c>
      <c r="AA11" s="16">
        <v>4</v>
      </c>
      <c r="AB11" s="16">
        <v>12</v>
      </c>
      <c r="AC11" s="16">
        <v>12</v>
      </c>
      <c r="AD11" s="16">
        <v>0</v>
      </c>
    </row>
    <row r="12" spans="1:30" s="26" customFormat="1" x14ac:dyDescent="0.25">
      <c r="A12" s="34" t="s">
        <v>9</v>
      </c>
      <c r="B12" s="16">
        <v>0</v>
      </c>
      <c r="C12" s="16">
        <v>0</v>
      </c>
      <c r="D12" s="16">
        <v>0</v>
      </c>
      <c r="E12" s="16">
        <v>0</v>
      </c>
      <c r="F12" s="16">
        <v>0</v>
      </c>
      <c r="G12" s="16">
        <v>0</v>
      </c>
      <c r="H12" s="16">
        <v>0</v>
      </c>
      <c r="I12" s="16">
        <v>0</v>
      </c>
      <c r="J12" s="16">
        <v>0</v>
      </c>
      <c r="K12" s="16">
        <v>0</v>
      </c>
      <c r="L12" s="16">
        <v>1</v>
      </c>
      <c r="M12" s="16">
        <v>60</v>
      </c>
      <c r="N12" s="16">
        <v>0</v>
      </c>
      <c r="O12" s="16">
        <v>0</v>
      </c>
      <c r="P12" s="16">
        <v>0</v>
      </c>
      <c r="Q12" s="16">
        <v>0</v>
      </c>
      <c r="R12" s="16">
        <v>0</v>
      </c>
      <c r="S12" s="16">
        <v>0</v>
      </c>
      <c r="T12" s="16">
        <v>0</v>
      </c>
      <c r="U12" s="16">
        <v>0</v>
      </c>
      <c r="V12" s="16">
        <v>37</v>
      </c>
      <c r="W12" s="16">
        <v>33</v>
      </c>
      <c r="X12" s="16">
        <v>48</v>
      </c>
      <c r="Y12" s="16">
        <v>6</v>
      </c>
      <c r="Z12" s="16">
        <v>6</v>
      </c>
      <c r="AA12" s="16">
        <v>0</v>
      </c>
      <c r="AB12" s="16">
        <v>0</v>
      </c>
      <c r="AC12" s="16">
        <v>0</v>
      </c>
      <c r="AD12" s="16">
        <v>0</v>
      </c>
    </row>
    <row r="13" spans="1:30"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row>
    <row r="14" spans="1:30" s="26" customFormat="1" x14ac:dyDescent="0.25">
      <c r="A14" s="34" t="s">
        <v>10</v>
      </c>
      <c r="B14" s="16">
        <v>0</v>
      </c>
      <c r="C14" s="16">
        <v>0</v>
      </c>
      <c r="D14" s="16">
        <v>616</v>
      </c>
      <c r="E14" s="16">
        <v>0</v>
      </c>
      <c r="F14" s="16">
        <v>128</v>
      </c>
      <c r="G14" s="16">
        <v>0</v>
      </c>
      <c r="H14" s="16">
        <f>503*112</f>
        <v>56336</v>
      </c>
      <c r="I14" s="16">
        <v>0</v>
      </c>
      <c r="J14" s="16">
        <v>0</v>
      </c>
      <c r="K14" s="16">
        <v>0</v>
      </c>
      <c r="L14" s="16">
        <v>1038</v>
      </c>
      <c r="M14" s="16">
        <v>1089</v>
      </c>
      <c r="N14" s="16">
        <v>14</v>
      </c>
      <c r="O14" s="16">
        <v>1962</v>
      </c>
      <c r="P14" s="16">
        <v>198</v>
      </c>
      <c r="Q14" s="16">
        <v>91955</v>
      </c>
      <c r="R14" s="16">
        <v>121087</v>
      </c>
      <c r="S14" s="16">
        <v>400700</v>
      </c>
      <c r="T14" s="16">
        <v>2612033</v>
      </c>
      <c r="U14" s="16">
        <v>638</v>
      </c>
      <c r="V14" s="16">
        <v>208</v>
      </c>
      <c r="W14" s="16">
        <v>692</v>
      </c>
      <c r="X14" s="16">
        <v>75</v>
      </c>
      <c r="Y14" s="16">
        <v>92</v>
      </c>
      <c r="Z14" s="16">
        <v>88</v>
      </c>
      <c r="AA14" s="16">
        <v>15</v>
      </c>
      <c r="AB14" s="16">
        <v>0</v>
      </c>
      <c r="AC14" s="16">
        <v>0</v>
      </c>
      <c r="AD14" s="16">
        <v>0</v>
      </c>
    </row>
    <row r="15" spans="1:30" s="26" customFormat="1" x14ac:dyDescent="0.25">
      <c r="A15" s="34" t="s">
        <v>13</v>
      </c>
      <c r="B15" s="16">
        <v>0</v>
      </c>
      <c r="C15" s="16">
        <v>126</v>
      </c>
      <c r="D15" s="16">
        <v>0</v>
      </c>
      <c r="E15" s="16">
        <v>0</v>
      </c>
      <c r="F15" s="16">
        <v>0</v>
      </c>
      <c r="G15" s="16">
        <v>0</v>
      </c>
      <c r="H15" s="16">
        <v>0</v>
      </c>
      <c r="I15" s="16">
        <v>0</v>
      </c>
      <c r="J15" s="16">
        <v>0</v>
      </c>
      <c r="K15" s="16">
        <v>50</v>
      </c>
      <c r="L15" s="16">
        <v>0</v>
      </c>
      <c r="M15" s="16">
        <v>0</v>
      </c>
      <c r="N15" s="16">
        <v>0</v>
      </c>
      <c r="O15" s="16">
        <v>0</v>
      </c>
      <c r="P15" s="16">
        <v>0</v>
      </c>
      <c r="Q15" s="16">
        <v>375</v>
      </c>
      <c r="R15" s="16">
        <v>0</v>
      </c>
      <c r="S15" s="16">
        <v>0</v>
      </c>
      <c r="T15" s="16">
        <v>0</v>
      </c>
      <c r="U15" s="16">
        <v>0</v>
      </c>
      <c r="V15" s="16">
        <v>0</v>
      </c>
      <c r="W15" s="16">
        <v>0</v>
      </c>
      <c r="X15" s="16">
        <v>0</v>
      </c>
      <c r="Y15" s="16">
        <v>0</v>
      </c>
      <c r="Z15" s="16">
        <v>0</v>
      </c>
      <c r="AA15" s="16">
        <v>446</v>
      </c>
      <c r="AB15" s="16">
        <v>12</v>
      </c>
      <c r="AC15" s="16">
        <v>0</v>
      </c>
      <c r="AD15" s="16">
        <v>0</v>
      </c>
    </row>
    <row r="16" spans="1:30" s="26" customFormat="1" x14ac:dyDescent="0.25">
      <c r="A16" s="34" t="s">
        <v>11</v>
      </c>
      <c r="B16" s="16">
        <v>374</v>
      </c>
      <c r="C16" s="16">
        <v>118</v>
      </c>
      <c r="D16" s="16">
        <v>5033</v>
      </c>
      <c r="E16" s="16">
        <v>2091</v>
      </c>
      <c r="F16" s="16">
        <v>1045</v>
      </c>
      <c r="G16" s="16">
        <v>0</v>
      </c>
      <c r="H16" s="16">
        <f>22*112</f>
        <v>2464</v>
      </c>
      <c r="I16" s="16">
        <v>255</v>
      </c>
      <c r="J16" s="16">
        <v>2917</v>
      </c>
      <c r="K16" s="16">
        <v>2278</v>
      </c>
      <c r="L16" s="16">
        <v>0</v>
      </c>
      <c r="M16" s="16">
        <v>0</v>
      </c>
      <c r="N16" s="16">
        <v>0</v>
      </c>
      <c r="O16" s="16">
        <v>0</v>
      </c>
      <c r="P16" s="16">
        <v>0</v>
      </c>
      <c r="Q16" s="16">
        <v>1173710</v>
      </c>
      <c r="R16" s="16">
        <v>475718</v>
      </c>
      <c r="S16" s="16">
        <v>672775</v>
      </c>
      <c r="T16" s="16">
        <v>0</v>
      </c>
      <c r="U16" s="16">
        <v>0</v>
      </c>
      <c r="V16" s="16">
        <v>11</v>
      </c>
      <c r="W16" s="16">
        <v>120</v>
      </c>
      <c r="X16" s="16">
        <v>139</v>
      </c>
      <c r="Y16" s="16">
        <v>98</v>
      </c>
      <c r="Z16" s="16">
        <v>131</v>
      </c>
      <c r="AA16" s="16">
        <v>242</v>
      </c>
      <c r="AB16" s="16">
        <v>110</v>
      </c>
      <c r="AC16" s="16">
        <v>0</v>
      </c>
      <c r="AD16" s="16">
        <v>0</v>
      </c>
    </row>
    <row r="17" spans="1:30" s="26" customFormat="1" x14ac:dyDescent="0.25">
      <c r="A17" s="34" t="s">
        <v>12</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s="26" customFormat="1" x14ac:dyDescent="0.25">
      <c r="A18" s="35" t="s">
        <v>14</v>
      </c>
      <c r="B18" s="19">
        <f t="shared" ref="B18:AD18" si="1">SUM(B11:B17)</f>
        <v>5553</v>
      </c>
      <c r="C18" s="19">
        <f t="shared" si="1"/>
        <v>689</v>
      </c>
      <c r="D18" s="19">
        <f t="shared" si="1"/>
        <v>6033</v>
      </c>
      <c r="E18" s="19">
        <f t="shared" si="1"/>
        <v>2091</v>
      </c>
      <c r="F18" s="19">
        <f t="shared" si="1"/>
        <v>1242</v>
      </c>
      <c r="G18" s="19">
        <f t="shared" si="1"/>
        <v>0</v>
      </c>
      <c r="H18" s="19">
        <f t="shared" si="1"/>
        <v>58800</v>
      </c>
      <c r="I18" s="19">
        <f t="shared" si="1"/>
        <v>405</v>
      </c>
      <c r="J18" s="19">
        <f t="shared" si="1"/>
        <v>13148</v>
      </c>
      <c r="K18" s="19">
        <f t="shared" si="1"/>
        <v>2881</v>
      </c>
      <c r="L18" s="19">
        <f t="shared" si="1"/>
        <v>1043</v>
      </c>
      <c r="M18" s="19">
        <f t="shared" si="1"/>
        <v>1149</v>
      </c>
      <c r="N18" s="19">
        <f t="shared" si="1"/>
        <v>14</v>
      </c>
      <c r="O18" s="19">
        <f t="shared" si="1"/>
        <v>48191</v>
      </c>
      <c r="P18" s="19">
        <f t="shared" si="1"/>
        <v>224</v>
      </c>
      <c r="Q18" s="19">
        <f t="shared" si="1"/>
        <v>1282353</v>
      </c>
      <c r="R18" s="19">
        <f t="shared" si="1"/>
        <v>596805</v>
      </c>
      <c r="S18" s="19">
        <f t="shared" si="1"/>
        <v>1073475</v>
      </c>
      <c r="T18" s="19">
        <f t="shared" si="1"/>
        <v>2715477</v>
      </c>
      <c r="U18" s="19">
        <f t="shared" si="1"/>
        <v>66441</v>
      </c>
      <c r="V18" s="19">
        <f t="shared" si="1"/>
        <v>1176</v>
      </c>
      <c r="W18" s="19">
        <f t="shared" si="1"/>
        <v>1674</v>
      </c>
      <c r="X18" s="19">
        <f t="shared" si="1"/>
        <v>989</v>
      </c>
      <c r="Y18" s="19">
        <f t="shared" si="1"/>
        <v>1158</v>
      </c>
      <c r="Z18" s="19">
        <f t="shared" si="1"/>
        <v>1124</v>
      </c>
      <c r="AA18" s="19">
        <f t="shared" si="1"/>
        <v>707</v>
      </c>
      <c r="AB18" s="19">
        <f t="shared" si="1"/>
        <v>134</v>
      </c>
      <c r="AC18" s="19">
        <f t="shared" si="1"/>
        <v>12</v>
      </c>
      <c r="AD18" s="19">
        <f t="shared" si="1"/>
        <v>0</v>
      </c>
    </row>
    <row r="19" spans="1:30" s="26" customFormat="1" x14ac:dyDescent="0.25">
      <c r="A19" s="35" t="s">
        <v>15</v>
      </c>
      <c r="B19" s="19">
        <f t="shared" ref="B19:AD19" si="2">SUM(B10,B18)</f>
        <v>37644</v>
      </c>
      <c r="C19" s="19">
        <f t="shared" si="2"/>
        <v>5198</v>
      </c>
      <c r="D19" s="19">
        <f t="shared" si="2"/>
        <v>49354</v>
      </c>
      <c r="E19" s="19">
        <f t="shared" si="2"/>
        <v>7932</v>
      </c>
      <c r="F19" s="19">
        <f t="shared" si="2"/>
        <v>5127</v>
      </c>
      <c r="G19" s="19">
        <f t="shared" si="2"/>
        <v>430</v>
      </c>
      <c r="H19" s="19">
        <f t="shared" si="2"/>
        <v>292432</v>
      </c>
      <c r="I19" s="19">
        <f t="shared" si="2"/>
        <v>3288</v>
      </c>
      <c r="J19" s="19">
        <f t="shared" si="2"/>
        <v>1208434</v>
      </c>
      <c r="K19" s="19">
        <f t="shared" si="2"/>
        <v>13416</v>
      </c>
      <c r="L19" s="19">
        <f t="shared" si="2"/>
        <v>5646</v>
      </c>
      <c r="M19" s="19">
        <f t="shared" si="2"/>
        <v>5687</v>
      </c>
      <c r="N19" s="19">
        <f t="shared" si="2"/>
        <v>3506</v>
      </c>
      <c r="O19" s="19">
        <f t="shared" si="2"/>
        <v>73251</v>
      </c>
      <c r="P19" s="19">
        <f t="shared" si="2"/>
        <v>911</v>
      </c>
      <c r="Q19" s="19">
        <f t="shared" si="2"/>
        <v>2378551</v>
      </c>
      <c r="R19" s="19">
        <f t="shared" si="2"/>
        <v>933307</v>
      </c>
      <c r="S19" s="19">
        <f t="shared" si="2"/>
        <v>2744784</v>
      </c>
      <c r="T19" s="19">
        <f t="shared" si="2"/>
        <v>4949088</v>
      </c>
      <c r="U19" s="19">
        <f t="shared" si="2"/>
        <v>266715</v>
      </c>
      <c r="V19" s="19">
        <f t="shared" si="2"/>
        <v>3398</v>
      </c>
      <c r="W19" s="19">
        <f t="shared" si="2"/>
        <v>7204</v>
      </c>
      <c r="X19" s="19">
        <f t="shared" si="2"/>
        <v>9148</v>
      </c>
      <c r="Y19" s="19">
        <f t="shared" si="2"/>
        <v>10828</v>
      </c>
      <c r="Z19" s="19">
        <f t="shared" si="2"/>
        <v>10842</v>
      </c>
      <c r="AA19" s="19">
        <f t="shared" si="2"/>
        <v>1323</v>
      </c>
      <c r="AB19" s="19">
        <f t="shared" si="2"/>
        <v>608</v>
      </c>
      <c r="AC19" s="19">
        <f t="shared" si="2"/>
        <v>618</v>
      </c>
      <c r="AD19" s="19">
        <f t="shared" si="2"/>
        <v>591</v>
      </c>
    </row>
    <row r="20" spans="1:30" x14ac:dyDescent="0.25">
      <c r="H20" s="44"/>
      <c r="R20" s="5"/>
      <c r="V20" s="5"/>
      <c r="W20" s="5"/>
    </row>
    <row r="21" spans="1:30" x14ac:dyDescent="0.25">
      <c r="B21" s="44"/>
      <c r="C21" s="44"/>
      <c r="D21" s="44"/>
      <c r="E21" s="44"/>
      <c r="F21" s="44"/>
      <c r="G21" s="44"/>
      <c r="H21" s="44"/>
      <c r="I21" s="44"/>
      <c r="J21" s="44"/>
      <c r="K21" s="44"/>
      <c r="L21" s="44"/>
      <c r="M21" s="44"/>
      <c r="N21" s="44"/>
      <c r="O21" s="44"/>
      <c r="P21" s="44"/>
      <c r="Q21" s="44"/>
      <c r="R21" s="44"/>
      <c r="S21" s="44"/>
      <c r="T21" s="44"/>
      <c r="U21" s="44"/>
      <c r="V21" s="44"/>
      <c r="W21" s="44"/>
      <c r="AA21" s="44"/>
      <c r="AB21" s="44"/>
      <c r="AC21" s="44"/>
      <c r="AD21" s="44"/>
    </row>
    <row r="22" spans="1:30" x14ac:dyDescent="0.25">
      <c r="B22" s="44"/>
      <c r="C22" s="44"/>
      <c r="D22" s="44"/>
      <c r="E22" s="44"/>
      <c r="F22" s="44"/>
      <c r="G22" s="44"/>
      <c r="H22" s="44"/>
      <c r="I22" s="44"/>
      <c r="J22" s="44"/>
      <c r="K22" s="44"/>
      <c r="L22" s="44"/>
      <c r="M22" s="44"/>
      <c r="N22" s="44"/>
      <c r="O22" s="44"/>
      <c r="P22" s="44"/>
      <c r="Q22" s="44"/>
      <c r="R22" s="44"/>
      <c r="S22" s="44"/>
      <c r="T22" s="44"/>
      <c r="U22" s="44"/>
      <c r="V22" s="44"/>
      <c r="W22" s="44"/>
      <c r="AA22" s="44"/>
      <c r="AB22" s="44"/>
      <c r="AC22" s="44"/>
      <c r="AD22" s="44"/>
    </row>
    <row r="23" spans="1:30" x14ac:dyDescent="0.25">
      <c r="B23" s="44"/>
      <c r="C23" s="44"/>
      <c r="D23" s="44"/>
      <c r="E23" s="44"/>
      <c r="F23" s="44"/>
      <c r="G23" s="44"/>
      <c r="H23" s="44"/>
      <c r="I23" s="44"/>
      <c r="J23" s="44"/>
      <c r="K23" s="44"/>
      <c r="L23" s="44"/>
      <c r="M23" s="44"/>
      <c r="N23" s="44"/>
      <c r="O23" s="44"/>
      <c r="P23" s="44"/>
      <c r="Q23" s="44"/>
      <c r="R23" s="44"/>
      <c r="S23" s="44"/>
      <c r="T23" s="44"/>
      <c r="U23" s="44"/>
      <c r="V23" s="44"/>
      <c r="W23" s="44"/>
      <c r="AA23" s="44"/>
      <c r="AB23" s="44"/>
      <c r="AC23" s="44"/>
      <c r="AD23" s="44"/>
    </row>
    <row r="24" spans="1:30" x14ac:dyDescent="0.25">
      <c r="B24" s="44"/>
      <c r="C24" s="44"/>
      <c r="D24" s="44"/>
      <c r="E24" s="44"/>
      <c r="F24" s="44"/>
      <c r="G24" s="44"/>
      <c r="H24" s="44"/>
      <c r="I24" s="44"/>
      <c r="J24" s="44"/>
      <c r="K24" s="44"/>
      <c r="L24" s="44"/>
      <c r="M24" s="44"/>
      <c r="N24" s="44"/>
      <c r="O24" s="44"/>
      <c r="P24" s="44"/>
      <c r="Q24" s="44"/>
      <c r="R24" s="44"/>
      <c r="S24" s="44"/>
      <c r="T24" s="44"/>
      <c r="U24" s="44"/>
      <c r="V24" s="44"/>
      <c r="W24" s="44"/>
      <c r="AA24" s="44"/>
      <c r="AB24" s="44"/>
      <c r="AC24" s="44"/>
      <c r="AD24" s="44"/>
    </row>
    <row r="25" spans="1:30" x14ac:dyDescent="0.25">
      <c r="B25" s="44"/>
      <c r="C25" s="44"/>
      <c r="D25" s="44"/>
      <c r="E25" s="44"/>
      <c r="F25" s="44"/>
      <c r="G25" s="44"/>
      <c r="H25" s="44"/>
      <c r="I25" s="44"/>
      <c r="J25" s="44"/>
      <c r="K25" s="44"/>
      <c r="L25" s="44"/>
      <c r="M25" s="44"/>
      <c r="N25" s="44"/>
      <c r="O25" s="44"/>
      <c r="P25" s="44"/>
      <c r="Q25" s="44"/>
      <c r="R25" s="44"/>
      <c r="S25" s="44"/>
      <c r="T25" s="44"/>
      <c r="U25" s="44"/>
      <c r="V25" s="44"/>
      <c r="W25" s="44"/>
      <c r="AA25" s="44"/>
      <c r="AB25" s="44"/>
      <c r="AC25" s="44"/>
      <c r="AD25" s="44"/>
    </row>
  </sheetData>
  <sheetProtection formatCells="0" formatColumns="0" formatRows="0" insertColumns="0" insertRows="0" sort="0" autoFilter="0" pivotTables="0"/>
  <dataValidations count="1">
    <dataValidation type="list" errorStyle="information" allowBlank="1" showInputMessage="1" showErrorMessage="1" sqref="B1:AD1" xr:uid="{32A2EBF5-30B5-44E1-AA41-C2E31E91C76E}">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A7FB850-B481-47D4-9705-B4404732A04D}">
          <x14:formula1>
            <xm:f>'Term List'!$A2:$A242</xm:f>
          </x14:formula1>
          <xm:sqref>AE1:XFD1</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B3E33-E283-4403-90A5-233EDA4E6AD6}">
  <dimension ref="A1:Z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7.85546875" style="5" customWidth="1"/>
    <col min="9" max="9" width="17.140625" style="5" customWidth="1"/>
    <col min="10" max="10" width="15" style="5" customWidth="1"/>
    <col min="11" max="12" width="14.42578125" style="5" customWidth="1"/>
    <col min="13" max="13" width="20.7109375" style="5" customWidth="1"/>
    <col min="14" max="14" width="18.5703125" style="5" customWidth="1"/>
    <col min="15" max="15" width="23.7109375" style="5" customWidth="1"/>
    <col min="16" max="16" width="24.42578125" style="5" customWidth="1"/>
    <col min="17" max="17" width="15.7109375" style="5" customWidth="1"/>
    <col min="18" max="18" width="14.42578125" style="5" customWidth="1"/>
    <col min="19" max="19" width="16.85546875" style="5" customWidth="1"/>
    <col min="20" max="20" width="14.28515625" style="5" customWidth="1"/>
    <col min="21" max="21" width="23" style="3" customWidth="1"/>
    <col min="22" max="22" width="20.140625" style="3" customWidth="1"/>
    <col min="23" max="23" width="14.28515625" style="3" customWidth="1"/>
    <col min="24" max="24" width="26.85546875" style="3" customWidth="1"/>
    <col min="25" max="25" width="23" style="3" customWidth="1"/>
    <col min="26" max="26" width="18.5703125" style="3" customWidth="1"/>
    <col min="27" max="16384" width="9.140625" style="3"/>
  </cols>
  <sheetData>
    <row r="1" spans="1:26" s="14" customFormat="1" ht="30" x14ac:dyDescent="0.25">
      <c r="A1" s="36" t="s">
        <v>441</v>
      </c>
      <c r="B1" s="36" t="s">
        <v>155</v>
      </c>
      <c r="C1" s="36" t="s">
        <v>156</v>
      </c>
      <c r="D1" s="36" t="s">
        <v>154</v>
      </c>
      <c r="E1" s="36" t="s">
        <v>150</v>
      </c>
      <c r="F1" s="36" t="s">
        <v>148</v>
      </c>
      <c r="G1" s="36" t="s">
        <v>147</v>
      </c>
      <c r="H1" s="36" t="s">
        <v>139</v>
      </c>
      <c r="I1" s="36" t="s">
        <v>131</v>
      </c>
      <c r="J1" s="36" t="s">
        <v>130</v>
      </c>
      <c r="K1" s="36" t="s">
        <v>124</v>
      </c>
      <c r="L1" s="36" t="s">
        <v>145</v>
      </c>
      <c r="M1" s="36" t="s">
        <v>114</v>
      </c>
      <c r="N1" s="36" t="s">
        <v>116</v>
      </c>
      <c r="O1" s="36" t="s">
        <v>137</v>
      </c>
      <c r="P1" s="36" t="s">
        <v>157</v>
      </c>
      <c r="Q1" s="36" t="s">
        <v>127</v>
      </c>
      <c r="R1" s="36" t="s">
        <v>133</v>
      </c>
      <c r="S1" s="36" t="s">
        <v>74</v>
      </c>
      <c r="T1" s="36" t="s">
        <v>129</v>
      </c>
      <c r="U1" s="36" t="s">
        <v>141</v>
      </c>
      <c r="V1" s="36" t="s">
        <v>135</v>
      </c>
      <c r="W1" s="36" t="s">
        <v>128</v>
      </c>
      <c r="X1" s="36" t="s">
        <v>138</v>
      </c>
      <c r="Y1" s="36" t="s">
        <v>118</v>
      </c>
      <c r="Z1" s="36" t="s">
        <v>134</v>
      </c>
    </row>
    <row r="2" spans="1:26" s="26" customFormat="1" x14ac:dyDescent="0.25">
      <c r="A2" s="34" t="s">
        <v>0</v>
      </c>
      <c r="B2" s="16">
        <v>19714</v>
      </c>
      <c r="C2" s="17">
        <v>968</v>
      </c>
      <c r="D2" s="41">
        <v>883.5</v>
      </c>
      <c r="E2" s="17">
        <v>5505</v>
      </c>
      <c r="F2" s="17">
        <v>434</v>
      </c>
      <c r="G2" s="17">
        <v>71</v>
      </c>
      <c r="H2" s="17">
        <v>100</v>
      </c>
      <c r="I2" s="17">
        <v>142</v>
      </c>
      <c r="J2" s="17">
        <v>3</v>
      </c>
      <c r="K2" s="17">
        <v>9601120</v>
      </c>
      <c r="L2" s="17">
        <v>363162</v>
      </c>
      <c r="M2" s="17">
        <v>70</v>
      </c>
      <c r="N2" s="17">
        <v>1237</v>
      </c>
      <c r="O2" s="17">
        <v>4</v>
      </c>
      <c r="P2" s="17">
        <v>602</v>
      </c>
      <c r="Q2" s="17">
        <v>187</v>
      </c>
      <c r="R2" s="17">
        <v>2817</v>
      </c>
      <c r="S2" s="17">
        <v>2186</v>
      </c>
      <c r="T2" s="17">
        <v>442</v>
      </c>
      <c r="U2" s="17">
        <v>232</v>
      </c>
      <c r="V2" s="41">
        <v>129.5</v>
      </c>
      <c r="W2" s="17">
        <v>169</v>
      </c>
      <c r="X2" s="17">
        <v>1635</v>
      </c>
      <c r="Y2" s="17">
        <v>1654</v>
      </c>
      <c r="Z2" s="17">
        <v>7292</v>
      </c>
    </row>
    <row r="3" spans="1:26" s="26" customFormat="1" x14ac:dyDescent="0.25">
      <c r="A3" s="34" t="s">
        <v>1</v>
      </c>
      <c r="B3" s="16">
        <v>271</v>
      </c>
      <c r="C3" s="17">
        <v>270</v>
      </c>
      <c r="D3" s="17">
        <v>71</v>
      </c>
      <c r="E3" s="17">
        <v>269</v>
      </c>
      <c r="F3" s="17">
        <v>64</v>
      </c>
      <c r="G3" s="17">
        <v>1</v>
      </c>
      <c r="H3" s="17">
        <v>0</v>
      </c>
      <c r="I3" s="17">
        <v>0</v>
      </c>
      <c r="J3" s="17">
        <v>0</v>
      </c>
      <c r="K3" s="17">
        <v>440238</v>
      </c>
      <c r="L3" s="17">
        <v>132140</v>
      </c>
      <c r="M3" s="17">
        <v>4</v>
      </c>
      <c r="N3" s="17">
        <v>0</v>
      </c>
      <c r="O3" s="17">
        <v>0</v>
      </c>
      <c r="P3" s="17">
        <v>1</v>
      </c>
      <c r="Q3" s="17">
        <v>0</v>
      </c>
      <c r="R3" s="17">
        <v>0</v>
      </c>
      <c r="S3" s="17">
        <v>96</v>
      </c>
      <c r="T3" s="17">
        <v>0</v>
      </c>
      <c r="U3" s="17">
        <v>0</v>
      </c>
      <c r="V3" s="41">
        <v>0</v>
      </c>
      <c r="W3" s="17">
        <v>0</v>
      </c>
      <c r="X3" s="17">
        <v>0</v>
      </c>
      <c r="Y3" s="17">
        <v>0</v>
      </c>
      <c r="Z3" s="17">
        <v>0</v>
      </c>
    </row>
    <row r="4" spans="1:26" s="26" customFormat="1" x14ac:dyDescent="0.25">
      <c r="A4" s="34" t="s">
        <v>169</v>
      </c>
      <c r="B4" s="16"/>
      <c r="C4" s="17"/>
      <c r="D4" s="17"/>
      <c r="E4" s="17"/>
      <c r="F4" s="17"/>
      <c r="G4" s="17"/>
      <c r="H4" s="17"/>
      <c r="I4" s="17"/>
      <c r="J4" s="17"/>
      <c r="K4" s="17"/>
      <c r="L4" s="17"/>
      <c r="M4" s="17"/>
      <c r="N4" s="17"/>
      <c r="O4" s="17"/>
      <c r="P4" s="17"/>
      <c r="Q4" s="17"/>
      <c r="R4" s="17"/>
      <c r="S4" s="17"/>
      <c r="T4" s="17"/>
      <c r="U4" s="17"/>
      <c r="V4" s="41"/>
      <c r="W4" s="17"/>
      <c r="X4" s="17"/>
      <c r="Y4" s="17"/>
      <c r="Z4" s="17"/>
    </row>
    <row r="5" spans="1:26" s="26" customFormat="1" x14ac:dyDescent="0.25">
      <c r="A5" s="34" t="s">
        <v>2</v>
      </c>
      <c r="B5" s="16">
        <v>0</v>
      </c>
      <c r="C5" s="17">
        <v>0</v>
      </c>
      <c r="D5" s="17">
        <v>0</v>
      </c>
      <c r="E5" s="17">
        <v>554</v>
      </c>
      <c r="F5" s="17">
        <v>11</v>
      </c>
      <c r="G5" s="17">
        <v>0</v>
      </c>
      <c r="H5" s="17">
        <v>0</v>
      </c>
      <c r="I5" s="17">
        <v>0</v>
      </c>
      <c r="J5" s="17">
        <v>0</v>
      </c>
      <c r="K5" s="17">
        <v>0</v>
      </c>
      <c r="L5" s="17">
        <v>25363</v>
      </c>
      <c r="M5" s="17">
        <v>0</v>
      </c>
      <c r="N5" s="17">
        <v>0</v>
      </c>
      <c r="O5" s="17">
        <v>0</v>
      </c>
      <c r="P5" s="17">
        <v>0</v>
      </c>
      <c r="Q5" s="17">
        <v>0</v>
      </c>
      <c r="R5" s="17">
        <v>0</v>
      </c>
      <c r="S5" s="17">
        <v>115</v>
      </c>
      <c r="T5" s="41">
        <v>135.5</v>
      </c>
      <c r="U5" s="17">
        <v>0</v>
      </c>
      <c r="V5" s="41">
        <v>0</v>
      </c>
      <c r="W5" s="17">
        <v>0</v>
      </c>
      <c r="X5" s="17">
        <v>2</v>
      </c>
      <c r="Y5" s="17">
        <v>0</v>
      </c>
      <c r="Z5" s="17">
        <v>0</v>
      </c>
    </row>
    <row r="6" spans="1:26" s="26" customFormat="1" x14ac:dyDescent="0.25">
      <c r="A6" s="34" t="s">
        <v>3</v>
      </c>
      <c r="B6" s="16">
        <v>287</v>
      </c>
      <c r="C6" s="17">
        <v>136</v>
      </c>
      <c r="D6" s="41">
        <v>677.5</v>
      </c>
      <c r="E6" s="17">
        <v>1263</v>
      </c>
      <c r="F6" s="17">
        <v>56</v>
      </c>
      <c r="G6" s="17">
        <v>206</v>
      </c>
      <c r="H6" s="17">
        <v>6</v>
      </c>
      <c r="I6" s="17">
        <v>17</v>
      </c>
      <c r="J6" s="17">
        <v>1</v>
      </c>
      <c r="K6" s="17">
        <v>109849</v>
      </c>
      <c r="L6" s="17">
        <v>13159</v>
      </c>
      <c r="M6" s="17">
        <v>0</v>
      </c>
      <c r="N6" s="17">
        <v>5</v>
      </c>
      <c r="O6" s="17">
        <v>17</v>
      </c>
      <c r="P6" s="17">
        <v>16</v>
      </c>
      <c r="Q6" s="17">
        <v>14</v>
      </c>
      <c r="R6" s="17">
        <v>100</v>
      </c>
      <c r="S6" s="41">
        <v>0.5</v>
      </c>
      <c r="T6" s="17">
        <v>1</v>
      </c>
      <c r="U6" s="17">
        <v>0</v>
      </c>
      <c r="V6" s="41">
        <v>0</v>
      </c>
      <c r="W6" s="17">
        <v>0</v>
      </c>
      <c r="X6" s="17">
        <v>101</v>
      </c>
      <c r="Y6" s="17">
        <v>0</v>
      </c>
      <c r="Z6" s="17">
        <v>0</v>
      </c>
    </row>
    <row r="7" spans="1:26" s="26" customFormat="1" x14ac:dyDescent="0.25">
      <c r="A7" s="34" t="s">
        <v>4</v>
      </c>
      <c r="B7" s="16"/>
      <c r="C7" s="17"/>
      <c r="D7" s="17"/>
      <c r="E7" s="17"/>
      <c r="F7" s="17"/>
      <c r="G7" s="17"/>
      <c r="H7" s="17"/>
      <c r="I7" s="17"/>
      <c r="J7" s="17"/>
      <c r="K7" s="17"/>
      <c r="L7" s="17"/>
      <c r="M7" s="17"/>
      <c r="N7" s="17"/>
      <c r="O7" s="17"/>
      <c r="P7" s="17"/>
      <c r="Q7" s="17"/>
      <c r="R7" s="17"/>
      <c r="S7" s="17"/>
      <c r="T7" s="17"/>
      <c r="U7" s="17"/>
      <c r="V7" s="41"/>
      <c r="W7" s="17"/>
      <c r="X7" s="17"/>
      <c r="Y7" s="17"/>
      <c r="Z7" s="17"/>
    </row>
    <row r="8" spans="1:26" s="26" customFormat="1" x14ac:dyDescent="0.25">
      <c r="A8" s="34" t="s">
        <v>5</v>
      </c>
      <c r="B8" s="16"/>
      <c r="C8" s="17"/>
      <c r="D8" s="17"/>
      <c r="E8" s="17"/>
      <c r="F8" s="17"/>
      <c r="G8" s="17"/>
      <c r="H8" s="17"/>
      <c r="I8" s="17"/>
      <c r="J8" s="17"/>
      <c r="K8" s="17"/>
      <c r="L8" s="17"/>
      <c r="M8" s="17"/>
      <c r="N8" s="17"/>
      <c r="O8" s="17"/>
      <c r="P8" s="17"/>
      <c r="Q8" s="17"/>
      <c r="R8" s="17"/>
      <c r="S8" s="17"/>
      <c r="T8" s="17"/>
      <c r="U8" s="17"/>
      <c r="V8" s="41"/>
      <c r="W8" s="17"/>
      <c r="X8" s="17"/>
      <c r="Y8" s="17"/>
      <c r="Z8" s="17"/>
    </row>
    <row r="9" spans="1:26" s="26" customFormat="1" x14ac:dyDescent="0.25">
      <c r="A9" s="34" t="s">
        <v>6</v>
      </c>
      <c r="B9" s="16">
        <v>0</v>
      </c>
      <c r="C9" s="17">
        <v>0</v>
      </c>
      <c r="D9" s="17">
        <v>4</v>
      </c>
      <c r="E9" s="17">
        <v>102</v>
      </c>
      <c r="F9" s="17">
        <v>17</v>
      </c>
      <c r="G9" s="17">
        <v>327</v>
      </c>
      <c r="H9" s="17">
        <v>0</v>
      </c>
      <c r="I9" s="17">
        <v>0</v>
      </c>
      <c r="J9" s="17">
        <v>0</v>
      </c>
      <c r="K9" s="17">
        <v>150993</v>
      </c>
      <c r="L9" s="17">
        <v>344847</v>
      </c>
      <c r="M9" s="17">
        <v>32</v>
      </c>
      <c r="N9" s="17">
        <v>0</v>
      </c>
      <c r="O9" s="17">
        <v>0</v>
      </c>
      <c r="P9" s="17">
        <v>20</v>
      </c>
      <c r="Q9" s="17">
        <v>0</v>
      </c>
      <c r="R9" s="17">
        <v>0</v>
      </c>
      <c r="S9" s="17">
        <v>0</v>
      </c>
      <c r="T9" s="17">
        <v>0</v>
      </c>
      <c r="U9" s="17">
        <v>0</v>
      </c>
      <c r="V9" s="41">
        <v>0</v>
      </c>
      <c r="W9" s="17">
        <v>0</v>
      </c>
      <c r="X9" s="17">
        <v>0</v>
      </c>
      <c r="Y9" s="17">
        <v>0</v>
      </c>
      <c r="Z9" s="17">
        <v>0</v>
      </c>
    </row>
    <row r="10" spans="1:26" s="26" customFormat="1" x14ac:dyDescent="0.25">
      <c r="A10" s="35" t="s">
        <v>7</v>
      </c>
      <c r="B10" s="19">
        <f>SUM(B2:B9)</f>
        <v>20272</v>
      </c>
      <c r="C10" s="19">
        <f t="shared" ref="C10:Z10" si="0">SUM(C2:C9)</f>
        <v>1374</v>
      </c>
      <c r="D10" s="19">
        <f t="shared" si="0"/>
        <v>1636</v>
      </c>
      <c r="E10" s="19">
        <f t="shared" si="0"/>
        <v>7693</v>
      </c>
      <c r="F10" s="19">
        <f t="shared" si="0"/>
        <v>582</v>
      </c>
      <c r="G10" s="19">
        <f t="shared" si="0"/>
        <v>605</v>
      </c>
      <c r="H10" s="19">
        <f t="shared" si="0"/>
        <v>106</v>
      </c>
      <c r="I10" s="19">
        <f t="shared" si="0"/>
        <v>159</v>
      </c>
      <c r="J10" s="19">
        <f t="shared" si="0"/>
        <v>4</v>
      </c>
      <c r="K10" s="19">
        <f>SUM(K2:K9)</f>
        <v>10302200</v>
      </c>
      <c r="L10" s="19">
        <f t="shared" si="0"/>
        <v>878671</v>
      </c>
      <c r="M10" s="19">
        <f t="shared" si="0"/>
        <v>106</v>
      </c>
      <c r="N10" s="19">
        <f t="shared" si="0"/>
        <v>1242</v>
      </c>
      <c r="O10" s="19">
        <f t="shared" si="0"/>
        <v>21</v>
      </c>
      <c r="P10" s="19">
        <f t="shared" si="0"/>
        <v>639</v>
      </c>
      <c r="Q10" s="19">
        <f t="shared" si="0"/>
        <v>201</v>
      </c>
      <c r="R10" s="19">
        <f t="shared" si="0"/>
        <v>2917</v>
      </c>
      <c r="S10" s="42">
        <f t="shared" si="0"/>
        <v>2397.5</v>
      </c>
      <c r="T10" s="19">
        <f t="shared" si="0"/>
        <v>578.5</v>
      </c>
      <c r="U10" s="19">
        <f t="shared" si="0"/>
        <v>232</v>
      </c>
      <c r="V10" s="42">
        <f>SUM(V2:V9)</f>
        <v>129.5</v>
      </c>
      <c r="W10" s="19">
        <f t="shared" si="0"/>
        <v>169</v>
      </c>
      <c r="X10" s="19">
        <f t="shared" si="0"/>
        <v>1738</v>
      </c>
      <c r="Y10" s="19">
        <f>SUM(Y2:Y9)</f>
        <v>1654</v>
      </c>
      <c r="Z10" s="19">
        <f t="shared" si="0"/>
        <v>7292</v>
      </c>
    </row>
    <row r="11" spans="1:26" s="26" customFormat="1" x14ac:dyDescent="0.25">
      <c r="A11" s="34" t="s">
        <v>8</v>
      </c>
      <c r="B11" s="16">
        <v>69474</v>
      </c>
      <c r="C11" s="16">
        <v>7513</v>
      </c>
      <c r="D11" s="16">
        <v>1220</v>
      </c>
      <c r="E11" s="16">
        <v>24120</v>
      </c>
      <c r="F11" s="16">
        <v>1741</v>
      </c>
      <c r="G11" s="16">
        <v>30</v>
      </c>
      <c r="H11" s="16">
        <v>7</v>
      </c>
      <c r="I11" s="16">
        <v>1162</v>
      </c>
      <c r="J11" s="16">
        <v>307</v>
      </c>
      <c r="K11" s="16">
        <v>8485823</v>
      </c>
      <c r="L11" s="16">
        <v>4472453</v>
      </c>
      <c r="M11" s="16">
        <v>78</v>
      </c>
      <c r="N11" s="16">
        <v>2821</v>
      </c>
      <c r="O11" s="16">
        <v>62</v>
      </c>
      <c r="P11" s="16">
        <v>72</v>
      </c>
      <c r="Q11" s="16">
        <v>92</v>
      </c>
      <c r="R11" s="16">
        <v>6707</v>
      </c>
      <c r="S11" s="43">
        <v>4973.5</v>
      </c>
      <c r="T11" s="43">
        <v>1010.5</v>
      </c>
      <c r="U11" s="16">
        <v>96</v>
      </c>
      <c r="V11" s="43">
        <v>187.5</v>
      </c>
      <c r="W11" s="43">
        <v>75.5</v>
      </c>
      <c r="X11" s="16">
        <v>584</v>
      </c>
      <c r="Y11" s="16">
        <v>96</v>
      </c>
      <c r="Z11" s="16">
        <v>21908</v>
      </c>
    </row>
    <row r="12" spans="1:26" s="26" customFormat="1" x14ac:dyDescent="0.25">
      <c r="A12" s="34" t="s">
        <v>9</v>
      </c>
      <c r="B12" s="16">
        <v>830</v>
      </c>
      <c r="C12" s="16">
        <v>105</v>
      </c>
      <c r="D12" s="16">
        <v>4</v>
      </c>
      <c r="E12" s="16">
        <v>373</v>
      </c>
      <c r="F12" s="16">
        <v>87</v>
      </c>
      <c r="G12" s="16">
        <v>0</v>
      </c>
      <c r="H12" s="16">
        <v>0</v>
      </c>
      <c r="I12" s="16">
        <v>0</v>
      </c>
      <c r="J12" s="16">
        <v>0</v>
      </c>
      <c r="K12" s="16">
        <v>53864</v>
      </c>
      <c r="L12" s="16">
        <v>7000</v>
      </c>
      <c r="M12" s="16">
        <v>0</v>
      </c>
      <c r="N12" s="16">
        <v>2</v>
      </c>
      <c r="O12" s="16">
        <v>14</v>
      </c>
      <c r="P12" s="16">
        <v>0</v>
      </c>
      <c r="Q12" s="16">
        <v>0</v>
      </c>
      <c r="R12" s="16">
        <v>358</v>
      </c>
      <c r="S12" s="16">
        <v>106</v>
      </c>
      <c r="T12" s="43">
        <v>0</v>
      </c>
      <c r="U12" s="16">
        <v>0</v>
      </c>
      <c r="V12" s="16">
        <v>2</v>
      </c>
      <c r="W12" s="43">
        <v>0</v>
      </c>
      <c r="X12" s="16">
        <v>0</v>
      </c>
      <c r="Y12" s="16">
        <v>0</v>
      </c>
      <c r="Z12" s="16">
        <v>124</v>
      </c>
    </row>
    <row r="13" spans="1:26" s="26" customFormat="1" x14ac:dyDescent="0.25">
      <c r="A13" s="34" t="s">
        <v>164</v>
      </c>
      <c r="B13" s="16"/>
      <c r="C13" s="16"/>
      <c r="D13" s="16"/>
      <c r="E13" s="16"/>
      <c r="F13" s="16"/>
      <c r="G13" s="16"/>
      <c r="H13" s="16"/>
      <c r="I13" s="16"/>
      <c r="J13" s="16"/>
      <c r="K13" s="16"/>
      <c r="L13" s="16"/>
      <c r="M13" s="16"/>
      <c r="N13" s="16"/>
      <c r="O13" s="16"/>
      <c r="P13" s="16"/>
      <c r="Q13" s="16"/>
      <c r="R13" s="16"/>
      <c r="S13" s="16"/>
      <c r="T13" s="43"/>
      <c r="U13" s="16"/>
      <c r="V13" s="16"/>
      <c r="W13" s="43"/>
      <c r="X13" s="16"/>
      <c r="Y13" s="16"/>
      <c r="Z13" s="16"/>
    </row>
    <row r="14" spans="1:26" s="26" customFormat="1" x14ac:dyDescent="0.25">
      <c r="A14" s="34" t="s">
        <v>10</v>
      </c>
      <c r="B14" s="16">
        <v>574</v>
      </c>
      <c r="C14" s="16">
        <v>572</v>
      </c>
      <c r="D14" s="16">
        <v>527</v>
      </c>
      <c r="E14" s="16">
        <v>3345</v>
      </c>
      <c r="F14" s="16">
        <v>110</v>
      </c>
      <c r="G14" s="16">
        <v>0</v>
      </c>
      <c r="H14" s="16">
        <v>47</v>
      </c>
      <c r="I14" s="16">
        <v>12</v>
      </c>
      <c r="J14" s="16">
        <v>8</v>
      </c>
      <c r="K14" s="16">
        <v>13455</v>
      </c>
      <c r="L14" s="16">
        <v>117670</v>
      </c>
      <c r="M14" s="16">
        <v>0</v>
      </c>
      <c r="N14" s="16">
        <v>33</v>
      </c>
      <c r="O14" s="16">
        <v>77</v>
      </c>
      <c r="P14" s="16">
        <v>4</v>
      </c>
      <c r="Q14" s="16">
        <v>0</v>
      </c>
      <c r="R14" s="16">
        <v>419</v>
      </c>
      <c r="S14" s="16">
        <v>27</v>
      </c>
      <c r="T14" s="43">
        <v>0</v>
      </c>
      <c r="U14" s="16">
        <v>0</v>
      </c>
      <c r="V14" s="16">
        <v>18</v>
      </c>
      <c r="W14" s="43">
        <v>0</v>
      </c>
      <c r="X14" s="16">
        <v>157</v>
      </c>
      <c r="Y14" s="16">
        <v>0</v>
      </c>
      <c r="Z14" s="16">
        <v>0</v>
      </c>
    </row>
    <row r="15" spans="1:26" s="26" customFormat="1" x14ac:dyDescent="0.25">
      <c r="A15" s="34" t="s">
        <v>11</v>
      </c>
      <c r="B15" s="16"/>
      <c r="C15" s="16"/>
      <c r="D15" s="16"/>
      <c r="E15" s="16"/>
      <c r="F15" s="16"/>
      <c r="G15" s="16"/>
      <c r="H15" s="16"/>
      <c r="I15" s="16"/>
      <c r="J15" s="16"/>
      <c r="K15" s="16"/>
      <c r="L15" s="16"/>
      <c r="M15" s="16"/>
      <c r="N15" s="16"/>
      <c r="O15" s="16"/>
      <c r="P15" s="16"/>
      <c r="Q15" s="16"/>
      <c r="R15" s="16"/>
      <c r="S15" s="16"/>
      <c r="T15" s="43"/>
      <c r="U15" s="16"/>
      <c r="V15" s="16"/>
      <c r="W15" s="43"/>
      <c r="X15" s="16"/>
      <c r="Y15" s="16"/>
      <c r="Z15" s="16"/>
    </row>
    <row r="16" spans="1:26" s="26" customFormat="1" x14ac:dyDescent="0.25">
      <c r="A16" s="34" t="s">
        <v>12</v>
      </c>
      <c r="B16" s="16"/>
      <c r="C16" s="16"/>
      <c r="D16" s="16"/>
      <c r="E16" s="16"/>
      <c r="F16" s="16"/>
      <c r="G16" s="16"/>
      <c r="H16" s="16"/>
      <c r="I16" s="16"/>
      <c r="J16" s="16"/>
      <c r="K16" s="16"/>
      <c r="L16" s="16"/>
      <c r="M16" s="16"/>
      <c r="N16" s="16"/>
      <c r="O16" s="16"/>
      <c r="P16" s="16"/>
      <c r="Q16" s="16"/>
      <c r="R16" s="16"/>
      <c r="S16" s="16"/>
      <c r="T16" s="43"/>
      <c r="U16" s="16"/>
      <c r="V16" s="16"/>
      <c r="W16" s="43"/>
      <c r="X16" s="16"/>
      <c r="Y16" s="16"/>
      <c r="Z16" s="16"/>
    </row>
    <row r="17" spans="1:26" s="26" customFormat="1" x14ac:dyDescent="0.25">
      <c r="A17" s="34" t="s">
        <v>13</v>
      </c>
      <c r="B17" s="16">
        <v>0</v>
      </c>
      <c r="C17" s="16">
        <v>0</v>
      </c>
      <c r="D17" s="16">
        <v>5</v>
      </c>
      <c r="E17" s="16">
        <v>1400</v>
      </c>
      <c r="F17" s="16">
        <v>0</v>
      </c>
      <c r="G17" s="16">
        <v>0</v>
      </c>
      <c r="H17" s="16">
        <v>7</v>
      </c>
      <c r="I17" s="16">
        <v>0</v>
      </c>
      <c r="J17" s="16">
        <v>0</v>
      </c>
      <c r="K17" s="16">
        <v>100410</v>
      </c>
      <c r="L17" s="16">
        <v>593333</v>
      </c>
      <c r="M17" s="16">
        <v>0</v>
      </c>
      <c r="N17" s="16">
        <v>0</v>
      </c>
      <c r="O17" s="16">
        <v>42</v>
      </c>
      <c r="P17" s="16">
        <v>0</v>
      </c>
      <c r="Q17" s="16">
        <v>0</v>
      </c>
      <c r="R17" s="16">
        <v>0</v>
      </c>
      <c r="S17" s="16">
        <v>0</v>
      </c>
      <c r="T17" s="43">
        <v>0</v>
      </c>
      <c r="U17" s="16">
        <v>0</v>
      </c>
      <c r="V17" s="16">
        <v>0</v>
      </c>
      <c r="W17" s="43">
        <v>0</v>
      </c>
      <c r="X17" s="16">
        <v>0</v>
      </c>
      <c r="Y17" s="16">
        <v>0</v>
      </c>
      <c r="Z17" s="16">
        <v>0</v>
      </c>
    </row>
    <row r="18" spans="1:26" s="26" customFormat="1" x14ac:dyDescent="0.25">
      <c r="A18" s="35" t="s">
        <v>14</v>
      </c>
      <c r="B18" s="19">
        <f>SUM(B11:B17)</f>
        <v>70878</v>
      </c>
      <c r="C18" s="19">
        <f t="shared" ref="C18:Z18" si="1">SUM(C11:C17)</f>
        <v>8190</v>
      </c>
      <c r="D18" s="19">
        <f t="shared" si="1"/>
        <v>1756</v>
      </c>
      <c r="E18" s="19">
        <f t="shared" si="1"/>
        <v>29238</v>
      </c>
      <c r="F18" s="19">
        <f t="shared" si="1"/>
        <v>1938</v>
      </c>
      <c r="G18" s="19">
        <f t="shared" si="1"/>
        <v>30</v>
      </c>
      <c r="H18" s="19">
        <f t="shared" si="1"/>
        <v>61</v>
      </c>
      <c r="I18" s="19">
        <f t="shared" si="1"/>
        <v>1174</v>
      </c>
      <c r="J18" s="19">
        <f t="shared" si="1"/>
        <v>315</v>
      </c>
      <c r="K18" s="19">
        <f>SUM(K11:K17)</f>
        <v>8653552</v>
      </c>
      <c r="L18" s="19">
        <f t="shared" si="1"/>
        <v>5190456</v>
      </c>
      <c r="M18" s="19">
        <f t="shared" si="1"/>
        <v>78</v>
      </c>
      <c r="N18" s="19">
        <f t="shared" si="1"/>
        <v>2856</v>
      </c>
      <c r="O18" s="19">
        <f t="shared" si="1"/>
        <v>195</v>
      </c>
      <c r="P18" s="19">
        <f t="shared" si="1"/>
        <v>76</v>
      </c>
      <c r="Q18" s="19">
        <f t="shared" si="1"/>
        <v>92</v>
      </c>
      <c r="R18" s="19">
        <f t="shared" si="1"/>
        <v>7484</v>
      </c>
      <c r="S18" s="42">
        <f t="shared" si="1"/>
        <v>5106.5</v>
      </c>
      <c r="T18" s="42">
        <f t="shared" si="1"/>
        <v>1010.5</v>
      </c>
      <c r="U18" s="19">
        <f t="shared" si="1"/>
        <v>96</v>
      </c>
      <c r="V18" s="42">
        <f>SUM(V11:V17)</f>
        <v>207.5</v>
      </c>
      <c r="W18" s="42">
        <f t="shared" si="1"/>
        <v>75.5</v>
      </c>
      <c r="X18" s="19">
        <f t="shared" si="1"/>
        <v>741</v>
      </c>
      <c r="Y18" s="19">
        <f>SUM(Y11:Y17)</f>
        <v>96</v>
      </c>
      <c r="Z18" s="19">
        <f t="shared" si="1"/>
        <v>22032</v>
      </c>
    </row>
    <row r="19" spans="1:26" s="26" customFormat="1" x14ac:dyDescent="0.25">
      <c r="A19" s="35" t="s">
        <v>15</v>
      </c>
      <c r="B19" s="19">
        <f>SUM(B10,B18)</f>
        <v>91150</v>
      </c>
      <c r="C19" s="19">
        <f t="shared" ref="C19:Z19" si="2">SUM(C10,C18)</f>
        <v>9564</v>
      </c>
      <c r="D19" s="19">
        <f t="shared" si="2"/>
        <v>3392</v>
      </c>
      <c r="E19" s="19">
        <f t="shared" si="2"/>
        <v>36931</v>
      </c>
      <c r="F19" s="19">
        <f t="shared" si="2"/>
        <v>2520</v>
      </c>
      <c r="G19" s="19">
        <f t="shared" si="2"/>
        <v>635</v>
      </c>
      <c r="H19" s="19">
        <f t="shared" si="2"/>
        <v>167</v>
      </c>
      <c r="I19" s="19">
        <f t="shared" si="2"/>
        <v>1333</v>
      </c>
      <c r="J19" s="19">
        <f t="shared" si="2"/>
        <v>319</v>
      </c>
      <c r="K19" s="19">
        <f>SUM(K10,K18)</f>
        <v>18955752</v>
      </c>
      <c r="L19" s="19">
        <f t="shared" si="2"/>
        <v>6069127</v>
      </c>
      <c r="M19" s="19">
        <f t="shared" si="2"/>
        <v>184</v>
      </c>
      <c r="N19" s="19">
        <f t="shared" si="2"/>
        <v>4098</v>
      </c>
      <c r="O19" s="19">
        <f t="shared" si="2"/>
        <v>216</v>
      </c>
      <c r="P19" s="19">
        <f t="shared" si="2"/>
        <v>715</v>
      </c>
      <c r="Q19" s="19">
        <f t="shared" si="2"/>
        <v>293</v>
      </c>
      <c r="R19" s="19">
        <f t="shared" si="2"/>
        <v>10401</v>
      </c>
      <c r="S19" s="19">
        <f t="shared" si="2"/>
        <v>7504</v>
      </c>
      <c r="T19" s="19">
        <f t="shared" si="2"/>
        <v>1589</v>
      </c>
      <c r="U19" s="19">
        <f t="shared" si="2"/>
        <v>328</v>
      </c>
      <c r="V19" s="19">
        <f>SUM(V10,V18)</f>
        <v>337</v>
      </c>
      <c r="W19" s="42">
        <f t="shared" si="2"/>
        <v>244.5</v>
      </c>
      <c r="X19" s="19">
        <f t="shared" si="2"/>
        <v>2479</v>
      </c>
      <c r="Y19" s="19">
        <f>SUM(Y10,Y18)</f>
        <v>1750</v>
      </c>
      <c r="Z19" s="19">
        <f t="shared" si="2"/>
        <v>29324</v>
      </c>
    </row>
    <row r="21" spans="1:26" x14ac:dyDescent="0.25">
      <c r="B21" s="44"/>
      <c r="C21" s="44"/>
      <c r="D21" s="44"/>
      <c r="E21" s="44"/>
      <c r="F21" s="44"/>
      <c r="G21" s="44"/>
      <c r="H21" s="44"/>
      <c r="I21" s="44"/>
      <c r="J21" s="44"/>
      <c r="K21" s="44"/>
      <c r="L21" s="44"/>
      <c r="M21" s="44"/>
      <c r="N21" s="44"/>
      <c r="O21" s="44"/>
      <c r="P21" s="44"/>
      <c r="Q21" s="44"/>
      <c r="R21" s="44"/>
      <c r="S21" s="44"/>
      <c r="T21" s="44"/>
    </row>
    <row r="23" spans="1:26" x14ac:dyDescent="0.25">
      <c r="B23" s="44"/>
      <c r="C23" s="44"/>
      <c r="D23" s="44"/>
      <c r="E23" s="44"/>
      <c r="F23" s="44"/>
      <c r="G23" s="44"/>
      <c r="H23" s="44"/>
      <c r="I23" s="44"/>
      <c r="J23" s="44"/>
      <c r="K23" s="44"/>
      <c r="L23" s="44"/>
      <c r="M23" s="44"/>
      <c r="N23" s="44"/>
      <c r="O23" s="44"/>
      <c r="P23" s="44"/>
      <c r="Q23" s="44"/>
      <c r="R23" s="44"/>
      <c r="S23" s="44"/>
      <c r="T23" s="44"/>
    </row>
    <row r="25" spans="1:26" x14ac:dyDescent="0.25">
      <c r="B25" s="44"/>
      <c r="C25" s="44"/>
      <c r="D25" s="44"/>
      <c r="E25" s="44"/>
      <c r="F25" s="44"/>
      <c r="G25" s="44"/>
      <c r="H25" s="44"/>
      <c r="I25" s="44"/>
      <c r="J25" s="44"/>
      <c r="K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Z1" xr:uid="{5D6F8C4A-4F9B-4B9D-B285-78E833C3FE22}">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1E5BA68-8C7D-43D0-985D-848D4ED5D1CF}">
          <x14:formula1>
            <xm:f>'Term List'!$A2:$A242</xm:f>
          </x14:formula1>
          <xm:sqref>AA1:XFD1</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2A3B7-7D3A-4585-A67A-30F9123C2AC6}">
  <dimension ref="A1:U25"/>
  <sheetViews>
    <sheetView workbookViewId="0">
      <pane xSplit="1" ySplit="1" topLeftCell="B2" activePane="bottomRight" state="frozen"/>
      <selection activeCell="E23" sqref="E23"/>
      <selection pane="topRight" activeCell="E23" sqref="E23"/>
      <selection pane="bottomLeft" activeCell="E23" sqref="E23"/>
      <selection pane="bottomRight" activeCell="B4" sqref="B4"/>
    </sheetView>
  </sheetViews>
  <sheetFormatPr defaultRowHeight="15" x14ac:dyDescent="0.25"/>
  <cols>
    <col min="1" max="1" width="35.7109375" style="6" bestFit="1" customWidth="1"/>
    <col min="2" max="2" width="15.85546875" style="5" customWidth="1"/>
    <col min="3" max="3" width="20.140625" style="5" customWidth="1"/>
    <col min="4" max="5" width="15.85546875" style="5" customWidth="1"/>
    <col min="6" max="6" width="31.28515625" style="5" customWidth="1"/>
    <col min="7" max="7" width="18.85546875" style="3" customWidth="1"/>
    <col min="8" max="8" width="21.140625" style="5" customWidth="1"/>
    <col min="9" max="9" width="21.28515625" style="5" customWidth="1"/>
    <col min="10" max="10" width="18.28515625" style="3" customWidth="1"/>
    <col min="11" max="11" width="20.140625" style="3" customWidth="1"/>
    <col min="12" max="12" width="15.85546875" style="3" customWidth="1"/>
    <col min="13" max="14" width="15.85546875" style="5" customWidth="1"/>
    <col min="15" max="15" width="18.28515625" style="5" customWidth="1"/>
    <col min="16" max="16" width="17.85546875" style="5" customWidth="1"/>
    <col min="17" max="17" width="17.28515625" style="3" customWidth="1"/>
    <col min="18" max="18" width="17.5703125" style="5" customWidth="1"/>
    <col min="19" max="19" width="16" style="5" customWidth="1"/>
    <col min="20" max="21" width="15.85546875" style="3" customWidth="1"/>
    <col min="22" max="16384" width="9.140625" style="3"/>
  </cols>
  <sheetData>
    <row r="1" spans="1:21" s="40" customFormat="1" ht="29.25" customHeight="1" x14ac:dyDescent="0.25">
      <c r="A1" s="36" t="s">
        <v>439</v>
      </c>
      <c r="B1" s="36" t="s">
        <v>62</v>
      </c>
      <c r="C1" s="36" t="s">
        <v>55</v>
      </c>
      <c r="D1" s="36" t="s">
        <v>40</v>
      </c>
      <c r="E1" s="36" t="s">
        <v>98</v>
      </c>
      <c r="F1" s="36" t="s">
        <v>435</v>
      </c>
      <c r="G1" s="36" t="s">
        <v>573</v>
      </c>
      <c r="H1" s="36" t="s">
        <v>566</v>
      </c>
      <c r="I1" s="36" t="s">
        <v>567</v>
      </c>
      <c r="J1" s="36" t="s">
        <v>568</v>
      </c>
      <c r="K1" s="36" t="s">
        <v>107</v>
      </c>
      <c r="L1" s="36" t="s">
        <v>101</v>
      </c>
      <c r="M1" s="36" t="s">
        <v>75</v>
      </c>
      <c r="N1" s="36" t="s">
        <v>66</v>
      </c>
      <c r="O1" s="36" t="s">
        <v>330</v>
      </c>
      <c r="P1" s="36" t="s">
        <v>331</v>
      </c>
      <c r="Q1" s="36" t="s">
        <v>332</v>
      </c>
      <c r="R1" s="36" t="s">
        <v>333</v>
      </c>
      <c r="S1" s="31"/>
      <c r="T1" s="31"/>
      <c r="U1" s="31"/>
    </row>
    <row r="2" spans="1:21" s="26" customFormat="1" x14ac:dyDescent="0.25">
      <c r="A2" s="34" t="s">
        <v>0</v>
      </c>
      <c r="B2" s="43"/>
      <c r="C2" s="16"/>
      <c r="D2" s="16"/>
      <c r="E2" s="16"/>
      <c r="F2" s="16"/>
      <c r="G2" s="16"/>
      <c r="H2" s="16"/>
      <c r="I2" s="16"/>
      <c r="J2" s="16"/>
      <c r="K2" s="16"/>
      <c r="L2" s="16"/>
      <c r="M2" s="16"/>
      <c r="N2" s="16"/>
      <c r="O2" s="16"/>
      <c r="P2" s="16"/>
      <c r="Q2" s="16"/>
      <c r="R2" s="16"/>
      <c r="S2" s="16"/>
      <c r="T2" s="16"/>
      <c r="U2" s="16"/>
    </row>
    <row r="3" spans="1:21" s="26" customFormat="1" x14ac:dyDescent="0.25">
      <c r="A3" s="34" t="s">
        <v>1</v>
      </c>
      <c r="B3" s="43"/>
      <c r="C3" s="16"/>
      <c r="D3" s="16"/>
      <c r="E3" s="16"/>
      <c r="F3" s="16"/>
      <c r="G3" s="16"/>
      <c r="H3" s="16"/>
      <c r="I3" s="16"/>
      <c r="J3" s="16"/>
      <c r="K3" s="16"/>
      <c r="L3" s="16"/>
      <c r="M3" s="16"/>
      <c r="N3" s="16"/>
      <c r="O3" s="16"/>
      <c r="P3" s="16"/>
      <c r="Q3" s="16"/>
      <c r="R3" s="16"/>
      <c r="S3" s="16"/>
      <c r="T3" s="16"/>
      <c r="U3" s="16"/>
    </row>
    <row r="4" spans="1:21" s="26" customFormat="1" x14ac:dyDescent="0.25">
      <c r="A4" s="34" t="s">
        <v>169</v>
      </c>
      <c r="B4" s="16">
        <v>3316</v>
      </c>
      <c r="C4" s="16"/>
      <c r="D4" s="16">
        <v>6822</v>
      </c>
      <c r="E4" s="16">
        <v>136392</v>
      </c>
      <c r="F4" s="16">
        <v>4770</v>
      </c>
      <c r="G4" s="16"/>
      <c r="H4" s="16"/>
      <c r="I4" s="16">
        <v>12670</v>
      </c>
      <c r="J4" s="16"/>
      <c r="K4" s="16">
        <v>27223</v>
      </c>
      <c r="L4" s="16"/>
      <c r="M4" s="16">
        <v>101632</v>
      </c>
      <c r="N4" s="16">
        <v>15868</v>
      </c>
      <c r="O4" s="16">
        <v>3</v>
      </c>
      <c r="P4" s="16"/>
      <c r="Q4" s="16"/>
      <c r="R4" s="16"/>
      <c r="S4" s="16"/>
      <c r="T4" s="16"/>
      <c r="U4" s="16"/>
    </row>
    <row r="5" spans="1:21" s="26" customFormat="1" x14ac:dyDescent="0.25">
      <c r="A5" s="34" t="s">
        <v>2</v>
      </c>
      <c r="B5" s="16">
        <v>1346</v>
      </c>
      <c r="C5" s="16"/>
      <c r="D5" s="16">
        <v>0</v>
      </c>
      <c r="E5" s="16"/>
      <c r="F5" s="16">
        <v>593</v>
      </c>
      <c r="G5" s="16"/>
      <c r="H5" s="16"/>
      <c r="I5" s="16"/>
      <c r="J5" s="16"/>
      <c r="K5" s="16">
        <v>10260</v>
      </c>
      <c r="L5" s="16"/>
      <c r="M5" s="16"/>
      <c r="N5" s="16"/>
      <c r="O5" s="16">
        <v>34</v>
      </c>
      <c r="P5" s="16"/>
      <c r="Q5" s="16"/>
      <c r="R5" s="16"/>
      <c r="S5" s="16"/>
      <c r="T5" s="16"/>
      <c r="U5" s="16"/>
    </row>
    <row r="6" spans="1:21" s="26" customFormat="1" x14ac:dyDescent="0.25">
      <c r="A6" s="34" t="s">
        <v>3</v>
      </c>
      <c r="B6" s="16">
        <v>4447</v>
      </c>
      <c r="C6" s="16">
        <v>2701</v>
      </c>
      <c r="D6" s="16">
        <v>23695</v>
      </c>
      <c r="E6" s="16">
        <v>33367</v>
      </c>
      <c r="F6" s="16">
        <v>732</v>
      </c>
      <c r="G6" s="16">
        <v>77490</v>
      </c>
      <c r="H6" s="16">
        <v>120</v>
      </c>
      <c r="I6" s="16">
        <v>21783</v>
      </c>
      <c r="J6" s="16">
        <v>1731</v>
      </c>
      <c r="K6" s="16">
        <v>1260868</v>
      </c>
      <c r="L6" s="16">
        <v>2088435</v>
      </c>
      <c r="M6" s="16">
        <v>1977468</v>
      </c>
      <c r="N6" s="16">
        <v>92000</v>
      </c>
      <c r="O6" s="16">
        <v>47</v>
      </c>
      <c r="P6" s="16"/>
      <c r="Q6" s="16"/>
      <c r="R6" s="16"/>
      <c r="S6" s="16"/>
      <c r="T6" s="16"/>
      <c r="U6" s="16"/>
    </row>
    <row r="7" spans="1:21" s="26" customFormat="1" x14ac:dyDescent="0.25">
      <c r="A7" s="34" t="s">
        <v>4</v>
      </c>
      <c r="B7" s="43"/>
      <c r="C7" s="16"/>
      <c r="D7" s="16"/>
      <c r="E7" s="16"/>
      <c r="F7" s="16"/>
      <c r="G7" s="16"/>
      <c r="H7" s="16"/>
      <c r="I7" s="16"/>
      <c r="J7" s="16"/>
      <c r="K7" s="16"/>
      <c r="L7" s="16"/>
      <c r="M7" s="16"/>
      <c r="N7" s="16"/>
      <c r="O7" s="16"/>
      <c r="P7" s="16"/>
      <c r="Q7" s="16"/>
      <c r="R7" s="16"/>
      <c r="S7" s="16"/>
      <c r="T7" s="16"/>
      <c r="U7" s="16"/>
    </row>
    <row r="8" spans="1:21" s="26" customFormat="1" x14ac:dyDescent="0.25">
      <c r="A8" s="34" t="s">
        <v>5</v>
      </c>
      <c r="B8" s="43"/>
      <c r="C8" s="16"/>
      <c r="D8" s="16"/>
      <c r="E8" s="16"/>
      <c r="F8" s="16"/>
      <c r="G8" s="16"/>
      <c r="H8" s="16"/>
      <c r="I8" s="16"/>
      <c r="J8" s="16"/>
      <c r="K8" s="16"/>
      <c r="L8" s="16"/>
      <c r="M8" s="16"/>
      <c r="N8" s="16"/>
      <c r="O8" s="16"/>
      <c r="P8" s="16"/>
      <c r="Q8" s="16"/>
      <c r="R8" s="16"/>
      <c r="S8" s="16"/>
      <c r="T8" s="16"/>
      <c r="U8" s="16"/>
    </row>
    <row r="9" spans="1:21" s="26" customFormat="1" x14ac:dyDescent="0.25">
      <c r="A9" s="34" t="s">
        <v>6</v>
      </c>
      <c r="B9" s="43">
        <v>24498.5</v>
      </c>
      <c r="C9" s="16">
        <v>5567</v>
      </c>
      <c r="D9" s="16">
        <v>75038</v>
      </c>
      <c r="E9" s="16">
        <v>446316</v>
      </c>
      <c r="F9" s="16">
        <v>14278</v>
      </c>
      <c r="G9" s="16"/>
      <c r="H9" s="16"/>
      <c r="I9" s="16"/>
      <c r="J9" s="16"/>
      <c r="K9" s="16">
        <v>1327516</v>
      </c>
      <c r="L9" s="16">
        <v>1531979</v>
      </c>
      <c r="M9" s="16">
        <v>560097</v>
      </c>
      <c r="N9" s="16"/>
      <c r="O9" s="16">
        <v>212</v>
      </c>
      <c r="P9" s="16">
        <v>348</v>
      </c>
      <c r="Q9" s="16">
        <v>325</v>
      </c>
      <c r="R9" s="16">
        <v>287</v>
      </c>
      <c r="S9" s="16"/>
      <c r="T9" s="16"/>
      <c r="U9" s="16"/>
    </row>
    <row r="10" spans="1:21" s="26" customFormat="1" x14ac:dyDescent="0.25">
      <c r="A10" s="35" t="s">
        <v>7</v>
      </c>
      <c r="B10" s="42">
        <f>SUM(B2:B9)</f>
        <v>33607.5</v>
      </c>
      <c r="C10" s="19">
        <f>SUM(C2:C9)</f>
        <v>8268</v>
      </c>
      <c r="D10" s="19">
        <f t="shared" ref="D10:U10" si="0">SUM(D2:D9)</f>
        <v>105555</v>
      </c>
      <c r="E10" s="19">
        <f t="shared" si="0"/>
        <v>616075</v>
      </c>
      <c r="F10" s="19">
        <f t="shared" si="0"/>
        <v>20373</v>
      </c>
      <c r="G10" s="19">
        <f t="shared" si="0"/>
        <v>77490</v>
      </c>
      <c r="H10" s="19">
        <f t="shared" si="0"/>
        <v>120</v>
      </c>
      <c r="I10" s="19">
        <f t="shared" si="0"/>
        <v>34453</v>
      </c>
      <c r="J10" s="19">
        <f t="shared" si="0"/>
        <v>1731</v>
      </c>
      <c r="K10" s="19">
        <f t="shared" si="0"/>
        <v>2625867</v>
      </c>
      <c r="L10" s="19">
        <f t="shared" si="0"/>
        <v>3620414</v>
      </c>
      <c r="M10" s="19">
        <f t="shared" si="0"/>
        <v>2639197</v>
      </c>
      <c r="N10" s="19">
        <f t="shared" si="0"/>
        <v>107868</v>
      </c>
      <c r="O10" s="19">
        <f t="shared" si="0"/>
        <v>296</v>
      </c>
      <c r="P10" s="19">
        <f t="shared" si="0"/>
        <v>348</v>
      </c>
      <c r="Q10" s="19">
        <f t="shared" si="0"/>
        <v>325</v>
      </c>
      <c r="R10" s="19">
        <f t="shared" si="0"/>
        <v>287</v>
      </c>
      <c r="S10" s="19">
        <f t="shared" si="0"/>
        <v>0</v>
      </c>
      <c r="T10" s="19">
        <f t="shared" si="0"/>
        <v>0</v>
      </c>
      <c r="U10" s="19">
        <f t="shared" si="0"/>
        <v>0</v>
      </c>
    </row>
    <row r="11" spans="1:21" s="26" customFormat="1" x14ac:dyDescent="0.25">
      <c r="A11" s="34" t="s">
        <v>8</v>
      </c>
      <c r="B11" s="108"/>
      <c r="C11" s="107"/>
      <c r="D11" s="16"/>
      <c r="E11" s="16"/>
      <c r="F11" s="16"/>
      <c r="G11" s="16"/>
      <c r="H11" s="16"/>
      <c r="I11" s="16"/>
      <c r="J11" s="16"/>
      <c r="K11" s="16"/>
      <c r="L11" s="16"/>
      <c r="M11" s="16"/>
      <c r="N11" s="16"/>
      <c r="O11" s="16"/>
      <c r="P11" s="16"/>
      <c r="Q11" s="16"/>
      <c r="R11" s="16"/>
      <c r="S11" s="16"/>
      <c r="T11" s="16"/>
      <c r="U11" s="16"/>
    </row>
    <row r="12" spans="1:21" s="26" customFormat="1" x14ac:dyDescent="0.25">
      <c r="A12" s="34" t="s">
        <v>9</v>
      </c>
      <c r="B12" s="106"/>
      <c r="C12" s="107"/>
      <c r="D12" s="16"/>
      <c r="E12" s="16"/>
      <c r="F12" s="16"/>
      <c r="G12" s="16"/>
      <c r="H12" s="16"/>
      <c r="I12" s="16"/>
      <c r="J12" s="16"/>
      <c r="K12" s="16"/>
      <c r="L12" s="16"/>
      <c r="M12" s="16"/>
      <c r="N12" s="16"/>
      <c r="O12" s="16"/>
      <c r="P12" s="16"/>
      <c r="Q12" s="16"/>
      <c r="R12" s="16"/>
      <c r="S12" s="16"/>
      <c r="T12" s="16"/>
      <c r="U12" s="16"/>
    </row>
    <row r="13" spans="1:21" s="26" customFormat="1" x14ac:dyDescent="0.25">
      <c r="A13" s="34" t="s">
        <v>164</v>
      </c>
      <c r="B13" s="106">
        <v>113</v>
      </c>
      <c r="C13" s="107">
        <v>128</v>
      </c>
      <c r="D13" s="16">
        <v>9768</v>
      </c>
      <c r="E13" s="16">
        <v>90579</v>
      </c>
      <c r="F13" s="16">
        <v>75</v>
      </c>
      <c r="G13" s="16"/>
      <c r="H13" s="16"/>
      <c r="I13" s="16">
        <v>33804</v>
      </c>
      <c r="J13" s="16"/>
      <c r="K13" s="16">
        <v>24780</v>
      </c>
      <c r="L13" s="16"/>
      <c r="M13" s="16">
        <v>211286</v>
      </c>
      <c r="N13" s="16">
        <v>9564</v>
      </c>
      <c r="O13" s="16">
        <v>1</v>
      </c>
      <c r="P13" s="16">
        <v>44</v>
      </c>
      <c r="Q13" s="16">
        <v>22</v>
      </c>
      <c r="R13" s="16">
        <v>1</v>
      </c>
      <c r="S13" s="16"/>
      <c r="T13" s="16"/>
      <c r="U13" s="16"/>
    </row>
    <row r="14" spans="1:21" s="26" customFormat="1" x14ac:dyDescent="0.25">
      <c r="A14" s="34" t="s">
        <v>10</v>
      </c>
      <c r="B14" s="106">
        <v>2682</v>
      </c>
      <c r="C14" s="107">
        <v>1090</v>
      </c>
      <c r="D14" s="16">
        <v>17781</v>
      </c>
      <c r="E14" s="16">
        <v>13984</v>
      </c>
      <c r="F14" s="16">
        <v>944</v>
      </c>
      <c r="G14" s="16">
        <v>1377839</v>
      </c>
      <c r="H14" s="16">
        <v>16</v>
      </c>
      <c r="I14" s="16">
        <v>4884</v>
      </c>
      <c r="J14" s="16">
        <v>841</v>
      </c>
      <c r="K14" s="16">
        <v>1743374</v>
      </c>
      <c r="L14" s="16">
        <v>1753455</v>
      </c>
      <c r="M14" s="16">
        <v>2309301</v>
      </c>
      <c r="N14" s="16">
        <v>2000</v>
      </c>
      <c r="O14" s="16">
        <v>1</v>
      </c>
      <c r="P14" s="16"/>
      <c r="Q14" s="16"/>
      <c r="R14" s="16"/>
      <c r="S14" s="16"/>
      <c r="T14" s="16"/>
      <c r="U14" s="16"/>
    </row>
    <row r="15" spans="1:21" s="26" customFormat="1" x14ac:dyDescent="0.25">
      <c r="A15" s="34" t="s">
        <v>11</v>
      </c>
      <c r="B15" s="106"/>
      <c r="C15" s="107"/>
      <c r="D15" s="16"/>
      <c r="E15" s="16"/>
      <c r="F15" s="16"/>
      <c r="G15" s="16"/>
      <c r="H15" s="16"/>
      <c r="I15" s="16"/>
      <c r="J15" s="16"/>
      <c r="K15" s="16"/>
      <c r="L15" s="16"/>
      <c r="M15" s="16"/>
      <c r="N15" s="16"/>
      <c r="O15" s="16"/>
      <c r="P15" s="16"/>
      <c r="Q15" s="16"/>
      <c r="R15" s="16"/>
      <c r="S15" s="16"/>
      <c r="T15" s="16"/>
      <c r="U15" s="16"/>
    </row>
    <row r="16" spans="1:21" s="26" customFormat="1" x14ac:dyDescent="0.25">
      <c r="A16" s="34" t="s">
        <v>12</v>
      </c>
      <c r="B16" s="106"/>
      <c r="C16" s="107"/>
      <c r="D16" s="16"/>
      <c r="E16" s="16"/>
      <c r="F16" s="16"/>
      <c r="G16" s="16"/>
      <c r="H16" s="16"/>
      <c r="I16" s="16"/>
      <c r="J16" s="16"/>
      <c r="K16" s="16"/>
      <c r="L16" s="16"/>
      <c r="M16" s="16"/>
      <c r="N16" s="16"/>
      <c r="O16" s="16"/>
      <c r="P16" s="16"/>
      <c r="Q16" s="16"/>
      <c r="R16" s="16"/>
      <c r="S16" s="16"/>
      <c r="T16" s="16"/>
      <c r="U16" s="16"/>
    </row>
    <row r="17" spans="1:21" s="26" customFormat="1" x14ac:dyDescent="0.25">
      <c r="A17" s="34" t="s">
        <v>13</v>
      </c>
      <c r="B17" s="106">
        <v>1289</v>
      </c>
      <c r="C17" s="107">
        <v>778</v>
      </c>
      <c r="D17" s="16">
        <v>9925</v>
      </c>
      <c r="E17" s="16">
        <v>25361</v>
      </c>
      <c r="F17" s="16">
        <v>1204</v>
      </c>
      <c r="G17" s="16"/>
      <c r="H17" s="16"/>
      <c r="I17" s="16"/>
      <c r="J17" s="16"/>
      <c r="K17" s="16">
        <v>1623795</v>
      </c>
      <c r="L17" s="16">
        <v>1250100</v>
      </c>
      <c r="M17" s="16">
        <v>672764</v>
      </c>
      <c r="N17" s="16"/>
      <c r="O17" s="16">
        <v>1028</v>
      </c>
      <c r="P17" s="16">
        <v>1127</v>
      </c>
      <c r="Q17" s="16"/>
      <c r="R17" s="16">
        <v>802</v>
      </c>
      <c r="S17" s="16"/>
      <c r="T17" s="16"/>
      <c r="U17" s="16"/>
    </row>
    <row r="18" spans="1:21" s="26" customFormat="1" x14ac:dyDescent="0.25">
      <c r="A18" s="35" t="s">
        <v>14</v>
      </c>
      <c r="B18" s="19">
        <f>SUM(B11:B17)</f>
        <v>4084</v>
      </c>
      <c r="C18" s="19">
        <f t="shared" ref="C18:U18" si="1">SUM(C11:C17)</f>
        <v>1996</v>
      </c>
      <c r="D18" s="19">
        <f t="shared" si="1"/>
        <v>37474</v>
      </c>
      <c r="E18" s="19">
        <f t="shared" si="1"/>
        <v>129924</v>
      </c>
      <c r="F18" s="19">
        <f t="shared" si="1"/>
        <v>2223</v>
      </c>
      <c r="G18" s="19">
        <f t="shared" si="1"/>
        <v>1377839</v>
      </c>
      <c r="H18" s="19">
        <f t="shared" si="1"/>
        <v>16</v>
      </c>
      <c r="I18" s="19">
        <f t="shared" si="1"/>
        <v>38688</v>
      </c>
      <c r="J18" s="19">
        <f t="shared" si="1"/>
        <v>841</v>
      </c>
      <c r="K18" s="19">
        <f t="shared" si="1"/>
        <v>3391949</v>
      </c>
      <c r="L18" s="19">
        <f t="shared" si="1"/>
        <v>3003555</v>
      </c>
      <c r="M18" s="19">
        <f t="shared" si="1"/>
        <v>3193351</v>
      </c>
      <c r="N18" s="19">
        <f t="shared" si="1"/>
        <v>11564</v>
      </c>
      <c r="O18" s="19">
        <f t="shared" si="1"/>
        <v>1030</v>
      </c>
      <c r="P18" s="19">
        <f t="shared" si="1"/>
        <v>1171</v>
      </c>
      <c r="Q18" s="19">
        <f t="shared" si="1"/>
        <v>22</v>
      </c>
      <c r="R18" s="19">
        <f t="shared" si="1"/>
        <v>803</v>
      </c>
      <c r="S18" s="19">
        <f t="shared" si="1"/>
        <v>0</v>
      </c>
      <c r="T18" s="19">
        <f t="shared" si="1"/>
        <v>0</v>
      </c>
      <c r="U18" s="19">
        <f t="shared" si="1"/>
        <v>0</v>
      </c>
    </row>
    <row r="19" spans="1:21" s="26" customFormat="1" x14ac:dyDescent="0.25">
      <c r="A19" s="35" t="s">
        <v>15</v>
      </c>
      <c r="B19" s="42">
        <f>SUM(B10,B18)</f>
        <v>37691.5</v>
      </c>
      <c r="C19" s="19">
        <f t="shared" ref="C19:U19" si="2">SUM(C10,C18)</f>
        <v>10264</v>
      </c>
      <c r="D19" s="19">
        <f t="shared" si="2"/>
        <v>143029</v>
      </c>
      <c r="E19" s="19">
        <f t="shared" si="2"/>
        <v>745999</v>
      </c>
      <c r="F19" s="19">
        <f t="shared" si="2"/>
        <v>22596</v>
      </c>
      <c r="G19" s="19">
        <f t="shared" si="2"/>
        <v>1455329</v>
      </c>
      <c r="H19" s="19">
        <f t="shared" si="2"/>
        <v>136</v>
      </c>
      <c r="I19" s="19">
        <f t="shared" si="2"/>
        <v>73141</v>
      </c>
      <c r="J19" s="19">
        <f t="shared" si="2"/>
        <v>2572</v>
      </c>
      <c r="K19" s="19">
        <f t="shared" si="2"/>
        <v>6017816</v>
      </c>
      <c r="L19" s="19">
        <f t="shared" si="2"/>
        <v>6623969</v>
      </c>
      <c r="M19" s="19">
        <f t="shared" si="2"/>
        <v>5832548</v>
      </c>
      <c r="N19" s="19">
        <f t="shared" si="2"/>
        <v>119432</v>
      </c>
      <c r="O19" s="19">
        <f t="shared" si="2"/>
        <v>1326</v>
      </c>
      <c r="P19" s="19">
        <f t="shared" si="2"/>
        <v>1519</v>
      </c>
      <c r="Q19" s="19">
        <f t="shared" si="2"/>
        <v>347</v>
      </c>
      <c r="R19" s="19">
        <f t="shared" si="2"/>
        <v>1090</v>
      </c>
      <c r="S19" s="19">
        <f t="shared" si="2"/>
        <v>0</v>
      </c>
      <c r="T19" s="19">
        <f t="shared" si="2"/>
        <v>0</v>
      </c>
      <c r="U19" s="19">
        <f t="shared" si="2"/>
        <v>0</v>
      </c>
    </row>
    <row r="21" spans="1:21" x14ac:dyDescent="0.25">
      <c r="B21" s="44"/>
      <c r="C21" s="44"/>
      <c r="D21" s="44"/>
      <c r="E21" s="44"/>
      <c r="F21" s="44"/>
      <c r="G21" s="44"/>
      <c r="H21" s="44"/>
      <c r="I21" s="44"/>
      <c r="J21" s="44"/>
      <c r="K21" s="44"/>
      <c r="L21" s="44"/>
      <c r="M21" s="44"/>
      <c r="N21" s="44"/>
      <c r="O21" s="44"/>
      <c r="P21" s="44"/>
      <c r="Q21" s="44"/>
      <c r="R21" s="44"/>
      <c r="S21" s="44"/>
      <c r="T21" s="44"/>
      <c r="U21" s="44"/>
    </row>
    <row r="22" spans="1:21" x14ac:dyDescent="0.25">
      <c r="B22" s="44"/>
      <c r="C22" s="44"/>
      <c r="D22" s="44"/>
      <c r="E22" s="44"/>
      <c r="F22" s="44"/>
      <c r="G22" s="44"/>
      <c r="H22" s="44"/>
      <c r="I22" s="44"/>
      <c r="J22" s="44"/>
      <c r="K22" s="44"/>
      <c r="L22" s="44"/>
      <c r="M22" s="44"/>
      <c r="N22" s="44"/>
      <c r="O22" s="44"/>
      <c r="P22" s="44"/>
      <c r="Q22" s="44"/>
      <c r="R22" s="44"/>
      <c r="S22" s="44"/>
      <c r="T22" s="44"/>
      <c r="U22" s="44"/>
    </row>
    <row r="23" spans="1:21" x14ac:dyDescent="0.25">
      <c r="B23" s="44"/>
      <c r="C23" s="44"/>
      <c r="D23" s="44"/>
      <c r="E23" s="44"/>
      <c r="F23" s="44"/>
      <c r="G23" s="44"/>
      <c r="H23" s="44"/>
      <c r="I23" s="44"/>
      <c r="J23" s="44"/>
      <c r="K23" s="44"/>
      <c r="L23" s="44"/>
      <c r="M23" s="44"/>
      <c r="N23" s="44"/>
      <c r="O23" s="44"/>
      <c r="P23" s="44"/>
      <c r="Q23" s="44"/>
      <c r="R23" s="44"/>
      <c r="S23" s="44"/>
      <c r="T23" s="44"/>
      <c r="U23" s="44"/>
    </row>
    <row r="24" spans="1:21" x14ac:dyDescent="0.25">
      <c r="B24" s="44"/>
      <c r="C24" s="44"/>
      <c r="D24" s="44"/>
      <c r="E24" s="44"/>
      <c r="F24" s="44"/>
      <c r="G24" s="44"/>
      <c r="H24" s="44"/>
      <c r="I24" s="44"/>
      <c r="J24" s="44"/>
      <c r="K24" s="44"/>
      <c r="L24" s="44"/>
      <c r="M24" s="44"/>
      <c r="N24" s="44"/>
      <c r="O24" s="44"/>
      <c r="P24" s="44"/>
      <c r="Q24" s="44"/>
      <c r="R24" s="44"/>
      <c r="S24" s="44"/>
      <c r="T24" s="44"/>
      <c r="U24" s="44"/>
    </row>
    <row r="25" spans="1:21" x14ac:dyDescent="0.25">
      <c r="B25" s="44"/>
      <c r="C25" s="44"/>
      <c r="D25" s="44"/>
      <c r="E25" s="44"/>
      <c r="F25" s="44"/>
      <c r="G25" s="44"/>
      <c r="H25" s="44"/>
      <c r="I25" s="44"/>
      <c r="J25" s="44"/>
      <c r="K25" s="44"/>
      <c r="L25" s="44"/>
      <c r="M25" s="44"/>
      <c r="N25" s="44"/>
      <c r="O25" s="44"/>
      <c r="P25" s="44"/>
      <c r="Q25" s="44"/>
      <c r="R25" s="44"/>
      <c r="S25" s="44"/>
      <c r="T25" s="44"/>
      <c r="U25" s="44"/>
    </row>
  </sheetData>
  <sheetProtection formatCells="0" formatColumns="0" formatRows="0" insertColumns="0" insertRows="0" sort="0" autoFilter="0" pivotTables="0"/>
  <dataValidations count="1">
    <dataValidation type="list" errorStyle="information" allowBlank="1" showInputMessage="1" showErrorMessage="1" sqref="B1:U1" xr:uid="{33575B35-D8C3-44EB-A48A-94B8D2AE71B1}">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48EEA950-E33A-4B85-A52D-720F94B8A724}">
          <x14:formula1>
            <xm:f>'Term List'!$A2:$A242</xm:f>
          </x14:formula1>
          <xm:sqref>V1:XFD1</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359DB-B2F9-41FC-A20C-57112EC145B2}">
  <dimension ref="A1:Z25"/>
  <sheetViews>
    <sheetView workbookViewId="0">
      <pane xSplit="1" ySplit="1" topLeftCell="B2" activePane="bottomRight" state="frozen"/>
      <selection activeCell="E23" sqref="E23"/>
      <selection pane="topRight" activeCell="E23" sqref="E23"/>
      <selection pane="bottomLeft" activeCell="E23" sqref="E23"/>
      <selection pane="bottomRight" activeCell="E23" sqref="E23"/>
    </sheetView>
  </sheetViews>
  <sheetFormatPr defaultColWidth="16" defaultRowHeight="15" x14ac:dyDescent="0.25"/>
  <cols>
    <col min="1" max="1" width="35.7109375" style="6" bestFit="1" customWidth="1"/>
    <col min="2" max="20" width="16" style="5"/>
    <col min="21" max="16384" width="16" style="3"/>
  </cols>
  <sheetData>
    <row r="1" spans="1:26" s="14" customFormat="1" ht="30" x14ac:dyDescent="0.25">
      <c r="A1" s="36" t="s">
        <v>438</v>
      </c>
      <c r="B1" s="36" t="s">
        <v>155</v>
      </c>
      <c r="C1" s="36" t="s">
        <v>156</v>
      </c>
      <c r="D1" s="36" t="s">
        <v>154</v>
      </c>
      <c r="E1" s="36" t="s">
        <v>150</v>
      </c>
      <c r="F1" s="36" t="s">
        <v>148</v>
      </c>
      <c r="G1" s="36" t="s">
        <v>147</v>
      </c>
      <c r="H1" s="36" t="s">
        <v>139</v>
      </c>
      <c r="I1" s="36" t="s">
        <v>131</v>
      </c>
      <c r="J1" s="36" t="s">
        <v>130</v>
      </c>
      <c r="K1" s="36" t="s">
        <v>124</v>
      </c>
      <c r="L1" s="36" t="s">
        <v>145</v>
      </c>
      <c r="M1" s="36" t="s">
        <v>114</v>
      </c>
      <c r="N1" s="36" t="s">
        <v>116</v>
      </c>
      <c r="O1" s="36" t="s">
        <v>137</v>
      </c>
      <c r="P1" s="36" t="s">
        <v>157</v>
      </c>
      <c r="Q1" s="36" t="s">
        <v>127</v>
      </c>
      <c r="R1" s="36" t="s">
        <v>133</v>
      </c>
      <c r="S1" s="36" t="s">
        <v>74</v>
      </c>
      <c r="T1" s="36" t="s">
        <v>129</v>
      </c>
      <c r="U1" s="36" t="s">
        <v>141</v>
      </c>
      <c r="V1" s="36" t="s">
        <v>135</v>
      </c>
      <c r="W1" s="36" t="s">
        <v>128</v>
      </c>
      <c r="X1" s="36" t="s">
        <v>138</v>
      </c>
      <c r="Y1" s="36" t="s">
        <v>118</v>
      </c>
      <c r="Z1" s="36" t="s">
        <v>134</v>
      </c>
    </row>
    <row r="2" spans="1:26" s="26" customFormat="1" x14ac:dyDescent="0.25">
      <c r="A2" s="34" t="s">
        <v>0</v>
      </c>
      <c r="B2" s="16">
        <v>12998</v>
      </c>
      <c r="C2" s="17">
        <v>1200</v>
      </c>
      <c r="D2" s="17">
        <v>733</v>
      </c>
      <c r="E2" s="17">
        <v>6295</v>
      </c>
      <c r="F2" s="17">
        <v>871</v>
      </c>
      <c r="G2" s="17">
        <v>122</v>
      </c>
      <c r="H2" s="17">
        <v>56</v>
      </c>
      <c r="I2" s="17">
        <v>165</v>
      </c>
      <c r="J2" s="17">
        <v>34</v>
      </c>
      <c r="K2" s="17">
        <v>6202685</v>
      </c>
      <c r="L2" s="17">
        <v>117545</v>
      </c>
      <c r="M2" s="17">
        <v>152</v>
      </c>
      <c r="N2" s="17">
        <v>482</v>
      </c>
      <c r="O2" s="17">
        <v>1</v>
      </c>
      <c r="P2" s="17">
        <v>594</v>
      </c>
      <c r="Q2" s="17">
        <v>239</v>
      </c>
      <c r="R2" s="17">
        <v>10086</v>
      </c>
      <c r="S2" s="17">
        <v>1351</v>
      </c>
      <c r="T2" s="17">
        <v>254</v>
      </c>
      <c r="U2" s="17">
        <v>303</v>
      </c>
      <c r="V2" s="17">
        <v>298</v>
      </c>
      <c r="W2" s="17">
        <v>218</v>
      </c>
      <c r="X2" s="17">
        <v>190</v>
      </c>
      <c r="Y2" s="17">
        <v>44</v>
      </c>
      <c r="Z2" s="17">
        <v>2553</v>
      </c>
    </row>
    <row r="3" spans="1:26" s="26" customFormat="1" x14ac:dyDescent="0.25">
      <c r="A3" s="34" t="s">
        <v>1</v>
      </c>
      <c r="B3" s="16">
        <v>293</v>
      </c>
      <c r="C3" s="17">
        <v>44</v>
      </c>
      <c r="D3" s="17">
        <v>27</v>
      </c>
      <c r="E3" s="17">
        <v>54</v>
      </c>
      <c r="F3" s="17">
        <v>331</v>
      </c>
      <c r="G3" s="17">
        <v>4</v>
      </c>
      <c r="H3" s="17">
        <v>0</v>
      </c>
      <c r="I3" s="17">
        <v>20</v>
      </c>
      <c r="J3" s="17">
        <v>0</v>
      </c>
      <c r="K3" s="17">
        <v>80853</v>
      </c>
      <c r="L3" s="17">
        <v>0</v>
      </c>
      <c r="M3" s="17">
        <v>0</v>
      </c>
      <c r="N3" s="17">
        <v>0</v>
      </c>
      <c r="O3" s="17">
        <v>0</v>
      </c>
      <c r="P3" s="17">
        <v>26</v>
      </c>
      <c r="Q3" s="17">
        <v>0</v>
      </c>
      <c r="R3" s="17">
        <v>251</v>
      </c>
      <c r="S3" s="17">
        <v>122</v>
      </c>
      <c r="T3" s="17">
        <v>8</v>
      </c>
      <c r="U3" s="17">
        <v>22</v>
      </c>
      <c r="V3" s="17">
        <v>0</v>
      </c>
      <c r="W3" s="17">
        <v>0</v>
      </c>
      <c r="X3" s="17">
        <v>0</v>
      </c>
      <c r="Y3" s="17">
        <v>0</v>
      </c>
      <c r="Z3" s="17">
        <v>39</v>
      </c>
    </row>
    <row r="4" spans="1:26"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17"/>
      <c r="Z4" s="17"/>
    </row>
    <row r="5" spans="1:26" s="26" customFormat="1" x14ac:dyDescent="0.25">
      <c r="A5" s="34" t="s">
        <v>2</v>
      </c>
      <c r="B5" s="16">
        <v>246</v>
      </c>
      <c r="C5" s="17">
        <v>93</v>
      </c>
      <c r="D5" s="17">
        <v>13</v>
      </c>
      <c r="E5" s="17">
        <v>635</v>
      </c>
      <c r="F5" s="17">
        <v>109</v>
      </c>
      <c r="G5" s="17">
        <v>0</v>
      </c>
      <c r="H5" s="17">
        <v>0</v>
      </c>
      <c r="I5" s="17">
        <v>0</v>
      </c>
      <c r="J5" s="17">
        <v>0</v>
      </c>
      <c r="K5" s="17">
        <v>196090</v>
      </c>
      <c r="L5" s="17">
        <v>59946</v>
      </c>
      <c r="M5" s="17">
        <v>0</v>
      </c>
      <c r="N5" s="17">
        <v>0</v>
      </c>
      <c r="O5" s="17">
        <v>0</v>
      </c>
      <c r="P5" s="17">
        <v>0</v>
      </c>
      <c r="Q5" s="17">
        <v>0</v>
      </c>
      <c r="R5" s="17">
        <v>0</v>
      </c>
      <c r="S5" s="17">
        <v>90</v>
      </c>
      <c r="T5" s="17">
        <v>33</v>
      </c>
      <c r="U5" s="17">
        <v>0</v>
      </c>
      <c r="V5" s="17">
        <v>0</v>
      </c>
      <c r="W5" s="17">
        <v>0</v>
      </c>
      <c r="X5" s="17">
        <v>0</v>
      </c>
      <c r="Y5" s="17">
        <v>0</v>
      </c>
      <c r="Z5" s="17">
        <v>0</v>
      </c>
    </row>
    <row r="6" spans="1:26" s="26" customFormat="1" x14ac:dyDescent="0.25">
      <c r="A6" s="34" t="s">
        <v>3</v>
      </c>
      <c r="B6" s="16">
        <v>136</v>
      </c>
      <c r="C6" s="17">
        <v>81</v>
      </c>
      <c r="D6" s="17">
        <v>579</v>
      </c>
      <c r="E6" s="17">
        <v>871</v>
      </c>
      <c r="F6" s="17">
        <v>69</v>
      </c>
      <c r="G6" s="17">
        <v>87</v>
      </c>
      <c r="H6" s="17">
        <v>11</v>
      </c>
      <c r="I6" s="17">
        <v>6</v>
      </c>
      <c r="J6" s="17">
        <v>0</v>
      </c>
      <c r="K6" s="17">
        <v>150145</v>
      </c>
      <c r="L6" s="17">
        <v>19793</v>
      </c>
      <c r="M6" s="17">
        <v>0</v>
      </c>
      <c r="N6" s="17">
        <v>6</v>
      </c>
      <c r="O6" s="17">
        <v>0</v>
      </c>
      <c r="P6" s="17">
        <v>5</v>
      </c>
      <c r="Q6" s="17">
        <v>5</v>
      </c>
      <c r="R6" s="17">
        <v>0</v>
      </c>
      <c r="S6" s="17">
        <v>12</v>
      </c>
      <c r="T6" s="17">
        <v>0</v>
      </c>
      <c r="U6" s="17">
        <v>0</v>
      </c>
      <c r="V6" s="17">
        <v>0</v>
      </c>
      <c r="W6" s="17">
        <v>0</v>
      </c>
      <c r="X6" s="17">
        <v>135</v>
      </c>
      <c r="Y6" s="17">
        <v>0</v>
      </c>
      <c r="Z6" s="17">
        <v>0</v>
      </c>
    </row>
    <row r="7" spans="1:26" s="26" customFormat="1" x14ac:dyDescent="0.25">
      <c r="A7" s="34" t="s">
        <v>4</v>
      </c>
      <c r="B7" s="16"/>
      <c r="C7" s="17"/>
      <c r="D7" s="17"/>
      <c r="E7" s="17"/>
      <c r="F7" s="17"/>
      <c r="G7" s="17"/>
      <c r="H7" s="17"/>
      <c r="I7" s="17"/>
      <c r="J7" s="17"/>
      <c r="K7" s="17"/>
      <c r="L7" s="17"/>
      <c r="M7" s="17"/>
      <c r="N7" s="17"/>
      <c r="O7" s="17"/>
      <c r="P7" s="17"/>
      <c r="Q7" s="17"/>
      <c r="R7" s="17"/>
      <c r="S7" s="17"/>
      <c r="T7" s="17"/>
      <c r="U7" s="17"/>
      <c r="V7" s="17"/>
      <c r="W7" s="17"/>
      <c r="X7" s="17"/>
      <c r="Y7" s="17"/>
      <c r="Z7" s="17"/>
    </row>
    <row r="8" spans="1:26" s="26" customFormat="1" x14ac:dyDescent="0.25">
      <c r="A8" s="34" t="s">
        <v>5</v>
      </c>
      <c r="B8" s="16"/>
      <c r="C8" s="17"/>
      <c r="D8" s="17"/>
      <c r="E8" s="17"/>
      <c r="F8" s="17"/>
      <c r="G8" s="17"/>
      <c r="H8" s="17"/>
      <c r="I8" s="17"/>
      <c r="J8" s="17"/>
      <c r="K8" s="17"/>
      <c r="L8" s="17"/>
      <c r="M8" s="17"/>
      <c r="N8" s="17"/>
      <c r="O8" s="17"/>
      <c r="P8" s="17"/>
      <c r="Q8" s="17"/>
      <c r="R8" s="17"/>
      <c r="S8" s="17"/>
      <c r="T8" s="17"/>
      <c r="U8" s="17"/>
      <c r="V8" s="17"/>
      <c r="W8" s="17"/>
      <c r="X8" s="17"/>
      <c r="Y8" s="17"/>
      <c r="Z8" s="17"/>
    </row>
    <row r="9" spans="1:26" s="26" customFormat="1" x14ac:dyDescent="0.25">
      <c r="A9" s="34" t="s">
        <v>6</v>
      </c>
      <c r="B9" s="16">
        <v>0</v>
      </c>
      <c r="C9" s="17">
        <v>0</v>
      </c>
      <c r="D9" s="17">
        <v>30</v>
      </c>
      <c r="E9" s="17">
        <v>334</v>
      </c>
      <c r="F9" s="17">
        <v>33</v>
      </c>
      <c r="G9" s="17">
        <v>1107</v>
      </c>
      <c r="H9" s="17">
        <v>0</v>
      </c>
      <c r="I9" s="17">
        <v>0</v>
      </c>
      <c r="J9" s="17">
        <v>0</v>
      </c>
      <c r="K9" s="17">
        <v>259413</v>
      </c>
      <c r="L9" s="17">
        <v>180219</v>
      </c>
      <c r="M9" s="17">
        <v>18</v>
      </c>
      <c r="N9" s="17">
        <v>0</v>
      </c>
      <c r="O9" s="17">
        <v>40</v>
      </c>
      <c r="P9" s="17">
        <v>0</v>
      </c>
      <c r="Q9" s="17">
        <v>0</v>
      </c>
      <c r="R9" s="17">
        <v>0</v>
      </c>
      <c r="S9" s="17">
        <v>0</v>
      </c>
      <c r="T9" s="17">
        <v>0</v>
      </c>
      <c r="U9" s="17">
        <v>0</v>
      </c>
      <c r="V9" s="17">
        <v>0</v>
      </c>
      <c r="W9" s="17">
        <v>0</v>
      </c>
      <c r="X9" s="17">
        <v>0</v>
      </c>
      <c r="Y9" s="17">
        <v>0</v>
      </c>
      <c r="Z9" s="17">
        <v>0</v>
      </c>
    </row>
    <row r="10" spans="1:26" s="26" customFormat="1" x14ac:dyDescent="0.25">
      <c r="A10" s="35" t="s">
        <v>7</v>
      </c>
      <c r="B10" s="19">
        <f>SUM(B2:B9)</f>
        <v>13673</v>
      </c>
      <c r="C10" s="19">
        <f t="shared" ref="C10:Z10" si="0">SUM(C2:C9)</f>
        <v>1418</v>
      </c>
      <c r="D10" s="19">
        <f t="shared" si="0"/>
        <v>1382</v>
      </c>
      <c r="E10" s="19">
        <f t="shared" si="0"/>
        <v>8189</v>
      </c>
      <c r="F10" s="19">
        <f t="shared" si="0"/>
        <v>1413</v>
      </c>
      <c r="G10" s="19">
        <f t="shared" si="0"/>
        <v>1320</v>
      </c>
      <c r="H10" s="19">
        <f t="shared" si="0"/>
        <v>67</v>
      </c>
      <c r="I10" s="19">
        <f t="shared" ref="I10:L10" si="1">SUM(I2:I9)</f>
        <v>191</v>
      </c>
      <c r="J10" s="19">
        <f t="shared" si="1"/>
        <v>34</v>
      </c>
      <c r="K10" s="19">
        <f>SUM(K2:K9)</f>
        <v>6889186</v>
      </c>
      <c r="L10" s="19">
        <f t="shared" si="1"/>
        <v>377503</v>
      </c>
      <c r="M10" s="19">
        <f t="shared" si="0"/>
        <v>170</v>
      </c>
      <c r="N10" s="19">
        <f t="shared" si="0"/>
        <v>488</v>
      </c>
      <c r="O10" s="19">
        <f t="shared" si="0"/>
        <v>41</v>
      </c>
      <c r="P10" s="19">
        <f t="shared" si="0"/>
        <v>625</v>
      </c>
      <c r="Q10" s="19">
        <f t="shared" si="0"/>
        <v>244</v>
      </c>
      <c r="R10" s="19">
        <f t="shared" si="0"/>
        <v>10337</v>
      </c>
      <c r="S10" s="19">
        <f t="shared" si="0"/>
        <v>1575</v>
      </c>
      <c r="T10" s="19">
        <f t="shared" si="0"/>
        <v>295</v>
      </c>
      <c r="U10" s="19">
        <f t="shared" si="0"/>
        <v>325</v>
      </c>
      <c r="V10" s="19">
        <f>SUM(V2:V9)</f>
        <v>298</v>
      </c>
      <c r="W10" s="19">
        <f t="shared" si="0"/>
        <v>218</v>
      </c>
      <c r="X10" s="19">
        <f t="shared" si="0"/>
        <v>325</v>
      </c>
      <c r="Y10" s="19">
        <f>SUM(Y2:Y9)</f>
        <v>44</v>
      </c>
      <c r="Z10" s="19">
        <f t="shared" si="0"/>
        <v>2592</v>
      </c>
    </row>
    <row r="11" spans="1:26" s="26" customFormat="1" x14ac:dyDescent="0.25">
      <c r="A11" s="34" t="s">
        <v>8</v>
      </c>
      <c r="B11" s="16">
        <v>67702</v>
      </c>
      <c r="C11" s="16">
        <v>7094</v>
      </c>
      <c r="D11" s="16">
        <v>1164</v>
      </c>
      <c r="E11" s="16">
        <v>20843</v>
      </c>
      <c r="F11" s="16">
        <v>1723</v>
      </c>
      <c r="G11" s="16">
        <v>69</v>
      </c>
      <c r="H11" s="16">
        <v>127</v>
      </c>
      <c r="I11" s="16">
        <v>1751</v>
      </c>
      <c r="J11" s="16">
        <v>378</v>
      </c>
      <c r="K11" s="16">
        <v>10041261</v>
      </c>
      <c r="L11" s="16">
        <v>1596117</v>
      </c>
      <c r="M11" s="16">
        <v>923</v>
      </c>
      <c r="N11" s="16">
        <v>1877</v>
      </c>
      <c r="O11" s="16">
        <v>74</v>
      </c>
      <c r="P11" s="16">
        <v>143</v>
      </c>
      <c r="Q11" s="16">
        <v>9</v>
      </c>
      <c r="R11" s="16">
        <v>2560</v>
      </c>
      <c r="S11" s="16">
        <v>3201</v>
      </c>
      <c r="T11" s="16">
        <v>827</v>
      </c>
      <c r="U11" s="16">
        <v>61</v>
      </c>
      <c r="V11" s="16">
        <v>183</v>
      </c>
      <c r="W11" s="16">
        <v>249</v>
      </c>
      <c r="X11" s="16">
        <v>1492</v>
      </c>
      <c r="Y11" s="16">
        <v>4</v>
      </c>
      <c r="Z11" s="16">
        <v>11826</v>
      </c>
    </row>
    <row r="12" spans="1:26" s="26" customFormat="1" x14ac:dyDescent="0.25">
      <c r="A12" s="34" t="s">
        <v>9</v>
      </c>
      <c r="B12" s="16">
        <v>225</v>
      </c>
      <c r="C12" s="16">
        <v>51</v>
      </c>
      <c r="D12" s="16">
        <v>0</v>
      </c>
      <c r="E12" s="16">
        <v>50</v>
      </c>
      <c r="F12" s="16">
        <v>20</v>
      </c>
      <c r="G12" s="16">
        <v>0</v>
      </c>
      <c r="H12" s="16">
        <v>0</v>
      </c>
      <c r="I12" s="16">
        <v>0</v>
      </c>
      <c r="J12" s="16">
        <v>0</v>
      </c>
      <c r="K12" s="16">
        <v>0</v>
      </c>
      <c r="L12" s="16">
        <v>0</v>
      </c>
      <c r="M12" s="16">
        <v>0</v>
      </c>
      <c r="N12" s="16">
        <v>0</v>
      </c>
      <c r="O12" s="16">
        <v>0</v>
      </c>
      <c r="P12" s="16">
        <v>6</v>
      </c>
      <c r="Q12" s="16">
        <v>0</v>
      </c>
      <c r="R12" s="16">
        <v>0</v>
      </c>
      <c r="S12" s="16">
        <v>101</v>
      </c>
      <c r="T12" s="16">
        <v>0</v>
      </c>
      <c r="U12" s="16">
        <v>0</v>
      </c>
      <c r="V12" s="16">
        <v>0</v>
      </c>
      <c r="W12" s="16">
        <v>0</v>
      </c>
      <c r="X12" s="16">
        <v>0</v>
      </c>
      <c r="Y12" s="16">
        <v>0</v>
      </c>
      <c r="Z12" s="16">
        <v>50</v>
      </c>
    </row>
    <row r="13" spans="1:26"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row>
    <row r="14" spans="1:26" s="26" customFormat="1" x14ac:dyDescent="0.25">
      <c r="A14" s="34" t="s">
        <v>10</v>
      </c>
      <c r="B14" s="16">
        <v>308</v>
      </c>
      <c r="C14" s="16">
        <v>144</v>
      </c>
      <c r="D14" s="16">
        <v>264</v>
      </c>
      <c r="E14" s="16">
        <v>2519</v>
      </c>
      <c r="F14" s="16">
        <v>79</v>
      </c>
      <c r="G14" s="16">
        <v>0</v>
      </c>
      <c r="H14" s="16">
        <v>84</v>
      </c>
      <c r="I14" s="16">
        <v>0</v>
      </c>
      <c r="J14" s="16">
        <v>0</v>
      </c>
      <c r="K14" s="16">
        <v>303510</v>
      </c>
      <c r="L14" s="16">
        <v>3859</v>
      </c>
      <c r="M14" s="16">
        <v>4</v>
      </c>
      <c r="N14" s="16">
        <v>0</v>
      </c>
      <c r="O14" s="16">
        <v>71</v>
      </c>
      <c r="P14" s="16">
        <v>0</v>
      </c>
      <c r="Q14" s="16">
        <v>0</v>
      </c>
      <c r="R14" s="16">
        <v>654</v>
      </c>
      <c r="S14" s="16">
        <v>30</v>
      </c>
      <c r="T14" s="16">
        <v>1</v>
      </c>
      <c r="U14" s="16">
        <v>0</v>
      </c>
      <c r="V14" s="16">
        <v>67</v>
      </c>
      <c r="W14" s="16">
        <v>0</v>
      </c>
      <c r="X14" s="16">
        <v>114</v>
      </c>
      <c r="Y14" s="16">
        <v>1035</v>
      </c>
      <c r="Z14" s="16">
        <v>0</v>
      </c>
    </row>
    <row r="15" spans="1:26"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row>
    <row r="16" spans="1:26"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row>
    <row r="17" spans="1:26" s="26" customFormat="1" x14ac:dyDescent="0.25">
      <c r="A17" s="34" t="s">
        <v>13</v>
      </c>
      <c r="B17" s="16">
        <v>0</v>
      </c>
      <c r="C17" s="16">
        <v>17</v>
      </c>
      <c r="D17" s="16">
        <v>0</v>
      </c>
      <c r="E17" s="16">
        <v>2116</v>
      </c>
      <c r="F17" s="16">
        <v>18</v>
      </c>
      <c r="G17" s="16">
        <v>36</v>
      </c>
      <c r="H17" s="16">
        <v>5</v>
      </c>
      <c r="I17" s="16">
        <v>0</v>
      </c>
      <c r="J17" s="16">
        <v>0</v>
      </c>
      <c r="K17" s="16">
        <v>13986</v>
      </c>
      <c r="L17" s="16">
        <v>495574</v>
      </c>
      <c r="M17" s="16"/>
      <c r="N17" s="16">
        <v>0</v>
      </c>
      <c r="O17" s="16">
        <v>73</v>
      </c>
      <c r="P17" s="16">
        <v>1</v>
      </c>
      <c r="Q17" s="16">
        <v>0</v>
      </c>
      <c r="R17" s="16">
        <v>0</v>
      </c>
      <c r="S17" s="16">
        <v>0</v>
      </c>
      <c r="T17" s="16">
        <v>0</v>
      </c>
      <c r="U17" s="16">
        <v>0</v>
      </c>
      <c r="V17" s="16">
        <v>0</v>
      </c>
      <c r="W17" s="16">
        <v>0</v>
      </c>
      <c r="X17" s="16">
        <v>0</v>
      </c>
      <c r="Y17" s="16">
        <v>0</v>
      </c>
      <c r="Z17" s="16">
        <v>0</v>
      </c>
    </row>
    <row r="18" spans="1:26" s="26" customFormat="1" x14ac:dyDescent="0.25">
      <c r="A18" s="35" t="s">
        <v>14</v>
      </c>
      <c r="B18" s="19">
        <f>SUM(B11:B17)</f>
        <v>68235</v>
      </c>
      <c r="C18" s="19">
        <f t="shared" ref="C18:Z18" si="2">SUM(C11:C17)</f>
        <v>7306</v>
      </c>
      <c r="D18" s="19">
        <f t="shared" si="2"/>
        <v>1428</v>
      </c>
      <c r="E18" s="19">
        <f t="shared" si="2"/>
        <v>25528</v>
      </c>
      <c r="F18" s="19">
        <f t="shared" si="2"/>
        <v>1840</v>
      </c>
      <c r="G18" s="19">
        <f t="shared" si="2"/>
        <v>105</v>
      </c>
      <c r="H18" s="19">
        <f t="shared" si="2"/>
        <v>216</v>
      </c>
      <c r="I18" s="19">
        <f t="shared" ref="I18:L18" si="3">SUM(I11:I17)</f>
        <v>1751</v>
      </c>
      <c r="J18" s="19">
        <f t="shared" si="3"/>
        <v>378</v>
      </c>
      <c r="K18" s="19">
        <f>SUM(K11:K17)</f>
        <v>10358757</v>
      </c>
      <c r="L18" s="19">
        <f t="shared" si="3"/>
        <v>2095550</v>
      </c>
      <c r="M18" s="19">
        <f t="shared" si="2"/>
        <v>927</v>
      </c>
      <c r="N18" s="19">
        <f t="shared" si="2"/>
        <v>1877</v>
      </c>
      <c r="O18" s="19">
        <f t="shared" si="2"/>
        <v>218</v>
      </c>
      <c r="P18" s="19">
        <f t="shared" si="2"/>
        <v>150</v>
      </c>
      <c r="Q18" s="19">
        <f t="shared" si="2"/>
        <v>9</v>
      </c>
      <c r="R18" s="19">
        <f t="shared" si="2"/>
        <v>3214</v>
      </c>
      <c r="S18" s="19">
        <f t="shared" si="2"/>
        <v>3332</v>
      </c>
      <c r="T18" s="19">
        <f t="shared" si="2"/>
        <v>828</v>
      </c>
      <c r="U18" s="19">
        <f t="shared" si="2"/>
        <v>61</v>
      </c>
      <c r="V18" s="19">
        <f>SUM(V11:V17)</f>
        <v>250</v>
      </c>
      <c r="W18" s="19">
        <f t="shared" si="2"/>
        <v>249</v>
      </c>
      <c r="X18" s="19">
        <f t="shared" si="2"/>
        <v>1606</v>
      </c>
      <c r="Y18" s="19">
        <f>SUM(Y11:Y17)</f>
        <v>1039</v>
      </c>
      <c r="Z18" s="19">
        <f t="shared" si="2"/>
        <v>11876</v>
      </c>
    </row>
    <row r="19" spans="1:26" s="26" customFormat="1" x14ac:dyDescent="0.25">
      <c r="A19" s="35" t="s">
        <v>15</v>
      </c>
      <c r="B19" s="19">
        <f>SUM(B10,B18)</f>
        <v>81908</v>
      </c>
      <c r="C19" s="19">
        <f t="shared" ref="C19:Z19" si="4">SUM(C10,C18)</f>
        <v>8724</v>
      </c>
      <c r="D19" s="19">
        <f t="shared" si="4"/>
        <v>2810</v>
      </c>
      <c r="E19" s="19">
        <f t="shared" si="4"/>
        <v>33717</v>
      </c>
      <c r="F19" s="19">
        <f t="shared" si="4"/>
        <v>3253</v>
      </c>
      <c r="G19" s="19">
        <f t="shared" si="4"/>
        <v>1425</v>
      </c>
      <c r="H19" s="19">
        <f t="shared" si="4"/>
        <v>283</v>
      </c>
      <c r="I19" s="19">
        <f t="shared" ref="I19:L19" si="5">SUM(I10,I18)</f>
        <v>1942</v>
      </c>
      <c r="J19" s="19">
        <f t="shared" si="5"/>
        <v>412</v>
      </c>
      <c r="K19" s="19">
        <f>SUM(K10,K18)</f>
        <v>17247943</v>
      </c>
      <c r="L19" s="19">
        <f t="shared" si="5"/>
        <v>2473053</v>
      </c>
      <c r="M19" s="19">
        <f t="shared" si="4"/>
        <v>1097</v>
      </c>
      <c r="N19" s="19">
        <f t="shared" si="4"/>
        <v>2365</v>
      </c>
      <c r="O19" s="19">
        <f t="shared" si="4"/>
        <v>259</v>
      </c>
      <c r="P19" s="19">
        <f t="shared" si="4"/>
        <v>775</v>
      </c>
      <c r="Q19" s="19">
        <f t="shared" si="4"/>
        <v>253</v>
      </c>
      <c r="R19" s="19">
        <f t="shared" si="4"/>
        <v>13551</v>
      </c>
      <c r="S19" s="19">
        <f t="shared" si="4"/>
        <v>4907</v>
      </c>
      <c r="T19" s="19">
        <f t="shared" si="4"/>
        <v>1123</v>
      </c>
      <c r="U19" s="19">
        <f t="shared" si="4"/>
        <v>386</v>
      </c>
      <c r="V19" s="19">
        <f>SUM(V10,V18)</f>
        <v>548</v>
      </c>
      <c r="W19" s="19">
        <f t="shared" si="4"/>
        <v>467</v>
      </c>
      <c r="X19" s="19">
        <f t="shared" si="4"/>
        <v>1931</v>
      </c>
      <c r="Y19" s="19">
        <f>SUM(Y10,Y18)</f>
        <v>1083</v>
      </c>
      <c r="Z19" s="19">
        <f t="shared" si="4"/>
        <v>14468</v>
      </c>
    </row>
    <row r="21" spans="1:26" x14ac:dyDescent="0.25">
      <c r="B21" s="44"/>
      <c r="C21" s="44"/>
      <c r="D21" s="44"/>
      <c r="E21" s="44"/>
      <c r="F21" s="44"/>
      <c r="G21" s="44"/>
      <c r="H21" s="44"/>
      <c r="I21" s="44"/>
      <c r="J21" s="44"/>
      <c r="K21" s="44"/>
      <c r="L21" s="44"/>
      <c r="M21" s="44"/>
      <c r="N21" s="44"/>
      <c r="O21" s="44"/>
      <c r="P21" s="44"/>
      <c r="Q21" s="44"/>
      <c r="R21" s="44"/>
      <c r="S21" s="44"/>
      <c r="T21" s="44"/>
    </row>
    <row r="23" spans="1:26" x14ac:dyDescent="0.25">
      <c r="B23" s="44"/>
      <c r="C23" s="44"/>
      <c r="D23" s="44"/>
      <c r="E23" s="44"/>
      <c r="F23" s="44"/>
      <c r="G23" s="44"/>
      <c r="H23" s="44"/>
      <c r="I23" s="44"/>
      <c r="J23" s="44"/>
      <c r="K23" s="44"/>
      <c r="L23" s="44"/>
      <c r="M23" s="44"/>
      <c r="N23" s="44"/>
      <c r="O23" s="44"/>
      <c r="P23" s="44"/>
      <c r="Q23" s="44"/>
      <c r="R23" s="44"/>
      <c r="S23" s="44"/>
      <c r="T23" s="44"/>
    </row>
    <row r="25" spans="1:26" x14ac:dyDescent="0.25">
      <c r="B25" s="44"/>
      <c r="C25" s="44"/>
      <c r="D25" s="44"/>
      <c r="E25" s="44"/>
      <c r="F25" s="44"/>
      <c r="G25" s="44"/>
      <c r="H25" s="44"/>
      <c r="I25" s="44"/>
      <c r="J25" s="44"/>
      <c r="K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X1:Z1 B1:W1" xr:uid="{4C1A8A3F-FFB9-4C7F-9555-6910964369F6}">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B364526-8125-4A2A-A290-40DF6C35CE38}">
          <x14:formula1>
            <xm:f>'Term List'!$A2:$A242</xm:f>
          </x14:formula1>
          <xm:sqref>AA1:XFD1</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9C4C7-9DFB-4ADB-84FF-127E147113CB}">
  <dimension ref="A1:U26"/>
  <sheetViews>
    <sheetView workbookViewId="0">
      <pane xSplit="1" ySplit="1" topLeftCell="B2" activePane="bottomRight" state="frozen"/>
      <selection activeCell="E23" sqref="E23"/>
      <selection pane="topRight" activeCell="E23" sqref="E23"/>
      <selection pane="bottomLeft" activeCell="E23" sqref="E23"/>
      <selection pane="bottomRight" activeCell="D24" sqref="D24"/>
    </sheetView>
  </sheetViews>
  <sheetFormatPr defaultRowHeight="15" x14ac:dyDescent="0.25"/>
  <cols>
    <col min="1" max="1" width="35.7109375" style="6" bestFit="1" customWidth="1"/>
    <col min="2" max="5" width="15.85546875" style="5" customWidth="1"/>
    <col min="6" max="7" width="15.85546875" style="3" customWidth="1"/>
    <col min="8" max="8" width="15.85546875" style="5" customWidth="1"/>
    <col min="9" max="9" width="15.85546875" style="3" customWidth="1"/>
    <col min="10" max="11" width="15.85546875" style="5" customWidth="1"/>
    <col min="12" max="19" width="15.85546875" style="3" customWidth="1"/>
    <col min="20" max="21" width="15.85546875" style="5" customWidth="1"/>
    <col min="22" max="16384" width="9.140625" style="3"/>
  </cols>
  <sheetData>
    <row r="1" spans="1:21" s="40" customFormat="1" ht="30" x14ac:dyDescent="0.25">
      <c r="A1" s="36" t="s">
        <v>434</v>
      </c>
      <c r="B1" s="36" t="s">
        <v>62</v>
      </c>
      <c r="C1" s="36" t="s">
        <v>55</v>
      </c>
      <c r="D1" s="36" t="s">
        <v>35</v>
      </c>
      <c r="E1" s="36" t="s">
        <v>40</v>
      </c>
      <c r="F1" s="36" t="s">
        <v>98</v>
      </c>
      <c r="G1" s="36" t="s">
        <v>435</v>
      </c>
      <c r="H1" s="36" t="s">
        <v>573</v>
      </c>
      <c r="I1" s="36" t="s">
        <v>566</v>
      </c>
      <c r="J1" s="36" t="s">
        <v>567</v>
      </c>
      <c r="K1" s="36" t="s">
        <v>568</v>
      </c>
      <c r="L1" s="36" t="s">
        <v>107</v>
      </c>
      <c r="M1" s="36" t="s">
        <v>101</v>
      </c>
      <c r="N1" s="36" t="s">
        <v>75</v>
      </c>
      <c r="O1" s="36" t="s">
        <v>66</v>
      </c>
      <c r="P1" s="36" t="s">
        <v>330</v>
      </c>
      <c r="Q1" s="36" t="s">
        <v>331</v>
      </c>
      <c r="R1" s="36" t="s">
        <v>333</v>
      </c>
      <c r="S1" s="36" t="s">
        <v>332</v>
      </c>
      <c r="T1" s="36" t="s">
        <v>113</v>
      </c>
      <c r="U1" s="36" t="s">
        <v>112</v>
      </c>
    </row>
    <row r="2" spans="1:21" s="26" customFormat="1" x14ac:dyDescent="0.25">
      <c r="A2" s="34" t="s">
        <v>0</v>
      </c>
      <c r="B2" s="16"/>
      <c r="C2" s="16"/>
      <c r="D2" s="16"/>
      <c r="E2" s="16"/>
      <c r="F2" s="16"/>
      <c r="G2" s="16"/>
      <c r="H2" s="16"/>
      <c r="I2" s="16"/>
      <c r="J2" s="16"/>
      <c r="K2" s="16"/>
      <c r="L2" s="16"/>
      <c r="M2" s="16"/>
      <c r="N2" s="16"/>
      <c r="O2" s="16"/>
      <c r="P2" s="16"/>
      <c r="Q2" s="16"/>
      <c r="R2" s="16"/>
      <c r="S2" s="16"/>
      <c r="T2" s="16">
        <f>24+64</f>
        <v>88</v>
      </c>
      <c r="U2" s="16">
        <f>31+55</f>
        <v>86</v>
      </c>
    </row>
    <row r="3" spans="1:21" s="26" customFormat="1" x14ac:dyDescent="0.25">
      <c r="A3" s="34" t="s">
        <v>1</v>
      </c>
      <c r="B3" s="16"/>
      <c r="C3" s="16"/>
      <c r="D3" s="16"/>
      <c r="E3" s="16"/>
      <c r="F3" s="16"/>
      <c r="G3" s="16"/>
      <c r="H3" s="16"/>
      <c r="I3" s="16"/>
      <c r="J3" s="16"/>
      <c r="K3" s="16"/>
      <c r="L3" s="16"/>
      <c r="M3" s="16"/>
      <c r="N3" s="16"/>
      <c r="O3" s="16"/>
      <c r="P3" s="16"/>
      <c r="Q3" s="16"/>
      <c r="R3" s="16"/>
      <c r="S3" s="16"/>
      <c r="T3" s="16"/>
      <c r="U3" s="16"/>
    </row>
    <row r="4" spans="1:21" s="26" customFormat="1" x14ac:dyDescent="0.25">
      <c r="A4" s="34" t="s">
        <v>169</v>
      </c>
      <c r="B4" s="16">
        <v>13851</v>
      </c>
      <c r="C4" s="16">
        <v>79</v>
      </c>
      <c r="D4" s="16">
        <v>1351</v>
      </c>
      <c r="E4" s="16">
        <v>147168</v>
      </c>
      <c r="F4" s="16">
        <v>625529</v>
      </c>
      <c r="G4" s="16">
        <v>5952</v>
      </c>
      <c r="H4" s="16">
        <v>0</v>
      </c>
      <c r="I4" s="16">
        <v>0</v>
      </c>
      <c r="J4" s="16">
        <v>17440</v>
      </c>
      <c r="K4" s="16">
        <v>0</v>
      </c>
      <c r="L4" s="16">
        <v>40650</v>
      </c>
      <c r="M4" s="16">
        <v>0</v>
      </c>
      <c r="N4" s="16">
        <v>161860</v>
      </c>
      <c r="O4" s="16">
        <v>14151</v>
      </c>
      <c r="P4" s="16">
        <v>0</v>
      </c>
      <c r="Q4" s="16">
        <v>0</v>
      </c>
      <c r="R4" s="16">
        <v>0</v>
      </c>
      <c r="S4" s="16">
        <v>0</v>
      </c>
      <c r="T4" s="16"/>
      <c r="U4" s="16"/>
    </row>
    <row r="5" spans="1:21" s="26" customFormat="1" x14ac:dyDescent="0.25">
      <c r="A5" s="34" t="s">
        <v>2</v>
      </c>
      <c r="B5" s="16">
        <v>3172</v>
      </c>
      <c r="C5" s="16">
        <v>0</v>
      </c>
      <c r="D5" s="16">
        <v>0</v>
      </c>
      <c r="E5" s="16">
        <v>90293</v>
      </c>
      <c r="F5" s="16">
        <v>0</v>
      </c>
      <c r="G5" s="16">
        <v>0</v>
      </c>
      <c r="H5" s="16">
        <v>0</v>
      </c>
      <c r="I5" s="16">
        <v>0</v>
      </c>
      <c r="J5" s="16">
        <v>0</v>
      </c>
      <c r="K5" s="16">
        <v>0</v>
      </c>
      <c r="L5" s="16">
        <v>43846</v>
      </c>
      <c r="M5" s="16">
        <v>0</v>
      </c>
      <c r="N5" s="16">
        <v>0</v>
      </c>
      <c r="O5" s="16">
        <v>0</v>
      </c>
      <c r="P5" s="16">
        <v>0</v>
      </c>
      <c r="Q5" s="16">
        <v>0</v>
      </c>
      <c r="R5" s="16">
        <v>0</v>
      </c>
      <c r="S5" s="16">
        <v>0</v>
      </c>
      <c r="T5" s="16">
        <v>236</v>
      </c>
      <c r="U5" s="16">
        <v>176</v>
      </c>
    </row>
    <row r="6" spans="1:21" s="26" customFormat="1" x14ac:dyDescent="0.25">
      <c r="A6" s="34" t="s">
        <v>3</v>
      </c>
      <c r="B6" s="16">
        <v>5857</v>
      </c>
      <c r="C6" s="16">
        <v>3082</v>
      </c>
      <c r="D6" s="16">
        <v>0</v>
      </c>
      <c r="E6" s="16">
        <v>57651</v>
      </c>
      <c r="F6" s="16">
        <v>38513</v>
      </c>
      <c r="G6" s="16">
        <v>5824</v>
      </c>
      <c r="H6" s="16">
        <v>38710</v>
      </c>
      <c r="I6" s="16">
        <v>219</v>
      </c>
      <c r="J6" s="16">
        <v>26581</v>
      </c>
      <c r="K6" s="16">
        <v>836</v>
      </c>
      <c r="L6" s="16">
        <v>720868</v>
      </c>
      <c r="M6" s="16">
        <v>1480405</v>
      </c>
      <c r="N6" s="16">
        <v>1073922</v>
      </c>
      <c r="O6" s="16">
        <v>57000</v>
      </c>
      <c r="P6" s="16">
        <v>76</v>
      </c>
      <c r="Q6" s="16">
        <v>0</v>
      </c>
      <c r="R6" s="16">
        <v>0</v>
      </c>
      <c r="S6" s="16">
        <v>0</v>
      </c>
      <c r="T6" s="16"/>
      <c r="U6" s="16"/>
    </row>
    <row r="7" spans="1:21" s="26" customFormat="1" x14ac:dyDescent="0.25">
      <c r="A7" s="34" t="s">
        <v>4</v>
      </c>
      <c r="B7" s="16"/>
      <c r="C7" s="16"/>
      <c r="D7" s="16"/>
      <c r="E7" s="16"/>
      <c r="F7" s="16"/>
      <c r="G7" s="16"/>
      <c r="H7" s="16"/>
      <c r="I7" s="16"/>
      <c r="J7" s="16"/>
      <c r="K7" s="16"/>
      <c r="L7" s="16"/>
      <c r="M7" s="16"/>
      <c r="N7" s="16"/>
      <c r="O7" s="16"/>
      <c r="P7" s="16"/>
      <c r="Q7" s="16"/>
      <c r="R7" s="16"/>
      <c r="S7" s="16"/>
      <c r="T7" s="16"/>
      <c r="U7" s="16"/>
    </row>
    <row r="8" spans="1:21" s="26" customFormat="1" x14ac:dyDescent="0.25">
      <c r="A8" s="34" t="s">
        <v>5</v>
      </c>
      <c r="B8" s="16"/>
      <c r="C8" s="16"/>
      <c r="D8" s="16"/>
      <c r="E8" s="16"/>
      <c r="F8" s="16"/>
      <c r="G8" s="16"/>
      <c r="H8" s="16"/>
      <c r="I8" s="16"/>
      <c r="J8" s="16"/>
      <c r="K8" s="16"/>
      <c r="L8" s="16"/>
      <c r="M8" s="16"/>
      <c r="N8" s="16"/>
      <c r="O8" s="16"/>
      <c r="P8" s="16"/>
      <c r="Q8" s="16"/>
      <c r="R8" s="16"/>
      <c r="S8" s="16"/>
      <c r="T8" s="16"/>
      <c r="U8" s="16"/>
    </row>
    <row r="9" spans="1:21" s="26" customFormat="1" x14ac:dyDescent="0.25">
      <c r="A9" s="34" t="s">
        <v>6</v>
      </c>
      <c r="B9" s="16">
        <v>26820</v>
      </c>
      <c r="C9" s="16">
        <v>7377</v>
      </c>
      <c r="D9" s="16">
        <v>0</v>
      </c>
      <c r="E9" s="16">
        <v>170575</v>
      </c>
      <c r="F9" s="16">
        <v>899746</v>
      </c>
      <c r="G9" s="16">
        <v>23666</v>
      </c>
      <c r="H9" s="16">
        <v>0</v>
      </c>
      <c r="I9" s="16">
        <v>0</v>
      </c>
      <c r="J9" s="16">
        <v>0</v>
      </c>
      <c r="K9" s="16">
        <v>0</v>
      </c>
      <c r="L9" s="16">
        <v>1011543</v>
      </c>
      <c r="M9" s="16">
        <v>1626557</v>
      </c>
      <c r="N9" s="16">
        <v>639681</v>
      </c>
      <c r="O9" s="16">
        <v>0</v>
      </c>
      <c r="P9" s="16">
        <v>78</v>
      </c>
      <c r="Q9" s="16">
        <v>36</v>
      </c>
      <c r="R9" s="16">
        <v>8</v>
      </c>
      <c r="S9" s="16">
        <v>107</v>
      </c>
      <c r="T9" s="16"/>
      <c r="U9" s="16"/>
    </row>
    <row r="10" spans="1:21" s="26" customFormat="1" x14ac:dyDescent="0.25">
      <c r="A10" s="35" t="s">
        <v>7</v>
      </c>
      <c r="B10" s="19">
        <f>SUM(B2:B9)</f>
        <v>49700</v>
      </c>
      <c r="C10" s="19">
        <f>SUM(C2:C9)</f>
        <v>10538</v>
      </c>
      <c r="D10" s="19">
        <f>SUM(D2:D9)</f>
        <v>1351</v>
      </c>
      <c r="E10" s="19">
        <f>SUM(E2:E9)</f>
        <v>465687</v>
      </c>
      <c r="F10" s="19">
        <f t="shared" ref="F10" si="0">SUM(F2:F9)</f>
        <v>1563788</v>
      </c>
      <c r="G10" s="19">
        <f t="shared" ref="G10:U10" si="1">SUM(G2:G9)</f>
        <v>35442</v>
      </c>
      <c r="H10" s="19">
        <f t="shared" si="1"/>
        <v>38710</v>
      </c>
      <c r="I10" s="19">
        <f t="shared" si="1"/>
        <v>219</v>
      </c>
      <c r="J10" s="19">
        <f t="shared" si="1"/>
        <v>44021</v>
      </c>
      <c r="K10" s="19">
        <f t="shared" si="1"/>
        <v>836</v>
      </c>
      <c r="L10" s="19">
        <f t="shared" si="1"/>
        <v>1816907</v>
      </c>
      <c r="M10" s="19">
        <f t="shared" si="1"/>
        <v>3106962</v>
      </c>
      <c r="N10" s="19">
        <f t="shared" si="1"/>
        <v>1875463</v>
      </c>
      <c r="O10" s="19">
        <f>SUM(O2:O9)</f>
        <v>71151</v>
      </c>
      <c r="P10" s="19">
        <f t="shared" si="1"/>
        <v>154</v>
      </c>
      <c r="Q10" s="19">
        <f t="shared" si="1"/>
        <v>36</v>
      </c>
      <c r="R10" s="19">
        <f>SUM(R2:R9)</f>
        <v>8</v>
      </c>
      <c r="S10" s="19">
        <f t="shared" si="1"/>
        <v>107</v>
      </c>
      <c r="T10" s="19">
        <f t="shared" si="1"/>
        <v>324</v>
      </c>
      <c r="U10" s="19">
        <f t="shared" si="1"/>
        <v>262</v>
      </c>
    </row>
    <row r="11" spans="1:21" s="26" customFormat="1" x14ac:dyDescent="0.25">
      <c r="A11" s="34" t="s">
        <v>8</v>
      </c>
      <c r="B11" s="16"/>
      <c r="C11" s="16"/>
      <c r="D11" s="16"/>
      <c r="E11" s="16"/>
      <c r="F11" s="16"/>
      <c r="G11" s="16"/>
      <c r="H11" s="16"/>
      <c r="I11" s="16"/>
      <c r="J11" s="16"/>
      <c r="K11" s="16"/>
      <c r="L11" s="16"/>
      <c r="M11" s="16"/>
      <c r="N11" s="16"/>
      <c r="O11" s="16"/>
      <c r="P11" s="16"/>
      <c r="Q11" s="16"/>
      <c r="R11" s="16"/>
      <c r="S11" s="16"/>
      <c r="T11" s="16">
        <f>41+6</f>
        <v>47</v>
      </c>
      <c r="U11" s="16">
        <f>105+173</f>
        <v>278</v>
      </c>
    </row>
    <row r="12" spans="1:21" s="26" customFormat="1" x14ac:dyDescent="0.25">
      <c r="A12" s="34" t="s">
        <v>9</v>
      </c>
      <c r="B12" s="16"/>
      <c r="C12" s="16"/>
      <c r="D12" s="16"/>
      <c r="E12" s="16"/>
      <c r="F12" s="16"/>
      <c r="G12" s="16"/>
      <c r="H12" s="16"/>
      <c r="I12" s="16"/>
      <c r="J12" s="16"/>
      <c r="K12" s="16"/>
      <c r="L12" s="16"/>
      <c r="M12" s="16"/>
      <c r="N12" s="16"/>
      <c r="O12" s="16"/>
      <c r="P12" s="16"/>
      <c r="Q12" s="16"/>
      <c r="R12" s="16"/>
      <c r="S12" s="16"/>
      <c r="T12" s="16"/>
      <c r="U12" s="16"/>
    </row>
    <row r="13" spans="1:21" s="26" customFormat="1" x14ac:dyDescent="0.25">
      <c r="A13" s="34" t="s">
        <v>164</v>
      </c>
      <c r="B13" s="16">
        <v>1399</v>
      </c>
      <c r="C13" s="16">
        <v>10</v>
      </c>
      <c r="D13" s="16">
        <v>0</v>
      </c>
      <c r="E13" s="16">
        <v>7701</v>
      </c>
      <c r="F13" s="16">
        <v>166779</v>
      </c>
      <c r="G13" s="16">
        <v>566</v>
      </c>
      <c r="H13" s="16">
        <v>0</v>
      </c>
      <c r="I13" s="16">
        <v>0</v>
      </c>
      <c r="J13" s="16">
        <v>41782</v>
      </c>
      <c r="K13" s="16">
        <v>0</v>
      </c>
      <c r="L13" s="16">
        <v>120858</v>
      </c>
      <c r="M13" s="16">
        <v>0</v>
      </c>
      <c r="N13" s="16">
        <v>300017</v>
      </c>
      <c r="O13" s="16">
        <v>26940</v>
      </c>
      <c r="P13" s="16">
        <v>0</v>
      </c>
      <c r="Q13" s="16">
        <v>0</v>
      </c>
      <c r="R13" s="16">
        <v>0</v>
      </c>
      <c r="S13" s="16">
        <v>0</v>
      </c>
      <c r="T13" s="16"/>
      <c r="U13" s="16"/>
    </row>
    <row r="14" spans="1:21" s="26" customFormat="1" x14ac:dyDescent="0.25">
      <c r="A14" s="34" t="s">
        <v>486</v>
      </c>
      <c r="B14" s="16"/>
      <c r="C14" s="16"/>
      <c r="D14" s="16"/>
      <c r="E14" s="16"/>
      <c r="F14" s="16"/>
      <c r="G14" s="16"/>
      <c r="H14" s="16"/>
      <c r="I14" s="16"/>
      <c r="J14" s="16"/>
      <c r="K14" s="16"/>
      <c r="L14" s="16"/>
      <c r="M14" s="16"/>
      <c r="N14" s="16"/>
      <c r="O14" s="16"/>
      <c r="P14" s="16"/>
      <c r="Q14" s="16"/>
      <c r="R14" s="16"/>
      <c r="S14" s="16"/>
      <c r="T14" s="16">
        <v>91</v>
      </c>
      <c r="U14" s="16">
        <v>171</v>
      </c>
    </row>
    <row r="15" spans="1:21" s="26" customFormat="1" x14ac:dyDescent="0.25">
      <c r="A15" s="34" t="s">
        <v>10</v>
      </c>
      <c r="B15" s="16">
        <v>3108</v>
      </c>
      <c r="C15" s="16">
        <v>1686</v>
      </c>
      <c r="D15" s="16">
        <v>0</v>
      </c>
      <c r="E15" s="16">
        <v>17001</v>
      </c>
      <c r="F15" s="16">
        <v>10860</v>
      </c>
      <c r="G15" s="16">
        <v>1989</v>
      </c>
      <c r="H15" s="16">
        <v>346164</v>
      </c>
      <c r="I15" s="16">
        <v>0</v>
      </c>
      <c r="J15" s="16">
        <v>7541</v>
      </c>
      <c r="K15" s="16">
        <v>766</v>
      </c>
      <c r="L15" s="16">
        <v>2458469</v>
      </c>
      <c r="M15" s="16">
        <v>1393515</v>
      </c>
      <c r="N15" s="16">
        <v>1961594</v>
      </c>
      <c r="O15" s="16">
        <v>3000</v>
      </c>
      <c r="P15" s="16">
        <v>6</v>
      </c>
      <c r="Q15" s="16">
        <v>0</v>
      </c>
      <c r="R15" s="16">
        <v>0</v>
      </c>
      <c r="S15" s="16">
        <v>0</v>
      </c>
      <c r="T15" s="16"/>
      <c r="U15" s="16"/>
    </row>
    <row r="16" spans="1:21" s="26" customFormat="1" x14ac:dyDescent="0.25">
      <c r="A16" s="34" t="s">
        <v>11</v>
      </c>
      <c r="B16" s="16"/>
      <c r="C16" s="16"/>
      <c r="D16" s="16"/>
      <c r="E16" s="16"/>
      <c r="F16" s="16"/>
      <c r="G16" s="16"/>
      <c r="H16" s="16"/>
      <c r="I16" s="16"/>
      <c r="J16" s="16"/>
      <c r="K16" s="16"/>
      <c r="L16" s="16"/>
      <c r="M16" s="16"/>
      <c r="N16" s="16"/>
      <c r="O16" s="16"/>
      <c r="P16" s="16"/>
      <c r="Q16" s="16"/>
      <c r="R16" s="16"/>
      <c r="S16" s="16"/>
      <c r="T16" s="16"/>
      <c r="U16" s="16"/>
    </row>
    <row r="17" spans="1:21" s="26" customFormat="1" x14ac:dyDescent="0.25">
      <c r="A17" s="34" t="s">
        <v>12</v>
      </c>
      <c r="B17" s="16"/>
      <c r="C17" s="16"/>
      <c r="D17" s="16"/>
      <c r="E17" s="16"/>
      <c r="F17" s="16"/>
      <c r="G17" s="16"/>
      <c r="H17" s="16"/>
      <c r="I17" s="16"/>
      <c r="J17" s="16"/>
      <c r="K17" s="16"/>
      <c r="L17" s="16"/>
      <c r="M17" s="16"/>
      <c r="N17" s="16"/>
      <c r="O17" s="16"/>
      <c r="P17" s="16"/>
      <c r="Q17" s="16"/>
      <c r="R17" s="16"/>
      <c r="S17" s="16"/>
      <c r="T17" s="16"/>
      <c r="U17" s="16"/>
    </row>
    <row r="18" spans="1:21" s="26" customFormat="1" x14ac:dyDescent="0.25">
      <c r="A18" s="34" t="s">
        <v>13</v>
      </c>
      <c r="B18" s="43">
        <v>3959.5</v>
      </c>
      <c r="C18" s="16">
        <v>2640</v>
      </c>
      <c r="D18" s="16">
        <v>0</v>
      </c>
      <c r="E18" s="16">
        <v>18486</v>
      </c>
      <c r="F18" s="16">
        <v>67929</v>
      </c>
      <c r="G18" s="16">
        <v>3279</v>
      </c>
      <c r="H18" s="16">
        <v>0</v>
      </c>
      <c r="I18" s="16">
        <v>0</v>
      </c>
      <c r="J18" s="16">
        <v>0</v>
      </c>
      <c r="K18" s="16">
        <v>0</v>
      </c>
      <c r="L18" s="16">
        <v>1548824</v>
      </c>
      <c r="M18" s="16">
        <v>1051657</v>
      </c>
      <c r="N18" s="16">
        <v>340133</v>
      </c>
      <c r="O18" s="16">
        <v>0</v>
      </c>
      <c r="P18" s="16">
        <v>627</v>
      </c>
      <c r="Q18" s="16">
        <v>407</v>
      </c>
      <c r="R18" s="16">
        <v>0</v>
      </c>
      <c r="S18" s="16">
        <v>0</v>
      </c>
      <c r="T18" s="16"/>
      <c r="U18" s="16"/>
    </row>
    <row r="19" spans="1:21" s="26" customFormat="1" x14ac:dyDescent="0.25">
      <c r="A19" s="35" t="s">
        <v>14</v>
      </c>
      <c r="B19" s="42">
        <f>SUM(B11:B18)</f>
        <v>8466.5</v>
      </c>
      <c r="C19" s="19">
        <f>SUM(C11:C18)</f>
        <v>4336</v>
      </c>
      <c r="D19" s="19">
        <f>SUM(D11:D18)</f>
        <v>0</v>
      </c>
      <c r="E19" s="19">
        <f t="shared" ref="E19:U19" si="2">SUM(E11:E18)</f>
        <v>43188</v>
      </c>
      <c r="F19" s="19">
        <f t="shared" si="2"/>
        <v>245568</v>
      </c>
      <c r="G19" s="19">
        <f t="shared" si="2"/>
        <v>5834</v>
      </c>
      <c r="H19" s="19">
        <f t="shared" si="2"/>
        <v>346164</v>
      </c>
      <c r="I19" s="19">
        <f t="shared" si="2"/>
        <v>0</v>
      </c>
      <c r="J19" s="19">
        <f t="shared" si="2"/>
        <v>49323</v>
      </c>
      <c r="K19" s="19">
        <f t="shared" si="2"/>
        <v>766</v>
      </c>
      <c r="L19" s="19">
        <f t="shared" si="2"/>
        <v>4128151</v>
      </c>
      <c r="M19" s="19">
        <f t="shared" si="2"/>
        <v>2445172</v>
      </c>
      <c r="N19" s="19">
        <f t="shared" si="2"/>
        <v>2601744</v>
      </c>
      <c r="O19" s="19">
        <f>SUM(O11:O18)</f>
        <v>29940</v>
      </c>
      <c r="P19" s="19">
        <f t="shared" si="2"/>
        <v>633</v>
      </c>
      <c r="Q19" s="19">
        <f t="shared" si="2"/>
        <v>407</v>
      </c>
      <c r="R19" s="19">
        <f>SUM(R11:R18)</f>
        <v>0</v>
      </c>
      <c r="S19" s="19">
        <f t="shared" si="2"/>
        <v>0</v>
      </c>
      <c r="T19" s="19">
        <f t="shared" si="2"/>
        <v>138</v>
      </c>
      <c r="U19" s="19">
        <f t="shared" si="2"/>
        <v>449</v>
      </c>
    </row>
    <row r="20" spans="1:21" s="26" customFormat="1" x14ac:dyDescent="0.25">
      <c r="A20" s="35" t="s">
        <v>15</v>
      </c>
      <c r="B20" s="42">
        <f>SUM(B10,B19)</f>
        <v>58166.5</v>
      </c>
      <c r="C20" s="19">
        <f>SUM(C10,C19)</f>
        <v>14874</v>
      </c>
      <c r="D20" s="19">
        <f>SUM(D10,D19)</f>
        <v>1351</v>
      </c>
      <c r="E20" s="19">
        <f>SUM(E10,E19)</f>
        <v>508875</v>
      </c>
      <c r="F20" s="19">
        <f t="shared" ref="F20" si="3">SUM(F10,F19)</f>
        <v>1809356</v>
      </c>
      <c r="G20" s="19">
        <f t="shared" ref="G20:U20" si="4">SUM(G10,G19)</f>
        <v>41276</v>
      </c>
      <c r="H20" s="19">
        <f t="shared" si="4"/>
        <v>384874</v>
      </c>
      <c r="I20" s="19">
        <f t="shared" si="4"/>
        <v>219</v>
      </c>
      <c r="J20" s="19">
        <f t="shared" si="4"/>
        <v>93344</v>
      </c>
      <c r="K20" s="19">
        <f t="shared" si="4"/>
        <v>1602</v>
      </c>
      <c r="L20" s="19">
        <f t="shared" si="4"/>
        <v>5945058</v>
      </c>
      <c r="M20" s="19">
        <f t="shared" si="4"/>
        <v>5552134</v>
      </c>
      <c r="N20" s="19">
        <f t="shared" si="4"/>
        <v>4477207</v>
      </c>
      <c r="O20" s="19">
        <f>SUM(O10,O19)</f>
        <v>101091</v>
      </c>
      <c r="P20" s="19">
        <f t="shared" si="4"/>
        <v>787</v>
      </c>
      <c r="Q20" s="19">
        <f t="shared" si="4"/>
        <v>443</v>
      </c>
      <c r="R20" s="19">
        <f>SUM(R10,R19)</f>
        <v>8</v>
      </c>
      <c r="S20" s="19">
        <f t="shared" si="4"/>
        <v>107</v>
      </c>
      <c r="T20" s="19">
        <f t="shared" si="4"/>
        <v>462</v>
      </c>
      <c r="U20" s="19">
        <f t="shared" si="4"/>
        <v>711</v>
      </c>
    </row>
    <row r="22" spans="1:21" x14ac:dyDescent="0.25">
      <c r="B22" s="44"/>
      <c r="C22" s="44"/>
      <c r="D22" s="44"/>
      <c r="E22" s="44"/>
      <c r="F22" s="44"/>
      <c r="G22" s="44"/>
      <c r="H22" s="44"/>
      <c r="I22" s="44"/>
      <c r="J22" s="44"/>
      <c r="K22" s="44"/>
      <c r="L22" s="44"/>
      <c r="M22" s="44"/>
      <c r="N22" s="44"/>
      <c r="O22" s="44"/>
      <c r="P22" s="44"/>
      <c r="Q22" s="44"/>
      <c r="R22" s="44"/>
      <c r="S22" s="44"/>
      <c r="T22" s="44"/>
      <c r="U22" s="44"/>
    </row>
    <row r="23" spans="1:21" x14ac:dyDescent="0.25">
      <c r="B23" s="44"/>
      <c r="C23" s="44"/>
      <c r="D23" s="44"/>
      <c r="E23" s="44"/>
      <c r="F23" s="44"/>
      <c r="G23" s="44"/>
      <c r="H23" s="44"/>
      <c r="I23" s="44"/>
      <c r="J23" s="44"/>
      <c r="K23" s="44"/>
      <c r="L23" s="44"/>
      <c r="M23" s="44"/>
      <c r="N23" s="44"/>
      <c r="O23" s="44"/>
      <c r="P23" s="44"/>
      <c r="Q23" s="44"/>
      <c r="R23" s="44"/>
      <c r="S23" s="44"/>
      <c r="T23" s="44"/>
      <c r="U23" s="44"/>
    </row>
    <row r="24" spans="1:21" x14ac:dyDescent="0.25">
      <c r="B24" s="44"/>
      <c r="C24" s="44"/>
      <c r="D24" s="44"/>
      <c r="E24" s="44"/>
      <c r="F24" s="44"/>
      <c r="G24" s="44"/>
      <c r="H24" s="44"/>
      <c r="I24" s="44"/>
      <c r="J24" s="44"/>
      <c r="K24" s="44"/>
      <c r="L24" s="44"/>
      <c r="M24" s="44"/>
      <c r="N24" s="44"/>
      <c r="O24" s="44"/>
      <c r="P24" s="44"/>
      <c r="Q24" s="44"/>
      <c r="R24" s="44"/>
      <c r="S24" s="44"/>
      <c r="T24" s="44"/>
      <c r="U24" s="44"/>
    </row>
    <row r="25" spans="1:21" x14ac:dyDescent="0.25">
      <c r="B25" s="44"/>
      <c r="C25" s="44"/>
      <c r="D25" s="44"/>
      <c r="E25" s="44"/>
      <c r="F25" s="44"/>
      <c r="G25" s="44"/>
      <c r="H25" s="44"/>
      <c r="I25" s="44"/>
      <c r="J25" s="44"/>
      <c r="K25" s="44"/>
      <c r="L25" s="44"/>
      <c r="M25" s="44"/>
      <c r="N25" s="44"/>
      <c r="O25" s="44"/>
      <c r="P25" s="44"/>
      <c r="Q25" s="44"/>
      <c r="R25" s="44"/>
      <c r="S25" s="44"/>
      <c r="T25" s="44"/>
      <c r="U25" s="44"/>
    </row>
    <row r="26" spans="1:21" x14ac:dyDescent="0.25">
      <c r="B26" s="44"/>
      <c r="C26" s="44"/>
      <c r="D26" s="44"/>
      <c r="E26" s="44"/>
      <c r="F26" s="44"/>
      <c r="G26" s="44"/>
      <c r="H26" s="44"/>
      <c r="I26" s="44"/>
      <c r="J26" s="44"/>
      <c r="K26" s="44"/>
      <c r="L26" s="44"/>
      <c r="M26" s="44"/>
      <c r="N26" s="44"/>
      <c r="O26" s="44"/>
      <c r="P26" s="44"/>
      <c r="Q26" s="44"/>
      <c r="R26" s="44"/>
      <c r="S26" s="44"/>
      <c r="T26" s="44"/>
      <c r="U26" s="44"/>
    </row>
  </sheetData>
  <sheetProtection formatCells="0" formatColumns="0" formatRows="0" insertColumns="0" insertRows="0" sort="0" autoFilter="0" pivotTables="0"/>
  <dataValidations count="1">
    <dataValidation type="list" errorStyle="information" allowBlank="1" showInputMessage="1" showErrorMessage="1" sqref="B1:U1" xr:uid="{59C5D0BC-0513-42D9-92BB-6D3677F34A83}">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4ADEF0B-32D3-4B88-A421-CA77B124E5F6}">
          <x14:formula1>
            <xm:f>'Term List'!$A2:$A242</xm:f>
          </x14:formula1>
          <xm:sqref>V1:XFD1</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181F7-E4B6-4C9B-A70F-970DD62D49B5}">
  <dimension ref="A1:AA25"/>
  <sheetViews>
    <sheetView workbookViewId="0">
      <pane xSplit="1" ySplit="1" topLeftCell="B2" activePane="bottomRight" state="frozen"/>
      <selection activeCell="E23" sqref="E23"/>
      <selection pane="topRight" activeCell="E23" sqref="E23"/>
      <selection pane="bottomLeft" activeCell="E23" sqref="E23"/>
      <selection pane="bottomRight" activeCell="D22" sqref="D22"/>
    </sheetView>
  </sheetViews>
  <sheetFormatPr defaultColWidth="15.85546875" defaultRowHeight="15" x14ac:dyDescent="0.25"/>
  <cols>
    <col min="1" max="1" width="35.7109375" style="6" bestFit="1" customWidth="1"/>
    <col min="2" max="19" width="15.85546875" style="5"/>
    <col min="20" max="16384" width="15.85546875" style="3"/>
  </cols>
  <sheetData>
    <row r="1" spans="1:27" s="14" customFormat="1" ht="30" x14ac:dyDescent="0.25">
      <c r="A1" s="36" t="s">
        <v>433</v>
      </c>
      <c r="B1" s="36" t="s">
        <v>155</v>
      </c>
      <c r="C1" s="36" t="s">
        <v>156</v>
      </c>
      <c r="D1" s="36" t="s">
        <v>154</v>
      </c>
      <c r="E1" s="36" t="s">
        <v>150</v>
      </c>
      <c r="F1" s="36" t="s">
        <v>148</v>
      </c>
      <c r="G1" s="36" t="s">
        <v>147</v>
      </c>
      <c r="H1" s="36" t="s">
        <v>139</v>
      </c>
      <c r="I1" s="36" t="s">
        <v>132</v>
      </c>
      <c r="J1" s="36" t="s">
        <v>130</v>
      </c>
      <c r="K1" s="36" t="s">
        <v>143</v>
      </c>
      <c r="L1" s="36" t="s">
        <v>142</v>
      </c>
      <c r="M1" s="36" t="s">
        <v>124</v>
      </c>
      <c r="N1" s="36" t="s">
        <v>115</v>
      </c>
      <c r="O1" s="36" t="s">
        <v>116</v>
      </c>
      <c r="P1" s="36" t="s">
        <v>136</v>
      </c>
      <c r="Q1" s="36" t="s">
        <v>157</v>
      </c>
      <c r="R1" s="36" t="s">
        <v>74</v>
      </c>
      <c r="S1" s="36" t="s">
        <v>129</v>
      </c>
      <c r="T1" s="36" t="s">
        <v>141</v>
      </c>
      <c r="U1" s="36" t="s">
        <v>128</v>
      </c>
      <c r="V1" s="36" t="s">
        <v>135</v>
      </c>
      <c r="W1" s="36" t="s">
        <v>138</v>
      </c>
      <c r="X1" s="36" t="s">
        <v>134</v>
      </c>
      <c r="Y1" s="31"/>
      <c r="Z1" s="31"/>
      <c r="AA1" s="31"/>
    </row>
    <row r="2" spans="1:27" s="26" customFormat="1" x14ac:dyDescent="0.25">
      <c r="A2" s="34" t="s">
        <v>0</v>
      </c>
      <c r="B2" s="16">
        <v>23325</v>
      </c>
      <c r="C2" s="17">
        <v>1459</v>
      </c>
      <c r="D2" s="17">
        <v>717</v>
      </c>
      <c r="E2" s="17">
        <v>5140</v>
      </c>
      <c r="F2" s="17">
        <v>453</v>
      </c>
      <c r="G2" s="17">
        <v>60</v>
      </c>
      <c r="H2" s="17">
        <v>5</v>
      </c>
      <c r="I2" s="17">
        <v>400</v>
      </c>
      <c r="J2" s="17">
        <v>0</v>
      </c>
      <c r="K2" s="17">
        <v>120</v>
      </c>
      <c r="L2" s="17">
        <v>1509</v>
      </c>
      <c r="M2" s="17">
        <v>9911744</v>
      </c>
      <c r="N2" s="17">
        <v>147</v>
      </c>
      <c r="O2" s="17">
        <v>251</v>
      </c>
      <c r="P2" s="17">
        <v>25</v>
      </c>
      <c r="Q2" s="17">
        <v>695</v>
      </c>
      <c r="R2" s="17">
        <v>1549</v>
      </c>
      <c r="S2" s="41">
        <v>135.5</v>
      </c>
      <c r="T2" s="17">
        <v>646</v>
      </c>
      <c r="U2" s="17">
        <v>177</v>
      </c>
      <c r="V2" s="17">
        <v>206</v>
      </c>
      <c r="W2" s="17">
        <v>680</v>
      </c>
      <c r="X2" s="17">
        <v>3560</v>
      </c>
      <c r="Y2" s="17"/>
      <c r="Z2" s="17"/>
      <c r="AA2" s="17"/>
    </row>
    <row r="3" spans="1:27" s="26" customFormat="1" x14ac:dyDescent="0.25">
      <c r="A3" s="34" t="s">
        <v>1</v>
      </c>
      <c r="B3" s="16">
        <v>385</v>
      </c>
      <c r="C3" s="17">
        <v>99</v>
      </c>
      <c r="D3" s="17">
        <v>50</v>
      </c>
      <c r="E3" s="17">
        <v>6</v>
      </c>
      <c r="F3" s="17">
        <v>36</v>
      </c>
      <c r="G3" s="17">
        <v>0</v>
      </c>
      <c r="H3" s="17">
        <v>0</v>
      </c>
      <c r="I3" s="17">
        <v>9</v>
      </c>
      <c r="J3" s="17">
        <v>0</v>
      </c>
      <c r="K3" s="17">
        <v>0</v>
      </c>
      <c r="L3" s="17">
        <v>32</v>
      </c>
      <c r="M3" s="17">
        <v>78450</v>
      </c>
      <c r="N3" s="17">
        <v>0</v>
      </c>
      <c r="O3" s="17">
        <v>0</v>
      </c>
      <c r="P3" s="17">
        <v>0</v>
      </c>
      <c r="Q3" s="17">
        <v>9</v>
      </c>
      <c r="R3" s="17">
        <v>120</v>
      </c>
      <c r="S3" s="17">
        <v>38</v>
      </c>
      <c r="T3" s="17">
        <v>0</v>
      </c>
      <c r="U3" s="17">
        <v>0</v>
      </c>
      <c r="V3" s="17">
        <v>18</v>
      </c>
      <c r="W3" s="17">
        <v>0</v>
      </c>
      <c r="X3" s="17">
        <v>0</v>
      </c>
      <c r="Y3" s="17"/>
      <c r="Z3" s="17"/>
      <c r="AA3" s="17"/>
    </row>
    <row r="4" spans="1:27"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17"/>
      <c r="Z4" s="17"/>
      <c r="AA4" s="17"/>
    </row>
    <row r="5" spans="1:27" s="26" customFormat="1" x14ac:dyDescent="0.25">
      <c r="A5" s="34" t="s">
        <v>2</v>
      </c>
      <c r="B5" s="16">
        <v>60</v>
      </c>
      <c r="C5" s="17">
        <v>10</v>
      </c>
      <c r="D5" s="17">
        <v>7</v>
      </c>
      <c r="E5" s="17">
        <v>55</v>
      </c>
      <c r="F5" s="17">
        <v>0</v>
      </c>
      <c r="G5" s="17">
        <v>0</v>
      </c>
      <c r="H5" s="17">
        <v>0</v>
      </c>
      <c r="I5" s="17">
        <v>0</v>
      </c>
      <c r="J5" s="17">
        <v>0</v>
      </c>
      <c r="K5" s="17">
        <v>3</v>
      </c>
      <c r="L5" s="17">
        <v>268</v>
      </c>
      <c r="M5" s="17">
        <v>506755</v>
      </c>
      <c r="N5" s="17">
        <v>0</v>
      </c>
      <c r="O5" s="17">
        <v>0</v>
      </c>
      <c r="P5" s="17">
        <v>0</v>
      </c>
      <c r="Q5" s="17">
        <v>0</v>
      </c>
      <c r="R5" s="17">
        <v>22</v>
      </c>
      <c r="S5" s="17">
        <v>0</v>
      </c>
      <c r="T5" s="17">
        <v>0</v>
      </c>
      <c r="U5" s="17">
        <v>0</v>
      </c>
      <c r="V5" s="17">
        <v>0</v>
      </c>
      <c r="W5" s="17">
        <v>0</v>
      </c>
      <c r="X5" s="17">
        <v>0</v>
      </c>
      <c r="Y5" s="17"/>
      <c r="Z5" s="17"/>
      <c r="AA5" s="17"/>
    </row>
    <row r="6" spans="1:27" s="26" customFormat="1" x14ac:dyDescent="0.25">
      <c r="A6" s="34" t="s">
        <v>3</v>
      </c>
      <c r="B6" s="16">
        <v>247</v>
      </c>
      <c r="C6" s="17">
        <v>143</v>
      </c>
      <c r="D6" s="17">
        <v>730</v>
      </c>
      <c r="E6" s="17">
        <v>2641</v>
      </c>
      <c r="F6" s="17">
        <v>134</v>
      </c>
      <c r="G6" s="17">
        <v>482</v>
      </c>
      <c r="H6" s="17">
        <v>12</v>
      </c>
      <c r="I6" s="17">
        <v>32</v>
      </c>
      <c r="J6" s="17">
        <v>1</v>
      </c>
      <c r="K6" s="17">
        <v>13</v>
      </c>
      <c r="L6" s="17">
        <v>115</v>
      </c>
      <c r="M6" s="17">
        <v>114292</v>
      </c>
      <c r="N6" s="17">
        <v>0</v>
      </c>
      <c r="O6" s="17">
        <v>0</v>
      </c>
      <c r="P6" s="17">
        <v>20</v>
      </c>
      <c r="Q6" s="17">
        <v>11</v>
      </c>
      <c r="R6" s="17">
        <v>6</v>
      </c>
      <c r="S6" s="17">
        <v>0</v>
      </c>
      <c r="T6" s="17">
        <v>0</v>
      </c>
      <c r="U6" s="17">
        <v>0</v>
      </c>
      <c r="V6" s="17">
        <v>2</v>
      </c>
      <c r="W6" s="17">
        <v>61</v>
      </c>
      <c r="X6" s="17">
        <v>0</v>
      </c>
      <c r="Y6" s="17"/>
      <c r="Z6" s="17"/>
      <c r="AA6" s="17"/>
    </row>
    <row r="7" spans="1:27" s="26" customFormat="1" x14ac:dyDescent="0.25">
      <c r="A7" s="34" t="s">
        <v>4</v>
      </c>
      <c r="B7" s="16">
        <v>216</v>
      </c>
      <c r="C7" s="17">
        <v>105</v>
      </c>
      <c r="D7" s="17">
        <v>116</v>
      </c>
      <c r="E7" s="17">
        <v>276</v>
      </c>
      <c r="F7" s="17">
        <v>1</v>
      </c>
      <c r="G7" s="17">
        <v>0</v>
      </c>
      <c r="H7" s="17">
        <v>0</v>
      </c>
      <c r="I7" s="17">
        <v>0</v>
      </c>
      <c r="J7" s="17">
        <v>0</v>
      </c>
      <c r="K7" s="17">
        <v>221</v>
      </c>
      <c r="L7" s="17">
        <v>1958</v>
      </c>
      <c r="M7" s="17">
        <v>1875465</v>
      </c>
      <c r="N7" s="17">
        <v>13</v>
      </c>
      <c r="O7" s="17">
        <v>5</v>
      </c>
      <c r="P7" s="17">
        <v>48</v>
      </c>
      <c r="Q7" s="17">
        <v>20</v>
      </c>
      <c r="R7" s="17">
        <v>457</v>
      </c>
      <c r="S7" s="17">
        <v>2</v>
      </c>
      <c r="T7" s="17">
        <v>109</v>
      </c>
      <c r="U7" s="17">
        <v>28</v>
      </c>
      <c r="V7" s="17">
        <v>113</v>
      </c>
      <c r="W7" s="17">
        <v>0</v>
      </c>
      <c r="X7" s="17">
        <v>0</v>
      </c>
      <c r="Y7" s="17"/>
      <c r="Z7" s="17"/>
      <c r="AA7" s="17"/>
    </row>
    <row r="8" spans="1:27" s="26" customFormat="1" x14ac:dyDescent="0.25">
      <c r="A8" s="34" t="s">
        <v>5</v>
      </c>
      <c r="B8" s="16"/>
      <c r="C8" s="17"/>
      <c r="D8" s="17"/>
      <c r="E8" s="17"/>
      <c r="F8" s="17"/>
      <c r="G8" s="17"/>
      <c r="H8" s="17"/>
      <c r="I8" s="17"/>
      <c r="J8" s="17"/>
      <c r="K8" s="17"/>
      <c r="L8" s="17"/>
      <c r="M8" s="17"/>
      <c r="N8" s="17"/>
      <c r="O8" s="17"/>
      <c r="P8" s="17"/>
      <c r="Q8" s="17"/>
      <c r="R8" s="17"/>
      <c r="S8" s="17"/>
      <c r="T8" s="17"/>
      <c r="U8" s="17"/>
      <c r="V8" s="17"/>
      <c r="W8" s="17"/>
      <c r="X8" s="17"/>
      <c r="Y8" s="17"/>
      <c r="Z8" s="17"/>
      <c r="AA8" s="17"/>
    </row>
    <row r="9" spans="1:27" s="26" customFormat="1" x14ac:dyDescent="0.25">
      <c r="A9" s="34" t="s">
        <v>6</v>
      </c>
      <c r="B9" s="16">
        <v>0</v>
      </c>
      <c r="C9" s="17">
        <v>0</v>
      </c>
      <c r="D9" s="17">
        <v>52</v>
      </c>
      <c r="E9" s="17">
        <v>148</v>
      </c>
      <c r="F9" s="17">
        <v>298</v>
      </c>
      <c r="G9" s="17">
        <v>1179</v>
      </c>
      <c r="H9" s="17">
        <v>0</v>
      </c>
      <c r="I9" s="17">
        <v>0</v>
      </c>
      <c r="J9" s="17">
        <v>0</v>
      </c>
      <c r="K9" s="17">
        <v>4</v>
      </c>
      <c r="L9" s="17">
        <v>18</v>
      </c>
      <c r="M9" s="17">
        <v>630</v>
      </c>
      <c r="N9" s="17">
        <v>0</v>
      </c>
      <c r="O9" s="17">
        <v>0</v>
      </c>
      <c r="P9" s="17">
        <v>0</v>
      </c>
      <c r="Q9" s="17">
        <v>15</v>
      </c>
      <c r="R9" s="17">
        <v>0</v>
      </c>
      <c r="S9" s="17">
        <v>0</v>
      </c>
      <c r="T9" s="17">
        <v>0</v>
      </c>
      <c r="U9" s="17">
        <v>0</v>
      </c>
      <c r="V9" s="17">
        <v>0</v>
      </c>
      <c r="W9" s="17">
        <v>0</v>
      </c>
      <c r="X9" s="17">
        <v>0</v>
      </c>
      <c r="Y9" s="17"/>
      <c r="Z9" s="17"/>
      <c r="AA9" s="17"/>
    </row>
    <row r="10" spans="1:27" s="26" customFormat="1" x14ac:dyDescent="0.25">
      <c r="A10" s="35" t="s">
        <v>7</v>
      </c>
      <c r="B10" s="19">
        <f>SUM(B2:B9)</f>
        <v>24233</v>
      </c>
      <c r="C10" s="19">
        <f t="shared" ref="C10:AA10" si="0">SUM(C2:C9)</f>
        <v>1816</v>
      </c>
      <c r="D10" s="19">
        <f t="shared" si="0"/>
        <v>1672</v>
      </c>
      <c r="E10" s="19">
        <f t="shared" si="0"/>
        <v>8266</v>
      </c>
      <c r="F10" s="19">
        <f t="shared" si="0"/>
        <v>922</v>
      </c>
      <c r="G10" s="19">
        <f t="shared" si="0"/>
        <v>1721</v>
      </c>
      <c r="H10" s="19">
        <f t="shared" si="0"/>
        <v>17</v>
      </c>
      <c r="I10" s="19">
        <f>SUM(I2:I9)</f>
        <v>441</v>
      </c>
      <c r="J10" s="19">
        <f t="shared" ref="J10:K10" si="1">SUM(J2:J9)</f>
        <v>1</v>
      </c>
      <c r="K10" s="19">
        <f t="shared" si="1"/>
        <v>361</v>
      </c>
      <c r="L10" s="19">
        <f t="shared" si="0"/>
        <v>3900</v>
      </c>
      <c r="M10" s="19">
        <f t="shared" si="0"/>
        <v>12487336</v>
      </c>
      <c r="N10" s="19">
        <f t="shared" si="0"/>
        <v>160</v>
      </c>
      <c r="O10" s="19">
        <f t="shared" si="0"/>
        <v>256</v>
      </c>
      <c r="P10" s="19">
        <f t="shared" si="0"/>
        <v>93</v>
      </c>
      <c r="Q10" s="19">
        <f t="shared" si="0"/>
        <v>750</v>
      </c>
      <c r="R10" s="19">
        <f t="shared" si="0"/>
        <v>2154</v>
      </c>
      <c r="S10" s="42">
        <f t="shared" si="0"/>
        <v>175.5</v>
      </c>
      <c r="T10" s="19">
        <f t="shared" si="0"/>
        <v>755</v>
      </c>
      <c r="U10" s="19">
        <f t="shared" si="0"/>
        <v>205</v>
      </c>
      <c r="V10" s="19">
        <f t="shared" si="0"/>
        <v>339</v>
      </c>
      <c r="W10" s="19">
        <f t="shared" si="0"/>
        <v>741</v>
      </c>
      <c r="X10" s="19">
        <f t="shared" si="0"/>
        <v>3560</v>
      </c>
      <c r="Y10" s="19">
        <f t="shared" si="0"/>
        <v>0</v>
      </c>
      <c r="Z10" s="19">
        <f t="shared" si="0"/>
        <v>0</v>
      </c>
      <c r="AA10" s="19">
        <f t="shared" si="0"/>
        <v>0</v>
      </c>
    </row>
    <row r="11" spans="1:27" s="26" customFormat="1" x14ac:dyDescent="0.25">
      <c r="A11" s="34" t="s">
        <v>8</v>
      </c>
      <c r="B11" s="16">
        <v>74390</v>
      </c>
      <c r="C11" s="16">
        <v>7223</v>
      </c>
      <c r="D11" s="16">
        <v>768</v>
      </c>
      <c r="E11" s="16">
        <v>20216</v>
      </c>
      <c r="F11" s="16">
        <v>1847</v>
      </c>
      <c r="G11" s="16">
        <v>38</v>
      </c>
      <c r="H11" s="16">
        <v>231</v>
      </c>
      <c r="I11" s="16">
        <v>5294</v>
      </c>
      <c r="J11" s="16">
        <v>516</v>
      </c>
      <c r="K11" s="16">
        <v>148</v>
      </c>
      <c r="L11" s="16">
        <v>10657</v>
      </c>
      <c r="M11" s="16">
        <v>7659923</v>
      </c>
      <c r="N11" s="16">
        <v>195</v>
      </c>
      <c r="O11" s="16">
        <v>1653</v>
      </c>
      <c r="P11" s="16">
        <v>94</v>
      </c>
      <c r="Q11" s="16">
        <v>117</v>
      </c>
      <c r="R11" s="16">
        <v>3250</v>
      </c>
      <c r="S11" s="16">
        <v>711</v>
      </c>
      <c r="T11" s="16">
        <v>88</v>
      </c>
      <c r="U11" s="16">
        <v>81</v>
      </c>
      <c r="V11" s="16">
        <v>111</v>
      </c>
      <c r="W11" s="16">
        <v>2368</v>
      </c>
      <c r="X11" s="16">
        <v>4640</v>
      </c>
      <c r="Y11" s="16"/>
      <c r="Z11" s="16"/>
      <c r="AA11" s="16"/>
    </row>
    <row r="12" spans="1:27" s="26" customFormat="1" x14ac:dyDescent="0.25">
      <c r="A12" s="34" t="s">
        <v>9</v>
      </c>
      <c r="B12" s="16"/>
      <c r="C12" s="16">
        <v>265</v>
      </c>
      <c r="D12" s="16">
        <v>331</v>
      </c>
      <c r="E12" s="16">
        <v>0</v>
      </c>
      <c r="F12" s="16">
        <v>0</v>
      </c>
      <c r="G12" s="16">
        <v>0</v>
      </c>
      <c r="H12" s="16">
        <v>0</v>
      </c>
      <c r="I12" s="16">
        <v>2</v>
      </c>
      <c r="J12" s="16">
        <v>0</v>
      </c>
      <c r="K12" s="16">
        <v>0</v>
      </c>
      <c r="L12" s="16">
        <v>10</v>
      </c>
      <c r="M12" s="16">
        <v>0</v>
      </c>
      <c r="N12" s="16">
        <v>0</v>
      </c>
      <c r="O12" s="16">
        <v>1</v>
      </c>
      <c r="P12" s="16">
        <v>0</v>
      </c>
      <c r="Q12" s="16">
        <v>0</v>
      </c>
      <c r="R12" s="16">
        <v>15</v>
      </c>
      <c r="S12" s="16">
        <v>0</v>
      </c>
      <c r="T12" s="16">
        <v>0</v>
      </c>
      <c r="U12" s="16">
        <v>0</v>
      </c>
      <c r="V12" s="16">
        <v>0</v>
      </c>
      <c r="W12" s="16">
        <v>0</v>
      </c>
      <c r="X12" s="16">
        <v>0</v>
      </c>
      <c r="Y12" s="16"/>
      <c r="Z12" s="16"/>
      <c r="AA12" s="16"/>
    </row>
    <row r="13" spans="1:27"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row>
    <row r="14" spans="1:27" s="26" customFormat="1" x14ac:dyDescent="0.25">
      <c r="A14" s="34" t="s">
        <v>10</v>
      </c>
      <c r="B14" s="16">
        <v>1014</v>
      </c>
      <c r="C14" s="16">
        <v>172</v>
      </c>
      <c r="D14" s="16">
        <v>293</v>
      </c>
      <c r="E14" s="16">
        <v>3760</v>
      </c>
      <c r="F14" s="16">
        <v>185</v>
      </c>
      <c r="G14" s="16">
        <v>25</v>
      </c>
      <c r="H14" s="16">
        <v>148</v>
      </c>
      <c r="I14" s="16">
        <v>12</v>
      </c>
      <c r="J14" s="16">
        <v>0</v>
      </c>
      <c r="K14" s="16">
        <v>4</v>
      </c>
      <c r="L14" s="16">
        <v>122</v>
      </c>
      <c r="M14" s="16">
        <v>56721</v>
      </c>
      <c r="N14" s="16">
        <v>3</v>
      </c>
      <c r="O14" s="16">
        <v>0</v>
      </c>
      <c r="P14" s="16">
        <v>17</v>
      </c>
      <c r="Q14" s="16">
        <v>12</v>
      </c>
      <c r="R14" s="16">
        <v>12</v>
      </c>
      <c r="S14" s="16">
        <v>10</v>
      </c>
      <c r="T14" s="16">
        <v>0</v>
      </c>
      <c r="U14" s="16">
        <v>0</v>
      </c>
      <c r="V14" s="16">
        <v>19</v>
      </c>
      <c r="W14" s="16">
        <v>52</v>
      </c>
      <c r="X14" s="16">
        <v>0</v>
      </c>
      <c r="Y14" s="16"/>
      <c r="Z14" s="16"/>
      <c r="AA14" s="16"/>
    </row>
    <row r="15" spans="1:27" s="26" customFormat="1" x14ac:dyDescent="0.25">
      <c r="A15" s="34" t="s">
        <v>11</v>
      </c>
      <c r="B15" s="16">
        <v>291</v>
      </c>
      <c r="C15" s="16">
        <v>38</v>
      </c>
      <c r="D15" s="16">
        <v>62</v>
      </c>
      <c r="E15" s="16">
        <v>3271</v>
      </c>
      <c r="F15" s="16">
        <v>143</v>
      </c>
      <c r="G15" s="16">
        <v>2</v>
      </c>
      <c r="H15" s="16">
        <v>153</v>
      </c>
      <c r="I15" s="16">
        <v>5</v>
      </c>
      <c r="J15" s="16">
        <v>0</v>
      </c>
      <c r="K15" s="16">
        <v>9</v>
      </c>
      <c r="L15" s="16">
        <v>1744</v>
      </c>
      <c r="M15" s="16">
        <v>148906</v>
      </c>
      <c r="N15" s="16">
        <v>0</v>
      </c>
      <c r="O15" s="16">
        <v>2</v>
      </c>
      <c r="P15" s="16">
        <v>44</v>
      </c>
      <c r="Q15" s="16">
        <v>0</v>
      </c>
      <c r="R15" s="16">
        <v>181</v>
      </c>
      <c r="S15" s="16">
        <v>11</v>
      </c>
      <c r="T15" s="16">
        <v>5</v>
      </c>
      <c r="U15" s="16">
        <v>0</v>
      </c>
      <c r="V15" s="16">
        <v>2</v>
      </c>
      <c r="W15" s="16">
        <v>0</v>
      </c>
      <c r="X15" s="16">
        <v>0</v>
      </c>
      <c r="Y15" s="16"/>
      <c r="Z15" s="16"/>
      <c r="AA15" s="16"/>
    </row>
    <row r="16" spans="1:27"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row>
    <row r="17" spans="1:27" s="26" customFormat="1" x14ac:dyDescent="0.25">
      <c r="A17" s="34" t="s">
        <v>13</v>
      </c>
      <c r="B17" s="16">
        <v>50</v>
      </c>
      <c r="C17" s="16">
        <v>0</v>
      </c>
      <c r="D17" s="16">
        <v>0</v>
      </c>
      <c r="E17" s="16">
        <v>97</v>
      </c>
      <c r="F17" s="16">
        <v>1</v>
      </c>
      <c r="G17" s="16">
        <v>66</v>
      </c>
      <c r="H17" s="16">
        <v>0</v>
      </c>
      <c r="I17" s="16">
        <v>0</v>
      </c>
      <c r="J17" s="16">
        <v>0</v>
      </c>
      <c r="K17" s="16">
        <v>0</v>
      </c>
      <c r="L17" s="16">
        <v>0</v>
      </c>
      <c r="M17" s="16"/>
      <c r="N17" s="16">
        <v>0</v>
      </c>
      <c r="O17" s="16">
        <v>0</v>
      </c>
      <c r="P17" s="16">
        <v>0</v>
      </c>
      <c r="Q17" s="16">
        <v>0</v>
      </c>
      <c r="R17" s="16">
        <v>0</v>
      </c>
      <c r="S17" s="16">
        <v>0</v>
      </c>
      <c r="T17" s="16">
        <v>0</v>
      </c>
      <c r="U17" s="16">
        <v>0</v>
      </c>
      <c r="V17" s="16">
        <v>0</v>
      </c>
      <c r="W17" s="16">
        <v>0</v>
      </c>
      <c r="X17" s="16">
        <v>0</v>
      </c>
      <c r="Y17" s="16"/>
      <c r="Z17" s="16"/>
      <c r="AA17" s="16"/>
    </row>
    <row r="18" spans="1:27" s="26" customFormat="1" x14ac:dyDescent="0.25">
      <c r="A18" s="35" t="s">
        <v>14</v>
      </c>
      <c r="B18" s="19">
        <f>SUM(B11:B17)</f>
        <v>75745</v>
      </c>
      <c r="C18" s="19">
        <f t="shared" ref="C18:AA18" si="2">SUM(C11:C17)</f>
        <v>7698</v>
      </c>
      <c r="D18" s="19">
        <f t="shared" si="2"/>
        <v>1454</v>
      </c>
      <c r="E18" s="19">
        <f t="shared" si="2"/>
        <v>27344</v>
      </c>
      <c r="F18" s="19">
        <f t="shared" si="2"/>
        <v>2176</v>
      </c>
      <c r="G18" s="19">
        <f t="shared" si="2"/>
        <v>131</v>
      </c>
      <c r="H18" s="19">
        <f t="shared" si="2"/>
        <v>532</v>
      </c>
      <c r="I18" s="19">
        <f>SUM(I11:I17)</f>
        <v>5313</v>
      </c>
      <c r="J18" s="19">
        <f t="shared" ref="J18:K18" si="3">SUM(J11:J17)</f>
        <v>516</v>
      </c>
      <c r="K18" s="19">
        <f t="shared" si="3"/>
        <v>161</v>
      </c>
      <c r="L18" s="19">
        <f t="shared" si="2"/>
        <v>12533</v>
      </c>
      <c r="M18" s="19">
        <f t="shared" si="2"/>
        <v>7865550</v>
      </c>
      <c r="N18" s="19">
        <f t="shared" si="2"/>
        <v>198</v>
      </c>
      <c r="O18" s="19">
        <f t="shared" si="2"/>
        <v>1656</v>
      </c>
      <c r="P18" s="19">
        <f t="shared" si="2"/>
        <v>155</v>
      </c>
      <c r="Q18" s="19">
        <f t="shared" si="2"/>
        <v>129</v>
      </c>
      <c r="R18" s="19">
        <f t="shared" si="2"/>
        <v>3458</v>
      </c>
      <c r="S18" s="19">
        <f t="shared" si="2"/>
        <v>732</v>
      </c>
      <c r="T18" s="19">
        <f t="shared" si="2"/>
        <v>93</v>
      </c>
      <c r="U18" s="19">
        <f t="shared" si="2"/>
        <v>81</v>
      </c>
      <c r="V18" s="19">
        <f t="shared" si="2"/>
        <v>132</v>
      </c>
      <c r="W18" s="19">
        <f t="shared" si="2"/>
        <v>2420</v>
      </c>
      <c r="X18" s="19">
        <f t="shared" si="2"/>
        <v>4640</v>
      </c>
      <c r="Y18" s="19">
        <f t="shared" si="2"/>
        <v>0</v>
      </c>
      <c r="Z18" s="19">
        <f t="shared" si="2"/>
        <v>0</v>
      </c>
      <c r="AA18" s="19">
        <f t="shared" si="2"/>
        <v>0</v>
      </c>
    </row>
    <row r="19" spans="1:27" s="26" customFormat="1" x14ac:dyDescent="0.25">
      <c r="A19" s="35" t="s">
        <v>15</v>
      </c>
      <c r="B19" s="19">
        <f>SUM(B10,B18)</f>
        <v>99978</v>
      </c>
      <c r="C19" s="19">
        <f t="shared" ref="C19:AA19" si="4">SUM(C10,C18)</f>
        <v>9514</v>
      </c>
      <c r="D19" s="19">
        <f t="shared" si="4"/>
        <v>3126</v>
      </c>
      <c r="E19" s="19">
        <f t="shared" si="4"/>
        <v>35610</v>
      </c>
      <c r="F19" s="19">
        <f t="shared" si="4"/>
        <v>3098</v>
      </c>
      <c r="G19" s="19">
        <f t="shared" si="4"/>
        <v>1852</v>
      </c>
      <c r="H19" s="19">
        <f t="shared" si="4"/>
        <v>549</v>
      </c>
      <c r="I19" s="19">
        <f>SUM(I10,I18)</f>
        <v>5754</v>
      </c>
      <c r="J19" s="19">
        <f t="shared" ref="J19:K19" si="5">SUM(J10,J18)</f>
        <v>517</v>
      </c>
      <c r="K19" s="19">
        <f t="shared" si="5"/>
        <v>522</v>
      </c>
      <c r="L19" s="19">
        <f t="shared" si="4"/>
        <v>16433</v>
      </c>
      <c r="M19" s="19">
        <f t="shared" si="4"/>
        <v>20352886</v>
      </c>
      <c r="N19" s="19">
        <f t="shared" si="4"/>
        <v>358</v>
      </c>
      <c r="O19" s="19">
        <f t="shared" si="4"/>
        <v>1912</v>
      </c>
      <c r="P19" s="19">
        <f t="shared" si="4"/>
        <v>248</v>
      </c>
      <c r="Q19" s="19">
        <f t="shared" si="4"/>
        <v>879</v>
      </c>
      <c r="R19" s="19">
        <f t="shared" si="4"/>
        <v>5612</v>
      </c>
      <c r="S19" s="42">
        <f t="shared" si="4"/>
        <v>907.5</v>
      </c>
      <c r="T19" s="19">
        <f t="shared" si="4"/>
        <v>848</v>
      </c>
      <c r="U19" s="19">
        <f t="shared" si="4"/>
        <v>286</v>
      </c>
      <c r="V19" s="19">
        <f t="shared" si="4"/>
        <v>471</v>
      </c>
      <c r="W19" s="19">
        <f t="shared" si="4"/>
        <v>3161</v>
      </c>
      <c r="X19" s="19">
        <f t="shared" si="4"/>
        <v>8200</v>
      </c>
      <c r="Y19" s="19">
        <f t="shared" si="4"/>
        <v>0</v>
      </c>
      <c r="Z19" s="19">
        <f t="shared" si="4"/>
        <v>0</v>
      </c>
      <c r="AA19" s="19">
        <f t="shared" si="4"/>
        <v>0</v>
      </c>
    </row>
    <row r="21" spans="1:27" x14ac:dyDescent="0.25">
      <c r="B21" s="44"/>
      <c r="C21" s="44"/>
      <c r="D21" s="44"/>
      <c r="E21" s="44"/>
      <c r="F21" s="44"/>
      <c r="G21" s="44"/>
      <c r="H21" s="44"/>
      <c r="I21" s="44"/>
      <c r="J21" s="44"/>
      <c r="K21" s="44"/>
      <c r="L21" s="44"/>
      <c r="M21" s="44"/>
      <c r="N21" s="44"/>
      <c r="O21" s="44"/>
      <c r="P21" s="44"/>
      <c r="Q21" s="44"/>
      <c r="R21" s="44"/>
      <c r="S21" s="44"/>
    </row>
    <row r="23" spans="1:27" x14ac:dyDescent="0.25">
      <c r="B23" s="44"/>
      <c r="C23" s="44"/>
      <c r="D23" s="44"/>
      <c r="E23" s="44"/>
      <c r="F23" s="44"/>
      <c r="G23" s="44"/>
      <c r="H23" s="44"/>
      <c r="I23" s="44"/>
      <c r="J23" s="44"/>
      <c r="K23" s="44"/>
      <c r="L23" s="44"/>
      <c r="M23" s="44"/>
      <c r="N23" s="44"/>
      <c r="O23" s="44"/>
      <c r="P23" s="44"/>
      <c r="Q23" s="44"/>
      <c r="R23" s="44"/>
      <c r="S23" s="44"/>
    </row>
    <row r="25" spans="1:27" x14ac:dyDescent="0.25">
      <c r="B25" s="44"/>
      <c r="C25" s="44"/>
      <c r="D25" s="44"/>
      <c r="E25" s="44"/>
      <c r="F25" s="44"/>
      <c r="G25" s="44"/>
      <c r="H25" s="44"/>
      <c r="I25" s="44"/>
      <c r="J25" s="44"/>
      <c r="K25" s="44"/>
      <c r="L25" s="44"/>
      <c r="M25" s="44"/>
      <c r="N25" s="44"/>
      <c r="O25" s="44"/>
      <c r="P25" s="44"/>
      <c r="Q25" s="44"/>
      <c r="R25" s="44"/>
      <c r="S25" s="44"/>
    </row>
  </sheetData>
  <sheetProtection formatCells="0" formatColumns="0" formatRows="0" insertColumns="0" insertRows="0" sort="0" autoFilter="0" pivotTables="0"/>
  <dataValidations count="1">
    <dataValidation type="list" errorStyle="information" allowBlank="1" showInputMessage="1" showErrorMessage="1" sqref="B1:AA1" xr:uid="{53BA67D9-3A4B-47F9-8E59-A5FEC5980361}">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D2BFA8B-692B-44A6-8877-E0B58DB166C2}">
          <x14:formula1>
            <xm:f>'Term List'!$A2:$A242</xm:f>
          </x14:formula1>
          <xm:sqref>AB1:XFD1</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F3C68-1538-47F0-AAC3-6BD89DBB4372}">
  <dimension ref="A1:AG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5.85546875" style="5" customWidth="1"/>
    <col min="3" max="3" width="20.140625" style="5" customWidth="1"/>
    <col min="4" max="4" width="16.28515625" style="5" customWidth="1"/>
    <col min="5" max="6" width="15.85546875" style="5" customWidth="1"/>
    <col min="7" max="7" width="16" style="3" customWidth="1"/>
    <col min="8" max="8" width="15.85546875" style="5" customWidth="1"/>
    <col min="9" max="9" width="32.28515625" style="3" customWidth="1"/>
    <col min="10" max="10" width="21.140625" style="5" customWidth="1"/>
    <col min="11" max="11" width="16.28515625" style="5" customWidth="1"/>
    <col min="12" max="12" width="17" style="5" customWidth="1"/>
    <col min="13" max="13" width="21.140625" style="3" customWidth="1"/>
    <col min="14" max="14" width="21.28515625" style="5" customWidth="1"/>
    <col min="15" max="15" width="18.28515625" style="5" customWidth="1"/>
    <col min="16" max="16" width="20.140625" style="3" customWidth="1"/>
    <col min="17" max="19" width="15.85546875" style="3" customWidth="1"/>
    <col min="20" max="20" width="18.28515625" style="3" customWidth="1"/>
    <col min="21" max="21" width="17.85546875" style="3" customWidth="1"/>
    <col min="22" max="22" width="17.28515625" style="3" customWidth="1"/>
    <col min="23" max="23" width="17.5703125" style="3" customWidth="1"/>
    <col min="24" max="24" width="21.5703125" style="5" customWidth="1"/>
    <col min="25" max="25" width="24" style="5" customWidth="1"/>
    <col min="26" max="27" width="16.28515625" style="3" customWidth="1"/>
    <col min="28" max="28" width="19.85546875" style="3" customWidth="1"/>
    <col min="29" max="29" width="22" style="3" customWidth="1"/>
    <col min="30" max="30" width="21.140625" style="3" customWidth="1"/>
    <col min="31" max="31" width="16.5703125" style="3" customWidth="1"/>
    <col min="32" max="32" width="25.5703125" style="3" customWidth="1"/>
    <col min="33" max="33" width="16.7109375" style="3" customWidth="1"/>
    <col min="34" max="16384" width="9.140625" style="3"/>
  </cols>
  <sheetData>
    <row r="1" spans="1:33" s="40" customFormat="1" ht="30" x14ac:dyDescent="0.25">
      <c r="A1" s="36" t="s">
        <v>430</v>
      </c>
      <c r="B1" s="36" t="s">
        <v>62</v>
      </c>
      <c r="C1" s="36" t="s">
        <v>55</v>
      </c>
      <c r="D1" s="36" t="s">
        <v>36</v>
      </c>
      <c r="E1" s="36" t="s">
        <v>35</v>
      </c>
      <c r="F1" s="36" t="s">
        <v>40</v>
      </c>
      <c r="G1" s="36" t="s">
        <v>99</v>
      </c>
      <c r="H1" s="36" t="s">
        <v>98</v>
      </c>
      <c r="I1" s="36" t="s">
        <v>352</v>
      </c>
      <c r="J1" s="36" t="s">
        <v>570</v>
      </c>
      <c r="K1" s="36" t="s">
        <v>571</v>
      </c>
      <c r="L1" s="36" t="s">
        <v>572</v>
      </c>
      <c r="M1" s="36" t="s">
        <v>566</v>
      </c>
      <c r="N1" s="36" t="s">
        <v>567</v>
      </c>
      <c r="O1" s="36" t="s">
        <v>568</v>
      </c>
      <c r="P1" s="36" t="s">
        <v>107</v>
      </c>
      <c r="Q1" s="36" t="s">
        <v>101</v>
      </c>
      <c r="R1" s="36" t="s">
        <v>75</v>
      </c>
      <c r="S1" s="36" t="s">
        <v>66</v>
      </c>
      <c r="T1" s="36" t="s">
        <v>330</v>
      </c>
      <c r="U1" s="36" t="s">
        <v>331</v>
      </c>
      <c r="V1" s="36" t="s">
        <v>332</v>
      </c>
      <c r="W1" s="36" t="s">
        <v>333</v>
      </c>
      <c r="X1" s="36" t="s">
        <v>32</v>
      </c>
      <c r="Y1" s="36" t="s">
        <v>31</v>
      </c>
      <c r="Z1" s="36" t="s">
        <v>110</v>
      </c>
      <c r="AA1" s="36" t="s">
        <v>103</v>
      </c>
      <c r="AB1" s="36" t="s">
        <v>497</v>
      </c>
      <c r="AC1" s="36" t="s">
        <v>501</v>
      </c>
      <c r="AD1" s="36" t="s">
        <v>111</v>
      </c>
      <c r="AE1" s="36" t="s">
        <v>49</v>
      </c>
      <c r="AF1" s="36" t="s">
        <v>499</v>
      </c>
      <c r="AG1" s="36" t="s">
        <v>500</v>
      </c>
    </row>
    <row r="2" spans="1:33"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c r="AG2" s="16"/>
    </row>
    <row r="3" spans="1:33"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row>
    <row r="4" spans="1:33" s="26" customFormat="1" x14ac:dyDescent="0.25">
      <c r="A4" s="34" t="s">
        <v>169</v>
      </c>
      <c r="B4" s="16">
        <v>5781</v>
      </c>
      <c r="C4" s="16">
        <v>0</v>
      </c>
      <c r="D4" s="16">
        <v>904</v>
      </c>
      <c r="E4" s="16">
        <v>3356</v>
      </c>
      <c r="F4" s="16">
        <v>31708</v>
      </c>
      <c r="G4" s="16">
        <v>219</v>
      </c>
      <c r="H4" s="16">
        <v>0</v>
      </c>
      <c r="I4" s="16">
        <v>4645</v>
      </c>
      <c r="J4" s="16">
        <v>0</v>
      </c>
      <c r="K4" s="16">
        <v>0</v>
      </c>
      <c r="L4" s="16">
        <v>0</v>
      </c>
      <c r="M4" s="16">
        <v>0</v>
      </c>
      <c r="N4" s="16">
        <v>16827</v>
      </c>
      <c r="O4" s="16">
        <v>0</v>
      </c>
      <c r="P4" s="16">
        <v>0</v>
      </c>
      <c r="Q4" s="16">
        <v>0</v>
      </c>
      <c r="R4" s="16">
        <v>0</v>
      </c>
      <c r="S4" s="16">
        <v>0</v>
      </c>
      <c r="T4" s="16">
        <v>0</v>
      </c>
      <c r="U4" s="16">
        <v>0</v>
      </c>
      <c r="V4" s="16">
        <v>0</v>
      </c>
      <c r="W4" s="16">
        <v>0</v>
      </c>
      <c r="X4" s="16"/>
      <c r="Y4" s="16"/>
      <c r="Z4" s="16"/>
      <c r="AA4" s="16"/>
      <c r="AB4" s="16"/>
      <c r="AC4" s="16"/>
      <c r="AD4" s="16"/>
      <c r="AE4" s="16"/>
      <c r="AF4" s="16"/>
      <c r="AG4" s="16"/>
    </row>
    <row r="5" spans="1:33"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row>
    <row r="6" spans="1:33" s="26" customFormat="1" x14ac:dyDescent="0.25">
      <c r="A6" s="34" t="s">
        <v>3</v>
      </c>
      <c r="B6" s="16">
        <v>300</v>
      </c>
      <c r="C6" s="16">
        <v>6</v>
      </c>
      <c r="D6" s="16">
        <v>12</v>
      </c>
      <c r="E6" s="16">
        <v>0</v>
      </c>
      <c r="F6" s="16">
        <v>0</v>
      </c>
      <c r="G6" s="16">
        <v>0</v>
      </c>
      <c r="H6" s="16">
        <v>25846</v>
      </c>
      <c r="I6" s="16">
        <v>634</v>
      </c>
      <c r="J6" s="16">
        <v>5022</v>
      </c>
      <c r="K6" s="16">
        <v>2276</v>
      </c>
      <c r="L6" s="16">
        <v>2811</v>
      </c>
      <c r="M6" s="16">
        <v>138</v>
      </c>
      <c r="N6" s="16">
        <v>22806</v>
      </c>
      <c r="O6" s="16">
        <v>667</v>
      </c>
      <c r="P6" s="16">
        <v>161666</v>
      </c>
      <c r="Q6" s="16">
        <v>247980</v>
      </c>
      <c r="R6" s="16">
        <v>678227</v>
      </c>
      <c r="S6" s="16">
        <v>83500</v>
      </c>
      <c r="T6" s="16">
        <v>2</v>
      </c>
      <c r="U6" s="16">
        <v>0</v>
      </c>
      <c r="V6" s="16">
        <v>0</v>
      </c>
      <c r="W6" s="16">
        <v>0</v>
      </c>
      <c r="X6" s="16"/>
      <c r="Y6" s="16"/>
      <c r="Z6" s="16"/>
      <c r="AA6" s="16"/>
      <c r="AB6" s="16"/>
      <c r="AC6" s="16"/>
      <c r="AD6" s="16"/>
      <c r="AE6" s="16"/>
      <c r="AF6" s="16"/>
      <c r="AG6" s="16"/>
    </row>
    <row r="7" spans="1:33" s="26" customFormat="1" x14ac:dyDescent="0.25">
      <c r="A7" s="34" t="s">
        <v>4</v>
      </c>
      <c r="B7" s="16">
        <v>47274</v>
      </c>
      <c r="C7" s="16">
        <v>8229</v>
      </c>
      <c r="D7" s="16">
        <v>1867</v>
      </c>
      <c r="E7" s="16">
        <v>0</v>
      </c>
      <c r="F7" s="16">
        <v>176105</v>
      </c>
      <c r="G7" s="16">
        <v>0</v>
      </c>
      <c r="H7" s="16">
        <v>1284101</v>
      </c>
      <c r="I7" s="16">
        <v>27563</v>
      </c>
      <c r="J7" s="16">
        <v>0</v>
      </c>
      <c r="K7" s="16">
        <v>0</v>
      </c>
      <c r="L7" s="16">
        <v>0</v>
      </c>
      <c r="M7" s="16">
        <v>0</v>
      </c>
      <c r="N7" s="16">
        <v>0</v>
      </c>
      <c r="O7" s="16">
        <v>0</v>
      </c>
      <c r="P7" s="16">
        <v>1632089</v>
      </c>
      <c r="Q7" s="16">
        <v>4603202</v>
      </c>
      <c r="R7" s="16">
        <v>1373259</v>
      </c>
      <c r="S7" s="16">
        <v>5480</v>
      </c>
      <c r="T7" s="16">
        <v>175</v>
      </c>
      <c r="U7" s="16">
        <v>0</v>
      </c>
      <c r="V7" s="16">
        <v>0</v>
      </c>
      <c r="W7" s="16">
        <v>0</v>
      </c>
      <c r="X7" s="16">
        <v>9</v>
      </c>
      <c r="Y7" s="16">
        <v>226</v>
      </c>
      <c r="Z7" s="16">
        <v>34000</v>
      </c>
      <c r="AA7" s="16">
        <v>14551</v>
      </c>
      <c r="AB7" s="16">
        <v>78165</v>
      </c>
      <c r="AC7" s="16">
        <v>44890</v>
      </c>
      <c r="AD7" s="16">
        <v>2003</v>
      </c>
      <c r="AE7" s="16">
        <f>13906+38310</f>
        <v>52216</v>
      </c>
      <c r="AF7" s="16">
        <v>691</v>
      </c>
      <c r="AG7" s="16">
        <v>61</v>
      </c>
    </row>
    <row r="8" spans="1:33" s="26" customFormat="1" x14ac:dyDescent="0.25">
      <c r="A8" s="34" t="s">
        <v>5</v>
      </c>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row>
    <row r="9" spans="1:33" s="26" customFormat="1" x14ac:dyDescent="0.25">
      <c r="A9" s="34" t="s">
        <v>6</v>
      </c>
      <c r="B9" s="16">
        <v>1200</v>
      </c>
      <c r="C9" s="16">
        <v>0</v>
      </c>
      <c r="D9" s="16">
        <v>0</v>
      </c>
      <c r="E9" s="16">
        <v>0</v>
      </c>
      <c r="F9" s="16">
        <v>28</v>
      </c>
      <c r="G9" s="16">
        <v>0</v>
      </c>
      <c r="H9" s="16">
        <v>3500</v>
      </c>
      <c r="I9" s="16">
        <v>3119</v>
      </c>
      <c r="J9" s="16">
        <v>0</v>
      </c>
      <c r="K9" s="16">
        <v>0</v>
      </c>
      <c r="L9" s="16">
        <v>0</v>
      </c>
      <c r="M9" s="16">
        <v>0</v>
      </c>
      <c r="N9" s="16">
        <v>0</v>
      </c>
      <c r="O9" s="16">
        <v>0</v>
      </c>
      <c r="P9" s="16">
        <v>0</v>
      </c>
      <c r="Q9" s="16">
        <v>0</v>
      </c>
      <c r="R9" s="16">
        <v>0</v>
      </c>
      <c r="S9" s="16">
        <v>0</v>
      </c>
      <c r="T9" s="16">
        <v>87</v>
      </c>
      <c r="U9" s="16">
        <v>174</v>
      </c>
      <c r="V9" s="16">
        <v>64</v>
      </c>
      <c r="W9" s="16">
        <v>61</v>
      </c>
      <c r="X9" s="16"/>
      <c r="Y9" s="16"/>
      <c r="Z9" s="16"/>
      <c r="AA9" s="16"/>
      <c r="AB9" s="16"/>
      <c r="AC9" s="16"/>
      <c r="AD9" s="16"/>
      <c r="AE9" s="16"/>
      <c r="AF9" s="16"/>
      <c r="AG9" s="16"/>
    </row>
    <row r="10" spans="1:33" s="26" customFormat="1" x14ac:dyDescent="0.25">
      <c r="A10" s="35" t="s">
        <v>7</v>
      </c>
      <c r="B10" s="19">
        <f>SUM(B2:B9)</f>
        <v>54555</v>
      </c>
      <c r="C10" s="19">
        <f>SUM(C2:C9)</f>
        <v>8235</v>
      </c>
      <c r="D10" s="19">
        <f>SUM(D2:D9)</f>
        <v>2783</v>
      </c>
      <c r="E10" s="19">
        <f>SUM(E2:E9)</f>
        <v>3356</v>
      </c>
      <c r="F10" s="19">
        <f>SUM(F2:F9)</f>
        <v>207841</v>
      </c>
      <c r="G10" s="19">
        <f t="shared" ref="G10" si="0">SUM(G2:G9)</f>
        <v>219</v>
      </c>
      <c r="H10" s="19">
        <f>SUM(H2:H9)</f>
        <v>1313447</v>
      </c>
      <c r="I10" s="19">
        <f t="shared" ref="I10:AB10" si="1">SUM(I2:I9)</f>
        <v>35961</v>
      </c>
      <c r="J10" s="19">
        <f t="shared" si="1"/>
        <v>5022</v>
      </c>
      <c r="K10" s="19">
        <f t="shared" si="1"/>
        <v>2276</v>
      </c>
      <c r="L10" s="19">
        <f t="shared" si="1"/>
        <v>2811</v>
      </c>
      <c r="M10" s="19">
        <f t="shared" si="1"/>
        <v>138</v>
      </c>
      <c r="N10" s="19">
        <f t="shared" si="1"/>
        <v>39633</v>
      </c>
      <c r="O10" s="19">
        <f t="shared" si="1"/>
        <v>667</v>
      </c>
      <c r="P10" s="19">
        <f t="shared" si="1"/>
        <v>1793755</v>
      </c>
      <c r="Q10" s="19">
        <f t="shared" si="1"/>
        <v>4851182</v>
      </c>
      <c r="R10" s="19">
        <f t="shared" si="1"/>
        <v>2051486</v>
      </c>
      <c r="S10" s="19">
        <f>SUM(S2:S9)</f>
        <v>88980</v>
      </c>
      <c r="T10" s="19">
        <f t="shared" si="1"/>
        <v>264</v>
      </c>
      <c r="U10" s="19">
        <f t="shared" si="1"/>
        <v>174</v>
      </c>
      <c r="V10" s="19">
        <f t="shared" si="1"/>
        <v>64</v>
      </c>
      <c r="W10" s="19">
        <f t="shared" si="1"/>
        <v>61</v>
      </c>
      <c r="X10" s="19">
        <f t="shared" si="1"/>
        <v>9</v>
      </c>
      <c r="Y10" s="19">
        <f t="shared" si="1"/>
        <v>226</v>
      </c>
      <c r="Z10" s="19">
        <f t="shared" si="1"/>
        <v>34000</v>
      </c>
      <c r="AA10" s="19">
        <f t="shared" si="1"/>
        <v>14551</v>
      </c>
      <c r="AB10" s="19">
        <f t="shared" si="1"/>
        <v>78165</v>
      </c>
      <c r="AC10" s="19">
        <f t="shared" ref="AC10:AG10" si="2">SUM(AC2:AC9)</f>
        <v>44890</v>
      </c>
      <c r="AD10" s="19">
        <f t="shared" si="2"/>
        <v>2003</v>
      </c>
      <c r="AE10" s="19">
        <f t="shared" si="2"/>
        <v>52216</v>
      </c>
      <c r="AF10" s="19">
        <f t="shared" si="2"/>
        <v>691</v>
      </c>
      <c r="AG10" s="19">
        <f t="shared" si="2"/>
        <v>61</v>
      </c>
    </row>
    <row r="11" spans="1:33"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row>
    <row r="12" spans="1:33"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row>
    <row r="13" spans="1:33" s="26" customFormat="1" x14ac:dyDescent="0.25">
      <c r="A13" s="34" t="s">
        <v>164</v>
      </c>
      <c r="B13" s="16">
        <v>134</v>
      </c>
      <c r="C13" s="16">
        <v>0</v>
      </c>
      <c r="D13" s="16">
        <v>121</v>
      </c>
      <c r="E13" s="16">
        <v>0</v>
      </c>
      <c r="F13" s="16">
        <v>0</v>
      </c>
      <c r="G13" s="16">
        <v>187</v>
      </c>
      <c r="H13" s="16">
        <v>0</v>
      </c>
      <c r="I13" s="16">
        <v>1361</v>
      </c>
      <c r="J13" s="16">
        <v>0</v>
      </c>
      <c r="K13" s="16">
        <v>0</v>
      </c>
      <c r="L13" s="16">
        <v>0</v>
      </c>
      <c r="M13" s="16">
        <v>0</v>
      </c>
      <c r="N13" s="16">
        <v>36542</v>
      </c>
      <c r="O13" s="16">
        <v>0</v>
      </c>
      <c r="P13" s="16">
        <v>0</v>
      </c>
      <c r="Q13" s="16">
        <v>0</v>
      </c>
      <c r="R13" s="16">
        <v>0</v>
      </c>
      <c r="S13" s="16">
        <v>0</v>
      </c>
      <c r="T13" s="16">
        <v>0</v>
      </c>
      <c r="U13" s="16">
        <v>0</v>
      </c>
      <c r="V13" s="16">
        <v>0</v>
      </c>
      <c r="W13" s="16">
        <v>0</v>
      </c>
      <c r="X13" s="16"/>
      <c r="Y13" s="16"/>
      <c r="Z13" s="16"/>
      <c r="AA13" s="16"/>
      <c r="AB13" s="16"/>
      <c r="AC13" s="16"/>
      <c r="AD13" s="16"/>
      <c r="AE13" s="16"/>
      <c r="AF13" s="16"/>
      <c r="AG13" s="16"/>
    </row>
    <row r="14" spans="1:33" s="26" customFormat="1" x14ac:dyDescent="0.25">
      <c r="A14" s="34" t="s">
        <v>10</v>
      </c>
      <c r="B14" s="16">
        <v>246</v>
      </c>
      <c r="C14" s="16">
        <v>0</v>
      </c>
      <c r="D14" s="16">
        <v>367</v>
      </c>
      <c r="E14" s="16">
        <v>0</v>
      </c>
      <c r="F14" s="16">
        <v>0</v>
      </c>
      <c r="G14" s="16">
        <v>0</v>
      </c>
      <c r="H14" s="16">
        <v>0</v>
      </c>
      <c r="I14" s="16">
        <v>155</v>
      </c>
      <c r="J14" s="16">
        <v>996</v>
      </c>
      <c r="K14" s="16">
        <v>1108</v>
      </c>
      <c r="L14" s="16">
        <v>892</v>
      </c>
      <c r="M14" s="16">
        <v>35</v>
      </c>
      <c r="N14" s="16">
        <v>6366</v>
      </c>
      <c r="O14" s="16">
        <v>263</v>
      </c>
      <c r="P14" s="16">
        <v>107551</v>
      </c>
      <c r="Q14" s="16">
        <v>705081</v>
      </c>
      <c r="R14" s="16">
        <v>1790809</v>
      </c>
      <c r="S14" s="16">
        <v>0</v>
      </c>
      <c r="T14" s="16">
        <v>0</v>
      </c>
      <c r="U14" s="16">
        <v>0</v>
      </c>
      <c r="V14" s="16">
        <v>0</v>
      </c>
      <c r="W14" s="16">
        <v>0</v>
      </c>
      <c r="X14" s="16"/>
      <c r="Y14" s="16"/>
      <c r="Z14" s="16"/>
      <c r="AA14" s="16"/>
      <c r="AB14" s="16"/>
      <c r="AC14" s="16"/>
      <c r="AD14" s="16"/>
      <c r="AE14" s="16"/>
      <c r="AF14" s="16"/>
      <c r="AG14" s="16"/>
    </row>
    <row r="15" spans="1:33" s="26" customFormat="1" x14ac:dyDescent="0.25">
      <c r="A15" s="34" t="s">
        <v>11</v>
      </c>
      <c r="B15" s="16">
        <v>5470</v>
      </c>
      <c r="C15" s="16">
        <v>1806</v>
      </c>
      <c r="D15" s="16">
        <v>0</v>
      </c>
      <c r="E15" s="16">
        <v>0</v>
      </c>
      <c r="F15" s="16">
        <v>74444</v>
      </c>
      <c r="G15" s="16">
        <v>0</v>
      </c>
      <c r="H15" s="16">
        <v>98376</v>
      </c>
      <c r="I15" s="16">
        <v>4986</v>
      </c>
      <c r="J15" s="16">
        <v>0</v>
      </c>
      <c r="K15" s="16">
        <v>0</v>
      </c>
      <c r="L15" s="16">
        <v>0</v>
      </c>
      <c r="M15" s="16">
        <v>0</v>
      </c>
      <c r="N15" s="16">
        <v>0</v>
      </c>
      <c r="O15" s="16">
        <v>0</v>
      </c>
      <c r="P15" s="16">
        <v>3204127</v>
      </c>
      <c r="Q15" s="16">
        <v>3592396</v>
      </c>
      <c r="R15" s="16">
        <v>817910</v>
      </c>
      <c r="S15" s="16">
        <v>26000</v>
      </c>
      <c r="T15" s="16">
        <v>12</v>
      </c>
      <c r="U15" s="16">
        <v>0</v>
      </c>
      <c r="V15" s="16">
        <v>0</v>
      </c>
      <c r="W15" s="16">
        <v>0</v>
      </c>
      <c r="X15" s="16">
        <v>5</v>
      </c>
      <c r="Y15" s="16">
        <v>108</v>
      </c>
      <c r="Z15" s="16">
        <v>2370</v>
      </c>
      <c r="AA15" s="16">
        <v>1031</v>
      </c>
      <c r="AB15" s="16">
        <v>1943</v>
      </c>
      <c r="AC15" s="16">
        <v>3676</v>
      </c>
      <c r="AD15" s="16">
        <v>0</v>
      </c>
      <c r="AE15" s="16">
        <f>1227+1285</f>
        <v>2512</v>
      </c>
      <c r="AF15" s="16">
        <v>0</v>
      </c>
      <c r="AG15" s="16">
        <v>0</v>
      </c>
    </row>
    <row r="16" spans="1:33"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row>
    <row r="17" spans="1:33" s="26" customFormat="1" x14ac:dyDescent="0.25">
      <c r="A17" s="34" t="s">
        <v>13</v>
      </c>
      <c r="B17" s="16">
        <v>0</v>
      </c>
      <c r="C17" s="16">
        <v>0</v>
      </c>
      <c r="D17" s="16">
        <v>0</v>
      </c>
      <c r="E17" s="16">
        <v>0</v>
      </c>
      <c r="F17" s="16">
        <v>0</v>
      </c>
      <c r="G17" s="16">
        <v>0</v>
      </c>
      <c r="H17" s="16">
        <v>0</v>
      </c>
      <c r="I17" s="16">
        <v>54</v>
      </c>
      <c r="J17" s="16">
        <v>0</v>
      </c>
      <c r="K17" s="16">
        <v>0</v>
      </c>
      <c r="L17" s="16">
        <v>0</v>
      </c>
      <c r="M17" s="16">
        <v>0</v>
      </c>
      <c r="N17" s="16">
        <v>0</v>
      </c>
      <c r="O17" s="16">
        <v>0</v>
      </c>
      <c r="P17" s="16">
        <v>0</v>
      </c>
      <c r="Q17" s="16">
        <v>0</v>
      </c>
      <c r="R17" s="16">
        <v>0</v>
      </c>
      <c r="S17" s="16">
        <v>0</v>
      </c>
      <c r="T17" s="16">
        <v>359</v>
      </c>
      <c r="U17" s="16">
        <v>84</v>
      </c>
      <c r="V17" s="16">
        <v>0</v>
      </c>
      <c r="W17" s="16">
        <v>55</v>
      </c>
      <c r="X17" s="16"/>
      <c r="Y17" s="16"/>
      <c r="Z17" s="16"/>
      <c r="AA17" s="16"/>
      <c r="AB17" s="16"/>
      <c r="AC17" s="16"/>
      <c r="AD17" s="16"/>
      <c r="AE17" s="16"/>
      <c r="AF17" s="16"/>
      <c r="AG17" s="16"/>
    </row>
    <row r="18" spans="1:33" s="26" customFormat="1" x14ac:dyDescent="0.25">
      <c r="A18" s="35" t="s">
        <v>14</v>
      </c>
      <c r="B18" s="19">
        <f>SUM(B11:B17)</f>
        <v>5850</v>
      </c>
      <c r="C18" s="19">
        <f>SUM(C11:C17)</f>
        <v>1806</v>
      </c>
      <c r="D18" s="19">
        <f>SUM(D11:D17)</f>
        <v>488</v>
      </c>
      <c r="E18" s="19">
        <f>SUM(E11:E17)</f>
        <v>0</v>
      </c>
      <c r="F18" s="19">
        <f>SUM(F11:F17)</f>
        <v>74444</v>
      </c>
      <c r="G18" s="19">
        <f t="shared" ref="G18" si="3">SUM(G11:G17)</f>
        <v>187</v>
      </c>
      <c r="H18" s="19">
        <f>SUM(H11:H17)</f>
        <v>98376</v>
      </c>
      <c r="I18" s="19">
        <f t="shared" ref="I18:AB18" si="4">SUM(I11:I17)</f>
        <v>6556</v>
      </c>
      <c r="J18" s="19">
        <f t="shared" si="4"/>
        <v>996</v>
      </c>
      <c r="K18" s="19">
        <f t="shared" si="4"/>
        <v>1108</v>
      </c>
      <c r="L18" s="19">
        <f t="shared" si="4"/>
        <v>892</v>
      </c>
      <c r="M18" s="19">
        <f t="shared" si="4"/>
        <v>35</v>
      </c>
      <c r="N18" s="19">
        <f t="shared" si="4"/>
        <v>42908</v>
      </c>
      <c r="O18" s="19">
        <f t="shared" si="4"/>
        <v>263</v>
      </c>
      <c r="P18" s="19">
        <f t="shared" si="4"/>
        <v>3311678</v>
      </c>
      <c r="Q18" s="19">
        <f t="shared" si="4"/>
        <v>4297477</v>
      </c>
      <c r="R18" s="19">
        <f t="shared" si="4"/>
        <v>2608719</v>
      </c>
      <c r="S18" s="19">
        <f>SUM(S11:S17)</f>
        <v>26000</v>
      </c>
      <c r="T18" s="19">
        <f t="shared" si="4"/>
        <v>371</v>
      </c>
      <c r="U18" s="19">
        <f t="shared" si="4"/>
        <v>84</v>
      </c>
      <c r="V18" s="19">
        <f t="shared" si="4"/>
        <v>0</v>
      </c>
      <c r="W18" s="19">
        <f t="shared" si="4"/>
        <v>55</v>
      </c>
      <c r="X18" s="19">
        <f t="shared" si="4"/>
        <v>5</v>
      </c>
      <c r="Y18" s="19">
        <f t="shared" si="4"/>
        <v>108</v>
      </c>
      <c r="Z18" s="19">
        <f t="shared" si="4"/>
        <v>2370</v>
      </c>
      <c r="AA18" s="19">
        <f t="shared" si="4"/>
        <v>1031</v>
      </c>
      <c r="AB18" s="19">
        <f t="shared" si="4"/>
        <v>1943</v>
      </c>
      <c r="AC18" s="19">
        <f t="shared" ref="AC18:AG18" si="5">SUM(AC11:AC17)</f>
        <v>3676</v>
      </c>
      <c r="AD18" s="19">
        <f t="shared" si="5"/>
        <v>0</v>
      </c>
      <c r="AE18" s="19">
        <f t="shared" si="5"/>
        <v>2512</v>
      </c>
      <c r="AF18" s="19">
        <f t="shared" si="5"/>
        <v>0</v>
      </c>
      <c r="AG18" s="19">
        <f t="shared" si="5"/>
        <v>0</v>
      </c>
    </row>
    <row r="19" spans="1:33" s="26" customFormat="1" x14ac:dyDescent="0.25">
      <c r="A19" s="35" t="s">
        <v>15</v>
      </c>
      <c r="B19" s="19">
        <f>SUM(B10,B18)</f>
        <v>60405</v>
      </c>
      <c r="C19" s="19">
        <f>SUM(C10,C18)</f>
        <v>10041</v>
      </c>
      <c r="D19" s="19">
        <f>SUM(D10,D18)</f>
        <v>3271</v>
      </c>
      <c r="E19" s="19">
        <f>SUM(E10,E18)</f>
        <v>3356</v>
      </c>
      <c r="F19" s="19">
        <f>SUM(F10,F18)</f>
        <v>282285</v>
      </c>
      <c r="G19" s="19">
        <f t="shared" ref="G19" si="6">SUM(G10,G18)</f>
        <v>406</v>
      </c>
      <c r="H19" s="19">
        <f>SUM(H10,H18)</f>
        <v>1411823</v>
      </c>
      <c r="I19" s="19">
        <f t="shared" ref="I19:AB19" si="7">SUM(I10,I18)</f>
        <v>42517</v>
      </c>
      <c r="J19" s="19">
        <f t="shared" si="7"/>
        <v>6018</v>
      </c>
      <c r="K19" s="19">
        <f t="shared" si="7"/>
        <v>3384</v>
      </c>
      <c r="L19" s="19">
        <f t="shared" si="7"/>
        <v>3703</v>
      </c>
      <c r="M19" s="19">
        <f t="shared" si="7"/>
        <v>173</v>
      </c>
      <c r="N19" s="19">
        <f t="shared" si="7"/>
        <v>82541</v>
      </c>
      <c r="O19" s="19">
        <f t="shared" si="7"/>
        <v>930</v>
      </c>
      <c r="P19" s="19">
        <f t="shared" si="7"/>
        <v>5105433</v>
      </c>
      <c r="Q19" s="19">
        <f t="shared" si="7"/>
        <v>9148659</v>
      </c>
      <c r="R19" s="19">
        <f t="shared" si="7"/>
        <v>4660205</v>
      </c>
      <c r="S19" s="19">
        <f>SUM(S10,S18)</f>
        <v>114980</v>
      </c>
      <c r="T19" s="19">
        <f t="shared" si="7"/>
        <v>635</v>
      </c>
      <c r="U19" s="19">
        <f t="shared" si="7"/>
        <v>258</v>
      </c>
      <c r="V19" s="19">
        <f t="shared" si="7"/>
        <v>64</v>
      </c>
      <c r="W19" s="19">
        <f t="shared" si="7"/>
        <v>116</v>
      </c>
      <c r="X19" s="19">
        <f t="shared" si="7"/>
        <v>14</v>
      </c>
      <c r="Y19" s="19">
        <f t="shared" si="7"/>
        <v>334</v>
      </c>
      <c r="Z19" s="19">
        <f t="shared" si="7"/>
        <v>36370</v>
      </c>
      <c r="AA19" s="19">
        <f t="shared" si="7"/>
        <v>15582</v>
      </c>
      <c r="AB19" s="19">
        <f t="shared" si="7"/>
        <v>80108</v>
      </c>
      <c r="AC19" s="19">
        <f t="shared" ref="AC19:AG19" si="8">SUM(AC10,AC18)</f>
        <v>48566</v>
      </c>
      <c r="AD19" s="19">
        <f t="shared" si="8"/>
        <v>2003</v>
      </c>
      <c r="AE19" s="19">
        <f t="shared" si="8"/>
        <v>54728</v>
      </c>
      <c r="AF19" s="19">
        <f t="shared" si="8"/>
        <v>691</v>
      </c>
      <c r="AG19" s="19">
        <f t="shared" si="8"/>
        <v>61</v>
      </c>
    </row>
    <row r="20" spans="1:33" x14ac:dyDescent="0.25">
      <c r="Z20" s="5"/>
      <c r="AA20" s="5"/>
      <c r="AB20" s="5"/>
    </row>
    <row r="21" spans="1:33"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row>
    <row r="22" spans="1:33"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row>
    <row r="23" spans="1:33"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row>
    <row r="24" spans="1:33"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row>
    <row r="25" spans="1:33"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row>
  </sheetData>
  <sheetProtection formatCells="0" formatColumns="0" formatRows="0" insertColumns="0" insertRows="0" sort="0" autoFilter="0" pivotTables="0"/>
  <dataValidations count="1">
    <dataValidation type="list" errorStyle="information" allowBlank="1" showInputMessage="1" showErrorMessage="1" sqref="B1:AG1" xr:uid="{B72E4915-1571-4B60-B782-4393ABC49211}">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B35FB161-A277-4859-B01B-1D3DA27C8306}">
          <x14:formula1>
            <xm:f>'Term List'!$A2:$A242</xm:f>
          </x14:formula1>
          <xm:sqref>AH1:XFD1</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0672E-9791-4304-B4D7-6C1695E6DE54}">
  <dimension ref="A1:N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7.140625" style="5" customWidth="1"/>
    <col min="11" max="11" width="15" style="5" customWidth="1"/>
    <col min="12" max="12" width="18.7109375" style="5" customWidth="1"/>
    <col min="13" max="13" width="16.5703125" style="5" customWidth="1"/>
    <col min="14" max="14" width="14.42578125" style="5" customWidth="1"/>
    <col min="15" max="16384" width="9.140625" style="3"/>
  </cols>
  <sheetData>
    <row r="1" spans="1:14" s="14" customFormat="1" ht="30" x14ac:dyDescent="0.25">
      <c r="A1" s="36" t="s">
        <v>428</v>
      </c>
      <c r="B1" s="36" t="s">
        <v>155</v>
      </c>
      <c r="C1" s="36" t="s">
        <v>156</v>
      </c>
      <c r="D1" s="36" t="s">
        <v>154</v>
      </c>
      <c r="E1" s="36" t="s">
        <v>150</v>
      </c>
      <c r="F1" s="36" t="s">
        <v>148</v>
      </c>
      <c r="G1" s="36" t="s">
        <v>147</v>
      </c>
      <c r="H1" s="36" t="s">
        <v>314</v>
      </c>
      <c r="I1" s="36" t="s">
        <v>139</v>
      </c>
      <c r="J1" s="36" t="s">
        <v>131</v>
      </c>
      <c r="K1" s="36" t="s">
        <v>130</v>
      </c>
      <c r="L1" s="36" t="s">
        <v>143</v>
      </c>
      <c r="M1" s="36" t="s">
        <v>142</v>
      </c>
      <c r="N1" s="36" t="s">
        <v>124</v>
      </c>
    </row>
    <row r="2" spans="1:14" s="26" customFormat="1" x14ac:dyDescent="0.25">
      <c r="A2" s="34" t="s">
        <v>0</v>
      </c>
      <c r="B2" s="16">
        <v>15098</v>
      </c>
      <c r="C2" s="17">
        <v>644</v>
      </c>
      <c r="D2" s="17">
        <v>473</v>
      </c>
      <c r="E2" s="17">
        <v>3803</v>
      </c>
      <c r="F2" s="17">
        <v>320</v>
      </c>
      <c r="G2" s="17">
        <v>0</v>
      </c>
      <c r="H2" s="17">
        <v>0</v>
      </c>
      <c r="I2" s="17">
        <v>97</v>
      </c>
      <c r="J2" s="17">
        <v>367</v>
      </c>
      <c r="K2" s="17">
        <v>85</v>
      </c>
      <c r="L2" s="17">
        <v>132</v>
      </c>
      <c r="M2" s="17">
        <v>1312</v>
      </c>
      <c r="N2" s="17">
        <v>10300328</v>
      </c>
    </row>
    <row r="3" spans="1:14" s="26" customFormat="1" x14ac:dyDescent="0.25">
      <c r="A3" s="34" t="s">
        <v>1</v>
      </c>
      <c r="B3" s="16">
        <v>149</v>
      </c>
      <c r="C3" s="17">
        <v>56</v>
      </c>
      <c r="D3" s="17">
        <v>36</v>
      </c>
      <c r="E3" s="17">
        <v>1</v>
      </c>
      <c r="F3" s="17">
        <v>34</v>
      </c>
      <c r="G3" s="17">
        <v>0</v>
      </c>
      <c r="H3" s="17">
        <v>0</v>
      </c>
      <c r="I3" s="17">
        <v>0</v>
      </c>
      <c r="J3" s="17">
        <v>0</v>
      </c>
      <c r="K3" s="17">
        <v>0</v>
      </c>
      <c r="L3" s="17">
        <v>18</v>
      </c>
      <c r="M3" s="17">
        <v>13</v>
      </c>
      <c r="N3" s="17">
        <v>59960</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84</v>
      </c>
      <c r="C6" s="17">
        <v>29</v>
      </c>
      <c r="D6" s="17">
        <v>908</v>
      </c>
      <c r="E6" s="17">
        <v>1318</v>
      </c>
      <c r="F6" s="17">
        <v>9</v>
      </c>
      <c r="G6" s="17">
        <v>101</v>
      </c>
      <c r="H6" s="17">
        <v>0</v>
      </c>
      <c r="I6" s="17">
        <v>0</v>
      </c>
      <c r="J6" s="17">
        <v>2</v>
      </c>
      <c r="K6" s="17">
        <v>2</v>
      </c>
      <c r="L6" s="17">
        <v>10</v>
      </c>
      <c r="M6" s="17">
        <v>88</v>
      </c>
      <c r="N6" s="17">
        <v>107906</v>
      </c>
    </row>
    <row r="7" spans="1:14" s="26" customFormat="1" x14ac:dyDescent="0.25">
      <c r="A7" s="34" t="s">
        <v>4</v>
      </c>
      <c r="B7" s="16">
        <v>214</v>
      </c>
      <c r="C7" s="17">
        <v>10</v>
      </c>
      <c r="D7" s="17">
        <v>227</v>
      </c>
      <c r="E7" s="17">
        <v>265</v>
      </c>
      <c r="F7" s="17">
        <v>7</v>
      </c>
      <c r="G7" s="17">
        <v>0</v>
      </c>
      <c r="H7" s="17">
        <v>0</v>
      </c>
      <c r="I7" s="17">
        <v>10</v>
      </c>
      <c r="J7" s="17">
        <v>3</v>
      </c>
      <c r="K7" s="17">
        <v>0</v>
      </c>
      <c r="L7" s="17">
        <v>174</v>
      </c>
      <c r="M7" s="17">
        <v>3176</v>
      </c>
      <c r="N7" s="17">
        <v>1596667</v>
      </c>
    </row>
    <row r="8" spans="1:14" s="26" customFormat="1" x14ac:dyDescent="0.25">
      <c r="A8" s="34" t="s">
        <v>5</v>
      </c>
      <c r="B8" s="16"/>
      <c r="C8" s="17"/>
      <c r="D8" s="17"/>
      <c r="E8" s="17"/>
      <c r="F8" s="17"/>
      <c r="G8" s="17"/>
      <c r="H8" s="17"/>
      <c r="I8" s="17"/>
      <c r="J8" s="17"/>
      <c r="K8" s="17"/>
      <c r="L8" s="17"/>
      <c r="M8" s="17"/>
      <c r="N8" s="17"/>
    </row>
    <row r="9" spans="1:14" s="26" customFormat="1" x14ac:dyDescent="0.25">
      <c r="A9" s="34" t="s">
        <v>6</v>
      </c>
      <c r="B9" s="16">
        <v>0</v>
      </c>
      <c r="C9" s="17">
        <v>0</v>
      </c>
      <c r="D9" s="17">
        <v>8</v>
      </c>
      <c r="E9" s="17">
        <v>251</v>
      </c>
      <c r="F9" s="17">
        <v>31</v>
      </c>
      <c r="G9" s="17">
        <v>0</v>
      </c>
      <c r="H9" s="17">
        <v>211</v>
      </c>
      <c r="I9" s="17">
        <v>1</v>
      </c>
      <c r="J9" s="17">
        <v>0</v>
      </c>
      <c r="K9" s="17">
        <v>0</v>
      </c>
      <c r="L9" s="17">
        <v>0</v>
      </c>
      <c r="M9" s="17">
        <v>0</v>
      </c>
      <c r="N9" s="17"/>
    </row>
    <row r="10" spans="1:14" s="26" customFormat="1" x14ac:dyDescent="0.25">
      <c r="A10" s="35" t="s">
        <v>7</v>
      </c>
      <c r="B10" s="19">
        <f>SUM(B2:B9)</f>
        <v>15545</v>
      </c>
      <c r="C10" s="19">
        <f t="shared" ref="C10:N10" si="0">SUM(C2:C9)</f>
        <v>739</v>
      </c>
      <c r="D10" s="19">
        <f t="shared" si="0"/>
        <v>1652</v>
      </c>
      <c r="E10" s="19">
        <f t="shared" si="0"/>
        <v>5638</v>
      </c>
      <c r="F10" s="19">
        <f t="shared" si="0"/>
        <v>401</v>
      </c>
      <c r="G10" s="19">
        <f t="shared" si="0"/>
        <v>101</v>
      </c>
      <c r="H10" s="19">
        <f t="shared" si="0"/>
        <v>211</v>
      </c>
      <c r="I10" s="19">
        <f t="shared" si="0"/>
        <v>108</v>
      </c>
      <c r="J10" s="19">
        <f>SUM(J2:J9)</f>
        <v>372</v>
      </c>
      <c r="K10" s="19">
        <f t="shared" si="0"/>
        <v>87</v>
      </c>
      <c r="L10" s="19">
        <f>SUM(L2:L9)</f>
        <v>334</v>
      </c>
      <c r="M10" s="19">
        <f t="shared" si="0"/>
        <v>4589</v>
      </c>
      <c r="N10" s="19">
        <f t="shared" si="0"/>
        <v>12064861</v>
      </c>
    </row>
    <row r="11" spans="1:14" s="26" customFormat="1" x14ac:dyDescent="0.25">
      <c r="A11" s="34" t="s">
        <v>8</v>
      </c>
      <c r="B11" s="16">
        <v>57061</v>
      </c>
      <c r="C11" s="16">
        <v>6170</v>
      </c>
      <c r="D11" s="16">
        <v>672</v>
      </c>
      <c r="E11" s="16">
        <v>15229</v>
      </c>
      <c r="F11" s="16">
        <v>1475</v>
      </c>
      <c r="G11" s="16"/>
      <c r="H11" s="16">
        <v>0</v>
      </c>
      <c r="I11" s="16">
        <v>584</v>
      </c>
      <c r="J11" s="16">
        <v>3575</v>
      </c>
      <c r="K11" s="16">
        <v>261</v>
      </c>
      <c r="L11" s="16">
        <v>66</v>
      </c>
      <c r="M11" s="16">
        <v>10016</v>
      </c>
      <c r="N11" s="16">
        <v>8972677</v>
      </c>
    </row>
    <row r="12" spans="1:14" s="26" customFormat="1" x14ac:dyDescent="0.25">
      <c r="A12" s="34" t="s">
        <v>9</v>
      </c>
      <c r="B12" s="16">
        <v>847</v>
      </c>
      <c r="C12" s="16">
        <v>323</v>
      </c>
      <c r="D12" s="16">
        <v>300</v>
      </c>
      <c r="E12" s="16">
        <v>0</v>
      </c>
      <c r="F12" s="16">
        <v>0</v>
      </c>
      <c r="G12" s="16">
        <v>0</v>
      </c>
      <c r="H12" s="16">
        <v>0</v>
      </c>
      <c r="I12" s="16">
        <v>0</v>
      </c>
      <c r="J12" s="16">
        <v>0</v>
      </c>
      <c r="K12" s="16">
        <v>0</v>
      </c>
      <c r="L12" s="16">
        <v>0</v>
      </c>
      <c r="M12" s="16">
        <v>0</v>
      </c>
      <c r="N12" s="16">
        <v>7018</v>
      </c>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250</v>
      </c>
      <c r="C14" s="16">
        <v>112</v>
      </c>
      <c r="D14" s="16">
        <v>182</v>
      </c>
      <c r="E14" s="16">
        <v>3631</v>
      </c>
      <c r="F14" s="16">
        <v>156</v>
      </c>
      <c r="G14" s="16">
        <v>0</v>
      </c>
      <c r="H14" s="16">
        <v>0</v>
      </c>
      <c r="I14" s="16">
        <v>103</v>
      </c>
      <c r="J14" s="16">
        <v>0</v>
      </c>
      <c r="K14" s="16">
        <v>0</v>
      </c>
      <c r="L14" s="16">
        <v>13</v>
      </c>
      <c r="M14" s="16">
        <v>97</v>
      </c>
      <c r="N14" s="16">
        <v>47084</v>
      </c>
    </row>
    <row r="15" spans="1:14" s="26" customFormat="1" x14ac:dyDescent="0.25">
      <c r="A15" s="34" t="s">
        <v>11</v>
      </c>
      <c r="B15" s="16">
        <v>111</v>
      </c>
      <c r="C15" s="16">
        <v>36</v>
      </c>
      <c r="D15" s="16">
        <v>52</v>
      </c>
      <c r="E15" s="16">
        <v>3081</v>
      </c>
      <c r="F15" s="16">
        <v>37</v>
      </c>
      <c r="G15" s="16">
        <v>0</v>
      </c>
      <c r="H15" s="16">
        <v>0</v>
      </c>
      <c r="I15" s="16">
        <v>99</v>
      </c>
      <c r="J15" s="16">
        <v>0</v>
      </c>
      <c r="K15" s="16">
        <v>0</v>
      </c>
      <c r="L15" s="16">
        <v>124</v>
      </c>
      <c r="M15" s="16">
        <v>6277</v>
      </c>
      <c r="N15" s="16">
        <v>163016</v>
      </c>
    </row>
    <row r="16" spans="1:14" s="26" customFormat="1" x14ac:dyDescent="0.25">
      <c r="A16" s="34" t="s">
        <v>12</v>
      </c>
      <c r="B16" s="16"/>
      <c r="C16" s="16"/>
      <c r="D16" s="16"/>
      <c r="E16" s="16"/>
      <c r="F16" s="16"/>
      <c r="G16" s="16"/>
      <c r="H16" s="16"/>
      <c r="I16" s="16"/>
      <c r="J16" s="16"/>
      <c r="K16" s="16"/>
      <c r="L16" s="16"/>
      <c r="M16" s="16"/>
      <c r="N16" s="16"/>
    </row>
    <row r="17" spans="1:14" s="26" customFormat="1" x14ac:dyDescent="0.25">
      <c r="A17" s="34" t="s">
        <v>13</v>
      </c>
      <c r="B17" s="16">
        <v>0</v>
      </c>
      <c r="C17" s="16">
        <v>0</v>
      </c>
      <c r="D17" s="16">
        <v>0</v>
      </c>
      <c r="E17" s="16">
        <v>51</v>
      </c>
      <c r="F17" s="16">
        <v>8</v>
      </c>
      <c r="G17" s="16">
        <v>0</v>
      </c>
      <c r="H17" s="16">
        <v>4</v>
      </c>
      <c r="I17" s="16">
        <v>0</v>
      </c>
      <c r="J17" s="16">
        <v>0</v>
      </c>
      <c r="K17" s="16">
        <v>0</v>
      </c>
      <c r="L17" s="16">
        <v>0</v>
      </c>
      <c r="M17" s="16">
        <v>0</v>
      </c>
      <c r="N17" s="16">
        <v>0</v>
      </c>
    </row>
    <row r="18" spans="1:14" s="26" customFormat="1" x14ac:dyDescent="0.25">
      <c r="A18" s="35" t="s">
        <v>14</v>
      </c>
      <c r="B18" s="19">
        <f>SUM(B11:B17)</f>
        <v>58269</v>
      </c>
      <c r="C18" s="19">
        <f t="shared" ref="C18:N18" si="1">SUM(C11:C17)</f>
        <v>6641</v>
      </c>
      <c r="D18" s="19">
        <f t="shared" si="1"/>
        <v>1206</v>
      </c>
      <c r="E18" s="19">
        <f t="shared" si="1"/>
        <v>21992</v>
      </c>
      <c r="F18" s="19">
        <f t="shared" si="1"/>
        <v>1676</v>
      </c>
      <c r="G18" s="19">
        <f t="shared" si="1"/>
        <v>0</v>
      </c>
      <c r="H18" s="19">
        <f t="shared" si="1"/>
        <v>4</v>
      </c>
      <c r="I18" s="19">
        <f t="shared" si="1"/>
        <v>786</v>
      </c>
      <c r="J18" s="19">
        <f>SUM(J11:J17)</f>
        <v>3575</v>
      </c>
      <c r="K18" s="19">
        <f t="shared" si="1"/>
        <v>261</v>
      </c>
      <c r="L18" s="19">
        <f>SUM(L11:L17)</f>
        <v>203</v>
      </c>
      <c r="M18" s="19">
        <f t="shared" si="1"/>
        <v>16390</v>
      </c>
      <c r="N18" s="19">
        <f t="shared" si="1"/>
        <v>9189795</v>
      </c>
    </row>
    <row r="19" spans="1:14" s="26" customFormat="1" x14ac:dyDescent="0.25">
      <c r="A19" s="35" t="s">
        <v>15</v>
      </c>
      <c r="B19" s="19">
        <f>SUM(B10,B18)</f>
        <v>73814</v>
      </c>
      <c r="C19" s="19">
        <f t="shared" ref="C19:N19" si="2">SUM(C10,C18)</f>
        <v>7380</v>
      </c>
      <c r="D19" s="19">
        <f t="shared" si="2"/>
        <v>2858</v>
      </c>
      <c r="E19" s="19">
        <f t="shared" si="2"/>
        <v>27630</v>
      </c>
      <c r="F19" s="19">
        <f t="shared" si="2"/>
        <v>2077</v>
      </c>
      <c r="G19" s="19">
        <f t="shared" si="2"/>
        <v>101</v>
      </c>
      <c r="H19" s="19">
        <f t="shared" si="2"/>
        <v>215</v>
      </c>
      <c r="I19" s="19">
        <f t="shared" si="2"/>
        <v>894</v>
      </c>
      <c r="J19" s="19">
        <f>SUM(J10,J18)</f>
        <v>3947</v>
      </c>
      <c r="K19" s="19">
        <f t="shared" si="2"/>
        <v>348</v>
      </c>
      <c r="L19" s="19">
        <f>SUM(L10,L18)</f>
        <v>537</v>
      </c>
      <c r="M19" s="19">
        <f t="shared" si="2"/>
        <v>20979</v>
      </c>
      <c r="N19" s="19">
        <f t="shared" si="2"/>
        <v>21254656</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row r="25" spans="1:14" x14ac:dyDescent="0.25">
      <c r="B25" s="44"/>
      <c r="C25" s="44"/>
      <c r="D25" s="44"/>
      <c r="E25" s="44"/>
      <c r="F25" s="44"/>
      <c r="G25" s="44"/>
      <c r="H25" s="44"/>
      <c r="I25" s="44"/>
      <c r="J25" s="44"/>
      <c r="K25" s="44"/>
      <c r="L25" s="44"/>
      <c r="M25" s="44"/>
      <c r="N25" s="44"/>
    </row>
  </sheetData>
  <sheetProtection formatCells="0" formatColumns="0" formatRows="0" insertColumns="0" insertRows="0" sort="0" autoFilter="0" pivotTables="0"/>
  <dataValidations count="1">
    <dataValidation type="list" errorStyle="information" allowBlank="1" showInputMessage="1" showErrorMessage="1" sqref="B1:N1" xr:uid="{69D8BDE8-C95F-4673-ABBB-1734AFA32327}">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DCA0F11-264D-4A2F-B578-9F4BB59D07ED}">
          <x14:formula1>
            <xm:f>'Term List'!$A2:$A242</xm:f>
          </x14:formula1>
          <xm:sqref>O1:XFD1</xm:sqref>
        </x14:dataValidation>
      </x14:dataValidation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6E4C3-9E7F-4139-B8D1-A61FC29A4018}">
  <dimension ref="A1:Y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7" width="15.85546875" style="5" customWidth="1"/>
    <col min="8" max="8" width="24.5703125" style="3" customWidth="1"/>
    <col min="9" max="9" width="21.7109375" style="5" customWidth="1"/>
    <col min="10" max="10" width="23.85546875" style="5" customWidth="1"/>
    <col min="11" max="11" width="25.85546875" style="3" customWidth="1"/>
    <col min="12" max="12" width="23.7109375" style="3" customWidth="1"/>
    <col min="13" max="13" width="21.140625" style="5" customWidth="1"/>
    <col min="14" max="14" width="16.28515625" style="5" customWidth="1"/>
    <col min="15" max="15" width="17" style="5" customWidth="1"/>
    <col min="16" max="16" width="21.140625" style="3" customWidth="1"/>
    <col min="17" max="17" width="21.28515625" style="5" customWidth="1"/>
    <col min="18" max="18" width="18.28515625" style="5" customWidth="1"/>
    <col min="19" max="19" width="20.140625" style="3" customWidth="1"/>
    <col min="20" max="21" width="15.85546875" style="3" customWidth="1"/>
    <col min="22" max="22" width="18.28515625" style="3" customWidth="1"/>
    <col min="23" max="23" width="17.85546875" style="3" customWidth="1"/>
    <col min="24" max="24" width="17.28515625" style="3" customWidth="1"/>
    <col min="25" max="25" width="17.5703125" style="3" customWidth="1"/>
    <col min="26" max="16384" width="9.140625" style="3"/>
  </cols>
  <sheetData>
    <row r="1" spans="1:25" s="40" customFormat="1" ht="30" x14ac:dyDescent="0.25">
      <c r="A1" s="36" t="s">
        <v>426</v>
      </c>
      <c r="B1" s="36" t="s">
        <v>62</v>
      </c>
      <c r="C1" s="36" t="s">
        <v>36</v>
      </c>
      <c r="D1" s="36" t="s">
        <v>35</v>
      </c>
      <c r="E1" s="36" t="s">
        <v>39</v>
      </c>
      <c r="F1" s="36" t="s">
        <v>99</v>
      </c>
      <c r="G1" s="36" t="s">
        <v>94</v>
      </c>
      <c r="H1" s="36" t="s">
        <v>386</v>
      </c>
      <c r="I1" s="36" t="s">
        <v>387</v>
      </c>
      <c r="J1" s="36" t="s">
        <v>388</v>
      </c>
      <c r="K1" s="36" t="s">
        <v>383</v>
      </c>
      <c r="L1" s="36" t="s">
        <v>384</v>
      </c>
      <c r="M1" s="36" t="s">
        <v>570</v>
      </c>
      <c r="N1" s="36" t="s">
        <v>571</v>
      </c>
      <c r="O1" s="36" t="s">
        <v>572</v>
      </c>
      <c r="P1" s="36" t="s">
        <v>566</v>
      </c>
      <c r="Q1" s="36" t="s">
        <v>567</v>
      </c>
      <c r="R1" s="36" t="s">
        <v>568</v>
      </c>
      <c r="S1" s="36" t="s">
        <v>107</v>
      </c>
      <c r="T1" s="36" t="s">
        <v>101</v>
      </c>
      <c r="U1" s="36" t="s">
        <v>75</v>
      </c>
      <c r="V1" s="36" t="s">
        <v>330</v>
      </c>
      <c r="W1" s="36" t="s">
        <v>331</v>
      </c>
      <c r="X1" s="36" t="s">
        <v>332</v>
      </c>
      <c r="Y1" s="36" t="s">
        <v>333</v>
      </c>
    </row>
    <row r="2" spans="1:25"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row>
    <row r="3" spans="1:25"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row>
    <row r="4" spans="1:25" s="26" customFormat="1" x14ac:dyDescent="0.25">
      <c r="A4" s="34" t="s">
        <v>169</v>
      </c>
      <c r="B4" s="16">
        <v>8532</v>
      </c>
      <c r="C4" s="16">
        <v>300</v>
      </c>
      <c r="D4" s="16">
        <v>3610</v>
      </c>
      <c r="E4" s="16">
        <v>0</v>
      </c>
      <c r="F4" s="16">
        <v>231</v>
      </c>
      <c r="G4" s="16">
        <v>22</v>
      </c>
      <c r="H4" s="16">
        <v>0</v>
      </c>
      <c r="I4" s="16">
        <v>0</v>
      </c>
      <c r="J4" s="16">
        <v>0</v>
      </c>
      <c r="K4" s="16">
        <v>0</v>
      </c>
      <c r="L4" s="16"/>
      <c r="M4" s="16">
        <v>0</v>
      </c>
      <c r="N4" s="16">
        <v>0</v>
      </c>
      <c r="O4" s="16">
        <v>0</v>
      </c>
      <c r="P4" s="16">
        <v>0</v>
      </c>
      <c r="Q4" s="16">
        <v>17212</v>
      </c>
      <c r="R4" s="16">
        <v>0</v>
      </c>
      <c r="S4" s="16">
        <v>0</v>
      </c>
      <c r="T4" s="16">
        <v>0</v>
      </c>
      <c r="U4" s="16">
        <v>0</v>
      </c>
      <c r="V4" s="16">
        <v>0</v>
      </c>
      <c r="W4" s="16">
        <v>0</v>
      </c>
      <c r="X4" s="16">
        <v>0</v>
      </c>
      <c r="Y4" s="16">
        <v>0</v>
      </c>
    </row>
    <row r="5" spans="1:25"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row>
    <row r="6" spans="1:25" s="26" customFormat="1" x14ac:dyDescent="0.25">
      <c r="A6" s="34" t="s">
        <v>3</v>
      </c>
      <c r="B6" s="16">
        <v>806</v>
      </c>
      <c r="C6" s="16">
        <v>20</v>
      </c>
      <c r="D6" s="16">
        <v>0</v>
      </c>
      <c r="E6" s="16">
        <v>200</v>
      </c>
      <c r="F6" s="16">
        <v>36</v>
      </c>
      <c r="G6" s="16">
        <v>50</v>
      </c>
      <c r="H6" s="16">
        <v>100</v>
      </c>
      <c r="I6" s="16">
        <v>0</v>
      </c>
      <c r="J6" s="16">
        <v>134</v>
      </c>
      <c r="K6" s="16">
        <v>0</v>
      </c>
      <c r="L6" s="16">
        <v>0</v>
      </c>
      <c r="M6" s="16">
        <v>4576</v>
      </c>
      <c r="N6" s="16">
        <v>3112</v>
      </c>
      <c r="O6" s="16">
        <v>2909</v>
      </c>
      <c r="P6" s="16">
        <v>202</v>
      </c>
      <c r="Q6" s="16">
        <v>18948</v>
      </c>
      <c r="R6" s="16">
        <v>766</v>
      </c>
      <c r="S6" s="16">
        <v>138510</v>
      </c>
      <c r="T6" s="16">
        <v>275500</v>
      </c>
      <c r="U6" s="16">
        <v>337040</v>
      </c>
      <c r="V6" s="16">
        <v>23</v>
      </c>
      <c r="W6" s="16">
        <v>0</v>
      </c>
      <c r="X6" s="16">
        <v>0</v>
      </c>
      <c r="Y6" s="16">
        <v>0</v>
      </c>
    </row>
    <row r="7" spans="1:25" s="26" customFormat="1" x14ac:dyDescent="0.25">
      <c r="A7" s="34" t="s">
        <v>4</v>
      </c>
      <c r="B7" s="16">
        <v>48482</v>
      </c>
      <c r="C7" s="16">
        <v>3680</v>
      </c>
      <c r="D7" s="16">
        <v>0</v>
      </c>
      <c r="E7" s="16">
        <v>3155</v>
      </c>
      <c r="F7" s="16">
        <v>2296</v>
      </c>
      <c r="G7" s="16">
        <v>359</v>
      </c>
      <c r="H7" s="16">
        <v>51847</v>
      </c>
      <c r="I7" s="16">
        <v>1298</v>
      </c>
      <c r="J7" s="16">
        <v>17046</v>
      </c>
      <c r="K7" s="16">
        <v>617</v>
      </c>
      <c r="L7" s="16">
        <v>1298</v>
      </c>
      <c r="M7" s="16">
        <v>0</v>
      </c>
      <c r="N7" s="16">
        <v>0</v>
      </c>
      <c r="O7" s="16">
        <v>0</v>
      </c>
      <c r="P7" s="16">
        <v>0</v>
      </c>
      <c r="Q7" s="16">
        <v>0</v>
      </c>
      <c r="R7" s="16">
        <v>0</v>
      </c>
      <c r="S7" s="16">
        <v>1294039</v>
      </c>
      <c r="T7" s="16">
        <v>2797424</v>
      </c>
      <c r="U7" s="16">
        <v>1617967</v>
      </c>
      <c r="V7" s="16">
        <v>141</v>
      </c>
      <c r="W7" s="16">
        <v>0</v>
      </c>
      <c r="X7" s="16">
        <v>0</v>
      </c>
      <c r="Y7" s="16">
        <v>19</v>
      </c>
    </row>
    <row r="8" spans="1:25" s="26" customFormat="1" x14ac:dyDescent="0.25">
      <c r="A8" s="34" t="s">
        <v>5</v>
      </c>
      <c r="B8" s="16"/>
      <c r="C8" s="16"/>
      <c r="D8" s="16"/>
      <c r="E8" s="16"/>
      <c r="F8" s="16"/>
      <c r="G8" s="16"/>
      <c r="H8" s="16"/>
      <c r="I8" s="16"/>
      <c r="J8" s="16"/>
      <c r="K8" s="16"/>
      <c r="L8" s="16"/>
      <c r="M8" s="16"/>
      <c r="N8" s="16"/>
      <c r="O8" s="16"/>
      <c r="P8" s="16"/>
      <c r="Q8" s="16"/>
      <c r="R8" s="16"/>
      <c r="S8" s="16"/>
      <c r="T8" s="16"/>
      <c r="U8" s="16"/>
      <c r="V8" s="16"/>
      <c r="W8" s="16"/>
      <c r="X8" s="16"/>
      <c r="Y8" s="16"/>
    </row>
    <row r="9" spans="1:25" s="26" customFormat="1" x14ac:dyDescent="0.25">
      <c r="A9" s="34" t="s">
        <v>6</v>
      </c>
      <c r="B9" s="16">
        <v>1654</v>
      </c>
      <c r="C9" s="16">
        <v>0</v>
      </c>
      <c r="D9" s="16">
        <v>0</v>
      </c>
      <c r="E9" s="16">
        <v>0</v>
      </c>
      <c r="F9" s="16">
        <v>5</v>
      </c>
      <c r="G9" s="16">
        <v>170</v>
      </c>
      <c r="H9" s="16">
        <v>7165</v>
      </c>
      <c r="I9" s="16">
        <v>81</v>
      </c>
      <c r="J9" s="16">
        <v>197</v>
      </c>
      <c r="K9" s="16">
        <v>61</v>
      </c>
      <c r="L9" s="16">
        <v>81</v>
      </c>
      <c r="M9" s="16">
        <v>0</v>
      </c>
      <c r="N9" s="16">
        <v>0</v>
      </c>
      <c r="O9" s="16">
        <v>0</v>
      </c>
      <c r="P9" s="16">
        <v>0</v>
      </c>
      <c r="Q9" s="16">
        <v>0</v>
      </c>
      <c r="R9" s="16">
        <v>0</v>
      </c>
      <c r="S9" s="16">
        <v>0</v>
      </c>
      <c r="T9" s="16">
        <v>0</v>
      </c>
      <c r="U9" s="16">
        <v>0</v>
      </c>
      <c r="V9" s="16">
        <v>22</v>
      </c>
      <c r="W9" s="16">
        <v>155</v>
      </c>
      <c r="X9" s="16">
        <v>86</v>
      </c>
      <c r="Y9" s="16">
        <v>1</v>
      </c>
    </row>
    <row r="10" spans="1:25" s="26" customFormat="1" x14ac:dyDescent="0.25">
      <c r="A10" s="35" t="s">
        <v>7</v>
      </c>
      <c r="B10" s="19">
        <f>SUM(B2:B9)</f>
        <v>59474</v>
      </c>
      <c r="C10" s="19">
        <f>SUM(C2:C9)</f>
        <v>4000</v>
      </c>
      <c r="D10" s="19">
        <f>SUM(D2:D9)</f>
        <v>3610</v>
      </c>
      <c r="E10" s="19">
        <f>SUM(E2:E9)</f>
        <v>3355</v>
      </c>
      <c r="F10" s="19">
        <f t="shared" ref="F10" si="0">SUM(F2:F9)</f>
        <v>2568</v>
      </c>
      <c r="G10" s="19">
        <f t="shared" ref="G10:Y10" si="1">SUM(G2:G9)</f>
        <v>601</v>
      </c>
      <c r="H10" s="19">
        <f t="shared" si="1"/>
        <v>59112</v>
      </c>
      <c r="I10" s="19">
        <f t="shared" si="1"/>
        <v>1379</v>
      </c>
      <c r="J10" s="19">
        <f t="shared" si="1"/>
        <v>17377</v>
      </c>
      <c r="K10" s="19">
        <f t="shared" si="1"/>
        <v>678</v>
      </c>
      <c r="L10" s="19">
        <f t="shared" si="1"/>
        <v>1379</v>
      </c>
      <c r="M10" s="19">
        <f t="shared" si="1"/>
        <v>4576</v>
      </c>
      <c r="N10" s="19">
        <f t="shared" si="1"/>
        <v>3112</v>
      </c>
      <c r="O10" s="19">
        <f t="shared" si="1"/>
        <v>2909</v>
      </c>
      <c r="P10" s="19">
        <f t="shared" si="1"/>
        <v>202</v>
      </c>
      <c r="Q10" s="19">
        <f t="shared" si="1"/>
        <v>36160</v>
      </c>
      <c r="R10" s="19">
        <f t="shared" si="1"/>
        <v>766</v>
      </c>
      <c r="S10" s="19">
        <f t="shared" si="1"/>
        <v>1432549</v>
      </c>
      <c r="T10" s="19">
        <f t="shared" si="1"/>
        <v>3072924</v>
      </c>
      <c r="U10" s="19">
        <f t="shared" si="1"/>
        <v>1955007</v>
      </c>
      <c r="V10" s="19">
        <f t="shared" si="1"/>
        <v>186</v>
      </c>
      <c r="W10" s="19">
        <f t="shared" si="1"/>
        <v>155</v>
      </c>
      <c r="X10" s="19">
        <f t="shared" si="1"/>
        <v>86</v>
      </c>
      <c r="Y10" s="19">
        <f t="shared" si="1"/>
        <v>20</v>
      </c>
    </row>
    <row r="11" spans="1:25"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row>
    <row r="12" spans="1:25"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row>
    <row r="13" spans="1:25" s="26" customFormat="1" x14ac:dyDescent="0.25">
      <c r="A13" s="34" t="s">
        <v>164</v>
      </c>
      <c r="B13" s="16">
        <v>959</v>
      </c>
      <c r="C13" s="16">
        <v>64</v>
      </c>
      <c r="D13" s="16">
        <v>0</v>
      </c>
      <c r="E13" s="16">
        <v>0</v>
      </c>
      <c r="F13" s="16">
        <v>225</v>
      </c>
      <c r="G13" s="16">
        <v>0</v>
      </c>
      <c r="H13" s="16">
        <v>0</v>
      </c>
      <c r="I13" s="16">
        <v>0</v>
      </c>
      <c r="J13" s="16">
        <v>0</v>
      </c>
      <c r="K13" s="16">
        <v>0</v>
      </c>
      <c r="L13" s="16">
        <v>0</v>
      </c>
      <c r="M13" s="16">
        <v>0</v>
      </c>
      <c r="N13" s="16">
        <v>0</v>
      </c>
      <c r="O13" s="16">
        <v>0</v>
      </c>
      <c r="P13" s="16">
        <v>0</v>
      </c>
      <c r="Q13" s="16">
        <v>34664</v>
      </c>
      <c r="R13" s="16">
        <v>0</v>
      </c>
      <c r="S13" s="16">
        <v>0</v>
      </c>
      <c r="T13" s="16">
        <v>0</v>
      </c>
      <c r="U13" s="16">
        <v>0</v>
      </c>
      <c r="V13" s="16">
        <v>0</v>
      </c>
      <c r="W13" s="16">
        <v>0</v>
      </c>
      <c r="X13" s="16">
        <v>0</v>
      </c>
      <c r="Y13" s="16">
        <v>0</v>
      </c>
    </row>
    <row r="14" spans="1:25" s="26" customFormat="1" x14ac:dyDescent="0.25">
      <c r="A14" s="34" t="s">
        <v>10</v>
      </c>
      <c r="B14" s="16">
        <v>611</v>
      </c>
      <c r="C14" s="16">
        <v>56</v>
      </c>
      <c r="D14" s="16">
        <v>10</v>
      </c>
      <c r="E14" s="16">
        <v>0</v>
      </c>
      <c r="F14" s="16">
        <v>10</v>
      </c>
      <c r="G14" s="16">
        <v>0</v>
      </c>
      <c r="H14" s="16">
        <v>723</v>
      </c>
      <c r="I14" s="16">
        <v>100</v>
      </c>
      <c r="J14" s="16">
        <v>276</v>
      </c>
      <c r="K14" s="16">
        <v>0</v>
      </c>
      <c r="L14" s="16">
        <v>100</v>
      </c>
      <c r="M14" s="16">
        <v>583</v>
      </c>
      <c r="N14" s="16">
        <v>1394</v>
      </c>
      <c r="O14" s="16">
        <v>12330</v>
      </c>
      <c r="P14" s="16">
        <v>30</v>
      </c>
      <c r="Q14" s="16">
        <v>6014</v>
      </c>
      <c r="R14" s="16">
        <v>367</v>
      </c>
      <c r="S14" s="16">
        <v>514249</v>
      </c>
      <c r="T14" s="16">
        <v>634300</v>
      </c>
      <c r="U14" s="16">
        <v>1959780</v>
      </c>
      <c r="V14" s="16">
        <v>23</v>
      </c>
      <c r="W14" s="16">
        <v>0</v>
      </c>
      <c r="X14" s="16">
        <v>0</v>
      </c>
      <c r="Y14" s="16">
        <v>0</v>
      </c>
    </row>
    <row r="15" spans="1:25" s="26" customFormat="1" x14ac:dyDescent="0.25">
      <c r="A15" s="34" t="s">
        <v>11</v>
      </c>
      <c r="B15" s="16">
        <v>4896</v>
      </c>
      <c r="C15" s="16">
        <v>1006</v>
      </c>
      <c r="D15" s="16">
        <v>20</v>
      </c>
      <c r="E15" s="16">
        <v>226</v>
      </c>
      <c r="F15" s="16">
        <v>304</v>
      </c>
      <c r="G15" s="16">
        <v>0</v>
      </c>
      <c r="H15" s="16">
        <v>9797</v>
      </c>
      <c r="I15" s="16">
        <v>499</v>
      </c>
      <c r="J15" s="16">
        <v>3107</v>
      </c>
      <c r="K15" s="16">
        <v>50</v>
      </c>
      <c r="L15" s="16">
        <v>499</v>
      </c>
      <c r="M15" s="16">
        <v>0</v>
      </c>
      <c r="N15" s="16">
        <v>0</v>
      </c>
      <c r="O15" s="16">
        <v>0</v>
      </c>
      <c r="P15" s="16">
        <v>0</v>
      </c>
      <c r="Q15" s="16">
        <v>0</v>
      </c>
      <c r="R15" s="16">
        <v>0</v>
      </c>
      <c r="S15" s="16">
        <v>2505333</v>
      </c>
      <c r="T15" s="16">
        <v>1915995</v>
      </c>
      <c r="U15" s="16">
        <v>1573288</v>
      </c>
      <c r="V15" s="16">
        <v>7</v>
      </c>
      <c r="W15" s="16">
        <v>36</v>
      </c>
      <c r="X15" s="16">
        <v>0</v>
      </c>
      <c r="Y15" s="16">
        <v>0</v>
      </c>
    </row>
    <row r="16" spans="1:25"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row>
    <row r="17" spans="1:25" s="26" customFormat="1" x14ac:dyDescent="0.25">
      <c r="A17" s="34" t="s">
        <v>13</v>
      </c>
      <c r="B17" s="16">
        <v>0</v>
      </c>
      <c r="C17" s="16">
        <v>0</v>
      </c>
      <c r="D17" s="16">
        <v>0</v>
      </c>
      <c r="E17" s="16">
        <v>0</v>
      </c>
      <c r="F17" s="16">
        <v>0</v>
      </c>
      <c r="G17" s="16">
        <v>0</v>
      </c>
      <c r="H17" s="16">
        <v>200</v>
      </c>
      <c r="I17" s="16">
        <v>0</v>
      </c>
      <c r="J17" s="16">
        <v>0</v>
      </c>
      <c r="K17" s="16">
        <v>0</v>
      </c>
      <c r="L17" s="16">
        <v>0</v>
      </c>
      <c r="M17" s="16">
        <v>0</v>
      </c>
      <c r="N17" s="16">
        <v>0</v>
      </c>
      <c r="O17" s="16">
        <v>0</v>
      </c>
      <c r="P17" s="16">
        <v>0</v>
      </c>
      <c r="Q17" s="16">
        <v>0</v>
      </c>
      <c r="R17" s="16">
        <v>0</v>
      </c>
      <c r="S17" s="16">
        <v>0</v>
      </c>
      <c r="T17" s="16"/>
      <c r="U17" s="16"/>
      <c r="V17" s="16">
        <v>204</v>
      </c>
      <c r="W17" s="16">
        <v>13</v>
      </c>
      <c r="X17" s="16">
        <v>0</v>
      </c>
      <c r="Y17" s="16">
        <v>0</v>
      </c>
    </row>
    <row r="18" spans="1:25" s="26" customFormat="1" x14ac:dyDescent="0.25">
      <c r="A18" s="35" t="s">
        <v>14</v>
      </c>
      <c r="B18" s="19">
        <f>SUM(B11:B17)</f>
        <v>6466</v>
      </c>
      <c r="C18" s="19">
        <f>SUM(C11:C17)</f>
        <v>1126</v>
      </c>
      <c r="D18" s="19">
        <f>SUM(D11:D17)</f>
        <v>30</v>
      </c>
      <c r="E18" s="19">
        <f>SUM(E11:E17)</f>
        <v>226</v>
      </c>
      <c r="F18" s="19">
        <f t="shared" ref="F18" si="2">SUM(F11:F17)</f>
        <v>539</v>
      </c>
      <c r="G18" s="19">
        <f t="shared" ref="G18:Y18" si="3">SUM(G11:G17)</f>
        <v>0</v>
      </c>
      <c r="H18" s="19">
        <f t="shared" si="3"/>
        <v>10720</v>
      </c>
      <c r="I18" s="19">
        <f t="shared" si="3"/>
        <v>599</v>
      </c>
      <c r="J18" s="19">
        <f t="shared" si="3"/>
        <v>3383</v>
      </c>
      <c r="K18" s="19">
        <f t="shared" si="3"/>
        <v>50</v>
      </c>
      <c r="L18" s="19">
        <f t="shared" si="3"/>
        <v>599</v>
      </c>
      <c r="M18" s="19">
        <f t="shared" si="3"/>
        <v>583</v>
      </c>
      <c r="N18" s="19">
        <f t="shared" si="3"/>
        <v>1394</v>
      </c>
      <c r="O18" s="19">
        <f t="shared" si="3"/>
        <v>12330</v>
      </c>
      <c r="P18" s="19">
        <f t="shared" si="3"/>
        <v>30</v>
      </c>
      <c r="Q18" s="19">
        <f t="shared" si="3"/>
        <v>40678</v>
      </c>
      <c r="R18" s="19">
        <f t="shared" si="3"/>
        <v>367</v>
      </c>
      <c r="S18" s="19">
        <f t="shared" si="3"/>
        <v>3019582</v>
      </c>
      <c r="T18" s="19">
        <f t="shared" si="3"/>
        <v>2550295</v>
      </c>
      <c r="U18" s="19">
        <f t="shared" si="3"/>
        <v>3533068</v>
      </c>
      <c r="V18" s="19">
        <f t="shared" si="3"/>
        <v>234</v>
      </c>
      <c r="W18" s="19">
        <f t="shared" si="3"/>
        <v>49</v>
      </c>
      <c r="X18" s="19">
        <f t="shared" si="3"/>
        <v>0</v>
      </c>
      <c r="Y18" s="19">
        <f t="shared" si="3"/>
        <v>0</v>
      </c>
    </row>
    <row r="19" spans="1:25" s="26" customFormat="1" x14ac:dyDescent="0.25">
      <c r="A19" s="35" t="s">
        <v>15</v>
      </c>
      <c r="B19" s="19">
        <f>SUM(B10,B18)</f>
        <v>65940</v>
      </c>
      <c r="C19" s="19">
        <f>SUM(C10,C18)</f>
        <v>5126</v>
      </c>
      <c r="D19" s="19">
        <f>SUM(D10,D18)</f>
        <v>3640</v>
      </c>
      <c r="E19" s="19">
        <f>SUM(E10,E18)</f>
        <v>3581</v>
      </c>
      <c r="F19" s="19">
        <f t="shared" ref="F19" si="4">SUM(F10,F18)</f>
        <v>3107</v>
      </c>
      <c r="G19" s="19">
        <f t="shared" ref="G19:Y19" si="5">SUM(G10,G18)</f>
        <v>601</v>
      </c>
      <c r="H19" s="19">
        <f t="shared" si="5"/>
        <v>69832</v>
      </c>
      <c r="I19" s="19">
        <f t="shared" si="5"/>
        <v>1978</v>
      </c>
      <c r="J19" s="19">
        <f t="shared" si="5"/>
        <v>20760</v>
      </c>
      <c r="K19" s="19">
        <f t="shared" si="5"/>
        <v>728</v>
      </c>
      <c r="L19" s="19">
        <f t="shared" si="5"/>
        <v>1978</v>
      </c>
      <c r="M19" s="19">
        <f t="shared" si="5"/>
        <v>5159</v>
      </c>
      <c r="N19" s="19">
        <f t="shared" si="5"/>
        <v>4506</v>
      </c>
      <c r="O19" s="19">
        <f t="shared" si="5"/>
        <v>15239</v>
      </c>
      <c r="P19" s="19">
        <f t="shared" si="5"/>
        <v>232</v>
      </c>
      <c r="Q19" s="19">
        <f t="shared" si="5"/>
        <v>76838</v>
      </c>
      <c r="R19" s="19">
        <f t="shared" si="5"/>
        <v>1133</v>
      </c>
      <c r="S19" s="19">
        <f t="shared" si="5"/>
        <v>4452131</v>
      </c>
      <c r="T19" s="19">
        <f t="shared" si="5"/>
        <v>5623219</v>
      </c>
      <c r="U19" s="19">
        <f t="shared" si="5"/>
        <v>5488075</v>
      </c>
      <c r="V19" s="19">
        <f t="shared" si="5"/>
        <v>420</v>
      </c>
      <c r="W19" s="19">
        <f t="shared" si="5"/>
        <v>204</v>
      </c>
      <c r="X19" s="19">
        <f t="shared" si="5"/>
        <v>86</v>
      </c>
      <c r="Y19" s="19">
        <f t="shared" si="5"/>
        <v>20</v>
      </c>
    </row>
    <row r="21" spans="1:25"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row>
    <row r="22" spans="1:25"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row>
    <row r="23" spans="1:25"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row>
    <row r="24" spans="1:25"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row>
    <row r="25" spans="1:25"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row>
  </sheetData>
  <sheetProtection formatCells="0" formatColumns="0" formatRows="0" insertColumns="0" insertRows="0" sort="0" autoFilter="0" pivotTables="0"/>
  <dataValidations count="1">
    <dataValidation type="list" errorStyle="information" allowBlank="1" showInputMessage="1" showErrorMessage="1" sqref="B1:Y1" xr:uid="{A8248119-81EE-44C0-BE37-E27023CC2ECA}">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07314C5-05DD-42D6-9AC4-0321A96493CB}">
          <x14:formula1>
            <xm:f>'Term List'!$A2:$A242</xm:f>
          </x14:formula1>
          <xm:sqref>Z1:XFD1</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33901-AEE4-4569-861D-79D7CDBF63CC}">
  <dimension ref="A1:N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5.5703125" style="5" customWidth="1"/>
    <col min="11" max="11" width="15" style="5" customWidth="1"/>
    <col min="12" max="12" width="17.140625" style="5" customWidth="1"/>
    <col min="13" max="13" width="16.5703125" style="5" customWidth="1"/>
    <col min="14" max="14" width="14.42578125" style="5" customWidth="1"/>
    <col min="15" max="16384" width="9.140625" style="3"/>
  </cols>
  <sheetData>
    <row r="1" spans="1:14" s="14" customFormat="1" ht="30" x14ac:dyDescent="0.25">
      <c r="A1" s="36" t="s">
        <v>425</v>
      </c>
      <c r="B1" s="36" t="s">
        <v>155</v>
      </c>
      <c r="C1" s="36" t="s">
        <v>156</v>
      </c>
      <c r="D1" s="36" t="s">
        <v>154</v>
      </c>
      <c r="E1" s="36" t="s">
        <v>150</v>
      </c>
      <c r="F1" s="36" t="s">
        <v>148</v>
      </c>
      <c r="G1" s="36" t="s">
        <v>147</v>
      </c>
      <c r="H1" s="36" t="s">
        <v>314</v>
      </c>
      <c r="I1" s="36" t="s">
        <v>139</v>
      </c>
      <c r="J1" s="36" t="s">
        <v>132</v>
      </c>
      <c r="K1" s="36" t="s">
        <v>130</v>
      </c>
      <c r="L1" s="36" t="s">
        <v>144</v>
      </c>
      <c r="M1" s="36" t="s">
        <v>142</v>
      </c>
      <c r="N1" s="36" t="s">
        <v>124</v>
      </c>
    </row>
    <row r="2" spans="1:14" s="26" customFormat="1" x14ac:dyDescent="0.25">
      <c r="A2" s="34" t="s">
        <v>0</v>
      </c>
      <c r="B2" s="16">
        <v>20579</v>
      </c>
      <c r="C2" s="17">
        <v>1125</v>
      </c>
      <c r="D2" s="17">
        <v>653</v>
      </c>
      <c r="E2" s="17">
        <v>4243</v>
      </c>
      <c r="F2" s="17">
        <v>621</v>
      </c>
      <c r="G2" s="17">
        <v>0</v>
      </c>
      <c r="H2" s="17">
        <v>0</v>
      </c>
      <c r="I2" s="17">
        <v>180</v>
      </c>
      <c r="J2" s="17">
        <v>229</v>
      </c>
      <c r="K2" s="17">
        <v>7</v>
      </c>
      <c r="L2" s="17">
        <v>305</v>
      </c>
      <c r="M2" s="17">
        <v>1751</v>
      </c>
      <c r="N2" s="17">
        <v>11574344</v>
      </c>
    </row>
    <row r="3" spans="1:14" s="26" customFormat="1" x14ac:dyDescent="0.25">
      <c r="A3" s="34" t="s">
        <v>1</v>
      </c>
      <c r="B3" s="16">
        <v>325</v>
      </c>
      <c r="C3" s="17">
        <v>110</v>
      </c>
      <c r="D3" s="17">
        <v>200</v>
      </c>
      <c r="E3" s="17">
        <v>4</v>
      </c>
      <c r="F3" s="17">
        <v>0</v>
      </c>
      <c r="G3" s="17">
        <v>0</v>
      </c>
      <c r="H3" s="17">
        <v>0</v>
      </c>
      <c r="I3" s="17">
        <v>0</v>
      </c>
      <c r="J3" s="17">
        <v>6</v>
      </c>
      <c r="K3" s="17">
        <v>0</v>
      </c>
      <c r="L3" s="17">
        <v>29</v>
      </c>
      <c r="M3" s="17">
        <v>71</v>
      </c>
      <c r="N3" s="17">
        <v>87236</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77</v>
      </c>
      <c r="C6" s="17">
        <v>50</v>
      </c>
      <c r="D6" s="17">
        <v>533</v>
      </c>
      <c r="E6" s="17">
        <v>706</v>
      </c>
      <c r="F6" s="17">
        <v>7</v>
      </c>
      <c r="G6" s="17">
        <v>5</v>
      </c>
      <c r="H6" s="17">
        <v>0</v>
      </c>
      <c r="I6" s="17">
        <v>0</v>
      </c>
      <c r="J6" s="17">
        <v>6</v>
      </c>
      <c r="K6" s="17">
        <v>0</v>
      </c>
      <c r="L6" s="17">
        <v>0</v>
      </c>
      <c r="M6" s="17">
        <v>46</v>
      </c>
      <c r="N6" s="17">
        <v>158340</v>
      </c>
    </row>
    <row r="7" spans="1:14" s="26" customFormat="1" x14ac:dyDescent="0.25">
      <c r="A7" s="34" t="s">
        <v>4</v>
      </c>
      <c r="B7" s="16">
        <v>270</v>
      </c>
      <c r="C7" s="17">
        <v>41</v>
      </c>
      <c r="D7" s="17">
        <v>197</v>
      </c>
      <c r="E7" s="17">
        <v>699</v>
      </c>
      <c r="F7" s="17">
        <v>0</v>
      </c>
      <c r="G7" s="17">
        <v>0</v>
      </c>
      <c r="H7" s="17">
        <v>0</v>
      </c>
      <c r="I7" s="17">
        <v>19</v>
      </c>
      <c r="J7" s="17">
        <v>1</v>
      </c>
      <c r="K7" s="17">
        <v>0</v>
      </c>
      <c r="L7" s="17">
        <v>64</v>
      </c>
      <c r="M7" s="17">
        <v>2867</v>
      </c>
      <c r="N7" s="17">
        <v>1743742</v>
      </c>
    </row>
    <row r="8" spans="1:14" s="26" customFormat="1" x14ac:dyDescent="0.25">
      <c r="A8" s="34" t="s">
        <v>5</v>
      </c>
      <c r="B8" s="16"/>
      <c r="C8" s="17"/>
      <c r="D8" s="17"/>
      <c r="E8" s="17"/>
      <c r="F8" s="17"/>
      <c r="G8" s="17"/>
      <c r="H8" s="17"/>
      <c r="I8" s="17"/>
      <c r="J8" s="17"/>
      <c r="K8" s="17"/>
      <c r="L8" s="17"/>
      <c r="M8" s="17"/>
      <c r="N8" s="17"/>
    </row>
    <row r="9" spans="1:14" s="26" customFormat="1" x14ac:dyDescent="0.25">
      <c r="A9" s="34" t="s">
        <v>6</v>
      </c>
      <c r="B9" s="16">
        <v>0</v>
      </c>
      <c r="C9" s="17">
        <v>0</v>
      </c>
      <c r="D9" s="17">
        <v>0</v>
      </c>
      <c r="E9" s="17">
        <v>1101</v>
      </c>
      <c r="F9" s="17">
        <v>288</v>
      </c>
      <c r="G9" s="17">
        <v>0</v>
      </c>
      <c r="H9" s="17">
        <v>61</v>
      </c>
      <c r="I9" s="17">
        <v>0</v>
      </c>
      <c r="J9" s="17">
        <v>0</v>
      </c>
      <c r="K9" s="17">
        <v>0</v>
      </c>
      <c r="L9" s="17">
        <v>0</v>
      </c>
      <c r="M9" s="17">
        <v>0</v>
      </c>
      <c r="N9" s="17">
        <v>15225</v>
      </c>
    </row>
    <row r="10" spans="1:14" s="26" customFormat="1" x14ac:dyDescent="0.25">
      <c r="A10" s="35" t="s">
        <v>7</v>
      </c>
      <c r="B10" s="19">
        <f>SUM(B2:B9)</f>
        <v>21251</v>
      </c>
      <c r="C10" s="19">
        <f t="shared" ref="C10:N10" si="0">SUM(C2:C9)</f>
        <v>1326</v>
      </c>
      <c r="D10" s="19">
        <f t="shared" si="0"/>
        <v>1583</v>
      </c>
      <c r="E10" s="19">
        <f t="shared" si="0"/>
        <v>6753</v>
      </c>
      <c r="F10" s="19">
        <f t="shared" si="0"/>
        <v>916</v>
      </c>
      <c r="G10" s="19">
        <f t="shared" si="0"/>
        <v>5</v>
      </c>
      <c r="H10" s="19">
        <f t="shared" si="0"/>
        <v>61</v>
      </c>
      <c r="I10" s="19">
        <f t="shared" si="0"/>
        <v>199</v>
      </c>
      <c r="J10" s="19">
        <f>SUM(J2:J9)</f>
        <v>242</v>
      </c>
      <c r="K10" s="19">
        <f t="shared" si="0"/>
        <v>7</v>
      </c>
      <c r="L10" s="19">
        <f>SUM(L2:L9)</f>
        <v>398</v>
      </c>
      <c r="M10" s="19">
        <f t="shared" si="0"/>
        <v>4735</v>
      </c>
      <c r="N10" s="19">
        <f t="shared" si="0"/>
        <v>13578887</v>
      </c>
    </row>
    <row r="11" spans="1:14" s="26" customFormat="1" x14ac:dyDescent="0.25">
      <c r="A11" s="34" t="s">
        <v>8</v>
      </c>
      <c r="B11" s="16">
        <v>75800</v>
      </c>
      <c r="C11" s="16">
        <v>7626</v>
      </c>
      <c r="D11" s="16">
        <v>636</v>
      </c>
      <c r="E11" s="16">
        <v>21603</v>
      </c>
      <c r="F11" s="16">
        <v>2195</v>
      </c>
      <c r="G11" s="16">
        <v>0</v>
      </c>
      <c r="H11" s="16">
        <v>0</v>
      </c>
      <c r="I11" s="16">
        <v>208</v>
      </c>
      <c r="J11" s="16">
        <v>1977</v>
      </c>
      <c r="K11" s="16">
        <v>45</v>
      </c>
      <c r="L11" s="16">
        <v>171</v>
      </c>
      <c r="M11" s="16">
        <v>22247</v>
      </c>
      <c r="N11" s="16">
        <v>13835844</v>
      </c>
    </row>
    <row r="12" spans="1:14" s="26" customFormat="1" x14ac:dyDescent="0.25">
      <c r="A12" s="34" t="s">
        <v>9</v>
      </c>
      <c r="B12" s="16">
        <v>1268</v>
      </c>
      <c r="C12" s="16">
        <v>442</v>
      </c>
      <c r="D12" s="16">
        <v>305</v>
      </c>
      <c r="E12" s="16">
        <v>61</v>
      </c>
      <c r="F12" s="16">
        <v>35</v>
      </c>
      <c r="G12" s="16">
        <v>0</v>
      </c>
      <c r="H12" s="16">
        <v>0</v>
      </c>
      <c r="I12" s="16">
        <v>0</v>
      </c>
      <c r="J12" s="16">
        <v>7</v>
      </c>
      <c r="K12" s="16">
        <v>0</v>
      </c>
      <c r="L12" s="16">
        <v>0</v>
      </c>
      <c r="M12" s="16">
        <v>86</v>
      </c>
      <c r="N12" s="16">
        <v>15506</v>
      </c>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294</v>
      </c>
      <c r="C14" s="16">
        <v>108</v>
      </c>
      <c r="D14" s="16">
        <v>139</v>
      </c>
      <c r="E14" s="16">
        <v>3604</v>
      </c>
      <c r="F14" s="16">
        <v>98</v>
      </c>
      <c r="G14" s="16">
        <v>0</v>
      </c>
      <c r="H14" s="16">
        <v>0</v>
      </c>
      <c r="I14" s="16">
        <v>151</v>
      </c>
      <c r="J14" s="16">
        <v>0</v>
      </c>
      <c r="K14" s="16">
        <v>0</v>
      </c>
      <c r="L14" s="16">
        <v>0</v>
      </c>
      <c r="M14" s="16">
        <v>216</v>
      </c>
      <c r="N14" s="16">
        <v>101008</v>
      </c>
    </row>
    <row r="15" spans="1:14" s="26" customFormat="1" x14ac:dyDescent="0.25">
      <c r="A15" s="34" t="s">
        <v>11</v>
      </c>
      <c r="B15" s="16">
        <v>612</v>
      </c>
      <c r="C15" s="16">
        <v>149</v>
      </c>
      <c r="D15" s="16">
        <v>128</v>
      </c>
      <c r="E15" s="16">
        <v>5089</v>
      </c>
      <c r="F15" s="16">
        <v>17</v>
      </c>
      <c r="G15" s="16">
        <v>0</v>
      </c>
      <c r="H15" s="16">
        <v>0</v>
      </c>
      <c r="I15" s="16">
        <v>352</v>
      </c>
      <c r="J15" s="16">
        <v>4</v>
      </c>
      <c r="K15" s="16">
        <v>0</v>
      </c>
      <c r="L15" s="16">
        <v>30</v>
      </c>
      <c r="M15" s="16">
        <v>6022</v>
      </c>
      <c r="N15" s="16">
        <v>145994</v>
      </c>
    </row>
    <row r="16" spans="1:14" s="26" customFormat="1" x14ac:dyDescent="0.25">
      <c r="A16" s="34" t="s">
        <v>12</v>
      </c>
      <c r="B16" s="16"/>
      <c r="C16" s="16"/>
      <c r="D16" s="16"/>
      <c r="E16" s="16"/>
      <c r="F16" s="16"/>
      <c r="G16" s="16"/>
      <c r="H16" s="16"/>
      <c r="I16" s="16"/>
      <c r="J16" s="16"/>
      <c r="K16" s="16"/>
      <c r="L16" s="16"/>
      <c r="M16" s="16"/>
      <c r="N16" s="16"/>
    </row>
    <row r="17" spans="1:14" s="26" customFormat="1" x14ac:dyDescent="0.25">
      <c r="A17" s="34" t="s">
        <v>13</v>
      </c>
      <c r="B17" s="16">
        <v>0</v>
      </c>
      <c r="C17" s="16">
        <v>0</v>
      </c>
      <c r="D17" s="16">
        <v>0</v>
      </c>
      <c r="E17" s="16">
        <v>11</v>
      </c>
      <c r="F17" s="16">
        <v>0</v>
      </c>
      <c r="G17" s="16">
        <v>0</v>
      </c>
      <c r="H17" s="16">
        <v>3</v>
      </c>
      <c r="I17" s="16">
        <v>0</v>
      </c>
      <c r="J17" s="16">
        <v>0</v>
      </c>
      <c r="K17" s="16">
        <v>0</v>
      </c>
      <c r="L17" s="16">
        <v>0</v>
      </c>
      <c r="M17" s="16">
        <v>0</v>
      </c>
      <c r="N17" s="16">
        <v>0</v>
      </c>
    </row>
    <row r="18" spans="1:14" s="26" customFormat="1" x14ac:dyDescent="0.25">
      <c r="A18" s="35" t="s">
        <v>14</v>
      </c>
      <c r="B18" s="19">
        <f>SUM(B11:B17)</f>
        <v>77974</v>
      </c>
      <c r="C18" s="19">
        <f t="shared" ref="C18:N18" si="1">SUM(C11:C17)</f>
        <v>8325</v>
      </c>
      <c r="D18" s="19">
        <f t="shared" si="1"/>
        <v>1208</v>
      </c>
      <c r="E18" s="19">
        <f t="shared" si="1"/>
        <v>30368</v>
      </c>
      <c r="F18" s="19">
        <f t="shared" si="1"/>
        <v>2345</v>
      </c>
      <c r="G18" s="19">
        <f t="shared" si="1"/>
        <v>0</v>
      </c>
      <c r="H18" s="19">
        <f t="shared" si="1"/>
        <v>3</v>
      </c>
      <c r="I18" s="19">
        <f t="shared" si="1"/>
        <v>711</v>
      </c>
      <c r="J18" s="19">
        <f>SUM(J11:J17)</f>
        <v>1988</v>
      </c>
      <c r="K18" s="19">
        <f t="shared" si="1"/>
        <v>45</v>
      </c>
      <c r="L18" s="19">
        <f>SUM(L11:L17)</f>
        <v>201</v>
      </c>
      <c r="M18" s="19">
        <f t="shared" si="1"/>
        <v>28571</v>
      </c>
      <c r="N18" s="19">
        <f t="shared" si="1"/>
        <v>14098352</v>
      </c>
    </row>
    <row r="19" spans="1:14" s="26" customFormat="1" x14ac:dyDescent="0.25">
      <c r="A19" s="35" t="s">
        <v>15</v>
      </c>
      <c r="B19" s="19">
        <f>SUM(B10,B18)</f>
        <v>99225</v>
      </c>
      <c r="C19" s="19">
        <f t="shared" ref="C19:N19" si="2">SUM(C10,C18)</f>
        <v>9651</v>
      </c>
      <c r="D19" s="19">
        <f t="shared" si="2"/>
        <v>2791</v>
      </c>
      <c r="E19" s="19">
        <f t="shared" si="2"/>
        <v>37121</v>
      </c>
      <c r="F19" s="19">
        <f t="shared" si="2"/>
        <v>3261</v>
      </c>
      <c r="G19" s="19">
        <f t="shared" si="2"/>
        <v>5</v>
      </c>
      <c r="H19" s="19">
        <f t="shared" si="2"/>
        <v>64</v>
      </c>
      <c r="I19" s="19">
        <f t="shared" si="2"/>
        <v>910</v>
      </c>
      <c r="J19" s="19">
        <f>SUM(J10,J18)</f>
        <v>2230</v>
      </c>
      <c r="K19" s="19">
        <f t="shared" si="2"/>
        <v>52</v>
      </c>
      <c r="L19" s="19">
        <f>SUM(L10,L18)</f>
        <v>599</v>
      </c>
      <c r="M19" s="19">
        <f t="shared" si="2"/>
        <v>33306</v>
      </c>
      <c r="N19" s="19">
        <f t="shared" si="2"/>
        <v>27677239</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row r="25" spans="1:14" x14ac:dyDescent="0.25">
      <c r="B25" s="44"/>
      <c r="C25" s="44"/>
      <c r="D25" s="44"/>
      <c r="E25" s="44"/>
      <c r="F25" s="44"/>
      <c r="G25" s="44"/>
      <c r="H25" s="44"/>
      <c r="I25" s="44"/>
      <c r="J25" s="44"/>
      <c r="K25" s="44"/>
      <c r="L25" s="44"/>
      <c r="M25" s="44"/>
      <c r="N25" s="44"/>
    </row>
  </sheetData>
  <sheetProtection formatCells="0" formatColumns="0" formatRows="0" insertColumns="0" insertRows="0" sort="0" autoFilter="0" pivotTables="0"/>
  <dataValidations count="1">
    <dataValidation type="list" errorStyle="information" allowBlank="1" showInputMessage="1" showErrorMessage="1" sqref="B1:N1" xr:uid="{E8F4A882-94C4-4C7B-8ED9-E07FBAAC0E73}">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B199004-F4B9-4D9A-99E2-0ED6EC06642D}">
          <x14:formula1>
            <xm:f>'Term List'!$A2:$A242</xm:f>
          </x14:formula1>
          <xm:sqref>O1:XFD1</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10B50-8566-49EA-931C-2F2CB49B1211}">
  <dimension ref="A1:Y25"/>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3.85546875" style="5" customWidth="1"/>
    <col min="11" max="11" width="25.85546875" style="3" customWidth="1"/>
    <col min="12" max="12" width="23.7109375" style="3" customWidth="1"/>
    <col min="13" max="13" width="21.140625" style="5" customWidth="1"/>
    <col min="14" max="14" width="16.28515625" style="5" customWidth="1"/>
    <col min="15" max="15" width="17" style="5" customWidth="1"/>
    <col min="16" max="16" width="21.140625" style="3" customWidth="1"/>
    <col min="17" max="17" width="21.28515625" style="5" customWidth="1"/>
    <col min="18" max="18" width="18.28515625" style="5" customWidth="1"/>
    <col min="19" max="19" width="20.140625" style="3" customWidth="1"/>
    <col min="20" max="21" width="15.85546875" style="3" customWidth="1"/>
    <col min="22" max="22" width="18.28515625" style="3" customWidth="1"/>
    <col min="23" max="23" width="17.85546875" style="3" customWidth="1"/>
    <col min="24" max="24" width="17.28515625" style="3" customWidth="1"/>
    <col min="25" max="25" width="17.5703125" style="3" customWidth="1"/>
    <col min="26" max="16384" width="9.140625" style="3"/>
  </cols>
  <sheetData>
    <row r="1" spans="1:25" s="40" customFormat="1" ht="30" x14ac:dyDescent="0.25">
      <c r="A1" s="36" t="s">
        <v>422</v>
      </c>
      <c r="B1" s="36" t="s">
        <v>62</v>
      </c>
      <c r="C1" s="36" t="s">
        <v>36</v>
      </c>
      <c r="D1" s="36" t="s">
        <v>35</v>
      </c>
      <c r="E1" s="36" t="s">
        <v>39</v>
      </c>
      <c r="F1" s="36" t="s">
        <v>99</v>
      </c>
      <c r="G1" s="36" t="s">
        <v>95</v>
      </c>
      <c r="H1" s="36" t="s">
        <v>94</v>
      </c>
      <c r="I1" s="36" t="s">
        <v>386</v>
      </c>
      <c r="J1" s="36" t="s">
        <v>388</v>
      </c>
      <c r="K1" s="36" t="s">
        <v>383</v>
      </c>
      <c r="L1" s="36" t="s">
        <v>384</v>
      </c>
      <c r="M1" s="36" t="s">
        <v>570</v>
      </c>
      <c r="N1" s="36" t="s">
        <v>571</v>
      </c>
      <c r="O1" s="36" t="s">
        <v>572</v>
      </c>
      <c r="P1" s="36" t="s">
        <v>566</v>
      </c>
      <c r="Q1" s="36" t="s">
        <v>567</v>
      </c>
      <c r="R1" s="36" t="s">
        <v>568</v>
      </c>
      <c r="S1" s="36" t="s">
        <v>107</v>
      </c>
      <c r="T1" s="36" t="s">
        <v>101</v>
      </c>
      <c r="U1" s="36" t="s">
        <v>75</v>
      </c>
      <c r="V1" s="36" t="s">
        <v>330</v>
      </c>
      <c r="W1" s="36" t="s">
        <v>331</v>
      </c>
      <c r="X1" s="36" t="s">
        <v>332</v>
      </c>
      <c r="Y1" s="36" t="s">
        <v>333</v>
      </c>
    </row>
    <row r="2" spans="1:25"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row>
    <row r="3" spans="1:25"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row>
    <row r="4" spans="1:25" s="26" customFormat="1" x14ac:dyDescent="0.25">
      <c r="A4" s="34" t="s">
        <v>169</v>
      </c>
      <c r="B4" s="16">
        <v>13652</v>
      </c>
      <c r="C4" s="16">
        <v>75</v>
      </c>
      <c r="D4" s="16">
        <v>4792</v>
      </c>
      <c r="E4" s="16">
        <v>0</v>
      </c>
      <c r="F4" s="16">
        <v>815</v>
      </c>
      <c r="G4" s="16">
        <v>0</v>
      </c>
      <c r="H4" s="16">
        <v>2702</v>
      </c>
      <c r="I4" s="16">
        <v>0</v>
      </c>
      <c r="J4" s="16">
        <v>0</v>
      </c>
      <c r="K4" s="16">
        <v>400</v>
      </c>
      <c r="L4" s="16">
        <v>0</v>
      </c>
      <c r="M4" s="16">
        <v>0</v>
      </c>
      <c r="N4" s="16">
        <v>0</v>
      </c>
      <c r="O4" s="16">
        <v>0</v>
      </c>
      <c r="P4" s="16">
        <v>0</v>
      </c>
      <c r="Q4" s="16">
        <v>21699</v>
      </c>
      <c r="R4" s="16">
        <v>0</v>
      </c>
      <c r="S4" s="16">
        <v>0</v>
      </c>
      <c r="T4" s="16">
        <v>0</v>
      </c>
      <c r="U4" s="16">
        <v>0</v>
      </c>
      <c r="V4" s="16">
        <v>0</v>
      </c>
      <c r="W4" s="16">
        <v>0</v>
      </c>
      <c r="X4" s="16">
        <v>0</v>
      </c>
      <c r="Y4" s="16">
        <v>0</v>
      </c>
    </row>
    <row r="5" spans="1:25"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row>
    <row r="6" spans="1:25" s="26" customFormat="1" x14ac:dyDescent="0.25">
      <c r="A6" s="34" t="s">
        <v>3</v>
      </c>
      <c r="B6" s="16">
        <v>1444</v>
      </c>
      <c r="C6" s="16">
        <v>0</v>
      </c>
      <c r="D6" s="16">
        <v>0</v>
      </c>
      <c r="E6" s="16">
        <v>0</v>
      </c>
      <c r="F6" s="16">
        <v>1892</v>
      </c>
      <c r="G6" s="16">
        <v>0</v>
      </c>
      <c r="H6" s="16">
        <v>295</v>
      </c>
      <c r="I6" s="16">
        <v>150</v>
      </c>
      <c r="J6" s="16">
        <v>189</v>
      </c>
      <c r="K6" s="16">
        <v>0</v>
      </c>
      <c r="L6" s="16">
        <v>0</v>
      </c>
      <c r="M6" s="16">
        <v>6560</v>
      </c>
      <c r="N6" s="16">
        <v>1165</v>
      </c>
      <c r="O6" s="16">
        <v>2953</v>
      </c>
      <c r="P6" s="16">
        <v>230</v>
      </c>
      <c r="Q6" s="16">
        <v>20650</v>
      </c>
      <c r="R6" s="16">
        <v>273</v>
      </c>
      <c r="S6" s="16">
        <v>176966</v>
      </c>
      <c r="T6" s="16">
        <v>530370</v>
      </c>
      <c r="U6" s="16">
        <v>717200</v>
      </c>
      <c r="V6" s="16">
        <v>6</v>
      </c>
      <c r="W6" s="16">
        <v>0</v>
      </c>
      <c r="X6" s="16">
        <v>0</v>
      </c>
      <c r="Y6" s="16">
        <v>0</v>
      </c>
    </row>
    <row r="7" spans="1:25" s="26" customFormat="1" x14ac:dyDescent="0.25">
      <c r="A7" s="34" t="s">
        <v>4</v>
      </c>
      <c r="B7" s="16">
        <v>44587</v>
      </c>
      <c r="C7" s="16">
        <v>3349</v>
      </c>
      <c r="D7" s="16">
        <v>0</v>
      </c>
      <c r="E7" s="16">
        <v>1351</v>
      </c>
      <c r="F7" s="16">
        <v>13</v>
      </c>
      <c r="G7" s="16">
        <v>0</v>
      </c>
      <c r="H7" s="16">
        <v>581</v>
      </c>
      <c r="I7" s="16">
        <v>35380</v>
      </c>
      <c r="J7" s="16">
        <v>12581</v>
      </c>
      <c r="K7" s="16">
        <v>204</v>
      </c>
      <c r="L7" s="16">
        <v>1435</v>
      </c>
      <c r="M7" s="16">
        <v>0</v>
      </c>
      <c r="N7" s="16">
        <v>0</v>
      </c>
      <c r="O7" s="16">
        <v>0</v>
      </c>
      <c r="P7" s="16">
        <v>0</v>
      </c>
      <c r="Q7" s="16">
        <v>0</v>
      </c>
      <c r="R7" s="16">
        <v>0</v>
      </c>
      <c r="S7" s="16">
        <v>1877926</v>
      </c>
      <c r="T7" s="16">
        <v>3222500</v>
      </c>
      <c r="U7" s="16">
        <v>2352997</v>
      </c>
      <c r="V7" s="16">
        <v>124</v>
      </c>
      <c r="W7" s="16">
        <v>18</v>
      </c>
      <c r="X7" s="16">
        <v>0</v>
      </c>
      <c r="Y7" s="16">
        <v>37</v>
      </c>
    </row>
    <row r="8" spans="1:25" s="26" customFormat="1" x14ac:dyDescent="0.25">
      <c r="A8" s="34" t="s">
        <v>5</v>
      </c>
      <c r="B8" s="16"/>
      <c r="C8" s="16"/>
      <c r="D8" s="16"/>
      <c r="E8" s="16"/>
      <c r="F8" s="16"/>
      <c r="G8" s="16"/>
      <c r="H8" s="16"/>
      <c r="I8" s="16"/>
      <c r="J8" s="16"/>
      <c r="K8" s="16"/>
      <c r="L8" s="16"/>
      <c r="M8" s="16"/>
      <c r="N8" s="16"/>
      <c r="O8" s="16"/>
      <c r="P8" s="16"/>
      <c r="Q8" s="16"/>
      <c r="R8" s="16"/>
      <c r="S8" s="16"/>
      <c r="T8" s="16"/>
      <c r="U8" s="16"/>
      <c r="V8" s="16"/>
      <c r="W8" s="16"/>
      <c r="X8" s="16"/>
      <c r="Y8" s="16"/>
    </row>
    <row r="9" spans="1:25" s="26" customFormat="1" x14ac:dyDescent="0.25">
      <c r="A9" s="34" t="s">
        <v>6</v>
      </c>
      <c r="B9" s="16">
        <v>1720</v>
      </c>
      <c r="C9" s="16">
        <v>0</v>
      </c>
      <c r="D9" s="16">
        <v>0</v>
      </c>
      <c r="E9" s="16">
        <v>0</v>
      </c>
      <c r="F9" s="16">
        <v>0</v>
      </c>
      <c r="G9" s="16">
        <v>0</v>
      </c>
      <c r="H9" s="16">
        <v>908</v>
      </c>
      <c r="I9" s="16">
        <v>5810</v>
      </c>
      <c r="J9" s="16">
        <v>415</v>
      </c>
      <c r="K9" s="16">
        <v>213</v>
      </c>
      <c r="L9" s="16">
        <v>301</v>
      </c>
      <c r="M9" s="16">
        <v>0</v>
      </c>
      <c r="N9" s="16">
        <v>0</v>
      </c>
      <c r="O9" s="16">
        <v>0</v>
      </c>
      <c r="P9" s="16">
        <v>0</v>
      </c>
      <c r="Q9" s="16">
        <v>0</v>
      </c>
      <c r="R9" s="16">
        <v>0</v>
      </c>
      <c r="S9" s="16">
        <v>0</v>
      </c>
      <c r="T9" s="16">
        <v>20000</v>
      </c>
      <c r="U9" s="16">
        <v>50000</v>
      </c>
      <c r="V9" s="16">
        <v>124</v>
      </c>
      <c r="W9" s="16">
        <v>179</v>
      </c>
      <c r="X9" s="16">
        <v>361</v>
      </c>
      <c r="Y9" s="16">
        <v>0</v>
      </c>
    </row>
    <row r="10" spans="1:25" s="26" customFormat="1" x14ac:dyDescent="0.25">
      <c r="A10" s="35" t="s">
        <v>7</v>
      </c>
      <c r="B10" s="19">
        <f>SUM(B2:B9)</f>
        <v>61403</v>
      </c>
      <c r="C10" s="19">
        <f>SUM(C2:C9)</f>
        <v>3424</v>
      </c>
      <c r="D10" s="19">
        <f>SUM(D2:D9)</f>
        <v>4792</v>
      </c>
      <c r="E10" s="19">
        <f>SUM(E2:E9)</f>
        <v>1351</v>
      </c>
      <c r="F10" s="19">
        <f t="shared" ref="F10" si="0">SUM(F2:F9)</f>
        <v>2720</v>
      </c>
      <c r="G10" s="19">
        <f>SUM(G2:G9)</f>
        <v>0</v>
      </c>
      <c r="H10" s="19">
        <f t="shared" ref="H10:Y10" si="1">SUM(H2:H9)</f>
        <v>4486</v>
      </c>
      <c r="I10" s="19">
        <f t="shared" si="1"/>
        <v>41340</v>
      </c>
      <c r="J10" s="19">
        <f t="shared" si="1"/>
        <v>13185</v>
      </c>
      <c r="K10" s="19">
        <f t="shared" si="1"/>
        <v>817</v>
      </c>
      <c r="L10" s="19">
        <f t="shared" si="1"/>
        <v>1736</v>
      </c>
      <c r="M10" s="19">
        <f t="shared" si="1"/>
        <v>6560</v>
      </c>
      <c r="N10" s="19">
        <f t="shared" si="1"/>
        <v>1165</v>
      </c>
      <c r="O10" s="19">
        <f t="shared" si="1"/>
        <v>2953</v>
      </c>
      <c r="P10" s="19">
        <f t="shared" si="1"/>
        <v>230</v>
      </c>
      <c r="Q10" s="19">
        <f t="shared" si="1"/>
        <v>42349</v>
      </c>
      <c r="R10" s="19">
        <f t="shared" si="1"/>
        <v>273</v>
      </c>
      <c r="S10" s="19">
        <f t="shared" si="1"/>
        <v>2054892</v>
      </c>
      <c r="T10" s="19">
        <f t="shared" si="1"/>
        <v>3772870</v>
      </c>
      <c r="U10" s="19">
        <f t="shared" si="1"/>
        <v>3120197</v>
      </c>
      <c r="V10" s="19">
        <f t="shared" si="1"/>
        <v>254</v>
      </c>
      <c r="W10" s="19">
        <f t="shared" si="1"/>
        <v>197</v>
      </c>
      <c r="X10" s="19">
        <f t="shared" si="1"/>
        <v>361</v>
      </c>
      <c r="Y10" s="19">
        <f t="shared" si="1"/>
        <v>37</v>
      </c>
    </row>
    <row r="11" spans="1:25"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row>
    <row r="12" spans="1:25"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row>
    <row r="13" spans="1:25" s="26" customFormat="1" x14ac:dyDescent="0.25">
      <c r="A13" s="34" t="s">
        <v>164</v>
      </c>
      <c r="B13" s="16">
        <v>229</v>
      </c>
      <c r="C13" s="16">
        <v>40</v>
      </c>
      <c r="D13" s="16">
        <v>500</v>
      </c>
      <c r="E13" s="16">
        <v>0</v>
      </c>
      <c r="F13" s="16">
        <v>197</v>
      </c>
      <c r="G13" s="16">
        <v>0</v>
      </c>
      <c r="H13" s="16">
        <v>25</v>
      </c>
      <c r="I13" s="16">
        <v>0</v>
      </c>
      <c r="J13" s="16">
        <v>0</v>
      </c>
      <c r="K13" s="16">
        <v>0</v>
      </c>
      <c r="L13" s="16">
        <v>0</v>
      </c>
      <c r="M13" s="16">
        <v>0</v>
      </c>
      <c r="N13" s="16">
        <v>0</v>
      </c>
      <c r="O13" s="16">
        <v>0</v>
      </c>
      <c r="P13" s="16">
        <v>0</v>
      </c>
      <c r="Q13" s="16">
        <v>33841</v>
      </c>
      <c r="R13" s="16"/>
      <c r="S13" s="16">
        <v>0</v>
      </c>
      <c r="T13" s="16">
        <v>0</v>
      </c>
      <c r="U13" s="16">
        <v>0</v>
      </c>
      <c r="V13" s="16">
        <v>0</v>
      </c>
      <c r="W13" s="16">
        <v>0</v>
      </c>
      <c r="X13" s="16">
        <v>0</v>
      </c>
      <c r="Y13" s="16">
        <v>0</v>
      </c>
    </row>
    <row r="14" spans="1:25" s="26" customFormat="1" x14ac:dyDescent="0.25">
      <c r="A14" s="34" t="s">
        <v>10</v>
      </c>
      <c r="B14" s="16">
        <v>1260</v>
      </c>
      <c r="C14" s="16">
        <v>42</v>
      </c>
      <c r="D14" s="16">
        <v>0</v>
      </c>
      <c r="E14" s="16">
        <v>30</v>
      </c>
      <c r="F14" s="16">
        <v>5</v>
      </c>
      <c r="G14" s="16">
        <v>0</v>
      </c>
      <c r="H14" s="16">
        <v>112</v>
      </c>
      <c r="I14" s="16">
        <v>270</v>
      </c>
      <c r="J14" s="16">
        <v>288</v>
      </c>
      <c r="K14" s="16">
        <v>1</v>
      </c>
      <c r="L14" s="16">
        <v>7</v>
      </c>
      <c r="M14" s="16">
        <v>1365</v>
      </c>
      <c r="N14" s="16">
        <v>1092</v>
      </c>
      <c r="O14" s="16">
        <v>1316</v>
      </c>
      <c r="P14" s="16">
        <v>294</v>
      </c>
      <c r="Q14" s="16">
        <v>5058</v>
      </c>
      <c r="R14" s="16">
        <v>217</v>
      </c>
      <c r="S14" s="16">
        <v>457585</v>
      </c>
      <c r="T14" s="16">
        <v>1099850</v>
      </c>
      <c r="U14" s="16">
        <v>2252062</v>
      </c>
      <c r="V14" s="16">
        <v>14</v>
      </c>
      <c r="W14" s="16">
        <v>0</v>
      </c>
      <c r="X14" s="16">
        <v>0</v>
      </c>
      <c r="Y14" s="16">
        <v>0</v>
      </c>
    </row>
    <row r="15" spans="1:25" s="26" customFormat="1" x14ac:dyDescent="0.25">
      <c r="A15" s="34" t="s">
        <v>11</v>
      </c>
      <c r="B15" s="16">
        <v>7171</v>
      </c>
      <c r="C15" s="16">
        <v>876</v>
      </c>
      <c r="D15" s="16">
        <v>50</v>
      </c>
      <c r="E15" s="16">
        <v>590</v>
      </c>
      <c r="F15" s="16">
        <v>637</v>
      </c>
      <c r="G15" s="16">
        <v>10</v>
      </c>
      <c r="H15" s="16">
        <v>5</v>
      </c>
      <c r="I15" s="16">
        <v>12638</v>
      </c>
      <c r="J15" s="16">
        <v>3521</v>
      </c>
      <c r="K15" s="16">
        <v>16</v>
      </c>
      <c r="L15" s="16">
        <v>1079</v>
      </c>
      <c r="M15" s="16">
        <v>0</v>
      </c>
      <c r="N15" s="16">
        <v>0</v>
      </c>
      <c r="O15" s="16">
        <v>0</v>
      </c>
      <c r="P15" s="16">
        <v>0</v>
      </c>
      <c r="Q15" s="16">
        <v>0</v>
      </c>
      <c r="R15" s="16">
        <v>0</v>
      </c>
      <c r="S15" s="16">
        <v>3413953</v>
      </c>
      <c r="T15" s="16">
        <v>3104960</v>
      </c>
      <c r="U15" s="16">
        <v>1872400</v>
      </c>
      <c r="V15" s="16">
        <v>46</v>
      </c>
      <c r="W15" s="16">
        <v>0</v>
      </c>
      <c r="X15" s="16">
        <v>0</v>
      </c>
      <c r="Y15" s="16">
        <v>0</v>
      </c>
    </row>
    <row r="16" spans="1:25"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row>
    <row r="17" spans="1:25" s="26" customFormat="1" x14ac:dyDescent="0.25">
      <c r="A17" s="34" t="s">
        <v>13</v>
      </c>
      <c r="B17" s="16">
        <v>0</v>
      </c>
      <c r="C17" s="16">
        <v>0</v>
      </c>
      <c r="D17" s="16">
        <v>0</v>
      </c>
      <c r="E17" s="16">
        <v>0</v>
      </c>
      <c r="F17" s="16">
        <v>0</v>
      </c>
      <c r="G17" s="16">
        <v>0</v>
      </c>
      <c r="H17" s="16">
        <v>0</v>
      </c>
      <c r="I17" s="16">
        <v>0</v>
      </c>
      <c r="J17" s="16">
        <v>0</v>
      </c>
      <c r="K17" s="16">
        <v>0</v>
      </c>
      <c r="L17" s="16">
        <v>0</v>
      </c>
      <c r="M17" s="16">
        <v>0</v>
      </c>
      <c r="N17" s="16">
        <v>0</v>
      </c>
      <c r="O17" s="16">
        <v>0</v>
      </c>
      <c r="P17" s="16">
        <v>0</v>
      </c>
      <c r="Q17" s="16">
        <v>0</v>
      </c>
      <c r="R17" s="16">
        <v>0</v>
      </c>
      <c r="S17" s="16">
        <v>0</v>
      </c>
      <c r="T17" s="16">
        <v>0</v>
      </c>
      <c r="U17" s="16">
        <v>0</v>
      </c>
      <c r="V17" s="16">
        <v>90</v>
      </c>
      <c r="W17" s="16">
        <v>0</v>
      </c>
      <c r="X17" s="16">
        <v>0</v>
      </c>
      <c r="Y17" s="16">
        <v>0</v>
      </c>
    </row>
    <row r="18" spans="1:25" s="26" customFormat="1" x14ac:dyDescent="0.25">
      <c r="A18" s="35" t="s">
        <v>14</v>
      </c>
      <c r="B18" s="19">
        <f>SUM(B11:B17)</f>
        <v>8660</v>
      </c>
      <c r="C18" s="19">
        <f>SUM(C11:C17)</f>
        <v>958</v>
      </c>
      <c r="D18" s="19">
        <f>SUM(D11:D17)</f>
        <v>550</v>
      </c>
      <c r="E18" s="19">
        <f>SUM(E11:E17)</f>
        <v>620</v>
      </c>
      <c r="F18" s="19">
        <f t="shared" ref="F18" si="2">SUM(F11:F17)</f>
        <v>839</v>
      </c>
      <c r="G18" s="19">
        <f>SUM(G11:G17)</f>
        <v>10</v>
      </c>
      <c r="H18" s="19">
        <f t="shared" ref="H18:Y18" si="3">SUM(H11:H17)</f>
        <v>142</v>
      </c>
      <c r="I18" s="19">
        <f t="shared" si="3"/>
        <v>12908</v>
      </c>
      <c r="J18" s="19">
        <f t="shared" si="3"/>
        <v>3809</v>
      </c>
      <c r="K18" s="19">
        <f t="shared" si="3"/>
        <v>17</v>
      </c>
      <c r="L18" s="19">
        <f t="shared" si="3"/>
        <v>1086</v>
      </c>
      <c r="M18" s="19">
        <f t="shared" si="3"/>
        <v>1365</v>
      </c>
      <c r="N18" s="19">
        <f t="shared" si="3"/>
        <v>1092</v>
      </c>
      <c r="O18" s="19">
        <f t="shared" si="3"/>
        <v>1316</v>
      </c>
      <c r="P18" s="19">
        <f t="shared" si="3"/>
        <v>294</v>
      </c>
      <c r="Q18" s="19">
        <f t="shared" si="3"/>
        <v>38899</v>
      </c>
      <c r="R18" s="19">
        <f t="shared" si="3"/>
        <v>217</v>
      </c>
      <c r="S18" s="19">
        <f t="shared" si="3"/>
        <v>3871538</v>
      </c>
      <c r="T18" s="19">
        <f t="shared" si="3"/>
        <v>4204810</v>
      </c>
      <c r="U18" s="19">
        <f t="shared" si="3"/>
        <v>4124462</v>
      </c>
      <c r="V18" s="19">
        <f t="shared" si="3"/>
        <v>150</v>
      </c>
      <c r="W18" s="19">
        <f t="shared" si="3"/>
        <v>0</v>
      </c>
      <c r="X18" s="19">
        <f t="shared" si="3"/>
        <v>0</v>
      </c>
      <c r="Y18" s="19">
        <f t="shared" si="3"/>
        <v>0</v>
      </c>
    </row>
    <row r="19" spans="1:25" s="26" customFormat="1" x14ac:dyDescent="0.25">
      <c r="A19" s="35" t="s">
        <v>15</v>
      </c>
      <c r="B19" s="19">
        <f>SUM(B10,B18)</f>
        <v>70063</v>
      </c>
      <c r="C19" s="19">
        <f>SUM(C10,C18)</f>
        <v>4382</v>
      </c>
      <c r="D19" s="19">
        <f>SUM(D10,D18)</f>
        <v>5342</v>
      </c>
      <c r="E19" s="19">
        <f>SUM(E10,E18)</f>
        <v>1971</v>
      </c>
      <c r="F19" s="19">
        <f t="shared" ref="F19" si="4">SUM(F10,F18)</f>
        <v>3559</v>
      </c>
      <c r="G19" s="19">
        <f>SUM(G10,G18)</f>
        <v>10</v>
      </c>
      <c r="H19" s="19">
        <f t="shared" ref="H19:Y19" si="5">SUM(H10,H18)</f>
        <v>4628</v>
      </c>
      <c r="I19" s="19">
        <f t="shared" si="5"/>
        <v>54248</v>
      </c>
      <c r="J19" s="19">
        <f t="shared" si="5"/>
        <v>16994</v>
      </c>
      <c r="K19" s="19">
        <f t="shared" si="5"/>
        <v>834</v>
      </c>
      <c r="L19" s="19">
        <f t="shared" si="5"/>
        <v>2822</v>
      </c>
      <c r="M19" s="19">
        <f t="shared" si="5"/>
        <v>7925</v>
      </c>
      <c r="N19" s="19">
        <f t="shared" si="5"/>
        <v>2257</v>
      </c>
      <c r="O19" s="19">
        <f t="shared" si="5"/>
        <v>4269</v>
      </c>
      <c r="P19" s="19">
        <f t="shared" si="5"/>
        <v>524</v>
      </c>
      <c r="Q19" s="19">
        <f t="shared" si="5"/>
        <v>81248</v>
      </c>
      <c r="R19" s="19">
        <f t="shared" si="5"/>
        <v>490</v>
      </c>
      <c r="S19" s="19">
        <f t="shared" si="5"/>
        <v>5926430</v>
      </c>
      <c r="T19" s="19">
        <f t="shared" si="5"/>
        <v>7977680</v>
      </c>
      <c r="U19" s="19">
        <f t="shared" si="5"/>
        <v>7244659</v>
      </c>
      <c r="V19" s="19">
        <f t="shared" si="5"/>
        <v>404</v>
      </c>
      <c r="W19" s="19">
        <f t="shared" si="5"/>
        <v>197</v>
      </c>
      <c r="X19" s="19">
        <f t="shared" si="5"/>
        <v>361</v>
      </c>
      <c r="Y19" s="19">
        <f t="shared" si="5"/>
        <v>37</v>
      </c>
    </row>
    <row r="21" spans="1:25"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row>
    <row r="22" spans="1:25"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row>
    <row r="23" spans="1:25"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row>
    <row r="24" spans="1:25"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row>
    <row r="25" spans="1:25"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row>
  </sheetData>
  <sheetProtection formatCells="0" formatColumns="0" formatRows="0" insertColumns="0" insertRows="0" sort="0" autoFilter="0" pivotTables="0"/>
  <dataValidations count="1">
    <dataValidation type="list" errorStyle="information" allowBlank="1" showInputMessage="1" showErrorMessage="1" sqref="B1:Y1" xr:uid="{B0257F5A-B543-4C46-AF3B-16E999007727}">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DF5E5F7-F142-4AC7-8819-08646F48362D}">
          <x14:formula1>
            <xm:f>'Term List'!$A2:$A242</xm:f>
          </x14:formula1>
          <xm:sqref>Z1:XFD1</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DF98C-3391-4BB1-917F-4D58A7FC75F9}">
  <dimension ref="A1:N25"/>
  <sheetViews>
    <sheetView workbookViewId="0">
      <pane xSplit="1" ySplit="1" topLeftCell="B2" activePane="bottomRight" state="frozen"/>
      <selection activeCell="E23" sqref="E23"/>
      <selection pane="topRight" activeCell="E23" sqref="E23"/>
      <selection pane="bottomLeft" activeCell="E23" sqref="E23"/>
      <selection pane="bottomRight" activeCell="A21" sqref="A21"/>
    </sheetView>
  </sheetViews>
  <sheetFormatPr defaultRowHeight="15" x14ac:dyDescent="0.25"/>
  <cols>
    <col min="1" max="1" width="35.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5.5703125" style="5" customWidth="1"/>
    <col min="11" max="11" width="15" style="5" customWidth="1"/>
    <col min="12" max="12" width="17.140625" style="5" customWidth="1"/>
    <col min="13" max="13" width="16.5703125" style="5" customWidth="1"/>
    <col min="14" max="14" width="14.42578125" style="5" customWidth="1"/>
    <col min="15" max="16384" width="9.140625" style="3"/>
  </cols>
  <sheetData>
    <row r="1" spans="1:14" s="14" customFormat="1" ht="30" x14ac:dyDescent="0.25">
      <c r="A1" s="36" t="s">
        <v>583</v>
      </c>
      <c r="B1" s="36" t="s">
        <v>155</v>
      </c>
      <c r="C1" s="36" t="s">
        <v>156</v>
      </c>
      <c r="D1" s="36" t="s">
        <v>154</v>
      </c>
      <c r="E1" s="36" t="s">
        <v>150</v>
      </c>
      <c r="F1" s="36" t="s">
        <v>148</v>
      </c>
      <c r="G1" s="36" t="s">
        <v>147</v>
      </c>
      <c r="H1" s="36" t="s">
        <v>314</v>
      </c>
      <c r="I1" s="36" t="s">
        <v>139</v>
      </c>
      <c r="J1" s="36" t="s">
        <v>132</v>
      </c>
      <c r="K1" s="36" t="s">
        <v>130</v>
      </c>
      <c r="L1" s="36" t="s">
        <v>144</v>
      </c>
      <c r="M1" s="36" t="s">
        <v>142</v>
      </c>
      <c r="N1" s="36" t="s">
        <v>124</v>
      </c>
    </row>
    <row r="2" spans="1:14" s="26" customFormat="1" x14ac:dyDescent="0.25">
      <c r="A2" s="34" t="s">
        <v>0</v>
      </c>
      <c r="B2" s="16">
        <v>22525</v>
      </c>
      <c r="C2" s="17">
        <v>1374</v>
      </c>
      <c r="D2" s="17">
        <v>327</v>
      </c>
      <c r="E2" s="17">
        <v>5106</v>
      </c>
      <c r="F2" s="17">
        <v>180</v>
      </c>
      <c r="G2" s="17">
        <v>0</v>
      </c>
      <c r="H2" s="17">
        <v>0</v>
      </c>
      <c r="I2" s="17">
        <v>12</v>
      </c>
      <c r="J2" s="17">
        <v>120</v>
      </c>
      <c r="K2" s="17">
        <v>32</v>
      </c>
      <c r="L2" s="17">
        <v>1258</v>
      </c>
      <c r="M2" s="17">
        <v>1787</v>
      </c>
      <c r="N2" s="17">
        <v>9620165</v>
      </c>
    </row>
    <row r="3" spans="1:14" s="26" customFormat="1" x14ac:dyDescent="0.25">
      <c r="A3" s="34" t="s">
        <v>1</v>
      </c>
      <c r="B3" s="16">
        <v>826</v>
      </c>
      <c r="C3" s="17">
        <v>142</v>
      </c>
      <c r="D3" s="17">
        <v>129</v>
      </c>
      <c r="E3" s="17">
        <v>15</v>
      </c>
      <c r="F3" s="17">
        <v>12</v>
      </c>
      <c r="G3" s="17">
        <v>0</v>
      </c>
      <c r="H3" s="17">
        <v>0</v>
      </c>
      <c r="I3" s="17">
        <v>0</v>
      </c>
      <c r="J3" s="17">
        <v>0</v>
      </c>
      <c r="K3" s="17">
        <v>0</v>
      </c>
      <c r="L3" s="17">
        <v>26</v>
      </c>
      <c r="M3" s="17">
        <v>15</v>
      </c>
      <c r="N3" s="17">
        <v>350072</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155</v>
      </c>
      <c r="C6" s="17">
        <v>150</v>
      </c>
      <c r="D6" s="17">
        <v>385</v>
      </c>
      <c r="E6" s="17">
        <v>1176</v>
      </c>
      <c r="F6" s="17">
        <v>18</v>
      </c>
      <c r="G6" s="17">
        <v>1</v>
      </c>
      <c r="H6" s="17">
        <v>0</v>
      </c>
      <c r="I6" s="17">
        <v>0</v>
      </c>
      <c r="J6" s="17">
        <v>14</v>
      </c>
      <c r="K6" s="17">
        <v>4</v>
      </c>
      <c r="L6" s="17">
        <v>12</v>
      </c>
      <c r="M6" s="17">
        <v>30</v>
      </c>
      <c r="N6" s="17">
        <v>90664</v>
      </c>
    </row>
    <row r="7" spans="1:14" s="26" customFormat="1" x14ac:dyDescent="0.25">
      <c r="A7" s="34" t="s">
        <v>4</v>
      </c>
      <c r="B7" s="16">
        <v>469</v>
      </c>
      <c r="C7" s="17">
        <v>85</v>
      </c>
      <c r="D7" s="17">
        <v>180</v>
      </c>
      <c r="E7" s="17">
        <v>404</v>
      </c>
      <c r="F7" s="17">
        <v>2</v>
      </c>
      <c r="G7" s="17">
        <v>0</v>
      </c>
      <c r="H7" s="17">
        <v>0</v>
      </c>
      <c r="I7" s="17">
        <v>60</v>
      </c>
      <c r="J7" s="17">
        <v>0</v>
      </c>
      <c r="K7" s="17">
        <v>2</v>
      </c>
      <c r="L7" s="17">
        <v>96</v>
      </c>
      <c r="M7" s="17">
        <v>610</v>
      </c>
      <c r="N7" s="17">
        <v>478925</v>
      </c>
    </row>
    <row r="8" spans="1:14" s="26" customFormat="1" x14ac:dyDescent="0.25">
      <c r="A8" s="34" t="s">
        <v>5</v>
      </c>
      <c r="B8" s="16">
        <v>0</v>
      </c>
      <c r="C8" s="17">
        <v>0</v>
      </c>
      <c r="D8" s="17">
        <v>0</v>
      </c>
      <c r="E8" s="17">
        <v>1436</v>
      </c>
      <c r="F8" s="17">
        <v>173</v>
      </c>
      <c r="G8" s="17">
        <v>19</v>
      </c>
      <c r="H8" s="17">
        <v>108</v>
      </c>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SUM(B2:B9)</f>
        <v>23975</v>
      </c>
      <c r="C10" s="19">
        <f t="shared" ref="C10:N10" si="0">SUM(C2:C9)</f>
        <v>1751</v>
      </c>
      <c r="D10" s="19">
        <f t="shared" si="0"/>
        <v>1021</v>
      </c>
      <c r="E10" s="19">
        <f t="shared" si="0"/>
        <v>8137</v>
      </c>
      <c r="F10" s="19">
        <f t="shared" si="0"/>
        <v>385</v>
      </c>
      <c r="G10" s="19">
        <f t="shared" si="0"/>
        <v>20</v>
      </c>
      <c r="H10" s="19">
        <f t="shared" si="0"/>
        <v>108</v>
      </c>
      <c r="I10" s="19">
        <f t="shared" si="0"/>
        <v>72</v>
      </c>
      <c r="J10" s="19">
        <f>SUM(J2:J9)</f>
        <v>134</v>
      </c>
      <c r="K10" s="19">
        <f t="shared" si="0"/>
        <v>38</v>
      </c>
      <c r="L10" s="19">
        <f>SUM(L2:L9)</f>
        <v>1392</v>
      </c>
      <c r="M10" s="19">
        <f t="shared" si="0"/>
        <v>2442</v>
      </c>
      <c r="N10" s="19">
        <f t="shared" si="0"/>
        <v>10539826</v>
      </c>
    </row>
    <row r="11" spans="1:14" s="26" customFormat="1" x14ac:dyDescent="0.25">
      <c r="A11" s="34" t="s">
        <v>8</v>
      </c>
      <c r="B11" s="16">
        <v>69784</v>
      </c>
      <c r="C11" s="16">
        <v>7039</v>
      </c>
      <c r="D11" s="16">
        <v>691</v>
      </c>
      <c r="E11" s="16">
        <v>21233</v>
      </c>
      <c r="F11" s="16">
        <v>1366</v>
      </c>
      <c r="G11" s="16">
        <v>0</v>
      </c>
      <c r="H11" s="16">
        <v>0</v>
      </c>
      <c r="I11" s="16">
        <v>208</v>
      </c>
      <c r="J11" s="16">
        <v>907</v>
      </c>
      <c r="K11" s="16">
        <v>22</v>
      </c>
      <c r="L11" s="16">
        <v>124</v>
      </c>
      <c r="M11" s="16">
        <v>16427</v>
      </c>
      <c r="N11" s="16">
        <v>9585798</v>
      </c>
    </row>
    <row r="12" spans="1:14" s="26" customFormat="1" x14ac:dyDescent="0.25">
      <c r="A12" s="34" t="s">
        <v>9</v>
      </c>
      <c r="B12" s="16">
        <v>653</v>
      </c>
      <c r="C12" s="16">
        <v>80</v>
      </c>
      <c r="D12" s="16">
        <v>51</v>
      </c>
      <c r="E12" s="16">
        <v>308</v>
      </c>
      <c r="F12" s="16">
        <v>88</v>
      </c>
      <c r="G12" s="16">
        <v>0</v>
      </c>
      <c r="H12" s="16">
        <v>0</v>
      </c>
      <c r="I12" s="16">
        <v>0</v>
      </c>
      <c r="J12" s="16">
        <v>0</v>
      </c>
      <c r="K12" s="16">
        <v>0</v>
      </c>
      <c r="L12" s="16">
        <v>0</v>
      </c>
      <c r="M12" s="16">
        <v>55</v>
      </c>
      <c r="N12" s="16">
        <v>23829</v>
      </c>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325</v>
      </c>
      <c r="C14" s="16">
        <v>147</v>
      </c>
      <c r="D14" s="16">
        <v>69</v>
      </c>
      <c r="E14" s="16">
        <v>3233</v>
      </c>
      <c r="F14" s="16">
        <v>70</v>
      </c>
      <c r="G14" s="16">
        <v>0</v>
      </c>
      <c r="H14" s="16">
        <v>0</v>
      </c>
      <c r="I14" s="16">
        <v>63</v>
      </c>
      <c r="J14" s="16">
        <v>0</v>
      </c>
      <c r="K14" s="16">
        <v>0</v>
      </c>
      <c r="L14" s="16">
        <v>332</v>
      </c>
      <c r="M14" s="16">
        <v>68</v>
      </c>
      <c r="N14" s="16">
        <v>42159</v>
      </c>
    </row>
    <row r="15" spans="1:14" s="26" customFormat="1" x14ac:dyDescent="0.25">
      <c r="A15" s="34" t="s">
        <v>11</v>
      </c>
      <c r="B15" s="16">
        <v>168</v>
      </c>
      <c r="C15" s="16">
        <v>162</v>
      </c>
      <c r="D15" s="16">
        <v>115</v>
      </c>
      <c r="E15" s="16">
        <v>2234</v>
      </c>
      <c r="F15" s="16">
        <v>26</v>
      </c>
      <c r="G15" s="16">
        <v>0</v>
      </c>
      <c r="H15" s="16">
        <v>0</v>
      </c>
      <c r="I15" s="16">
        <v>271</v>
      </c>
      <c r="J15" s="16">
        <v>0</v>
      </c>
      <c r="K15" s="16">
        <v>0</v>
      </c>
      <c r="L15" s="16">
        <v>46</v>
      </c>
      <c r="M15" s="16">
        <v>2489</v>
      </c>
      <c r="N15" s="16">
        <v>34833</v>
      </c>
    </row>
    <row r="16" spans="1:14" s="26" customFormat="1" x14ac:dyDescent="0.25">
      <c r="A16" s="34" t="s">
        <v>12</v>
      </c>
      <c r="B16" s="16">
        <v>0</v>
      </c>
      <c r="C16" s="16">
        <v>0</v>
      </c>
      <c r="D16" s="16">
        <v>0</v>
      </c>
      <c r="E16" s="16">
        <v>97</v>
      </c>
      <c r="F16" s="16">
        <v>0</v>
      </c>
      <c r="G16" s="16">
        <v>0</v>
      </c>
      <c r="H16" s="16">
        <v>10</v>
      </c>
      <c r="I16" s="16">
        <v>0</v>
      </c>
      <c r="J16" s="16">
        <v>0</v>
      </c>
      <c r="K16" s="16">
        <v>0</v>
      </c>
      <c r="L16" s="16">
        <v>0</v>
      </c>
      <c r="M16" s="16">
        <v>0</v>
      </c>
      <c r="N16" s="16">
        <v>0</v>
      </c>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SUM(B11:B17)</f>
        <v>70930</v>
      </c>
      <c r="C18" s="19">
        <f t="shared" ref="C18:N18" si="1">SUM(C11:C17)</f>
        <v>7428</v>
      </c>
      <c r="D18" s="19">
        <f t="shared" si="1"/>
        <v>926</v>
      </c>
      <c r="E18" s="19">
        <f t="shared" si="1"/>
        <v>27105</v>
      </c>
      <c r="F18" s="19">
        <f t="shared" si="1"/>
        <v>1550</v>
      </c>
      <c r="G18" s="19">
        <f t="shared" si="1"/>
        <v>0</v>
      </c>
      <c r="H18" s="19">
        <f t="shared" si="1"/>
        <v>10</v>
      </c>
      <c r="I18" s="19">
        <f t="shared" si="1"/>
        <v>542</v>
      </c>
      <c r="J18" s="19">
        <f>SUM(J11:J17)</f>
        <v>907</v>
      </c>
      <c r="K18" s="19">
        <f t="shared" si="1"/>
        <v>22</v>
      </c>
      <c r="L18" s="19">
        <f>SUM(L11:L17)</f>
        <v>502</v>
      </c>
      <c r="M18" s="19">
        <f t="shared" si="1"/>
        <v>19039</v>
      </c>
      <c r="N18" s="19">
        <f t="shared" si="1"/>
        <v>9686619</v>
      </c>
    </row>
    <row r="19" spans="1:14" s="26" customFormat="1" x14ac:dyDescent="0.25">
      <c r="A19" s="35" t="s">
        <v>15</v>
      </c>
      <c r="B19" s="19">
        <f>SUM(B10,B18)</f>
        <v>94905</v>
      </c>
      <c r="C19" s="19">
        <f t="shared" ref="C19:N19" si="2">SUM(C10,C18)</f>
        <v>9179</v>
      </c>
      <c r="D19" s="19">
        <f t="shared" si="2"/>
        <v>1947</v>
      </c>
      <c r="E19" s="19">
        <f t="shared" si="2"/>
        <v>35242</v>
      </c>
      <c r="F19" s="19">
        <f t="shared" si="2"/>
        <v>1935</v>
      </c>
      <c r="G19" s="19">
        <f t="shared" si="2"/>
        <v>20</v>
      </c>
      <c r="H19" s="19">
        <f t="shared" si="2"/>
        <v>118</v>
      </c>
      <c r="I19" s="19">
        <f t="shared" si="2"/>
        <v>614</v>
      </c>
      <c r="J19" s="19">
        <f>SUM(J10,J18)</f>
        <v>1041</v>
      </c>
      <c r="K19" s="19">
        <f t="shared" si="2"/>
        <v>60</v>
      </c>
      <c r="L19" s="19">
        <f>SUM(L10,L18)</f>
        <v>1894</v>
      </c>
      <c r="M19" s="19">
        <f t="shared" si="2"/>
        <v>21481</v>
      </c>
      <c r="N19" s="19">
        <f t="shared" si="2"/>
        <v>20226445</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row r="25" spans="1:14" x14ac:dyDescent="0.25">
      <c r="B25" s="44"/>
      <c r="C25" s="44"/>
      <c r="D25" s="44"/>
      <c r="E25" s="44"/>
      <c r="F25" s="44"/>
      <c r="G25" s="44"/>
      <c r="H25" s="44"/>
      <c r="I25" s="44"/>
      <c r="J25" s="44"/>
      <c r="K25" s="44"/>
      <c r="L25" s="44"/>
      <c r="M25" s="44"/>
      <c r="N25" s="44"/>
    </row>
  </sheetData>
  <sheetProtection formatCells="0" formatColumns="0" formatRows="0" insertColumns="0" insertRows="0" sort="0" autoFilter="0" pivotTables="0"/>
  <dataValidations count="1">
    <dataValidation type="list" errorStyle="information" allowBlank="1" showInputMessage="1" showErrorMessage="1" sqref="B1:N1" xr:uid="{94A7A468-ED0C-4147-A029-AF596331237A}">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7D1BFA47-F846-4675-80EC-E8C04C811F8C}">
          <x14:formula1>
            <xm:f>'Term List'!$A2:$A242</xm:f>
          </x14:formula1>
          <xm:sqref>O1:XFD1</xm:sqref>
        </x14:dataValidation>
      </x14:dataValidation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43E71-F0DA-4DDF-B4C3-E9A29BDD3483}">
  <dimension ref="A1:Z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1.7109375" style="5" customWidth="1"/>
    <col min="11" max="11" width="23.85546875" style="5" customWidth="1"/>
    <col min="12" max="12" width="25.85546875" style="3" customWidth="1"/>
    <col min="13" max="13" width="23.7109375" style="3" customWidth="1"/>
    <col min="14" max="14" width="21.140625" style="5" customWidth="1"/>
    <col min="15" max="15" width="16.28515625" style="5" customWidth="1"/>
    <col min="16" max="16" width="17" style="5" customWidth="1"/>
    <col min="17" max="17" width="21.140625" style="3" customWidth="1"/>
    <col min="18" max="18" width="21.28515625" style="5" customWidth="1"/>
    <col min="19" max="19" width="18.28515625" style="5" customWidth="1"/>
    <col min="20" max="20" width="20.140625" style="3" customWidth="1"/>
    <col min="21" max="22" width="15.85546875" style="3" customWidth="1"/>
    <col min="23" max="23" width="18.28515625" style="3" customWidth="1"/>
    <col min="24" max="24" width="17.85546875" style="3" customWidth="1"/>
    <col min="25" max="25" width="17.28515625" style="3" customWidth="1"/>
    <col min="26" max="26" width="17.5703125" style="3" customWidth="1"/>
    <col min="27" max="16384" width="9.140625" style="3"/>
  </cols>
  <sheetData>
    <row r="1" spans="1:26" s="40" customFormat="1" ht="30" x14ac:dyDescent="0.25">
      <c r="A1" s="36" t="s">
        <v>419</v>
      </c>
      <c r="B1" s="36" t="s">
        <v>62</v>
      </c>
      <c r="C1" s="36" t="s">
        <v>36</v>
      </c>
      <c r="D1" s="36" t="s">
        <v>35</v>
      </c>
      <c r="E1" s="36" t="s">
        <v>39</v>
      </c>
      <c r="F1" s="36" t="s">
        <v>99</v>
      </c>
      <c r="G1" s="36" t="s">
        <v>95</v>
      </c>
      <c r="H1" s="36" t="s">
        <v>94</v>
      </c>
      <c r="I1" s="36" t="s">
        <v>386</v>
      </c>
      <c r="J1" s="36" t="s">
        <v>387</v>
      </c>
      <c r="K1" s="36" t="s">
        <v>388</v>
      </c>
      <c r="L1" s="36" t="s">
        <v>383</v>
      </c>
      <c r="M1" s="36" t="s">
        <v>384</v>
      </c>
      <c r="N1" s="36" t="s">
        <v>570</v>
      </c>
      <c r="O1" s="36" t="s">
        <v>571</v>
      </c>
      <c r="P1" s="36" t="s">
        <v>572</v>
      </c>
      <c r="Q1" s="36" t="s">
        <v>566</v>
      </c>
      <c r="R1" s="36" t="s">
        <v>567</v>
      </c>
      <c r="S1" s="36" t="s">
        <v>568</v>
      </c>
      <c r="T1" s="36" t="s">
        <v>107</v>
      </c>
      <c r="U1" s="36" t="s">
        <v>101</v>
      </c>
      <c r="V1" s="36" t="s">
        <v>75</v>
      </c>
      <c r="W1" s="36" t="s">
        <v>330</v>
      </c>
      <c r="X1" s="36" t="s">
        <v>331</v>
      </c>
      <c r="Y1" s="36" t="s">
        <v>332</v>
      </c>
      <c r="Z1" s="36" t="s">
        <v>333</v>
      </c>
    </row>
    <row r="2" spans="1:26"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row>
    <row r="3" spans="1:26"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row>
    <row r="4" spans="1:26" s="26" customFormat="1" x14ac:dyDescent="0.25">
      <c r="A4" s="34" t="s">
        <v>169</v>
      </c>
      <c r="B4" s="16">
        <v>5110</v>
      </c>
      <c r="C4" s="16">
        <v>392</v>
      </c>
      <c r="D4" s="16">
        <v>5273</v>
      </c>
      <c r="E4" s="16">
        <v>0</v>
      </c>
      <c r="F4" s="16">
        <v>43</v>
      </c>
      <c r="G4" s="16">
        <v>0</v>
      </c>
      <c r="H4" s="16">
        <v>0</v>
      </c>
      <c r="I4" s="16">
        <v>0</v>
      </c>
      <c r="J4" s="16">
        <v>0</v>
      </c>
      <c r="K4" s="16">
        <v>0</v>
      </c>
      <c r="L4" s="16">
        <v>386</v>
      </c>
      <c r="M4" s="16">
        <v>0</v>
      </c>
      <c r="N4" s="16">
        <v>0</v>
      </c>
      <c r="O4" s="16">
        <v>0</v>
      </c>
      <c r="P4" s="16">
        <v>0</v>
      </c>
      <c r="Q4" s="16">
        <v>0</v>
      </c>
      <c r="R4" s="16">
        <v>15686</v>
      </c>
      <c r="S4" s="16">
        <v>0</v>
      </c>
      <c r="T4" s="16">
        <v>0</v>
      </c>
      <c r="U4" s="16">
        <v>0</v>
      </c>
      <c r="V4" s="16">
        <v>0</v>
      </c>
      <c r="W4" s="16">
        <v>0</v>
      </c>
      <c r="X4" s="16">
        <v>0</v>
      </c>
      <c r="Y4" s="16">
        <v>0</v>
      </c>
      <c r="Z4" s="16">
        <v>0</v>
      </c>
    </row>
    <row r="5" spans="1:26"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row>
    <row r="6" spans="1:26" s="26" customFormat="1" x14ac:dyDescent="0.25">
      <c r="A6" s="34" t="s">
        <v>3</v>
      </c>
      <c r="B6" s="16">
        <v>944</v>
      </c>
      <c r="C6" s="16">
        <v>0</v>
      </c>
      <c r="D6" s="16">
        <v>30</v>
      </c>
      <c r="E6" s="16">
        <v>0</v>
      </c>
      <c r="F6" s="16">
        <v>0</v>
      </c>
      <c r="G6" s="16">
        <v>0</v>
      </c>
      <c r="H6" s="16">
        <v>0</v>
      </c>
      <c r="I6" s="16">
        <v>540</v>
      </c>
      <c r="J6" s="16">
        <v>0</v>
      </c>
      <c r="K6" s="16">
        <v>90</v>
      </c>
      <c r="L6" s="16">
        <v>179</v>
      </c>
      <c r="M6" s="16">
        <v>0</v>
      </c>
      <c r="N6" s="16">
        <v>3176</v>
      </c>
      <c r="O6" s="16">
        <v>3000</v>
      </c>
      <c r="P6" s="16">
        <v>3574</v>
      </c>
      <c r="Q6" s="16">
        <v>168</v>
      </c>
      <c r="R6" s="16">
        <v>21724</v>
      </c>
      <c r="S6" s="16">
        <v>279</v>
      </c>
      <c r="T6" s="16">
        <v>213726</v>
      </c>
      <c r="U6" s="16">
        <v>1485800</v>
      </c>
      <c r="V6" s="16">
        <v>1251750</v>
      </c>
      <c r="W6" s="16">
        <v>15</v>
      </c>
      <c r="X6" s="16">
        <v>0</v>
      </c>
      <c r="Y6" s="16">
        <v>0</v>
      </c>
      <c r="Z6" s="16">
        <v>0</v>
      </c>
    </row>
    <row r="7" spans="1:26" s="26" customFormat="1" x14ac:dyDescent="0.25">
      <c r="A7" s="34" t="s">
        <v>4</v>
      </c>
      <c r="B7" s="16">
        <v>43428</v>
      </c>
      <c r="C7" s="16">
        <v>2931</v>
      </c>
      <c r="D7" s="16">
        <v>0</v>
      </c>
      <c r="E7" s="16">
        <v>2861</v>
      </c>
      <c r="F7" s="16">
        <v>1122</v>
      </c>
      <c r="G7" s="16">
        <v>20</v>
      </c>
      <c r="H7" s="16">
        <v>450</v>
      </c>
      <c r="I7" s="16">
        <v>25191</v>
      </c>
      <c r="J7" s="16">
        <v>3931</v>
      </c>
      <c r="K7" s="16">
        <v>7186</v>
      </c>
      <c r="L7" s="16">
        <v>438</v>
      </c>
      <c r="M7" s="16">
        <v>1309</v>
      </c>
      <c r="N7" s="16">
        <v>0</v>
      </c>
      <c r="O7" s="16">
        <v>0</v>
      </c>
      <c r="P7" s="16">
        <v>0</v>
      </c>
      <c r="Q7" s="16">
        <v>0</v>
      </c>
      <c r="R7" s="16">
        <v>0</v>
      </c>
      <c r="S7" s="16">
        <v>0</v>
      </c>
      <c r="T7" s="16">
        <v>1141092</v>
      </c>
      <c r="U7" s="16">
        <v>3028435</v>
      </c>
      <c r="V7" s="16">
        <v>2248889</v>
      </c>
      <c r="W7" s="16">
        <v>22</v>
      </c>
      <c r="X7" s="16">
        <v>0</v>
      </c>
      <c r="Y7" s="16">
        <v>0</v>
      </c>
      <c r="Z7" s="16">
        <v>27</v>
      </c>
    </row>
    <row r="8" spans="1:26" s="26" customFormat="1" x14ac:dyDescent="0.25">
      <c r="A8" s="34" t="s">
        <v>5</v>
      </c>
      <c r="B8" s="16">
        <v>1624</v>
      </c>
      <c r="C8" s="16">
        <v>0</v>
      </c>
      <c r="D8" s="16">
        <v>0</v>
      </c>
      <c r="E8" s="16">
        <v>0</v>
      </c>
      <c r="F8" s="16">
        <v>0</v>
      </c>
      <c r="G8" s="16">
        <v>0</v>
      </c>
      <c r="H8" s="16">
        <v>19</v>
      </c>
      <c r="I8" s="16">
        <v>3615</v>
      </c>
      <c r="J8" s="16">
        <v>461</v>
      </c>
      <c r="K8" s="16">
        <v>310</v>
      </c>
      <c r="L8" s="16">
        <v>51</v>
      </c>
      <c r="M8" s="16">
        <v>39</v>
      </c>
      <c r="N8" s="16">
        <v>0</v>
      </c>
      <c r="O8" s="16">
        <v>0</v>
      </c>
      <c r="P8" s="16">
        <v>0</v>
      </c>
      <c r="Q8" s="16">
        <v>0</v>
      </c>
      <c r="R8" s="16">
        <v>0</v>
      </c>
      <c r="S8" s="16">
        <v>0</v>
      </c>
      <c r="T8" s="16">
        <v>0</v>
      </c>
      <c r="U8" s="16">
        <v>0</v>
      </c>
      <c r="V8" s="16">
        <v>0</v>
      </c>
      <c r="W8" s="16">
        <v>248</v>
      </c>
      <c r="X8" s="16">
        <v>174</v>
      </c>
      <c r="Y8" s="16">
        <v>177</v>
      </c>
      <c r="Z8" s="16">
        <v>19</v>
      </c>
    </row>
    <row r="9" spans="1:26"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row>
    <row r="10" spans="1:26" s="26" customFormat="1" x14ac:dyDescent="0.25">
      <c r="A10" s="35" t="s">
        <v>7</v>
      </c>
      <c r="B10" s="19">
        <f>SUM(B2:B9)</f>
        <v>51106</v>
      </c>
      <c r="C10" s="19">
        <f>SUM(C2:C9)</f>
        <v>3323</v>
      </c>
      <c r="D10" s="19">
        <f>SUM(D2:D9)</f>
        <v>5303</v>
      </c>
      <c r="E10" s="19">
        <f>SUM(E2:E9)</f>
        <v>2861</v>
      </c>
      <c r="F10" s="19">
        <f t="shared" ref="F10" si="0">SUM(F2:F9)</f>
        <v>1165</v>
      </c>
      <c r="G10" s="19">
        <f>SUM(G2:G9)</f>
        <v>20</v>
      </c>
      <c r="H10" s="19">
        <f t="shared" ref="H10:Z10" si="1">SUM(H2:H9)</f>
        <v>469</v>
      </c>
      <c r="I10" s="19">
        <f t="shared" si="1"/>
        <v>29346</v>
      </c>
      <c r="J10" s="19">
        <f t="shared" si="1"/>
        <v>4392</v>
      </c>
      <c r="K10" s="19">
        <f t="shared" si="1"/>
        <v>7586</v>
      </c>
      <c r="L10" s="19">
        <f t="shared" si="1"/>
        <v>1054</v>
      </c>
      <c r="M10" s="19">
        <f t="shared" si="1"/>
        <v>1348</v>
      </c>
      <c r="N10" s="19">
        <f t="shared" si="1"/>
        <v>3176</v>
      </c>
      <c r="O10" s="19">
        <f t="shared" si="1"/>
        <v>3000</v>
      </c>
      <c r="P10" s="19">
        <f t="shared" si="1"/>
        <v>3574</v>
      </c>
      <c r="Q10" s="19">
        <f t="shared" si="1"/>
        <v>168</v>
      </c>
      <c r="R10" s="19">
        <f t="shared" si="1"/>
        <v>37410</v>
      </c>
      <c r="S10" s="19">
        <f t="shared" si="1"/>
        <v>279</v>
      </c>
      <c r="T10" s="19">
        <f t="shared" si="1"/>
        <v>1354818</v>
      </c>
      <c r="U10" s="19">
        <f t="shared" si="1"/>
        <v>4514235</v>
      </c>
      <c r="V10" s="19">
        <f t="shared" si="1"/>
        <v>3500639</v>
      </c>
      <c r="W10" s="19">
        <f t="shared" si="1"/>
        <v>285</v>
      </c>
      <c r="X10" s="19">
        <f t="shared" si="1"/>
        <v>174</v>
      </c>
      <c r="Y10" s="19">
        <f t="shared" si="1"/>
        <v>177</v>
      </c>
      <c r="Z10" s="19">
        <f t="shared" si="1"/>
        <v>46</v>
      </c>
    </row>
    <row r="11" spans="1:26"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row>
    <row r="12" spans="1:26"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s="26" customFormat="1" x14ac:dyDescent="0.25">
      <c r="A13" s="34" t="s">
        <v>164</v>
      </c>
      <c r="B13" s="16">
        <v>286</v>
      </c>
      <c r="C13" s="16">
        <v>40</v>
      </c>
      <c r="D13" s="16">
        <v>0</v>
      </c>
      <c r="E13" s="16">
        <v>0</v>
      </c>
      <c r="F13" s="16">
        <v>232</v>
      </c>
      <c r="G13" s="16">
        <v>0</v>
      </c>
      <c r="H13" s="16">
        <v>30</v>
      </c>
      <c r="I13" s="16">
        <v>0</v>
      </c>
      <c r="J13" s="16">
        <v>0</v>
      </c>
      <c r="K13" s="16">
        <v>0</v>
      </c>
      <c r="L13" s="16">
        <v>0</v>
      </c>
      <c r="M13" s="16">
        <v>0</v>
      </c>
      <c r="N13" s="16">
        <v>0</v>
      </c>
      <c r="O13" s="16">
        <v>0</v>
      </c>
      <c r="P13" s="16">
        <v>0</v>
      </c>
      <c r="Q13" s="16">
        <v>0</v>
      </c>
      <c r="R13" s="16">
        <v>38211</v>
      </c>
      <c r="S13" s="16">
        <v>0</v>
      </c>
      <c r="T13" s="16">
        <v>0</v>
      </c>
      <c r="U13" s="16">
        <v>0</v>
      </c>
      <c r="V13" s="16">
        <v>0</v>
      </c>
      <c r="W13" s="16">
        <v>0</v>
      </c>
      <c r="X13" s="16">
        <v>0</v>
      </c>
      <c r="Y13" s="16">
        <v>0</v>
      </c>
      <c r="Z13" s="16">
        <v>0</v>
      </c>
    </row>
    <row r="14" spans="1:26" s="26" customFormat="1" x14ac:dyDescent="0.25">
      <c r="A14" s="34" t="s">
        <v>10</v>
      </c>
      <c r="B14" s="16">
        <v>963</v>
      </c>
      <c r="C14" s="16">
        <v>84</v>
      </c>
      <c r="D14" s="16">
        <v>0</v>
      </c>
      <c r="E14" s="16">
        <v>102</v>
      </c>
      <c r="F14" s="16">
        <v>22</v>
      </c>
      <c r="G14" s="16">
        <v>0</v>
      </c>
      <c r="H14" s="16">
        <v>80</v>
      </c>
      <c r="I14" s="16">
        <v>1300</v>
      </c>
      <c r="J14" s="16">
        <v>0</v>
      </c>
      <c r="K14" s="16">
        <v>295</v>
      </c>
      <c r="L14" s="16">
        <v>37</v>
      </c>
      <c r="M14" s="16">
        <v>50</v>
      </c>
      <c r="N14" s="16">
        <v>1448</v>
      </c>
      <c r="O14" s="16">
        <v>535</v>
      </c>
      <c r="P14" s="16">
        <v>1173</v>
      </c>
      <c r="Q14" s="16">
        <v>82</v>
      </c>
      <c r="R14" s="16">
        <v>3054</v>
      </c>
      <c r="S14" s="16">
        <v>170</v>
      </c>
      <c r="T14" s="16">
        <v>441204</v>
      </c>
      <c r="U14" s="16">
        <v>1066850</v>
      </c>
      <c r="V14" s="16">
        <v>2032530</v>
      </c>
      <c r="W14" s="16">
        <v>11</v>
      </c>
      <c r="X14" s="16">
        <v>0</v>
      </c>
      <c r="Y14" s="16">
        <v>0</v>
      </c>
      <c r="Z14" s="16">
        <v>37</v>
      </c>
    </row>
    <row r="15" spans="1:26" s="26" customFormat="1" x14ac:dyDescent="0.25">
      <c r="A15" s="34" t="s">
        <v>11</v>
      </c>
      <c r="B15" s="16">
        <v>2827</v>
      </c>
      <c r="C15" s="16">
        <v>485</v>
      </c>
      <c r="D15" s="16">
        <v>0</v>
      </c>
      <c r="E15" s="16">
        <v>232</v>
      </c>
      <c r="F15" s="16">
        <v>338</v>
      </c>
      <c r="G15" s="16">
        <v>175</v>
      </c>
      <c r="H15" s="16">
        <v>0</v>
      </c>
      <c r="I15" s="16">
        <v>7401</v>
      </c>
      <c r="J15" s="16">
        <v>950</v>
      </c>
      <c r="K15" s="16">
        <v>829</v>
      </c>
      <c r="L15" s="16">
        <v>82</v>
      </c>
      <c r="M15" s="16">
        <v>382</v>
      </c>
      <c r="N15" s="16">
        <v>0</v>
      </c>
      <c r="O15" s="16">
        <v>0</v>
      </c>
      <c r="P15" s="16">
        <v>0</v>
      </c>
      <c r="Q15" s="16">
        <v>0</v>
      </c>
      <c r="R15" s="16">
        <v>0</v>
      </c>
      <c r="S15" s="16">
        <v>0</v>
      </c>
      <c r="T15" s="16">
        <v>1422455</v>
      </c>
      <c r="U15" s="16">
        <v>2782030</v>
      </c>
      <c r="V15" s="16">
        <v>1478080</v>
      </c>
      <c r="W15" s="16">
        <v>2</v>
      </c>
      <c r="X15" s="16">
        <v>0</v>
      </c>
      <c r="Y15" s="16">
        <v>0</v>
      </c>
      <c r="Z15" s="16">
        <v>0</v>
      </c>
    </row>
    <row r="16" spans="1:26" s="26" customFormat="1" x14ac:dyDescent="0.25">
      <c r="A16" s="34" t="s">
        <v>12</v>
      </c>
      <c r="B16" s="16">
        <v>0</v>
      </c>
      <c r="C16" s="16">
        <v>0</v>
      </c>
      <c r="D16" s="16">
        <v>0</v>
      </c>
      <c r="E16" s="16">
        <v>0</v>
      </c>
      <c r="F16" s="16">
        <v>0</v>
      </c>
      <c r="G16" s="16">
        <v>0</v>
      </c>
      <c r="H16" s="16">
        <v>0</v>
      </c>
      <c r="I16" s="16">
        <v>180</v>
      </c>
      <c r="J16" s="16">
        <v>0</v>
      </c>
      <c r="K16" s="16">
        <v>0</v>
      </c>
      <c r="L16" s="16">
        <v>0</v>
      </c>
      <c r="M16" s="16">
        <v>0</v>
      </c>
      <c r="N16" s="16">
        <v>0</v>
      </c>
      <c r="O16" s="16">
        <v>0</v>
      </c>
      <c r="P16" s="16">
        <v>0</v>
      </c>
      <c r="Q16" s="16">
        <v>0</v>
      </c>
      <c r="R16" s="16">
        <v>0</v>
      </c>
      <c r="S16" s="16">
        <v>0</v>
      </c>
      <c r="T16" s="16">
        <v>0</v>
      </c>
      <c r="U16" s="16">
        <v>0</v>
      </c>
      <c r="V16" s="16">
        <v>0</v>
      </c>
      <c r="W16" s="16">
        <v>145</v>
      </c>
      <c r="X16" s="16">
        <v>5</v>
      </c>
      <c r="Y16" s="16">
        <v>0</v>
      </c>
      <c r="Z16" s="16">
        <v>89</v>
      </c>
    </row>
    <row r="17" spans="1:26"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s="26" customFormat="1" x14ac:dyDescent="0.25">
      <c r="A18" s="35" t="s">
        <v>14</v>
      </c>
      <c r="B18" s="19">
        <f>SUM(B11:B17)</f>
        <v>4076</v>
      </c>
      <c r="C18" s="19">
        <f>SUM(C11:C17)</f>
        <v>609</v>
      </c>
      <c r="D18" s="19">
        <f>SUM(D11:D17)</f>
        <v>0</v>
      </c>
      <c r="E18" s="19">
        <f>SUM(E11:E17)</f>
        <v>334</v>
      </c>
      <c r="F18" s="19">
        <f t="shared" ref="F18" si="2">SUM(F11:F17)</f>
        <v>592</v>
      </c>
      <c r="G18" s="19">
        <f>SUM(G11:G17)</f>
        <v>175</v>
      </c>
      <c r="H18" s="19">
        <f t="shared" ref="H18:Z18" si="3">SUM(H11:H17)</f>
        <v>110</v>
      </c>
      <c r="I18" s="19">
        <f t="shared" si="3"/>
        <v>8881</v>
      </c>
      <c r="J18" s="19">
        <f t="shared" si="3"/>
        <v>950</v>
      </c>
      <c r="K18" s="19">
        <f t="shared" si="3"/>
        <v>1124</v>
      </c>
      <c r="L18" s="19">
        <f t="shared" si="3"/>
        <v>119</v>
      </c>
      <c r="M18" s="19">
        <f t="shared" si="3"/>
        <v>432</v>
      </c>
      <c r="N18" s="19">
        <f t="shared" si="3"/>
        <v>1448</v>
      </c>
      <c r="O18" s="19">
        <f t="shared" si="3"/>
        <v>535</v>
      </c>
      <c r="P18" s="19">
        <f t="shared" si="3"/>
        <v>1173</v>
      </c>
      <c r="Q18" s="19">
        <f t="shared" si="3"/>
        <v>82</v>
      </c>
      <c r="R18" s="19">
        <f t="shared" si="3"/>
        <v>41265</v>
      </c>
      <c r="S18" s="19">
        <f t="shared" si="3"/>
        <v>170</v>
      </c>
      <c r="T18" s="19">
        <f t="shared" si="3"/>
        <v>1863659</v>
      </c>
      <c r="U18" s="19">
        <f t="shared" si="3"/>
        <v>3848880</v>
      </c>
      <c r="V18" s="19">
        <f t="shared" si="3"/>
        <v>3510610</v>
      </c>
      <c r="W18" s="19">
        <f t="shared" si="3"/>
        <v>158</v>
      </c>
      <c r="X18" s="19">
        <f t="shared" si="3"/>
        <v>5</v>
      </c>
      <c r="Y18" s="19">
        <f t="shared" si="3"/>
        <v>0</v>
      </c>
      <c r="Z18" s="19">
        <f t="shared" si="3"/>
        <v>126</v>
      </c>
    </row>
    <row r="19" spans="1:26" s="26" customFormat="1" x14ac:dyDescent="0.25">
      <c r="A19" s="35" t="s">
        <v>15</v>
      </c>
      <c r="B19" s="19">
        <f>SUM(B10,B18)</f>
        <v>55182</v>
      </c>
      <c r="C19" s="19">
        <f>SUM(C10,C18)</f>
        <v>3932</v>
      </c>
      <c r="D19" s="19">
        <f>SUM(D10,D18)</f>
        <v>5303</v>
      </c>
      <c r="E19" s="19">
        <f>SUM(E10,E18)</f>
        <v>3195</v>
      </c>
      <c r="F19" s="19">
        <f t="shared" ref="F19" si="4">SUM(F10,F18)</f>
        <v>1757</v>
      </c>
      <c r="G19" s="19">
        <f>SUM(G10,G18)</f>
        <v>195</v>
      </c>
      <c r="H19" s="19">
        <f t="shared" ref="H19:Z19" si="5">SUM(H10,H18)</f>
        <v>579</v>
      </c>
      <c r="I19" s="19">
        <f t="shared" si="5"/>
        <v>38227</v>
      </c>
      <c r="J19" s="19">
        <f t="shared" si="5"/>
        <v>5342</v>
      </c>
      <c r="K19" s="19">
        <f t="shared" si="5"/>
        <v>8710</v>
      </c>
      <c r="L19" s="19">
        <f t="shared" si="5"/>
        <v>1173</v>
      </c>
      <c r="M19" s="19">
        <f t="shared" si="5"/>
        <v>1780</v>
      </c>
      <c r="N19" s="19">
        <f t="shared" si="5"/>
        <v>4624</v>
      </c>
      <c r="O19" s="19">
        <f t="shared" si="5"/>
        <v>3535</v>
      </c>
      <c r="P19" s="19">
        <f t="shared" si="5"/>
        <v>4747</v>
      </c>
      <c r="Q19" s="19">
        <f t="shared" si="5"/>
        <v>250</v>
      </c>
      <c r="R19" s="19">
        <f t="shared" si="5"/>
        <v>78675</v>
      </c>
      <c r="S19" s="19">
        <f t="shared" si="5"/>
        <v>449</v>
      </c>
      <c r="T19" s="19">
        <f t="shared" si="5"/>
        <v>3218477</v>
      </c>
      <c r="U19" s="19">
        <f t="shared" si="5"/>
        <v>8363115</v>
      </c>
      <c r="V19" s="19">
        <f t="shared" si="5"/>
        <v>7011249</v>
      </c>
      <c r="W19" s="19">
        <f t="shared" si="5"/>
        <v>443</v>
      </c>
      <c r="X19" s="19">
        <f t="shared" si="5"/>
        <v>179</v>
      </c>
      <c r="Y19" s="19">
        <f t="shared" si="5"/>
        <v>177</v>
      </c>
      <c r="Z19" s="19">
        <f t="shared" si="5"/>
        <v>172</v>
      </c>
    </row>
    <row r="21" spans="1:26"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row>
    <row r="22" spans="1:26"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spans="1:26"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spans="1:26"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spans="1:26"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row>
  </sheetData>
  <sheetProtection formatCells="0" formatColumns="0" formatRows="0" insertColumns="0" insertRows="0" sort="0" autoFilter="0" pivotTables="0"/>
  <dataValidations count="1">
    <dataValidation type="list" errorStyle="information" allowBlank="1" showInputMessage="1" showErrorMessage="1" sqref="B1:Z1" xr:uid="{AD090653-2D76-4057-B4F7-A5D5307A7C0E}">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E9034EC-CFD1-40A0-9720-A82DF7E1707F}">
          <x14:formula1>
            <xm:f>'Term List'!$A2:$A242</xm:f>
          </x14:formula1>
          <xm:sqref>AA1:XFD1</xm:sqref>
        </x14:dataValidation>
      </x14:dataValidations>
    </ext>
  </extLs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CD04C-C1C2-4529-9484-74FEB6DF8D9F}">
  <dimension ref="A1:N25"/>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1.42578125" style="5" bestFit="1" customWidth="1"/>
    <col min="8" max="8" width="13.140625" style="5" bestFit="1" customWidth="1"/>
    <col min="9" max="9" width="15.85546875" style="5" bestFit="1" customWidth="1"/>
    <col min="10" max="10" width="13.5703125" style="5" bestFit="1" customWidth="1"/>
    <col min="11" max="11" width="12.85546875" style="5" bestFit="1" customWidth="1"/>
    <col min="12" max="12" width="15.140625" style="5" bestFit="1" customWidth="1"/>
    <col min="13" max="13" width="14.5703125" style="5" bestFit="1" customWidth="1"/>
    <col min="14" max="14" width="11.5703125" style="5" bestFit="1" customWidth="1"/>
    <col min="15" max="16384" width="9.140625" style="3"/>
  </cols>
  <sheetData>
    <row r="1" spans="1:14" s="14" customFormat="1" ht="30" x14ac:dyDescent="0.25">
      <c r="A1" s="36" t="s">
        <v>417</v>
      </c>
      <c r="B1" s="36" t="s">
        <v>155</v>
      </c>
      <c r="C1" s="36" t="s">
        <v>156</v>
      </c>
      <c r="D1" s="36" t="s">
        <v>154</v>
      </c>
      <c r="E1" s="36" t="s">
        <v>150</v>
      </c>
      <c r="F1" s="36" t="s">
        <v>148</v>
      </c>
      <c r="G1" s="36" t="s">
        <v>147</v>
      </c>
      <c r="H1" s="36" t="s">
        <v>314</v>
      </c>
      <c r="I1" s="36" t="s">
        <v>139</v>
      </c>
      <c r="J1" s="36" t="s">
        <v>132</v>
      </c>
      <c r="K1" s="36" t="s">
        <v>130</v>
      </c>
      <c r="L1" s="36" t="s">
        <v>144</v>
      </c>
      <c r="M1" s="36" t="s">
        <v>142</v>
      </c>
      <c r="N1" s="36" t="s">
        <v>124</v>
      </c>
    </row>
    <row r="2" spans="1:14" s="26" customFormat="1" x14ac:dyDescent="0.25">
      <c r="A2" s="34" t="s">
        <v>0</v>
      </c>
      <c r="B2" s="16">
        <v>17540</v>
      </c>
      <c r="C2" s="17">
        <v>1231</v>
      </c>
      <c r="D2" s="17">
        <v>202</v>
      </c>
      <c r="E2" s="17">
        <v>2555</v>
      </c>
      <c r="F2" s="17">
        <v>81</v>
      </c>
      <c r="G2" s="17">
        <v>0</v>
      </c>
      <c r="H2" s="17">
        <v>0</v>
      </c>
      <c r="I2" s="17">
        <v>0</v>
      </c>
      <c r="J2" s="17">
        <v>76</v>
      </c>
      <c r="K2" s="17">
        <v>2</v>
      </c>
      <c r="L2" s="17">
        <v>273</v>
      </c>
      <c r="M2" s="17">
        <v>674</v>
      </c>
      <c r="N2" s="17">
        <v>10888875</v>
      </c>
    </row>
    <row r="3" spans="1:14" s="26" customFormat="1" x14ac:dyDescent="0.25">
      <c r="A3" s="34" t="s">
        <v>1</v>
      </c>
      <c r="B3" s="16">
        <v>457</v>
      </c>
      <c r="C3" s="17">
        <v>51</v>
      </c>
      <c r="D3" s="17">
        <v>62</v>
      </c>
      <c r="E3" s="17">
        <v>3</v>
      </c>
      <c r="F3" s="17">
        <v>24</v>
      </c>
      <c r="G3" s="17">
        <v>0</v>
      </c>
      <c r="H3" s="17">
        <v>0</v>
      </c>
      <c r="I3" s="17">
        <v>0</v>
      </c>
      <c r="J3" s="17">
        <v>10</v>
      </c>
      <c r="K3" s="17">
        <v>0</v>
      </c>
      <c r="L3" s="17">
        <v>12</v>
      </c>
      <c r="M3" s="17">
        <v>15</v>
      </c>
      <c r="N3" s="17">
        <v>97890</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180</v>
      </c>
      <c r="C6" s="17">
        <v>58</v>
      </c>
      <c r="D6" s="17">
        <v>264</v>
      </c>
      <c r="E6" s="17">
        <v>1054</v>
      </c>
      <c r="F6" s="17">
        <v>71</v>
      </c>
      <c r="G6" s="17">
        <v>2</v>
      </c>
      <c r="H6" s="17">
        <v>0</v>
      </c>
      <c r="I6" s="17">
        <v>8</v>
      </c>
      <c r="J6" s="17">
        <v>0</v>
      </c>
      <c r="K6" s="17">
        <v>0</v>
      </c>
      <c r="L6" s="17">
        <v>11</v>
      </c>
      <c r="M6" s="17">
        <v>1411</v>
      </c>
      <c r="N6" s="17">
        <v>111951</v>
      </c>
    </row>
    <row r="7" spans="1:14" s="26" customFormat="1" x14ac:dyDescent="0.25">
      <c r="A7" s="34" t="s">
        <v>4</v>
      </c>
      <c r="B7" s="16">
        <v>12</v>
      </c>
      <c r="C7" s="17">
        <v>0</v>
      </c>
      <c r="D7" s="17">
        <v>5</v>
      </c>
      <c r="E7" s="17">
        <v>7</v>
      </c>
      <c r="F7" s="17">
        <v>0</v>
      </c>
      <c r="G7" s="17">
        <v>6</v>
      </c>
      <c r="H7" s="17">
        <v>0</v>
      </c>
      <c r="I7" s="17">
        <v>0</v>
      </c>
      <c r="J7" s="17">
        <v>0</v>
      </c>
      <c r="K7" s="17">
        <v>0</v>
      </c>
      <c r="L7" s="17">
        <v>0</v>
      </c>
      <c r="M7" s="17">
        <v>2</v>
      </c>
      <c r="N7" s="17">
        <v>14185</v>
      </c>
    </row>
    <row r="8" spans="1:14" s="26" customFormat="1" x14ac:dyDescent="0.25">
      <c r="A8" s="34" t="s">
        <v>5</v>
      </c>
      <c r="B8" s="16">
        <v>0</v>
      </c>
      <c r="C8" s="17">
        <v>0</v>
      </c>
      <c r="D8" s="17">
        <v>0</v>
      </c>
      <c r="E8" s="17">
        <v>1358</v>
      </c>
      <c r="F8" s="17">
        <v>77</v>
      </c>
      <c r="G8" s="17">
        <v>0</v>
      </c>
      <c r="H8" s="17">
        <v>46</v>
      </c>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SUM(B2:B9)</f>
        <v>18189</v>
      </c>
      <c r="C10" s="19">
        <f t="shared" ref="C10:N10" si="0">SUM(C2:C9)</f>
        <v>1340</v>
      </c>
      <c r="D10" s="19">
        <f t="shared" si="0"/>
        <v>533</v>
      </c>
      <c r="E10" s="19">
        <f t="shared" si="0"/>
        <v>4977</v>
      </c>
      <c r="F10" s="19">
        <f t="shared" si="0"/>
        <v>253</v>
      </c>
      <c r="G10" s="19">
        <f t="shared" si="0"/>
        <v>8</v>
      </c>
      <c r="H10" s="19">
        <f t="shared" si="0"/>
        <v>46</v>
      </c>
      <c r="I10" s="19">
        <f t="shared" si="0"/>
        <v>8</v>
      </c>
      <c r="J10" s="19">
        <f>SUM(J2:J9)</f>
        <v>86</v>
      </c>
      <c r="K10" s="19">
        <f t="shared" si="0"/>
        <v>2</v>
      </c>
      <c r="L10" s="19">
        <f>SUM(L2:L9)</f>
        <v>296</v>
      </c>
      <c r="M10" s="19">
        <f t="shared" si="0"/>
        <v>2102</v>
      </c>
      <c r="N10" s="19">
        <f t="shared" si="0"/>
        <v>11112901</v>
      </c>
    </row>
    <row r="11" spans="1:14" s="26" customFormat="1" x14ac:dyDescent="0.25">
      <c r="A11" s="34" t="s">
        <v>8</v>
      </c>
      <c r="B11" s="16">
        <v>69851</v>
      </c>
      <c r="C11" s="16">
        <v>7198</v>
      </c>
      <c r="D11" s="16">
        <v>591</v>
      </c>
      <c r="E11" s="16">
        <v>17240</v>
      </c>
      <c r="F11" s="16">
        <v>754</v>
      </c>
      <c r="G11" s="16">
        <v>0</v>
      </c>
      <c r="H11" s="16">
        <v>0</v>
      </c>
      <c r="I11" s="16">
        <v>65</v>
      </c>
      <c r="J11" s="16">
        <v>805</v>
      </c>
      <c r="K11" s="16">
        <v>70</v>
      </c>
      <c r="L11" s="16">
        <v>344</v>
      </c>
      <c r="M11" s="16">
        <v>15635</v>
      </c>
      <c r="N11" s="16">
        <v>8612513</v>
      </c>
    </row>
    <row r="12" spans="1:14" s="26" customFormat="1" x14ac:dyDescent="0.25">
      <c r="A12" s="34" t="s">
        <v>9</v>
      </c>
      <c r="B12" s="16">
        <v>418</v>
      </c>
      <c r="C12" s="16">
        <v>93</v>
      </c>
      <c r="D12" s="16">
        <v>0</v>
      </c>
      <c r="E12" s="16">
        <v>0</v>
      </c>
      <c r="F12" s="16">
        <v>41</v>
      </c>
      <c r="G12" s="16">
        <v>0</v>
      </c>
      <c r="H12" s="16">
        <v>0</v>
      </c>
      <c r="I12" s="16">
        <v>0</v>
      </c>
      <c r="J12" s="16">
        <v>0</v>
      </c>
      <c r="K12" s="16">
        <v>0</v>
      </c>
      <c r="L12" s="16">
        <v>0</v>
      </c>
      <c r="M12" s="16">
        <v>10</v>
      </c>
      <c r="N12" s="16">
        <v>29977</v>
      </c>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93</v>
      </c>
      <c r="C14" s="16">
        <v>74</v>
      </c>
      <c r="D14" s="16">
        <v>168</v>
      </c>
      <c r="E14" s="16">
        <v>4272</v>
      </c>
      <c r="F14" s="16">
        <v>65</v>
      </c>
      <c r="G14" s="16">
        <v>1</v>
      </c>
      <c r="H14" s="16">
        <v>0</v>
      </c>
      <c r="I14" s="16">
        <v>71</v>
      </c>
      <c r="J14" s="16">
        <v>0</v>
      </c>
      <c r="K14" s="16">
        <v>0</v>
      </c>
      <c r="L14" s="16">
        <v>59</v>
      </c>
      <c r="M14" s="16">
        <v>925</v>
      </c>
      <c r="N14" s="16">
        <v>17376</v>
      </c>
    </row>
    <row r="15" spans="1:14" s="26" customFormat="1" x14ac:dyDescent="0.25">
      <c r="A15" s="34" t="s">
        <v>11</v>
      </c>
      <c r="B15" s="16">
        <v>0</v>
      </c>
      <c r="C15" s="16">
        <v>0</v>
      </c>
      <c r="D15" s="16">
        <v>0</v>
      </c>
      <c r="E15" s="16">
        <v>31</v>
      </c>
      <c r="F15" s="16">
        <v>0</v>
      </c>
      <c r="G15" s="16">
        <v>0</v>
      </c>
      <c r="H15" s="16">
        <v>0</v>
      </c>
      <c r="I15" s="16">
        <v>0</v>
      </c>
      <c r="J15" s="16">
        <v>0</v>
      </c>
      <c r="K15" s="16">
        <v>0</v>
      </c>
      <c r="L15" s="16">
        <v>0</v>
      </c>
      <c r="M15" s="16">
        <v>0</v>
      </c>
      <c r="N15" s="16">
        <v>1143</v>
      </c>
    </row>
    <row r="16" spans="1:14" s="26" customFormat="1" x14ac:dyDescent="0.25">
      <c r="A16" s="34" t="s">
        <v>12</v>
      </c>
      <c r="B16" s="16">
        <v>0</v>
      </c>
      <c r="C16" s="16">
        <v>0</v>
      </c>
      <c r="D16" s="16">
        <v>0</v>
      </c>
      <c r="E16" s="16">
        <v>2208</v>
      </c>
      <c r="F16" s="16">
        <v>11</v>
      </c>
      <c r="G16" s="16">
        <v>0</v>
      </c>
      <c r="H16" s="16">
        <v>396</v>
      </c>
      <c r="I16" s="16">
        <v>0</v>
      </c>
      <c r="J16" s="16">
        <v>0</v>
      </c>
      <c r="K16" s="16">
        <v>0</v>
      </c>
      <c r="L16" s="16">
        <v>0</v>
      </c>
      <c r="M16" s="16">
        <v>0</v>
      </c>
      <c r="N16" s="16">
        <v>0</v>
      </c>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SUM(B11:B17)</f>
        <v>70362</v>
      </c>
      <c r="C18" s="19">
        <f t="shared" ref="C18:N18" si="1">SUM(C11:C17)</f>
        <v>7365</v>
      </c>
      <c r="D18" s="19">
        <f t="shared" si="1"/>
        <v>759</v>
      </c>
      <c r="E18" s="19">
        <f t="shared" si="1"/>
        <v>23751</v>
      </c>
      <c r="F18" s="19">
        <f t="shared" si="1"/>
        <v>871</v>
      </c>
      <c r="G18" s="19">
        <f t="shared" si="1"/>
        <v>1</v>
      </c>
      <c r="H18" s="19">
        <f t="shared" si="1"/>
        <v>396</v>
      </c>
      <c r="I18" s="19">
        <f t="shared" si="1"/>
        <v>136</v>
      </c>
      <c r="J18" s="19">
        <f>SUM(J11:J17)</f>
        <v>805</v>
      </c>
      <c r="K18" s="19">
        <f t="shared" si="1"/>
        <v>70</v>
      </c>
      <c r="L18" s="19">
        <f>SUM(L11:L17)</f>
        <v>403</v>
      </c>
      <c r="M18" s="19">
        <f t="shared" si="1"/>
        <v>16570</v>
      </c>
      <c r="N18" s="19">
        <f t="shared" si="1"/>
        <v>8661009</v>
      </c>
    </row>
    <row r="19" spans="1:14" s="26" customFormat="1" x14ac:dyDescent="0.25">
      <c r="A19" s="35" t="s">
        <v>15</v>
      </c>
      <c r="B19" s="19">
        <f>SUM(B10,B18)</f>
        <v>88551</v>
      </c>
      <c r="C19" s="19">
        <f t="shared" ref="C19:N19" si="2">SUM(C10,C18)</f>
        <v>8705</v>
      </c>
      <c r="D19" s="19">
        <f t="shared" si="2"/>
        <v>1292</v>
      </c>
      <c r="E19" s="19">
        <f t="shared" si="2"/>
        <v>28728</v>
      </c>
      <c r="F19" s="19">
        <f t="shared" si="2"/>
        <v>1124</v>
      </c>
      <c r="G19" s="19">
        <f t="shared" si="2"/>
        <v>9</v>
      </c>
      <c r="H19" s="19">
        <f t="shared" si="2"/>
        <v>442</v>
      </c>
      <c r="I19" s="19">
        <f t="shared" si="2"/>
        <v>144</v>
      </c>
      <c r="J19" s="19">
        <f>SUM(J10,J18)</f>
        <v>891</v>
      </c>
      <c r="K19" s="19">
        <f t="shared" si="2"/>
        <v>72</v>
      </c>
      <c r="L19" s="19">
        <f>SUM(L10,L18)</f>
        <v>699</v>
      </c>
      <c r="M19" s="19">
        <f t="shared" si="2"/>
        <v>18672</v>
      </c>
      <c r="N19" s="19">
        <f t="shared" si="2"/>
        <v>19773910</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row r="25" spans="1:14" x14ac:dyDescent="0.25">
      <c r="B25" s="44"/>
      <c r="C25" s="44"/>
      <c r="D25" s="44"/>
      <c r="E25" s="44"/>
      <c r="F25" s="44"/>
      <c r="G25" s="44"/>
      <c r="H25" s="44"/>
      <c r="I25" s="44"/>
      <c r="J25" s="44"/>
      <c r="K25" s="44"/>
      <c r="L25" s="44"/>
      <c r="M25" s="44"/>
      <c r="N25" s="44"/>
    </row>
  </sheetData>
  <sheetProtection formatCells="0" formatColumns="0" formatRows="0" insertColumns="0" insertRows="0" sort="0" autoFilter="0" pivotTables="0"/>
  <dataValidations count="1">
    <dataValidation type="list" errorStyle="information" allowBlank="1" showInputMessage="1" showErrorMessage="1" sqref="B1:N1" xr:uid="{259C14B1-712F-42BA-B96B-451D38A2F0C6}">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A8A7DA2-E717-438C-BB3A-09E82AE4C23E}">
          <x14:formula1>
            <xm:f>'Term List'!$A2:$A242</xm:f>
          </x14:formula1>
          <xm:sqref>O1:XFD1</xm:sqref>
        </x14:dataValidation>
      </x14:dataValidations>
    </ext>
  </extLs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7AF2A-78F7-465F-AEB2-F4D0EFC8670D}">
  <dimension ref="A1:Z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1.7109375" style="5" customWidth="1"/>
    <col min="11" max="11" width="23.85546875" style="5" customWidth="1"/>
    <col min="12" max="12" width="25.85546875" style="3" customWidth="1"/>
    <col min="13" max="13" width="23.7109375" style="3" customWidth="1"/>
    <col min="14" max="14" width="21.140625" style="5" customWidth="1"/>
    <col min="15" max="15" width="16.28515625" style="5" customWidth="1"/>
    <col min="16" max="16" width="17" style="5" customWidth="1"/>
    <col min="17" max="17" width="21.140625" style="3" customWidth="1"/>
    <col min="18" max="18" width="21.28515625" style="5" customWidth="1"/>
    <col min="19" max="19" width="18.28515625" style="5" customWidth="1"/>
    <col min="20" max="20" width="20.140625" style="3" customWidth="1"/>
    <col min="21" max="22" width="15.85546875" style="3" customWidth="1"/>
    <col min="23" max="23" width="18.28515625" style="3" customWidth="1"/>
    <col min="24" max="24" width="17.85546875" style="3" customWidth="1"/>
    <col min="25" max="25" width="17.28515625" style="3" customWidth="1"/>
    <col min="26" max="26" width="17.5703125" style="3" customWidth="1"/>
    <col min="27" max="16384" width="9.140625" style="3"/>
  </cols>
  <sheetData>
    <row r="1" spans="1:26" s="40" customFormat="1" ht="30" x14ac:dyDescent="0.25">
      <c r="A1" s="36" t="s">
        <v>414</v>
      </c>
      <c r="B1" s="36" t="s">
        <v>62</v>
      </c>
      <c r="C1" s="36" t="s">
        <v>36</v>
      </c>
      <c r="D1" s="36" t="s">
        <v>35</v>
      </c>
      <c r="E1" s="36" t="s">
        <v>39</v>
      </c>
      <c r="F1" s="36" t="s">
        <v>99</v>
      </c>
      <c r="G1" s="36" t="s">
        <v>95</v>
      </c>
      <c r="H1" s="36" t="s">
        <v>94</v>
      </c>
      <c r="I1" s="36" t="s">
        <v>386</v>
      </c>
      <c r="J1" s="36" t="s">
        <v>387</v>
      </c>
      <c r="K1" s="36" t="s">
        <v>388</v>
      </c>
      <c r="L1" s="36" t="s">
        <v>383</v>
      </c>
      <c r="M1" s="36" t="s">
        <v>384</v>
      </c>
      <c r="N1" s="36" t="s">
        <v>570</v>
      </c>
      <c r="O1" s="36" t="s">
        <v>571</v>
      </c>
      <c r="P1" s="36" t="s">
        <v>572</v>
      </c>
      <c r="Q1" s="36" t="s">
        <v>566</v>
      </c>
      <c r="R1" s="36" t="s">
        <v>567</v>
      </c>
      <c r="S1" s="36" t="s">
        <v>568</v>
      </c>
      <c r="T1" s="36" t="s">
        <v>107</v>
      </c>
      <c r="U1" s="36" t="s">
        <v>101</v>
      </c>
      <c r="V1" s="36" t="s">
        <v>75</v>
      </c>
      <c r="W1" s="36" t="s">
        <v>330</v>
      </c>
      <c r="X1" s="36" t="s">
        <v>331</v>
      </c>
      <c r="Y1" s="36" t="s">
        <v>332</v>
      </c>
      <c r="Z1" s="36" t="s">
        <v>333</v>
      </c>
    </row>
    <row r="2" spans="1:26"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row>
    <row r="3" spans="1:26"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row>
    <row r="4" spans="1:26" s="26" customFormat="1" x14ac:dyDescent="0.25">
      <c r="A4" s="34" t="s">
        <v>169</v>
      </c>
      <c r="B4" s="16">
        <v>34148</v>
      </c>
      <c r="C4" s="16">
        <v>121</v>
      </c>
      <c r="D4" s="16">
        <v>3746</v>
      </c>
      <c r="E4" s="16">
        <v>0</v>
      </c>
      <c r="F4" s="16">
        <v>1817</v>
      </c>
      <c r="G4" s="16">
        <v>0</v>
      </c>
      <c r="H4" s="16">
        <v>5532</v>
      </c>
      <c r="I4" s="16">
        <v>0</v>
      </c>
      <c r="J4" s="16">
        <v>0</v>
      </c>
      <c r="K4" s="16">
        <v>0</v>
      </c>
      <c r="L4" s="16">
        <v>0</v>
      </c>
      <c r="M4" s="16">
        <v>0</v>
      </c>
      <c r="N4" s="16">
        <v>0</v>
      </c>
      <c r="O4" s="16">
        <v>0</v>
      </c>
      <c r="P4" s="16">
        <v>0</v>
      </c>
      <c r="Q4" s="16">
        <v>0</v>
      </c>
      <c r="R4" s="16">
        <v>15970</v>
      </c>
      <c r="S4" s="16">
        <v>0</v>
      </c>
      <c r="T4" s="16">
        <v>0</v>
      </c>
      <c r="U4" s="16">
        <v>0</v>
      </c>
      <c r="V4" s="16">
        <v>0</v>
      </c>
      <c r="W4" s="16">
        <v>0</v>
      </c>
      <c r="X4" s="16">
        <v>0</v>
      </c>
      <c r="Y4" s="16">
        <v>0</v>
      </c>
      <c r="Z4" s="16">
        <v>0</v>
      </c>
    </row>
    <row r="5" spans="1:26"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row>
    <row r="6" spans="1:26" s="26" customFormat="1" x14ac:dyDescent="0.25">
      <c r="A6" s="34" t="s">
        <v>3</v>
      </c>
      <c r="B6" s="16">
        <v>9945</v>
      </c>
      <c r="C6" s="16">
        <v>3805</v>
      </c>
      <c r="D6" s="16">
        <v>0</v>
      </c>
      <c r="E6" s="16">
        <v>1854</v>
      </c>
      <c r="F6" s="16">
        <v>477</v>
      </c>
      <c r="G6" s="16">
        <v>2</v>
      </c>
      <c r="H6" s="16">
        <v>0</v>
      </c>
      <c r="I6" s="16">
        <v>8927</v>
      </c>
      <c r="J6" s="16">
        <v>454</v>
      </c>
      <c r="K6" s="16">
        <v>6725</v>
      </c>
      <c r="L6" s="16">
        <v>369</v>
      </c>
      <c r="M6" s="16">
        <v>24</v>
      </c>
      <c r="N6" s="16">
        <v>2390</v>
      </c>
      <c r="O6" s="16">
        <v>4308</v>
      </c>
      <c r="P6" s="16">
        <v>3325</v>
      </c>
      <c r="Q6" s="16">
        <v>252</v>
      </c>
      <c r="R6" s="16">
        <v>22316</v>
      </c>
      <c r="S6" s="16">
        <v>292</v>
      </c>
      <c r="T6" s="16">
        <v>931918</v>
      </c>
      <c r="U6" s="16">
        <v>3793515</v>
      </c>
      <c r="V6" s="16">
        <v>2874191</v>
      </c>
      <c r="W6" s="16">
        <v>88</v>
      </c>
      <c r="X6" s="16">
        <v>0</v>
      </c>
      <c r="Y6" s="16">
        <v>0</v>
      </c>
      <c r="Z6" s="16">
        <v>0</v>
      </c>
    </row>
    <row r="7" spans="1:26" s="26" customFormat="1" x14ac:dyDescent="0.25">
      <c r="A7" s="34" t="s">
        <v>4</v>
      </c>
      <c r="B7" s="16">
        <v>2603</v>
      </c>
      <c r="C7" s="16">
        <v>95</v>
      </c>
      <c r="D7" s="16">
        <v>0</v>
      </c>
      <c r="E7" s="16">
        <v>98</v>
      </c>
      <c r="F7" s="16">
        <v>0</v>
      </c>
      <c r="G7" s="16">
        <v>0</v>
      </c>
      <c r="H7" s="16">
        <v>0</v>
      </c>
      <c r="I7" s="16">
        <v>2346</v>
      </c>
      <c r="J7" s="16">
        <v>0</v>
      </c>
      <c r="K7" s="16">
        <v>1412</v>
      </c>
      <c r="L7" s="16">
        <v>0</v>
      </c>
      <c r="M7" s="16">
        <v>0</v>
      </c>
      <c r="N7" s="16">
        <v>0</v>
      </c>
      <c r="O7" s="16">
        <v>0</v>
      </c>
      <c r="P7" s="16">
        <v>0</v>
      </c>
      <c r="Q7" s="16">
        <v>0</v>
      </c>
      <c r="R7" s="16">
        <v>0</v>
      </c>
      <c r="S7" s="16">
        <v>0</v>
      </c>
      <c r="T7" s="16">
        <v>0</v>
      </c>
      <c r="U7" s="16">
        <v>408000</v>
      </c>
      <c r="V7" s="16">
        <v>27000</v>
      </c>
      <c r="W7" s="16">
        <v>0</v>
      </c>
      <c r="X7" s="16">
        <v>0</v>
      </c>
      <c r="Y7" s="16">
        <v>0</v>
      </c>
      <c r="Z7" s="16">
        <v>0</v>
      </c>
    </row>
    <row r="8" spans="1:26" s="26" customFormat="1" x14ac:dyDescent="0.25">
      <c r="A8" s="34" t="s">
        <v>5</v>
      </c>
      <c r="B8" s="16">
        <v>17796</v>
      </c>
      <c r="C8" s="16">
        <v>0</v>
      </c>
      <c r="D8" s="16">
        <v>0</v>
      </c>
      <c r="E8" s="16">
        <v>0</v>
      </c>
      <c r="F8" s="16">
        <v>447</v>
      </c>
      <c r="G8" s="16">
        <v>22</v>
      </c>
      <c r="H8" s="16">
        <v>3752</v>
      </c>
      <c r="I8" s="16">
        <v>8544</v>
      </c>
      <c r="J8" s="16">
        <v>582</v>
      </c>
      <c r="K8" s="16">
        <v>4092</v>
      </c>
      <c r="L8" s="16">
        <v>207</v>
      </c>
      <c r="M8" s="16">
        <v>236</v>
      </c>
      <c r="N8" s="16">
        <v>0</v>
      </c>
      <c r="O8" s="16">
        <v>0</v>
      </c>
      <c r="P8" s="16">
        <v>0</v>
      </c>
      <c r="Q8" s="16">
        <v>0</v>
      </c>
      <c r="R8" s="16">
        <v>0</v>
      </c>
      <c r="S8" s="16">
        <v>0</v>
      </c>
      <c r="T8" s="16">
        <v>0</v>
      </c>
      <c r="U8" s="16">
        <v>0</v>
      </c>
      <c r="V8" s="16">
        <v>0</v>
      </c>
      <c r="W8" s="16">
        <v>849</v>
      </c>
      <c r="X8" s="16">
        <v>606</v>
      </c>
      <c r="Y8" s="16">
        <v>252</v>
      </c>
      <c r="Z8" s="16">
        <v>514</v>
      </c>
    </row>
    <row r="9" spans="1:26"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row>
    <row r="10" spans="1:26" s="26" customFormat="1" x14ac:dyDescent="0.25">
      <c r="A10" s="35" t="s">
        <v>7</v>
      </c>
      <c r="B10" s="19">
        <f>SUM(B2:B9)</f>
        <v>64492</v>
      </c>
      <c r="C10" s="19">
        <f>SUM(C2:C9)</f>
        <v>4021</v>
      </c>
      <c r="D10" s="19">
        <f>SUM(D2:D9)</f>
        <v>3746</v>
      </c>
      <c r="E10" s="19">
        <f>SUM(E2:E9)</f>
        <v>1952</v>
      </c>
      <c r="F10" s="19">
        <f t="shared" ref="F10" si="0">SUM(F2:F9)</f>
        <v>2741</v>
      </c>
      <c r="G10" s="19">
        <f>SUM(G2:G9)</f>
        <v>24</v>
      </c>
      <c r="H10" s="19">
        <f t="shared" ref="H10:Z10" si="1">SUM(H2:H9)</f>
        <v>9284</v>
      </c>
      <c r="I10" s="19">
        <f t="shared" si="1"/>
        <v>19817</v>
      </c>
      <c r="J10" s="19">
        <f t="shared" si="1"/>
        <v>1036</v>
      </c>
      <c r="K10" s="19">
        <f t="shared" si="1"/>
        <v>12229</v>
      </c>
      <c r="L10" s="19">
        <f t="shared" si="1"/>
        <v>576</v>
      </c>
      <c r="M10" s="19">
        <f t="shared" si="1"/>
        <v>260</v>
      </c>
      <c r="N10" s="19">
        <f t="shared" si="1"/>
        <v>2390</v>
      </c>
      <c r="O10" s="19">
        <f t="shared" si="1"/>
        <v>4308</v>
      </c>
      <c r="P10" s="19">
        <f t="shared" si="1"/>
        <v>3325</v>
      </c>
      <c r="Q10" s="19">
        <f t="shared" si="1"/>
        <v>252</v>
      </c>
      <c r="R10" s="19">
        <f t="shared" si="1"/>
        <v>38286</v>
      </c>
      <c r="S10" s="19">
        <f t="shared" si="1"/>
        <v>292</v>
      </c>
      <c r="T10" s="19">
        <f t="shared" si="1"/>
        <v>931918</v>
      </c>
      <c r="U10" s="19">
        <f t="shared" si="1"/>
        <v>4201515</v>
      </c>
      <c r="V10" s="19">
        <f t="shared" si="1"/>
        <v>2901191</v>
      </c>
      <c r="W10" s="19">
        <f t="shared" si="1"/>
        <v>937</v>
      </c>
      <c r="X10" s="19">
        <f t="shared" si="1"/>
        <v>606</v>
      </c>
      <c r="Y10" s="19">
        <f t="shared" si="1"/>
        <v>252</v>
      </c>
      <c r="Z10" s="19">
        <f t="shared" si="1"/>
        <v>514</v>
      </c>
    </row>
    <row r="11" spans="1:26"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row>
    <row r="12" spans="1:26"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s="26" customFormat="1" x14ac:dyDescent="0.25">
      <c r="A13" s="34" t="s">
        <v>164</v>
      </c>
      <c r="B13" s="16">
        <v>1219</v>
      </c>
      <c r="C13" s="16">
        <v>300</v>
      </c>
      <c r="D13" s="16">
        <v>0</v>
      </c>
      <c r="E13" s="16">
        <v>0</v>
      </c>
      <c r="F13" s="16">
        <v>246</v>
      </c>
      <c r="G13" s="16">
        <v>0</v>
      </c>
      <c r="H13" s="16">
        <v>1718</v>
      </c>
      <c r="I13" s="16">
        <v>0</v>
      </c>
      <c r="J13" s="16">
        <v>0</v>
      </c>
      <c r="K13" s="16">
        <v>0</v>
      </c>
      <c r="L13" s="16">
        <v>0</v>
      </c>
      <c r="M13" s="16">
        <v>0</v>
      </c>
      <c r="N13" s="16">
        <v>0</v>
      </c>
      <c r="O13" s="16">
        <v>0</v>
      </c>
      <c r="P13" s="16">
        <v>0</v>
      </c>
      <c r="Q13" s="16">
        <v>0</v>
      </c>
      <c r="R13" s="16">
        <v>47513</v>
      </c>
      <c r="S13" s="16">
        <v>0</v>
      </c>
      <c r="T13" s="16">
        <v>0</v>
      </c>
      <c r="U13" s="16">
        <v>0</v>
      </c>
      <c r="V13" s="16">
        <v>0</v>
      </c>
      <c r="W13" s="16"/>
      <c r="X13" s="16">
        <v>0</v>
      </c>
      <c r="Y13" s="16">
        <v>0</v>
      </c>
      <c r="Z13" s="16">
        <v>0</v>
      </c>
    </row>
    <row r="14" spans="1:26" s="26" customFormat="1" x14ac:dyDescent="0.25">
      <c r="A14" s="34" t="s">
        <v>10</v>
      </c>
      <c r="B14" s="16">
        <v>3012</v>
      </c>
      <c r="C14" s="16">
        <v>438</v>
      </c>
      <c r="D14" s="16">
        <v>10</v>
      </c>
      <c r="E14" s="16">
        <v>427</v>
      </c>
      <c r="F14" s="16">
        <v>104</v>
      </c>
      <c r="G14" s="16">
        <v>0</v>
      </c>
      <c r="H14" s="16">
        <v>0</v>
      </c>
      <c r="I14" s="16">
        <v>3402</v>
      </c>
      <c r="J14" s="16">
        <v>0</v>
      </c>
      <c r="K14" s="16">
        <v>1253</v>
      </c>
      <c r="L14" s="16">
        <v>0</v>
      </c>
      <c r="M14" s="16">
        <v>25</v>
      </c>
      <c r="N14" s="16">
        <v>763</v>
      </c>
      <c r="O14" s="16">
        <v>959</v>
      </c>
      <c r="P14" s="16">
        <v>1791</v>
      </c>
      <c r="Q14" s="16">
        <v>479</v>
      </c>
      <c r="R14" s="16">
        <v>3316</v>
      </c>
      <c r="S14" s="16">
        <v>71</v>
      </c>
      <c r="T14" s="16">
        <v>2460280</v>
      </c>
      <c r="U14" s="16">
        <v>3417800</v>
      </c>
      <c r="V14" s="16">
        <v>3655547</v>
      </c>
      <c r="W14" s="16">
        <v>30</v>
      </c>
      <c r="X14" s="16">
        <v>0</v>
      </c>
      <c r="Y14" s="16">
        <v>0</v>
      </c>
      <c r="Z14" s="16">
        <v>0</v>
      </c>
    </row>
    <row r="15" spans="1:26" s="26" customFormat="1" x14ac:dyDescent="0.25">
      <c r="A15" s="34" t="s">
        <v>11</v>
      </c>
      <c r="B15" s="16">
        <v>125</v>
      </c>
      <c r="C15" s="16">
        <v>40</v>
      </c>
      <c r="D15" s="16">
        <v>0</v>
      </c>
      <c r="E15" s="16">
        <v>108</v>
      </c>
      <c r="F15" s="16">
        <v>0</v>
      </c>
      <c r="G15" s="16">
        <v>20</v>
      </c>
      <c r="H15" s="16">
        <v>0</v>
      </c>
      <c r="I15" s="16">
        <v>200</v>
      </c>
      <c r="J15" s="16">
        <v>0</v>
      </c>
      <c r="K15" s="16">
        <v>0</v>
      </c>
      <c r="L15" s="16">
        <v>0</v>
      </c>
      <c r="M15" s="16">
        <v>0</v>
      </c>
      <c r="N15" s="16">
        <v>0</v>
      </c>
      <c r="O15" s="16">
        <v>0</v>
      </c>
      <c r="P15" s="16">
        <v>0</v>
      </c>
      <c r="Q15" s="16">
        <v>0</v>
      </c>
      <c r="R15" s="16">
        <v>0</v>
      </c>
      <c r="S15" s="16">
        <v>0</v>
      </c>
      <c r="T15" s="16">
        <v>40000</v>
      </c>
      <c r="U15" s="16">
        <v>52000</v>
      </c>
      <c r="V15" s="16">
        <v>8400</v>
      </c>
      <c r="W15" s="16">
        <v>0</v>
      </c>
      <c r="X15" s="16">
        <v>0</v>
      </c>
      <c r="Y15" s="16">
        <v>0</v>
      </c>
      <c r="Z15" s="16">
        <v>0</v>
      </c>
    </row>
    <row r="16" spans="1:26" s="26" customFormat="1" x14ac:dyDescent="0.25">
      <c r="A16" s="34" t="s">
        <v>12</v>
      </c>
      <c r="B16" s="16">
        <v>1187</v>
      </c>
      <c r="C16" s="16">
        <v>0</v>
      </c>
      <c r="D16" s="16">
        <v>0</v>
      </c>
      <c r="E16" s="16">
        <v>0</v>
      </c>
      <c r="F16" s="16">
        <v>69</v>
      </c>
      <c r="G16" s="16">
        <v>7</v>
      </c>
      <c r="H16" s="16">
        <v>273</v>
      </c>
      <c r="I16" s="16">
        <v>2164</v>
      </c>
      <c r="J16" s="16">
        <v>0</v>
      </c>
      <c r="K16" s="16">
        <v>581</v>
      </c>
      <c r="L16" s="16">
        <v>75</v>
      </c>
      <c r="M16" s="16">
        <v>9</v>
      </c>
      <c r="N16" s="16">
        <v>0</v>
      </c>
      <c r="O16" s="16">
        <v>0</v>
      </c>
      <c r="P16" s="16">
        <v>0</v>
      </c>
      <c r="Q16" s="16">
        <v>0</v>
      </c>
      <c r="R16" s="16">
        <v>0</v>
      </c>
      <c r="S16" s="16">
        <v>0</v>
      </c>
      <c r="T16" s="16">
        <v>0</v>
      </c>
      <c r="U16" s="16">
        <v>0</v>
      </c>
      <c r="V16" s="16">
        <v>0</v>
      </c>
      <c r="W16" s="16">
        <v>712</v>
      </c>
      <c r="X16" s="16">
        <v>130</v>
      </c>
      <c r="Y16" s="16">
        <v>24</v>
      </c>
      <c r="Z16" s="16">
        <v>377</v>
      </c>
    </row>
    <row r="17" spans="1:26"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s="26" customFormat="1" x14ac:dyDescent="0.25">
      <c r="A18" s="35" t="s">
        <v>14</v>
      </c>
      <c r="B18" s="19">
        <f>SUM(B11:B17)</f>
        <v>5543</v>
      </c>
      <c r="C18" s="19">
        <f>SUM(C11:C17)</f>
        <v>778</v>
      </c>
      <c r="D18" s="19">
        <f>SUM(D11:D17)</f>
        <v>10</v>
      </c>
      <c r="E18" s="19">
        <f>SUM(E11:E17)</f>
        <v>535</v>
      </c>
      <c r="F18" s="19">
        <f t="shared" ref="F18" si="2">SUM(F11:F17)</f>
        <v>419</v>
      </c>
      <c r="G18" s="19">
        <f>SUM(G11:G17)</f>
        <v>27</v>
      </c>
      <c r="H18" s="19">
        <f t="shared" ref="H18:Z18" si="3">SUM(H11:H17)</f>
        <v>1991</v>
      </c>
      <c r="I18" s="19">
        <f t="shared" si="3"/>
        <v>5766</v>
      </c>
      <c r="J18" s="19">
        <f t="shared" si="3"/>
        <v>0</v>
      </c>
      <c r="K18" s="19">
        <f t="shared" si="3"/>
        <v>1834</v>
      </c>
      <c r="L18" s="19">
        <f t="shared" si="3"/>
        <v>75</v>
      </c>
      <c r="M18" s="19">
        <f t="shared" si="3"/>
        <v>34</v>
      </c>
      <c r="N18" s="19">
        <f t="shared" si="3"/>
        <v>763</v>
      </c>
      <c r="O18" s="19">
        <f t="shared" si="3"/>
        <v>959</v>
      </c>
      <c r="P18" s="19">
        <f t="shared" si="3"/>
        <v>1791</v>
      </c>
      <c r="Q18" s="19">
        <f t="shared" si="3"/>
        <v>479</v>
      </c>
      <c r="R18" s="19">
        <f t="shared" si="3"/>
        <v>50829</v>
      </c>
      <c r="S18" s="19">
        <f t="shared" si="3"/>
        <v>71</v>
      </c>
      <c r="T18" s="19">
        <f t="shared" si="3"/>
        <v>2500280</v>
      </c>
      <c r="U18" s="19">
        <f t="shared" si="3"/>
        <v>3469800</v>
      </c>
      <c r="V18" s="19">
        <f t="shared" si="3"/>
        <v>3663947</v>
      </c>
      <c r="W18" s="19">
        <f t="shared" si="3"/>
        <v>742</v>
      </c>
      <c r="X18" s="19">
        <f t="shared" si="3"/>
        <v>130</v>
      </c>
      <c r="Y18" s="19">
        <f t="shared" si="3"/>
        <v>24</v>
      </c>
      <c r="Z18" s="19">
        <f t="shared" si="3"/>
        <v>377</v>
      </c>
    </row>
    <row r="19" spans="1:26" s="26" customFormat="1" x14ac:dyDescent="0.25">
      <c r="A19" s="35" t="s">
        <v>15</v>
      </c>
      <c r="B19" s="19">
        <f>SUM(B10,B18)</f>
        <v>70035</v>
      </c>
      <c r="C19" s="19">
        <f>SUM(C10,C18)</f>
        <v>4799</v>
      </c>
      <c r="D19" s="19">
        <f>SUM(D10,D18)</f>
        <v>3756</v>
      </c>
      <c r="E19" s="19">
        <f>SUM(E10,E18)</f>
        <v>2487</v>
      </c>
      <c r="F19" s="19">
        <f t="shared" ref="F19" si="4">SUM(F10,F18)</f>
        <v>3160</v>
      </c>
      <c r="G19" s="19">
        <f>SUM(G10,G18)</f>
        <v>51</v>
      </c>
      <c r="H19" s="19">
        <f t="shared" ref="H19:Z19" si="5">SUM(H10,H18)</f>
        <v>11275</v>
      </c>
      <c r="I19" s="19">
        <f t="shared" si="5"/>
        <v>25583</v>
      </c>
      <c r="J19" s="19">
        <f t="shared" si="5"/>
        <v>1036</v>
      </c>
      <c r="K19" s="19">
        <f t="shared" si="5"/>
        <v>14063</v>
      </c>
      <c r="L19" s="19">
        <f t="shared" si="5"/>
        <v>651</v>
      </c>
      <c r="M19" s="19">
        <f t="shared" si="5"/>
        <v>294</v>
      </c>
      <c r="N19" s="19">
        <f t="shared" si="5"/>
        <v>3153</v>
      </c>
      <c r="O19" s="19">
        <f t="shared" si="5"/>
        <v>5267</v>
      </c>
      <c r="P19" s="19">
        <f t="shared" si="5"/>
        <v>5116</v>
      </c>
      <c r="Q19" s="19">
        <f t="shared" si="5"/>
        <v>731</v>
      </c>
      <c r="R19" s="19">
        <f t="shared" si="5"/>
        <v>89115</v>
      </c>
      <c r="S19" s="19">
        <f t="shared" si="5"/>
        <v>363</v>
      </c>
      <c r="T19" s="19">
        <f t="shared" si="5"/>
        <v>3432198</v>
      </c>
      <c r="U19" s="19">
        <f t="shared" si="5"/>
        <v>7671315</v>
      </c>
      <c r="V19" s="19">
        <f t="shared" si="5"/>
        <v>6565138</v>
      </c>
      <c r="W19" s="19">
        <f t="shared" si="5"/>
        <v>1679</v>
      </c>
      <c r="X19" s="19">
        <f t="shared" si="5"/>
        <v>736</v>
      </c>
      <c r="Y19" s="19">
        <f t="shared" si="5"/>
        <v>276</v>
      </c>
      <c r="Z19" s="19">
        <f t="shared" si="5"/>
        <v>891</v>
      </c>
    </row>
    <row r="21" spans="1:26"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row>
    <row r="22" spans="1:26"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spans="1:26"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spans="1:26"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spans="1:26"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row>
  </sheetData>
  <sheetProtection formatCells="0" formatColumns="0" formatRows="0" insertColumns="0" insertRows="0" sort="0" autoFilter="0" pivotTables="0"/>
  <dataValidations count="1">
    <dataValidation type="list" errorStyle="information" allowBlank="1" showInputMessage="1" showErrorMessage="1" sqref="B1:Z1" xr:uid="{C0875370-39AE-4591-B2D3-658B8A511622}">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C73A570-F58D-4F98-9725-C6EB2CAFD39A}">
          <x14:formula1>
            <xm:f>'Term List'!$A2:$A242</xm:f>
          </x14:formula1>
          <xm:sqref>AA1:XFD1</xm:sqref>
        </x14:dataValidation>
      </x14:dataValidation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1E460-DB7E-4B8F-9433-8B1DB0B4D671}">
  <sheetPr codeName="Sheet55"/>
  <dimension ref="A1:T25"/>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5.5703125" style="5" customWidth="1"/>
    <col min="11" max="11" width="15" style="5" customWidth="1"/>
    <col min="12" max="12" width="17.140625" style="5" customWidth="1"/>
    <col min="13" max="13" width="16.5703125" style="5" customWidth="1"/>
    <col min="14" max="20" width="14.42578125" style="5" customWidth="1"/>
    <col min="21" max="16384" width="9.140625" style="3"/>
  </cols>
  <sheetData>
    <row r="1" spans="1:20" s="14" customFormat="1" ht="30" x14ac:dyDescent="0.25">
      <c r="A1" s="36" t="s">
        <v>411</v>
      </c>
      <c r="B1" s="36" t="s">
        <v>155</v>
      </c>
      <c r="C1" s="36" t="s">
        <v>156</v>
      </c>
      <c r="D1" s="36" t="s">
        <v>154</v>
      </c>
      <c r="E1" s="36" t="s">
        <v>150</v>
      </c>
      <c r="F1" s="36" t="s">
        <v>148</v>
      </c>
      <c r="G1" s="36" t="s">
        <v>147</v>
      </c>
      <c r="H1" s="36" t="s">
        <v>314</v>
      </c>
      <c r="I1" s="36" t="s">
        <v>139</v>
      </c>
      <c r="J1" s="36" t="s">
        <v>132</v>
      </c>
      <c r="K1" s="36" t="s">
        <v>130</v>
      </c>
      <c r="L1" s="36" t="s">
        <v>144</v>
      </c>
      <c r="M1" s="36" t="s">
        <v>142</v>
      </c>
      <c r="N1" s="36" t="s">
        <v>124</v>
      </c>
      <c r="O1" s="31"/>
      <c r="P1" s="31"/>
      <c r="Q1" s="31"/>
      <c r="R1" s="31"/>
      <c r="S1" s="31"/>
      <c r="T1" s="31"/>
    </row>
    <row r="2" spans="1:20" s="26" customFormat="1" x14ac:dyDescent="0.25">
      <c r="A2" s="34" t="s">
        <v>0</v>
      </c>
      <c r="B2" s="16">
        <v>21651</v>
      </c>
      <c r="C2" s="17">
        <v>1953</v>
      </c>
      <c r="D2" s="17">
        <v>830</v>
      </c>
      <c r="E2" s="17">
        <v>6961</v>
      </c>
      <c r="F2" s="17">
        <v>453</v>
      </c>
      <c r="G2" s="17">
        <v>0</v>
      </c>
      <c r="H2" s="17">
        <v>0</v>
      </c>
      <c r="I2" s="17">
        <v>0</v>
      </c>
      <c r="J2" s="17">
        <v>158</v>
      </c>
      <c r="K2" s="17">
        <v>98</v>
      </c>
      <c r="L2" s="17">
        <v>833</v>
      </c>
      <c r="M2" s="17">
        <v>3108</v>
      </c>
      <c r="N2" s="17">
        <v>9233062</v>
      </c>
      <c r="O2" s="17"/>
      <c r="P2" s="17"/>
      <c r="Q2" s="17"/>
      <c r="R2" s="17"/>
      <c r="S2" s="17"/>
      <c r="T2" s="17"/>
    </row>
    <row r="3" spans="1:20" s="26" customFormat="1" x14ac:dyDescent="0.25">
      <c r="A3" s="34" t="s">
        <v>1</v>
      </c>
      <c r="B3" s="16">
        <v>851</v>
      </c>
      <c r="C3" s="17">
        <v>251</v>
      </c>
      <c r="D3" s="17">
        <v>141</v>
      </c>
      <c r="E3" s="17">
        <v>185</v>
      </c>
      <c r="F3" s="17">
        <v>77</v>
      </c>
      <c r="G3" s="17">
        <v>0</v>
      </c>
      <c r="H3" s="17">
        <v>0</v>
      </c>
      <c r="I3" s="17">
        <v>0</v>
      </c>
      <c r="J3" s="17">
        <v>12</v>
      </c>
      <c r="K3" s="17">
        <v>0</v>
      </c>
      <c r="L3" s="17">
        <v>0</v>
      </c>
      <c r="M3" s="17">
        <v>45</v>
      </c>
      <c r="N3" s="17">
        <v>110301</v>
      </c>
      <c r="O3" s="17"/>
      <c r="P3" s="17"/>
      <c r="Q3" s="17"/>
      <c r="R3" s="17"/>
      <c r="S3" s="17"/>
      <c r="T3" s="17"/>
    </row>
    <row r="4" spans="1:20" s="26" customFormat="1" x14ac:dyDescent="0.25">
      <c r="A4" s="34" t="s">
        <v>169</v>
      </c>
      <c r="B4" s="16"/>
      <c r="C4" s="17"/>
      <c r="D4" s="17"/>
      <c r="E4" s="17"/>
      <c r="F4" s="17"/>
      <c r="G4" s="17"/>
      <c r="H4" s="17"/>
      <c r="I4" s="17"/>
      <c r="J4" s="17"/>
      <c r="K4" s="17"/>
      <c r="L4" s="17"/>
      <c r="M4" s="17"/>
      <c r="N4" s="17"/>
      <c r="O4" s="17"/>
      <c r="P4" s="17"/>
      <c r="Q4" s="17"/>
      <c r="R4" s="17"/>
      <c r="S4" s="17"/>
      <c r="T4" s="17"/>
    </row>
    <row r="5" spans="1:20" s="26" customFormat="1" x14ac:dyDescent="0.25">
      <c r="A5" s="34" t="s">
        <v>2</v>
      </c>
      <c r="B5" s="16"/>
      <c r="C5" s="17"/>
      <c r="D5" s="17"/>
      <c r="E5" s="17"/>
      <c r="F5" s="17"/>
      <c r="G5" s="17"/>
      <c r="H5" s="17"/>
      <c r="I5" s="17"/>
      <c r="J5" s="17"/>
      <c r="K5" s="17"/>
      <c r="L5" s="17"/>
      <c r="M5" s="17"/>
      <c r="N5" s="17"/>
      <c r="O5" s="17"/>
      <c r="P5" s="17"/>
      <c r="Q5" s="17"/>
      <c r="R5" s="17"/>
      <c r="S5" s="17"/>
      <c r="T5" s="17"/>
    </row>
    <row r="6" spans="1:20" s="26" customFormat="1" x14ac:dyDescent="0.25">
      <c r="A6" s="34" t="s">
        <v>3</v>
      </c>
      <c r="B6" s="16">
        <v>141</v>
      </c>
      <c r="C6" s="17">
        <v>35</v>
      </c>
      <c r="D6" s="17">
        <v>253</v>
      </c>
      <c r="E6" s="17">
        <v>1098</v>
      </c>
      <c r="F6" s="17">
        <v>38</v>
      </c>
      <c r="G6" s="17">
        <v>0</v>
      </c>
      <c r="H6" s="17">
        <v>0</v>
      </c>
      <c r="I6" s="17">
        <v>7</v>
      </c>
      <c r="J6" s="17">
        <v>0</v>
      </c>
      <c r="K6" s="17">
        <v>0</v>
      </c>
      <c r="L6" s="17">
        <v>24</v>
      </c>
      <c r="M6" s="17">
        <v>152</v>
      </c>
      <c r="N6" s="17">
        <v>93726</v>
      </c>
      <c r="O6" s="17"/>
      <c r="P6" s="17"/>
      <c r="Q6" s="17"/>
      <c r="R6" s="17"/>
      <c r="S6" s="17"/>
      <c r="T6" s="17"/>
    </row>
    <row r="7" spans="1:20" s="26" customFormat="1" x14ac:dyDescent="0.25">
      <c r="A7" s="34" t="s">
        <v>4</v>
      </c>
      <c r="B7" s="16"/>
      <c r="C7" s="17"/>
      <c r="D7" s="17"/>
      <c r="E7" s="17"/>
      <c r="F7" s="17"/>
      <c r="G7" s="17"/>
      <c r="H7" s="17"/>
      <c r="I7" s="17"/>
      <c r="J7" s="17"/>
      <c r="K7" s="17"/>
      <c r="L7" s="17"/>
      <c r="M7" s="17"/>
      <c r="N7" s="17"/>
      <c r="O7" s="17"/>
      <c r="P7" s="17"/>
      <c r="Q7" s="17"/>
      <c r="R7" s="17"/>
      <c r="S7" s="17"/>
      <c r="T7" s="17"/>
    </row>
    <row r="8" spans="1:20" s="26" customFormat="1" x14ac:dyDescent="0.25">
      <c r="A8" s="34" t="s">
        <v>5</v>
      </c>
      <c r="B8" s="16">
        <v>0</v>
      </c>
      <c r="C8" s="17">
        <v>0</v>
      </c>
      <c r="D8" s="17">
        <v>0</v>
      </c>
      <c r="E8" s="17">
        <v>630</v>
      </c>
      <c r="F8" s="17">
        <v>57</v>
      </c>
      <c r="G8" s="17">
        <v>153</v>
      </c>
      <c r="H8" s="17">
        <v>534</v>
      </c>
      <c r="I8" s="17">
        <v>0</v>
      </c>
      <c r="J8" s="17">
        <v>0</v>
      </c>
      <c r="K8" s="17">
        <v>0</v>
      </c>
      <c r="L8" s="17">
        <v>0</v>
      </c>
      <c r="M8" s="17">
        <v>0</v>
      </c>
      <c r="N8" s="17">
        <v>0</v>
      </c>
      <c r="O8" s="17"/>
      <c r="P8" s="17"/>
      <c r="Q8" s="17"/>
      <c r="R8" s="17"/>
      <c r="S8" s="17"/>
      <c r="T8" s="17"/>
    </row>
    <row r="9" spans="1:20" s="26" customFormat="1" x14ac:dyDescent="0.25">
      <c r="A9" s="34" t="s">
        <v>6</v>
      </c>
      <c r="B9" s="16"/>
      <c r="C9" s="17"/>
      <c r="D9" s="17"/>
      <c r="E9" s="17"/>
      <c r="F9" s="17"/>
      <c r="G9" s="17"/>
      <c r="H9" s="17"/>
      <c r="I9" s="17"/>
      <c r="J9" s="17"/>
      <c r="K9" s="17"/>
      <c r="L9" s="17"/>
      <c r="M9" s="17"/>
      <c r="N9" s="17"/>
      <c r="O9" s="17"/>
      <c r="P9" s="17"/>
      <c r="Q9" s="17"/>
      <c r="R9" s="17"/>
      <c r="S9" s="17"/>
      <c r="T9" s="17"/>
    </row>
    <row r="10" spans="1:20" s="26" customFormat="1" x14ac:dyDescent="0.25">
      <c r="A10" s="35" t="s">
        <v>7</v>
      </c>
      <c r="B10" s="19">
        <f>SUM(B2:B9)</f>
        <v>22643</v>
      </c>
      <c r="C10" s="19">
        <f t="shared" ref="C10:T10" si="0">SUM(C2:C9)</f>
        <v>2239</v>
      </c>
      <c r="D10" s="19">
        <f t="shared" si="0"/>
        <v>1224</v>
      </c>
      <c r="E10" s="19">
        <f t="shared" si="0"/>
        <v>8874</v>
      </c>
      <c r="F10" s="19">
        <f t="shared" si="0"/>
        <v>625</v>
      </c>
      <c r="G10" s="19">
        <f t="shared" si="0"/>
        <v>153</v>
      </c>
      <c r="H10" s="19">
        <f t="shared" si="0"/>
        <v>534</v>
      </c>
      <c r="I10" s="19">
        <f t="shared" si="0"/>
        <v>7</v>
      </c>
      <c r="J10" s="19">
        <f>SUM(J2:J9)</f>
        <v>170</v>
      </c>
      <c r="K10" s="19">
        <f t="shared" si="0"/>
        <v>98</v>
      </c>
      <c r="L10" s="19">
        <f>SUM(L2:L9)</f>
        <v>857</v>
      </c>
      <c r="M10" s="19">
        <f t="shared" si="0"/>
        <v>3305</v>
      </c>
      <c r="N10" s="19">
        <f t="shared" si="0"/>
        <v>9437089</v>
      </c>
      <c r="O10" s="19">
        <f t="shared" si="0"/>
        <v>0</v>
      </c>
      <c r="P10" s="19">
        <f t="shared" si="0"/>
        <v>0</v>
      </c>
      <c r="Q10" s="19">
        <f t="shared" si="0"/>
        <v>0</v>
      </c>
      <c r="R10" s="19">
        <f t="shared" si="0"/>
        <v>0</v>
      </c>
      <c r="S10" s="19">
        <f t="shared" si="0"/>
        <v>0</v>
      </c>
      <c r="T10" s="19">
        <f t="shared" si="0"/>
        <v>0</v>
      </c>
    </row>
    <row r="11" spans="1:20" s="26" customFormat="1" x14ac:dyDescent="0.25">
      <c r="A11" s="34" t="s">
        <v>8</v>
      </c>
      <c r="B11" s="16">
        <v>88371</v>
      </c>
      <c r="C11" s="16">
        <v>9322</v>
      </c>
      <c r="D11" s="16">
        <v>695</v>
      </c>
      <c r="E11" s="16">
        <v>33590</v>
      </c>
      <c r="F11" s="16">
        <v>1099</v>
      </c>
      <c r="G11" s="16">
        <v>0</v>
      </c>
      <c r="H11" s="16">
        <v>0</v>
      </c>
      <c r="I11" s="16">
        <v>57</v>
      </c>
      <c r="J11" s="16">
        <v>814</v>
      </c>
      <c r="K11" s="16">
        <v>173</v>
      </c>
      <c r="L11" s="16">
        <v>354</v>
      </c>
      <c r="M11" s="16">
        <v>21213</v>
      </c>
      <c r="N11" s="16">
        <v>7352531</v>
      </c>
      <c r="O11" s="16"/>
      <c r="P11" s="16"/>
      <c r="Q11" s="16"/>
      <c r="R11" s="16"/>
      <c r="S11" s="16"/>
      <c r="T11" s="16"/>
    </row>
    <row r="12" spans="1:20" s="26" customFormat="1" x14ac:dyDescent="0.25">
      <c r="A12" s="34" t="s">
        <v>9</v>
      </c>
      <c r="B12" s="16">
        <v>428</v>
      </c>
      <c r="C12" s="16">
        <v>110</v>
      </c>
      <c r="D12" s="16">
        <v>7</v>
      </c>
      <c r="E12" s="16">
        <v>72</v>
      </c>
      <c r="F12" s="16">
        <v>33</v>
      </c>
      <c r="G12" s="16">
        <v>0</v>
      </c>
      <c r="H12" s="16">
        <v>0</v>
      </c>
      <c r="I12" s="16">
        <v>0</v>
      </c>
      <c r="J12" s="16">
        <v>0</v>
      </c>
      <c r="K12" s="16">
        <v>0</v>
      </c>
      <c r="L12" s="16">
        <v>0</v>
      </c>
      <c r="M12" s="16">
        <v>40</v>
      </c>
      <c r="N12" s="16">
        <v>21318</v>
      </c>
      <c r="O12" s="16"/>
      <c r="P12" s="16"/>
      <c r="Q12" s="16"/>
      <c r="R12" s="16"/>
      <c r="S12" s="16"/>
      <c r="T12" s="16"/>
    </row>
    <row r="13" spans="1:20" s="26" customFormat="1" x14ac:dyDescent="0.25">
      <c r="A13" s="34" t="s">
        <v>164</v>
      </c>
      <c r="B13" s="16"/>
      <c r="C13" s="16"/>
      <c r="D13" s="16"/>
      <c r="E13" s="16"/>
      <c r="F13" s="16"/>
      <c r="G13" s="16"/>
      <c r="H13" s="16"/>
      <c r="I13" s="16"/>
      <c r="J13" s="16"/>
      <c r="K13" s="16"/>
      <c r="L13" s="16"/>
      <c r="M13" s="16"/>
      <c r="N13" s="16"/>
      <c r="O13" s="16"/>
      <c r="P13" s="16"/>
      <c r="Q13" s="16"/>
      <c r="R13" s="16"/>
      <c r="S13" s="16"/>
      <c r="T13" s="16"/>
    </row>
    <row r="14" spans="1:20" s="26" customFormat="1" x14ac:dyDescent="0.25">
      <c r="A14" s="34" t="s">
        <v>10</v>
      </c>
      <c r="B14" s="16">
        <v>70</v>
      </c>
      <c r="C14" s="16">
        <v>32</v>
      </c>
      <c r="D14" s="16">
        <v>46</v>
      </c>
      <c r="E14" s="16">
        <v>2869</v>
      </c>
      <c r="F14" s="16">
        <v>35</v>
      </c>
      <c r="G14" s="16">
        <v>0</v>
      </c>
      <c r="H14" s="16">
        <v>0</v>
      </c>
      <c r="I14" s="16">
        <v>103</v>
      </c>
      <c r="J14" s="16">
        <v>0</v>
      </c>
      <c r="K14" s="16">
        <v>0</v>
      </c>
      <c r="L14" s="16">
        <v>13</v>
      </c>
      <c r="M14" s="16">
        <v>269</v>
      </c>
      <c r="N14" s="16">
        <v>8823</v>
      </c>
      <c r="O14" s="16"/>
      <c r="P14" s="16"/>
      <c r="Q14" s="16"/>
      <c r="R14" s="16"/>
      <c r="S14" s="16"/>
      <c r="T14" s="16"/>
    </row>
    <row r="15" spans="1:20" s="26" customFormat="1" x14ac:dyDescent="0.25">
      <c r="A15" s="34" t="s">
        <v>11</v>
      </c>
      <c r="B15" s="16"/>
      <c r="C15" s="16"/>
      <c r="D15" s="16"/>
      <c r="E15" s="16"/>
      <c r="F15" s="16"/>
      <c r="G15" s="16"/>
      <c r="H15" s="16"/>
      <c r="I15" s="16"/>
      <c r="J15" s="16"/>
      <c r="K15" s="16"/>
      <c r="L15" s="16"/>
      <c r="M15" s="16"/>
      <c r="N15" s="16"/>
      <c r="O15" s="16"/>
      <c r="P15" s="16"/>
      <c r="Q15" s="16"/>
      <c r="R15" s="16"/>
      <c r="S15" s="16"/>
      <c r="T15" s="16"/>
    </row>
    <row r="16" spans="1:20" s="26" customFormat="1" x14ac:dyDescent="0.25">
      <c r="A16" s="34" t="s">
        <v>12</v>
      </c>
      <c r="B16" s="16">
        <v>0</v>
      </c>
      <c r="C16" s="16">
        <v>0</v>
      </c>
      <c r="D16" s="16">
        <v>0</v>
      </c>
      <c r="E16" s="16">
        <v>1397</v>
      </c>
      <c r="F16" s="16">
        <v>1</v>
      </c>
      <c r="G16" s="16">
        <v>0</v>
      </c>
      <c r="H16" s="16">
        <v>0</v>
      </c>
      <c r="I16" s="16">
        <v>0</v>
      </c>
      <c r="J16" s="16">
        <v>0</v>
      </c>
      <c r="K16" s="16">
        <v>0</v>
      </c>
      <c r="L16" s="16">
        <v>0</v>
      </c>
      <c r="M16" s="16">
        <v>0</v>
      </c>
      <c r="N16" s="16"/>
      <c r="O16" s="16"/>
      <c r="P16" s="16"/>
      <c r="Q16" s="16"/>
      <c r="R16" s="16"/>
      <c r="S16" s="16"/>
      <c r="T16" s="16"/>
    </row>
    <row r="17" spans="1:20" s="26" customFormat="1" x14ac:dyDescent="0.25">
      <c r="A17" s="34" t="s">
        <v>13</v>
      </c>
      <c r="B17" s="16"/>
      <c r="C17" s="16"/>
      <c r="D17" s="16"/>
      <c r="E17" s="16"/>
      <c r="F17" s="16"/>
      <c r="G17" s="16"/>
      <c r="H17" s="16"/>
      <c r="I17" s="16"/>
      <c r="J17" s="16"/>
      <c r="K17" s="16"/>
      <c r="L17" s="16"/>
      <c r="M17" s="16"/>
      <c r="N17" s="16"/>
      <c r="O17" s="16"/>
      <c r="P17" s="16"/>
      <c r="Q17" s="16"/>
      <c r="R17" s="16"/>
      <c r="S17" s="16"/>
      <c r="T17" s="16"/>
    </row>
    <row r="18" spans="1:20" s="26" customFormat="1" x14ac:dyDescent="0.25">
      <c r="A18" s="35" t="s">
        <v>14</v>
      </c>
      <c r="B18" s="19">
        <f>SUM(B11:B17)</f>
        <v>88869</v>
      </c>
      <c r="C18" s="19">
        <f t="shared" ref="C18:T18" si="1">SUM(C11:C17)</f>
        <v>9464</v>
      </c>
      <c r="D18" s="19">
        <f t="shared" si="1"/>
        <v>748</v>
      </c>
      <c r="E18" s="19">
        <f t="shared" si="1"/>
        <v>37928</v>
      </c>
      <c r="F18" s="19">
        <f t="shared" si="1"/>
        <v>1168</v>
      </c>
      <c r="G18" s="19">
        <f t="shared" si="1"/>
        <v>0</v>
      </c>
      <c r="H18" s="19">
        <f t="shared" si="1"/>
        <v>0</v>
      </c>
      <c r="I18" s="19">
        <f t="shared" si="1"/>
        <v>160</v>
      </c>
      <c r="J18" s="19">
        <f>SUM(J11:J17)</f>
        <v>814</v>
      </c>
      <c r="K18" s="19">
        <f t="shared" si="1"/>
        <v>173</v>
      </c>
      <c r="L18" s="19">
        <f>SUM(L11:L17)</f>
        <v>367</v>
      </c>
      <c r="M18" s="19">
        <f t="shared" si="1"/>
        <v>21522</v>
      </c>
      <c r="N18" s="19">
        <f t="shared" si="1"/>
        <v>7382672</v>
      </c>
      <c r="O18" s="19">
        <f t="shared" si="1"/>
        <v>0</v>
      </c>
      <c r="P18" s="19">
        <f t="shared" si="1"/>
        <v>0</v>
      </c>
      <c r="Q18" s="19">
        <f t="shared" si="1"/>
        <v>0</v>
      </c>
      <c r="R18" s="19">
        <f t="shared" si="1"/>
        <v>0</v>
      </c>
      <c r="S18" s="19">
        <f t="shared" si="1"/>
        <v>0</v>
      </c>
      <c r="T18" s="19">
        <f t="shared" si="1"/>
        <v>0</v>
      </c>
    </row>
    <row r="19" spans="1:20" s="26" customFormat="1" x14ac:dyDescent="0.25">
      <c r="A19" s="35" t="s">
        <v>15</v>
      </c>
      <c r="B19" s="19">
        <f>SUM(B10,B18)</f>
        <v>111512</v>
      </c>
      <c r="C19" s="19">
        <f t="shared" ref="C19:T19" si="2">SUM(C10,C18)</f>
        <v>11703</v>
      </c>
      <c r="D19" s="19">
        <f t="shared" si="2"/>
        <v>1972</v>
      </c>
      <c r="E19" s="19">
        <f t="shared" si="2"/>
        <v>46802</v>
      </c>
      <c r="F19" s="19">
        <f t="shared" si="2"/>
        <v>1793</v>
      </c>
      <c r="G19" s="19">
        <f t="shared" si="2"/>
        <v>153</v>
      </c>
      <c r="H19" s="19">
        <f t="shared" si="2"/>
        <v>534</v>
      </c>
      <c r="I19" s="19">
        <f t="shared" si="2"/>
        <v>167</v>
      </c>
      <c r="J19" s="19">
        <f>SUM(J10,J18)</f>
        <v>984</v>
      </c>
      <c r="K19" s="19">
        <f t="shared" si="2"/>
        <v>271</v>
      </c>
      <c r="L19" s="19">
        <f>SUM(L10,L18)</f>
        <v>1224</v>
      </c>
      <c r="M19" s="19">
        <f t="shared" si="2"/>
        <v>24827</v>
      </c>
      <c r="N19" s="19">
        <f t="shared" si="2"/>
        <v>16819761</v>
      </c>
      <c r="O19" s="19">
        <f t="shared" si="2"/>
        <v>0</v>
      </c>
      <c r="P19" s="19">
        <f t="shared" si="2"/>
        <v>0</v>
      </c>
      <c r="Q19" s="19">
        <f t="shared" si="2"/>
        <v>0</v>
      </c>
      <c r="R19" s="19">
        <f t="shared" si="2"/>
        <v>0</v>
      </c>
      <c r="S19" s="19">
        <f t="shared" si="2"/>
        <v>0</v>
      </c>
      <c r="T19" s="19">
        <f t="shared" si="2"/>
        <v>0</v>
      </c>
    </row>
    <row r="21" spans="1:20" x14ac:dyDescent="0.25">
      <c r="B21" s="44"/>
      <c r="C21" s="44"/>
      <c r="D21" s="44"/>
      <c r="E21" s="44"/>
      <c r="F21" s="44"/>
      <c r="G21" s="44"/>
      <c r="H21" s="44"/>
      <c r="I21" s="44"/>
      <c r="J21" s="44"/>
      <c r="K21" s="44"/>
      <c r="L21" s="44"/>
      <c r="M21" s="44"/>
      <c r="N21" s="44"/>
      <c r="O21" s="44"/>
      <c r="P21" s="44"/>
      <c r="Q21" s="44"/>
      <c r="R21" s="44"/>
      <c r="S21" s="44"/>
      <c r="T21" s="44"/>
    </row>
    <row r="23" spans="1:20" x14ac:dyDescent="0.25">
      <c r="B23" s="44"/>
      <c r="C23" s="44"/>
      <c r="D23" s="44"/>
      <c r="E23" s="44"/>
      <c r="F23" s="44"/>
      <c r="G23" s="44"/>
      <c r="H23" s="44"/>
      <c r="I23" s="44"/>
      <c r="J23" s="44"/>
      <c r="K23" s="44"/>
      <c r="L23" s="44"/>
      <c r="M23" s="44"/>
      <c r="N23" s="44"/>
      <c r="O23" s="44"/>
      <c r="P23" s="44"/>
      <c r="Q23" s="44"/>
      <c r="R23" s="44"/>
      <c r="S23" s="44"/>
      <c r="T23" s="44"/>
    </row>
    <row r="25" spans="1:20" x14ac:dyDescent="0.25">
      <c r="B25" s="44"/>
      <c r="C25" s="44"/>
      <c r="D25" s="44"/>
      <c r="E25" s="44"/>
      <c r="F25" s="44"/>
      <c r="G25" s="44"/>
      <c r="H25" s="44"/>
      <c r="I25" s="44"/>
      <c r="J25" s="44"/>
      <c r="K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T1" xr:uid="{9D73CDAE-B393-4133-86FA-BCA1EC218D8B}">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BF317354-479F-4BC5-889D-8401AA560CD4}">
          <x14:formula1>
            <xm:f>'Term List'!$A2:$A242</xm:f>
          </x14:formula1>
          <xm:sqref>U1:XFD1</xm:sqref>
        </x14:dataValidation>
      </x14:dataValidation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97FDA-76AC-47DE-AADC-8528E15B30B7}">
  <sheetPr codeName="Sheet54"/>
  <dimension ref="A1:AF25"/>
  <sheetViews>
    <sheetView workbookViewId="0">
      <pane xSplit="1" ySplit="1" topLeftCell="B2" activePane="bottomRight" state="frozen"/>
      <selection activeCell="E23" sqref="E23"/>
      <selection pane="topRight" activeCell="E23" sqref="E23"/>
      <selection pane="bottomLeft" activeCell="E23" sqref="E23"/>
      <selection pane="bottomRight" activeCell="B19" sqref="B19"/>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1.7109375" style="5" customWidth="1"/>
    <col min="11" max="11" width="23.85546875" style="5" customWidth="1"/>
    <col min="12" max="12" width="25.85546875" style="3" customWidth="1"/>
    <col min="13" max="13" width="23.7109375" style="3" customWidth="1"/>
    <col min="14" max="14" width="21.140625" style="5" customWidth="1"/>
    <col min="15" max="15" width="16.28515625" style="5" customWidth="1"/>
    <col min="16" max="16" width="17" style="5" customWidth="1"/>
    <col min="17" max="17" width="21.140625" style="3" customWidth="1"/>
    <col min="18" max="18" width="21.28515625" style="5" customWidth="1"/>
    <col min="19" max="19" width="18.28515625" style="5" customWidth="1"/>
    <col min="20" max="20" width="20.140625" style="3" customWidth="1"/>
    <col min="21" max="22" width="15.85546875" style="3" customWidth="1"/>
    <col min="23" max="23" width="18.28515625" style="3" customWidth="1"/>
    <col min="24" max="24" width="17.85546875" style="3" customWidth="1"/>
    <col min="25" max="25" width="17.28515625" style="3" customWidth="1"/>
    <col min="26" max="26" width="17.5703125" style="3" customWidth="1"/>
    <col min="27" max="27" width="15.85546875" style="3" customWidth="1"/>
    <col min="28" max="29" width="16.28515625" style="5" customWidth="1"/>
    <col min="30" max="32" width="16.28515625" style="3" customWidth="1"/>
    <col min="33" max="16384" width="9.140625" style="3"/>
  </cols>
  <sheetData>
    <row r="1" spans="1:32" s="40" customFormat="1" ht="30" x14ac:dyDescent="0.25">
      <c r="A1" s="36" t="s">
        <v>410</v>
      </c>
      <c r="B1" s="36" t="s">
        <v>62</v>
      </c>
      <c r="C1" s="36" t="s">
        <v>36</v>
      </c>
      <c r="D1" s="36" t="s">
        <v>35</v>
      </c>
      <c r="E1" s="36" t="s">
        <v>39</v>
      </c>
      <c r="F1" s="36" t="s">
        <v>99</v>
      </c>
      <c r="G1" s="36" t="s">
        <v>95</v>
      </c>
      <c r="H1" s="36" t="s">
        <v>94</v>
      </c>
      <c r="I1" s="36" t="s">
        <v>386</v>
      </c>
      <c r="J1" s="36" t="s">
        <v>387</v>
      </c>
      <c r="K1" s="36" t="s">
        <v>388</v>
      </c>
      <c r="L1" s="36" t="s">
        <v>383</v>
      </c>
      <c r="M1" s="36" t="s">
        <v>384</v>
      </c>
      <c r="N1" s="36" t="s">
        <v>570</v>
      </c>
      <c r="O1" s="36" t="s">
        <v>571</v>
      </c>
      <c r="P1" s="36" t="s">
        <v>572</v>
      </c>
      <c r="Q1" s="36" t="s">
        <v>566</v>
      </c>
      <c r="R1" s="36" t="s">
        <v>567</v>
      </c>
      <c r="S1" s="36" t="s">
        <v>568</v>
      </c>
      <c r="T1" s="36" t="s">
        <v>107</v>
      </c>
      <c r="U1" s="36" t="s">
        <v>101</v>
      </c>
      <c r="V1" s="36" t="s">
        <v>75</v>
      </c>
      <c r="W1" s="36" t="s">
        <v>330</v>
      </c>
      <c r="X1" s="36" t="s">
        <v>331</v>
      </c>
      <c r="Y1" s="36" t="s">
        <v>332</v>
      </c>
      <c r="Z1" s="36" t="s">
        <v>333</v>
      </c>
      <c r="AA1" s="31"/>
      <c r="AB1" s="31"/>
      <c r="AC1" s="31"/>
      <c r="AD1" s="31"/>
      <c r="AE1" s="31"/>
      <c r="AF1" s="31"/>
    </row>
    <row r="2" spans="1:32"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row>
    <row r="3" spans="1:32"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row>
    <row r="4" spans="1:32" s="26" customFormat="1" x14ac:dyDescent="0.25">
      <c r="A4" s="34" t="s">
        <v>169</v>
      </c>
      <c r="B4" s="16">
        <v>41769</v>
      </c>
      <c r="C4" s="16">
        <v>187</v>
      </c>
      <c r="D4" s="16">
        <v>2364</v>
      </c>
      <c r="E4" s="16">
        <v>0</v>
      </c>
      <c r="F4" s="16">
        <v>943</v>
      </c>
      <c r="G4" s="16">
        <v>0</v>
      </c>
      <c r="H4" s="16">
        <v>3561</v>
      </c>
      <c r="I4" s="16">
        <v>320</v>
      </c>
      <c r="J4" s="16">
        <v>1938</v>
      </c>
      <c r="K4" s="16">
        <v>0</v>
      </c>
      <c r="L4" s="16">
        <v>0</v>
      </c>
      <c r="M4" s="16">
        <v>0</v>
      </c>
      <c r="N4" s="16">
        <v>0</v>
      </c>
      <c r="O4" s="16">
        <v>0</v>
      </c>
      <c r="P4" s="16">
        <v>0</v>
      </c>
      <c r="Q4" s="16">
        <v>0</v>
      </c>
      <c r="R4" s="16">
        <v>17566</v>
      </c>
      <c r="S4" s="16">
        <v>0</v>
      </c>
      <c r="T4" s="16">
        <v>0</v>
      </c>
      <c r="U4" s="16">
        <v>0</v>
      </c>
      <c r="V4" s="16">
        <v>0</v>
      </c>
      <c r="W4" s="16">
        <v>0</v>
      </c>
      <c r="X4" s="16">
        <v>0</v>
      </c>
      <c r="Y4" s="16">
        <v>0</v>
      </c>
      <c r="Z4" s="16">
        <v>0</v>
      </c>
      <c r="AA4" s="16"/>
      <c r="AB4" s="16"/>
      <c r="AC4" s="16"/>
      <c r="AD4" s="16"/>
      <c r="AE4" s="16"/>
      <c r="AF4" s="16"/>
    </row>
    <row r="5" spans="1:32"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spans="1:32" s="26" customFormat="1" x14ac:dyDescent="0.25">
      <c r="A6" s="34" t="s">
        <v>3</v>
      </c>
      <c r="B6" s="16">
        <v>8461</v>
      </c>
      <c r="C6" s="16">
        <v>1622</v>
      </c>
      <c r="D6" s="16">
        <v>20</v>
      </c>
      <c r="E6" s="16">
        <v>935</v>
      </c>
      <c r="F6" s="16">
        <v>70</v>
      </c>
      <c r="G6" s="16">
        <v>0</v>
      </c>
      <c r="H6" s="16">
        <v>0</v>
      </c>
      <c r="I6" s="16">
        <v>7289</v>
      </c>
      <c r="J6" s="16">
        <v>1371</v>
      </c>
      <c r="K6" s="16">
        <v>5480</v>
      </c>
      <c r="L6" s="16">
        <v>110</v>
      </c>
      <c r="M6" s="16">
        <v>64</v>
      </c>
      <c r="N6" s="16">
        <v>1886</v>
      </c>
      <c r="O6" s="16">
        <v>5663</v>
      </c>
      <c r="P6" s="16">
        <v>3602</v>
      </c>
      <c r="Q6" s="16">
        <v>350</v>
      </c>
      <c r="R6" s="16">
        <v>20281</v>
      </c>
      <c r="S6" s="16">
        <v>180</v>
      </c>
      <c r="T6" s="16">
        <v>2359395</v>
      </c>
      <c r="U6" s="16">
        <v>4728370</v>
      </c>
      <c r="V6" s="16">
        <v>4060155</v>
      </c>
      <c r="W6" s="16">
        <v>103</v>
      </c>
      <c r="X6" s="16">
        <v>0</v>
      </c>
      <c r="Y6" s="16">
        <v>0</v>
      </c>
      <c r="Z6" s="16">
        <v>0</v>
      </c>
      <c r="AA6" s="16"/>
      <c r="AB6" s="16"/>
      <c r="AC6" s="16"/>
      <c r="AD6" s="16"/>
      <c r="AE6" s="16"/>
      <c r="AF6" s="16"/>
    </row>
    <row r="7" spans="1:32" s="26" customFormat="1" x14ac:dyDescent="0.25">
      <c r="A7" s="34" t="s">
        <v>4</v>
      </c>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row>
    <row r="8" spans="1:32" s="26" customFormat="1" x14ac:dyDescent="0.25">
      <c r="A8" s="34" t="s">
        <v>5</v>
      </c>
      <c r="B8" s="16">
        <v>18631</v>
      </c>
      <c r="C8" s="16">
        <v>0</v>
      </c>
      <c r="D8" s="16">
        <v>0</v>
      </c>
      <c r="E8" s="16">
        <v>0</v>
      </c>
      <c r="F8" s="16">
        <v>18</v>
      </c>
      <c r="G8" s="16">
        <v>0</v>
      </c>
      <c r="H8" s="16">
        <v>1564</v>
      </c>
      <c r="I8" s="16">
        <v>4427</v>
      </c>
      <c r="J8" s="16">
        <v>2493</v>
      </c>
      <c r="K8" s="16">
        <v>2631</v>
      </c>
      <c r="L8" s="16">
        <v>196</v>
      </c>
      <c r="M8" s="16">
        <v>165</v>
      </c>
      <c r="N8" s="16">
        <v>0</v>
      </c>
      <c r="O8" s="16">
        <v>0</v>
      </c>
      <c r="P8" s="16">
        <v>0</v>
      </c>
      <c r="Q8" s="16">
        <v>0</v>
      </c>
      <c r="R8" s="16">
        <v>0</v>
      </c>
      <c r="S8" s="16">
        <v>0</v>
      </c>
      <c r="T8" s="16">
        <v>0</v>
      </c>
      <c r="U8" s="16">
        <v>0</v>
      </c>
      <c r="V8" s="16">
        <v>0</v>
      </c>
      <c r="W8" s="16">
        <v>1164</v>
      </c>
      <c r="X8" s="16">
        <v>2018</v>
      </c>
      <c r="Y8" s="16">
        <v>581</v>
      </c>
      <c r="Z8" s="16">
        <v>1414</v>
      </c>
      <c r="AA8" s="16"/>
      <c r="AB8" s="16"/>
      <c r="AC8" s="16"/>
      <c r="AD8" s="16"/>
      <c r="AE8" s="16"/>
      <c r="AF8" s="16"/>
    </row>
    <row r="9" spans="1:32"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row>
    <row r="10" spans="1:32" s="26" customFormat="1" x14ac:dyDescent="0.25">
      <c r="A10" s="35" t="s">
        <v>7</v>
      </c>
      <c r="B10" s="19">
        <f>SUM(B2:B9)</f>
        <v>68861</v>
      </c>
      <c r="C10" s="19">
        <f>SUM(C2:C9)</f>
        <v>1809</v>
      </c>
      <c r="D10" s="19">
        <f>SUM(D2:D9)</f>
        <v>2384</v>
      </c>
      <c r="E10" s="19">
        <f>SUM(E2:E9)</f>
        <v>935</v>
      </c>
      <c r="F10" s="19">
        <f t="shared" ref="F10" si="0">SUM(F2:F9)</f>
        <v>1031</v>
      </c>
      <c r="G10" s="19">
        <f>SUM(G2:G9)</f>
        <v>0</v>
      </c>
      <c r="H10" s="19">
        <f t="shared" ref="H10:AF10" si="1">SUM(H2:H9)</f>
        <v>5125</v>
      </c>
      <c r="I10" s="19">
        <f t="shared" ref="I10:Q10" si="2">SUM(I2:I9)</f>
        <v>12036</v>
      </c>
      <c r="J10" s="19">
        <f t="shared" si="2"/>
        <v>5802</v>
      </c>
      <c r="K10" s="19">
        <f t="shared" si="2"/>
        <v>8111</v>
      </c>
      <c r="L10" s="19">
        <f t="shared" si="2"/>
        <v>306</v>
      </c>
      <c r="M10" s="19">
        <f t="shared" si="2"/>
        <v>229</v>
      </c>
      <c r="N10" s="19">
        <f t="shared" si="2"/>
        <v>1886</v>
      </c>
      <c r="O10" s="19">
        <f t="shared" si="2"/>
        <v>5663</v>
      </c>
      <c r="P10" s="19">
        <f t="shared" si="2"/>
        <v>3602</v>
      </c>
      <c r="Q10" s="19">
        <f t="shared" si="2"/>
        <v>350</v>
      </c>
      <c r="R10" s="19">
        <f t="shared" si="1"/>
        <v>37847</v>
      </c>
      <c r="S10" s="19">
        <f t="shared" si="1"/>
        <v>180</v>
      </c>
      <c r="T10" s="19">
        <f>SUM(T2:T9)</f>
        <v>2359395</v>
      </c>
      <c r="U10" s="19">
        <f>SUM(U2:U9)</f>
        <v>4728370</v>
      </c>
      <c r="V10" s="19">
        <f t="shared" ref="V10:Z10" si="3">SUM(V2:V9)</f>
        <v>4060155</v>
      </c>
      <c r="W10" s="19">
        <f t="shared" si="3"/>
        <v>1267</v>
      </c>
      <c r="X10" s="19">
        <f t="shared" si="3"/>
        <v>2018</v>
      </c>
      <c r="Y10" s="19">
        <f t="shared" si="3"/>
        <v>581</v>
      </c>
      <c r="Z10" s="19">
        <f t="shared" si="3"/>
        <v>1414</v>
      </c>
      <c r="AA10" s="19">
        <f t="shared" si="1"/>
        <v>0</v>
      </c>
      <c r="AB10" s="19">
        <f t="shared" si="1"/>
        <v>0</v>
      </c>
      <c r="AC10" s="19">
        <f t="shared" si="1"/>
        <v>0</v>
      </c>
      <c r="AD10" s="19">
        <f t="shared" si="1"/>
        <v>0</v>
      </c>
      <c r="AE10" s="19">
        <f t="shared" si="1"/>
        <v>0</v>
      </c>
      <c r="AF10" s="19">
        <f t="shared" si="1"/>
        <v>0</v>
      </c>
    </row>
    <row r="11" spans="1:32"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row>
    <row r="12" spans="1:32"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row>
    <row r="13" spans="1:32" s="26" customFormat="1" x14ac:dyDescent="0.25">
      <c r="A13" s="34" t="s">
        <v>164</v>
      </c>
      <c r="B13" s="16">
        <v>832</v>
      </c>
      <c r="C13" s="16">
        <v>118</v>
      </c>
      <c r="D13" s="16">
        <v>0</v>
      </c>
      <c r="E13" s="16">
        <v>0</v>
      </c>
      <c r="F13" s="16">
        <v>22</v>
      </c>
      <c r="G13" s="16">
        <v>182</v>
      </c>
      <c r="H13" s="16">
        <v>0</v>
      </c>
      <c r="I13" s="16">
        <v>0</v>
      </c>
      <c r="J13" s="16">
        <v>0</v>
      </c>
      <c r="K13" s="16">
        <v>0</v>
      </c>
      <c r="L13" s="16">
        <v>0</v>
      </c>
      <c r="M13" s="16">
        <v>0</v>
      </c>
      <c r="N13" s="16">
        <v>0</v>
      </c>
      <c r="O13" s="16">
        <v>0</v>
      </c>
      <c r="P13" s="16">
        <v>0</v>
      </c>
      <c r="Q13" s="16">
        <v>0</v>
      </c>
      <c r="R13" s="16">
        <v>34145</v>
      </c>
      <c r="S13" s="16">
        <v>0</v>
      </c>
      <c r="T13" s="16">
        <v>0</v>
      </c>
      <c r="U13" s="16">
        <v>0</v>
      </c>
      <c r="V13" s="16">
        <v>0</v>
      </c>
      <c r="W13" s="16">
        <v>0</v>
      </c>
      <c r="X13" s="16">
        <v>0</v>
      </c>
      <c r="Y13" s="16">
        <v>0</v>
      </c>
      <c r="Z13" s="16">
        <v>0</v>
      </c>
      <c r="AA13" s="16"/>
      <c r="AB13" s="16"/>
      <c r="AC13" s="16"/>
      <c r="AD13" s="16"/>
      <c r="AE13" s="16"/>
      <c r="AF13" s="16"/>
    </row>
    <row r="14" spans="1:32" s="26" customFormat="1" x14ac:dyDescent="0.25">
      <c r="A14" s="34" t="s">
        <v>10</v>
      </c>
      <c r="B14" s="16">
        <v>2428</v>
      </c>
      <c r="C14" s="16">
        <v>352</v>
      </c>
      <c r="D14" s="16">
        <v>8</v>
      </c>
      <c r="E14" s="16">
        <v>235</v>
      </c>
      <c r="F14" s="16">
        <v>53</v>
      </c>
      <c r="G14" s="16">
        <v>0</v>
      </c>
      <c r="H14" s="16">
        <v>0</v>
      </c>
      <c r="I14" s="16">
        <v>5046</v>
      </c>
      <c r="J14" s="16">
        <v>0</v>
      </c>
      <c r="K14" s="16">
        <v>787</v>
      </c>
      <c r="L14" s="16">
        <v>46</v>
      </c>
      <c r="M14" s="16">
        <v>83</v>
      </c>
      <c r="N14" s="16">
        <v>932</v>
      </c>
      <c r="O14" s="16">
        <v>2223</v>
      </c>
      <c r="P14" s="16">
        <v>746</v>
      </c>
      <c r="Q14" s="16">
        <v>165</v>
      </c>
      <c r="R14" s="16">
        <v>2525</v>
      </c>
      <c r="S14" s="16">
        <v>200</v>
      </c>
      <c r="T14" s="16">
        <v>4324644</v>
      </c>
      <c r="U14" s="16">
        <v>5192369</v>
      </c>
      <c r="V14" s="16">
        <v>4481598</v>
      </c>
      <c r="W14" s="16">
        <v>6</v>
      </c>
      <c r="X14" s="16">
        <v>0</v>
      </c>
      <c r="Y14" s="16">
        <v>0</v>
      </c>
      <c r="Z14" s="16">
        <v>0</v>
      </c>
      <c r="AA14" s="16"/>
      <c r="AB14" s="16"/>
      <c r="AC14" s="16"/>
      <c r="AD14" s="16"/>
      <c r="AE14" s="16"/>
      <c r="AF14" s="16"/>
    </row>
    <row r="15" spans="1:32"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row>
    <row r="16" spans="1:32" s="26" customFormat="1" x14ac:dyDescent="0.25">
      <c r="A16" s="34" t="s">
        <v>12</v>
      </c>
      <c r="B16" s="16">
        <v>2257</v>
      </c>
      <c r="C16" s="16">
        <v>0</v>
      </c>
      <c r="D16" s="16">
        <v>0</v>
      </c>
      <c r="E16" s="16">
        <v>0</v>
      </c>
      <c r="F16" s="16">
        <v>2</v>
      </c>
      <c r="G16" s="16">
        <v>0</v>
      </c>
      <c r="H16" s="16">
        <v>43</v>
      </c>
      <c r="I16" s="16">
        <v>400</v>
      </c>
      <c r="J16" s="16">
        <v>0</v>
      </c>
      <c r="K16" s="16">
        <v>142</v>
      </c>
      <c r="L16" s="16">
        <v>5</v>
      </c>
      <c r="M16" s="16">
        <v>130</v>
      </c>
      <c r="N16" s="16">
        <v>0</v>
      </c>
      <c r="O16" s="16">
        <v>0</v>
      </c>
      <c r="P16" s="16">
        <v>0</v>
      </c>
      <c r="Q16" s="16">
        <v>0</v>
      </c>
      <c r="R16" s="16">
        <v>0</v>
      </c>
      <c r="S16" s="16">
        <v>0</v>
      </c>
      <c r="T16" s="16">
        <v>0</v>
      </c>
      <c r="U16" s="16">
        <v>0</v>
      </c>
      <c r="V16" s="16"/>
      <c r="W16" s="16">
        <v>356</v>
      </c>
      <c r="X16" s="16">
        <v>125</v>
      </c>
      <c r="Y16" s="16">
        <v>110</v>
      </c>
      <c r="Z16" s="16">
        <v>549</v>
      </c>
      <c r="AA16" s="16"/>
      <c r="AB16" s="16"/>
      <c r="AC16" s="16"/>
      <c r="AD16" s="16"/>
      <c r="AE16" s="16"/>
      <c r="AF16" s="16"/>
    </row>
    <row r="17" spans="1:32"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row>
    <row r="18" spans="1:32" s="26" customFormat="1" x14ac:dyDescent="0.25">
      <c r="A18" s="35" t="s">
        <v>14</v>
      </c>
      <c r="B18" s="19">
        <f>SUM(B11:B17)</f>
        <v>5517</v>
      </c>
      <c r="C18" s="19">
        <f>SUM(C11:C17)</f>
        <v>470</v>
      </c>
      <c r="D18" s="19">
        <f>SUM(D11:D17)</f>
        <v>8</v>
      </c>
      <c r="E18" s="19">
        <f>SUM(E11:E17)</f>
        <v>235</v>
      </c>
      <c r="F18" s="19">
        <f t="shared" ref="F18" si="4">SUM(F11:F17)</f>
        <v>77</v>
      </c>
      <c r="G18" s="19">
        <f>SUM(G11:G17)</f>
        <v>182</v>
      </c>
      <c r="H18" s="19">
        <f t="shared" ref="H18" si="5">SUM(H11:H17)</f>
        <v>43</v>
      </c>
      <c r="I18" s="19">
        <f t="shared" ref="I18:Q18" si="6">SUM(I11:I17)</f>
        <v>5446</v>
      </c>
      <c r="J18" s="19">
        <f t="shared" si="6"/>
        <v>0</v>
      </c>
      <c r="K18" s="19">
        <f t="shared" si="6"/>
        <v>929</v>
      </c>
      <c r="L18" s="19">
        <f t="shared" si="6"/>
        <v>51</v>
      </c>
      <c r="M18" s="19">
        <f t="shared" si="6"/>
        <v>213</v>
      </c>
      <c r="N18" s="19">
        <f t="shared" si="6"/>
        <v>932</v>
      </c>
      <c r="O18" s="19">
        <f t="shared" si="6"/>
        <v>2223</v>
      </c>
      <c r="P18" s="19">
        <f t="shared" si="6"/>
        <v>746</v>
      </c>
      <c r="Q18" s="19">
        <f t="shared" si="6"/>
        <v>165</v>
      </c>
      <c r="R18" s="19">
        <f t="shared" ref="R18:AF18" si="7">SUM(R11:R17)</f>
        <v>36670</v>
      </c>
      <c r="S18" s="19">
        <f t="shared" si="7"/>
        <v>200</v>
      </c>
      <c r="T18" s="19">
        <f>SUM(T11:T17)</f>
        <v>4324644</v>
      </c>
      <c r="U18" s="19">
        <f>SUM(U11:U17)</f>
        <v>5192369</v>
      </c>
      <c r="V18" s="19">
        <f t="shared" ref="V18:Z18" si="8">SUM(V11:V17)</f>
        <v>4481598</v>
      </c>
      <c r="W18" s="19">
        <f t="shared" si="8"/>
        <v>362</v>
      </c>
      <c r="X18" s="19">
        <f t="shared" si="8"/>
        <v>125</v>
      </c>
      <c r="Y18" s="19">
        <f t="shared" si="8"/>
        <v>110</v>
      </c>
      <c r="Z18" s="19">
        <f t="shared" si="8"/>
        <v>549</v>
      </c>
      <c r="AA18" s="19">
        <f t="shared" si="7"/>
        <v>0</v>
      </c>
      <c r="AB18" s="19">
        <f t="shared" si="7"/>
        <v>0</v>
      </c>
      <c r="AC18" s="19">
        <f t="shared" si="7"/>
        <v>0</v>
      </c>
      <c r="AD18" s="19">
        <f t="shared" si="7"/>
        <v>0</v>
      </c>
      <c r="AE18" s="19">
        <f t="shared" si="7"/>
        <v>0</v>
      </c>
      <c r="AF18" s="19">
        <f t="shared" si="7"/>
        <v>0</v>
      </c>
    </row>
    <row r="19" spans="1:32" s="26" customFormat="1" x14ac:dyDescent="0.25">
      <c r="A19" s="35" t="s">
        <v>15</v>
      </c>
      <c r="B19" s="19">
        <f>SUM(B10,B18)</f>
        <v>74378</v>
      </c>
      <c r="C19" s="19">
        <f>SUM(C10,C18)</f>
        <v>2279</v>
      </c>
      <c r="D19" s="19">
        <f>SUM(D10,D18)</f>
        <v>2392</v>
      </c>
      <c r="E19" s="19">
        <f>SUM(E10,E18)</f>
        <v>1170</v>
      </c>
      <c r="F19" s="19">
        <f t="shared" ref="F19" si="9">SUM(F10,F18)</f>
        <v>1108</v>
      </c>
      <c r="G19" s="19">
        <f>SUM(G10,G18)</f>
        <v>182</v>
      </c>
      <c r="H19" s="19">
        <f t="shared" ref="H19" si="10">SUM(H10,H18)</f>
        <v>5168</v>
      </c>
      <c r="I19" s="19">
        <f t="shared" ref="I19:Q19" si="11">SUM(I10,I18)</f>
        <v>17482</v>
      </c>
      <c r="J19" s="19">
        <f t="shared" si="11"/>
        <v>5802</v>
      </c>
      <c r="K19" s="19">
        <f t="shared" si="11"/>
        <v>9040</v>
      </c>
      <c r="L19" s="19">
        <f t="shared" si="11"/>
        <v>357</v>
      </c>
      <c r="M19" s="19">
        <f t="shared" si="11"/>
        <v>442</v>
      </c>
      <c r="N19" s="19">
        <f t="shared" si="11"/>
        <v>2818</v>
      </c>
      <c r="O19" s="19">
        <f t="shared" si="11"/>
        <v>7886</v>
      </c>
      <c r="P19" s="19">
        <f t="shared" si="11"/>
        <v>4348</v>
      </c>
      <c r="Q19" s="19">
        <f t="shared" si="11"/>
        <v>515</v>
      </c>
      <c r="R19" s="19">
        <f t="shared" ref="R19:AF19" si="12">SUM(R10,R18)</f>
        <v>74517</v>
      </c>
      <c r="S19" s="19">
        <f t="shared" si="12"/>
        <v>380</v>
      </c>
      <c r="T19" s="19">
        <f>SUM(T10,T18)</f>
        <v>6684039</v>
      </c>
      <c r="U19" s="19">
        <f>SUM(U10,U18)</f>
        <v>9920739</v>
      </c>
      <c r="V19" s="19">
        <f t="shared" ref="V19:Z19" si="13">SUM(V10,V18)</f>
        <v>8541753</v>
      </c>
      <c r="W19" s="19">
        <f t="shared" si="13"/>
        <v>1629</v>
      </c>
      <c r="X19" s="19">
        <f t="shared" si="13"/>
        <v>2143</v>
      </c>
      <c r="Y19" s="19">
        <f t="shared" si="13"/>
        <v>691</v>
      </c>
      <c r="Z19" s="19">
        <f t="shared" si="13"/>
        <v>1963</v>
      </c>
      <c r="AA19" s="19">
        <f t="shared" si="12"/>
        <v>0</v>
      </c>
      <c r="AB19" s="19">
        <f t="shared" si="12"/>
        <v>0</v>
      </c>
      <c r="AC19" s="19">
        <f t="shared" si="12"/>
        <v>0</v>
      </c>
      <c r="AD19" s="19">
        <f t="shared" si="12"/>
        <v>0</v>
      </c>
      <c r="AE19" s="19">
        <f t="shared" si="12"/>
        <v>0</v>
      </c>
      <c r="AF19" s="19">
        <f t="shared" si="12"/>
        <v>0</v>
      </c>
    </row>
    <row r="20" spans="1:32" x14ac:dyDescent="0.25">
      <c r="AD20" s="5"/>
      <c r="AE20" s="5"/>
      <c r="AF20" s="5"/>
    </row>
    <row r="21" spans="1:32"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row>
    <row r="22" spans="1:32"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row>
    <row r="23" spans="1:32"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row>
    <row r="24" spans="1:32"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row>
    <row r="25" spans="1:32"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row>
  </sheetData>
  <sheetProtection formatCells="0" formatColumns="0" formatRows="0" insertColumns="0" insertRows="0" sort="0" autoFilter="0" pivotTables="0"/>
  <dataValidations count="1">
    <dataValidation type="list" errorStyle="information" allowBlank="1" showInputMessage="1" showErrorMessage="1" sqref="B1:AF1" xr:uid="{D0782EFE-9C85-4368-BEE7-EC375CEA7AE4}">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707D06B2-9DE0-438F-A1B3-43807C522604}">
          <x14:formula1>
            <xm:f>'Term List'!$A2:$A242</xm:f>
          </x14:formula1>
          <xm:sqref>AG1:XFD1</xm:sqref>
        </x14:dataValidation>
      </x14:dataValidations>
    </ext>
  </extLs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6D897-23FD-4CF4-BE15-67F02CA60557}">
  <dimension ref="A1:T25"/>
  <sheetViews>
    <sheetView workbookViewId="0">
      <pane xSplit="1" ySplit="1" topLeftCell="B2" activePane="bottomRight" state="frozen"/>
      <selection activeCell="E23" sqref="E23"/>
      <selection pane="topRight" activeCell="E23" sqref="E23"/>
      <selection pane="bottomLeft" activeCell="E23" sqref="E23"/>
      <selection pane="bottomRight" activeCell="C23" sqref="C23"/>
    </sheetView>
  </sheetViews>
  <sheetFormatPr defaultRowHeight="15" x14ac:dyDescent="0.25"/>
  <cols>
    <col min="1" max="1" width="35.7109375" style="6" bestFit="1"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5.5703125" style="5" customWidth="1"/>
    <col min="11" max="11" width="15" style="5" customWidth="1"/>
    <col min="12" max="12" width="17.140625" style="5" customWidth="1"/>
    <col min="13" max="13" width="16.5703125" style="5" customWidth="1"/>
    <col min="14" max="20" width="14.42578125" style="5" customWidth="1"/>
    <col min="21" max="16384" width="9.140625" style="3"/>
  </cols>
  <sheetData>
    <row r="1" spans="1:20" s="14" customFormat="1" ht="30" x14ac:dyDescent="0.25">
      <c r="A1" s="36" t="s">
        <v>490</v>
      </c>
      <c r="B1" s="36" t="s">
        <v>155</v>
      </c>
      <c r="C1" s="36" t="s">
        <v>156</v>
      </c>
      <c r="D1" s="36" t="s">
        <v>154</v>
      </c>
      <c r="E1" s="36" t="s">
        <v>150</v>
      </c>
      <c r="F1" s="36" t="s">
        <v>148</v>
      </c>
      <c r="G1" s="36" t="s">
        <v>147</v>
      </c>
      <c r="H1" s="36" t="s">
        <v>314</v>
      </c>
      <c r="I1" s="36" t="s">
        <v>139</v>
      </c>
      <c r="J1" s="36" t="s">
        <v>132</v>
      </c>
      <c r="K1" s="36" t="s">
        <v>130</v>
      </c>
      <c r="L1" s="36" t="s">
        <v>144</v>
      </c>
      <c r="M1" s="36" t="s">
        <v>142</v>
      </c>
      <c r="N1" s="36" t="s">
        <v>124</v>
      </c>
      <c r="O1" s="31"/>
      <c r="P1" s="31"/>
      <c r="Q1" s="31"/>
      <c r="R1" s="31"/>
      <c r="S1" s="31"/>
      <c r="T1" s="31"/>
    </row>
    <row r="2" spans="1:20" s="26" customFormat="1" x14ac:dyDescent="0.25">
      <c r="A2" s="34" t="s">
        <v>0</v>
      </c>
      <c r="B2" s="16">
        <v>25090</v>
      </c>
      <c r="C2" s="17">
        <v>2001</v>
      </c>
      <c r="D2" s="17">
        <v>548</v>
      </c>
      <c r="E2" s="17">
        <v>6507</v>
      </c>
      <c r="F2" s="17">
        <v>618</v>
      </c>
      <c r="G2" s="17">
        <v>0</v>
      </c>
      <c r="H2" s="17">
        <v>0</v>
      </c>
      <c r="I2" s="17">
        <v>0</v>
      </c>
      <c r="J2" s="17">
        <v>353</v>
      </c>
      <c r="K2" s="17">
        <v>15</v>
      </c>
      <c r="L2" s="17">
        <v>207</v>
      </c>
      <c r="M2" s="17">
        <v>460</v>
      </c>
      <c r="N2" s="17">
        <v>15102479</v>
      </c>
      <c r="O2" s="17"/>
      <c r="P2" s="17"/>
      <c r="Q2" s="17"/>
      <c r="R2" s="17"/>
      <c r="S2" s="17"/>
      <c r="T2" s="17"/>
    </row>
    <row r="3" spans="1:20" s="26" customFormat="1" x14ac:dyDescent="0.25">
      <c r="A3" s="34" t="s">
        <v>1</v>
      </c>
      <c r="B3" s="16">
        <v>1020</v>
      </c>
      <c r="C3" s="17">
        <v>96</v>
      </c>
      <c r="D3" s="17">
        <v>121</v>
      </c>
      <c r="E3" s="17">
        <v>77</v>
      </c>
      <c r="F3" s="17">
        <v>125</v>
      </c>
      <c r="G3" s="17">
        <v>0</v>
      </c>
      <c r="H3" s="17">
        <v>0</v>
      </c>
      <c r="I3" s="17">
        <v>0</v>
      </c>
      <c r="J3" s="17">
        <v>168</v>
      </c>
      <c r="K3" s="17">
        <v>2</v>
      </c>
      <c r="L3" s="17">
        <v>42</v>
      </c>
      <c r="M3" s="17">
        <v>1</v>
      </c>
      <c r="N3" s="17">
        <v>122080</v>
      </c>
      <c r="O3" s="17"/>
      <c r="P3" s="17"/>
      <c r="Q3" s="17"/>
      <c r="R3" s="17"/>
      <c r="S3" s="17"/>
      <c r="T3" s="17"/>
    </row>
    <row r="4" spans="1:20" s="26" customFormat="1" x14ac:dyDescent="0.25">
      <c r="A4" s="34" t="s">
        <v>169</v>
      </c>
      <c r="B4" s="16"/>
      <c r="C4" s="17"/>
      <c r="D4" s="17"/>
      <c r="E4" s="17"/>
      <c r="F4" s="17"/>
      <c r="G4" s="17"/>
      <c r="H4" s="17"/>
      <c r="I4" s="17"/>
      <c r="J4" s="17"/>
      <c r="K4" s="17"/>
      <c r="L4" s="17"/>
      <c r="M4" s="17"/>
      <c r="N4" s="17"/>
      <c r="O4" s="17"/>
      <c r="P4" s="17"/>
      <c r="Q4" s="17"/>
      <c r="R4" s="17"/>
      <c r="S4" s="17"/>
      <c r="T4" s="17"/>
    </row>
    <row r="5" spans="1:20" s="26" customFormat="1" x14ac:dyDescent="0.25">
      <c r="A5" s="34" t="s">
        <v>2</v>
      </c>
      <c r="B5" s="16"/>
      <c r="C5" s="17"/>
      <c r="D5" s="17"/>
      <c r="E5" s="17"/>
      <c r="F5" s="17"/>
      <c r="G5" s="17"/>
      <c r="H5" s="17"/>
      <c r="I5" s="17"/>
      <c r="J5" s="17"/>
      <c r="K5" s="17"/>
      <c r="L5" s="17"/>
      <c r="M5" s="17"/>
      <c r="N5" s="17"/>
      <c r="O5" s="17"/>
      <c r="P5" s="17"/>
      <c r="Q5" s="17"/>
      <c r="R5" s="17"/>
      <c r="S5" s="17"/>
      <c r="T5" s="17"/>
    </row>
    <row r="6" spans="1:20" s="26" customFormat="1" x14ac:dyDescent="0.25">
      <c r="A6" s="34" t="s">
        <v>3</v>
      </c>
      <c r="B6" s="16">
        <v>648</v>
      </c>
      <c r="C6" s="17">
        <v>52</v>
      </c>
      <c r="D6" s="17">
        <v>835</v>
      </c>
      <c r="E6" s="17">
        <v>3027</v>
      </c>
      <c r="F6" s="17">
        <v>52</v>
      </c>
      <c r="G6" s="17">
        <v>0</v>
      </c>
      <c r="H6" s="17">
        <v>24</v>
      </c>
      <c r="I6" s="17">
        <v>13</v>
      </c>
      <c r="J6" s="17">
        <v>40</v>
      </c>
      <c r="K6" s="17">
        <v>0</v>
      </c>
      <c r="L6" s="17">
        <v>119</v>
      </c>
      <c r="M6" s="17">
        <v>857</v>
      </c>
      <c r="N6" s="17">
        <v>209020</v>
      </c>
      <c r="O6" s="17"/>
      <c r="P6" s="17"/>
      <c r="Q6" s="17"/>
      <c r="R6" s="17"/>
      <c r="S6" s="17"/>
      <c r="T6" s="17"/>
    </row>
    <row r="7" spans="1:20" s="26" customFormat="1" x14ac:dyDescent="0.25">
      <c r="A7" s="34" t="s">
        <v>4</v>
      </c>
      <c r="B7" s="16"/>
      <c r="C7" s="17"/>
      <c r="D7" s="17"/>
      <c r="E7" s="17"/>
      <c r="F7" s="17"/>
      <c r="G7" s="17"/>
      <c r="H7" s="17"/>
      <c r="I7" s="17"/>
      <c r="J7" s="17"/>
      <c r="K7" s="17"/>
      <c r="L7" s="17"/>
      <c r="M7" s="17"/>
      <c r="N7" s="17"/>
      <c r="O7" s="17"/>
      <c r="P7" s="17"/>
      <c r="Q7" s="17"/>
      <c r="R7" s="17"/>
      <c r="S7" s="17"/>
      <c r="T7" s="17"/>
    </row>
    <row r="8" spans="1:20" s="26" customFormat="1" x14ac:dyDescent="0.25">
      <c r="A8" s="34" t="s">
        <v>5</v>
      </c>
      <c r="B8" s="16">
        <v>0</v>
      </c>
      <c r="C8" s="17">
        <v>0</v>
      </c>
      <c r="D8" s="17">
        <v>0</v>
      </c>
      <c r="E8" s="17">
        <v>557</v>
      </c>
      <c r="F8" s="17">
        <v>100</v>
      </c>
      <c r="G8" s="17">
        <v>106</v>
      </c>
      <c r="H8" s="17">
        <v>396</v>
      </c>
      <c r="I8" s="17">
        <v>0</v>
      </c>
      <c r="J8" s="17">
        <v>0</v>
      </c>
      <c r="K8" s="17">
        <v>0</v>
      </c>
      <c r="L8" s="17">
        <v>0</v>
      </c>
      <c r="M8" s="17">
        <v>0</v>
      </c>
      <c r="N8" s="17">
        <v>0</v>
      </c>
      <c r="O8" s="17"/>
      <c r="P8" s="17"/>
      <c r="Q8" s="17"/>
      <c r="R8" s="17"/>
      <c r="S8" s="17"/>
      <c r="T8" s="17"/>
    </row>
    <row r="9" spans="1:20" s="26" customFormat="1" x14ac:dyDescent="0.25">
      <c r="A9" s="34" t="s">
        <v>6</v>
      </c>
      <c r="B9" s="16"/>
      <c r="C9" s="17"/>
      <c r="D9" s="17"/>
      <c r="E9" s="17"/>
      <c r="F9" s="17"/>
      <c r="G9" s="17"/>
      <c r="H9" s="17"/>
      <c r="I9" s="17"/>
      <c r="J9" s="17"/>
      <c r="K9" s="17"/>
      <c r="L9" s="17"/>
      <c r="M9" s="17"/>
      <c r="N9" s="17"/>
      <c r="O9" s="17"/>
      <c r="P9" s="17"/>
      <c r="Q9" s="17"/>
      <c r="R9" s="17"/>
      <c r="S9" s="17"/>
      <c r="T9" s="17"/>
    </row>
    <row r="10" spans="1:20" s="26" customFormat="1" x14ac:dyDescent="0.25">
      <c r="A10" s="35" t="s">
        <v>7</v>
      </c>
      <c r="B10" s="19">
        <f>SUM(B2:B9)</f>
        <v>26758</v>
      </c>
      <c r="C10" s="19">
        <f t="shared" ref="C10:T10" si="0">SUM(C2:C9)</f>
        <v>2149</v>
      </c>
      <c r="D10" s="19">
        <f t="shared" si="0"/>
        <v>1504</v>
      </c>
      <c r="E10" s="19">
        <f t="shared" si="0"/>
        <v>10168</v>
      </c>
      <c r="F10" s="19">
        <f t="shared" si="0"/>
        <v>895</v>
      </c>
      <c r="G10" s="19">
        <f t="shared" si="0"/>
        <v>106</v>
      </c>
      <c r="H10" s="19">
        <f t="shared" si="0"/>
        <v>420</v>
      </c>
      <c r="I10" s="19">
        <f t="shared" si="0"/>
        <v>13</v>
      </c>
      <c r="J10" s="19">
        <f>SUM(J2:J9)</f>
        <v>561</v>
      </c>
      <c r="K10" s="19">
        <f t="shared" si="0"/>
        <v>17</v>
      </c>
      <c r="L10" s="19">
        <f>SUM(L2:L9)</f>
        <v>368</v>
      </c>
      <c r="M10" s="19">
        <f t="shared" si="0"/>
        <v>1318</v>
      </c>
      <c r="N10" s="19">
        <f t="shared" si="0"/>
        <v>15433579</v>
      </c>
      <c r="O10" s="19">
        <f t="shared" si="0"/>
        <v>0</v>
      </c>
      <c r="P10" s="19">
        <f t="shared" si="0"/>
        <v>0</v>
      </c>
      <c r="Q10" s="19">
        <f t="shared" si="0"/>
        <v>0</v>
      </c>
      <c r="R10" s="19">
        <f t="shared" si="0"/>
        <v>0</v>
      </c>
      <c r="S10" s="19">
        <f t="shared" si="0"/>
        <v>0</v>
      </c>
      <c r="T10" s="19">
        <f t="shared" si="0"/>
        <v>0</v>
      </c>
    </row>
    <row r="11" spans="1:20" s="26" customFormat="1" x14ac:dyDescent="0.25">
      <c r="A11" s="34" t="s">
        <v>8</v>
      </c>
      <c r="B11" s="16">
        <v>87440</v>
      </c>
      <c r="C11" s="16">
        <v>8982</v>
      </c>
      <c r="D11" s="16">
        <v>679</v>
      </c>
      <c r="E11" s="16">
        <v>27221</v>
      </c>
      <c r="F11" s="16">
        <v>772</v>
      </c>
      <c r="G11" s="16">
        <v>0</v>
      </c>
      <c r="H11" s="16">
        <v>0</v>
      </c>
      <c r="I11" s="16">
        <v>44</v>
      </c>
      <c r="J11" s="16">
        <v>598</v>
      </c>
      <c r="K11" s="16">
        <v>298</v>
      </c>
      <c r="L11" s="16">
        <v>262</v>
      </c>
      <c r="M11" s="16">
        <v>9578</v>
      </c>
      <c r="N11" s="16">
        <v>8597879</v>
      </c>
      <c r="O11" s="16"/>
      <c r="P11" s="16"/>
      <c r="Q11" s="16"/>
      <c r="R11" s="16"/>
      <c r="S11" s="16"/>
      <c r="T11" s="16"/>
    </row>
    <row r="12" spans="1:20" s="26" customFormat="1" x14ac:dyDescent="0.25">
      <c r="A12" s="34" t="s">
        <v>9</v>
      </c>
      <c r="B12" s="16">
        <v>538</v>
      </c>
      <c r="C12" s="16">
        <v>46</v>
      </c>
      <c r="D12" s="16">
        <v>0</v>
      </c>
      <c r="E12" s="16">
        <v>120</v>
      </c>
      <c r="F12" s="16">
        <v>53</v>
      </c>
      <c r="G12" s="16">
        <v>0</v>
      </c>
      <c r="H12" s="16">
        <v>0</v>
      </c>
      <c r="I12" s="16">
        <v>0</v>
      </c>
      <c r="J12" s="16">
        <v>0</v>
      </c>
      <c r="K12" s="16">
        <v>1</v>
      </c>
      <c r="L12" s="16">
        <v>0</v>
      </c>
      <c r="M12" s="16">
        <v>5</v>
      </c>
      <c r="N12" s="16">
        <v>37489</v>
      </c>
      <c r="O12" s="16"/>
      <c r="P12" s="16"/>
      <c r="Q12" s="16"/>
      <c r="R12" s="16"/>
      <c r="S12" s="16"/>
      <c r="T12" s="16"/>
    </row>
    <row r="13" spans="1:20" s="26" customFormat="1" x14ac:dyDescent="0.25">
      <c r="A13" s="34" t="s">
        <v>164</v>
      </c>
      <c r="B13" s="16"/>
      <c r="C13" s="16"/>
      <c r="D13" s="16"/>
      <c r="E13" s="16"/>
      <c r="F13" s="16"/>
      <c r="G13" s="16"/>
      <c r="H13" s="16"/>
      <c r="I13" s="16"/>
      <c r="J13" s="16"/>
      <c r="K13" s="16"/>
      <c r="L13" s="16"/>
      <c r="M13" s="16"/>
      <c r="N13" s="16"/>
      <c r="O13" s="16"/>
      <c r="P13" s="16"/>
      <c r="Q13" s="16"/>
      <c r="R13" s="16"/>
      <c r="S13" s="16"/>
      <c r="T13" s="16"/>
    </row>
    <row r="14" spans="1:20" s="26" customFormat="1" x14ac:dyDescent="0.25">
      <c r="A14" s="34" t="s">
        <v>10</v>
      </c>
      <c r="B14" s="16">
        <v>329</v>
      </c>
      <c r="C14" s="16">
        <v>145</v>
      </c>
      <c r="D14" s="16">
        <v>291</v>
      </c>
      <c r="E14" s="16">
        <v>7767</v>
      </c>
      <c r="F14" s="16">
        <v>62</v>
      </c>
      <c r="G14" s="16">
        <v>0</v>
      </c>
      <c r="H14" s="16">
        <v>0</v>
      </c>
      <c r="I14" s="16">
        <v>195</v>
      </c>
      <c r="J14" s="16">
        <v>0</v>
      </c>
      <c r="K14" s="16">
        <v>0</v>
      </c>
      <c r="L14" s="16">
        <v>43</v>
      </c>
      <c r="M14" s="16">
        <v>1979</v>
      </c>
      <c r="N14" s="16">
        <v>58497</v>
      </c>
      <c r="O14" s="16"/>
      <c r="P14" s="16"/>
      <c r="Q14" s="16"/>
      <c r="R14" s="16"/>
      <c r="S14" s="16"/>
      <c r="T14" s="16"/>
    </row>
    <row r="15" spans="1:20" s="26" customFormat="1" x14ac:dyDescent="0.25">
      <c r="A15" s="34" t="s">
        <v>11</v>
      </c>
      <c r="B15" s="16"/>
      <c r="C15" s="16"/>
      <c r="D15" s="16"/>
      <c r="E15" s="16"/>
      <c r="F15" s="16"/>
      <c r="G15" s="16"/>
      <c r="H15" s="16"/>
      <c r="I15" s="16"/>
      <c r="J15" s="16"/>
      <c r="K15" s="16"/>
      <c r="L15" s="16"/>
      <c r="M15" s="16"/>
      <c r="N15" s="16"/>
      <c r="O15" s="16"/>
      <c r="P15" s="16"/>
      <c r="Q15" s="16"/>
      <c r="R15" s="16"/>
      <c r="S15" s="16"/>
      <c r="T15" s="16"/>
    </row>
    <row r="16" spans="1:20" s="26" customFormat="1" x14ac:dyDescent="0.25">
      <c r="A16" s="34" t="s">
        <v>12</v>
      </c>
      <c r="B16" s="16">
        <v>0</v>
      </c>
      <c r="C16" s="16">
        <v>0</v>
      </c>
      <c r="D16" s="16">
        <v>0</v>
      </c>
      <c r="E16" s="16">
        <v>85</v>
      </c>
      <c r="F16" s="16">
        <v>1</v>
      </c>
      <c r="G16" s="16">
        <v>0</v>
      </c>
      <c r="H16" s="16">
        <v>40</v>
      </c>
      <c r="I16" s="16">
        <v>0</v>
      </c>
      <c r="J16" s="16">
        <v>0</v>
      </c>
      <c r="K16" s="16">
        <v>0</v>
      </c>
      <c r="L16" s="16">
        <v>0</v>
      </c>
      <c r="M16" s="16">
        <v>0</v>
      </c>
      <c r="N16" s="16">
        <v>0</v>
      </c>
      <c r="O16" s="16"/>
      <c r="P16" s="16"/>
      <c r="Q16" s="16"/>
      <c r="R16" s="16"/>
      <c r="S16" s="16"/>
      <c r="T16" s="16"/>
    </row>
    <row r="17" spans="1:20" s="26" customFormat="1" x14ac:dyDescent="0.25">
      <c r="A17" s="34" t="s">
        <v>13</v>
      </c>
      <c r="B17" s="16"/>
      <c r="C17" s="16"/>
      <c r="D17" s="16"/>
      <c r="E17" s="16"/>
      <c r="F17" s="16"/>
      <c r="G17" s="16"/>
      <c r="H17" s="16"/>
      <c r="I17" s="16"/>
      <c r="J17" s="16"/>
      <c r="K17" s="16"/>
      <c r="L17" s="16"/>
      <c r="M17" s="16"/>
      <c r="N17" s="16"/>
      <c r="O17" s="16"/>
      <c r="P17" s="16"/>
      <c r="Q17" s="16"/>
      <c r="R17" s="16"/>
      <c r="S17" s="16"/>
      <c r="T17" s="16"/>
    </row>
    <row r="18" spans="1:20" s="26" customFormat="1" x14ac:dyDescent="0.25">
      <c r="A18" s="35" t="s">
        <v>14</v>
      </c>
      <c r="B18" s="19">
        <f>SUM(B11:B17)</f>
        <v>88307</v>
      </c>
      <c r="C18" s="19">
        <f t="shared" ref="C18:T18" si="1">SUM(C11:C17)</f>
        <v>9173</v>
      </c>
      <c r="D18" s="19">
        <f t="shared" si="1"/>
        <v>970</v>
      </c>
      <c r="E18" s="19">
        <f t="shared" si="1"/>
        <v>35193</v>
      </c>
      <c r="F18" s="19">
        <f t="shared" si="1"/>
        <v>888</v>
      </c>
      <c r="G18" s="19">
        <f t="shared" si="1"/>
        <v>0</v>
      </c>
      <c r="H18" s="19">
        <f t="shared" si="1"/>
        <v>40</v>
      </c>
      <c r="I18" s="19">
        <f t="shared" si="1"/>
        <v>239</v>
      </c>
      <c r="J18" s="19">
        <f>SUM(J11:J17)</f>
        <v>598</v>
      </c>
      <c r="K18" s="19">
        <f t="shared" si="1"/>
        <v>299</v>
      </c>
      <c r="L18" s="19">
        <f>SUM(L11:L17)</f>
        <v>305</v>
      </c>
      <c r="M18" s="19">
        <f t="shared" si="1"/>
        <v>11562</v>
      </c>
      <c r="N18" s="19">
        <f t="shared" si="1"/>
        <v>8693865</v>
      </c>
      <c r="O18" s="19">
        <f t="shared" si="1"/>
        <v>0</v>
      </c>
      <c r="P18" s="19">
        <f t="shared" si="1"/>
        <v>0</v>
      </c>
      <c r="Q18" s="19">
        <f t="shared" si="1"/>
        <v>0</v>
      </c>
      <c r="R18" s="19">
        <f t="shared" si="1"/>
        <v>0</v>
      </c>
      <c r="S18" s="19">
        <f t="shared" si="1"/>
        <v>0</v>
      </c>
      <c r="T18" s="19">
        <f t="shared" si="1"/>
        <v>0</v>
      </c>
    </row>
    <row r="19" spans="1:20" s="26" customFormat="1" x14ac:dyDescent="0.25">
      <c r="A19" s="35" t="s">
        <v>15</v>
      </c>
      <c r="B19" s="19">
        <f>SUM(B10,B18)</f>
        <v>115065</v>
      </c>
      <c r="C19" s="19">
        <f t="shared" ref="C19:T19" si="2">SUM(C10,C18)</f>
        <v>11322</v>
      </c>
      <c r="D19" s="19">
        <f t="shared" si="2"/>
        <v>2474</v>
      </c>
      <c r="E19" s="19">
        <f t="shared" si="2"/>
        <v>45361</v>
      </c>
      <c r="F19" s="19">
        <f t="shared" si="2"/>
        <v>1783</v>
      </c>
      <c r="G19" s="19">
        <f t="shared" si="2"/>
        <v>106</v>
      </c>
      <c r="H19" s="19">
        <f t="shared" si="2"/>
        <v>460</v>
      </c>
      <c r="I19" s="19">
        <f t="shared" si="2"/>
        <v>252</v>
      </c>
      <c r="J19" s="19">
        <f>SUM(J10,J18)</f>
        <v>1159</v>
      </c>
      <c r="K19" s="19">
        <f t="shared" si="2"/>
        <v>316</v>
      </c>
      <c r="L19" s="19">
        <f>SUM(L10,L18)</f>
        <v>673</v>
      </c>
      <c r="M19" s="19">
        <f t="shared" si="2"/>
        <v>12880</v>
      </c>
      <c r="N19" s="19">
        <f t="shared" si="2"/>
        <v>24127444</v>
      </c>
      <c r="O19" s="19">
        <f t="shared" si="2"/>
        <v>0</v>
      </c>
      <c r="P19" s="19">
        <f t="shared" si="2"/>
        <v>0</v>
      </c>
      <c r="Q19" s="19">
        <f t="shared" si="2"/>
        <v>0</v>
      </c>
      <c r="R19" s="19">
        <f t="shared" si="2"/>
        <v>0</v>
      </c>
      <c r="S19" s="19">
        <f t="shared" si="2"/>
        <v>0</v>
      </c>
      <c r="T19" s="19">
        <f t="shared" si="2"/>
        <v>0</v>
      </c>
    </row>
    <row r="21" spans="1:20" x14ac:dyDescent="0.25">
      <c r="B21" s="44"/>
      <c r="C21" s="44"/>
      <c r="D21" s="44"/>
      <c r="E21" s="44"/>
      <c r="F21" s="44"/>
      <c r="G21" s="44"/>
      <c r="H21" s="44"/>
      <c r="I21" s="44"/>
      <c r="J21" s="44"/>
      <c r="K21" s="44"/>
      <c r="L21" s="44"/>
      <c r="M21" s="44"/>
      <c r="N21" s="44"/>
      <c r="O21" s="44"/>
      <c r="P21" s="44"/>
      <c r="Q21" s="44"/>
      <c r="R21" s="44"/>
      <c r="S21" s="44"/>
      <c r="T21" s="44"/>
    </row>
    <row r="23" spans="1:20" x14ac:dyDescent="0.25">
      <c r="B23" s="44"/>
      <c r="C23" s="44"/>
      <c r="D23" s="44"/>
      <c r="E23" s="44"/>
      <c r="F23" s="44"/>
      <c r="G23" s="44"/>
      <c r="H23" s="44"/>
      <c r="I23" s="44"/>
      <c r="J23" s="44"/>
      <c r="K23" s="44"/>
      <c r="L23" s="44"/>
      <c r="M23" s="44"/>
      <c r="N23" s="44"/>
      <c r="O23" s="44"/>
      <c r="P23" s="44"/>
      <c r="Q23" s="44"/>
      <c r="R23" s="44"/>
      <c r="S23" s="44"/>
      <c r="T23" s="44"/>
    </row>
    <row r="25" spans="1:20" x14ac:dyDescent="0.25">
      <c r="B25" s="44"/>
      <c r="C25" s="44"/>
      <c r="D25" s="44"/>
      <c r="E25" s="44"/>
      <c r="F25" s="44"/>
      <c r="G25" s="44"/>
      <c r="H25" s="44"/>
      <c r="I25" s="44"/>
      <c r="J25" s="44"/>
      <c r="K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T1" xr:uid="{94BAF5BF-D89A-4CC0-8575-46BC2B01AD0E}">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8C18B2A-2F7B-4C4F-A8AA-597D0B8F45F8}">
          <x14:formula1>
            <xm:f>'Term List'!$A2:$A242</xm:f>
          </x14:formula1>
          <xm:sqref>U1:XFD1</xm:sqref>
        </x14:dataValidation>
      </x14:dataValidations>
    </ext>
  </extLs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4A388-A112-4103-8C5F-204728E44FEF}">
  <dimension ref="A1:AN27"/>
  <sheetViews>
    <sheetView workbookViewId="0">
      <pane xSplit="1" ySplit="1" topLeftCell="Z2" activePane="bottomRight" state="frozen"/>
      <selection activeCell="E23" sqref="E23"/>
      <selection pane="topRight" activeCell="E23" sqref="E23"/>
      <selection pane="bottomLeft" activeCell="E23" sqref="E23"/>
      <selection pane="bottomRight" activeCell="AB1" sqref="AB1"/>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1.7109375" style="5" customWidth="1"/>
    <col min="11" max="11" width="23.85546875" style="5" customWidth="1"/>
    <col min="12" max="12" width="25.85546875" style="3" customWidth="1"/>
    <col min="13" max="13" width="23.7109375" style="3" customWidth="1"/>
    <col min="14" max="14" width="21.140625" style="5" customWidth="1"/>
    <col min="15" max="15" width="16.28515625" style="5" customWidth="1"/>
    <col min="16" max="16" width="17" style="5" customWidth="1"/>
    <col min="17" max="17" width="21.140625" style="3" customWidth="1"/>
    <col min="18" max="18" width="21.28515625" style="5" customWidth="1"/>
    <col min="19" max="19" width="18.28515625" style="5" customWidth="1"/>
    <col min="20" max="20" width="20.140625" style="3" customWidth="1"/>
    <col min="21" max="22" width="15.85546875" style="3" customWidth="1"/>
    <col min="23" max="23" width="18.28515625" style="3" customWidth="1"/>
    <col min="24" max="24" width="17.85546875" style="3" customWidth="1"/>
    <col min="25" max="25" width="17.28515625" style="3" customWidth="1"/>
    <col min="26" max="26" width="17.5703125" style="3" customWidth="1"/>
    <col min="27" max="27" width="16.85546875" style="3" customWidth="1"/>
    <col min="28" max="28" width="16.28515625" style="5" customWidth="1"/>
    <col min="29" max="29" width="17" style="5" customWidth="1"/>
    <col min="30" max="30" width="28.7109375" style="3" customWidth="1"/>
    <col min="31" max="31" width="31.140625" style="3" customWidth="1"/>
    <col min="32" max="32" width="16.7109375" style="3" customWidth="1"/>
    <col min="33" max="33" width="19.140625" style="3" customWidth="1"/>
    <col min="34" max="38" width="16.5703125" style="3" customWidth="1"/>
    <col min="39" max="39" width="17.28515625" style="3" customWidth="1"/>
    <col min="40" max="40" width="16.5703125" style="3" customWidth="1"/>
    <col min="41" max="16384" width="9.140625" style="3"/>
  </cols>
  <sheetData>
    <row r="1" spans="1:40" s="40" customFormat="1" ht="30" x14ac:dyDescent="0.25">
      <c r="A1" s="36" t="s">
        <v>489</v>
      </c>
      <c r="B1" s="36" t="s">
        <v>62</v>
      </c>
      <c r="C1" s="36" t="s">
        <v>36</v>
      </c>
      <c r="D1" s="36" t="s">
        <v>35</v>
      </c>
      <c r="E1" s="36" t="s">
        <v>39</v>
      </c>
      <c r="F1" s="36" t="s">
        <v>99</v>
      </c>
      <c r="G1" s="36" t="s">
        <v>95</v>
      </c>
      <c r="H1" s="36" t="s">
        <v>94</v>
      </c>
      <c r="I1" s="36" t="s">
        <v>386</v>
      </c>
      <c r="J1" s="36" t="s">
        <v>387</v>
      </c>
      <c r="K1" s="36" t="s">
        <v>388</v>
      </c>
      <c r="L1" s="36" t="s">
        <v>383</v>
      </c>
      <c r="M1" s="36" t="s">
        <v>384</v>
      </c>
      <c r="N1" s="36" t="s">
        <v>570</v>
      </c>
      <c r="O1" s="36" t="s">
        <v>571</v>
      </c>
      <c r="P1" s="36" t="s">
        <v>572</v>
      </c>
      <c r="Q1" s="36" t="s">
        <v>566</v>
      </c>
      <c r="R1" s="36" t="s">
        <v>567</v>
      </c>
      <c r="S1" s="36" t="s">
        <v>568</v>
      </c>
      <c r="T1" s="36" t="s">
        <v>107</v>
      </c>
      <c r="U1" s="36" t="s">
        <v>101</v>
      </c>
      <c r="V1" s="36" t="s">
        <v>75</v>
      </c>
      <c r="W1" s="36" t="s">
        <v>330</v>
      </c>
      <c r="X1" s="36" t="s">
        <v>331</v>
      </c>
      <c r="Y1" s="36" t="s">
        <v>332</v>
      </c>
      <c r="Z1" s="36" t="s">
        <v>333</v>
      </c>
      <c r="AA1" s="36" t="s">
        <v>493</v>
      </c>
      <c r="AB1" s="36" t="s">
        <v>113</v>
      </c>
      <c r="AC1" s="36" t="s">
        <v>112</v>
      </c>
      <c r="AD1" s="36" t="s">
        <v>494</v>
      </c>
      <c r="AE1" s="36" t="s">
        <v>495</v>
      </c>
      <c r="AF1" s="36" t="s">
        <v>109</v>
      </c>
      <c r="AG1" s="36" t="s">
        <v>496</v>
      </c>
      <c r="AH1" s="36" t="s">
        <v>28</v>
      </c>
      <c r="AI1" s="36" t="s">
        <v>89</v>
      </c>
      <c r="AJ1" s="36" t="s">
        <v>45</v>
      </c>
      <c r="AK1" s="36" t="s">
        <v>392</v>
      </c>
      <c r="AL1" s="36" t="s">
        <v>102</v>
      </c>
      <c r="AM1" s="36" t="s">
        <v>48</v>
      </c>
      <c r="AN1" s="36" t="s">
        <v>110</v>
      </c>
    </row>
    <row r="2" spans="1:40"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v>13332</v>
      </c>
      <c r="AB2" s="16">
        <f>176+33</f>
        <v>209</v>
      </c>
      <c r="AC2" s="16">
        <f>107+7</f>
        <v>114</v>
      </c>
      <c r="AD2" s="16">
        <v>525</v>
      </c>
      <c r="AE2" s="16">
        <v>166</v>
      </c>
      <c r="AF2" s="16">
        <v>6748</v>
      </c>
      <c r="AG2" s="16">
        <v>33091</v>
      </c>
      <c r="AH2" s="16">
        <v>3628</v>
      </c>
      <c r="AI2" s="16">
        <v>11831</v>
      </c>
      <c r="AJ2" s="16">
        <v>14001</v>
      </c>
      <c r="AK2" s="16">
        <v>5201</v>
      </c>
      <c r="AL2" s="16">
        <v>16480</v>
      </c>
      <c r="AM2" s="16">
        <v>14253</v>
      </c>
      <c r="AN2" s="16">
        <v>39671</v>
      </c>
    </row>
    <row r="3" spans="1:40"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row>
    <row r="4" spans="1:40" s="26" customFormat="1" x14ac:dyDescent="0.25">
      <c r="A4" s="34" t="s">
        <v>169</v>
      </c>
      <c r="B4" s="16">
        <v>17579</v>
      </c>
      <c r="C4" s="16">
        <v>286</v>
      </c>
      <c r="D4" s="16">
        <v>5388</v>
      </c>
      <c r="E4" s="16">
        <v>0</v>
      </c>
      <c r="F4" s="16">
        <v>0</v>
      </c>
      <c r="G4" s="16">
        <v>1937</v>
      </c>
      <c r="H4" s="16">
        <v>5397</v>
      </c>
      <c r="I4" s="16">
        <v>0</v>
      </c>
      <c r="J4" s="16">
        <v>0</v>
      </c>
      <c r="K4" s="16">
        <v>0</v>
      </c>
      <c r="L4" s="16">
        <v>0</v>
      </c>
      <c r="M4" s="16">
        <v>0</v>
      </c>
      <c r="N4" s="16">
        <v>0</v>
      </c>
      <c r="O4" s="16">
        <v>0</v>
      </c>
      <c r="P4" s="16">
        <v>0</v>
      </c>
      <c r="Q4" s="16">
        <v>0</v>
      </c>
      <c r="R4" s="16">
        <v>21470</v>
      </c>
      <c r="S4" s="16">
        <v>0</v>
      </c>
      <c r="T4" s="16">
        <v>0</v>
      </c>
      <c r="U4" s="16">
        <v>0</v>
      </c>
      <c r="V4" s="16">
        <v>0</v>
      </c>
      <c r="W4" s="16">
        <v>0</v>
      </c>
      <c r="X4" s="16">
        <v>0</v>
      </c>
      <c r="Y4" s="16">
        <v>0</v>
      </c>
      <c r="Z4" s="16">
        <v>0</v>
      </c>
      <c r="AA4" s="16"/>
      <c r="AB4" s="16"/>
      <c r="AC4" s="16"/>
      <c r="AD4" s="16"/>
      <c r="AE4" s="16"/>
      <c r="AF4" s="16"/>
      <c r="AG4" s="16"/>
      <c r="AH4" s="16"/>
      <c r="AI4" s="16"/>
      <c r="AJ4" s="16"/>
      <c r="AK4" s="16"/>
      <c r="AL4" s="16"/>
      <c r="AM4" s="16"/>
      <c r="AN4" s="16"/>
    </row>
    <row r="5" spans="1:40"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f>463+30</f>
        <v>493</v>
      </c>
      <c r="AC5" s="16">
        <f>171+202</f>
        <v>373</v>
      </c>
      <c r="AD5" s="16"/>
      <c r="AE5" s="16"/>
      <c r="AF5" s="16"/>
      <c r="AG5" s="16"/>
      <c r="AH5" s="16"/>
      <c r="AI5" s="16"/>
      <c r="AJ5" s="16"/>
      <c r="AK5" s="16"/>
      <c r="AL5" s="16"/>
      <c r="AM5" s="16"/>
      <c r="AN5" s="16"/>
    </row>
    <row r="6" spans="1:40" s="26" customFormat="1" x14ac:dyDescent="0.25">
      <c r="A6" s="34" t="s">
        <v>3</v>
      </c>
      <c r="B6" s="16">
        <v>23223</v>
      </c>
      <c r="C6" s="16">
        <v>1514</v>
      </c>
      <c r="D6" s="16">
        <v>20</v>
      </c>
      <c r="E6" s="16">
        <v>866</v>
      </c>
      <c r="F6" s="16">
        <v>248</v>
      </c>
      <c r="G6" s="16">
        <v>1</v>
      </c>
      <c r="H6" s="16">
        <v>30</v>
      </c>
      <c r="I6" s="16">
        <v>3133</v>
      </c>
      <c r="J6" s="16">
        <v>442</v>
      </c>
      <c r="K6" s="16">
        <v>5291</v>
      </c>
      <c r="L6" s="16">
        <v>547</v>
      </c>
      <c r="M6" s="16">
        <v>797</v>
      </c>
      <c r="N6" s="16">
        <v>2344</v>
      </c>
      <c r="O6" s="16">
        <v>4026</v>
      </c>
      <c r="P6" s="16">
        <v>1845</v>
      </c>
      <c r="Q6" s="16">
        <v>211</v>
      </c>
      <c r="R6" s="16">
        <v>14545</v>
      </c>
      <c r="S6" s="16">
        <v>634</v>
      </c>
      <c r="T6" s="16">
        <v>3135835</v>
      </c>
      <c r="U6" s="16">
        <v>6066373</v>
      </c>
      <c r="V6" s="16">
        <v>4809342</v>
      </c>
      <c r="W6" s="16">
        <v>68</v>
      </c>
      <c r="X6" s="16">
        <v>0</v>
      </c>
      <c r="Y6" s="16">
        <v>0</v>
      </c>
      <c r="Z6" s="16">
        <v>6</v>
      </c>
      <c r="AA6" s="16"/>
      <c r="AB6" s="16"/>
      <c r="AC6" s="16"/>
      <c r="AD6" s="16"/>
      <c r="AE6" s="16"/>
      <c r="AF6" s="16"/>
      <c r="AG6" s="16"/>
      <c r="AH6" s="16"/>
      <c r="AI6" s="16"/>
      <c r="AJ6" s="16"/>
      <c r="AK6" s="16"/>
      <c r="AL6" s="16"/>
      <c r="AM6" s="16"/>
      <c r="AN6" s="16"/>
    </row>
    <row r="7" spans="1:40" s="26" customFormat="1" x14ac:dyDescent="0.25">
      <c r="A7" s="34" t="s">
        <v>4</v>
      </c>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row>
    <row r="8" spans="1:40" s="26" customFormat="1" x14ac:dyDescent="0.25">
      <c r="A8" s="34" t="s">
        <v>5</v>
      </c>
      <c r="B8" s="16">
        <v>18011</v>
      </c>
      <c r="C8" s="16">
        <v>0</v>
      </c>
      <c r="D8" s="16">
        <v>0</v>
      </c>
      <c r="E8" s="16">
        <v>0</v>
      </c>
      <c r="F8" s="16">
        <v>384</v>
      </c>
      <c r="G8" s="16">
        <v>9</v>
      </c>
      <c r="H8" s="16">
        <v>4048</v>
      </c>
      <c r="I8" s="16">
        <v>13131</v>
      </c>
      <c r="J8" s="16">
        <v>2150</v>
      </c>
      <c r="K8" s="16">
        <v>1676</v>
      </c>
      <c r="L8" s="16">
        <v>33</v>
      </c>
      <c r="M8" s="16">
        <v>914</v>
      </c>
      <c r="N8" s="16">
        <v>0</v>
      </c>
      <c r="O8" s="16">
        <v>0</v>
      </c>
      <c r="P8" s="16">
        <v>0</v>
      </c>
      <c r="Q8" s="16">
        <v>0</v>
      </c>
      <c r="R8" s="16">
        <v>0</v>
      </c>
      <c r="S8" s="16">
        <v>0</v>
      </c>
      <c r="T8" s="16">
        <v>0</v>
      </c>
      <c r="U8" s="16">
        <v>0</v>
      </c>
      <c r="V8" s="16">
        <v>0</v>
      </c>
      <c r="W8" s="16">
        <v>1158</v>
      </c>
      <c r="X8" s="16">
        <v>2025</v>
      </c>
      <c r="Y8" s="16">
        <v>735</v>
      </c>
      <c r="Z8" s="16">
        <v>884</v>
      </c>
      <c r="AA8" s="16"/>
      <c r="AB8" s="16"/>
      <c r="AC8" s="16"/>
      <c r="AD8" s="16"/>
      <c r="AE8" s="16"/>
      <c r="AF8" s="16"/>
      <c r="AG8" s="16"/>
      <c r="AH8" s="16"/>
      <c r="AI8" s="16"/>
      <c r="AJ8" s="16"/>
      <c r="AK8" s="16"/>
      <c r="AL8" s="16"/>
      <c r="AM8" s="16"/>
      <c r="AN8" s="16"/>
    </row>
    <row r="9" spans="1:40"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row>
    <row r="10" spans="1:40" s="26" customFormat="1" x14ac:dyDescent="0.25">
      <c r="A10" s="35" t="s">
        <v>7</v>
      </c>
      <c r="B10" s="19">
        <f>SUM(B2:B9)</f>
        <v>58813</v>
      </c>
      <c r="C10" s="19">
        <f>SUM(C2:C9)</f>
        <v>1800</v>
      </c>
      <c r="D10" s="19">
        <f>SUM(D2:D9)</f>
        <v>5408</v>
      </c>
      <c r="E10" s="19">
        <f>SUM(E2:E9)</f>
        <v>866</v>
      </c>
      <c r="F10" s="19">
        <f t="shared" ref="F10" si="0">SUM(F2:F9)</f>
        <v>632</v>
      </c>
      <c r="G10" s="19">
        <f>SUM(G2:G9)</f>
        <v>1947</v>
      </c>
      <c r="H10" s="19">
        <f t="shared" ref="H10:AF10" si="1">SUM(H2:H9)</f>
        <v>9475</v>
      </c>
      <c r="I10" s="19">
        <f t="shared" si="1"/>
        <v>16264</v>
      </c>
      <c r="J10" s="19">
        <f t="shared" si="1"/>
        <v>2592</v>
      </c>
      <c r="K10" s="19">
        <f t="shared" si="1"/>
        <v>6967</v>
      </c>
      <c r="L10" s="19">
        <f t="shared" si="1"/>
        <v>580</v>
      </c>
      <c r="M10" s="19">
        <f t="shared" si="1"/>
        <v>1711</v>
      </c>
      <c r="N10" s="19">
        <f t="shared" si="1"/>
        <v>2344</v>
      </c>
      <c r="O10" s="19">
        <f t="shared" si="1"/>
        <v>4026</v>
      </c>
      <c r="P10" s="19">
        <f t="shared" si="1"/>
        <v>1845</v>
      </c>
      <c r="Q10" s="19">
        <f t="shared" si="1"/>
        <v>211</v>
      </c>
      <c r="R10" s="19">
        <f t="shared" si="1"/>
        <v>36015</v>
      </c>
      <c r="S10" s="19">
        <f t="shared" si="1"/>
        <v>634</v>
      </c>
      <c r="T10" s="19">
        <f>SUM(T2:T9)</f>
        <v>3135835</v>
      </c>
      <c r="U10" s="19">
        <f>SUM(U2:U9)</f>
        <v>6066373</v>
      </c>
      <c r="V10" s="19">
        <f t="shared" ref="V10:Z10" si="2">SUM(V2:V9)</f>
        <v>4809342</v>
      </c>
      <c r="W10" s="19">
        <f t="shared" si="2"/>
        <v>1226</v>
      </c>
      <c r="X10" s="19">
        <f t="shared" si="2"/>
        <v>2025</v>
      </c>
      <c r="Y10" s="19">
        <f t="shared" si="2"/>
        <v>735</v>
      </c>
      <c r="Z10" s="19">
        <f t="shared" si="2"/>
        <v>890</v>
      </c>
      <c r="AA10" s="19">
        <f t="shared" si="1"/>
        <v>13332</v>
      </c>
      <c r="AB10" s="19">
        <f t="shared" si="1"/>
        <v>702</v>
      </c>
      <c r="AC10" s="19">
        <f t="shared" si="1"/>
        <v>487</v>
      </c>
      <c r="AD10" s="19">
        <f t="shared" si="1"/>
        <v>525</v>
      </c>
      <c r="AE10" s="19">
        <f t="shared" si="1"/>
        <v>166</v>
      </c>
      <c r="AF10" s="19">
        <f t="shared" si="1"/>
        <v>6748</v>
      </c>
      <c r="AG10" s="19">
        <f t="shared" ref="AG10:AI10" si="3">SUM(AG2:AG9)</f>
        <v>33091</v>
      </c>
      <c r="AH10" s="19">
        <f t="shared" si="3"/>
        <v>3628</v>
      </c>
      <c r="AI10" s="19">
        <f t="shared" si="3"/>
        <v>11831</v>
      </c>
      <c r="AJ10" s="19">
        <f t="shared" ref="AJ10:AN10" si="4">SUM(AJ2:AJ9)</f>
        <v>14001</v>
      </c>
      <c r="AK10" s="19">
        <f t="shared" si="4"/>
        <v>5201</v>
      </c>
      <c r="AL10" s="19">
        <f t="shared" si="4"/>
        <v>16480</v>
      </c>
      <c r="AM10" s="19">
        <f t="shared" si="4"/>
        <v>14253</v>
      </c>
      <c r="AN10" s="19">
        <f t="shared" si="4"/>
        <v>39671</v>
      </c>
    </row>
    <row r="11" spans="1:40"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v>6646</v>
      </c>
      <c r="AB11" s="16">
        <f>124+1</f>
        <v>125</v>
      </c>
      <c r="AC11" s="16">
        <f>218+177+113</f>
        <v>508</v>
      </c>
      <c r="AD11" s="16">
        <v>420</v>
      </c>
      <c r="AE11" s="16">
        <v>82</v>
      </c>
      <c r="AF11" s="16">
        <v>2592</v>
      </c>
      <c r="AG11" s="16">
        <v>8361</v>
      </c>
      <c r="AH11" s="16">
        <v>2684</v>
      </c>
      <c r="AI11" s="16">
        <v>3417</v>
      </c>
      <c r="AJ11" s="16">
        <v>4003</v>
      </c>
      <c r="AK11" s="16">
        <v>0</v>
      </c>
      <c r="AL11" s="16">
        <v>1807</v>
      </c>
      <c r="AM11" s="16">
        <v>1707</v>
      </c>
      <c r="AN11" s="16">
        <v>572</v>
      </c>
    </row>
    <row r="12" spans="1:40"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row>
    <row r="13" spans="1:40" s="26" customFormat="1" x14ac:dyDescent="0.25">
      <c r="A13" s="34" t="s">
        <v>164</v>
      </c>
      <c r="B13" s="16">
        <v>1570</v>
      </c>
      <c r="C13" s="16">
        <v>298</v>
      </c>
      <c r="D13" s="16">
        <v>0</v>
      </c>
      <c r="E13" s="16">
        <v>0</v>
      </c>
      <c r="F13" s="16">
        <v>0</v>
      </c>
      <c r="G13" s="16">
        <v>1141</v>
      </c>
      <c r="H13" s="16">
        <v>1086</v>
      </c>
      <c r="I13" s="16">
        <v>0</v>
      </c>
      <c r="J13" s="16">
        <v>0</v>
      </c>
      <c r="K13" s="16">
        <v>0</v>
      </c>
      <c r="L13" s="16">
        <v>0</v>
      </c>
      <c r="M13" s="16">
        <v>0</v>
      </c>
      <c r="N13" s="16">
        <v>0</v>
      </c>
      <c r="O13" s="16">
        <v>0</v>
      </c>
      <c r="P13" s="16">
        <v>0</v>
      </c>
      <c r="Q13" s="16">
        <v>0</v>
      </c>
      <c r="R13" s="16">
        <v>43099</v>
      </c>
      <c r="S13" s="16">
        <v>0</v>
      </c>
      <c r="T13" s="16">
        <v>0</v>
      </c>
      <c r="U13" s="16">
        <v>0</v>
      </c>
      <c r="V13" s="16">
        <v>0</v>
      </c>
      <c r="W13" s="16">
        <v>0</v>
      </c>
      <c r="X13" s="16">
        <v>0</v>
      </c>
      <c r="Y13" s="16">
        <v>0</v>
      </c>
      <c r="Z13" s="16">
        <v>0</v>
      </c>
      <c r="AA13" s="16"/>
      <c r="AB13" s="16"/>
      <c r="AC13" s="16"/>
      <c r="AD13" s="16"/>
      <c r="AE13" s="16"/>
      <c r="AF13" s="16"/>
      <c r="AG13" s="16"/>
      <c r="AH13" s="16"/>
      <c r="AI13" s="16"/>
      <c r="AJ13" s="16"/>
      <c r="AK13" s="16"/>
      <c r="AL13" s="16"/>
      <c r="AM13" s="16"/>
      <c r="AN13" s="16"/>
    </row>
    <row r="14" spans="1:40" s="26" customFormat="1" x14ac:dyDescent="0.25">
      <c r="A14" s="34" t="s">
        <v>486</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v>209</v>
      </c>
      <c r="AC14" s="16">
        <v>113</v>
      </c>
      <c r="AD14" s="16"/>
      <c r="AE14" s="16"/>
      <c r="AF14" s="16"/>
      <c r="AG14" s="16"/>
      <c r="AH14" s="16"/>
      <c r="AI14" s="16"/>
      <c r="AJ14" s="16"/>
      <c r="AK14" s="16"/>
      <c r="AL14" s="16"/>
      <c r="AM14" s="16"/>
      <c r="AN14" s="16"/>
    </row>
    <row r="15" spans="1:40" s="26" customFormat="1" x14ac:dyDescent="0.25">
      <c r="A15" s="34" t="s">
        <v>10</v>
      </c>
      <c r="B15" s="16">
        <v>5995</v>
      </c>
      <c r="C15" s="16">
        <v>354</v>
      </c>
      <c r="D15" s="16">
        <v>0</v>
      </c>
      <c r="E15" s="16">
        <v>155</v>
      </c>
      <c r="F15" s="16">
        <v>232</v>
      </c>
      <c r="G15" s="16">
        <v>46</v>
      </c>
      <c r="H15" s="16">
        <v>133</v>
      </c>
      <c r="I15" s="16">
        <v>3180</v>
      </c>
      <c r="J15" s="16">
        <v>25</v>
      </c>
      <c r="K15" s="16">
        <v>1662</v>
      </c>
      <c r="L15" s="16">
        <v>170</v>
      </c>
      <c r="M15" s="16">
        <v>916</v>
      </c>
      <c r="N15" s="16">
        <v>1521</v>
      </c>
      <c r="O15" s="16">
        <v>2245</v>
      </c>
      <c r="P15" s="16">
        <v>1138</v>
      </c>
      <c r="Q15" s="16">
        <v>178</v>
      </c>
      <c r="R15" s="16">
        <v>4299</v>
      </c>
      <c r="S15" s="16">
        <v>127</v>
      </c>
      <c r="T15" s="16">
        <v>4513484</v>
      </c>
      <c r="U15" s="16">
        <v>5293940</v>
      </c>
      <c r="V15" s="16">
        <v>4633164</v>
      </c>
      <c r="W15" s="16">
        <v>7</v>
      </c>
      <c r="X15" s="16">
        <v>0</v>
      </c>
      <c r="Y15" s="16">
        <v>0</v>
      </c>
      <c r="Z15" s="16">
        <v>39</v>
      </c>
      <c r="AA15" s="16"/>
      <c r="AB15" s="16"/>
      <c r="AC15" s="16"/>
      <c r="AD15" s="16"/>
      <c r="AE15" s="16"/>
      <c r="AF15" s="16"/>
      <c r="AG15" s="16"/>
      <c r="AH15" s="16"/>
      <c r="AI15" s="16"/>
      <c r="AJ15" s="16"/>
      <c r="AK15" s="16"/>
      <c r="AL15" s="16"/>
      <c r="AM15" s="16"/>
      <c r="AN15" s="16"/>
    </row>
    <row r="16" spans="1:40" s="26" customFormat="1" x14ac:dyDescent="0.25">
      <c r="A16" s="34" t="s">
        <v>11</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row>
    <row r="17" spans="1:40" s="26" customFormat="1" x14ac:dyDescent="0.25">
      <c r="A17" s="34" t="s">
        <v>12</v>
      </c>
      <c r="B17" s="16">
        <v>3042</v>
      </c>
      <c r="C17" s="16">
        <v>0</v>
      </c>
      <c r="D17" s="16">
        <v>0</v>
      </c>
      <c r="E17" s="16">
        <v>0</v>
      </c>
      <c r="F17" s="16">
        <v>0</v>
      </c>
      <c r="G17" s="16">
        <v>0</v>
      </c>
      <c r="H17" s="16">
        <v>0</v>
      </c>
      <c r="I17" s="16">
        <v>5330</v>
      </c>
      <c r="J17" s="16">
        <v>0</v>
      </c>
      <c r="K17" s="16">
        <v>118</v>
      </c>
      <c r="L17" s="16">
        <v>0</v>
      </c>
      <c r="M17" s="16">
        <v>0</v>
      </c>
      <c r="N17" s="16">
        <v>0</v>
      </c>
      <c r="O17" s="16">
        <v>0</v>
      </c>
      <c r="P17" s="16">
        <v>0</v>
      </c>
      <c r="Q17" s="16">
        <v>0</v>
      </c>
      <c r="R17" s="16">
        <v>0</v>
      </c>
      <c r="S17" s="16">
        <v>0</v>
      </c>
      <c r="T17" s="16">
        <v>0</v>
      </c>
      <c r="U17" s="16">
        <v>0</v>
      </c>
      <c r="V17" s="16">
        <v>0</v>
      </c>
      <c r="W17" s="16">
        <v>330</v>
      </c>
      <c r="X17" s="16">
        <v>395</v>
      </c>
      <c r="Y17" s="16">
        <v>42</v>
      </c>
      <c r="Z17" s="16">
        <v>374</v>
      </c>
      <c r="AA17" s="16"/>
      <c r="AB17" s="16"/>
      <c r="AC17" s="16"/>
      <c r="AD17" s="16"/>
      <c r="AE17" s="16"/>
      <c r="AF17" s="16"/>
      <c r="AG17" s="16"/>
      <c r="AH17" s="16"/>
      <c r="AI17" s="16"/>
      <c r="AJ17" s="16"/>
      <c r="AK17" s="16"/>
      <c r="AL17" s="16"/>
      <c r="AM17" s="16"/>
      <c r="AN17" s="16"/>
    </row>
    <row r="18" spans="1:40" s="26" customFormat="1" x14ac:dyDescent="0.25">
      <c r="A18" s="34" t="s">
        <v>13</v>
      </c>
      <c r="B18" s="16"/>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row>
    <row r="19" spans="1:40" s="26" customFormat="1" x14ac:dyDescent="0.25">
      <c r="A19" s="35" t="s">
        <v>14</v>
      </c>
      <c r="B19" s="19">
        <f>SUM(B11:B18)</f>
        <v>10607</v>
      </c>
      <c r="C19" s="19">
        <f>SUM(C11:C18)</f>
        <v>652</v>
      </c>
      <c r="D19" s="19">
        <f>SUM(D11:D18)</f>
        <v>0</v>
      </c>
      <c r="E19" s="19">
        <f>SUM(E11:E18)</f>
        <v>155</v>
      </c>
      <c r="F19" s="19">
        <f t="shared" ref="F19" si="5">SUM(F11:F18)</f>
        <v>232</v>
      </c>
      <c r="G19" s="19">
        <f>SUM(G11:G18)</f>
        <v>1187</v>
      </c>
      <c r="H19" s="19">
        <f>SUM(H11:H18)</f>
        <v>1219</v>
      </c>
      <c r="I19" s="19">
        <f t="shared" ref="I19:AF19" si="6">SUM(I11:I18)</f>
        <v>8510</v>
      </c>
      <c r="J19" s="19">
        <f t="shared" si="6"/>
        <v>25</v>
      </c>
      <c r="K19" s="19">
        <f t="shared" si="6"/>
        <v>1780</v>
      </c>
      <c r="L19" s="19">
        <f t="shared" si="6"/>
        <v>170</v>
      </c>
      <c r="M19" s="19">
        <f t="shared" si="6"/>
        <v>916</v>
      </c>
      <c r="N19" s="19">
        <f t="shared" si="6"/>
        <v>1521</v>
      </c>
      <c r="O19" s="19">
        <f t="shared" si="6"/>
        <v>2245</v>
      </c>
      <c r="P19" s="19">
        <f t="shared" si="6"/>
        <v>1138</v>
      </c>
      <c r="Q19" s="19">
        <f t="shared" si="6"/>
        <v>178</v>
      </c>
      <c r="R19" s="19">
        <f t="shared" si="6"/>
        <v>47398</v>
      </c>
      <c r="S19" s="19">
        <f t="shared" si="6"/>
        <v>127</v>
      </c>
      <c r="T19" s="19">
        <f>SUM(T11:T18)</f>
        <v>4513484</v>
      </c>
      <c r="U19" s="19">
        <f>SUM(U11:U18)</f>
        <v>5293940</v>
      </c>
      <c r="V19" s="19">
        <f t="shared" ref="V19:Z19" si="7">SUM(V11:V18)</f>
        <v>4633164</v>
      </c>
      <c r="W19" s="19">
        <f t="shared" si="7"/>
        <v>337</v>
      </c>
      <c r="X19" s="19">
        <f t="shared" si="7"/>
        <v>395</v>
      </c>
      <c r="Y19" s="19">
        <f t="shared" si="7"/>
        <v>42</v>
      </c>
      <c r="Z19" s="19">
        <f t="shared" si="7"/>
        <v>413</v>
      </c>
      <c r="AA19" s="19">
        <f t="shared" si="6"/>
        <v>6646</v>
      </c>
      <c r="AB19" s="19">
        <f t="shared" si="6"/>
        <v>334</v>
      </c>
      <c r="AC19" s="19">
        <f t="shared" si="6"/>
        <v>621</v>
      </c>
      <c r="AD19" s="19">
        <f t="shared" si="6"/>
        <v>420</v>
      </c>
      <c r="AE19" s="19">
        <f t="shared" si="6"/>
        <v>82</v>
      </c>
      <c r="AF19" s="19">
        <f t="shared" si="6"/>
        <v>2592</v>
      </c>
      <c r="AG19" s="19">
        <f t="shared" ref="AG19:AI19" si="8">SUM(AG11:AG18)</f>
        <v>8361</v>
      </c>
      <c r="AH19" s="19">
        <f t="shared" si="8"/>
        <v>2684</v>
      </c>
      <c r="AI19" s="19">
        <f t="shared" si="8"/>
        <v>3417</v>
      </c>
      <c r="AJ19" s="19">
        <f t="shared" ref="AJ19:AN19" si="9">SUM(AJ11:AJ18)</f>
        <v>4003</v>
      </c>
      <c r="AK19" s="19">
        <f t="shared" si="9"/>
        <v>0</v>
      </c>
      <c r="AL19" s="19">
        <f t="shared" si="9"/>
        <v>1807</v>
      </c>
      <c r="AM19" s="19">
        <f t="shared" si="9"/>
        <v>1707</v>
      </c>
      <c r="AN19" s="19">
        <f t="shared" si="9"/>
        <v>572</v>
      </c>
    </row>
    <row r="20" spans="1:40" s="26" customFormat="1" x14ac:dyDescent="0.25">
      <c r="A20" s="35" t="s">
        <v>15</v>
      </c>
      <c r="B20" s="19">
        <f>SUM(B10,B19)</f>
        <v>69420</v>
      </c>
      <c r="C20" s="19">
        <f>SUM(C10,C19)</f>
        <v>2452</v>
      </c>
      <c r="D20" s="19">
        <f>SUM(D10,D19)</f>
        <v>5408</v>
      </c>
      <c r="E20" s="19">
        <f>SUM(E10,E19)</f>
        <v>1021</v>
      </c>
      <c r="F20" s="19">
        <f t="shared" ref="F20" si="10">SUM(F10,F19)</f>
        <v>864</v>
      </c>
      <c r="G20" s="19">
        <f>SUM(G10,G19)</f>
        <v>3134</v>
      </c>
      <c r="H20" s="19">
        <f t="shared" ref="H20:AF20" si="11">SUM(H10,H19)</f>
        <v>10694</v>
      </c>
      <c r="I20" s="19">
        <f t="shared" si="11"/>
        <v>24774</v>
      </c>
      <c r="J20" s="19">
        <f t="shared" si="11"/>
        <v>2617</v>
      </c>
      <c r="K20" s="19">
        <f t="shared" si="11"/>
        <v>8747</v>
      </c>
      <c r="L20" s="19">
        <f t="shared" si="11"/>
        <v>750</v>
      </c>
      <c r="M20" s="19">
        <f t="shared" si="11"/>
        <v>2627</v>
      </c>
      <c r="N20" s="19">
        <f t="shared" si="11"/>
        <v>3865</v>
      </c>
      <c r="O20" s="19">
        <f t="shared" si="11"/>
        <v>6271</v>
      </c>
      <c r="P20" s="19">
        <f t="shared" si="11"/>
        <v>2983</v>
      </c>
      <c r="Q20" s="19">
        <f t="shared" si="11"/>
        <v>389</v>
      </c>
      <c r="R20" s="19">
        <f t="shared" si="11"/>
        <v>83413</v>
      </c>
      <c r="S20" s="19">
        <f t="shared" si="11"/>
        <v>761</v>
      </c>
      <c r="T20" s="19">
        <f>SUM(T10,T19)</f>
        <v>7649319</v>
      </c>
      <c r="U20" s="19">
        <f>SUM(U10,U19)</f>
        <v>11360313</v>
      </c>
      <c r="V20" s="19">
        <f t="shared" ref="V20:Z20" si="12">SUM(V10,V19)</f>
        <v>9442506</v>
      </c>
      <c r="W20" s="19">
        <f t="shared" si="12"/>
        <v>1563</v>
      </c>
      <c r="X20" s="19">
        <f t="shared" si="12"/>
        <v>2420</v>
      </c>
      <c r="Y20" s="19">
        <f t="shared" si="12"/>
        <v>777</v>
      </c>
      <c r="Z20" s="19">
        <f t="shared" si="12"/>
        <v>1303</v>
      </c>
      <c r="AA20" s="19">
        <f t="shared" si="11"/>
        <v>19978</v>
      </c>
      <c r="AB20" s="19">
        <f t="shared" si="11"/>
        <v>1036</v>
      </c>
      <c r="AC20" s="19">
        <f t="shared" si="11"/>
        <v>1108</v>
      </c>
      <c r="AD20" s="19">
        <f t="shared" si="11"/>
        <v>945</v>
      </c>
      <c r="AE20" s="19">
        <f t="shared" si="11"/>
        <v>248</v>
      </c>
      <c r="AF20" s="19">
        <f t="shared" si="11"/>
        <v>9340</v>
      </c>
      <c r="AG20" s="19">
        <f t="shared" ref="AG20:AI20" si="13">SUM(AG10,AG19)</f>
        <v>41452</v>
      </c>
      <c r="AH20" s="19">
        <f t="shared" si="13"/>
        <v>6312</v>
      </c>
      <c r="AI20" s="19">
        <f t="shared" si="13"/>
        <v>15248</v>
      </c>
      <c r="AJ20" s="19">
        <f t="shared" ref="AJ20:AN20" si="14">SUM(AJ10,AJ19)</f>
        <v>18004</v>
      </c>
      <c r="AK20" s="19">
        <f t="shared" si="14"/>
        <v>5201</v>
      </c>
      <c r="AL20" s="19">
        <f t="shared" si="14"/>
        <v>18287</v>
      </c>
      <c r="AM20" s="19">
        <f t="shared" si="14"/>
        <v>15960</v>
      </c>
      <c r="AN20" s="19">
        <f t="shared" si="14"/>
        <v>40243</v>
      </c>
    </row>
    <row r="21" spans="1:40" x14ac:dyDescent="0.25">
      <c r="AD21" s="5"/>
      <c r="AE21" s="5"/>
      <c r="AF21" s="5"/>
    </row>
    <row r="22" spans="1:40"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row>
    <row r="23" spans="1:40"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row>
    <row r="24" spans="1:40"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row>
    <row r="25" spans="1:40"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row>
    <row r="26" spans="1:40" x14ac:dyDescent="0.25">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row>
    <row r="27" spans="1:40" x14ac:dyDescent="0.25">
      <c r="AB27" s="44"/>
      <c r="AC27" s="44"/>
      <c r="AD27" s="44"/>
      <c r="AE27" s="44"/>
      <c r="AF27" s="44"/>
      <c r="AG27" s="44"/>
      <c r="AH27" s="44"/>
      <c r="AI27" s="44"/>
    </row>
  </sheetData>
  <sheetProtection formatCells="0" formatColumns="0" formatRows="0" insertColumns="0" insertRows="0" sort="0" autoFilter="0" pivotTables="0"/>
  <dataValidations count="1">
    <dataValidation type="list" errorStyle="information" allowBlank="1" showInputMessage="1" showErrorMessage="1" sqref="B1:AN1" xr:uid="{B9CC8B51-7DCC-48A5-B93D-249B31777B1F}">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723F843-829F-4415-ADE0-C992DD27CF02}">
          <x14:formula1>
            <xm:f>'Term List'!$A2:$A242</xm:f>
          </x14:formula1>
          <xm:sqref>AO1:XFD1</xm:sqref>
        </x14:dataValidation>
      </x14:dataValidations>
    </ext>
  </extLs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FDCFE-C698-44AA-B4B7-92FC2868A81B}">
  <sheetPr codeName="Sheet53"/>
  <dimension ref="A1:T25"/>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5.5703125" style="5" customWidth="1"/>
    <col min="11" max="11" width="15" style="5" customWidth="1"/>
    <col min="12" max="12" width="17.140625" style="5" customWidth="1"/>
    <col min="13" max="13" width="16.5703125" style="5" customWidth="1"/>
    <col min="14" max="20" width="14.42578125" style="5" customWidth="1"/>
    <col min="21" max="16384" width="9.140625" style="3"/>
  </cols>
  <sheetData>
    <row r="1" spans="1:20" s="14" customFormat="1" ht="30" x14ac:dyDescent="0.25">
      <c r="A1" s="36" t="s">
        <v>409</v>
      </c>
      <c r="B1" s="36" t="s">
        <v>155</v>
      </c>
      <c r="C1" s="36" t="s">
        <v>156</v>
      </c>
      <c r="D1" s="36" t="s">
        <v>154</v>
      </c>
      <c r="E1" s="36" t="s">
        <v>150</v>
      </c>
      <c r="F1" s="36" t="s">
        <v>148</v>
      </c>
      <c r="G1" s="36" t="s">
        <v>147</v>
      </c>
      <c r="H1" s="36" t="s">
        <v>314</v>
      </c>
      <c r="I1" s="36" t="s">
        <v>139</v>
      </c>
      <c r="J1" s="36" t="s">
        <v>132</v>
      </c>
      <c r="K1" s="36" t="s">
        <v>130</v>
      </c>
      <c r="L1" s="36" t="s">
        <v>144</v>
      </c>
      <c r="M1" s="36" t="s">
        <v>142</v>
      </c>
      <c r="N1" s="36" t="s">
        <v>124</v>
      </c>
      <c r="O1" s="31"/>
      <c r="P1" s="31"/>
      <c r="Q1" s="31"/>
      <c r="R1" s="31"/>
      <c r="S1" s="31"/>
      <c r="T1" s="31"/>
    </row>
    <row r="2" spans="1:20" s="26" customFormat="1" x14ac:dyDescent="0.25">
      <c r="A2" s="34" t="s">
        <v>0</v>
      </c>
      <c r="B2" s="16">
        <v>26921</v>
      </c>
      <c r="C2" s="17">
        <v>2067</v>
      </c>
      <c r="D2" s="17">
        <v>444</v>
      </c>
      <c r="E2" s="17">
        <v>6629</v>
      </c>
      <c r="F2" s="17">
        <v>519</v>
      </c>
      <c r="G2" s="17">
        <v>0</v>
      </c>
      <c r="H2" s="17">
        <v>0</v>
      </c>
      <c r="I2" s="17">
        <v>2</v>
      </c>
      <c r="J2" s="17">
        <v>528</v>
      </c>
      <c r="K2" s="17">
        <v>169</v>
      </c>
      <c r="L2" s="17">
        <v>404</v>
      </c>
      <c r="M2" s="17">
        <v>2764</v>
      </c>
      <c r="N2" s="17">
        <v>6708034</v>
      </c>
      <c r="O2" s="17"/>
      <c r="P2" s="17"/>
      <c r="Q2" s="17"/>
      <c r="R2" s="17"/>
      <c r="S2" s="17"/>
      <c r="T2" s="17"/>
    </row>
    <row r="3" spans="1:20" s="26" customFormat="1" x14ac:dyDescent="0.25">
      <c r="A3" s="34" t="s">
        <v>1</v>
      </c>
      <c r="B3" s="16">
        <v>1424</v>
      </c>
      <c r="C3" s="17">
        <v>281</v>
      </c>
      <c r="D3" s="17">
        <v>82</v>
      </c>
      <c r="E3" s="17">
        <v>375</v>
      </c>
      <c r="F3" s="17">
        <v>218</v>
      </c>
      <c r="G3" s="17">
        <v>0</v>
      </c>
      <c r="H3" s="17">
        <v>0</v>
      </c>
      <c r="I3" s="17">
        <v>4</v>
      </c>
      <c r="J3" s="17">
        <v>367</v>
      </c>
      <c r="K3" s="17">
        <v>0</v>
      </c>
      <c r="L3" s="17">
        <v>53</v>
      </c>
      <c r="M3" s="17">
        <v>414</v>
      </c>
      <c r="N3" s="17">
        <v>142444</v>
      </c>
      <c r="O3" s="17"/>
      <c r="P3" s="17"/>
      <c r="Q3" s="17"/>
      <c r="R3" s="17"/>
      <c r="S3" s="17"/>
      <c r="T3" s="17"/>
    </row>
    <row r="4" spans="1:20" s="26" customFormat="1" x14ac:dyDescent="0.25">
      <c r="A4" s="34" t="s">
        <v>169</v>
      </c>
      <c r="B4" s="16"/>
      <c r="C4" s="17"/>
      <c r="D4" s="17"/>
      <c r="E4" s="17"/>
      <c r="F4" s="17"/>
      <c r="G4" s="17"/>
      <c r="H4" s="17"/>
      <c r="I4" s="17"/>
      <c r="J4" s="17"/>
      <c r="K4" s="17"/>
      <c r="L4" s="17"/>
      <c r="M4" s="17"/>
      <c r="N4" s="17"/>
      <c r="O4" s="17"/>
      <c r="P4" s="17"/>
      <c r="Q4" s="17"/>
      <c r="R4" s="17"/>
      <c r="S4" s="17"/>
      <c r="T4" s="17"/>
    </row>
    <row r="5" spans="1:20" s="26" customFormat="1" x14ac:dyDescent="0.25">
      <c r="A5" s="34" t="s">
        <v>2</v>
      </c>
      <c r="B5" s="16"/>
      <c r="C5" s="17"/>
      <c r="D5" s="17"/>
      <c r="E5" s="17"/>
      <c r="F5" s="17"/>
      <c r="G5" s="17"/>
      <c r="H5" s="17"/>
      <c r="I5" s="17"/>
      <c r="J5" s="17"/>
      <c r="K5" s="17"/>
      <c r="L5" s="17"/>
      <c r="M5" s="17"/>
      <c r="N5" s="17"/>
      <c r="O5" s="17"/>
      <c r="P5" s="17"/>
      <c r="Q5" s="17"/>
      <c r="R5" s="17"/>
      <c r="S5" s="17"/>
      <c r="T5" s="17"/>
    </row>
    <row r="6" spans="1:20" s="26" customFormat="1" x14ac:dyDescent="0.25">
      <c r="A6" s="34" t="s">
        <v>3</v>
      </c>
      <c r="B6" s="16">
        <v>879</v>
      </c>
      <c r="C6" s="17">
        <v>95</v>
      </c>
      <c r="D6" s="17">
        <v>1565</v>
      </c>
      <c r="E6" s="17">
        <v>3102</v>
      </c>
      <c r="F6" s="17">
        <v>223</v>
      </c>
      <c r="G6" s="17">
        <v>0</v>
      </c>
      <c r="H6" s="17">
        <v>30</v>
      </c>
      <c r="I6" s="17">
        <v>1</v>
      </c>
      <c r="J6" s="17">
        <v>41</v>
      </c>
      <c r="K6" s="17">
        <v>20</v>
      </c>
      <c r="L6" s="17">
        <v>91</v>
      </c>
      <c r="M6" s="17">
        <v>402</v>
      </c>
      <c r="N6" s="17">
        <v>299120</v>
      </c>
      <c r="O6" s="17"/>
      <c r="P6" s="17"/>
      <c r="Q6" s="17"/>
      <c r="R6" s="17"/>
      <c r="S6" s="17"/>
      <c r="T6" s="17"/>
    </row>
    <row r="7" spans="1:20" s="26" customFormat="1" x14ac:dyDescent="0.25">
      <c r="A7" s="34" t="s">
        <v>4</v>
      </c>
      <c r="B7" s="16">
        <v>0</v>
      </c>
      <c r="C7" s="17">
        <v>15</v>
      </c>
      <c r="D7" s="17">
        <v>0</v>
      </c>
      <c r="E7" s="17">
        <v>11</v>
      </c>
      <c r="F7" s="17">
        <v>0</v>
      </c>
      <c r="G7" s="17">
        <v>0</v>
      </c>
      <c r="H7" s="17">
        <v>0</v>
      </c>
      <c r="I7" s="17">
        <v>0</v>
      </c>
      <c r="J7" s="17">
        <v>0</v>
      </c>
      <c r="K7" s="17">
        <v>0</v>
      </c>
      <c r="L7" s="17">
        <v>0</v>
      </c>
      <c r="M7" s="17">
        <v>40</v>
      </c>
      <c r="N7" s="17">
        <v>816</v>
      </c>
      <c r="O7" s="17"/>
      <c r="P7" s="17"/>
      <c r="Q7" s="17"/>
      <c r="R7" s="17"/>
      <c r="S7" s="17"/>
      <c r="T7" s="17"/>
    </row>
    <row r="8" spans="1:20" s="26" customFormat="1" x14ac:dyDescent="0.25">
      <c r="A8" s="34" t="s">
        <v>5</v>
      </c>
      <c r="B8" s="16">
        <v>0</v>
      </c>
      <c r="C8" s="17">
        <v>0</v>
      </c>
      <c r="D8" s="17">
        <v>0</v>
      </c>
      <c r="E8" s="17">
        <v>540</v>
      </c>
      <c r="F8" s="17">
        <v>47</v>
      </c>
      <c r="G8" s="17">
        <v>602</v>
      </c>
      <c r="H8" s="17">
        <v>1528</v>
      </c>
      <c r="I8" s="17">
        <v>0</v>
      </c>
      <c r="J8" s="17">
        <v>0</v>
      </c>
      <c r="K8" s="17">
        <v>0</v>
      </c>
      <c r="L8" s="17">
        <v>0</v>
      </c>
      <c r="M8" s="17">
        <v>0</v>
      </c>
      <c r="N8" s="17">
        <v>0</v>
      </c>
      <c r="O8" s="17"/>
      <c r="P8" s="17"/>
      <c r="Q8" s="17"/>
      <c r="R8" s="17"/>
      <c r="S8" s="17"/>
      <c r="T8" s="17"/>
    </row>
    <row r="9" spans="1:20" s="26" customFormat="1" x14ac:dyDescent="0.25">
      <c r="A9" s="34" t="s">
        <v>6</v>
      </c>
      <c r="B9" s="16"/>
      <c r="C9" s="17"/>
      <c r="D9" s="17"/>
      <c r="E9" s="17"/>
      <c r="F9" s="17"/>
      <c r="G9" s="17"/>
      <c r="H9" s="17"/>
      <c r="I9" s="17"/>
      <c r="J9" s="17"/>
      <c r="K9" s="17"/>
      <c r="L9" s="17"/>
      <c r="M9" s="17"/>
      <c r="N9" s="17"/>
      <c r="O9" s="17"/>
      <c r="P9" s="17"/>
      <c r="Q9" s="17"/>
      <c r="R9" s="17"/>
      <c r="S9" s="17"/>
      <c r="T9" s="17"/>
    </row>
    <row r="10" spans="1:20" s="26" customFormat="1" x14ac:dyDescent="0.25">
      <c r="A10" s="35" t="s">
        <v>7</v>
      </c>
      <c r="B10" s="19">
        <f>SUM(B2:B9)</f>
        <v>29224</v>
      </c>
      <c r="C10" s="19">
        <f t="shared" ref="C10:T10" si="0">SUM(C2:C9)</f>
        <v>2458</v>
      </c>
      <c r="D10" s="19">
        <f t="shared" si="0"/>
        <v>2091</v>
      </c>
      <c r="E10" s="19">
        <f t="shared" si="0"/>
        <v>10657</v>
      </c>
      <c r="F10" s="19">
        <f t="shared" si="0"/>
        <v>1007</v>
      </c>
      <c r="G10" s="19">
        <f t="shared" si="0"/>
        <v>602</v>
      </c>
      <c r="H10" s="19">
        <f t="shared" si="0"/>
        <v>1558</v>
      </c>
      <c r="I10" s="19">
        <f t="shared" si="0"/>
        <v>7</v>
      </c>
      <c r="J10" s="19">
        <f>SUM(J2:J9)</f>
        <v>936</v>
      </c>
      <c r="K10" s="19">
        <f t="shared" si="0"/>
        <v>189</v>
      </c>
      <c r="L10" s="19">
        <f>SUM(L2:L9)</f>
        <v>548</v>
      </c>
      <c r="M10" s="19">
        <f t="shared" si="0"/>
        <v>3620</v>
      </c>
      <c r="N10" s="19">
        <f t="shared" si="0"/>
        <v>7150414</v>
      </c>
      <c r="O10" s="19">
        <f t="shared" si="0"/>
        <v>0</v>
      </c>
      <c r="P10" s="19">
        <f t="shared" si="0"/>
        <v>0</v>
      </c>
      <c r="Q10" s="19">
        <f t="shared" si="0"/>
        <v>0</v>
      </c>
      <c r="R10" s="19">
        <f t="shared" si="0"/>
        <v>0</v>
      </c>
      <c r="S10" s="19">
        <f t="shared" si="0"/>
        <v>0</v>
      </c>
      <c r="T10" s="19">
        <f t="shared" si="0"/>
        <v>0</v>
      </c>
    </row>
    <row r="11" spans="1:20" s="26" customFormat="1" x14ac:dyDescent="0.25">
      <c r="A11" s="34" t="s">
        <v>8</v>
      </c>
      <c r="B11" s="16">
        <v>78274</v>
      </c>
      <c r="C11" s="16">
        <v>8709</v>
      </c>
      <c r="D11" s="16">
        <v>970</v>
      </c>
      <c r="E11" s="16">
        <v>26393</v>
      </c>
      <c r="F11" s="16">
        <v>669</v>
      </c>
      <c r="G11" s="16">
        <v>0</v>
      </c>
      <c r="H11" s="16">
        <v>0</v>
      </c>
      <c r="I11" s="16">
        <v>77</v>
      </c>
      <c r="J11" s="16">
        <v>776</v>
      </c>
      <c r="K11" s="16">
        <v>520</v>
      </c>
      <c r="L11" s="16">
        <v>205</v>
      </c>
      <c r="M11" s="16">
        <v>18632</v>
      </c>
      <c r="N11" s="16">
        <v>6845333</v>
      </c>
      <c r="O11" s="16"/>
      <c r="P11" s="16"/>
      <c r="Q11" s="16"/>
      <c r="R11" s="16"/>
      <c r="S11" s="16"/>
      <c r="T11" s="16"/>
    </row>
    <row r="12" spans="1:20" s="26" customFormat="1" x14ac:dyDescent="0.25">
      <c r="A12" s="34" t="s">
        <v>9</v>
      </c>
      <c r="B12" s="16">
        <v>72</v>
      </c>
      <c r="C12" s="16">
        <v>16</v>
      </c>
      <c r="D12" s="16">
        <v>1</v>
      </c>
      <c r="E12" s="16">
        <v>51</v>
      </c>
      <c r="F12" s="16">
        <v>1</v>
      </c>
      <c r="G12" s="16">
        <v>0</v>
      </c>
      <c r="H12" s="16">
        <v>0</v>
      </c>
      <c r="I12" s="16">
        <v>30</v>
      </c>
      <c r="J12" s="16">
        <v>0</v>
      </c>
      <c r="K12" s="16">
        <v>0</v>
      </c>
      <c r="L12" s="16">
        <v>0</v>
      </c>
      <c r="M12" s="16">
        <v>200</v>
      </c>
      <c r="N12" s="16">
        <v>22263</v>
      </c>
      <c r="O12" s="16"/>
      <c r="P12" s="16"/>
      <c r="Q12" s="16"/>
      <c r="R12" s="16"/>
      <c r="S12" s="16"/>
      <c r="T12" s="16"/>
    </row>
    <row r="13" spans="1:20" s="26" customFormat="1" x14ac:dyDescent="0.25">
      <c r="A13" s="34" t="s">
        <v>164</v>
      </c>
      <c r="B13" s="16"/>
      <c r="C13" s="16"/>
      <c r="D13" s="16"/>
      <c r="E13" s="16"/>
      <c r="F13" s="16"/>
      <c r="G13" s="16"/>
      <c r="H13" s="16"/>
      <c r="I13" s="16"/>
      <c r="J13" s="16"/>
      <c r="K13" s="16"/>
      <c r="L13" s="16"/>
      <c r="M13" s="16"/>
      <c r="N13" s="16"/>
      <c r="O13" s="16"/>
      <c r="P13" s="16"/>
      <c r="Q13" s="16"/>
      <c r="R13" s="16"/>
      <c r="S13" s="16"/>
      <c r="T13" s="16"/>
    </row>
    <row r="14" spans="1:20" s="26" customFormat="1" x14ac:dyDescent="0.25">
      <c r="A14" s="34" t="s">
        <v>10</v>
      </c>
      <c r="B14" s="16">
        <v>735</v>
      </c>
      <c r="C14" s="16">
        <v>267</v>
      </c>
      <c r="D14" s="16">
        <v>182</v>
      </c>
      <c r="E14" s="16">
        <v>6831</v>
      </c>
      <c r="F14" s="16">
        <v>16</v>
      </c>
      <c r="G14" s="16">
        <v>0</v>
      </c>
      <c r="H14" s="16">
        <v>0</v>
      </c>
      <c r="I14" s="16">
        <v>139</v>
      </c>
      <c r="J14" s="16">
        <v>2</v>
      </c>
      <c r="K14" s="16">
        <v>9</v>
      </c>
      <c r="L14" s="16">
        <v>129</v>
      </c>
      <c r="M14" s="16">
        <v>2048</v>
      </c>
      <c r="N14" s="16">
        <v>73973</v>
      </c>
      <c r="O14" s="16"/>
      <c r="P14" s="16"/>
      <c r="Q14" s="16"/>
      <c r="R14" s="16"/>
      <c r="S14" s="16"/>
      <c r="T14" s="16"/>
    </row>
    <row r="15" spans="1:20" s="26" customFormat="1" x14ac:dyDescent="0.25">
      <c r="A15" s="34" t="s">
        <v>11</v>
      </c>
      <c r="B15" s="16">
        <v>0</v>
      </c>
      <c r="C15" s="16">
        <v>0</v>
      </c>
      <c r="D15" s="16">
        <v>0</v>
      </c>
      <c r="E15" s="16">
        <v>0</v>
      </c>
      <c r="F15" s="16">
        <v>0</v>
      </c>
      <c r="G15" s="16">
        <v>0</v>
      </c>
      <c r="H15" s="16">
        <v>0</v>
      </c>
      <c r="I15" s="16">
        <v>0</v>
      </c>
      <c r="J15" s="16">
        <v>0</v>
      </c>
      <c r="K15" s="16">
        <v>0</v>
      </c>
      <c r="L15" s="16">
        <v>0</v>
      </c>
      <c r="M15" s="16">
        <v>0</v>
      </c>
      <c r="N15" s="16">
        <v>0</v>
      </c>
      <c r="O15" s="16"/>
      <c r="P15" s="16"/>
      <c r="Q15" s="16"/>
      <c r="R15" s="16"/>
      <c r="S15" s="16"/>
      <c r="T15" s="16"/>
    </row>
    <row r="16" spans="1:20" s="26" customFormat="1" x14ac:dyDescent="0.25">
      <c r="A16" s="34" t="s">
        <v>12</v>
      </c>
      <c r="B16" s="16">
        <v>0</v>
      </c>
      <c r="C16" s="16">
        <v>0</v>
      </c>
      <c r="D16" s="16">
        <v>0</v>
      </c>
      <c r="E16" s="16">
        <v>14</v>
      </c>
      <c r="F16" s="16">
        <v>2</v>
      </c>
      <c r="G16" s="16">
        <v>0</v>
      </c>
      <c r="H16" s="16">
        <v>0</v>
      </c>
      <c r="I16" s="16">
        <v>0</v>
      </c>
      <c r="J16" s="16">
        <v>0</v>
      </c>
      <c r="K16" s="16">
        <v>0</v>
      </c>
      <c r="L16" s="16">
        <v>0</v>
      </c>
      <c r="M16" s="16">
        <v>0</v>
      </c>
      <c r="N16" s="16">
        <v>0</v>
      </c>
      <c r="O16" s="16"/>
      <c r="P16" s="16"/>
      <c r="Q16" s="16"/>
      <c r="R16" s="16"/>
      <c r="S16" s="16"/>
      <c r="T16" s="16"/>
    </row>
    <row r="17" spans="1:20" s="26" customFormat="1" x14ac:dyDescent="0.25">
      <c r="A17" s="34" t="s">
        <v>13</v>
      </c>
      <c r="B17" s="16"/>
      <c r="C17" s="16"/>
      <c r="D17" s="16"/>
      <c r="E17" s="16"/>
      <c r="F17" s="16"/>
      <c r="G17" s="16"/>
      <c r="H17" s="16"/>
      <c r="I17" s="16"/>
      <c r="J17" s="16"/>
      <c r="K17" s="16"/>
      <c r="L17" s="16"/>
      <c r="M17" s="16"/>
      <c r="N17" s="16"/>
      <c r="O17" s="16"/>
      <c r="P17" s="16"/>
      <c r="Q17" s="16"/>
      <c r="R17" s="16"/>
      <c r="S17" s="16"/>
      <c r="T17" s="16"/>
    </row>
    <row r="18" spans="1:20" s="26" customFormat="1" x14ac:dyDescent="0.25">
      <c r="A18" s="35" t="s">
        <v>14</v>
      </c>
      <c r="B18" s="19">
        <f>SUM(B11:B17)</f>
        <v>79081</v>
      </c>
      <c r="C18" s="19">
        <f t="shared" ref="C18:T18" si="1">SUM(C11:C17)</f>
        <v>8992</v>
      </c>
      <c r="D18" s="19">
        <f t="shared" si="1"/>
        <v>1153</v>
      </c>
      <c r="E18" s="19">
        <f t="shared" si="1"/>
        <v>33289</v>
      </c>
      <c r="F18" s="19">
        <f t="shared" si="1"/>
        <v>688</v>
      </c>
      <c r="G18" s="19">
        <f t="shared" si="1"/>
        <v>0</v>
      </c>
      <c r="H18" s="19">
        <f t="shared" si="1"/>
        <v>0</v>
      </c>
      <c r="I18" s="19">
        <f t="shared" si="1"/>
        <v>246</v>
      </c>
      <c r="J18" s="19">
        <f>SUM(J11:J17)</f>
        <v>778</v>
      </c>
      <c r="K18" s="19">
        <f t="shared" si="1"/>
        <v>529</v>
      </c>
      <c r="L18" s="19">
        <f>SUM(L11:L17)</f>
        <v>334</v>
      </c>
      <c r="M18" s="19">
        <f t="shared" si="1"/>
        <v>20880</v>
      </c>
      <c r="N18" s="19">
        <f t="shared" si="1"/>
        <v>6941569</v>
      </c>
      <c r="O18" s="19">
        <f t="shared" si="1"/>
        <v>0</v>
      </c>
      <c r="P18" s="19">
        <f t="shared" si="1"/>
        <v>0</v>
      </c>
      <c r="Q18" s="19">
        <f t="shared" si="1"/>
        <v>0</v>
      </c>
      <c r="R18" s="19">
        <f t="shared" si="1"/>
        <v>0</v>
      </c>
      <c r="S18" s="19">
        <f t="shared" si="1"/>
        <v>0</v>
      </c>
      <c r="T18" s="19">
        <f t="shared" si="1"/>
        <v>0</v>
      </c>
    </row>
    <row r="19" spans="1:20" s="26" customFormat="1" x14ac:dyDescent="0.25">
      <c r="A19" s="35" t="s">
        <v>15</v>
      </c>
      <c r="B19" s="19">
        <f>SUM(B10,B18)</f>
        <v>108305</v>
      </c>
      <c r="C19" s="19">
        <f t="shared" ref="C19:T19" si="2">SUM(C10,C18)</f>
        <v>11450</v>
      </c>
      <c r="D19" s="19">
        <f t="shared" si="2"/>
        <v>3244</v>
      </c>
      <c r="E19" s="19">
        <f t="shared" si="2"/>
        <v>43946</v>
      </c>
      <c r="F19" s="19">
        <f t="shared" si="2"/>
        <v>1695</v>
      </c>
      <c r="G19" s="19">
        <f t="shared" si="2"/>
        <v>602</v>
      </c>
      <c r="H19" s="19">
        <f t="shared" si="2"/>
        <v>1558</v>
      </c>
      <c r="I19" s="19">
        <f t="shared" si="2"/>
        <v>253</v>
      </c>
      <c r="J19" s="19">
        <f>SUM(J10,J18)</f>
        <v>1714</v>
      </c>
      <c r="K19" s="19">
        <f t="shared" si="2"/>
        <v>718</v>
      </c>
      <c r="L19" s="19">
        <f>SUM(L10,L18)</f>
        <v>882</v>
      </c>
      <c r="M19" s="19">
        <f t="shared" si="2"/>
        <v>24500</v>
      </c>
      <c r="N19" s="19">
        <f t="shared" si="2"/>
        <v>14091983</v>
      </c>
      <c r="O19" s="19">
        <f t="shared" si="2"/>
        <v>0</v>
      </c>
      <c r="P19" s="19">
        <f t="shared" si="2"/>
        <v>0</v>
      </c>
      <c r="Q19" s="19">
        <f t="shared" si="2"/>
        <v>0</v>
      </c>
      <c r="R19" s="19">
        <f t="shared" si="2"/>
        <v>0</v>
      </c>
      <c r="S19" s="19">
        <f t="shared" si="2"/>
        <v>0</v>
      </c>
      <c r="T19" s="19">
        <f t="shared" si="2"/>
        <v>0</v>
      </c>
    </row>
    <row r="21" spans="1:20" x14ac:dyDescent="0.25">
      <c r="B21" s="44"/>
      <c r="C21" s="44"/>
      <c r="D21" s="44"/>
      <c r="E21" s="44"/>
      <c r="F21" s="44"/>
      <c r="G21" s="44"/>
      <c r="H21" s="44"/>
      <c r="I21" s="44"/>
      <c r="J21" s="44"/>
      <c r="K21" s="44"/>
      <c r="L21" s="44"/>
      <c r="M21" s="44"/>
      <c r="N21" s="44"/>
      <c r="O21" s="44"/>
      <c r="P21" s="44"/>
      <c r="Q21" s="44"/>
      <c r="R21" s="44"/>
      <c r="S21" s="44"/>
      <c r="T21" s="44"/>
    </row>
    <row r="23" spans="1:20" x14ac:dyDescent="0.25">
      <c r="B23" s="44"/>
      <c r="C23" s="44"/>
      <c r="D23" s="44"/>
      <c r="E23" s="44"/>
      <c r="F23" s="44"/>
      <c r="G23" s="44"/>
      <c r="H23" s="44"/>
      <c r="I23" s="44"/>
      <c r="J23" s="44"/>
      <c r="K23" s="44"/>
      <c r="L23" s="44"/>
      <c r="M23" s="44"/>
      <c r="N23" s="44"/>
      <c r="O23" s="44"/>
      <c r="P23" s="44"/>
      <c r="Q23" s="44"/>
      <c r="R23" s="44"/>
      <c r="S23" s="44"/>
      <c r="T23" s="44"/>
    </row>
    <row r="25" spans="1:20" x14ac:dyDescent="0.25">
      <c r="B25" s="44"/>
      <c r="C25" s="44"/>
      <c r="D25" s="44"/>
      <c r="E25" s="44"/>
      <c r="F25" s="44"/>
      <c r="G25" s="44"/>
      <c r="H25" s="44"/>
      <c r="I25" s="44"/>
      <c r="J25" s="44"/>
      <c r="K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T1" xr:uid="{3F1CD004-BC65-4FB7-A417-4529D8C177E8}">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E8135BA1-C303-4717-B83C-CDE54AE0D819}">
          <x14:formula1>
            <xm:f>'Term List'!$A2:$A242</xm:f>
          </x14:formula1>
          <xm:sqref>U1:XFD1</xm:sqref>
        </x14:dataValidation>
      </x14:dataValidations>
    </ext>
  </extLs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2716E-5B43-4B29-95FC-8A0D9DAD3D2F}">
  <sheetPr codeName="Sheet52"/>
  <dimension ref="A1:AF25"/>
  <sheetViews>
    <sheetView workbookViewId="0">
      <pane xSplit="1" ySplit="1" topLeftCell="B2" activePane="bottomRight" state="frozen"/>
      <selection activeCell="E23" sqref="E23"/>
      <selection pane="topRight" activeCell="E23" sqref="E23"/>
      <selection pane="bottomLeft" activeCell="E23" sqref="E23"/>
      <selection pane="bottomRight" activeCell="G25" sqref="G25"/>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1.7109375" style="5" customWidth="1"/>
    <col min="11" max="11" width="23.85546875" style="5" customWidth="1"/>
    <col min="12" max="12" width="25.85546875" style="3" customWidth="1"/>
    <col min="13" max="13" width="23.7109375" style="3" customWidth="1"/>
    <col min="14" max="14" width="21.140625" style="5" customWidth="1"/>
    <col min="15" max="15" width="16.28515625" style="5" customWidth="1"/>
    <col min="16" max="16" width="17" style="5" customWidth="1"/>
    <col min="17" max="17" width="21.140625" style="3" customWidth="1"/>
    <col min="18" max="18" width="21.28515625" style="5" customWidth="1"/>
    <col min="19" max="19" width="18.28515625" style="5" customWidth="1"/>
    <col min="20" max="20" width="20.140625" style="3" customWidth="1"/>
    <col min="21" max="22" width="15.85546875" style="3" customWidth="1"/>
    <col min="23" max="23" width="18.28515625" style="3" customWidth="1"/>
    <col min="24" max="24" width="17.85546875" style="3" customWidth="1"/>
    <col min="25" max="25" width="17.28515625" style="3" customWidth="1"/>
    <col min="26" max="26" width="17.5703125" style="3" customWidth="1"/>
    <col min="27" max="27" width="15.85546875" style="3" customWidth="1"/>
    <col min="28" max="29" width="16.28515625" style="5" customWidth="1"/>
    <col min="30" max="32" width="16.28515625" style="3" customWidth="1"/>
    <col min="33" max="16384" width="9.140625" style="3"/>
  </cols>
  <sheetData>
    <row r="1" spans="1:32" s="40" customFormat="1" ht="30" x14ac:dyDescent="0.25">
      <c r="A1" s="36" t="s">
        <v>408</v>
      </c>
      <c r="B1" s="36" t="s">
        <v>62</v>
      </c>
      <c r="C1" s="36" t="s">
        <v>36</v>
      </c>
      <c r="D1" s="36" t="s">
        <v>35</v>
      </c>
      <c r="E1" s="36" t="s">
        <v>39</v>
      </c>
      <c r="F1" s="36" t="s">
        <v>99</v>
      </c>
      <c r="G1" s="36" t="s">
        <v>95</v>
      </c>
      <c r="H1" s="36" t="s">
        <v>94</v>
      </c>
      <c r="I1" s="36" t="s">
        <v>386</v>
      </c>
      <c r="J1" s="36" t="s">
        <v>387</v>
      </c>
      <c r="K1" s="36" t="s">
        <v>388</v>
      </c>
      <c r="L1" s="36" t="s">
        <v>383</v>
      </c>
      <c r="M1" s="36" t="s">
        <v>384</v>
      </c>
      <c r="N1" s="36" t="s">
        <v>570</v>
      </c>
      <c r="O1" s="36" t="s">
        <v>571</v>
      </c>
      <c r="P1" s="36" t="s">
        <v>572</v>
      </c>
      <c r="Q1" s="36" t="s">
        <v>566</v>
      </c>
      <c r="R1" s="36" t="s">
        <v>567</v>
      </c>
      <c r="S1" s="36" t="s">
        <v>568</v>
      </c>
      <c r="T1" s="36" t="s">
        <v>107</v>
      </c>
      <c r="U1" s="36" t="s">
        <v>101</v>
      </c>
      <c r="V1" s="36" t="s">
        <v>75</v>
      </c>
      <c r="W1" s="36" t="s">
        <v>330</v>
      </c>
      <c r="X1" s="36" t="s">
        <v>331</v>
      </c>
      <c r="Y1" s="36" t="s">
        <v>332</v>
      </c>
      <c r="Z1" s="36" t="s">
        <v>333</v>
      </c>
      <c r="AA1" s="31"/>
      <c r="AB1" s="31"/>
      <c r="AC1" s="31"/>
      <c r="AD1" s="31"/>
      <c r="AE1" s="31"/>
      <c r="AF1" s="31"/>
    </row>
    <row r="2" spans="1:32"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row>
    <row r="3" spans="1:32"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row>
    <row r="4" spans="1:32" s="26" customFormat="1" x14ac:dyDescent="0.25">
      <c r="A4" s="34" t="s">
        <v>169</v>
      </c>
      <c r="B4" s="16">
        <v>15766</v>
      </c>
      <c r="C4" s="16">
        <v>1022</v>
      </c>
      <c r="D4" s="16">
        <v>4473</v>
      </c>
      <c r="E4" s="16">
        <v>0</v>
      </c>
      <c r="F4" s="16">
        <v>0</v>
      </c>
      <c r="G4" s="16">
        <v>403</v>
      </c>
      <c r="H4" s="16">
        <v>5326</v>
      </c>
      <c r="I4" s="16">
        <v>0</v>
      </c>
      <c r="J4" s="16">
        <v>0</v>
      </c>
      <c r="K4" s="16">
        <v>0</v>
      </c>
      <c r="L4" s="16">
        <v>0</v>
      </c>
      <c r="M4" s="16">
        <v>0</v>
      </c>
      <c r="N4" s="16">
        <v>0</v>
      </c>
      <c r="O4" s="16">
        <v>0</v>
      </c>
      <c r="P4" s="16">
        <v>0</v>
      </c>
      <c r="Q4" s="16">
        <v>0</v>
      </c>
      <c r="R4" s="16">
        <v>17854</v>
      </c>
      <c r="S4" s="16">
        <v>0</v>
      </c>
      <c r="T4" s="16">
        <v>0</v>
      </c>
      <c r="U4" s="16">
        <v>0</v>
      </c>
      <c r="V4" s="16">
        <v>0</v>
      </c>
      <c r="W4" s="16">
        <v>0</v>
      </c>
      <c r="X4" s="16">
        <v>0</v>
      </c>
      <c r="Y4" s="16">
        <v>0</v>
      </c>
      <c r="Z4" s="16">
        <v>0</v>
      </c>
      <c r="AA4" s="16"/>
      <c r="AB4" s="16"/>
      <c r="AC4" s="16"/>
      <c r="AD4" s="16"/>
      <c r="AE4" s="16"/>
      <c r="AF4" s="16"/>
    </row>
    <row r="5" spans="1:32"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spans="1:32" s="26" customFormat="1" x14ac:dyDescent="0.25">
      <c r="A6" s="34" t="s">
        <v>3</v>
      </c>
      <c r="B6" s="16">
        <v>25106</v>
      </c>
      <c r="C6" s="16">
        <v>1833</v>
      </c>
      <c r="D6" s="16">
        <v>174</v>
      </c>
      <c r="E6" s="16">
        <v>1446</v>
      </c>
      <c r="F6" s="16">
        <v>493</v>
      </c>
      <c r="G6" s="16">
        <v>4</v>
      </c>
      <c r="H6" s="16">
        <v>0</v>
      </c>
      <c r="I6" s="16">
        <v>724</v>
      </c>
      <c r="J6" s="16">
        <v>1272</v>
      </c>
      <c r="K6" s="16">
        <v>7372</v>
      </c>
      <c r="L6" s="16">
        <v>359</v>
      </c>
      <c r="M6" s="16">
        <v>792</v>
      </c>
      <c r="N6" s="16">
        <v>2812</v>
      </c>
      <c r="O6" s="16">
        <v>4438</v>
      </c>
      <c r="P6" s="16">
        <v>3187</v>
      </c>
      <c r="Q6" s="16">
        <v>508</v>
      </c>
      <c r="R6" s="16">
        <v>20164</v>
      </c>
      <c r="S6" s="16">
        <v>504</v>
      </c>
      <c r="T6" s="16">
        <v>1842902</v>
      </c>
      <c r="U6" s="16">
        <v>3426764</v>
      </c>
      <c r="V6" s="16">
        <v>2704069</v>
      </c>
      <c r="W6" s="16">
        <v>61</v>
      </c>
      <c r="X6" s="16">
        <v>0</v>
      </c>
      <c r="Y6" s="16">
        <v>0</v>
      </c>
      <c r="Z6" s="16">
        <v>0</v>
      </c>
      <c r="AA6" s="16"/>
      <c r="AB6" s="16"/>
      <c r="AC6" s="16"/>
      <c r="AD6" s="16"/>
      <c r="AE6" s="16"/>
      <c r="AF6" s="16"/>
    </row>
    <row r="7" spans="1:32" s="26" customFormat="1" x14ac:dyDescent="0.25">
      <c r="A7" s="34" t="s">
        <v>4</v>
      </c>
      <c r="B7" s="16">
        <v>10029</v>
      </c>
      <c r="C7" s="16">
        <v>443</v>
      </c>
      <c r="D7" s="16">
        <v>0</v>
      </c>
      <c r="E7" s="16">
        <v>720</v>
      </c>
      <c r="F7" s="16">
        <v>205</v>
      </c>
      <c r="G7" s="16">
        <v>0</v>
      </c>
      <c r="H7" s="16">
        <v>0</v>
      </c>
      <c r="I7" s="16">
        <v>120</v>
      </c>
      <c r="J7" s="16">
        <v>60</v>
      </c>
      <c r="K7" s="16">
        <v>853</v>
      </c>
      <c r="L7" s="16">
        <v>0</v>
      </c>
      <c r="M7" s="16">
        <v>25</v>
      </c>
      <c r="N7" s="16">
        <v>0</v>
      </c>
      <c r="O7" s="16">
        <v>0</v>
      </c>
      <c r="P7" s="16">
        <v>0</v>
      </c>
      <c r="Q7" s="16">
        <v>0</v>
      </c>
      <c r="R7" s="16">
        <v>0</v>
      </c>
      <c r="S7" s="16">
        <v>0</v>
      </c>
      <c r="T7" s="16">
        <v>470368</v>
      </c>
      <c r="U7" s="16">
        <v>1175985</v>
      </c>
      <c r="V7" s="16">
        <v>154500</v>
      </c>
      <c r="W7" s="16">
        <v>2</v>
      </c>
      <c r="X7" s="16">
        <v>0</v>
      </c>
      <c r="Y7" s="16">
        <v>0</v>
      </c>
      <c r="Z7" s="16">
        <v>0</v>
      </c>
      <c r="AA7" s="16"/>
      <c r="AB7" s="16"/>
      <c r="AC7" s="16"/>
      <c r="AD7" s="16"/>
      <c r="AE7" s="16"/>
      <c r="AF7" s="16"/>
    </row>
    <row r="8" spans="1:32" s="26" customFormat="1" x14ac:dyDescent="0.25">
      <c r="A8" s="34" t="s">
        <v>5</v>
      </c>
      <c r="B8" s="16">
        <v>4021</v>
      </c>
      <c r="C8" s="16">
        <v>0</v>
      </c>
      <c r="D8" s="16">
        <v>0</v>
      </c>
      <c r="E8" s="16">
        <v>0</v>
      </c>
      <c r="F8" s="16">
        <v>347</v>
      </c>
      <c r="G8" s="16">
        <v>53</v>
      </c>
      <c r="H8" s="16">
        <v>3957</v>
      </c>
      <c r="I8" s="16">
        <v>12545</v>
      </c>
      <c r="J8" s="16">
        <v>1904</v>
      </c>
      <c r="K8" s="16">
        <v>1777</v>
      </c>
      <c r="L8" s="16">
        <v>160</v>
      </c>
      <c r="M8" s="16">
        <v>526</v>
      </c>
      <c r="N8" s="16">
        <v>0</v>
      </c>
      <c r="O8" s="16">
        <v>0</v>
      </c>
      <c r="P8" s="16">
        <v>0</v>
      </c>
      <c r="Q8" s="16">
        <v>0</v>
      </c>
      <c r="R8" s="16">
        <v>0</v>
      </c>
      <c r="S8" s="16">
        <v>0</v>
      </c>
      <c r="T8" s="16">
        <v>0</v>
      </c>
      <c r="U8" s="16">
        <v>0</v>
      </c>
      <c r="V8" s="16">
        <v>0</v>
      </c>
      <c r="W8" s="16">
        <v>1255</v>
      </c>
      <c r="X8" s="16">
        <v>2208</v>
      </c>
      <c r="Y8" s="16">
        <v>1018</v>
      </c>
      <c r="Z8" s="16">
        <v>1248</v>
      </c>
      <c r="AA8" s="16"/>
      <c r="AB8" s="16"/>
      <c r="AC8" s="16"/>
      <c r="AD8" s="16"/>
      <c r="AE8" s="16"/>
      <c r="AF8" s="16"/>
    </row>
    <row r="9" spans="1:32"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row>
    <row r="10" spans="1:32" s="26" customFormat="1" x14ac:dyDescent="0.25">
      <c r="A10" s="35" t="s">
        <v>7</v>
      </c>
      <c r="B10" s="19">
        <f>SUM(B2:B9)</f>
        <v>54922</v>
      </c>
      <c r="C10" s="19">
        <f>SUM(C2:C9)</f>
        <v>3298</v>
      </c>
      <c r="D10" s="19">
        <f>SUM(D2:D9)</f>
        <v>4647</v>
      </c>
      <c r="E10" s="19">
        <f>SUM(E2:E9)</f>
        <v>2166</v>
      </c>
      <c r="F10" s="19">
        <f t="shared" ref="F10" si="0">SUM(F2:F9)</f>
        <v>1045</v>
      </c>
      <c r="G10" s="19">
        <f>SUM(G2:G9)</f>
        <v>460</v>
      </c>
      <c r="H10" s="19">
        <f t="shared" ref="H10:AF10" si="1">SUM(H2:H9)</f>
        <v>9283</v>
      </c>
      <c r="I10" s="19">
        <f t="shared" ref="I10:Q10" si="2">SUM(I2:I9)</f>
        <v>13389</v>
      </c>
      <c r="J10" s="19">
        <f t="shared" si="2"/>
        <v>3236</v>
      </c>
      <c r="K10" s="19">
        <f t="shared" si="2"/>
        <v>10002</v>
      </c>
      <c r="L10" s="19">
        <f t="shared" si="2"/>
        <v>519</v>
      </c>
      <c r="M10" s="19">
        <f t="shared" si="2"/>
        <v>1343</v>
      </c>
      <c r="N10" s="19">
        <f t="shared" si="2"/>
        <v>2812</v>
      </c>
      <c r="O10" s="19">
        <f t="shared" si="2"/>
        <v>4438</v>
      </c>
      <c r="P10" s="19">
        <f t="shared" si="2"/>
        <v>3187</v>
      </c>
      <c r="Q10" s="19">
        <f t="shared" si="2"/>
        <v>508</v>
      </c>
      <c r="R10" s="19">
        <f t="shared" si="1"/>
        <v>38018</v>
      </c>
      <c r="S10" s="19">
        <f t="shared" si="1"/>
        <v>504</v>
      </c>
      <c r="T10" s="19">
        <f>SUM(T2:T9)</f>
        <v>2313270</v>
      </c>
      <c r="U10" s="19">
        <f>SUM(U2:U9)</f>
        <v>4602749</v>
      </c>
      <c r="V10" s="19">
        <f t="shared" ref="V10:Z10" si="3">SUM(V2:V9)</f>
        <v>2858569</v>
      </c>
      <c r="W10" s="19">
        <f t="shared" si="3"/>
        <v>1318</v>
      </c>
      <c r="X10" s="19">
        <f t="shared" si="3"/>
        <v>2208</v>
      </c>
      <c r="Y10" s="19">
        <f t="shared" si="3"/>
        <v>1018</v>
      </c>
      <c r="Z10" s="19">
        <f t="shared" si="3"/>
        <v>1248</v>
      </c>
      <c r="AA10" s="19">
        <f t="shared" si="1"/>
        <v>0</v>
      </c>
      <c r="AB10" s="19">
        <f t="shared" si="1"/>
        <v>0</v>
      </c>
      <c r="AC10" s="19">
        <f t="shared" si="1"/>
        <v>0</v>
      </c>
      <c r="AD10" s="19">
        <f t="shared" si="1"/>
        <v>0</v>
      </c>
      <c r="AE10" s="19">
        <f t="shared" si="1"/>
        <v>0</v>
      </c>
      <c r="AF10" s="19">
        <f t="shared" si="1"/>
        <v>0</v>
      </c>
    </row>
    <row r="11" spans="1:32"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row>
    <row r="12" spans="1:32"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row>
    <row r="13" spans="1:32" s="26" customFormat="1" x14ac:dyDescent="0.25">
      <c r="A13" s="34" t="s">
        <v>164</v>
      </c>
      <c r="B13" s="16">
        <v>2121</v>
      </c>
      <c r="C13" s="16">
        <v>136</v>
      </c>
      <c r="D13" s="16">
        <v>0</v>
      </c>
      <c r="E13" s="16">
        <v>0</v>
      </c>
      <c r="F13" s="16">
        <v>0</v>
      </c>
      <c r="G13" s="16">
        <v>901</v>
      </c>
      <c r="H13" s="16"/>
      <c r="I13" s="16">
        <v>0</v>
      </c>
      <c r="J13" s="16">
        <v>0</v>
      </c>
      <c r="K13" s="16">
        <v>0</v>
      </c>
      <c r="L13" s="16">
        <v>0</v>
      </c>
      <c r="M13" s="16">
        <v>0</v>
      </c>
      <c r="N13" s="16">
        <v>0</v>
      </c>
      <c r="O13" s="16">
        <v>0</v>
      </c>
      <c r="P13" s="16">
        <v>0</v>
      </c>
      <c r="Q13" s="16">
        <v>0</v>
      </c>
      <c r="R13" s="16">
        <v>37212</v>
      </c>
      <c r="S13" s="16">
        <v>0</v>
      </c>
      <c r="T13" s="16">
        <v>0</v>
      </c>
      <c r="U13" s="16">
        <v>0</v>
      </c>
      <c r="V13" s="16">
        <v>0</v>
      </c>
      <c r="W13" s="16"/>
      <c r="X13" s="16">
        <v>0</v>
      </c>
      <c r="Y13" s="16">
        <v>0</v>
      </c>
      <c r="Z13" s="16">
        <v>0</v>
      </c>
      <c r="AA13" s="16"/>
      <c r="AB13" s="16"/>
      <c r="AC13" s="16"/>
      <c r="AD13" s="16"/>
      <c r="AE13" s="16"/>
      <c r="AF13" s="16"/>
    </row>
    <row r="14" spans="1:32" s="26" customFormat="1" x14ac:dyDescent="0.25">
      <c r="A14" s="34" t="s">
        <v>10</v>
      </c>
      <c r="B14" s="16">
        <v>4240</v>
      </c>
      <c r="C14" s="16">
        <v>471</v>
      </c>
      <c r="D14" s="16">
        <v>0</v>
      </c>
      <c r="E14" s="16">
        <v>388</v>
      </c>
      <c r="F14" s="16">
        <v>158</v>
      </c>
      <c r="G14" s="16">
        <v>69</v>
      </c>
      <c r="H14" s="16"/>
      <c r="I14" s="16">
        <v>2231</v>
      </c>
      <c r="J14" s="16">
        <v>100</v>
      </c>
      <c r="K14" s="16">
        <v>1725</v>
      </c>
      <c r="L14" s="16">
        <v>214</v>
      </c>
      <c r="M14" s="16">
        <v>27</v>
      </c>
      <c r="N14" s="16">
        <v>1846</v>
      </c>
      <c r="O14" s="16">
        <v>983</v>
      </c>
      <c r="P14" s="16">
        <v>1451</v>
      </c>
      <c r="Q14" s="16">
        <v>6</v>
      </c>
      <c r="R14" s="16">
        <v>8184</v>
      </c>
      <c r="S14" s="16">
        <v>146</v>
      </c>
      <c r="T14" s="16">
        <v>2026456</v>
      </c>
      <c r="U14" s="16">
        <v>3262770</v>
      </c>
      <c r="V14" s="16">
        <v>3983826</v>
      </c>
      <c r="W14" s="16">
        <v>19</v>
      </c>
      <c r="X14" s="16">
        <v>0</v>
      </c>
      <c r="Y14" s="16">
        <v>0</v>
      </c>
      <c r="Z14" s="16">
        <v>35</v>
      </c>
      <c r="AA14" s="16"/>
      <c r="AB14" s="16"/>
      <c r="AC14" s="16"/>
      <c r="AD14" s="16"/>
      <c r="AE14" s="16"/>
      <c r="AF14" s="16"/>
    </row>
    <row r="15" spans="1:32" s="26" customFormat="1" x14ac:dyDescent="0.25">
      <c r="A15" s="34" t="s">
        <v>11</v>
      </c>
      <c r="B15" s="16">
        <v>1400</v>
      </c>
      <c r="C15" s="16">
        <v>59</v>
      </c>
      <c r="D15" s="16">
        <v>0</v>
      </c>
      <c r="E15" s="16">
        <v>30</v>
      </c>
      <c r="F15" s="16">
        <v>139</v>
      </c>
      <c r="G15" s="16">
        <v>3</v>
      </c>
      <c r="H15" s="16"/>
      <c r="I15" s="16">
        <v>320</v>
      </c>
      <c r="J15" s="16">
        <v>0</v>
      </c>
      <c r="K15" s="16">
        <v>344</v>
      </c>
      <c r="L15" s="16">
        <v>0</v>
      </c>
      <c r="M15" s="16">
        <v>0</v>
      </c>
      <c r="N15" s="16">
        <v>0</v>
      </c>
      <c r="O15" s="16">
        <v>0</v>
      </c>
      <c r="P15" s="16">
        <v>0</v>
      </c>
      <c r="Q15" s="16">
        <v>0</v>
      </c>
      <c r="R15" s="16">
        <v>0</v>
      </c>
      <c r="S15" s="16">
        <v>0</v>
      </c>
      <c r="T15" s="16">
        <v>1481871</v>
      </c>
      <c r="U15" s="16">
        <v>1030222</v>
      </c>
      <c r="V15" s="16">
        <v>506240</v>
      </c>
      <c r="W15" s="16">
        <v>4</v>
      </c>
      <c r="X15" s="16">
        <v>0</v>
      </c>
      <c r="Y15" s="16">
        <v>0</v>
      </c>
      <c r="Z15" s="16">
        <v>1</v>
      </c>
      <c r="AA15" s="16"/>
      <c r="AB15" s="16"/>
      <c r="AC15" s="16"/>
      <c r="AD15" s="16"/>
      <c r="AE15" s="16"/>
      <c r="AF15" s="16"/>
    </row>
    <row r="16" spans="1:32" s="26" customFormat="1" x14ac:dyDescent="0.25">
      <c r="A16" s="34" t="s">
        <v>12</v>
      </c>
      <c r="B16" s="16">
        <v>249</v>
      </c>
      <c r="C16" s="16">
        <v>0</v>
      </c>
      <c r="D16" s="16">
        <v>0</v>
      </c>
      <c r="E16" s="16">
        <v>0</v>
      </c>
      <c r="F16" s="16">
        <v>7</v>
      </c>
      <c r="G16" s="16">
        <v>2</v>
      </c>
      <c r="H16" s="16"/>
      <c r="I16" s="16">
        <v>2480</v>
      </c>
      <c r="J16" s="16">
        <v>0</v>
      </c>
      <c r="K16" s="16">
        <v>9</v>
      </c>
      <c r="L16" s="16">
        <v>0</v>
      </c>
      <c r="M16" s="16">
        <v>40</v>
      </c>
      <c r="N16" s="16">
        <v>0</v>
      </c>
      <c r="O16" s="16">
        <v>0</v>
      </c>
      <c r="P16" s="16">
        <v>0</v>
      </c>
      <c r="Q16" s="16">
        <v>0</v>
      </c>
      <c r="R16" s="16">
        <v>0</v>
      </c>
      <c r="S16" s="16">
        <v>0</v>
      </c>
      <c r="T16" s="16">
        <v>0</v>
      </c>
      <c r="U16" s="16">
        <v>0</v>
      </c>
      <c r="V16" s="16">
        <v>0</v>
      </c>
      <c r="W16" s="16">
        <v>331</v>
      </c>
      <c r="X16" s="16">
        <v>594</v>
      </c>
      <c r="Y16" s="16">
        <v>7</v>
      </c>
      <c r="Z16" s="16">
        <v>241</v>
      </c>
      <c r="AA16" s="16"/>
      <c r="AB16" s="16"/>
      <c r="AC16" s="16"/>
      <c r="AD16" s="16"/>
      <c r="AE16" s="16"/>
      <c r="AF16" s="16"/>
    </row>
    <row r="17" spans="1:32"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row>
    <row r="18" spans="1:32" s="26" customFormat="1" x14ac:dyDescent="0.25">
      <c r="A18" s="35" t="s">
        <v>14</v>
      </c>
      <c r="B18" s="19">
        <f>SUM(B11:B17)</f>
        <v>8010</v>
      </c>
      <c r="C18" s="19">
        <f>SUM(C11:C17)</f>
        <v>666</v>
      </c>
      <c r="D18" s="19">
        <f>SUM(D11:D17)</f>
        <v>0</v>
      </c>
      <c r="E18" s="19">
        <f>SUM(E11:E17)</f>
        <v>418</v>
      </c>
      <c r="F18" s="19">
        <f t="shared" ref="F18" si="4">SUM(F11:F17)</f>
        <v>304</v>
      </c>
      <c r="G18" s="19">
        <f>SUM(G11:G17)</f>
        <v>975</v>
      </c>
      <c r="H18" s="19">
        <v>85</v>
      </c>
      <c r="I18" s="19">
        <f t="shared" ref="I18:Q18" si="5">SUM(I11:I17)</f>
        <v>5031</v>
      </c>
      <c r="J18" s="19">
        <f t="shared" si="5"/>
        <v>100</v>
      </c>
      <c r="K18" s="19">
        <f t="shared" si="5"/>
        <v>2078</v>
      </c>
      <c r="L18" s="19">
        <f t="shared" si="5"/>
        <v>214</v>
      </c>
      <c r="M18" s="19">
        <f t="shared" si="5"/>
        <v>67</v>
      </c>
      <c r="N18" s="19">
        <f t="shared" si="5"/>
        <v>1846</v>
      </c>
      <c r="O18" s="19">
        <f t="shared" si="5"/>
        <v>983</v>
      </c>
      <c r="P18" s="19">
        <f t="shared" si="5"/>
        <v>1451</v>
      </c>
      <c r="Q18" s="19">
        <f t="shared" si="5"/>
        <v>6</v>
      </c>
      <c r="R18" s="19">
        <f t="shared" ref="R18:AF18" si="6">SUM(R11:R17)</f>
        <v>45396</v>
      </c>
      <c r="S18" s="19">
        <f t="shared" si="6"/>
        <v>146</v>
      </c>
      <c r="T18" s="19">
        <f>SUM(T11:T17)</f>
        <v>3508327</v>
      </c>
      <c r="U18" s="19">
        <f>SUM(U11:U17)</f>
        <v>4292992</v>
      </c>
      <c r="V18" s="19">
        <f t="shared" ref="V18:Z18" si="7">SUM(V11:V17)</f>
        <v>4490066</v>
      </c>
      <c r="W18" s="19">
        <f t="shared" si="7"/>
        <v>354</v>
      </c>
      <c r="X18" s="19">
        <f t="shared" si="7"/>
        <v>594</v>
      </c>
      <c r="Y18" s="19">
        <f t="shared" si="7"/>
        <v>7</v>
      </c>
      <c r="Z18" s="19">
        <f t="shared" si="7"/>
        <v>277</v>
      </c>
      <c r="AA18" s="19">
        <f t="shared" si="6"/>
        <v>0</v>
      </c>
      <c r="AB18" s="19">
        <f t="shared" si="6"/>
        <v>0</v>
      </c>
      <c r="AC18" s="19">
        <f t="shared" si="6"/>
        <v>0</v>
      </c>
      <c r="AD18" s="19">
        <f t="shared" si="6"/>
        <v>0</v>
      </c>
      <c r="AE18" s="19">
        <f t="shared" si="6"/>
        <v>0</v>
      </c>
      <c r="AF18" s="19">
        <f t="shared" si="6"/>
        <v>0</v>
      </c>
    </row>
    <row r="19" spans="1:32" s="26" customFormat="1" x14ac:dyDescent="0.25">
      <c r="A19" s="35" t="s">
        <v>15</v>
      </c>
      <c r="B19" s="19">
        <f>SUM(B10,B18)</f>
        <v>62932</v>
      </c>
      <c r="C19" s="19">
        <f>SUM(C10,C18)</f>
        <v>3964</v>
      </c>
      <c r="D19" s="19">
        <f>SUM(D10,D18)</f>
        <v>4647</v>
      </c>
      <c r="E19" s="19">
        <f>SUM(E10,E18)</f>
        <v>2584</v>
      </c>
      <c r="F19" s="19">
        <f t="shared" ref="F19" si="8">SUM(F10,F18)</f>
        <v>1349</v>
      </c>
      <c r="G19" s="19">
        <f>SUM(G10,G18)</f>
        <v>1435</v>
      </c>
      <c r="H19" s="19">
        <f t="shared" ref="H19" si="9">SUM(H10,H18)</f>
        <v>9368</v>
      </c>
      <c r="I19" s="19">
        <f t="shared" ref="I19:Q19" si="10">SUM(I10,I18)</f>
        <v>18420</v>
      </c>
      <c r="J19" s="19">
        <f t="shared" si="10"/>
        <v>3336</v>
      </c>
      <c r="K19" s="19">
        <f t="shared" si="10"/>
        <v>12080</v>
      </c>
      <c r="L19" s="19">
        <f t="shared" si="10"/>
        <v>733</v>
      </c>
      <c r="M19" s="19">
        <f t="shared" si="10"/>
        <v>1410</v>
      </c>
      <c r="N19" s="19">
        <f t="shared" si="10"/>
        <v>4658</v>
      </c>
      <c r="O19" s="19">
        <f t="shared" si="10"/>
        <v>5421</v>
      </c>
      <c r="P19" s="19">
        <f t="shared" si="10"/>
        <v>4638</v>
      </c>
      <c r="Q19" s="19">
        <f t="shared" si="10"/>
        <v>514</v>
      </c>
      <c r="R19" s="19">
        <f t="shared" ref="R19:AF19" si="11">SUM(R10,R18)</f>
        <v>83414</v>
      </c>
      <c r="S19" s="19">
        <f t="shared" si="11"/>
        <v>650</v>
      </c>
      <c r="T19" s="19">
        <f>SUM(T10,T18)</f>
        <v>5821597</v>
      </c>
      <c r="U19" s="19">
        <f>SUM(U10,U18)</f>
        <v>8895741</v>
      </c>
      <c r="V19" s="19">
        <f t="shared" ref="V19:Z19" si="12">SUM(V10,V18)</f>
        <v>7348635</v>
      </c>
      <c r="W19" s="19">
        <f t="shared" si="12"/>
        <v>1672</v>
      </c>
      <c r="X19" s="19">
        <f t="shared" si="12"/>
        <v>2802</v>
      </c>
      <c r="Y19" s="19">
        <f t="shared" si="12"/>
        <v>1025</v>
      </c>
      <c r="Z19" s="19">
        <f t="shared" si="12"/>
        <v>1525</v>
      </c>
      <c r="AA19" s="19">
        <f t="shared" si="11"/>
        <v>0</v>
      </c>
      <c r="AB19" s="19">
        <f t="shared" si="11"/>
        <v>0</v>
      </c>
      <c r="AC19" s="19">
        <f t="shared" si="11"/>
        <v>0</v>
      </c>
      <c r="AD19" s="19">
        <f t="shared" si="11"/>
        <v>0</v>
      </c>
      <c r="AE19" s="19">
        <f t="shared" si="11"/>
        <v>0</v>
      </c>
      <c r="AF19" s="19">
        <f t="shared" si="11"/>
        <v>0</v>
      </c>
    </row>
    <row r="20" spans="1:32" x14ac:dyDescent="0.25">
      <c r="AD20" s="5"/>
      <c r="AE20" s="5"/>
      <c r="AF20" s="5"/>
    </row>
    <row r="21" spans="1:32"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row>
    <row r="22" spans="1:32"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row>
    <row r="23" spans="1:32"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row>
    <row r="24" spans="1:32"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row>
    <row r="25" spans="1:32"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row>
  </sheetData>
  <sheetProtection formatCells="0" formatColumns="0" formatRows="0" insertColumns="0" insertRows="0" sort="0" autoFilter="0" pivotTables="0"/>
  <dataValidations count="1">
    <dataValidation type="list" errorStyle="information" allowBlank="1" showInputMessage="1" showErrorMessage="1" sqref="B1:AF1" xr:uid="{19F2182C-FA65-4092-8383-D8EC4B96F627}">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4752B750-3582-4809-A591-1EC0C3FB6E01}">
          <x14:formula1>
            <xm:f>'Term List'!$A2:$A242</xm:f>
          </x14:formula1>
          <xm:sqref>AG1:XFD1</xm:sqref>
        </x14:dataValidation>
      </x14:dataValidations>
    </ext>
  </extLs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08C3B-21E2-417D-BF9F-856A1A0365FF}">
  <sheetPr codeName="Sheet51"/>
  <dimension ref="A1:T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8.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5.5703125" style="5" customWidth="1"/>
    <col min="11" max="11" width="15" style="5" customWidth="1"/>
    <col min="12" max="12" width="17.140625" style="5" customWidth="1"/>
    <col min="13" max="13" width="16.5703125" style="5" customWidth="1"/>
    <col min="14" max="20" width="14.42578125" style="5" customWidth="1"/>
    <col min="21" max="16384" width="9.140625" style="3"/>
  </cols>
  <sheetData>
    <row r="1" spans="1:20" s="14" customFormat="1" ht="30" x14ac:dyDescent="0.25">
      <c r="A1" s="36" t="s">
        <v>407</v>
      </c>
      <c r="B1" s="36" t="s">
        <v>155</v>
      </c>
      <c r="C1" s="36" t="s">
        <v>156</v>
      </c>
      <c r="D1" s="36" t="s">
        <v>154</v>
      </c>
      <c r="E1" s="36" t="s">
        <v>150</v>
      </c>
      <c r="F1" s="36" t="s">
        <v>148</v>
      </c>
      <c r="G1" s="36" t="s">
        <v>147</v>
      </c>
      <c r="H1" s="36" t="s">
        <v>314</v>
      </c>
      <c r="I1" s="36" t="s">
        <v>139</v>
      </c>
      <c r="J1" s="36" t="s">
        <v>132</v>
      </c>
      <c r="K1" s="36" t="s">
        <v>130</v>
      </c>
      <c r="L1" s="36" t="s">
        <v>144</v>
      </c>
      <c r="M1" s="36" t="s">
        <v>142</v>
      </c>
      <c r="N1" s="36" t="s">
        <v>124</v>
      </c>
      <c r="O1" s="31"/>
      <c r="P1" s="31"/>
      <c r="Q1" s="31"/>
      <c r="R1" s="31"/>
      <c r="S1" s="31"/>
      <c r="T1" s="31"/>
    </row>
    <row r="2" spans="1:20" s="26" customFormat="1" x14ac:dyDescent="0.25">
      <c r="A2" s="34" t="s">
        <v>0</v>
      </c>
      <c r="B2" s="16">
        <v>24267</v>
      </c>
      <c r="C2" s="17">
        <v>2100</v>
      </c>
      <c r="D2" s="17">
        <v>625</v>
      </c>
      <c r="E2" s="17">
        <v>4358</v>
      </c>
      <c r="F2" s="17">
        <v>257</v>
      </c>
      <c r="G2" s="17">
        <v>0</v>
      </c>
      <c r="H2" s="17">
        <v>0</v>
      </c>
      <c r="I2" s="17">
        <v>0</v>
      </c>
      <c r="J2" s="17">
        <v>1053</v>
      </c>
      <c r="K2" s="17">
        <v>87</v>
      </c>
      <c r="L2" s="17">
        <v>510</v>
      </c>
      <c r="M2" s="17">
        <v>2569</v>
      </c>
      <c r="N2" s="17">
        <v>10956187</v>
      </c>
      <c r="O2" s="17"/>
      <c r="P2" s="17"/>
      <c r="Q2" s="17"/>
      <c r="R2" s="17"/>
      <c r="S2" s="17"/>
      <c r="T2" s="17"/>
    </row>
    <row r="3" spans="1:20" s="26" customFormat="1" x14ac:dyDescent="0.25">
      <c r="A3" s="34" t="s">
        <v>1</v>
      </c>
      <c r="B3" s="16">
        <v>581</v>
      </c>
      <c r="C3" s="17">
        <v>93</v>
      </c>
      <c r="D3" s="17">
        <v>156</v>
      </c>
      <c r="E3" s="17">
        <v>68</v>
      </c>
      <c r="F3" s="17">
        <v>71</v>
      </c>
      <c r="G3" s="17">
        <v>0</v>
      </c>
      <c r="H3" s="17">
        <v>0</v>
      </c>
      <c r="I3" s="17">
        <v>0</v>
      </c>
      <c r="J3" s="17">
        <v>8</v>
      </c>
      <c r="K3" s="17">
        <v>0</v>
      </c>
      <c r="L3" s="17">
        <v>0</v>
      </c>
      <c r="M3" s="17">
        <v>11</v>
      </c>
      <c r="N3" s="17">
        <v>99928</v>
      </c>
      <c r="O3" s="17"/>
      <c r="P3" s="17"/>
      <c r="Q3" s="17"/>
      <c r="R3" s="17"/>
      <c r="S3" s="17"/>
      <c r="T3" s="17"/>
    </row>
    <row r="4" spans="1:20" s="26" customFormat="1" x14ac:dyDescent="0.25">
      <c r="A4" s="34" t="s">
        <v>169</v>
      </c>
      <c r="B4" s="16"/>
      <c r="C4" s="17"/>
      <c r="D4" s="17"/>
      <c r="E4" s="17"/>
      <c r="F4" s="17"/>
      <c r="G4" s="17"/>
      <c r="H4" s="17"/>
      <c r="I4" s="17"/>
      <c r="J4" s="17"/>
      <c r="K4" s="17"/>
      <c r="L4" s="17"/>
      <c r="M4" s="17"/>
      <c r="N4" s="17"/>
      <c r="O4" s="17"/>
      <c r="P4" s="17"/>
      <c r="Q4" s="17"/>
      <c r="R4" s="17"/>
      <c r="S4" s="17"/>
      <c r="T4" s="17"/>
    </row>
    <row r="5" spans="1:20" s="26" customFormat="1" x14ac:dyDescent="0.25">
      <c r="A5" s="34" t="s">
        <v>2</v>
      </c>
      <c r="B5" s="16"/>
      <c r="C5" s="17"/>
      <c r="D5" s="17"/>
      <c r="E5" s="17"/>
      <c r="F5" s="17"/>
      <c r="G5" s="17"/>
      <c r="H5" s="17"/>
      <c r="I5" s="17"/>
      <c r="J5" s="17"/>
      <c r="K5" s="17"/>
      <c r="L5" s="17"/>
      <c r="M5" s="17"/>
      <c r="N5" s="17"/>
      <c r="O5" s="17"/>
      <c r="P5" s="17"/>
      <c r="Q5" s="17"/>
      <c r="R5" s="17"/>
      <c r="S5" s="17"/>
      <c r="T5" s="17"/>
    </row>
    <row r="6" spans="1:20" s="26" customFormat="1" x14ac:dyDescent="0.25">
      <c r="A6" s="34" t="s">
        <v>3</v>
      </c>
      <c r="B6" s="16">
        <v>258</v>
      </c>
      <c r="C6" s="17">
        <v>74</v>
      </c>
      <c r="D6" s="17">
        <v>705</v>
      </c>
      <c r="E6" s="17">
        <v>2804</v>
      </c>
      <c r="F6" s="17">
        <v>112</v>
      </c>
      <c r="G6" s="17">
        <v>0</v>
      </c>
      <c r="H6" s="17">
        <v>21</v>
      </c>
      <c r="I6" s="17">
        <v>21</v>
      </c>
      <c r="J6" s="17">
        <v>15</v>
      </c>
      <c r="K6" s="17">
        <v>10</v>
      </c>
      <c r="L6" s="17">
        <v>13</v>
      </c>
      <c r="M6" s="17">
        <v>66</v>
      </c>
      <c r="N6" s="17">
        <v>215428</v>
      </c>
      <c r="O6" s="17"/>
      <c r="P6" s="17"/>
      <c r="Q6" s="17"/>
      <c r="R6" s="17"/>
      <c r="S6" s="17"/>
      <c r="T6" s="17"/>
    </row>
    <row r="7" spans="1:20" s="26" customFormat="1" x14ac:dyDescent="0.25">
      <c r="A7" s="34" t="s">
        <v>4</v>
      </c>
      <c r="B7" s="16">
        <v>414</v>
      </c>
      <c r="C7" s="17">
        <v>56</v>
      </c>
      <c r="D7" s="17">
        <v>201</v>
      </c>
      <c r="E7" s="17">
        <v>3367</v>
      </c>
      <c r="F7" s="17">
        <v>2</v>
      </c>
      <c r="G7" s="17">
        <v>0</v>
      </c>
      <c r="H7" s="17">
        <v>0</v>
      </c>
      <c r="I7" s="17">
        <v>0</v>
      </c>
      <c r="J7" s="17">
        <v>18</v>
      </c>
      <c r="K7" s="17">
        <v>0</v>
      </c>
      <c r="L7" s="17">
        <v>73</v>
      </c>
      <c r="M7" s="17">
        <v>157</v>
      </c>
      <c r="N7" s="17">
        <v>2236081</v>
      </c>
      <c r="O7" s="17"/>
      <c r="P7" s="17"/>
      <c r="Q7" s="17"/>
      <c r="R7" s="17"/>
      <c r="S7" s="17"/>
      <c r="T7" s="17"/>
    </row>
    <row r="8" spans="1:20" s="26" customFormat="1" x14ac:dyDescent="0.25">
      <c r="A8" s="34" t="s">
        <v>5</v>
      </c>
      <c r="B8" s="16">
        <v>0</v>
      </c>
      <c r="C8" s="17">
        <v>0</v>
      </c>
      <c r="D8" s="17">
        <v>0</v>
      </c>
      <c r="E8" s="17">
        <v>639</v>
      </c>
      <c r="F8" s="17">
        <v>79</v>
      </c>
      <c r="G8" s="17">
        <v>121</v>
      </c>
      <c r="H8" s="17">
        <v>170</v>
      </c>
      <c r="I8" s="17">
        <v>0</v>
      </c>
      <c r="J8" s="17">
        <v>0</v>
      </c>
      <c r="K8" s="17">
        <v>0</v>
      </c>
      <c r="L8" s="17">
        <v>0</v>
      </c>
      <c r="M8" s="17">
        <v>0</v>
      </c>
      <c r="N8" s="17">
        <v>0</v>
      </c>
      <c r="O8" s="17"/>
      <c r="P8" s="17"/>
      <c r="Q8" s="17"/>
      <c r="R8" s="17"/>
      <c r="S8" s="17"/>
      <c r="T8" s="17"/>
    </row>
    <row r="9" spans="1:20" s="26" customFormat="1" x14ac:dyDescent="0.25">
      <c r="A9" s="34" t="s">
        <v>6</v>
      </c>
      <c r="B9" s="16"/>
      <c r="C9" s="17"/>
      <c r="D9" s="17"/>
      <c r="E9" s="17"/>
      <c r="F9" s="17"/>
      <c r="G9" s="17"/>
      <c r="H9" s="17"/>
      <c r="I9" s="17"/>
      <c r="J9" s="17"/>
      <c r="K9" s="17"/>
      <c r="L9" s="17"/>
      <c r="M9" s="17"/>
      <c r="N9" s="17"/>
      <c r="O9" s="17"/>
      <c r="P9" s="17"/>
      <c r="Q9" s="17"/>
      <c r="R9" s="17"/>
      <c r="S9" s="17"/>
      <c r="T9" s="17"/>
    </row>
    <row r="10" spans="1:20" s="26" customFormat="1" x14ac:dyDescent="0.25">
      <c r="A10" s="35" t="s">
        <v>7</v>
      </c>
      <c r="B10" s="19">
        <f>SUM(B2:B9)</f>
        <v>25520</v>
      </c>
      <c r="C10" s="19">
        <f t="shared" ref="C10:T10" si="0">SUM(C2:C9)</f>
        <v>2323</v>
      </c>
      <c r="D10" s="19">
        <f t="shared" si="0"/>
        <v>1687</v>
      </c>
      <c r="E10" s="19">
        <f t="shared" si="0"/>
        <v>11236</v>
      </c>
      <c r="F10" s="19">
        <f t="shared" si="0"/>
        <v>521</v>
      </c>
      <c r="G10" s="19">
        <f t="shared" si="0"/>
        <v>121</v>
      </c>
      <c r="H10" s="19">
        <f t="shared" si="0"/>
        <v>191</v>
      </c>
      <c r="I10" s="19">
        <f t="shared" si="0"/>
        <v>21</v>
      </c>
      <c r="J10" s="19">
        <f>SUM(J2:J9)</f>
        <v>1094</v>
      </c>
      <c r="K10" s="19">
        <f t="shared" si="0"/>
        <v>97</v>
      </c>
      <c r="L10" s="19">
        <f>SUM(L2:L9)</f>
        <v>596</v>
      </c>
      <c r="M10" s="19">
        <f t="shared" si="0"/>
        <v>2803</v>
      </c>
      <c r="N10" s="19">
        <f t="shared" si="0"/>
        <v>13507624</v>
      </c>
      <c r="O10" s="19">
        <f t="shared" si="0"/>
        <v>0</v>
      </c>
      <c r="P10" s="19">
        <f t="shared" si="0"/>
        <v>0</v>
      </c>
      <c r="Q10" s="19">
        <f t="shared" si="0"/>
        <v>0</v>
      </c>
      <c r="R10" s="19">
        <f t="shared" si="0"/>
        <v>0</v>
      </c>
      <c r="S10" s="19">
        <f t="shared" si="0"/>
        <v>0</v>
      </c>
      <c r="T10" s="19">
        <f t="shared" si="0"/>
        <v>0</v>
      </c>
    </row>
    <row r="11" spans="1:20" s="26" customFormat="1" x14ac:dyDescent="0.25">
      <c r="A11" s="34" t="s">
        <v>8</v>
      </c>
      <c r="B11" s="16">
        <v>87832</v>
      </c>
      <c r="C11" s="16">
        <v>8949</v>
      </c>
      <c r="D11" s="16">
        <v>980</v>
      </c>
      <c r="E11" s="16">
        <v>28992</v>
      </c>
      <c r="F11" s="16">
        <v>454</v>
      </c>
      <c r="G11" s="16">
        <v>0</v>
      </c>
      <c r="H11" s="16">
        <v>0</v>
      </c>
      <c r="I11" s="16">
        <v>69</v>
      </c>
      <c r="J11" s="16">
        <v>1326</v>
      </c>
      <c r="K11" s="16">
        <v>968</v>
      </c>
      <c r="L11" s="16">
        <v>274</v>
      </c>
      <c r="M11" s="16">
        <v>15883</v>
      </c>
      <c r="N11" s="16">
        <f>10983050+525825</f>
        <v>11508875</v>
      </c>
      <c r="O11" s="16"/>
      <c r="P11" s="16"/>
      <c r="Q11" s="16"/>
      <c r="R11" s="16"/>
      <c r="S11" s="16"/>
      <c r="T11" s="16"/>
    </row>
    <row r="12" spans="1:20" s="26" customFormat="1" x14ac:dyDescent="0.25">
      <c r="A12" s="34" t="s">
        <v>9</v>
      </c>
      <c r="B12" s="16">
        <v>100</v>
      </c>
      <c r="C12" s="16">
        <v>31</v>
      </c>
      <c r="D12" s="16">
        <v>0</v>
      </c>
      <c r="E12" s="16">
        <v>19</v>
      </c>
      <c r="F12" s="16">
        <v>41</v>
      </c>
      <c r="G12" s="16">
        <v>0</v>
      </c>
      <c r="H12" s="16">
        <v>0</v>
      </c>
      <c r="I12" s="16">
        <v>0</v>
      </c>
      <c r="J12" s="16">
        <v>5</v>
      </c>
      <c r="K12" s="16">
        <v>0</v>
      </c>
      <c r="L12" s="16">
        <v>0</v>
      </c>
      <c r="M12" s="16">
        <v>175</v>
      </c>
      <c r="N12" s="16">
        <v>44865</v>
      </c>
      <c r="O12" s="16"/>
      <c r="P12" s="16"/>
      <c r="Q12" s="16"/>
      <c r="R12" s="16"/>
      <c r="S12" s="16"/>
      <c r="T12" s="16"/>
    </row>
    <row r="13" spans="1:20" s="26" customFormat="1" x14ac:dyDescent="0.25">
      <c r="A13" s="34" t="s">
        <v>164</v>
      </c>
      <c r="B13" s="16"/>
      <c r="C13" s="16"/>
      <c r="D13" s="16"/>
      <c r="E13" s="16"/>
      <c r="F13" s="16"/>
      <c r="G13" s="16"/>
      <c r="H13" s="16"/>
      <c r="I13" s="16"/>
      <c r="J13" s="16"/>
      <c r="K13" s="16"/>
      <c r="L13" s="16"/>
      <c r="M13" s="16"/>
      <c r="N13" s="16"/>
      <c r="O13" s="16"/>
      <c r="P13" s="16"/>
      <c r="Q13" s="16"/>
      <c r="R13" s="16"/>
      <c r="S13" s="16"/>
      <c r="T13" s="16"/>
    </row>
    <row r="14" spans="1:20" s="26" customFormat="1" x14ac:dyDescent="0.25">
      <c r="A14" s="34" t="s">
        <v>10</v>
      </c>
      <c r="B14" s="16">
        <v>144</v>
      </c>
      <c r="C14" s="16">
        <v>36</v>
      </c>
      <c r="D14" s="16">
        <v>52</v>
      </c>
      <c r="E14" s="16">
        <v>3643</v>
      </c>
      <c r="F14" s="16">
        <v>85</v>
      </c>
      <c r="G14" s="16">
        <v>0</v>
      </c>
      <c r="H14" s="16">
        <v>0</v>
      </c>
      <c r="I14" s="16">
        <v>96</v>
      </c>
      <c r="J14" s="16">
        <v>0</v>
      </c>
      <c r="K14" s="16">
        <v>2</v>
      </c>
      <c r="L14" s="16">
        <v>13</v>
      </c>
      <c r="M14" s="16">
        <v>214</v>
      </c>
      <c r="N14" s="16">
        <v>56795</v>
      </c>
      <c r="O14" s="16"/>
      <c r="P14" s="16"/>
      <c r="Q14" s="16"/>
      <c r="R14" s="16"/>
      <c r="S14" s="16"/>
      <c r="T14" s="16"/>
    </row>
    <row r="15" spans="1:20" s="26" customFormat="1" x14ac:dyDescent="0.25">
      <c r="A15" s="34" t="s">
        <v>11</v>
      </c>
      <c r="B15" s="16">
        <v>217</v>
      </c>
      <c r="C15" s="16">
        <v>49</v>
      </c>
      <c r="D15" s="16">
        <v>67</v>
      </c>
      <c r="E15" s="16">
        <v>6171</v>
      </c>
      <c r="F15" s="16">
        <v>7</v>
      </c>
      <c r="G15" s="16">
        <v>0</v>
      </c>
      <c r="H15" s="16">
        <v>0</v>
      </c>
      <c r="I15" s="16">
        <v>221</v>
      </c>
      <c r="J15" s="16">
        <v>101</v>
      </c>
      <c r="K15" s="16">
        <v>0</v>
      </c>
      <c r="L15" s="16">
        <v>58</v>
      </c>
      <c r="M15" s="16">
        <v>1996</v>
      </c>
      <c r="N15" s="16">
        <v>211297</v>
      </c>
      <c r="O15" s="16"/>
      <c r="P15" s="16"/>
      <c r="Q15" s="16"/>
      <c r="R15" s="16"/>
      <c r="S15" s="16"/>
      <c r="T15" s="16"/>
    </row>
    <row r="16" spans="1:20" s="26" customFormat="1" x14ac:dyDescent="0.25">
      <c r="A16" s="34" t="s">
        <v>12</v>
      </c>
      <c r="B16" s="16">
        <v>0</v>
      </c>
      <c r="C16" s="16">
        <v>0</v>
      </c>
      <c r="D16" s="16">
        <v>0</v>
      </c>
      <c r="E16" s="16">
        <v>134</v>
      </c>
      <c r="F16" s="16">
        <v>0</v>
      </c>
      <c r="G16" s="16">
        <v>0</v>
      </c>
      <c r="H16" s="16">
        <v>0</v>
      </c>
      <c r="I16" s="16">
        <v>0</v>
      </c>
      <c r="J16" s="16">
        <v>0</v>
      </c>
      <c r="K16" s="16">
        <v>0</v>
      </c>
      <c r="L16" s="16">
        <v>0</v>
      </c>
      <c r="M16" s="16">
        <v>0</v>
      </c>
      <c r="N16" s="16">
        <v>0</v>
      </c>
      <c r="O16" s="16"/>
      <c r="P16" s="16"/>
      <c r="Q16" s="16"/>
      <c r="R16" s="16"/>
      <c r="S16" s="16"/>
      <c r="T16" s="16"/>
    </row>
    <row r="17" spans="1:20" s="26" customFormat="1" x14ac:dyDescent="0.25">
      <c r="A17" s="34" t="s">
        <v>13</v>
      </c>
      <c r="B17" s="16"/>
      <c r="C17" s="16"/>
      <c r="D17" s="16"/>
      <c r="E17" s="16"/>
      <c r="F17" s="16"/>
      <c r="G17" s="16"/>
      <c r="H17" s="16"/>
      <c r="I17" s="16"/>
      <c r="J17" s="16"/>
      <c r="K17" s="16"/>
      <c r="L17" s="16"/>
      <c r="M17" s="16"/>
      <c r="N17" s="16"/>
      <c r="O17" s="16"/>
      <c r="P17" s="16"/>
      <c r="Q17" s="16"/>
      <c r="R17" s="16"/>
      <c r="S17" s="16"/>
      <c r="T17" s="16"/>
    </row>
    <row r="18" spans="1:20" s="26" customFormat="1" x14ac:dyDescent="0.25">
      <c r="A18" s="35" t="s">
        <v>14</v>
      </c>
      <c r="B18" s="19">
        <f>SUM(B11:B17)</f>
        <v>88293</v>
      </c>
      <c r="C18" s="19">
        <f t="shared" ref="C18:T18" si="1">SUM(C11:C17)</f>
        <v>9065</v>
      </c>
      <c r="D18" s="19">
        <f t="shared" si="1"/>
        <v>1099</v>
      </c>
      <c r="E18" s="19">
        <f t="shared" si="1"/>
        <v>38959</v>
      </c>
      <c r="F18" s="19">
        <f t="shared" si="1"/>
        <v>587</v>
      </c>
      <c r="G18" s="19">
        <f t="shared" si="1"/>
        <v>0</v>
      </c>
      <c r="H18" s="19">
        <f t="shared" si="1"/>
        <v>0</v>
      </c>
      <c r="I18" s="19">
        <f t="shared" si="1"/>
        <v>386</v>
      </c>
      <c r="J18" s="19">
        <f>SUM(J11:J17)</f>
        <v>1432</v>
      </c>
      <c r="K18" s="19">
        <f t="shared" si="1"/>
        <v>970</v>
      </c>
      <c r="L18" s="19">
        <f>SUM(L11:L17)</f>
        <v>345</v>
      </c>
      <c r="M18" s="19">
        <f t="shared" si="1"/>
        <v>18268</v>
      </c>
      <c r="N18" s="19">
        <f t="shared" si="1"/>
        <v>11821832</v>
      </c>
      <c r="O18" s="19">
        <f t="shared" si="1"/>
        <v>0</v>
      </c>
      <c r="P18" s="19">
        <f t="shared" si="1"/>
        <v>0</v>
      </c>
      <c r="Q18" s="19">
        <f t="shared" si="1"/>
        <v>0</v>
      </c>
      <c r="R18" s="19">
        <f t="shared" si="1"/>
        <v>0</v>
      </c>
      <c r="S18" s="19">
        <f t="shared" si="1"/>
        <v>0</v>
      </c>
      <c r="T18" s="19">
        <f t="shared" si="1"/>
        <v>0</v>
      </c>
    </row>
    <row r="19" spans="1:20" s="26" customFormat="1" x14ac:dyDescent="0.25">
      <c r="A19" s="35" t="s">
        <v>15</v>
      </c>
      <c r="B19" s="19">
        <f>SUM(B10,B18)</f>
        <v>113813</v>
      </c>
      <c r="C19" s="19">
        <f t="shared" ref="C19:T19" si="2">SUM(C10,C18)</f>
        <v>11388</v>
      </c>
      <c r="D19" s="19">
        <f t="shared" si="2"/>
        <v>2786</v>
      </c>
      <c r="E19" s="19">
        <f t="shared" si="2"/>
        <v>50195</v>
      </c>
      <c r="F19" s="19">
        <f t="shared" si="2"/>
        <v>1108</v>
      </c>
      <c r="G19" s="19">
        <f t="shared" si="2"/>
        <v>121</v>
      </c>
      <c r="H19" s="19">
        <f t="shared" si="2"/>
        <v>191</v>
      </c>
      <c r="I19" s="19">
        <f t="shared" si="2"/>
        <v>407</v>
      </c>
      <c r="J19" s="19">
        <f>SUM(J10,J18)</f>
        <v>2526</v>
      </c>
      <c r="K19" s="19">
        <f t="shared" si="2"/>
        <v>1067</v>
      </c>
      <c r="L19" s="19">
        <f>SUM(L10,L18)</f>
        <v>941</v>
      </c>
      <c r="M19" s="19">
        <f t="shared" si="2"/>
        <v>21071</v>
      </c>
      <c r="N19" s="19">
        <f t="shared" si="2"/>
        <v>25329456</v>
      </c>
      <c r="O19" s="19">
        <f t="shared" si="2"/>
        <v>0</v>
      </c>
      <c r="P19" s="19">
        <f t="shared" si="2"/>
        <v>0</v>
      </c>
      <c r="Q19" s="19">
        <f t="shared" si="2"/>
        <v>0</v>
      </c>
      <c r="R19" s="19">
        <f t="shared" si="2"/>
        <v>0</v>
      </c>
      <c r="S19" s="19">
        <f t="shared" si="2"/>
        <v>0</v>
      </c>
      <c r="T19" s="19">
        <f t="shared" si="2"/>
        <v>0</v>
      </c>
    </row>
    <row r="21" spans="1:20" x14ac:dyDescent="0.25">
      <c r="B21" s="44"/>
      <c r="C21" s="44"/>
      <c r="D21" s="44"/>
      <c r="E21" s="44"/>
      <c r="F21" s="44"/>
      <c r="G21" s="44"/>
      <c r="H21" s="44"/>
      <c r="I21" s="44"/>
      <c r="J21" s="44"/>
      <c r="K21" s="44"/>
      <c r="L21" s="44"/>
      <c r="M21" s="44"/>
      <c r="N21" s="44"/>
      <c r="O21" s="44"/>
      <c r="P21" s="44"/>
      <c r="Q21" s="44"/>
      <c r="R21" s="44"/>
      <c r="S21" s="44"/>
      <c r="T21" s="44"/>
    </row>
    <row r="22" spans="1:20" ht="75" x14ac:dyDescent="0.25">
      <c r="A22" s="100" t="s">
        <v>557</v>
      </c>
      <c r="N22" s="149"/>
    </row>
    <row r="23" spans="1:20" x14ac:dyDescent="0.25">
      <c r="B23" s="44"/>
      <c r="C23" s="44"/>
      <c r="D23" s="44"/>
      <c r="E23" s="44"/>
      <c r="F23" s="44"/>
      <c r="G23" s="44"/>
      <c r="H23" s="44"/>
      <c r="I23" s="44"/>
      <c r="J23" s="44"/>
      <c r="K23" s="44"/>
      <c r="L23" s="44"/>
      <c r="M23" s="44"/>
      <c r="N23" s="44"/>
      <c r="O23" s="44"/>
      <c r="P23" s="44"/>
      <c r="Q23" s="44"/>
      <c r="R23" s="44"/>
      <c r="S23" s="44"/>
      <c r="T23" s="44"/>
    </row>
    <row r="25" spans="1:20" x14ac:dyDescent="0.25">
      <c r="B25" s="44"/>
      <c r="C25" s="44"/>
      <c r="D25" s="44"/>
      <c r="E25" s="44"/>
      <c r="F25" s="44"/>
      <c r="G25" s="44"/>
      <c r="H25" s="44"/>
      <c r="I25" s="44"/>
      <c r="J25" s="44"/>
      <c r="K25" s="44"/>
      <c r="L25" s="44"/>
      <c r="M25" s="44"/>
      <c r="N25" s="44"/>
      <c r="O25" s="44"/>
      <c r="P25" s="44"/>
      <c r="Q25" s="44"/>
      <c r="R25" s="44"/>
      <c r="S25" s="44"/>
      <c r="T25" s="44"/>
    </row>
  </sheetData>
  <sheetProtection formatCells="0" formatColumns="0" formatRows="0" insertColumns="0" insertRows="0" sort="0" autoFilter="0" pivotTables="0"/>
  <dataValidations count="1">
    <dataValidation type="list" errorStyle="information" allowBlank="1" showInputMessage="1" showErrorMessage="1" sqref="B1:T1" xr:uid="{3E09C0C1-A16D-4BE9-827C-E955FA4C4AAD}">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BCB98C3-D1D0-4720-8083-17AEB59E64C3}">
          <x14:formula1>
            <xm:f>'Term List'!$A2:$A242</xm:f>
          </x14:formula1>
          <xm:sqref>U1:XFD1</xm:sqref>
        </x14:dataValidation>
      </x14:dataValidations>
    </ext>
  </extLs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52FD8-382C-478F-941B-C78A37103041}">
  <sheetPr codeName="Sheet50"/>
  <dimension ref="A1:AA25"/>
  <sheetViews>
    <sheetView workbookViewId="0">
      <pane xSplit="1" ySplit="1" topLeftCell="P2" activePane="bottomRight" state="frozen"/>
      <selection activeCell="E23" sqref="E23"/>
      <selection pane="topRight" activeCell="E23" sqref="E23"/>
      <selection pane="bottomLeft" activeCell="E23" sqref="E23"/>
      <selection pane="bottomRight" activeCell="P22" sqref="P22"/>
    </sheetView>
  </sheetViews>
  <sheetFormatPr defaultColWidth="16" defaultRowHeight="15" x14ac:dyDescent="0.25"/>
  <cols>
    <col min="1" max="1" width="35.7109375" style="6" bestFit="1" customWidth="1"/>
    <col min="2" max="5" width="16" style="5"/>
    <col min="6" max="6" width="16" style="3"/>
    <col min="7" max="8" width="16" style="5"/>
    <col min="9" max="9" width="16" style="3"/>
    <col min="10" max="11" width="16" style="5"/>
    <col min="12" max="13" width="16" style="3"/>
    <col min="14" max="17" width="16" style="5"/>
    <col min="18" max="18" width="16" style="3"/>
    <col min="19" max="20" width="16" style="5"/>
    <col min="21" max="16384" width="16" style="3"/>
  </cols>
  <sheetData>
    <row r="1" spans="1:27" s="40" customFormat="1" ht="30" x14ac:dyDescent="0.25">
      <c r="A1" s="36" t="s">
        <v>406</v>
      </c>
      <c r="B1" s="36" t="s">
        <v>62</v>
      </c>
      <c r="C1" s="36" t="s">
        <v>36</v>
      </c>
      <c r="D1" s="36" t="s">
        <v>35</v>
      </c>
      <c r="E1" s="36" t="s">
        <v>39</v>
      </c>
      <c r="F1" s="36" t="s">
        <v>99</v>
      </c>
      <c r="G1" s="36" t="s">
        <v>95</v>
      </c>
      <c r="H1" s="36" t="s">
        <v>94</v>
      </c>
      <c r="I1" s="36" t="s">
        <v>386</v>
      </c>
      <c r="J1" s="36" t="s">
        <v>387</v>
      </c>
      <c r="K1" s="36" t="s">
        <v>388</v>
      </c>
      <c r="L1" s="36" t="s">
        <v>85</v>
      </c>
      <c r="M1" s="36" t="s">
        <v>398</v>
      </c>
      <c r="N1" s="36" t="s">
        <v>570</v>
      </c>
      <c r="O1" s="36" t="s">
        <v>571</v>
      </c>
      <c r="P1" s="36" t="s">
        <v>572</v>
      </c>
      <c r="Q1" s="36" t="s">
        <v>573</v>
      </c>
      <c r="R1" s="36" t="s">
        <v>566</v>
      </c>
      <c r="S1" s="36" t="s">
        <v>567</v>
      </c>
      <c r="T1" s="36" t="s">
        <v>569</v>
      </c>
      <c r="U1" s="36" t="s">
        <v>107</v>
      </c>
      <c r="V1" s="36" t="s">
        <v>101</v>
      </c>
      <c r="W1" s="36" t="s">
        <v>75</v>
      </c>
      <c r="X1" s="36" t="s">
        <v>330</v>
      </c>
      <c r="Y1" s="36" t="s">
        <v>331</v>
      </c>
      <c r="Z1" s="36" t="s">
        <v>332</v>
      </c>
      <c r="AA1" s="36" t="s">
        <v>333</v>
      </c>
    </row>
    <row r="2" spans="1:27"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row>
    <row r="3" spans="1:27"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row>
    <row r="4" spans="1:27" s="26" customFormat="1" x14ac:dyDescent="0.25">
      <c r="A4" s="34" t="s">
        <v>169</v>
      </c>
      <c r="B4" s="16">
        <v>769</v>
      </c>
      <c r="C4" s="16">
        <v>380</v>
      </c>
      <c r="D4" s="16">
        <v>4245</v>
      </c>
      <c r="E4" s="16">
        <v>0</v>
      </c>
      <c r="F4" s="16">
        <v>0</v>
      </c>
      <c r="G4" s="16">
        <v>0</v>
      </c>
      <c r="H4" s="16">
        <v>0</v>
      </c>
      <c r="I4" s="16">
        <v>0</v>
      </c>
      <c r="J4" s="16">
        <v>0</v>
      </c>
      <c r="K4" s="16">
        <v>0</v>
      </c>
      <c r="L4" s="16">
        <v>0</v>
      </c>
      <c r="M4" s="16">
        <v>0</v>
      </c>
      <c r="N4" s="16">
        <v>0</v>
      </c>
      <c r="O4" s="16">
        <v>0</v>
      </c>
      <c r="P4" s="16">
        <v>0</v>
      </c>
      <c r="Q4" s="16">
        <v>0</v>
      </c>
      <c r="R4" s="16">
        <v>0</v>
      </c>
      <c r="S4" s="16">
        <v>13210</v>
      </c>
      <c r="T4" s="16">
        <v>0</v>
      </c>
      <c r="U4" s="16">
        <v>0</v>
      </c>
      <c r="V4" s="16">
        <v>0</v>
      </c>
      <c r="W4" s="16">
        <v>0</v>
      </c>
      <c r="X4" s="16">
        <v>0</v>
      </c>
      <c r="Y4" s="16">
        <v>0</v>
      </c>
      <c r="Z4" s="16">
        <v>0</v>
      </c>
      <c r="AA4" s="16">
        <v>0</v>
      </c>
    </row>
    <row r="5" spans="1:27"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row>
    <row r="6" spans="1:27" s="26" customFormat="1" x14ac:dyDescent="0.25">
      <c r="A6" s="34" t="s">
        <v>3</v>
      </c>
      <c r="B6" s="16">
        <v>1289</v>
      </c>
      <c r="C6" s="16">
        <v>32</v>
      </c>
      <c r="D6" s="16">
        <v>62</v>
      </c>
      <c r="E6" s="16">
        <v>0</v>
      </c>
      <c r="F6" s="16">
        <v>26</v>
      </c>
      <c r="G6" s="16">
        <v>0</v>
      </c>
      <c r="H6" s="16">
        <v>0</v>
      </c>
      <c r="I6" s="16">
        <v>80</v>
      </c>
      <c r="J6" s="16">
        <v>26</v>
      </c>
      <c r="K6" s="16">
        <v>0</v>
      </c>
      <c r="L6" s="16">
        <v>0</v>
      </c>
      <c r="M6" s="16">
        <v>0</v>
      </c>
      <c r="N6" s="16">
        <v>1884</v>
      </c>
      <c r="O6" s="16">
        <v>4127</v>
      </c>
      <c r="P6" s="16">
        <v>5068</v>
      </c>
      <c r="Q6" s="16">
        <v>116</v>
      </c>
      <c r="R6" s="16">
        <v>296</v>
      </c>
      <c r="S6" s="16">
        <v>16095</v>
      </c>
      <c r="T6" s="16">
        <v>682</v>
      </c>
      <c r="U6" s="16">
        <v>179862</v>
      </c>
      <c r="V6" s="16">
        <v>519057</v>
      </c>
      <c r="W6" s="16">
        <v>1406376</v>
      </c>
      <c r="X6" s="16">
        <v>0</v>
      </c>
      <c r="Y6" s="16">
        <v>0</v>
      </c>
      <c r="Z6" s="16">
        <v>0</v>
      </c>
      <c r="AA6" s="16">
        <v>0</v>
      </c>
    </row>
    <row r="7" spans="1:27" s="26" customFormat="1" x14ac:dyDescent="0.25">
      <c r="A7" s="34" t="s">
        <v>4</v>
      </c>
      <c r="B7" s="16">
        <v>42578</v>
      </c>
      <c r="C7" s="16">
        <v>3164</v>
      </c>
      <c r="D7" s="16">
        <v>359</v>
      </c>
      <c r="E7" s="16">
        <v>1571</v>
      </c>
      <c r="F7" s="16">
        <v>946</v>
      </c>
      <c r="G7" s="16">
        <v>10</v>
      </c>
      <c r="H7" s="16">
        <v>0</v>
      </c>
      <c r="I7" s="16">
        <v>4715</v>
      </c>
      <c r="J7" s="16">
        <v>2096</v>
      </c>
      <c r="K7" s="16">
        <v>8667</v>
      </c>
      <c r="L7" s="16">
        <v>63</v>
      </c>
      <c r="M7" s="16">
        <v>176</v>
      </c>
      <c r="N7" s="16">
        <v>0</v>
      </c>
      <c r="O7" s="16">
        <v>0</v>
      </c>
      <c r="P7" s="16">
        <v>0</v>
      </c>
      <c r="Q7" s="16">
        <v>0</v>
      </c>
      <c r="R7" s="16">
        <v>0</v>
      </c>
      <c r="S7" s="16">
        <v>0</v>
      </c>
      <c r="T7" s="16">
        <v>0</v>
      </c>
      <c r="U7" s="16">
        <v>1299608</v>
      </c>
      <c r="V7" s="16">
        <v>4697127</v>
      </c>
      <c r="W7" s="16">
        <v>1723259</v>
      </c>
      <c r="X7" s="16">
        <v>21</v>
      </c>
      <c r="Y7" s="16">
        <v>0</v>
      </c>
      <c r="Z7" s="16">
        <v>0</v>
      </c>
      <c r="AA7" s="16">
        <v>0</v>
      </c>
    </row>
    <row r="8" spans="1:27" s="26" customFormat="1" x14ac:dyDescent="0.25">
      <c r="A8" s="34" t="s">
        <v>5</v>
      </c>
      <c r="B8" s="16">
        <v>0</v>
      </c>
      <c r="C8" s="16">
        <v>0</v>
      </c>
      <c r="D8" s="16">
        <v>0</v>
      </c>
      <c r="E8" s="16">
        <v>0</v>
      </c>
      <c r="F8" s="16">
        <v>0</v>
      </c>
      <c r="G8" s="16">
        <v>163</v>
      </c>
      <c r="H8" s="16">
        <v>3352</v>
      </c>
      <c r="I8" s="16">
        <v>15359</v>
      </c>
      <c r="J8" s="16">
        <v>384</v>
      </c>
      <c r="K8" s="16">
        <v>616</v>
      </c>
      <c r="L8" s="16">
        <v>0</v>
      </c>
      <c r="M8" s="16">
        <v>148</v>
      </c>
      <c r="N8" s="16">
        <v>0</v>
      </c>
      <c r="O8" s="16">
        <v>0</v>
      </c>
      <c r="P8" s="16">
        <v>0</v>
      </c>
      <c r="Q8" s="16">
        <v>0</v>
      </c>
      <c r="R8" s="16">
        <v>0</v>
      </c>
      <c r="S8" s="16">
        <v>0</v>
      </c>
      <c r="T8" s="16">
        <v>0</v>
      </c>
      <c r="U8" s="16">
        <v>0</v>
      </c>
      <c r="V8" s="16">
        <v>0</v>
      </c>
      <c r="W8" s="16">
        <v>0</v>
      </c>
      <c r="X8" s="16">
        <v>863</v>
      </c>
      <c r="Y8" s="16">
        <v>3564</v>
      </c>
      <c r="Z8" s="16">
        <v>748</v>
      </c>
      <c r="AA8" s="16">
        <v>1842</v>
      </c>
    </row>
    <row r="9" spans="1:27"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row>
    <row r="10" spans="1:27" s="26" customFormat="1" x14ac:dyDescent="0.25">
      <c r="A10" s="35" t="s">
        <v>7</v>
      </c>
      <c r="B10" s="19">
        <f>SUM(B2:B9)</f>
        <v>44636</v>
      </c>
      <c r="C10" s="19">
        <f>SUM(C2:C9)</f>
        <v>3576</v>
      </c>
      <c r="D10" s="19">
        <f>SUM(D2:D9)</f>
        <v>4666</v>
      </c>
      <c r="E10" s="19">
        <f>SUM(E2:E9)</f>
        <v>1571</v>
      </c>
      <c r="F10" s="19">
        <f t="shared" ref="F10" si="0">SUM(F2:F9)</f>
        <v>972</v>
      </c>
      <c r="G10" s="19">
        <f>SUM(G2:G9)</f>
        <v>173</v>
      </c>
      <c r="H10" s="19">
        <f t="shared" ref="H10:T10" si="1">SUM(H2:H9)</f>
        <v>3352</v>
      </c>
      <c r="I10" s="19">
        <f t="shared" ref="I10:R10" si="2">SUM(I2:I9)</f>
        <v>20154</v>
      </c>
      <c r="J10" s="19">
        <f t="shared" si="2"/>
        <v>2506</v>
      </c>
      <c r="K10" s="19">
        <f t="shared" si="2"/>
        <v>9283</v>
      </c>
      <c r="L10" s="19">
        <f t="shared" si="2"/>
        <v>63</v>
      </c>
      <c r="M10" s="19">
        <f t="shared" si="2"/>
        <v>324</v>
      </c>
      <c r="N10" s="19">
        <f t="shared" si="2"/>
        <v>1884</v>
      </c>
      <c r="O10" s="19">
        <f t="shared" si="2"/>
        <v>4127</v>
      </c>
      <c r="P10" s="19">
        <f t="shared" si="2"/>
        <v>5068</v>
      </c>
      <c r="Q10" s="19">
        <f t="shared" si="2"/>
        <v>116</v>
      </c>
      <c r="R10" s="19">
        <f t="shared" si="2"/>
        <v>296</v>
      </c>
      <c r="S10" s="19">
        <f t="shared" si="1"/>
        <v>29305</v>
      </c>
      <c r="T10" s="19">
        <f t="shared" si="1"/>
        <v>682</v>
      </c>
      <c r="U10" s="19">
        <f>SUM(U2:U9)</f>
        <v>1479470</v>
      </c>
      <c r="V10" s="19">
        <f>SUM(V2:V9)</f>
        <v>5216184</v>
      </c>
      <c r="W10" s="19">
        <f t="shared" ref="W10:AA10" si="3">SUM(W2:W9)</f>
        <v>3129635</v>
      </c>
      <c r="X10" s="19">
        <f t="shared" si="3"/>
        <v>884</v>
      </c>
      <c r="Y10" s="19">
        <f t="shared" si="3"/>
        <v>3564</v>
      </c>
      <c r="Z10" s="19">
        <f t="shared" si="3"/>
        <v>748</v>
      </c>
      <c r="AA10" s="19">
        <f t="shared" si="3"/>
        <v>1842</v>
      </c>
    </row>
    <row r="11" spans="1:27"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row>
    <row r="12" spans="1:27"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row>
    <row r="13" spans="1:27" s="26" customFormat="1" x14ac:dyDescent="0.25">
      <c r="A13" s="34" t="s">
        <v>164</v>
      </c>
      <c r="B13" s="16">
        <v>887</v>
      </c>
      <c r="C13" s="16">
        <v>0</v>
      </c>
      <c r="D13" s="16">
        <v>0</v>
      </c>
      <c r="E13" s="16">
        <v>0</v>
      </c>
      <c r="F13" s="16">
        <v>0</v>
      </c>
      <c r="G13" s="16">
        <v>0</v>
      </c>
      <c r="H13" s="16">
        <v>0</v>
      </c>
      <c r="I13" s="16">
        <v>0</v>
      </c>
      <c r="J13" s="16">
        <v>0</v>
      </c>
      <c r="K13" s="16">
        <v>0</v>
      </c>
      <c r="L13" s="16">
        <v>0</v>
      </c>
      <c r="M13" s="16">
        <v>0</v>
      </c>
      <c r="N13" s="16">
        <v>0</v>
      </c>
      <c r="O13" s="16">
        <v>0</v>
      </c>
      <c r="P13" s="16">
        <v>0</v>
      </c>
      <c r="Q13" s="16">
        <v>0</v>
      </c>
      <c r="R13" s="16">
        <v>0</v>
      </c>
      <c r="S13" s="16">
        <v>34647</v>
      </c>
      <c r="T13" s="16">
        <v>0</v>
      </c>
      <c r="U13" s="16">
        <v>0</v>
      </c>
      <c r="V13" s="16">
        <v>0</v>
      </c>
      <c r="W13" s="16">
        <v>0</v>
      </c>
      <c r="X13" s="16">
        <v>0</v>
      </c>
      <c r="Y13" s="16">
        <v>0</v>
      </c>
      <c r="Z13" s="16">
        <v>0</v>
      </c>
      <c r="AA13" s="16">
        <v>0</v>
      </c>
    </row>
    <row r="14" spans="1:27" s="26" customFormat="1" x14ac:dyDescent="0.25">
      <c r="A14" s="34" t="s">
        <v>10</v>
      </c>
      <c r="B14" s="16">
        <v>411</v>
      </c>
      <c r="C14" s="16">
        <v>10</v>
      </c>
      <c r="D14" s="16">
        <v>0</v>
      </c>
      <c r="E14" s="16">
        <v>12</v>
      </c>
      <c r="F14" s="16">
        <v>0</v>
      </c>
      <c r="G14" s="16">
        <v>0</v>
      </c>
      <c r="H14" s="16">
        <v>0</v>
      </c>
      <c r="I14" s="16">
        <v>0</v>
      </c>
      <c r="J14" s="16">
        <v>0</v>
      </c>
      <c r="K14" s="16">
        <v>0</v>
      </c>
      <c r="L14" s="16">
        <v>0</v>
      </c>
      <c r="M14" s="16">
        <v>0</v>
      </c>
      <c r="N14" s="16">
        <v>2237</v>
      </c>
      <c r="O14" s="16">
        <v>902</v>
      </c>
      <c r="P14" s="16">
        <v>2385</v>
      </c>
      <c r="Q14" s="16">
        <v>228</v>
      </c>
      <c r="R14" s="16">
        <v>72</v>
      </c>
      <c r="S14" s="16">
        <v>8406</v>
      </c>
      <c r="T14" s="16">
        <v>365</v>
      </c>
      <c r="U14" s="16">
        <v>242964</v>
      </c>
      <c r="V14" s="16">
        <v>903400</v>
      </c>
      <c r="W14" s="16">
        <v>2032151</v>
      </c>
      <c r="X14" s="16">
        <v>0</v>
      </c>
      <c r="Y14" s="16">
        <v>0</v>
      </c>
      <c r="Z14" s="16">
        <v>0</v>
      </c>
      <c r="AA14" s="16">
        <v>0</v>
      </c>
    </row>
    <row r="15" spans="1:27" s="26" customFormat="1" x14ac:dyDescent="0.25">
      <c r="A15" s="34" t="s">
        <v>11</v>
      </c>
      <c r="B15" s="16">
        <v>4922</v>
      </c>
      <c r="C15" s="16">
        <v>911</v>
      </c>
      <c r="D15" s="16">
        <v>0</v>
      </c>
      <c r="E15" s="16">
        <v>28</v>
      </c>
      <c r="F15" s="16">
        <v>601</v>
      </c>
      <c r="G15" s="16">
        <v>40</v>
      </c>
      <c r="H15" s="16">
        <v>0</v>
      </c>
      <c r="I15" s="16">
        <v>3820</v>
      </c>
      <c r="J15" s="16">
        <v>0</v>
      </c>
      <c r="K15" s="16">
        <v>975</v>
      </c>
      <c r="L15" s="16">
        <v>96</v>
      </c>
      <c r="M15" s="16">
        <v>70</v>
      </c>
      <c r="N15" s="16">
        <v>0</v>
      </c>
      <c r="O15" s="16">
        <v>0</v>
      </c>
      <c r="P15" s="16">
        <v>0</v>
      </c>
      <c r="Q15" s="16">
        <v>0</v>
      </c>
      <c r="R15" s="16">
        <v>0</v>
      </c>
      <c r="S15" s="16">
        <v>0</v>
      </c>
      <c r="T15" s="16">
        <v>0</v>
      </c>
      <c r="U15" s="16">
        <v>2699698</v>
      </c>
      <c r="V15" s="16">
        <v>4180334</v>
      </c>
      <c r="W15" s="16">
        <v>2361825</v>
      </c>
      <c r="X15" s="16">
        <v>13</v>
      </c>
      <c r="Y15" s="16">
        <v>0</v>
      </c>
      <c r="Z15" s="16">
        <v>0</v>
      </c>
      <c r="AA15" s="16">
        <v>0</v>
      </c>
    </row>
    <row r="16" spans="1:27" s="26" customFormat="1" x14ac:dyDescent="0.25">
      <c r="A16" s="34" t="s">
        <v>12</v>
      </c>
      <c r="B16" s="16">
        <v>0</v>
      </c>
      <c r="C16" s="16">
        <v>0</v>
      </c>
      <c r="D16" s="16">
        <v>0</v>
      </c>
      <c r="E16" s="16">
        <v>0</v>
      </c>
      <c r="F16" s="16">
        <v>0</v>
      </c>
      <c r="G16" s="16">
        <v>0</v>
      </c>
      <c r="H16" s="16">
        <v>0</v>
      </c>
      <c r="I16" s="16">
        <v>1858</v>
      </c>
      <c r="J16" s="16">
        <v>0</v>
      </c>
      <c r="K16" s="16">
        <v>0</v>
      </c>
      <c r="L16" s="16">
        <v>0</v>
      </c>
      <c r="M16" s="16">
        <v>0</v>
      </c>
      <c r="N16" s="16">
        <v>0</v>
      </c>
      <c r="O16" s="16">
        <v>0</v>
      </c>
      <c r="P16" s="16">
        <v>0</v>
      </c>
      <c r="Q16" s="16">
        <v>0</v>
      </c>
      <c r="R16" s="16">
        <v>0</v>
      </c>
      <c r="S16" s="16">
        <v>0</v>
      </c>
      <c r="T16" s="16">
        <v>0</v>
      </c>
      <c r="U16" s="16">
        <v>0</v>
      </c>
      <c r="V16" s="16">
        <v>0</v>
      </c>
      <c r="W16" s="16">
        <v>0</v>
      </c>
      <c r="X16" s="16">
        <v>346</v>
      </c>
      <c r="Y16" s="16">
        <v>279</v>
      </c>
      <c r="Z16" s="16">
        <v>54</v>
      </c>
      <c r="AA16" s="16">
        <v>854</v>
      </c>
    </row>
    <row r="17" spans="1:27"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row>
    <row r="18" spans="1:27" s="26" customFormat="1" x14ac:dyDescent="0.25">
      <c r="A18" s="35" t="s">
        <v>14</v>
      </c>
      <c r="B18" s="19">
        <f>SUM(B11:B17)</f>
        <v>6220</v>
      </c>
      <c r="C18" s="19">
        <f>SUM(C11:C17)</f>
        <v>921</v>
      </c>
      <c r="D18" s="19">
        <f>SUM(D11:D17)</f>
        <v>0</v>
      </c>
      <c r="E18" s="19">
        <f>SUM(E11:E17)</f>
        <v>40</v>
      </c>
      <c r="F18" s="19">
        <f t="shared" ref="F18" si="4">SUM(F11:F17)</f>
        <v>601</v>
      </c>
      <c r="G18" s="19">
        <f>SUM(G11:G17)</f>
        <v>40</v>
      </c>
      <c r="H18" s="19">
        <f t="shared" ref="H18" si="5">SUM(H11:H17)</f>
        <v>0</v>
      </c>
      <c r="I18" s="19">
        <f t="shared" ref="I18:R18" si="6">SUM(I11:I17)</f>
        <v>5678</v>
      </c>
      <c r="J18" s="19">
        <f t="shared" si="6"/>
        <v>0</v>
      </c>
      <c r="K18" s="19">
        <f t="shared" si="6"/>
        <v>975</v>
      </c>
      <c r="L18" s="19">
        <f t="shared" si="6"/>
        <v>96</v>
      </c>
      <c r="M18" s="19">
        <f t="shared" si="6"/>
        <v>70</v>
      </c>
      <c r="N18" s="19">
        <f t="shared" si="6"/>
        <v>2237</v>
      </c>
      <c r="O18" s="19">
        <f t="shared" si="6"/>
        <v>902</v>
      </c>
      <c r="P18" s="19">
        <f t="shared" si="6"/>
        <v>2385</v>
      </c>
      <c r="Q18" s="19">
        <f t="shared" si="6"/>
        <v>228</v>
      </c>
      <c r="R18" s="19">
        <f t="shared" si="6"/>
        <v>72</v>
      </c>
      <c r="S18" s="19">
        <f t="shared" ref="S18:T18" si="7">SUM(S11:S17)</f>
        <v>43053</v>
      </c>
      <c r="T18" s="19">
        <f t="shared" si="7"/>
        <v>365</v>
      </c>
      <c r="U18" s="19">
        <f>SUM(U11:U17)</f>
        <v>2942662</v>
      </c>
      <c r="V18" s="19">
        <f>SUM(V11:V17)</f>
        <v>5083734</v>
      </c>
      <c r="W18" s="19">
        <f t="shared" ref="W18:AA18" si="8">SUM(W11:W17)</f>
        <v>4393976</v>
      </c>
      <c r="X18" s="19">
        <f t="shared" si="8"/>
        <v>359</v>
      </c>
      <c r="Y18" s="19">
        <f t="shared" si="8"/>
        <v>279</v>
      </c>
      <c r="Z18" s="19">
        <f t="shared" si="8"/>
        <v>54</v>
      </c>
      <c r="AA18" s="19">
        <f t="shared" si="8"/>
        <v>854</v>
      </c>
    </row>
    <row r="19" spans="1:27" s="26" customFormat="1" x14ac:dyDescent="0.25">
      <c r="A19" s="35" t="s">
        <v>15</v>
      </c>
      <c r="B19" s="19">
        <f>SUM(B10,B18)</f>
        <v>50856</v>
      </c>
      <c r="C19" s="19">
        <f>SUM(C10,C18)</f>
        <v>4497</v>
      </c>
      <c r="D19" s="19">
        <f>SUM(D10,D18)</f>
        <v>4666</v>
      </c>
      <c r="E19" s="19">
        <f>SUM(E10,E18)</f>
        <v>1611</v>
      </c>
      <c r="F19" s="19">
        <f t="shared" ref="F19" si="9">SUM(F10,F18)</f>
        <v>1573</v>
      </c>
      <c r="G19" s="19">
        <f>SUM(G10,G18)</f>
        <v>213</v>
      </c>
      <c r="H19" s="19">
        <f t="shared" ref="H19" si="10">SUM(H10,H18)</f>
        <v>3352</v>
      </c>
      <c r="I19" s="19">
        <f t="shared" ref="I19:R19" si="11">SUM(I10,I18)</f>
        <v>25832</v>
      </c>
      <c r="J19" s="19">
        <f t="shared" si="11"/>
        <v>2506</v>
      </c>
      <c r="K19" s="19">
        <f t="shared" si="11"/>
        <v>10258</v>
      </c>
      <c r="L19" s="19">
        <f t="shared" si="11"/>
        <v>159</v>
      </c>
      <c r="M19" s="19">
        <f t="shared" si="11"/>
        <v>394</v>
      </c>
      <c r="N19" s="19">
        <f t="shared" si="11"/>
        <v>4121</v>
      </c>
      <c r="O19" s="19">
        <f t="shared" si="11"/>
        <v>5029</v>
      </c>
      <c r="P19" s="19">
        <f t="shared" si="11"/>
        <v>7453</v>
      </c>
      <c r="Q19" s="19">
        <f t="shared" si="11"/>
        <v>344</v>
      </c>
      <c r="R19" s="19">
        <f t="shared" si="11"/>
        <v>368</v>
      </c>
      <c r="S19" s="19">
        <f t="shared" ref="S19:T19" si="12">SUM(S10,S18)</f>
        <v>72358</v>
      </c>
      <c r="T19" s="19">
        <f t="shared" si="12"/>
        <v>1047</v>
      </c>
      <c r="U19" s="19">
        <f>SUM(U10,U18)</f>
        <v>4422132</v>
      </c>
      <c r="V19" s="19">
        <f>SUM(V10,V18)</f>
        <v>10299918</v>
      </c>
      <c r="W19" s="19">
        <f t="shared" ref="W19:AA19" si="13">SUM(W10,W18)</f>
        <v>7523611</v>
      </c>
      <c r="X19" s="19">
        <f t="shared" si="13"/>
        <v>1243</v>
      </c>
      <c r="Y19" s="19">
        <f t="shared" si="13"/>
        <v>3843</v>
      </c>
      <c r="Z19" s="19">
        <f t="shared" si="13"/>
        <v>802</v>
      </c>
      <c r="AA19" s="19">
        <f t="shared" si="13"/>
        <v>2696</v>
      </c>
    </row>
    <row r="21" spans="1:27"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row>
    <row r="22" spans="1:27"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row>
    <row r="23" spans="1:27"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row>
    <row r="24" spans="1:27"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row>
    <row r="25" spans="1:27"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row>
  </sheetData>
  <sheetProtection formatCells="0" formatColumns="0" formatRows="0" insertColumns="0" insertRows="0" sort="0" autoFilter="0" pivotTables="0"/>
  <dataValidations count="1">
    <dataValidation type="list" errorStyle="information" allowBlank="1" showInputMessage="1" showErrorMessage="1" sqref="B1:AA1" xr:uid="{8A9B6F49-C066-4701-AA48-7D87C1AB2CD9}">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03A3366-1A56-4CE0-94D5-C36015307D26}">
          <x14:formula1>
            <xm:f>'Term List'!$A2:$A242</xm:f>
          </x14:formula1>
          <xm:sqref>AB1:XFD1</xm:sqref>
        </x14:dataValidation>
      </x14:dataValidation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2053F-6690-4F42-B0C6-DA18052F021B}">
  <sheetPr codeName="Sheet49"/>
  <dimension ref="A1:N25"/>
  <sheetViews>
    <sheetView workbookViewId="0">
      <pane xSplit="1" ySplit="1" topLeftCell="B2" activePane="bottomRight" state="frozen"/>
      <selection activeCell="E23" sqref="E23"/>
      <selection pane="topRight" activeCell="E23" sqref="E23"/>
      <selection pane="bottomLeft" activeCell="E23" sqref="E23"/>
      <selection pane="bottomRight" activeCell="E22" sqref="E22"/>
    </sheetView>
  </sheetViews>
  <sheetFormatPr defaultRowHeight="15" x14ac:dyDescent="0.25"/>
  <cols>
    <col min="1" max="1" width="35.7109375" style="6" bestFit="1"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5.5703125" style="5" customWidth="1"/>
    <col min="11" max="11" width="15" style="5" customWidth="1"/>
    <col min="12" max="12" width="17.140625" style="5" customWidth="1"/>
    <col min="13" max="13" width="16.5703125" style="5" customWidth="1"/>
    <col min="14" max="14" width="14.42578125" style="5" customWidth="1"/>
    <col min="15" max="16384" width="9.140625" style="3"/>
  </cols>
  <sheetData>
    <row r="1" spans="1:14" s="14" customFormat="1" ht="30" x14ac:dyDescent="0.25">
      <c r="A1" s="36" t="s">
        <v>404</v>
      </c>
      <c r="B1" s="36" t="s">
        <v>155</v>
      </c>
      <c r="C1" s="36" t="s">
        <v>156</v>
      </c>
      <c r="D1" s="36" t="s">
        <v>154</v>
      </c>
      <c r="E1" s="36" t="s">
        <v>150</v>
      </c>
      <c r="F1" s="36" t="s">
        <v>148</v>
      </c>
      <c r="G1" s="36" t="s">
        <v>147</v>
      </c>
      <c r="H1" s="36" t="s">
        <v>314</v>
      </c>
      <c r="I1" s="36" t="s">
        <v>139</v>
      </c>
      <c r="J1" s="36" t="s">
        <v>132</v>
      </c>
      <c r="K1" s="36" t="s">
        <v>130</v>
      </c>
      <c r="L1" s="36" t="s">
        <v>144</v>
      </c>
      <c r="M1" s="36" t="s">
        <v>142</v>
      </c>
      <c r="N1" s="36" t="s">
        <v>124</v>
      </c>
    </row>
    <row r="2" spans="1:14" s="26" customFormat="1" x14ac:dyDescent="0.25">
      <c r="A2" s="34" t="s">
        <v>0</v>
      </c>
      <c r="B2" s="16">
        <v>25943</v>
      </c>
      <c r="C2" s="17">
        <v>2267</v>
      </c>
      <c r="D2" s="17">
        <v>300</v>
      </c>
      <c r="E2" s="17">
        <v>5844</v>
      </c>
      <c r="F2" s="17">
        <v>247</v>
      </c>
      <c r="G2" s="17">
        <v>0</v>
      </c>
      <c r="H2" s="17">
        <v>0</v>
      </c>
      <c r="I2" s="17">
        <v>0</v>
      </c>
      <c r="J2" s="17">
        <v>1971</v>
      </c>
      <c r="K2" s="17">
        <v>267</v>
      </c>
      <c r="L2" s="17">
        <v>282</v>
      </c>
      <c r="M2" s="17">
        <v>720</v>
      </c>
      <c r="N2" s="17">
        <v>6942123</v>
      </c>
    </row>
    <row r="3" spans="1:14" s="26" customFormat="1" x14ac:dyDescent="0.25">
      <c r="A3" s="34" t="s">
        <v>1</v>
      </c>
      <c r="B3" s="16">
        <v>1313</v>
      </c>
      <c r="C3" s="17">
        <v>109</v>
      </c>
      <c r="D3" s="17">
        <v>222</v>
      </c>
      <c r="E3" s="17">
        <v>1162</v>
      </c>
      <c r="F3" s="17">
        <v>128</v>
      </c>
      <c r="G3" s="17">
        <v>0</v>
      </c>
      <c r="H3" s="17">
        <v>0</v>
      </c>
      <c r="I3" s="17">
        <v>0</v>
      </c>
      <c r="J3" s="17">
        <v>182</v>
      </c>
      <c r="K3" s="17">
        <v>0</v>
      </c>
      <c r="L3" s="17">
        <v>5</v>
      </c>
      <c r="M3" s="17">
        <v>50</v>
      </c>
      <c r="N3" s="17">
        <v>296498</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449</v>
      </c>
      <c r="C6" s="17">
        <v>83</v>
      </c>
      <c r="D6" s="17">
        <v>819</v>
      </c>
      <c r="E6" s="17">
        <v>2795</v>
      </c>
      <c r="F6" s="17">
        <v>52</v>
      </c>
      <c r="G6" s="17">
        <v>0</v>
      </c>
      <c r="H6" s="17">
        <v>1</v>
      </c>
      <c r="I6" s="17">
        <v>3</v>
      </c>
      <c r="J6" s="17">
        <v>5</v>
      </c>
      <c r="K6" s="17">
        <v>16</v>
      </c>
      <c r="L6" s="17">
        <v>82</v>
      </c>
      <c r="M6" s="17">
        <v>967</v>
      </c>
      <c r="N6" s="17">
        <v>109525</v>
      </c>
    </row>
    <row r="7" spans="1:14" s="26" customFormat="1" x14ac:dyDescent="0.25">
      <c r="A7" s="34" t="s">
        <v>4</v>
      </c>
      <c r="B7" s="16">
        <v>804</v>
      </c>
      <c r="C7" s="17">
        <v>108</v>
      </c>
      <c r="D7" s="17">
        <v>392</v>
      </c>
      <c r="E7" s="17">
        <v>2071</v>
      </c>
      <c r="F7" s="17">
        <v>17</v>
      </c>
      <c r="G7" s="17">
        <v>0</v>
      </c>
      <c r="H7" s="17">
        <v>0</v>
      </c>
      <c r="I7" s="17">
        <v>0</v>
      </c>
      <c r="J7" s="17">
        <v>7</v>
      </c>
      <c r="K7" s="17">
        <v>41</v>
      </c>
      <c r="L7" s="17">
        <v>465</v>
      </c>
      <c r="M7" s="17">
        <v>2109</v>
      </c>
      <c r="N7" s="17">
        <v>565654</v>
      </c>
    </row>
    <row r="8" spans="1:14" s="26" customFormat="1" x14ac:dyDescent="0.25">
      <c r="A8" s="34" t="s">
        <v>5</v>
      </c>
      <c r="B8" s="16">
        <v>0</v>
      </c>
      <c r="C8" s="17">
        <v>0</v>
      </c>
      <c r="D8" s="17">
        <v>0</v>
      </c>
      <c r="E8" s="17">
        <v>401</v>
      </c>
      <c r="F8" s="17">
        <v>141</v>
      </c>
      <c r="G8" s="17">
        <v>203</v>
      </c>
      <c r="H8" s="17">
        <v>915</v>
      </c>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SUM(B2:B9)</f>
        <v>28509</v>
      </c>
      <c r="C10" s="19">
        <f t="shared" ref="C10:N10" si="0">SUM(C2:C9)</f>
        <v>2567</v>
      </c>
      <c r="D10" s="19">
        <f t="shared" si="0"/>
        <v>1733</v>
      </c>
      <c r="E10" s="19">
        <f t="shared" si="0"/>
        <v>12273</v>
      </c>
      <c r="F10" s="19">
        <f t="shared" si="0"/>
        <v>585</v>
      </c>
      <c r="G10" s="19">
        <f t="shared" si="0"/>
        <v>203</v>
      </c>
      <c r="H10" s="19">
        <f t="shared" si="0"/>
        <v>916</v>
      </c>
      <c r="I10" s="19">
        <f t="shared" si="0"/>
        <v>3</v>
      </c>
      <c r="J10" s="19">
        <f>SUM(J2:J9)</f>
        <v>2165</v>
      </c>
      <c r="K10" s="19">
        <f t="shared" si="0"/>
        <v>324</v>
      </c>
      <c r="L10" s="19">
        <f>SUM(L2:L9)</f>
        <v>834</v>
      </c>
      <c r="M10" s="19">
        <f t="shared" si="0"/>
        <v>3846</v>
      </c>
      <c r="N10" s="19">
        <f t="shared" si="0"/>
        <v>7913800</v>
      </c>
    </row>
    <row r="11" spans="1:14" s="26" customFormat="1" x14ac:dyDescent="0.25">
      <c r="A11" s="34" t="s">
        <v>8</v>
      </c>
      <c r="B11" s="16">
        <v>86215</v>
      </c>
      <c r="C11" s="16">
        <v>8009</v>
      </c>
      <c r="D11" s="16">
        <v>852</v>
      </c>
      <c r="E11" s="16">
        <v>26727</v>
      </c>
      <c r="F11" s="16">
        <v>372</v>
      </c>
      <c r="G11" s="16">
        <v>0</v>
      </c>
      <c r="H11" s="16">
        <v>0</v>
      </c>
      <c r="I11" s="16">
        <v>31</v>
      </c>
      <c r="J11" s="16">
        <v>1196</v>
      </c>
      <c r="K11" s="16">
        <v>868</v>
      </c>
      <c r="L11" s="16">
        <v>32</v>
      </c>
      <c r="M11" s="16">
        <v>8922</v>
      </c>
      <c r="N11" s="16">
        <v>6616685</v>
      </c>
    </row>
    <row r="12" spans="1:14" s="26" customFormat="1" x14ac:dyDescent="0.25">
      <c r="A12" s="34" t="s">
        <v>9</v>
      </c>
      <c r="B12" s="16">
        <v>50</v>
      </c>
      <c r="C12" s="16">
        <v>16</v>
      </c>
      <c r="D12" s="16">
        <v>9</v>
      </c>
      <c r="E12" s="16">
        <v>621</v>
      </c>
      <c r="F12" s="16">
        <v>20</v>
      </c>
      <c r="G12" s="16">
        <v>0</v>
      </c>
      <c r="H12" s="16">
        <v>0</v>
      </c>
      <c r="I12" s="16">
        <v>0</v>
      </c>
      <c r="J12" s="16">
        <v>0</v>
      </c>
      <c r="K12" s="16">
        <v>0</v>
      </c>
      <c r="L12" s="16">
        <v>0</v>
      </c>
      <c r="M12" s="16">
        <v>60</v>
      </c>
      <c r="N12" s="16">
        <v>110512</v>
      </c>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560</v>
      </c>
      <c r="C14" s="16">
        <v>76</v>
      </c>
      <c r="D14" s="16">
        <v>171</v>
      </c>
      <c r="E14" s="16">
        <v>4286</v>
      </c>
      <c r="F14" s="16">
        <v>110</v>
      </c>
      <c r="G14" s="16">
        <v>0</v>
      </c>
      <c r="H14" s="16">
        <v>0</v>
      </c>
      <c r="I14" s="16">
        <v>114</v>
      </c>
      <c r="J14" s="16">
        <v>0</v>
      </c>
      <c r="K14" s="16">
        <v>2</v>
      </c>
      <c r="L14" s="16">
        <v>12</v>
      </c>
      <c r="M14" s="16">
        <v>158</v>
      </c>
      <c r="N14" s="16">
        <v>20384</v>
      </c>
    </row>
    <row r="15" spans="1:14" s="26" customFormat="1" x14ac:dyDescent="0.25">
      <c r="A15" s="34" t="s">
        <v>11</v>
      </c>
      <c r="B15" s="16">
        <v>678</v>
      </c>
      <c r="C15" s="16">
        <v>426</v>
      </c>
      <c r="D15" s="16">
        <v>43</v>
      </c>
      <c r="E15" s="16">
        <v>4019</v>
      </c>
      <c r="F15" s="16">
        <v>7</v>
      </c>
      <c r="G15" s="16">
        <v>0</v>
      </c>
      <c r="H15" s="16">
        <v>0</v>
      </c>
      <c r="I15" s="16">
        <v>106</v>
      </c>
      <c r="J15" s="16">
        <v>0</v>
      </c>
      <c r="K15" s="16">
        <v>2</v>
      </c>
      <c r="L15" s="16">
        <v>68</v>
      </c>
      <c r="M15" s="16">
        <v>2831</v>
      </c>
      <c r="N15" s="16">
        <v>132325</v>
      </c>
    </row>
    <row r="16" spans="1:14" s="26" customFormat="1" x14ac:dyDescent="0.25">
      <c r="A16" s="34" t="s">
        <v>12</v>
      </c>
      <c r="B16" s="16">
        <v>0</v>
      </c>
      <c r="C16" s="16">
        <v>0</v>
      </c>
      <c r="D16" s="16">
        <v>0</v>
      </c>
      <c r="E16" s="16">
        <v>23</v>
      </c>
      <c r="F16" s="16">
        <v>0</v>
      </c>
      <c r="G16" s="16">
        <v>0</v>
      </c>
      <c r="H16" s="16">
        <v>0</v>
      </c>
      <c r="I16" s="16">
        <v>0</v>
      </c>
      <c r="J16" s="16">
        <v>0</v>
      </c>
      <c r="K16" s="16">
        <v>0</v>
      </c>
      <c r="L16" s="16">
        <v>0</v>
      </c>
      <c r="M16" s="16">
        <v>0</v>
      </c>
      <c r="N16" s="16">
        <v>0</v>
      </c>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SUM(B11:B17)</f>
        <v>87503</v>
      </c>
      <c r="C18" s="19">
        <f t="shared" ref="C18:N18" si="1">SUM(C11:C17)</f>
        <v>8527</v>
      </c>
      <c r="D18" s="19">
        <f t="shared" si="1"/>
        <v>1075</v>
      </c>
      <c r="E18" s="19">
        <f t="shared" si="1"/>
        <v>35676</v>
      </c>
      <c r="F18" s="19">
        <f t="shared" si="1"/>
        <v>509</v>
      </c>
      <c r="G18" s="19">
        <f t="shared" si="1"/>
        <v>0</v>
      </c>
      <c r="H18" s="19">
        <f t="shared" si="1"/>
        <v>0</v>
      </c>
      <c r="I18" s="19">
        <f t="shared" si="1"/>
        <v>251</v>
      </c>
      <c r="J18" s="19">
        <f>SUM(J11:J17)</f>
        <v>1196</v>
      </c>
      <c r="K18" s="19">
        <f t="shared" si="1"/>
        <v>872</v>
      </c>
      <c r="L18" s="19">
        <f>SUM(L11:L17)</f>
        <v>112</v>
      </c>
      <c r="M18" s="19">
        <f t="shared" si="1"/>
        <v>11971</v>
      </c>
      <c r="N18" s="19">
        <f t="shared" si="1"/>
        <v>6879906</v>
      </c>
    </row>
    <row r="19" spans="1:14" s="26" customFormat="1" x14ac:dyDescent="0.25">
      <c r="A19" s="35" t="s">
        <v>15</v>
      </c>
      <c r="B19" s="19">
        <f>SUM(B10,B18)</f>
        <v>116012</v>
      </c>
      <c r="C19" s="19">
        <f t="shared" ref="C19:N19" si="2">SUM(C10,C18)</f>
        <v>11094</v>
      </c>
      <c r="D19" s="19">
        <f t="shared" si="2"/>
        <v>2808</v>
      </c>
      <c r="E19" s="19">
        <f t="shared" si="2"/>
        <v>47949</v>
      </c>
      <c r="F19" s="19">
        <f t="shared" si="2"/>
        <v>1094</v>
      </c>
      <c r="G19" s="19">
        <f t="shared" si="2"/>
        <v>203</v>
      </c>
      <c r="H19" s="19">
        <f t="shared" si="2"/>
        <v>916</v>
      </c>
      <c r="I19" s="19">
        <f t="shared" si="2"/>
        <v>254</v>
      </c>
      <c r="J19" s="19">
        <f>SUM(J10,J18)</f>
        <v>3361</v>
      </c>
      <c r="K19" s="19">
        <f t="shared" si="2"/>
        <v>1196</v>
      </c>
      <c r="L19" s="19">
        <f>SUM(L10,L18)</f>
        <v>946</v>
      </c>
      <c r="M19" s="19">
        <f t="shared" si="2"/>
        <v>15817</v>
      </c>
      <c r="N19" s="19">
        <f t="shared" si="2"/>
        <v>14793706</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row r="25" spans="1:14" x14ac:dyDescent="0.25">
      <c r="B25" s="44"/>
      <c r="C25" s="44"/>
      <c r="D25" s="44"/>
      <c r="E25" s="44"/>
      <c r="F25" s="44"/>
      <c r="G25" s="44"/>
      <c r="H25" s="44"/>
      <c r="I25" s="44"/>
      <c r="J25" s="44"/>
      <c r="K25" s="44"/>
      <c r="L25" s="44"/>
      <c r="M25" s="44"/>
      <c r="N25" s="44"/>
    </row>
  </sheetData>
  <sheetProtection formatCells="0" formatColumns="0" formatRows="0" insertColumns="0" insertRows="0" sort="0" autoFilter="0" pivotTables="0"/>
  <dataValidations count="1">
    <dataValidation type="list" errorStyle="information" allowBlank="1" showInputMessage="1" showErrorMessage="1" sqref="B1:N1" xr:uid="{4BB83D7E-D3A2-4469-ABF2-68F4904A9F08}">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B868775-98D9-4BA0-9CDD-543B62214F03}">
          <x14:formula1>
            <xm:f>'Term List'!$A2:$A242</xm:f>
          </x14:formula1>
          <xm:sqref>O1:XFD1</xm:sqref>
        </x14:dataValidation>
      </x14:dataValidations>
    </ext>
  </extLs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9549D-1419-46D8-B875-3A20E9FA8579}">
  <sheetPr codeName="Sheet48"/>
  <dimension ref="A1:Z25"/>
  <sheetViews>
    <sheetView workbookViewId="0">
      <pane xSplit="1" ySplit="1" topLeftCell="J2" activePane="bottomRight" state="frozen"/>
      <selection activeCell="E23" sqref="E23"/>
      <selection pane="topRight" activeCell="E23" sqref="E23"/>
      <selection pane="bottomLeft" activeCell="E23" sqref="E23"/>
      <selection pane="bottomRight" activeCell="M23" sqref="M23"/>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1.7109375" style="5" customWidth="1"/>
    <col min="11" max="11" width="23.85546875" style="5" customWidth="1"/>
    <col min="12" max="12" width="16.42578125" style="3" customWidth="1"/>
    <col min="13" max="13" width="21.140625" style="5" customWidth="1"/>
    <col min="14" max="14" width="16.28515625" style="5" customWidth="1"/>
    <col min="15" max="15" width="17" style="5" customWidth="1"/>
    <col min="16" max="16" width="18.85546875" style="5" customWidth="1"/>
    <col min="17" max="17" width="21.140625" style="3" customWidth="1"/>
    <col min="18" max="18" width="21.28515625" style="5" customWidth="1"/>
    <col min="19" max="19" width="19.140625" style="5" customWidth="1"/>
    <col min="20" max="20" width="20.140625" style="3" customWidth="1"/>
    <col min="21" max="22" width="15.85546875" style="3" customWidth="1"/>
    <col min="23" max="23" width="18.28515625" style="3" customWidth="1"/>
    <col min="24" max="24" width="17.85546875" style="3" customWidth="1"/>
    <col min="25" max="25" width="17.28515625" style="3" customWidth="1"/>
    <col min="26" max="26" width="17.5703125" style="3" customWidth="1"/>
    <col min="27" max="16384" width="9.140625" style="3"/>
  </cols>
  <sheetData>
    <row r="1" spans="1:26" s="40" customFormat="1" ht="30" x14ac:dyDescent="0.25">
      <c r="A1" s="36" t="s">
        <v>403</v>
      </c>
      <c r="B1" s="36" t="s">
        <v>62</v>
      </c>
      <c r="C1" s="36" t="s">
        <v>36</v>
      </c>
      <c r="D1" s="36" t="s">
        <v>35</v>
      </c>
      <c r="E1" s="36" t="s">
        <v>39</v>
      </c>
      <c r="F1" s="36" t="s">
        <v>99</v>
      </c>
      <c r="G1" s="36" t="s">
        <v>95</v>
      </c>
      <c r="H1" s="36" t="s">
        <v>94</v>
      </c>
      <c r="I1" s="36" t="s">
        <v>386</v>
      </c>
      <c r="J1" s="36" t="s">
        <v>387</v>
      </c>
      <c r="K1" s="36" t="s">
        <v>388</v>
      </c>
      <c r="L1" s="36" t="s">
        <v>85</v>
      </c>
      <c r="M1" s="36" t="s">
        <v>570</v>
      </c>
      <c r="N1" s="36" t="s">
        <v>571</v>
      </c>
      <c r="O1" s="36" t="s">
        <v>572</v>
      </c>
      <c r="P1" s="36" t="s">
        <v>573</v>
      </c>
      <c r="Q1" s="36" t="s">
        <v>566</v>
      </c>
      <c r="R1" s="36" t="s">
        <v>567</v>
      </c>
      <c r="S1" s="36" t="s">
        <v>569</v>
      </c>
      <c r="T1" s="36" t="s">
        <v>107</v>
      </c>
      <c r="U1" s="36" t="s">
        <v>101</v>
      </c>
      <c r="V1" s="36" t="s">
        <v>75</v>
      </c>
      <c r="W1" s="36" t="s">
        <v>330</v>
      </c>
      <c r="X1" s="36" t="s">
        <v>331</v>
      </c>
      <c r="Y1" s="36" t="s">
        <v>332</v>
      </c>
      <c r="Z1" s="36" t="s">
        <v>333</v>
      </c>
    </row>
    <row r="2" spans="1:26"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row>
    <row r="3" spans="1:26"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row>
    <row r="4" spans="1:26" s="26" customFormat="1" x14ac:dyDescent="0.25">
      <c r="A4" s="34" t="s">
        <v>169</v>
      </c>
      <c r="B4" s="16">
        <v>1155</v>
      </c>
      <c r="C4" s="16">
        <v>201</v>
      </c>
      <c r="D4" s="16">
        <v>3789</v>
      </c>
      <c r="E4" s="16">
        <v>0</v>
      </c>
      <c r="F4" s="16">
        <v>0</v>
      </c>
      <c r="G4" s="16">
        <v>0</v>
      </c>
      <c r="H4" s="16">
        <v>450</v>
      </c>
      <c r="I4" s="16">
        <v>0</v>
      </c>
      <c r="J4" s="16">
        <v>0</v>
      </c>
      <c r="K4" s="16">
        <v>0</v>
      </c>
      <c r="L4" s="16">
        <v>100</v>
      </c>
      <c r="M4" s="16">
        <v>0</v>
      </c>
      <c r="N4" s="16">
        <v>0</v>
      </c>
      <c r="O4" s="16">
        <v>0</v>
      </c>
      <c r="P4" s="16">
        <v>0</v>
      </c>
      <c r="Q4" s="16">
        <v>0</v>
      </c>
      <c r="R4" s="16">
        <v>9705</v>
      </c>
      <c r="S4" s="16">
        <v>0</v>
      </c>
      <c r="T4" s="16">
        <v>0</v>
      </c>
      <c r="U4" s="16">
        <v>0</v>
      </c>
      <c r="V4" s="16">
        <v>0</v>
      </c>
      <c r="W4" s="16">
        <v>0</v>
      </c>
      <c r="X4" s="16">
        <v>0</v>
      </c>
      <c r="Y4" s="16">
        <v>0</v>
      </c>
      <c r="Z4" s="16">
        <v>0</v>
      </c>
    </row>
    <row r="5" spans="1:26"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row>
    <row r="6" spans="1:26" s="26" customFormat="1" x14ac:dyDescent="0.25">
      <c r="A6" s="34" t="s">
        <v>3</v>
      </c>
      <c r="B6" s="16">
        <v>12227</v>
      </c>
      <c r="C6" s="16">
        <v>476</v>
      </c>
      <c r="D6" s="16">
        <v>140</v>
      </c>
      <c r="E6" s="16">
        <v>333</v>
      </c>
      <c r="F6" s="16">
        <v>117</v>
      </c>
      <c r="G6" s="16">
        <v>0</v>
      </c>
      <c r="H6" s="16">
        <v>0</v>
      </c>
      <c r="I6" s="16">
        <v>1680</v>
      </c>
      <c r="J6" s="16">
        <v>0</v>
      </c>
      <c r="K6" s="16">
        <v>1447</v>
      </c>
      <c r="L6" s="16">
        <v>0</v>
      </c>
      <c r="M6" s="16">
        <v>1481</v>
      </c>
      <c r="N6" s="16">
        <v>5131</v>
      </c>
      <c r="O6" s="16">
        <v>2553</v>
      </c>
      <c r="P6" s="16">
        <v>397</v>
      </c>
      <c r="Q6" s="16">
        <v>239</v>
      </c>
      <c r="R6" s="16">
        <v>19052</v>
      </c>
      <c r="S6" s="16">
        <v>866</v>
      </c>
      <c r="T6" s="16">
        <v>406530</v>
      </c>
      <c r="U6" s="16">
        <v>1477140</v>
      </c>
      <c r="V6" s="16">
        <v>2756100</v>
      </c>
      <c r="W6" s="16">
        <v>0</v>
      </c>
      <c r="X6" s="16">
        <v>0</v>
      </c>
      <c r="Y6" s="16">
        <v>0</v>
      </c>
      <c r="Z6" s="16">
        <v>0</v>
      </c>
    </row>
    <row r="7" spans="1:26" s="26" customFormat="1" x14ac:dyDescent="0.25">
      <c r="A7" s="34" t="s">
        <v>4</v>
      </c>
      <c r="B7" s="16">
        <v>42835</v>
      </c>
      <c r="C7" s="16">
        <v>2186</v>
      </c>
      <c r="D7" s="16">
        <v>135</v>
      </c>
      <c r="E7" s="16">
        <v>752</v>
      </c>
      <c r="F7" s="16">
        <v>1474</v>
      </c>
      <c r="G7" s="16">
        <v>0</v>
      </c>
      <c r="H7" s="16">
        <v>0</v>
      </c>
      <c r="I7" s="16">
        <v>350</v>
      </c>
      <c r="J7" s="16">
        <v>0</v>
      </c>
      <c r="K7" s="16">
        <v>6253</v>
      </c>
      <c r="L7" s="16">
        <v>79</v>
      </c>
      <c r="M7" s="16">
        <v>0</v>
      </c>
      <c r="N7" s="16">
        <v>0</v>
      </c>
      <c r="O7" s="16">
        <v>0</v>
      </c>
      <c r="P7" s="16">
        <v>0</v>
      </c>
      <c r="Q7" s="16">
        <v>0</v>
      </c>
      <c r="R7" s="16">
        <v>0</v>
      </c>
      <c r="S7" s="16">
        <v>0</v>
      </c>
      <c r="T7" s="16">
        <v>1398784</v>
      </c>
      <c r="U7" s="16">
        <v>6783866</v>
      </c>
      <c r="V7" s="16">
        <v>4916287</v>
      </c>
      <c r="W7" s="16">
        <v>42</v>
      </c>
      <c r="X7" s="16">
        <v>0</v>
      </c>
      <c r="Y7" s="16">
        <v>0</v>
      </c>
      <c r="Z7" s="16">
        <v>0</v>
      </c>
    </row>
    <row r="8" spans="1:26" s="26" customFormat="1" x14ac:dyDescent="0.25">
      <c r="A8" s="34" t="s">
        <v>5</v>
      </c>
      <c r="B8" s="16">
        <v>0</v>
      </c>
      <c r="C8" s="16">
        <v>0</v>
      </c>
      <c r="D8" s="16">
        <v>0</v>
      </c>
      <c r="E8" s="16">
        <v>0</v>
      </c>
      <c r="F8" s="16">
        <v>0</v>
      </c>
      <c r="G8" s="16">
        <v>396</v>
      </c>
      <c r="H8" s="16">
        <v>4026</v>
      </c>
      <c r="I8" s="16">
        <v>17797</v>
      </c>
      <c r="J8" s="16">
        <v>1243</v>
      </c>
      <c r="K8" s="16">
        <v>104</v>
      </c>
      <c r="L8" s="16">
        <v>23</v>
      </c>
      <c r="M8" s="16">
        <v>0</v>
      </c>
      <c r="N8" s="16">
        <v>0</v>
      </c>
      <c r="O8" s="16">
        <v>0</v>
      </c>
      <c r="P8" s="16">
        <v>0</v>
      </c>
      <c r="Q8" s="16">
        <v>0</v>
      </c>
      <c r="R8" s="16">
        <v>0</v>
      </c>
      <c r="S8" s="16">
        <v>0</v>
      </c>
      <c r="T8" s="16">
        <v>0</v>
      </c>
      <c r="U8" s="16">
        <v>0</v>
      </c>
      <c r="V8" s="16">
        <v>0</v>
      </c>
      <c r="W8" s="16">
        <v>638</v>
      </c>
      <c r="X8" s="16">
        <v>1999</v>
      </c>
      <c r="Y8" s="16">
        <v>202</v>
      </c>
      <c r="Z8" s="16">
        <v>2808</v>
      </c>
    </row>
    <row r="9" spans="1:26"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row>
    <row r="10" spans="1:26" s="26" customFormat="1" x14ac:dyDescent="0.25">
      <c r="A10" s="35" t="s">
        <v>7</v>
      </c>
      <c r="B10" s="19">
        <f>SUM(B2:B9)</f>
        <v>56217</v>
      </c>
      <c r="C10" s="19">
        <f>SUM(C2:C9)</f>
        <v>2863</v>
      </c>
      <c r="D10" s="19">
        <f>SUM(D2:D9)</f>
        <v>4064</v>
      </c>
      <c r="E10" s="19">
        <f>SUM(E2:E9)</f>
        <v>1085</v>
      </c>
      <c r="F10" s="19">
        <f t="shared" ref="F10" si="0">SUM(F2:F9)</f>
        <v>1591</v>
      </c>
      <c r="G10" s="19">
        <f>SUM(G2:G9)</f>
        <v>396</v>
      </c>
      <c r="H10" s="19">
        <f t="shared" ref="H10:S10" si="1">SUM(H2:H9)</f>
        <v>4476</v>
      </c>
      <c r="I10" s="19">
        <f t="shared" ref="I10:Q10" si="2">SUM(I2:I9)</f>
        <v>19827</v>
      </c>
      <c r="J10" s="19">
        <f t="shared" si="2"/>
        <v>1243</v>
      </c>
      <c r="K10" s="19">
        <f t="shared" si="2"/>
        <v>7804</v>
      </c>
      <c r="L10" s="19">
        <f t="shared" si="2"/>
        <v>202</v>
      </c>
      <c r="M10" s="19">
        <f t="shared" si="2"/>
        <v>1481</v>
      </c>
      <c r="N10" s="19">
        <f t="shared" si="2"/>
        <v>5131</v>
      </c>
      <c r="O10" s="19">
        <f t="shared" si="2"/>
        <v>2553</v>
      </c>
      <c r="P10" s="19">
        <f t="shared" si="2"/>
        <v>397</v>
      </c>
      <c r="Q10" s="19">
        <f t="shared" si="2"/>
        <v>239</v>
      </c>
      <c r="R10" s="19">
        <f t="shared" si="1"/>
        <v>28757</v>
      </c>
      <c r="S10" s="19">
        <f t="shared" si="1"/>
        <v>866</v>
      </c>
      <c r="T10" s="19">
        <f>SUM(T2:T9)</f>
        <v>1805314</v>
      </c>
      <c r="U10" s="19">
        <f>SUM(U2:U9)</f>
        <v>8261006</v>
      </c>
      <c r="V10" s="19">
        <f t="shared" ref="V10:Z10" si="3">SUM(V2:V9)</f>
        <v>7672387</v>
      </c>
      <c r="W10" s="19">
        <f t="shared" si="3"/>
        <v>680</v>
      </c>
      <c r="X10" s="19">
        <f t="shared" si="3"/>
        <v>1999</v>
      </c>
      <c r="Y10" s="19">
        <f t="shared" si="3"/>
        <v>202</v>
      </c>
      <c r="Z10" s="19">
        <f t="shared" si="3"/>
        <v>2808</v>
      </c>
    </row>
    <row r="11" spans="1:26"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row>
    <row r="12" spans="1:26"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s="26" customFormat="1" x14ac:dyDescent="0.25">
      <c r="A13" s="34" t="s">
        <v>164</v>
      </c>
      <c r="B13" s="16">
        <v>63</v>
      </c>
      <c r="C13" s="16">
        <v>17</v>
      </c>
      <c r="D13" s="16">
        <v>0</v>
      </c>
      <c r="E13" s="16">
        <v>0</v>
      </c>
      <c r="F13" s="16">
        <v>0</v>
      </c>
      <c r="G13" s="16">
        <v>0</v>
      </c>
      <c r="H13" s="16">
        <v>0</v>
      </c>
      <c r="I13" s="16">
        <v>0</v>
      </c>
      <c r="J13" s="16">
        <v>0</v>
      </c>
      <c r="K13" s="16">
        <v>0</v>
      </c>
      <c r="L13" s="16">
        <v>0</v>
      </c>
      <c r="M13" s="16">
        <v>0</v>
      </c>
      <c r="N13" s="16">
        <v>0</v>
      </c>
      <c r="O13" s="16">
        <v>0</v>
      </c>
      <c r="P13" s="16">
        <v>0</v>
      </c>
      <c r="Q13" s="16">
        <v>0</v>
      </c>
      <c r="R13" s="16">
        <v>28687</v>
      </c>
      <c r="S13" s="16">
        <v>0</v>
      </c>
      <c r="T13" s="16">
        <v>0</v>
      </c>
      <c r="U13" s="16">
        <v>0</v>
      </c>
      <c r="V13" s="16">
        <v>0</v>
      </c>
      <c r="W13" s="16">
        <v>0</v>
      </c>
      <c r="X13" s="16">
        <v>0</v>
      </c>
      <c r="Y13" s="16">
        <v>0</v>
      </c>
      <c r="Z13" s="16">
        <v>0</v>
      </c>
    </row>
    <row r="14" spans="1:26" s="26" customFormat="1" x14ac:dyDescent="0.25">
      <c r="A14" s="34" t="s">
        <v>10</v>
      </c>
      <c r="B14" s="16">
        <v>562</v>
      </c>
      <c r="C14" s="16">
        <v>45</v>
      </c>
      <c r="D14" s="16">
        <v>0</v>
      </c>
      <c r="E14" s="16">
        <v>48</v>
      </c>
      <c r="F14" s="16">
        <v>5</v>
      </c>
      <c r="G14" s="16">
        <v>40</v>
      </c>
      <c r="H14" s="16">
        <v>0</v>
      </c>
      <c r="I14" s="16">
        <v>0</v>
      </c>
      <c r="J14" s="16">
        <v>0</v>
      </c>
      <c r="K14" s="16">
        <v>0</v>
      </c>
      <c r="L14" s="16">
        <v>0</v>
      </c>
      <c r="M14" s="16">
        <v>1736</v>
      </c>
      <c r="N14" s="16">
        <v>196</v>
      </c>
      <c r="O14" s="16">
        <v>1504</v>
      </c>
      <c r="P14" s="16">
        <v>170</v>
      </c>
      <c r="Q14" s="16">
        <v>90</v>
      </c>
      <c r="R14" s="16">
        <v>8626</v>
      </c>
      <c r="S14" s="16">
        <v>315</v>
      </c>
      <c r="T14" s="16">
        <v>197181</v>
      </c>
      <c r="U14" s="16">
        <v>327500</v>
      </c>
      <c r="V14" s="16">
        <v>1633115</v>
      </c>
      <c r="W14" s="16">
        <v>0</v>
      </c>
      <c r="X14" s="16">
        <v>0</v>
      </c>
      <c r="Y14" s="16">
        <v>0</v>
      </c>
      <c r="Z14" s="16">
        <v>0</v>
      </c>
    </row>
    <row r="15" spans="1:26" s="26" customFormat="1" x14ac:dyDescent="0.25">
      <c r="A15" s="34" t="s">
        <v>11</v>
      </c>
      <c r="B15" s="16">
        <v>4960</v>
      </c>
      <c r="C15" s="16">
        <v>601</v>
      </c>
      <c r="D15" s="16">
        <v>0</v>
      </c>
      <c r="E15" s="16">
        <v>728</v>
      </c>
      <c r="F15" s="16">
        <v>768</v>
      </c>
      <c r="G15" s="16">
        <v>0</v>
      </c>
      <c r="H15" s="16">
        <v>0</v>
      </c>
      <c r="I15" s="16">
        <v>800</v>
      </c>
      <c r="J15" s="16">
        <v>0</v>
      </c>
      <c r="K15" s="16">
        <v>1125</v>
      </c>
      <c r="L15" s="16">
        <v>99</v>
      </c>
      <c r="M15" s="16">
        <v>0</v>
      </c>
      <c r="N15" s="16">
        <v>0</v>
      </c>
      <c r="O15" s="16">
        <v>0</v>
      </c>
      <c r="P15" s="16">
        <v>0</v>
      </c>
      <c r="Q15" s="16">
        <v>0</v>
      </c>
      <c r="R15" s="16">
        <v>0</v>
      </c>
      <c r="S15" s="16">
        <v>0</v>
      </c>
      <c r="T15" s="16">
        <v>3360364</v>
      </c>
      <c r="U15" s="16">
        <v>6459880</v>
      </c>
      <c r="V15" s="16">
        <v>3112709</v>
      </c>
      <c r="W15" s="16">
        <v>14</v>
      </c>
      <c r="X15" s="16">
        <v>0</v>
      </c>
      <c r="Y15" s="16">
        <v>0</v>
      </c>
      <c r="Z15" s="16">
        <v>0</v>
      </c>
    </row>
    <row r="16" spans="1:26" s="26" customFormat="1" x14ac:dyDescent="0.25">
      <c r="A16" s="34" t="s">
        <v>12</v>
      </c>
      <c r="B16" s="16">
        <v>0</v>
      </c>
      <c r="C16" s="16">
        <v>0</v>
      </c>
      <c r="D16" s="16">
        <v>0</v>
      </c>
      <c r="E16" s="16">
        <v>0</v>
      </c>
      <c r="F16" s="16">
        <v>0</v>
      </c>
      <c r="G16" s="16">
        <v>0</v>
      </c>
      <c r="H16" s="16">
        <v>0</v>
      </c>
      <c r="I16" s="16">
        <v>1720</v>
      </c>
      <c r="J16" s="16">
        <v>28</v>
      </c>
      <c r="K16" s="16">
        <v>0</v>
      </c>
      <c r="L16" s="16">
        <v>0</v>
      </c>
      <c r="M16" s="16">
        <v>0</v>
      </c>
      <c r="N16" s="16">
        <v>0</v>
      </c>
      <c r="O16" s="16">
        <v>0</v>
      </c>
      <c r="P16" s="16">
        <v>0</v>
      </c>
      <c r="Q16" s="16">
        <v>0</v>
      </c>
      <c r="R16" s="16">
        <v>0</v>
      </c>
      <c r="S16" s="16">
        <v>0</v>
      </c>
      <c r="T16" s="16">
        <v>0</v>
      </c>
      <c r="U16" s="16">
        <v>0</v>
      </c>
      <c r="V16" s="16">
        <v>0</v>
      </c>
      <c r="W16" s="16">
        <v>490</v>
      </c>
      <c r="X16" s="16">
        <v>872</v>
      </c>
      <c r="Y16" s="16">
        <v>63</v>
      </c>
      <c r="Z16" s="16">
        <v>1087</v>
      </c>
    </row>
    <row r="17" spans="1:26"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s="26" customFormat="1" x14ac:dyDescent="0.25">
      <c r="A18" s="35" t="s">
        <v>14</v>
      </c>
      <c r="B18" s="19">
        <f>SUM(B11:B17)</f>
        <v>5585</v>
      </c>
      <c r="C18" s="19">
        <f>SUM(C11:C17)</f>
        <v>663</v>
      </c>
      <c r="D18" s="19">
        <f>SUM(D11:D17)</f>
        <v>0</v>
      </c>
      <c r="E18" s="19">
        <f>SUM(E11:E17)</f>
        <v>776</v>
      </c>
      <c r="F18" s="19">
        <f t="shared" ref="F18" si="4">SUM(F11:F17)</f>
        <v>773</v>
      </c>
      <c r="G18" s="19">
        <f>SUM(G11:G17)</f>
        <v>40</v>
      </c>
      <c r="H18" s="19">
        <f t="shared" ref="H18" si="5">SUM(H11:H17)</f>
        <v>0</v>
      </c>
      <c r="I18" s="19">
        <f t="shared" ref="I18:Q18" si="6">SUM(I11:I17)</f>
        <v>2520</v>
      </c>
      <c r="J18" s="19">
        <f t="shared" si="6"/>
        <v>28</v>
      </c>
      <c r="K18" s="19">
        <f t="shared" si="6"/>
        <v>1125</v>
      </c>
      <c r="L18" s="19">
        <f t="shared" si="6"/>
        <v>99</v>
      </c>
      <c r="M18" s="19">
        <f t="shared" si="6"/>
        <v>1736</v>
      </c>
      <c r="N18" s="19">
        <f t="shared" si="6"/>
        <v>196</v>
      </c>
      <c r="O18" s="19">
        <f t="shared" si="6"/>
        <v>1504</v>
      </c>
      <c r="P18" s="19">
        <f t="shared" si="6"/>
        <v>170</v>
      </c>
      <c r="Q18" s="19">
        <f t="shared" si="6"/>
        <v>90</v>
      </c>
      <c r="R18" s="19">
        <f t="shared" ref="R18:S18" si="7">SUM(R11:R17)</f>
        <v>37313</v>
      </c>
      <c r="S18" s="19">
        <f t="shared" si="7"/>
        <v>315</v>
      </c>
      <c r="T18" s="19">
        <f>SUM(T11:T17)</f>
        <v>3557545</v>
      </c>
      <c r="U18" s="19">
        <f>SUM(U11:U17)</f>
        <v>6787380</v>
      </c>
      <c r="V18" s="19">
        <f t="shared" ref="V18:Z18" si="8">SUM(V11:V17)</f>
        <v>4745824</v>
      </c>
      <c r="W18" s="19">
        <f t="shared" si="8"/>
        <v>504</v>
      </c>
      <c r="X18" s="19">
        <f t="shared" si="8"/>
        <v>872</v>
      </c>
      <c r="Y18" s="19">
        <f t="shared" si="8"/>
        <v>63</v>
      </c>
      <c r="Z18" s="19">
        <f t="shared" si="8"/>
        <v>1087</v>
      </c>
    </row>
    <row r="19" spans="1:26" s="26" customFormat="1" x14ac:dyDescent="0.25">
      <c r="A19" s="35" t="s">
        <v>15</v>
      </c>
      <c r="B19" s="19">
        <f>SUM(B10,B18)</f>
        <v>61802</v>
      </c>
      <c r="C19" s="19">
        <f>SUM(C10,C18)</f>
        <v>3526</v>
      </c>
      <c r="D19" s="19">
        <f>SUM(D10,D18)</f>
        <v>4064</v>
      </c>
      <c r="E19" s="19">
        <f>SUM(E10,E18)</f>
        <v>1861</v>
      </c>
      <c r="F19" s="19">
        <f t="shared" ref="F19" si="9">SUM(F10,F18)</f>
        <v>2364</v>
      </c>
      <c r="G19" s="19">
        <f>SUM(G10,G18)</f>
        <v>436</v>
      </c>
      <c r="H19" s="19">
        <f t="shared" ref="H19" si="10">SUM(H10,H18)</f>
        <v>4476</v>
      </c>
      <c r="I19" s="19">
        <f t="shared" ref="I19:Q19" si="11">SUM(I10,I18)</f>
        <v>22347</v>
      </c>
      <c r="J19" s="19">
        <f t="shared" si="11"/>
        <v>1271</v>
      </c>
      <c r="K19" s="19">
        <f t="shared" si="11"/>
        <v>8929</v>
      </c>
      <c r="L19" s="19">
        <f t="shared" si="11"/>
        <v>301</v>
      </c>
      <c r="M19" s="19">
        <f t="shared" si="11"/>
        <v>3217</v>
      </c>
      <c r="N19" s="19">
        <f t="shared" si="11"/>
        <v>5327</v>
      </c>
      <c r="O19" s="19">
        <f t="shared" si="11"/>
        <v>4057</v>
      </c>
      <c r="P19" s="19">
        <f t="shared" si="11"/>
        <v>567</v>
      </c>
      <c r="Q19" s="19">
        <f t="shared" si="11"/>
        <v>329</v>
      </c>
      <c r="R19" s="19">
        <f t="shared" ref="R19:S19" si="12">SUM(R10,R18)</f>
        <v>66070</v>
      </c>
      <c r="S19" s="19">
        <f t="shared" si="12"/>
        <v>1181</v>
      </c>
      <c r="T19" s="19">
        <f>SUM(T10,T18)</f>
        <v>5362859</v>
      </c>
      <c r="U19" s="19">
        <f>SUM(U10,U18)</f>
        <v>15048386</v>
      </c>
      <c r="V19" s="19">
        <f t="shared" ref="V19:Z19" si="13">SUM(V10,V18)</f>
        <v>12418211</v>
      </c>
      <c r="W19" s="19">
        <f t="shared" si="13"/>
        <v>1184</v>
      </c>
      <c r="X19" s="19">
        <f t="shared" si="13"/>
        <v>2871</v>
      </c>
      <c r="Y19" s="19">
        <f t="shared" si="13"/>
        <v>265</v>
      </c>
      <c r="Z19" s="19">
        <f t="shared" si="13"/>
        <v>3895</v>
      </c>
    </row>
    <row r="21" spans="1:26"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row>
    <row r="22" spans="1:26"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spans="1:26"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spans="1:26"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spans="1:26"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row>
  </sheetData>
  <sheetProtection formatCells="0" formatColumns="0" formatRows="0" insertColumns="0" insertRows="0" sort="0" autoFilter="0" pivotTables="0"/>
  <dataValidations count="1">
    <dataValidation type="list" errorStyle="information" allowBlank="1" showInputMessage="1" showErrorMessage="1" sqref="B1:Z1" xr:uid="{1E50D835-54E9-410D-86BD-42EF10515448}">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214432A0-E6F7-42FA-804B-7529C6CB0673}">
          <x14:formula1>
            <xm:f>'Term List'!$A2:$A242</xm:f>
          </x14:formula1>
          <xm:sqref>AA1:XFD1</xm:sqref>
        </x14:dataValidation>
      </x14:dataValidations>
    </ext>
  </extLs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F6581-8918-486B-BEE9-C3955ED3F12A}">
  <sheetPr codeName="Sheet47"/>
  <dimension ref="A1:N25"/>
  <sheetViews>
    <sheetView workbookViewId="0">
      <pane xSplit="1" ySplit="1" topLeftCell="I2" activePane="bottomRight" state="frozen"/>
      <selection activeCell="E23" sqref="E23"/>
      <selection pane="topRight" activeCell="E23" sqref="E23"/>
      <selection pane="bottomLeft" activeCell="E23" sqref="E23"/>
      <selection pane="bottomRight" activeCell="M22" sqref="M22"/>
    </sheetView>
  </sheetViews>
  <sheetFormatPr defaultRowHeight="15" x14ac:dyDescent="0.25"/>
  <cols>
    <col min="1" max="1" width="35.7109375" style="6" bestFit="1"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7.85546875" style="5" customWidth="1"/>
    <col min="10" max="10" width="15.5703125" style="5" customWidth="1"/>
    <col min="11" max="11" width="15" style="5" customWidth="1"/>
    <col min="12" max="12" width="17.140625" style="5" customWidth="1"/>
    <col min="13" max="13" width="16.5703125" style="5" customWidth="1"/>
    <col min="14" max="14" width="14.42578125" style="5" customWidth="1"/>
    <col min="15" max="16384" width="9.140625" style="3"/>
  </cols>
  <sheetData>
    <row r="1" spans="1:14" s="14" customFormat="1" ht="30" x14ac:dyDescent="0.25">
      <c r="A1" s="36" t="s">
        <v>402</v>
      </c>
      <c r="B1" s="36" t="s">
        <v>155</v>
      </c>
      <c r="C1" s="36" t="s">
        <v>156</v>
      </c>
      <c r="D1" s="36" t="s">
        <v>154</v>
      </c>
      <c r="E1" s="36" t="s">
        <v>150</v>
      </c>
      <c r="F1" s="36" t="s">
        <v>148</v>
      </c>
      <c r="G1" s="36" t="s">
        <v>147</v>
      </c>
      <c r="H1" s="36" t="s">
        <v>314</v>
      </c>
      <c r="I1" s="36" t="s">
        <v>139</v>
      </c>
      <c r="J1" s="36" t="s">
        <v>132</v>
      </c>
      <c r="K1" s="36" t="s">
        <v>130</v>
      </c>
      <c r="L1" s="36" t="s">
        <v>144</v>
      </c>
      <c r="M1" s="36" t="s">
        <v>142</v>
      </c>
      <c r="N1" s="36" t="s">
        <v>124</v>
      </c>
    </row>
    <row r="2" spans="1:14" s="26" customFormat="1" x14ac:dyDescent="0.25">
      <c r="A2" s="34" t="s">
        <v>0</v>
      </c>
      <c r="B2" s="16">
        <v>17780</v>
      </c>
      <c r="C2" s="17">
        <v>1409</v>
      </c>
      <c r="D2" s="17">
        <v>357</v>
      </c>
      <c r="E2" s="17">
        <v>2468</v>
      </c>
      <c r="F2" s="17">
        <v>174</v>
      </c>
      <c r="G2" s="17">
        <v>0</v>
      </c>
      <c r="H2" s="17">
        <v>0</v>
      </c>
      <c r="I2" s="17">
        <v>0</v>
      </c>
      <c r="J2" s="17">
        <v>1427</v>
      </c>
      <c r="K2" s="17">
        <v>119</v>
      </c>
      <c r="L2" s="17">
        <v>239</v>
      </c>
      <c r="M2" s="17">
        <v>833</v>
      </c>
      <c r="N2" s="17">
        <v>7486398</v>
      </c>
    </row>
    <row r="3" spans="1:14" s="26" customFormat="1" x14ac:dyDescent="0.25">
      <c r="A3" s="34" t="s">
        <v>1</v>
      </c>
      <c r="B3" s="16">
        <v>462</v>
      </c>
      <c r="C3" s="17">
        <v>91</v>
      </c>
      <c r="D3" s="17">
        <v>22</v>
      </c>
      <c r="E3" s="17">
        <v>44</v>
      </c>
      <c r="F3" s="17">
        <v>39</v>
      </c>
      <c r="G3" s="17">
        <v>0</v>
      </c>
      <c r="H3" s="17">
        <v>0</v>
      </c>
      <c r="I3" s="17">
        <v>0</v>
      </c>
      <c r="J3" s="17">
        <v>215</v>
      </c>
      <c r="K3" s="17">
        <v>92</v>
      </c>
      <c r="L3" s="17">
        <v>94</v>
      </c>
      <c r="M3" s="17">
        <v>0</v>
      </c>
      <c r="N3" s="17">
        <v>174205</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437</v>
      </c>
      <c r="C6" s="17">
        <v>25</v>
      </c>
      <c r="D6" s="17">
        <v>650</v>
      </c>
      <c r="E6" s="17">
        <v>2498</v>
      </c>
      <c r="F6" s="17">
        <v>91</v>
      </c>
      <c r="G6" s="17">
        <v>1</v>
      </c>
      <c r="H6" s="17">
        <v>0</v>
      </c>
      <c r="I6" s="17">
        <v>3</v>
      </c>
      <c r="J6" s="17">
        <v>18</v>
      </c>
      <c r="K6" s="17">
        <v>32</v>
      </c>
      <c r="L6" s="17">
        <v>6</v>
      </c>
      <c r="M6" s="17">
        <v>232</v>
      </c>
      <c r="N6" s="17">
        <v>544056</v>
      </c>
    </row>
    <row r="7" spans="1:14" s="26" customFormat="1" x14ac:dyDescent="0.25">
      <c r="A7" s="34" t="s">
        <v>4</v>
      </c>
      <c r="B7" s="16">
        <v>506</v>
      </c>
      <c r="C7" s="17">
        <v>68</v>
      </c>
      <c r="D7" s="17">
        <v>272</v>
      </c>
      <c r="E7" s="17">
        <v>1825</v>
      </c>
      <c r="F7" s="17">
        <v>3</v>
      </c>
      <c r="G7" s="17">
        <v>4</v>
      </c>
      <c r="H7" s="17">
        <v>0</v>
      </c>
      <c r="I7" s="17">
        <v>19</v>
      </c>
      <c r="J7" s="17">
        <v>212</v>
      </c>
      <c r="K7" s="17">
        <v>102</v>
      </c>
      <c r="L7" s="17">
        <v>180</v>
      </c>
      <c r="M7" s="17">
        <v>3044</v>
      </c>
      <c r="N7" s="17">
        <v>1644814</v>
      </c>
    </row>
    <row r="8" spans="1:14" s="26" customFormat="1" x14ac:dyDescent="0.25">
      <c r="A8" s="34" t="s">
        <v>5</v>
      </c>
      <c r="B8" s="16">
        <v>0</v>
      </c>
      <c r="C8" s="17">
        <v>0</v>
      </c>
      <c r="D8" s="17">
        <v>14</v>
      </c>
      <c r="E8" s="17">
        <v>534</v>
      </c>
      <c r="F8" s="17">
        <v>33</v>
      </c>
      <c r="G8" s="17">
        <v>276</v>
      </c>
      <c r="H8" s="17">
        <v>903</v>
      </c>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SUM(B2:B9)</f>
        <v>19185</v>
      </c>
      <c r="C10" s="19">
        <f t="shared" ref="C10:N10" si="0">SUM(C2:C9)</f>
        <v>1593</v>
      </c>
      <c r="D10" s="19">
        <f t="shared" si="0"/>
        <v>1315</v>
      </c>
      <c r="E10" s="19">
        <f t="shared" si="0"/>
        <v>7369</v>
      </c>
      <c r="F10" s="19">
        <f t="shared" si="0"/>
        <v>340</v>
      </c>
      <c r="G10" s="19">
        <f t="shared" si="0"/>
        <v>281</v>
      </c>
      <c r="H10" s="19">
        <f t="shared" si="0"/>
        <v>903</v>
      </c>
      <c r="I10" s="19">
        <f t="shared" si="0"/>
        <v>22</v>
      </c>
      <c r="J10" s="19">
        <f>SUM(J2:J9)</f>
        <v>1872</v>
      </c>
      <c r="K10" s="19">
        <f t="shared" si="0"/>
        <v>345</v>
      </c>
      <c r="L10" s="19">
        <f>SUM(L2:L9)</f>
        <v>519</v>
      </c>
      <c r="M10" s="19">
        <f t="shared" si="0"/>
        <v>4109</v>
      </c>
      <c r="N10" s="19">
        <f t="shared" si="0"/>
        <v>9849473</v>
      </c>
    </row>
    <row r="11" spans="1:14" s="26" customFormat="1" x14ac:dyDescent="0.25">
      <c r="A11" s="34" t="s">
        <v>8</v>
      </c>
      <c r="B11" s="16">
        <v>74340</v>
      </c>
      <c r="C11" s="16">
        <v>7551</v>
      </c>
      <c r="D11" s="16">
        <v>781</v>
      </c>
      <c r="E11" s="16">
        <v>21753</v>
      </c>
      <c r="F11" s="16">
        <v>376</v>
      </c>
      <c r="G11" s="16">
        <v>0</v>
      </c>
      <c r="H11" s="16">
        <v>0</v>
      </c>
      <c r="I11" s="16">
        <v>8</v>
      </c>
      <c r="J11" s="16">
        <v>461</v>
      </c>
      <c r="K11" s="16">
        <v>725</v>
      </c>
      <c r="L11" s="16">
        <v>167</v>
      </c>
      <c r="M11" s="16">
        <v>15471</v>
      </c>
      <c r="N11" s="16">
        <v>7227218</v>
      </c>
    </row>
    <row r="12" spans="1:14" s="26" customFormat="1" x14ac:dyDescent="0.25">
      <c r="A12" s="34" t="s">
        <v>9</v>
      </c>
      <c r="B12" s="16">
        <v>169</v>
      </c>
      <c r="C12" s="16">
        <v>60</v>
      </c>
      <c r="D12" s="16">
        <v>2</v>
      </c>
      <c r="E12" s="16">
        <v>315</v>
      </c>
      <c r="F12" s="16">
        <v>0</v>
      </c>
      <c r="G12" s="16">
        <v>0</v>
      </c>
      <c r="H12" s="16">
        <v>0</v>
      </c>
      <c r="I12" s="16">
        <v>0</v>
      </c>
      <c r="J12" s="16">
        <v>2</v>
      </c>
      <c r="K12" s="16">
        <v>0</v>
      </c>
      <c r="L12" s="16">
        <v>10</v>
      </c>
      <c r="M12" s="16">
        <v>69</v>
      </c>
      <c r="N12" s="16">
        <v>4180</v>
      </c>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83</v>
      </c>
      <c r="C14" s="16">
        <v>41</v>
      </c>
      <c r="D14" s="16">
        <v>30</v>
      </c>
      <c r="E14" s="16">
        <v>2968</v>
      </c>
      <c r="F14" s="16">
        <v>47</v>
      </c>
      <c r="G14" s="16">
        <v>0</v>
      </c>
      <c r="H14" s="16">
        <v>0</v>
      </c>
      <c r="I14" s="16">
        <v>3</v>
      </c>
      <c r="J14" s="16">
        <v>0</v>
      </c>
      <c r="K14" s="16">
        <v>0</v>
      </c>
      <c r="L14" s="16">
        <v>5</v>
      </c>
      <c r="M14" s="16">
        <v>299</v>
      </c>
      <c r="N14" s="16">
        <v>68129</v>
      </c>
    </row>
    <row r="15" spans="1:14" s="26" customFormat="1" x14ac:dyDescent="0.25">
      <c r="A15" s="34" t="s">
        <v>11</v>
      </c>
      <c r="B15" s="16">
        <v>104</v>
      </c>
      <c r="C15" s="16">
        <v>87</v>
      </c>
      <c r="D15" s="16">
        <v>128</v>
      </c>
      <c r="E15" s="16">
        <v>3310</v>
      </c>
      <c r="F15" s="16">
        <v>6</v>
      </c>
      <c r="G15" s="16">
        <v>0</v>
      </c>
      <c r="H15" s="16">
        <v>0</v>
      </c>
      <c r="I15" s="16">
        <v>133</v>
      </c>
      <c r="J15" s="16">
        <v>19</v>
      </c>
      <c r="K15" s="16">
        <v>48</v>
      </c>
      <c r="L15" s="16">
        <v>150</v>
      </c>
      <c r="M15" s="16">
        <v>8108</v>
      </c>
      <c r="N15" s="16">
        <v>140393</v>
      </c>
    </row>
    <row r="16" spans="1:14" s="26" customFormat="1" x14ac:dyDescent="0.25">
      <c r="A16" s="34" t="s">
        <v>12</v>
      </c>
      <c r="B16" s="16">
        <v>0</v>
      </c>
      <c r="C16" s="16">
        <v>0</v>
      </c>
      <c r="D16" s="16">
        <v>0</v>
      </c>
      <c r="E16" s="16">
        <v>21</v>
      </c>
      <c r="F16" s="16">
        <v>0</v>
      </c>
      <c r="G16" s="16">
        <v>0</v>
      </c>
      <c r="H16" s="16">
        <v>0</v>
      </c>
      <c r="I16" s="16">
        <v>0</v>
      </c>
      <c r="J16" s="16">
        <v>0</v>
      </c>
      <c r="K16" s="16">
        <v>0</v>
      </c>
      <c r="L16" s="16">
        <v>0</v>
      </c>
      <c r="M16" s="16">
        <v>0</v>
      </c>
      <c r="N16" s="16">
        <v>0</v>
      </c>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SUM(B11:B17)</f>
        <v>74696</v>
      </c>
      <c r="C18" s="19">
        <f t="shared" ref="C18:N18" si="1">SUM(C11:C17)</f>
        <v>7739</v>
      </c>
      <c r="D18" s="19">
        <f t="shared" si="1"/>
        <v>941</v>
      </c>
      <c r="E18" s="19">
        <f t="shared" si="1"/>
        <v>28367</v>
      </c>
      <c r="F18" s="19">
        <f t="shared" si="1"/>
        <v>429</v>
      </c>
      <c r="G18" s="19">
        <f t="shared" si="1"/>
        <v>0</v>
      </c>
      <c r="H18" s="19">
        <f t="shared" si="1"/>
        <v>0</v>
      </c>
      <c r="I18" s="19">
        <f t="shared" si="1"/>
        <v>144</v>
      </c>
      <c r="J18" s="19">
        <f>SUM(J11:J17)</f>
        <v>482</v>
      </c>
      <c r="K18" s="19">
        <f t="shared" si="1"/>
        <v>773</v>
      </c>
      <c r="L18" s="19">
        <f>SUM(L11:L17)</f>
        <v>332</v>
      </c>
      <c r="M18" s="19">
        <f t="shared" si="1"/>
        <v>23947</v>
      </c>
      <c r="N18" s="19">
        <f t="shared" si="1"/>
        <v>7439920</v>
      </c>
    </row>
    <row r="19" spans="1:14" s="26" customFormat="1" x14ac:dyDescent="0.25">
      <c r="A19" s="35" t="s">
        <v>15</v>
      </c>
      <c r="B19" s="19">
        <f>SUM(B10,B18)</f>
        <v>93881</v>
      </c>
      <c r="C19" s="19">
        <f t="shared" ref="C19:N19" si="2">SUM(C10,C18)</f>
        <v>9332</v>
      </c>
      <c r="D19" s="19">
        <f t="shared" si="2"/>
        <v>2256</v>
      </c>
      <c r="E19" s="19">
        <f t="shared" si="2"/>
        <v>35736</v>
      </c>
      <c r="F19" s="19">
        <f t="shared" si="2"/>
        <v>769</v>
      </c>
      <c r="G19" s="19">
        <f t="shared" si="2"/>
        <v>281</v>
      </c>
      <c r="H19" s="19">
        <f t="shared" si="2"/>
        <v>903</v>
      </c>
      <c r="I19" s="19">
        <f t="shared" si="2"/>
        <v>166</v>
      </c>
      <c r="J19" s="19">
        <f>SUM(J10,J18)</f>
        <v>2354</v>
      </c>
      <c r="K19" s="19">
        <f t="shared" si="2"/>
        <v>1118</v>
      </c>
      <c r="L19" s="19">
        <f>SUM(L10,L18)</f>
        <v>851</v>
      </c>
      <c r="M19" s="19">
        <f t="shared" si="2"/>
        <v>28056</v>
      </c>
      <c r="N19" s="19">
        <f t="shared" si="2"/>
        <v>17289393</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row r="25" spans="1:14" x14ac:dyDescent="0.25">
      <c r="B25" s="44"/>
      <c r="C25" s="44"/>
      <c r="D25" s="44"/>
      <c r="E25" s="44"/>
      <c r="F25" s="44"/>
      <c r="G25" s="44"/>
      <c r="H25" s="44"/>
      <c r="I25" s="44"/>
      <c r="J25" s="44"/>
      <c r="K25" s="44"/>
      <c r="L25" s="44"/>
      <c r="M25" s="44"/>
      <c r="N25" s="44"/>
    </row>
  </sheetData>
  <sheetProtection formatCells="0" formatColumns="0" formatRows="0" insertColumns="0" insertRows="0" sort="0" autoFilter="0" pivotTables="0"/>
  <dataValidations count="1">
    <dataValidation type="list" errorStyle="information" allowBlank="1" showInputMessage="1" showErrorMessage="1" sqref="B1:M1 N1" xr:uid="{D8702AE4-2B22-4C6F-BCFF-590FD68F967D}">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C56D98C-1479-41CE-A6E7-AB86D85952FB}">
          <x14:formula1>
            <xm:f>'Term List'!$A2:$A242</xm:f>
          </x14:formula1>
          <xm:sqref>O1:XFD1</xm:sqref>
        </x14:dataValidation>
      </x14:dataValidations>
    </ext>
  </extLs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C9851-BE07-44A5-90F3-5FF81D94C43B}">
  <sheetPr codeName="Sheet46"/>
  <dimension ref="A1:AB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1.7109375" style="5" customWidth="1"/>
    <col min="11" max="11" width="23.85546875" style="5" customWidth="1"/>
    <col min="12" max="12" width="16.42578125" style="3" customWidth="1"/>
    <col min="13" max="13" width="15.85546875" style="3" customWidth="1"/>
    <col min="14" max="14" width="21.140625" style="5" customWidth="1"/>
    <col min="15" max="15" width="16.28515625" style="5" customWidth="1"/>
    <col min="16" max="16" width="17" style="5" customWidth="1"/>
    <col min="17" max="17" width="18.85546875" style="5" customWidth="1"/>
    <col min="18" max="18" width="21.140625" style="3" customWidth="1"/>
    <col min="19" max="19" width="21.28515625" style="5" customWidth="1"/>
    <col min="20" max="20" width="19.140625" style="5" customWidth="1"/>
    <col min="21" max="21" width="18.5703125" style="3" customWidth="1"/>
    <col min="22" max="22" width="20.140625" style="3" customWidth="1"/>
    <col min="23" max="24" width="15.85546875" style="3" customWidth="1"/>
    <col min="25" max="25" width="18.28515625" style="3" customWidth="1"/>
    <col min="26" max="26" width="17.85546875" style="3" customWidth="1"/>
    <col min="27" max="27" width="17.28515625" style="3" customWidth="1"/>
    <col min="28" max="28" width="17.5703125" style="3" customWidth="1"/>
    <col min="29" max="16384" width="9.140625" style="3"/>
  </cols>
  <sheetData>
    <row r="1" spans="1:28" s="40" customFormat="1" ht="30" x14ac:dyDescent="0.25">
      <c r="A1" s="36" t="s">
        <v>401</v>
      </c>
      <c r="B1" s="36" t="s">
        <v>62</v>
      </c>
      <c r="C1" s="36" t="s">
        <v>36</v>
      </c>
      <c r="D1" s="36" t="s">
        <v>35</v>
      </c>
      <c r="E1" s="36" t="s">
        <v>39</v>
      </c>
      <c r="F1" s="36" t="s">
        <v>99</v>
      </c>
      <c r="G1" s="36" t="s">
        <v>95</v>
      </c>
      <c r="H1" s="36" t="s">
        <v>94</v>
      </c>
      <c r="I1" s="36" t="s">
        <v>386</v>
      </c>
      <c r="J1" s="36" t="s">
        <v>387</v>
      </c>
      <c r="K1" s="36" t="s">
        <v>388</v>
      </c>
      <c r="L1" s="36" t="s">
        <v>85</v>
      </c>
      <c r="M1" s="36" t="s">
        <v>398</v>
      </c>
      <c r="N1" s="36" t="s">
        <v>570</v>
      </c>
      <c r="O1" s="36" t="s">
        <v>571</v>
      </c>
      <c r="P1" s="36" t="s">
        <v>572</v>
      </c>
      <c r="Q1" s="36" t="s">
        <v>573</v>
      </c>
      <c r="R1" s="36" t="s">
        <v>566</v>
      </c>
      <c r="S1" s="36" t="s">
        <v>567</v>
      </c>
      <c r="T1" s="36" t="s">
        <v>569</v>
      </c>
      <c r="U1" s="36" t="s">
        <v>65</v>
      </c>
      <c r="V1" s="36" t="s">
        <v>107</v>
      </c>
      <c r="W1" s="36" t="s">
        <v>101</v>
      </c>
      <c r="X1" s="36" t="s">
        <v>75</v>
      </c>
      <c r="Y1" s="36" t="s">
        <v>330</v>
      </c>
      <c r="Z1" s="36" t="s">
        <v>331</v>
      </c>
      <c r="AA1" s="36" t="s">
        <v>332</v>
      </c>
      <c r="AB1" s="36" t="s">
        <v>333</v>
      </c>
    </row>
    <row r="2" spans="1:28"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row>
    <row r="3" spans="1:28"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row>
    <row r="4" spans="1:28" s="26" customFormat="1" x14ac:dyDescent="0.25">
      <c r="A4" s="34" t="s">
        <v>169</v>
      </c>
      <c r="B4" s="16">
        <v>3445</v>
      </c>
      <c r="C4" s="16">
        <v>136</v>
      </c>
      <c r="D4" s="16">
        <v>7144</v>
      </c>
      <c r="E4" s="16">
        <v>0</v>
      </c>
      <c r="F4" s="16">
        <v>0</v>
      </c>
      <c r="G4" s="16">
        <v>0</v>
      </c>
      <c r="H4" s="16">
        <v>0</v>
      </c>
      <c r="I4" s="16">
        <v>0</v>
      </c>
      <c r="J4" s="16">
        <v>0</v>
      </c>
      <c r="K4" s="16">
        <v>0</v>
      </c>
      <c r="L4" s="16">
        <v>207</v>
      </c>
      <c r="M4" s="16">
        <v>0</v>
      </c>
      <c r="N4" s="16">
        <v>0</v>
      </c>
      <c r="O4" s="16">
        <v>0</v>
      </c>
      <c r="P4" s="16">
        <v>0</v>
      </c>
      <c r="Q4" s="16">
        <v>0</v>
      </c>
      <c r="R4" s="16">
        <v>0</v>
      </c>
      <c r="S4" s="16">
        <v>0</v>
      </c>
      <c r="T4" s="16">
        <v>0</v>
      </c>
      <c r="U4" s="16">
        <v>15070</v>
      </c>
      <c r="V4" s="16">
        <v>0</v>
      </c>
      <c r="W4" s="16">
        <v>0</v>
      </c>
      <c r="X4" s="16">
        <v>0</v>
      </c>
      <c r="Y4" s="16">
        <v>0</v>
      </c>
      <c r="Z4" s="16">
        <v>0</v>
      </c>
      <c r="AA4" s="16">
        <v>0</v>
      </c>
      <c r="AB4" s="16">
        <v>0</v>
      </c>
    </row>
    <row r="5" spans="1:28"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row>
    <row r="6" spans="1:28" s="26" customFormat="1" x14ac:dyDescent="0.25">
      <c r="A6" s="34" t="s">
        <v>3</v>
      </c>
      <c r="B6" s="16">
        <v>4106</v>
      </c>
      <c r="C6" s="16">
        <v>504</v>
      </c>
      <c r="D6" s="16">
        <v>15</v>
      </c>
      <c r="E6" s="16">
        <v>430</v>
      </c>
      <c r="F6" s="16">
        <v>29</v>
      </c>
      <c r="G6" s="16">
        <v>22</v>
      </c>
      <c r="H6" s="16">
        <v>0</v>
      </c>
      <c r="I6" s="16">
        <v>0</v>
      </c>
      <c r="J6" s="16">
        <v>41</v>
      </c>
      <c r="K6" s="16">
        <v>1068</v>
      </c>
      <c r="L6" s="16">
        <v>0</v>
      </c>
      <c r="M6" s="16">
        <v>112</v>
      </c>
      <c r="N6" s="16">
        <v>1335</v>
      </c>
      <c r="O6" s="16">
        <v>5092</v>
      </c>
      <c r="P6" s="16">
        <v>2754</v>
      </c>
      <c r="Q6" s="16">
        <v>778</v>
      </c>
      <c r="R6" s="16">
        <v>499</v>
      </c>
      <c r="S6" s="16">
        <v>14654</v>
      </c>
      <c r="T6" s="16">
        <v>773</v>
      </c>
      <c r="U6" s="16">
        <v>0</v>
      </c>
      <c r="V6" s="16">
        <v>578835</v>
      </c>
      <c r="W6" s="16">
        <v>698695</v>
      </c>
      <c r="X6" s="16">
        <v>1067783</v>
      </c>
      <c r="Y6" s="16">
        <v>20</v>
      </c>
      <c r="Z6" s="16">
        <v>2</v>
      </c>
      <c r="AA6" s="16">
        <v>0</v>
      </c>
      <c r="AB6" s="16">
        <v>0</v>
      </c>
    </row>
    <row r="7" spans="1:28" s="26" customFormat="1" x14ac:dyDescent="0.25">
      <c r="A7" s="34" t="s">
        <v>4</v>
      </c>
      <c r="B7" s="16">
        <v>39553</v>
      </c>
      <c r="C7" s="16">
        <v>2853</v>
      </c>
      <c r="D7" s="16">
        <v>0</v>
      </c>
      <c r="E7" s="16">
        <v>4488</v>
      </c>
      <c r="F7" s="16">
        <v>1968</v>
      </c>
      <c r="G7" s="16">
        <v>1067</v>
      </c>
      <c r="H7" s="16">
        <v>399</v>
      </c>
      <c r="I7" s="16">
        <v>4196</v>
      </c>
      <c r="J7" s="16">
        <v>173</v>
      </c>
      <c r="K7" s="16">
        <v>12188</v>
      </c>
      <c r="L7" s="16">
        <v>65</v>
      </c>
      <c r="M7" s="16">
        <v>290</v>
      </c>
      <c r="N7" s="16">
        <v>0</v>
      </c>
      <c r="O7" s="16">
        <v>0</v>
      </c>
      <c r="P7" s="16">
        <v>0</v>
      </c>
      <c r="Q7" s="16">
        <v>0</v>
      </c>
      <c r="R7" s="16">
        <v>0</v>
      </c>
      <c r="S7" s="16">
        <v>0</v>
      </c>
      <c r="T7" s="16">
        <v>0</v>
      </c>
      <c r="U7" s="16">
        <v>0</v>
      </c>
      <c r="V7" s="16">
        <v>3444798</v>
      </c>
      <c r="W7" s="16">
        <v>5540203</v>
      </c>
      <c r="X7" s="16">
        <v>4978260</v>
      </c>
      <c r="Y7" s="16">
        <v>115</v>
      </c>
      <c r="Z7" s="16">
        <v>0</v>
      </c>
      <c r="AA7" s="16">
        <v>0</v>
      </c>
      <c r="AB7" s="16">
        <v>67</v>
      </c>
    </row>
    <row r="8" spans="1:28" s="26" customFormat="1" x14ac:dyDescent="0.25">
      <c r="A8" s="34" t="s">
        <v>5</v>
      </c>
      <c r="B8" s="16">
        <v>7569</v>
      </c>
      <c r="C8" s="16">
        <v>204</v>
      </c>
      <c r="D8" s="16">
        <v>276</v>
      </c>
      <c r="E8" s="16">
        <v>916</v>
      </c>
      <c r="F8" s="16">
        <v>15</v>
      </c>
      <c r="G8" s="16">
        <v>294</v>
      </c>
      <c r="H8" s="16">
        <v>2450</v>
      </c>
      <c r="I8" s="16">
        <v>40116</v>
      </c>
      <c r="J8" s="16">
        <v>864</v>
      </c>
      <c r="K8" s="16">
        <v>245</v>
      </c>
      <c r="L8" s="16">
        <v>40</v>
      </c>
      <c r="M8" s="16">
        <v>30</v>
      </c>
      <c r="N8" s="16">
        <v>0</v>
      </c>
      <c r="O8" s="16">
        <v>0</v>
      </c>
      <c r="P8" s="16">
        <v>0</v>
      </c>
      <c r="Q8" s="16">
        <v>0</v>
      </c>
      <c r="R8" s="16">
        <v>0</v>
      </c>
      <c r="S8" s="16">
        <v>0</v>
      </c>
      <c r="T8" s="16">
        <v>0</v>
      </c>
      <c r="U8" s="16">
        <v>0</v>
      </c>
      <c r="V8" s="16">
        <v>93630</v>
      </c>
      <c r="W8" s="16">
        <v>322517</v>
      </c>
      <c r="X8" s="16">
        <v>474111</v>
      </c>
      <c r="Y8" s="16">
        <v>1335</v>
      </c>
      <c r="Z8" s="16">
        <v>4751</v>
      </c>
      <c r="AA8" s="16">
        <v>438</v>
      </c>
      <c r="AB8" s="16">
        <v>3561</v>
      </c>
    </row>
    <row r="9" spans="1:28"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row>
    <row r="10" spans="1:28" s="26" customFormat="1" x14ac:dyDescent="0.25">
      <c r="A10" s="35" t="s">
        <v>7</v>
      </c>
      <c r="B10" s="19">
        <f>SUM(B2:B9)</f>
        <v>54673</v>
      </c>
      <c r="C10" s="19">
        <f>SUM(C2:C9)</f>
        <v>3697</v>
      </c>
      <c r="D10" s="19">
        <f>SUM(D2:D9)</f>
        <v>7435</v>
      </c>
      <c r="E10" s="19">
        <f>SUM(E2:E9)</f>
        <v>5834</v>
      </c>
      <c r="F10" s="19">
        <f t="shared" ref="F10" si="0">SUM(F2:F9)</f>
        <v>2012</v>
      </c>
      <c r="G10" s="19">
        <f>SUM(G2:G9)</f>
        <v>1383</v>
      </c>
      <c r="H10" s="19">
        <f t="shared" ref="H10:T10" si="1">SUM(H2:H9)</f>
        <v>2849</v>
      </c>
      <c r="I10" s="19">
        <f t="shared" ref="I10:R10" si="2">SUM(I2:I9)</f>
        <v>44312</v>
      </c>
      <c r="J10" s="19">
        <f t="shared" si="2"/>
        <v>1078</v>
      </c>
      <c r="K10" s="19">
        <f t="shared" si="2"/>
        <v>13501</v>
      </c>
      <c r="L10" s="19">
        <f t="shared" si="2"/>
        <v>312</v>
      </c>
      <c r="M10" s="19">
        <f t="shared" si="2"/>
        <v>432</v>
      </c>
      <c r="N10" s="19">
        <f t="shared" si="2"/>
        <v>1335</v>
      </c>
      <c r="O10" s="19">
        <f t="shared" si="2"/>
        <v>5092</v>
      </c>
      <c r="P10" s="19">
        <f t="shared" si="2"/>
        <v>2754</v>
      </c>
      <c r="Q10" s="19">
        <f t="shared" si="2"/>
        <v>778</v>
      </c>
      <c r="R10" s="19">
        <f t="shared" si="2"/>
        <v>499</v>
      </c>
      <c r="S10" s="19">
        <f t="shared" si="1"/>
        <v>14654</v>
      </c>
      <c r="T10" s="19">
        <f t="shared" si="1"/>
        <v>773</v>
      </c>
      <c r="U10" s="19">
        <f t="shared" ref="U10:W10" si="3">SUM(U2:U9)</f>
        <v>15070</v>
      </c>
      <c r="V10" s="19">
        <f t="shared" si="3"/>
        <v>4117263</v>
      </c>
      <c r="W10" s="19">
        <f t="shared" si="3"/>
        <v>6561415</v>
      </c>
      <c r="X10" s="19">
        <f t="shared" ref="X10:AB10" si="4">SUM(X2:X9)</f>
        <v>6520154</v>
      </c>
      <c r="Y10" s="19">
        <f t="shared" si="4"/>
        <v>1470</v>
      </c>
      <c r="Z10" s="19">
        <f t="shared" si="4"/>
        <v>4753</v>
      </c>
      <c r="AA10" s="19">
        <f t="shared" si="4"/>
        <v>438</v>
      </c>
      <c r="AB10" s="19">
        <f t="shared" si="4"/>
        <v>3628</v>
      </c>
    </row>
    <row r="11" spans="1:28"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row>
    <row r="12" spans="1:28"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row>
    <row r="13" spans="1:28" s="26" customFormat="1" x14ac:dyDescent="0.25">
      <c r="A13" s="34" t="s">
        <v>164</v>
      </c>
      <c r="B13" s="16">
        <v>49</v>
      </c>
      <c r="C13" s="16">
        <v>9</v>
      </c>
      <c r="D13" s="16">
        <v>0</v>
      </c>
      <c r="E13" s="16">
        <v>0</v>
      </c>
      <c r="F13" s="16">
        <v>0</v>
      </c>
      <c r="G13" s="16">
        <v>0</v>
      </c>
      <c r="H13" s="16">
        <v>0</v>
      </c>
      <c r="I13" s="16">
        <v>0</v>
      </c>
      <c r="J13" s="16">
        <v>0</v>
      </c>
      <c r="K13" s="16">
        <v>0</v>
      </c>
      <c r="L13" s="16">
        <v>0</v>
      </c>
      <c r="M13" s="16">
        <v>0</v>
      </c>
      <c r="N13" s="16">
        <v>0</v>
      </c>
      <c r="O13" s="16"/>
      <c r="P13" s="16"/>
      <c r="Q13" s="16"/>
      <c r="R13" s="16"/>
      <c r="S13" s="16"/>
      <c r="T13" s="16"/>
      <c r="U13" s="16">
        <v>25134</v>
      </c>
      <c r="V13" s="16">
        <v>0</v>
      </c>
      <c r="W13" s="16">
        <v>0</v>
      </c>
      <c r="X13" s="16">
        <v>0</v>
      </c>
      <c r="Y13" s="16">
        <v>0</v>
      </c>
      <c r="Z13" s="16">
        <v>0</v>
      </c>
      <c r="AA13" s="16">
        <v>0</v>
      </c>
      <c r="AB13" s="16">
        <v>0</v>
      </c>
    </row>
    <row r="14" spans="1:28" s="26" customFormat="1" x14ac:dyDescent="0.25">
      <c r="A14" s="34" t="s">
        <v>10</v>
      </c>
      <c r="B14" s="16">
        <v>50</v>
      </c>
      <c r="C14" s="16">
        <v>16</v>
      </c>
      <c r="D14" s="16">
        <v>0</v>
      </c>
      <c r="E14" s="16">
        <v>0</v>
      </c>
      <c r="F14" s="16">
        <v>0</v>
      </c>
      <c r="G14" s="16">
        <v>0</v>
      </c>
      <c r="H14" s="16">
        <v>0</v>
      </c>
      <c r="I14" s="16">
        <v>0</v>
      </c>
      <c r="J14" s="16">
        <v>200</v>
      </c>
      <c r="K14" s="16">
        <v>10</v>
      </c>
      <c r="L14" s="16">
        <v>0</v>
      </c>
      <c r="M14" s="16">
        <v>0</v>
      </c>
      <c r="N14" s="16">
        <v>637</v>
      </c>
      <c r="O14" s="16">
        <v>2017</v>
      </c>
      <c r="P14" s="16">
        <v>604</v>
      </c>
      <c r="Q14" s="16">
        <v>0</v>
      </c>
      <c r="R14" s="16">
        <v>35</v>
      </c>
      <c r="S14" s="16">
        <v>4516</v>
      </c>
      <c r="T14" s="16">
        <v>218</v>
      </c>
      <c r="U14" s="16">
        <v>0</v>
      </c>
      <c r="V14" s="16">
        <v>317108</v>
      </c>
      <c r="W14" s="16">
        <v>69450</v>
      </c>
      <c r="X14" s="16">
        <v>444100</v>
      </c>
      <c r="Y14" s="16">
        <v>0</v>
      </c>
      <c r="Z14" s="16">
        <v>0</v>
      </c>
      <c r="AA14" s="16">
        <v>0</v>
      </c>
      <c r="AB14" s="16">
        <v>0</v>
      </c>
    </row>
    <row r="15" spans="1:28" s="26" customFormat="1" x14ac:dyDescent="0.25">
      <c r="A15" s="34" t="s">
        <v>11</v>
      </c>
      <c r="B15" s="16">
        <v>6015</v>
      </c>
      <c r="C15" s="16">
        <v>1143</v>
      </c>
      <c r="D15" s="16">
        <v>50</v>
      </c>
      <c r="E15" s="16">
        <v>1314</v>
      </c>
      <c r="F15" s="16">
        <v>918</v>
      </c>
      <c r="G15" s="16">
        <v>357</v>
      </c>
      <c r="H15" s="16">
        <v>0</v>
      </c>
      <c r="I15" s="16">
        <v>4878</v>
      </c>
      <c r="J15" s="16">
        <v>300</v>
      </c>
      <c r="K15" s="16">
        <v>2472</v>
      </c>
      <c r="L15" s="16">
        <v>185</v>
      </c>
      <c r="M15" s="16">
        <v>126</v>
      </c>
      <c r="N15" s="16">
        <v>0</v>
      </c>
      <c r="O15" s="16">
        <v>0</v>
      </c>
      <c r="P15" s="16">
        <v>0</v>
      </c>
      <c r="Q15" s="16">
        <v>0</v>
      </c>
      <c r="R15" s="16">
        <v>0</v>
      </c>
      <c r="S15" s="16">
        <v>0</v>
      </c>
      <c r="T15" s="16">
        <v>0</v>
      </c>
      <c r="U15" s="16">
        <v>0</v>
      </c>
      <c r="V15" s="16">
        <v>4895856</v>
      </c>
      <c r="W15" s="16">
        <v>3306965</v>
      </c>
      <c r="X15" s="16">
        <v>2172792</v>
      </c>
      <c r="Y15" s="16">
        <v>8</v>
      </c>
      <c r="Z15" s="16">
        <v>0</v>
      </c>
      <c r="AA15" s="16">
        <v>0</v>
      </c>
      <c r="AB15" s="16">
        <v>0</v>
      </c>
    </row>
    <row r="16" spans="1:28" s="26" customFormat="1" x14ac:dyDescent="0.25">
      <c r="A16" s="34" t="s">
        <v>12</v>
      </c>
      <c r="B16" s="16">
        <v>160</v>
      </c>
      <c r="C16" s="16">
        <v>10</v>
      </c>
      <c r="D16" s="16">
        <v>0</v>
      </c>
      <c r="E16" s="16">
        <v>50</v>
      </c>
      <c r="F16" s="16">
        <v>12</v>
      </c>
      <c r="G16" s="16">
        <v>0</v>
      </c>
      <c r="H16" s="16">
        <v>0</v>
      </c>
      <c r="I16" s="16">
        <v>3000</v>
      </c>
      <c r="J16" s="16">
        <v>0</v>
      </c>
      <c r="K16" s="16">
        <v>60</v>
      </c>
      <c r="L16" s="16">
        <v>0</v>
      </c>
      <c r="M16" s="16">
        <v>242</v>
      </c>
      <c r="N16" s="16">
        <v>0</v>
      </c>
      <c r="O16" s="16">
        <v>0</v>
      </c>
      <c r="P16" s="16">
        <v>0</v>
      </c>
      <c r="Q16" s="16">
        <v>0</v>
      </c>
      <c r="R16" s="16">
        <v>0</v>
      </c>
      <c r="S16" s="16">
        <v>0</v>
      </c>
      <c r="T16" s="16">
        <v>0</v>
      </c>
      <c r="U16" s="16">
        <v>0</v>
      </c>
      <c r="V16" s="16">
        <v>45716</v>
      </c>
      <c r="W16" s="16">
        <v>134000</v>
      </c>
      <c r="X16" s="16">
        <v>55729</v>
      </c>
      <c r="Y16" s="16">
        <v>557</v>
      </c>
      <c r="Z16" s="16">
        <v>1458</v>
      </c>
      <c r="AA16" s="16">
        <v>63</v>
      </c>
      <c r="AB16" s="16">
        <v>2047</v>
      </c>
    </row>
    <row r="17" spans="1:28"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row>
    <row r="18" spans="1:28" s="26" customFormat="1" x14ac:dyDescent="0.25">
      <c r="A18" s="35" t="s">
        <v>14</v>
      </c>
      <c r="B18" s="19">
        <f>SUM(B11:B17)</f>
        <v>6274</v>
      </c>
      <c r="C18" s="19">
        <f>SUM(C11:C17)</f>
        <v>1178</v>
      </c>
      <c r="D18" s="19">
        <f>SUM(D11:D17)</f>
        <v>50</v>
      </c>
      <c r="E18" s="19">
        <f>SUM(E11:E17)</f>
        <v>1364</v>
      </c>
      <c r="F18" s="19">
        <f t="shared" ref="F18" si="5">SUM(F11:F17)</f>
        <v>930</v>
      </c>
      <c r="G18" s="19">
        <f>SUM(G11:G17)</f>
        <v>357</v>
      </c>
      <c r="H18" s="19">
        <f t="shared" ref="H18" si="6">SUM(H11:H17)</f>
        <v>0</v>
      </c>
      <c r="I18" s="19">
        <f t="shared" ref="I18:R18" si="7">SUM(I11:I17)</f>
        <v>7878</v>
      </c>
      <c r="J18" s="19">
        <f t="shared" si="7"/>
        <v>500</v>
      </c>
      <c r="K18" s="19">
        <f t="shared" si="7"/>
        <v>2542</v>
      </c>
      <c r="L18" s="19">
        <f t="shared" si="7"/>
        <v>185</v>
      </c>
      <c r="M18" s="19">
        <f t="shared" si="7"/>
        <v>368</v>
      </c>
      <c r="N18" s="19">
        <f t="shared" si="7"/>
        <v>637</v>
      </c>
      <c r="O18" s="19">
        <f t="shared" si="7"/>
        <v>2017</v>
      </c>
      <c r="P18" s="19">
        <f t="shared" si="7"/>
        <v>604</v>
      </c>
      <c r="Q18" s="19">
        <f t="shared" si="7"/>
        <v>0</v>
      </c>
      <c r="R18" s="19">
        <f t="shared" si="7"/>
        <v>35</v>
      </c>
      <c r="S18" s="19">
        <f t="shared" ref="S18:T18" si="8">SUM(S11:S17)</f>
        <v>4516</v>
      </c>
      <c r="T18" s="19">
        <f t="shared" si="8"/>
        <v>218</v>
      </c>
      <c r="U18" s="19">
        <f t="shared" ref="U18:W18" si="9">SUM(U11:U17)</f>
        <v>25134</v>
      </c>
      <c r="V18" s="19">
        <f t="shared" si="9"/>
        <v>5258680</v>
      </c>
      <c r="W18" s="19">
        <f t="shared" si="9"/>
        <v>3510415</v>
      </c>
      <c r="X18" s="19">
        <f t="shared" ref="X18:AB18" si="10">SUM(X11:X17)</f>
        <v>2672621</v>
      </c>
      <c r="Y18" s="19">
        <f t="shared" si="10"/>
        <v>565</v>
      </c>
      <c r="Z18" s="19">
        <f t="shared" si="10"/>
        <v>1458</v>
      </c>
      <c r="AA18" s="19">
        <f t="shared" si="10"/>
        <v>63</v>
      </c>
      <c r="AB18" s="19">
        <f t="shared" si="10"/>
        <v>2047</v>
      </c>
    </row>
    <row r="19" spans="1:28" s="26" customFormat="1" x14ac:dyDescent="0.25">
      <c r="A19" s="35" t="s">
        <v>15</v>
      </c>
      <c r="B19" s="19">
        <f>SUM(B10,B18)</f>
        <v>60947</v>
      </c>
      <c r="C19" s="19">
        <f>SUM(C10,C18)</f>
        <v>4875</v>
      </c>
      <c r="D19" s="19">
        <f>SUM(D10,D18)</f>
        <v>7485</v>
      </c>
      <c r="E19" s="19">
        <f>SUM(E10,E18)</f>
        <v>7198</v>
      </c>
      <c r="F19" s="19">
        <f t="shared" ref="F19" si="11">SUM(F10,F18)</f>
        <v>2942</v>
      </c>
      <c r="G19" s="19">
        <f>SUM(G10,G18)</f>
        <v>1740</v>
      </c>
      <c r="H19" s="19">
        <f t="shared" ref="H19" si="12">SUM(H10,H18)</f>
        <v>2849</v>
      </c>
      <c r="I19" s="19">
        <f t="shared" ref="I19:R19" si="13">SUM(I10,I18)</f>
        <v>52190</v>
      </c>
      <c r="J19" s="19">
        <f t="shared" si="13"/>
        <v>1578</v>
      </c>
      <c r="K19" s="19">
        <f t="shared" si="13"/>
        <v>16043</v>
      </c>
      <c r="L19" s="19">
        <f t="shared" si="13"/>
        <v>497</v>
      </c>
      <c r="M19" s="19">
        <f t="shared" si="13"/>
        <v>800</v>
      </c>
      <c r="N19" s="19">
        <f t="shared" si="13"/>
        <v>1972</v>
      </c>
      <c r="O19" s="19">
        <f t="shared" si="13"/>
        <v>7109</v>
      </c>
      <c r="P19" s="19">
        <f t="shared" si="13"/>
        <v>3358</v>
      </c>
      <c r="Q19" s="19">
        <f t="shared" si="13"/>
        <v>778</v>
      </c>
      <c r="R19" s="19">
        <f t="shared" si="13"/>
        <v>534</v>
      </c>
      <c r="S19" s="19">
        <f t="shared" ref="S19:T19" si="14">SUM(S10,S18)</f>
        <v>19170</v>
      </c>
      <c r="T19" s="19">
        <f t="shared" si="14"/>
        <v>991</v>
      </c>
      <c r="U19" s="19">
        <f t="shared" ref="U19:W19" si="15">SUM(U10,U18)</f>
        <v>40204</v>
      </c>
      <c r="V19" s="19">
        <f t="shared" si="15"/>
        <v>9375943</v>
      </c>
      <c r="W19" s="19">
        <f t="shared" si="15"/>
        <v>10071830</v>
      </c>
      <c r="X19" s="19">
        <f t="shared" ref="X19:AB19" si="16">SUM(X10,X18)</f>
        <v>9192775</v>
      </c>
      <c r="Y19" s="19">
        <f t="shared" si="16"/>
        <v>2035</v>
      </c>
      <c r="Z19" s="19">
        <f t="shared" si="16"/>
        <v>6211</v>
      </c>
      <c r="AA19" s="19">
        <f t="shared" si="16"/>
        <v>501</v>
      </c>
      <c r="AB19" s="19">
        <f t="shared" si="16"/>
        <v>5675</v>
      </c>
    </row>
    <row r="21" spans="1:28"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row>
    <row r="22" spans="1:28"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row>
    <row r="23" spans="1:28"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row>
    <row r="24" spans="1:28"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row>
    <row r="25" spans="1:28"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row>
  </sheetData>
  <sheetProtection formatCells="0" formatColumns="0" formatRows="0" insertColumns="0" insertRows="0" sort="0" autoFilter="0" pivotTables="0"/>
  <dataValidations count="1">
    <dataValidation type="list" errorStyle="information" allowBlank="1" showInputMessage="1" showErrorMessage="1" sqref="B1:AB1" xr:uid="{3E2445EA-43BB-40D0-8038-E35752637F27}">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E1618E45-9F35-4751-BD34-D9DDEE8A0B2C}">
          <x14:formula1>
            <xm:f>'Term List'!$A2:$A242</xm:f>
          </x14:formula1>
          <xm:sqref>AC1:XFD1</xm:sqref>
        </x14:dataValidation>
      </x14:dataValidations>
    </ext>
  </extLs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C365-FAAF-4B0A-88B9-08619C931F3B}">
  <sheetPr codeName="Sheet45"/>
  <dimension ref="A1:O25"/>
  <sheetViews>
    <sheetView workbookViewId="0">
      <pane xSplit="1" ySplit="1" topLeftCell="B2" activePane="bottomRight" state="frozen"/>
      <selection activeCell="E23" sqref="E23"/>
      <selection pane="topRight" activeCell="E23" sqref="E23"/>
      <selection pane="bottomLeft" activeCell="E23" sqref="E23"/>
      <selection pane="bottomRight" activeCell="E25" sqref="E25"/>
    </sheetView>
  </sheetViews>
  <sheetFormatPr defaultRowHeight="15" x14ac:dyDescent="0.25"/>
  <cols>
    <col min="1" max="1" width="38.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4.42578125" style="5" customWidth="1"/>
    <col min="8" max="8" width="15.140625" style="5" customWidth="1"/>
    <col min="9" max="9" width="14.42578125" style="5" customWidth="1"/>
    <col min="10" max="10" width="17.85546875" style="5" customWidth="1"/>
    <col min="11" max="11" width="15.5703125" style="5" customWidth="1"/>
    <col min="12" max="12" width="15" style="5" customWidth="1"/>
    <col min="13" max="13" width="17.140625" style="5" customWidth="1"/>
    <col min="14" max="14" width="16.5703125" style="5" customWidth="1"/>
    <col min="15" max="15" width="14.42578125" style="5" customWidth="1"/>
    <col min="16" max="16384" width="9.140625" style="3"/>
  </cols>
  <sheetData>
    <row r="1" spans="1:15" s="14" customFormat="1" ht="30" x14ac:dyDescent="0.25">
      <c r="A1" s="36" t="s">
        <v>394</v>
      </c>
      <c r="B1" s="36" t="s">
        <v>155</v>
      </c>
      <c r="C1" s="36" t="s">
        <v>156</v>
      </c>
      <c r="D1" s="36" t="s">
        <v>154</v>
      </c>
      <c r="E1" s="36" t="s">
        <v>150</v>
      </c>
      <c r="F1" s="36" t="s">
        <v>148</v>
      </c>
      <c r="G1" s="36" t="s">
        <v>147</v>
      </c>
      <c r="H1" s="36" t="s">
        <v>314</v>
      </c>
      <c r="I1" s="36" t="s">
        <v>149</v>
      </c>
      <c r="J1" s="36" t="s">
        <v>139</v>
      </c>
      <c r="K1" s="36" t="s">
        <v>132</v>
      </c>
      <c r="L1" s="36" t="s">
        <v>130</v>
      </c>
      <c r="M1" s="36" t="s">
        <v>144</v>
      </c>
      <c r="N1" s="36" t="s">
        <v>142</v>
      </c>
      <c r="O1" s="36" t="s">
        <v>124</v>
      </c>
    </row>
    <row r="2" spans="1:15" s="26" customFormat="1" x14ac:dyDescent="0.25">
      <c r="A2" s="34" t="s">
        <v>0</v>
      </c>
      <c r="B2" s="16">
        <v>23997</v>
      </c>
      <c r="C2" s="17">
        <v>1545</v>
      </c>
      <c r="D2" s="17">
        <v>473</v>
      </c>
      <c r="E2" s="17">
        <v>5554</v>
      </c>
      <c r="F2" s="17">
        <v>259</v>
      </c>
      <c r="G2" s="17">
        <v>0</v>
      </c>
      <c r="H2" s="17">
        <v>0</v>
      </c>
      <c r="I2" s="17"/>
      <c r="J2" s="17">
        <v>0</v>
      </c>
      <c r="K2" s="17">
        <v>679</v>
      </c>
      <c r="L2" s="17">
        <v>587</v>
      </c>
      <c r="M2" s="17">
        <v>201</v>
      </c>
      <c r="N2" s="17">
        <v>1196</v>
      </c>
      <c r="O2" s="17">
        <v>12504981</v>
      </c>
    </row>
    <row r="3" spans="1:15" s="26" customFormat="1" x14ac:dyDescent="0.25">
      <c r="A3" s="34" t="s">
        <v>1</v>
      </c>
      <c r="B3" s="16">
        <v>2152</v>
      </c>
      <c r="C3" s="17">
        <v>397</v>
      </c>
      <c r="D3" s="17">
        <v>279</v>
      </c>
      <c r="E3" s="17">
        <v>486</v>
      </c>
      <c r="F3" s="17">
        <v>108</v>
      </c>
      <c r="G3" s="17">
        <v>0</v>
      </c>
      <c r="H3" s="17">
        <v>0</v>
      </c>
      <c r="I3" s="17"/>
      <c r="J3" s="17">
        <v>0</v>
      </c>
      <c r="K3" s="17">
        <v>169</v>
      </c>
      <c r="L3" s="17">
        <v>0</v>
      </c>
      <c r="M3" s="17">
        <v>26</v>
      </c>
      <c r="N3" s="17">
        <v>164</v>
      </c>
      <c r="O3" s="17">
        <v>553479</v>
      </c>
    </row>
    <row r="4" spans="1:15" s="26" customFormat="1" x14ac:dyDescent="0.25">
      <c r="A4" s="34" t="s">
        <v>169</v>
      </c>
      <c r="B4" s="16"/>
      <c r="C4" s="17"/>
      <c r="D4" s="17"/>
      <c r="E4" s="17"/>
      <c r="F4" s="17"/>
      <c r="G4" s="17"/>
      <c r="H4" s="17"/>
      <c r="I4" s="17"/>
      <c r="J4" s="17"/>
      <c r="K4" s="17"/>
      <c r="L4" s="17"/>
      <c r="M4" s="17"/>
      <c r="N4" s="17"/>
      <c r="O4" s="17"/>
    </row>
    <row r="5" spans="1:15" s="26" customFormat="1" x14ac:dyDescent="0.25">
      <c r="A5" s="34" t="s">
        <v>2</v>
      </c>
      <c r="B5" s="16"/>
      <c r="C5" s="17"/>
      <c r="D5" s="17"/>
      <c r="E5" s="17"/>
      <c r="F5" s="17"/>
      <c r="G5" s="17"/>
      <c r="H5" s="17"/>
      <c r="I5" s="17"/>
      <c r="J5" s="17"/>
      <c r="K5" s="17"/>
      <c r="L5" s="17"/>
      <c r="M5" s="17"/>
      <c r="N5" s="17"/>
      <c r="O5" s="17"/>
    </row>
    <row r="6" spans="1:15" s="26" customFormat="1" x14ac:dyDescent="0.25">
      <c r="A6" s="34" t="s">
        <v>3</v>
      </c>
      <c r="B6" s="16">
        <v>131</v>
      </c>
      <c r="C6" s="17">
        <v>123</v>
      </c>
      <c r="D6" s="17">
        <v>620</v>
      </c>
      <c r="E6" s="17">
        <v>4001</v>
      </c>
      <c r="F6" s="17">
        <v>386</v>
      </c>
      <c r="G6" s="17">
        <v>67</v>
      </c>
      <c r="H6" s="17">
        <v>0</v>
      </c>
      <c r="I6" s="17"/>
      <c r="J6" s="17">
        <v>1</v>
      </c>
      <c r="K6" s="17">
        <v>2</v>
      </c>
      <c r="L6" s="17">
        <v>24</v>
      </c>
      <c r="M6" s="17">
        <v>30</v>
      </c>
      <c r="N6" s="17">
        <v>156</v>
      </c>
      <c r="O6" s="17">
        <v>103894</v>
      </c>
    </row>
    <row r="7" spans="1:15" s="26" customFormat="1" x14ac:dyDescent="0.25">
      <c r="A7" s="34" t="s">
        <v>4</v>
      </c>
      <c r="B7" s="16">
        <v>217</v>
      </c>
      <c r="C7" s="17">
        <v>43</v>
      </c>
      <c r="D7" s="17">
        <v>225</v>
      </c>
      <c r="E7" s="17">
        <v>1340</v>
      </c>
      <c r="F7" s="17">
        <v>5</v>
      </c>
      <c r="G7" s="17">
        <v>0</v>
      </c>
      <c r="H7" s="17">
        <v>0</v>
      </c>
      <c r="I7" s="17"/>
      <c r="J7" s="17">
        <v>38</v>
      </c>
      <c r="K7" s="17">
        <v>63</v>
      </c>
      <c r="L7" s="17">
        <v>107</v>
      </c>
      <c r="M7" s="17">
        <v>11</v>
      </c>
      <c r="N7" s="17">
        <v>317</v>
      </c>
      <c r="O7" s="17">
        <v>197359</v>
      </c>
    </row>
    <row r="8" spans="1:15" s="26" customFormat="1" x14ac:dyDescent="0.25">
      <c r="A8" s="34" t="s">
        <v>5</v>
      </c>
      <c r="B8" s="16">
        <v>0</v>
      </c>
      <c r="C8" s="17">
        <v>3</v>
      </c>
      <c r="D8" s="17">
        <v>15</v>
      </c>
      <c r="E8" s="17">
        <v>539</v>
      </c>
      <c r="F8" s="17">
        <v>56</v>
      </c>
      <c r="G8" s="17">
        <v>502</v>
      </c>
      <c r="H8" s="17">
        <v>1393</v>
      </c>
      <c r="I8" s="17"/>
      <c r="J8" s="17">
        <v>0</v>
      </c>
      <c r="K8" s="17">
        <v>0</v>
      </c>
      <c r="L8" s="17">
        <v>0</v>
      </c>
      <c r="M8" s="17">
        <v>0</v>
      </c>
      <c r="N8" s="17">
        <v>0</v>
      </c>
      <c r="O8" s="17">
        <v>1025</v>
      </c>
    </row>
    <row r="9" spans="1:15" s="26" customFormat="1" x14ac:dyDescent="0.25">
      <c r="A9" s="34" t="s">
        <v>6</v>
      </c>
      <c r="B9" s="16"/>
      <c r="C9" s="17"/>
      <c r="D9" s="17"/>
      <c r="E9" s="17"/>
      <c r="F9" s="17"/>
      <c r="G9" s="17"/>
      <c r="H9" s="17"/>
      <c r="I9" s="17"/>
      <c r="J9" s="17"/>
      <c r="K9" s="17"/>
      <c r="L9" s="17"/>
      <c r="M9" s="17"/>
      <c r="N9" s="17"/>
      <c r="O9" s="17"/>
    </row>
    <row r="10" spans="1:15" s="26" customFormat="1" x14ac:dyDescent="0.25">
      <c r="A10" s="35" t="s">
        <v>7</v>
      </c>
      <c r="B10" s="19">
        <f>SUM(B2:B9)</f>
        <v>26497</v>
      </c>
      <c r="C10" s="19">
        <f t="shared" ref="C10:O10" si="0">SUM(C2:C9)</f>
        <v>2111</v>
      </c>
      <c r="D10" s="19">
        <f t="shared" si="0"/>
        <v>1612</v>
      </c>
      <c r="E10" s="19">
        <f t="shared" si="0"/>
        <v>11920</v>
      </c>
      <c r="F10" s="19">
        <f t="shared" si="0"/>
        <v>814</v>
      </c>
      <c r="G10" s="19">
        <f t="shared" si="0"/>
        <v>569</v>
      </c>
      <c r="H10" s="19">
        <f t="shared" si="0"/>
        <v>1393</v>
      </c>
      <c r="I10" s="19">
        <f t="shared" si="0"/>
        <v>0</v>
      </c>
      <c r="J10" s="19">
        <f t="shared" si="0"/>
        <v>39</v>
      </c>
      <c r="K10" s="19">
        <f>SUM(K2:K9)</f>
        <v>913</v>
      </c>
      <c r="L10" s="19">
        <f t="shared" si="0"/>
        <v>718</v>
      </c>
      <c r="M10" s="19">
        <f>SUM(M2:M9)</f>
        <v>268</v>
      </c>
      <c r="N10" s="19">
        <f t="shared" si="0"/>
        <v>1833</v>
      </c>
      <c r="O10" s="19">
        <f t="shared" si="0"/>
        <v>13360738</v>
      </c>
    </row>
    <row r="11" spans="1:15" s="26" customFormat="1" x14ac:dyDescent="0.25">
      <c r="A11" s="34" t="s">
        <v>8</v>
      </c>
      <c r="B11" s="16">
        <v>93014</v>
      </c>
      <c r="C11" s="16">
        <v>9993</v>
      </c>
      <c r="D11" s="16">
        <v>1065</v>
      </c>
      <c r="E11" s="16">
        <v>35916</v>
      </c>
      <c r="F11" s="16">
        <v>575</v>
      </c>
      <c r="G11" s="16">
        <v>0</v>
      </c>
      <c r="H11" s="16">
        <v>0</v>
      </c>
      <c r="I11" s="16"/>
      <c r="J11" s="16">
        <v>134</v>
      </c>
      <c r="K11" s="16">
        <v>572</v>
      </c>
      <c r="L11" s="16">
        <v>894</v>
      </c>
      <c r="M11" s="16">
        <v>524</v>
      </c>
      <c r="N11" s="16">
        <v>22310</v>
      </c>
      <c r="O11" s="16">
        <v>13888544</v>
      </c>
    </row>
    <row r="12" spans="1:15" s="26" customFormat="1" x14ac:dyDescent="0.25">
      <c r="A12" s="34" t="s">
        <v>9</v>
      </c>
      <c r="B12" s="16"/>
      <c r="C12" s="16"/>
      <c r="D12" s="16"/>
      <c r="E12" s="16"/>
      <c r="F12" s="16"/>
      <c r="G12" s="16"/>
      <c r="H12" s="16"/>
      <c r="I12" s="16"/>
      <c r="J12" s="16"/>
      <c r="K12" s="16"/>
      <c r="L12" s="16"/>
      <c r="M12" s="16"/>
      <c r="N12" s="16"/>
      <c r="O12" s="16"/>
    </row>
    <row r="13" spans="1:15" s="26" customFormat="1" x14ac:dyDescent="0.25">
      <c r="A13" s="34" t="s">
        <v>164</v>
      </c>
      <c r="B13" s="16"/>
      <c r="C13" s="16"/>
      <c r="D13" s="16"/>
      <c r="E13" s="16"/>
      <c r="F13" s="16"/>
      <c r="G13" s="16"/>
      <c r="H13" s="16"/>
      <c r="I13" s="16"/>
      <c r="J13" s="16"/>
      <c r="K13" s="16"/>
      <c r="L13" s="16"/>
      <c r="M13" s="16"/>
      <c r="N13" s="16"/>
      <c r="O13" s="16"/>
    </row>
    <row r="14" spans="1:15" s="26" customFormat="1" x14ac:dyDescent="0.25">
      <c r="A14" s="34" t="s">
        <v>10</v>
      </c>
      <c r="B14" s="16">
        <v>194</v>
      </c>
      <c r="C14" s="16">
        <v>37</v>
      </c>
      <c r="D14" s="16">
        <v>11</v>
      </c>
      <c r="E14" s="16">
        <v>2317</v>
      </c>
      <c r="F14" s="16">
        <v>73</v>
      </c>
      <c r="G14" s="16">
        <v>0</v>
      </c>
      <c r="H14" s="16">
        <v>5</v>
      </c>
      <c r="I14" s="16"/>
      <c r="J14" s="16">
        <v>11</v>
      </c>
      <c r="K14" s="16">
        <v>0</v>
      </c>
      <c r="L14" s="16">
        <v>0</v>
      </c>
      <c r="M14" s="16">
        <v>0</v>
      </c>
      <c r="N14" s="16">
        <v>59</v>
      </c>
      <c r="O14" s="16">
        <v>55831</v>
      </c>
    </row>
    <row r="15" spans="1:15" s="26" customFormat="1" x14ac:dyDescent="0.25">
      <c r="A15" s="34" t="s">
        <v>11</v>
      </c>
      <c r="B15" s="16">
        <v>62</v>
      </c>
      <c r="C15" s="16">
        <v>83</v>
      </c>
      <c r="D15" s="16">
        <v>69</v>
      </c>
      <c r="E15" s="16">
        <v>2736</v>
      </c>
      <c r="F15" s="16">
        <v>3</v>
      </c>
      <c r="G15" s="16">
        <v>0</v>
      </c>
      <c r="H15" s="16">
        <v>0</v>
      </c>
      <c r="I15" s="16"/>
      <c r="J15" s="16">
        <v>58</v>
      </c>
      <c r="K15" s="16">
        <v>8</v>
      </c>
      <c r="L15" s="16">
        <v>55</v>
      </c>
      <c r="M15" s="16">
        <v>52</v>
      </c>
      <c r="N15" s="16">
        <v>3184</v>
      </c>
      <c r="O15" s="16">
        <v>57629</v>
      </c>
    </row>
    <row r="16" spans="1:15" s="26" customFormat="1" x14ac:dyDescent="0.25">
      <c r="A16" s="34" t="s">
        <v>12</v>
      </c>
      <c r="B16" s="16">
        <v>0</v>
      </c>
      <c r="C16" s="16">
        <v>0</v>
      </c>
      <c r="D16" s="16">
        <v>0</v>
      </c>
      <c r="E16" s="16">
        <v>107</v>
      </c>
      <c r="F16" s="16">
        <v>0</v>
      </c>
      <c r="G16" s="16">
        <v>5</v>
      </c>
      <c r="H16" s="16">
        <v>0</v>
      </c>
      <c r="I16" s="16"/>
      <c r="J16" s="16">
        <v>0</v>
      </c>
      <c r="K16" s="16">
        <v>0</v>
      </c>
      <c r="L16" s="16">
        <v>0</v>
      </c>
      <c r="M16" s="16">
        <v>0</v>
      </c>
      <c r="N16" s="16">
        <v>0</v>
      </c>
      <c r="O16" s="16">
        <v>0</v>
      </c>
    </row>
    <row r="17" spans="1:15" s="26" customFormat="1" x14ac:dyDescent="0.25">
      <c r="A17" s="34" t="s">
        <v>13</v>
      </c>
      <c r="B17" s="16"/>
      <c r="C17" s="16"/>
      <c r="D17" s="16"/>
      <c r="E17" s="16"/>
      <c r="F17" s="16"/>
      <c r="G17" s="16"/>
      <c r="H17" s="16"/>
      <c r="I17" s="16"/>
      <c r="J17" s="16"/>
      <c r="K17" s="16"/>
      <c r="L17" s="16"/>
      <c r="M17" s="16"/>
      <c r="N17" s="16"/>
      <c r="O17" s="16"/>
    </row>
    <row r="18" spans="1:15" s="26" customFormat="1" x14ac:dyDescent="0.25">
      <c r="A18" s="35" t="s">
        <v>14</v>
      </c>
      <c r="B18" s="19">
        <f>SUM(B11:B17)</f>
        <v>93270</v>
      </c>
      <c r="C18" s="19">
        <f t="shared" ref="C18:O18" si="1">SUM(C11:C17)</f>
        <v>10113</v>
      </c>
      <c r="D18" s="19">
        <f t="shared" si="1"/>
        <v>1145</v>
      </c>
      <c r="E18" s="19">
        <f t="shared" si="1"/>
        <v>41076</v>
      </c>
      <c r="F18" s="19">
        <f t="shared" si="1"/>
        <v>651</v>
      </c>
      <c r="G18" s="19">
        <f t="shared" si="1"/>
        <v>5</v>
      </c>
      <c r="H18" s="19">
        <f t="shared" si="1"/>
        <v>5</v>
      </c>
      <c r="I18" s="19">
        <f t="shared" si="1"/>
        <v>0</v>
      </c>
      <c r="J18" s="19">
        <f t="shared" si="1"/>
        <v>203</v>
      </c>
      <c r="K18" s="19">
        <f>SUM(K11:K17)</f>
        <v>580</v>
      </c>
      <c r="L18" s="19">
        <f t="shared" si="1"/>
        <v>949</v>
      </c>
      <c r="M18" s="19">
        <f>SUM(M11:M17)</f>
        <v>576</v>
      </c>
      <c r="N18" s="19">
        <f t="shared" si="1"/>
        <v>25553</v>
      </c>
      <c r="O18" s="19">
        <f t="shared" si="1"/>
        <v>14002004</v>
      </c>
    </row>
    <row r="19" spans="1:15" s="26" customFormat="1" x14ac:dyDescent="0.25">
      <c r="A19" s="35" t="s">
        <v>15</v>
      </c>
      <c r="B19" s="19">
        <f>SUM(B10,B18)</f>
        <v>119767</v>
      </c>
      <c r="C19" s="19">
        <f t="shared" ref="C19:O19" si="2">SUM(C10,C18)</f>
        <v>12224</v>
      </c>
      <c r="D19" s="19">
        <f t="shared" si="2"/>
        <v>2757</v>
      </c>
      <c r="E19" s="19">
        <f t="shared" si="2"/>
        <v>52996</v>
      </c>
      <c r="F19" s="19">
        <f t="shared" si="2"/>
        <v>1465</v>
      </c>
      <c r="G19" s="19">
        <f t="shared" si="2"/>
        <v>574</v>
      </c>
      <c r="H19" s="19">
        <f t="shared" si="2"/>
        <v>1398</v>
      </c>
      <c r="I19" s="19">
        <f t="shared" si="2"/>
        <v>0</v>
      </c>
      <c r="J19" s="19">
        <f t="shared" si="2"/>
        <v>242</v>
      </c>
      <c r="K19" s="19">
        <f>SUM(K10,K18)</f>
        <v>1493</v>
      </c>
      <c r="L19" s="19">
        <f t="shared" si="2"/>
        <v>1667</v>
      </c>
      <c r="M19" s="19">
        <f>SUM(M10,M18)</f>
        <v>844</v>
      </c>
      <c r="N19" s="19">
        <f t="shared" si="2"/>
        <v>27386</v>
      </c>
      <c r="O19" s="19">
        <f t="shared" si="2"/>
        <v>27362742</v>
      </c>
    </row>
    <row r="21" spans="1:15" x14ac:dyDescent="0.25">
      <c r="B21" s="44"/>
      <c r="C21" s="44"/>
      <c r="D21" s="44"/>
      <c r="E21" s="44"/>
      <c r="F21" s="44"/>
      <c r="G21" s="44"/>
      <c r="H21" s="44"/>
      <c r="I21" s="44"/>
      <c r="J21" s="44"/>
      <c r="K21" s="44"/>
      <c r="L21" s="44"/>
      <c r="M21" s="44"/>
      <c r="N21" s="44"/>
      <c r="O21" s="44"/>
    </row>
    <row r="23" spans="1:15" x14ac:dyDescent="0.25">
      <c r="B23" s="44"/>
      <c r="C23" s="44"/>
      <c r="D23" s="44"/>
      <c r="E23" s="44"/>
      <c r="F23" s="44"/>
      <c r="G23" s="44"/>
      <c r="H23" s="44"/>
      <c r="I23" s="44"/>
      <c r="J23" s="44"/>
      <c r="K23" s="44"/>
      <c r="L23" s="44"/>
      <c r="M23" s="44"/>
      <c r="N23" s="44"/>
      <c r="O23" s="44"/>
    </row>
    <row r="25" spans="1:15" x14ac:dyDescent="0.25">
      <c r="B25" s="44"/>
      <c r="C25" s="44"/>
      <c r="D25" s="44"/>
      <c r="E25" s="44"/>
      <c r="F25" s="44"/>
      <c r="G25" s="44"/>
      <c r="H25" s="44"/>
      <c r="I25" s="44"/>
      <c r="J25" s="44"/>
      <c r="K25" s="44"/>
      <c r="L25" s="44"/>
      <c r="M25" s="44"/>
      <c r="N25" s="44"/>
      <c r="O25" s="44"/>
    </row>
  </sheetData>
  <sheetProtection formatCells="0" formatColumns="0" formatRows="0" insertColumns="0" insertRows="0" sort="0" autoFilter="0" pivotTables="0"/>
  <dataValidations count="1">
    <dataValidation type="list" errorStyle="information" allowBlank="1" showInputMessage="1" showErrorMessage="1" sqref="B1:N1 O1" xr:uid="{E563DE95-E32F-4A7A-9A10-87EBC9875579}">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8AAF36B-5C07-4207-8940-025C8E55363D}">
          <x14:formula1>
            <xm:f>'Term List'!$A2:$A242</xm:f>
          </x14:formula1>
          <xm:sqref>P1:XFD1</xm:sqref>
        </x14:dataValidation>
      </x14:dataValidations>
    </ext>
  </extLs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492BC-1F75-4710-92EE-68AA3B5E9B1A}">
  <sheetPr codeName="Sheet44"/>
  <dimension ref="A1:AB25"/>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5.85546875" style="5" customWidth="1"/>
    <col min="3" max="3" width="16.28515625" style="5" customWidth="1"/>
    <col min="4" max="5" width="15.85546875" style="5" customWidth="1"/>
    <col min="6" max="6" width="16" style="3" customWidth="1"/>
    <col min="7" max="8" width="15.85546875" style="5" customWidth="1"/>
    <col min="9" max="9" width="24.5703125" style="3" customWidth="1"/>
    <col min="10" max="10" width="21.7109375" style="5" customWidth="1"/>
    <col min="11" max="11" width="23.85546875" style="5" customWidth="1"/>
    <col min="12" max="12" width="25.85546875" style="3" customWidth="1"/>
    <col min="13" max="13" width="23.7109375" style="3" customWidth="1"/>
    <col min="14" max="14" width="21.140625" style="5" customWidth="1"/>
    <col min="15" max="15" width="16.28515625" style="5" customWidth="1"/>
    <col min="16" max="16" width="17" style="5" customWidth="1"/>
    <col min="17" max="17" width="21.140625" style="3" customWidth="1"/>
    <col min="18" max="18" width="21.28515625" style="5" customWidth="1"/>
    <col min="19" max="19" width="19.140625" style="5" customWidth="1"/>
    <col min="20" max="20" width="18.5703125" style="3" customWidth="1"/>
    <col min="21" max="21" width="19.140625" style="3" customWidth="1"/>
    <col min="22" max="22" width="20.140625" style="3" customWidth="1"/>
    <col min="23" max="24" width="15.85546875" style="3" customWidth="1"/>
    <col min="25" max="25" width="18.28515625" style="3" customWidth="1"/>
    <col min="26" max="26" width="17.85546875" style="3" customWidth="1"/>
    <col min="27" max="27" width="17.28515625" style="3" customWidth="1"/>
    <col min="28" max="28" width="17.5703125" style="3" customWidth="1"/>
    <col min="29" max="16384" width="9.140625" style="3"/>
  </cols>
  <sheetData>
    <row r="1" spans="1:28" s="40" customFormat="1" ht="30" x14ac:dyDescent="0.25">
      <c r="A1" s="36" t="s">
        <v>395</v>
      </c>
      <c r="B1" s="36" t="s">
        <v>62</v>
      </c>
      <c r="C1" s="36" t="s">
        <v>36</v>
      </c>
      <c r="D1" s="36" t="s">
        <v>35</v>
      </c>
      <c r="E1" s="36" t="s">
        <v>39</v>
      </c>
      <c r="F1" s="36" t="s">
        <v>99</v>
      </c>
      <c r="G1" s="36" t="s">
        <v>95</v>
      </c>
      <c r="H1" s="36" t="s">
        <v>94</v>
      </c>
      <c r="I1" s="36" t="s">
        <v>386</v>
      </c>
      <c r="J1" s="36" t="s">
        <v>387</v>
      </c>
      <c r="K1" s="36" t="s">
        <v>388</v>
      </c>
      <c r="L1" s="36" t="s">
        <v>383</v>
      </c>
      <c r="M1" s="36" t="s">
        <v>384</v>
      </c>
      <c r="N1" s="36" t="s">
        <v>570</v>
      </c>
      <c r="O1" s="36" t="s">
        <v>571</v>
      </c>
      <c r="P1" s="36" t="s">
        <v>572</v>
      </c>
      <c r="Q1" s="36" t="s">
        <v>566</v>
      </c>
      <c r="R1" s="36" t="s">
        <v>567</v>
      </c>
      <c r="S1" s="36" t="s">
        <v>569</v>
      </c>
      <c r="T1" s="36" t="s">
        <v>65</v>
      </c>
      <c r="U1" s="36" t="s">
        <v>88</v>
      </c>
      <c r="V1" s="36" t="s">
        <v>107</v>
      </c>
      <c r="W1" s="36" t="s">
        <v>101</v>
      </c>
      <c r="X1" s="36" t="s">
        <v>75</v>
      </c>
      <c r="Y1" s="36" t="s">
        <v>330</v>
      </c>
      <c r="Z1" s="36" t="s">
        <v>331</v>
      </c>
      <c r="AA1" s="36" t="s">
        <v>332</v>
      </c>
      <c r="AB1" s="36" t="s">
        <v>333</v>
      </c>
    </row>
    <row r="2" spans="1:28"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row>
    <row r="3" spans="1:28"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row>
    <row r="4" spans="1:28" s="26" customFormat="1" x14ac:dyDescent="0.25">
      <c r="A4" s="34" t="s">
        <v>169</v>
      </c>
      <c r="B4" s="16">
        <v>11327</v>
      </c>
      <c r="C4" s="16">
        <v>1047</v>
      </c>
      <c r="D4" s="16">
        <v>12149</v>
      </c>
      <c r="E4" s="16">
        <v>0</v>
      </c>
      <c r="F4" s="16">
        <v>0</v>
      </c>
      <c r="G4" s="16">
        <v>0</v>
      </c>
      <c r="H4" s="16">
        <v>0</v>
      </c>
      <c r="I4" s="16">
        <v>0</v>
      </c>
      <c r="J4" s="16">
        <v>0</v>
      </c>
      <c r="K4" s="16">
        <v>0</v>
      </c>
      <c r="L4" s="16">
        <v>916</v>
      </c>
      <c r="M4" s="16">
        <v>0</v>
      </c>
      <c r="N4" s="16">
        <v>0</v>
      </c>
      <c r="O4" s="16">
        <v>0</v>
      </c>
      <c r="P4" s="16">
        <v>0</v>
      </c>
      <c r="Q4" s="16">
        <v>0</v>
      </c>
      <c r="R4" s="16">
        <v>0</v>
      </c>
      <c r="S4" s="16">
        <v>0</v>
      </c>
      <c r="T4" s="16">
        <v>10926</v>
      </c>
      <c r="U4" s="16">
        <v>2371</v>
      </c>
      <c r="V4" s="16">
        <v>11400</v>
      </c>
      <c r="W4" s="16">
        <v>0</v>
      </c>
      <c r="X4" s="16">
        <v>0</v>
      </c>
      <c r="Y4" s="16">
        <v>0</v>
      </c>
      <c r="Z4" s="16">
        <v>0</v>
      </c>
      <c r="AA4" s="16">
        <v>0</v>
      </c>
      <c r="AB4" s="16">
        <v>0</v>
      </c>
    </row>
    <row r="5" spans="1:28"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row>
    <row r="6" spans="1:28" s="26" customFormat="1" x14ac:dyDescent="0.25">
      <c r="A6" s="34" t="s">
        <v>3</v>
      </c>
      <c r="B6" s="16">
        <v>5492</v>
      </c>
      <c r="C6" s="16">
        <v>195</v>
      </c>
      <c r="D6" s="16">
        <v>500</v>
      </c>
      <c r="E6" s="16">
        <v>183</v>
      </c>
      <c r="F6" s="16">
        <v>450</v>
      </c>
      <c r="G6" s="16">
        <v>0</v>
      </c>
      <c r="H6" s="16">
        <v>13</v>
      </c>
      <c r="I6" s="16">
        <v>0</v>
      </c>
      <c r="J6" s="16">
        <v>0</v>
      </c>
      <c r="K6" s="16">
        <v>0</v>
      </c>
      <c r="L6" s="16">
        <v>0</v>
      </c>
      <c r="M6" s="16">
        <v>0</v>
      </c>
      <c r="N6" s="16">
        <v>1009</v>
      </c>
      <c r="O6" s="16">
        <v>3983</v>
      </c>
      <c r="P6" s="16">
        <v>3734</v>
      </c>
      <c r="Q6" s="16">
        <v>227</v>
      </c>
      <c r="R6" s="16">
        <v>18155</v>
      </c>
      <c r="S6" s="16">
        <v>535</v>
      </c>
      <c r="T6" s="16">
        <v>0</v>
      </c>
      <c r="U6" s="16">
        <v>0</v>
      </c>
      <c r="V6" s="16">
        <v>487223</v>
      </c>
      <c r="W6" s="16">
        <v>248990</v>
      </c>
      <c r="X6" s="16">
        <v>899608</v>
      </c>
      <c r="Y6" s="16">
        <v>2</v>
      </c>
      <c r="Z6" s="16">
        <v>1</v>
      </c>
      <c r="AA6" s="16">
        <v>0</v>
      </c>
      <c r="AB6" s="16">
        <v>0</v>
      </c>
    </row>
    <row r="7" spans="1:28" s="26" customFormat="1" x14ac:dyDescent="0.25">
      <c r="A7" s="34" t="s">
        <v>4</v>
      </c>
      <c r="B7" s="16">
        <v>25154</v>
      </c>
      <c r="C7" s="16">
        <v>683</v>
      </c>
      <c r="D7" s="16">
        <v>100</v>
      </c>
      <c r="E7" s="16">
        <v>1368</v>
      </c>
      <c r="F7" s="16">
        <v>339</v>
      </c>
      <c r="G7" s="16">
        <v>2</v>
      </c>
      <c r="H7" s="16">
        <v>9</v>
      </c>
      <c r="I7" s="16">
        <v>6923</v>
      </c>
      <c r="J7" s="16">
        <v>225</v>
      </c>
      <c r="K7" s="16">
        <v>5884</v>
      </c>
      <c r="L7" s="16">
        <v>3</v>
      </c>
      <c r="M7" s="16">
        <v>47</v>
      </c>
      <c r="N7" s="16">
        <v>0</v>
      </c>
      <c r="O7" s="16">
        <v>0</v>
      </c>
      <c r="P7" s="16">
        <v>0</v>
      </c>
      <c r="Q7" s="16">
        <v>0</v>
      </c>
      <c r="R7" s="16">
        <v>0</v>
      </c>
      <c r="S7" s="16">
        <v>0</v>
      </c>
      <c r="T7" s="16">
        <v>0</v>
      </c>
      <c r="U7" s="16">
        <v>0</v>
      </c>
      <c r="V7" s="16">
        <v>333325</v>
      </c>
      <c r="W7" s="16">
        <v>315290</v>
      </c>
      <c r="X7" s="16">
        <v>317678</v>
      </c>
      <c r="Y7" s="16">
        <v>0</v>
      </c>
      <c r="Z7" s="16">
        <v>0</v>
      </c>
      <c r="AA7" s="16">
        <v>0</v>
      </c>
      <c r="AB7" s="16">
        <v>0</v>
      </c>
    </row>
    <row r="8" spans="1:28" s="26" customFormat="1" x14ac:dyDescent="0.25">
      <c r="A8" s="34" t="s">
        <v>5</v>
      </c>
      <c r="B8" s="16">
        <v>25159</v>
      </c>
      <c r="C8" s="16">
        <v>336</v>
      </c>
      <c r="D8" s="16">
        <v>118</v>
      </c>
      <c r="E8" s="16">
        <v>397</v>
      </c>
      <c r="F8" s="16">
        <v>373</v>
      </c>
      <c r="G8" s="16">
        <v>2475</v>
      </c>
      <c r="H8" s="16">
        <v>3937</v>
      </c>
      <c r="I8" s="16">
        <v>31747</v>
      </c>
      <c r="J8" s="16">
        <v>1154</v>
      </c>
      <c r="K8" s="16">
        <v>1018</v>
      </c>
      <c r="L8" s="16">
        <v>369</v>
      </c>
      <c r="M8" s="16">
        <v>31</v>
      </c>
      <c r="N8" s="16">
        <v>0</v>
      </c>
      <c r="O8" s="16">
        <v>0</v>
      </c>
      <c r="P8" s="16">
        <v>0</v>
      </c>
      <c r="Q8" s="16">
        <v>0</v>
      </c>
      <c r="R8" s="16">
        <v>0</v>
      </c>
      <c r="S8" s="16">
        <v>0</v>
      </c>
      <c r="T8" s="16">
        <v>0</v>
      </c>
      <c r="U8" s="16">
        <v>0</v>
      </c>
      <c r="V8" s="16">
        <v>201939</v>
      </c>
      <c r="W8" s="16">
        <v>562900</v>
      </c>
      <c r="X8" s="16">
        <v>403733</v>
      </c>
      <c r="Y8" s="16">
        <v>976</v>
      </c>
      <c r="Z8" s="16">
        <v>3242</v>
      </c>
      <c r="AA8" s="16">
        <v>935</v>
      </c>
      <c r="AB8" s="16">
        <v>2094</v>
      </c>
    </row>
    <row r="9" spans="1:28"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row>
    <row r="10" spans="1:28" s="26" customFormat="1" x14ac:dyDescent="0.25">
      <c r="A10" s="35" t="s">
        <v>7</v>
      </c>
      <c r="B10" s="19">
        <f>SUM(B2:B9)</f>
        <v>67132</v>
      </c>
      <c r="C10" s="19">
        <f>SUM(C2:C9)</f>
        <v>2261</v>
      </c>
      <c r="D10" s="19">
        <f>SUM(D2:D9)</f>
        <v>12867</v>
      </c>
      <c r="E10" s="19">
        <f>SUM(E2:E9)</f>
        <v>1948</v>
      </c>
      <c r="F10" s="19">
        <f t="shared" ref="F10" si="0">SUM(F2:F9)</f>
        <v>1162</v>
      </c>
      <c r="G10" s="19">
        <f>SUM(G2:G9)</f>
        <v>2477</v>
      </c>
      <c r="H10" s="19">
        <f t="shared" ref="H10:S10" si="1">SUM(H2:H9)</f>
        <v>3959</v>
      </c>
      <c r="I10" s="19">
        <f t="shared" ref="I10:Q10" si="2">SUM(I2:I9)</f>
        <v>38670</v>
      </c>
      <c r="J10" s="19">
        <f t="shared" si="2"/>
        <v>1379</v>
      </c>
      <c r="K10" s="19">
        <f t="shared" si="2"/>
        <v>6902</v>
      </c>
      <c r="L10" s="19">
        <f t="shared" si="2"/>
        <v>1288</v>
      </c>
      <c r="M10" s="19">
        <f t="shared" si="2"/>
        <v>78</v>
      </c>
      <c r="N10" s="19">
        <f t="shared" si="2"/>
        <v>1009</v>
      </c>
      <c r="O10" s="19">
        <f t="shared" si="2"/>
        <v>3983</v>
      </c>
      <c r="P10" s="19">
        <f t="shared" si="2"/>
        <v>3734</v>
      </c>
      <c r="Q10" s="19">
        <f t="shared" si="2"/>
        <v>227</v>
      </c>
      <c r="R10" s="19">
        <f t="shared" si="1"/>
        <v>18155</v>
      </c>
      <c r="S10" s="19">
        <f t="shared" si="1"/>
        <v>535</v>
      </c>
      <c r="T10" s="19">
        <f t="shared" ref="T10:W10" si="3">SUM(T2:T9)</f>
        <v>10926</v>
      </c>
      <c r="U10" s="19">
        <f t="shared" si="3"/>
        <v>2371</v>
      </c>
      <c r="V10" s="19">
        <f t="shared" si="3"/>
        <v>1033887</v>
      </c>
      <c r="W10" s="19">
        <f t="shared" si="3"/>
        <v>1127180</v>
      </c>
      <c r="X10" s="19">
        <f t="shared" ref="X10:AB10" si="4">SUM(X2:X9)</f>
        <v>1621019</v>
      </c>
      <c r="Y10" s="19">
        <f t="shared" si="4"/>
        <v>978</v>
      </c>
      <c r="Z10" s="19">
        <f t="shared" si="4"/>
        <v>3243</v>
      </c>
      <c r="AA10" s="19">
        <f t="shared" si="4"/>
        <v>935</v>
      </c>
      <c r="AB10" s="19">
        <f t="shared" si="4"/>
        <v>2094</v>
      </c>
    </row>
    <row r="11" spans="1:28"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row>
    <row r="12" spans="1:28"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row>
    <row r="13" spans="1:28" s="26" customFormat="1" x14ac:dyDescent="0.25">
      <c r="A13" s="34" t="s">
        <v>164</v>
      </c>
      <c r="B13" s="16">
        <v>891</v>
      </c>
      <c r="C13" s="16">
        <v>122</v>
      </c>
      <c r="D13" s="16">
        <v>110</v>
      </c>
      <c r="E13" s="16">
        <v>0</v>
      </c>
      <c r="F13" s="16">
        <v>0</v>
      </c>
      <c r="G13" s="16">
        <v>0</v>
      </c>
      <c r="H13" s="16">
        <v>0</v>
      </c>
      <c r="I13" s="16">
        <v>0</v>
      </c>
      <c r="J13" s="16">
        <v>0</v>
      </c>
      <c r="K13" s="16">
        <v>0</v>
      </c>
      <c r="L13" s="16">
        <v>0</v>
      </c>
      <c r="M13" s="16">
        <v>0</v>
      </c>
      <c r="N13" s="16">
        <v>0</v>
      </c>
      <c r="O13" s="16">
        <v>0</v>
      </c>
      <c r="P13" s="16">
        <v>0</v>
      </c>
      <c r="Q13" s="16">
        <v>0</v>
      </c>
      <c r="R13" s="16">
        <v>0</v>
      </c>
      <c r="S13" s="16">
        <v>0</v>
      </c>
      <c r="T13" s="16">
        <v>20311</v>
      </c>
      <c r="U13" s="16">
        <v>1940</v>
      </c>
      <c r="V13" s="16">
        <v>0</v>
      </c>
      <c r="W13" s="16">
        <v>0</v>
      </c>
      <c r="X13" s="16">
        <v>0</v>
      </c>
      <c r="Y13" s="16">
        <v>0</v>
      </c>
      <c r="Z13" s="16">
        <v>0</v>
      </c>
      <c r="AA13" s="16">
        <v>0</v>
      </c>
      <c r="AB13" s="16">
        <v>0</v>
      </c>
    </row>
    <row r="14" spans="1:28" s="26" customFormat="1" x14ac:dyDescent="0.25">
      <c r="A14" s="34" t="s">
        <v>10</v>
      </c>
      <c r="B14" s="16">
        <v>492</v>
      </c>
      <c r="C14" s="16">
        <v>0</v>
      </c>
      <c r="D14" s="16">
        <v>0</v>
      </c>
      <c r="E14" s="16">
        <v>0</v>
      </c>
      <c r="F14" s="16">
        <v>44</v>
      </c>
      <c r="G14" s="16">
        <v>0</v>
      </c>
      <c r="H14" s="16">
        <v>0</v>
      </c>
      <c r="I14" s="16">
        <v>0</v>
      </c>
      <c r="J14" s="16">
        <v>0</v>
      </c>
      <c r="K14" s="16">
        <v>0</v>
      </c>
      <c r="L14" s="16">
        <v>0</v>
      </c>
      <c r="M14" s="16">
        <v>0</v>
      </c>
      <c r="N14" s="16">
        <v>1080</v>
      </c>
      <c r="O14" s="16">
        <v>340</v>
      </c>
      <c r="P14" s="16">
        <v>885</v>
      </c>
      <c r="Q14" s="16">
        <v>44</v>
      </c>
      <c r="R14" s="16">
        <v>2969</v>
      </c>
      <c r="S14" s="16">
        <v>25</v>
      </c>
      <c r="T14" s="16">
        <v>0</v>
      </c>
      <c r="U14" s="16">
        <v>0</v>
      </c>
      <c r="V14" s="16">
        <v>108102</v>
      </c>
      <c r="W14" s="16">
        <v>136775</v>
      </c>
      <c r="X14" s="16">
        <v>568700</v>
      </c>
      <c r="Y14" s="16">
        <v>0</v>
      </c>
      <c r="Z14" s="16">
        <v>0</v>
      </c>
      <c r="AA14" s="16">
        <v>0</v>
      </c>
      <c r="AB14" s="16">
        <v>0</v>
      </c>
    </row>
    <row r="15" spans="1:28" s="26" customFormat="1" x14ac:dyDescent="0.25">
      <c r="A15" s="34" t="s">
        <v>11</v>
      </c>
      <c r="B15" s="16">
        <v>1243</v>
      </c>
      <c r="C15" s="16">
        <v>413</v>
      </c>
      <c r="D15" s="16">
        <v>0</v>
      </c>
      <c r="E15" s="16">
        <v>290</v>
      </c>
      <c r="F15" s="16">
        <v>85</v>
      </c>
      <c r="G15" s="16">
        <v>85</v>
      </c>
      <c r="H15" s="16">
        <v>0</v>
      </c>
      <c r="I15" s="16">
        <v>1530</v>
      </c>
      <c r="J15" s="16">
        <v>197</v>
      </c>
      <c r="K15" s="16">
        <v>515</v>
      </c>
      <c r="L15" s="16">
        <v>66</v>
      </c>
      <c r="M15" s="16">
        <v>0</v>
      </c>
      <c r="N15" s="16">
        <v>0</v>
      </c>
      <c r="O15" s="16">
        <v>0</v>
      </c>
      <c r="P15" s="16">
        <v>0</v>
      </c>
      <c r="Q15" s="16">
        <v>0</v>
      </c>
      <c r="R15" s="16">
        <v>0</v>
      </c>
      <c r="S15" s="16">
        <v>0</v>
      </c>
      <c r="T15" s="16">
        <v>0</v>
      </c>
      <c r="U15" s="16">
        <v>0</v>
      </c>
      <c r="V15" s="16">
        <v>360945</v>
      </c>
      <c r="W15" s="16">
        <v>105000</v>
      </c>
      <c r="X15" s="16">
        <v>46580</v>
      </c>
      <c r="Y15" s="16">
        <v>0</v>
      </c>
      <c r="Z15" s="16">
        <v>0</v>
      </c>
      <c r="AA15" s="16">
        <v>0</v>
      </c>
      <c r="AB15" s="16">
        <v>0</v>
      </c>
    </row>
    <row r="16" spans="1:28" s="26" customFormat="1" x14ac:dyDescent="0.25">
      <c r="A16" s="34" t="s">
        <v>12</v>
      </c>
      <c r="B16" s="16">
        <v>2642</v>
      </c>
      <c r="C16" s="16">
        <v>6</v>
      </c>
      <c r="D16" s="16">
        <v>6</v>
      </c>
      <c r="E16" s="16">
        <v>20</v>
      </c>
      <c r="F16" s="16">
        <v>0</v>
      </c>
      <c r="G16" s="16">
        <v>41</v>
      </c>
      <c r="H16" s="16">
        <v>370</v>
      </c>
      <c r="I16" s="16">
        <v>200</v>
      </c>
      <c r="J16" s="16">
        <v>0</v>
      </c>
      <c r="K16" s="16">
        <v>3</v>
      </c>
      <c r="L16" s="16">
        <v>0</v>
      </c>
      <c r="M16" s="16">
        <v>0</v>
      </c>
      <c r="N16" s="16">
        <v>0</v>
      </c>
      <c r="O16" s="16">
        <v>0</v>
      </c>
      <c r="P16" s="16">
        <v>0</v>
      </c>
      <c r="Q16" s="16">
        <v>0</v>
      </c>
      <c r="R16" s="16">
        <v>0</v>
      </c>
      <c r="S16" s="16">
        <v>0</v>
      </c>
      <c r="T16" s="16">
        <v>0</v>
      </c>
      <c r="U16" s="16">
        <v>0</v>
      </c>
      <c r="V16" s="16">
        <v>62818</v>
      </c>
      <c r="W16" s="16">
        <v>27000</v>
      </c>
      <c r="X16" s="16">
        <v>129811</v>
      </c>
      <c r="Y16" s="16">
        <v>528</v>
      </c>
      <c r="Z16" s="16">
        <v>451</v>
      </c>
      <c r="AA16" s="16">
        <v>0</v>
      </c>
      <c r="AB16" s="16">
        <v>2308</v>
      </c>
    </row>
    <row r="17" spans="1:28"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row>
    <row r="18" spans="1:28" s="26" customFormat="1" x14ac:dyDescent="0.25">
      <c r="A18" s="35" t="s">
        <v>14</v>
      </c>
      <c r="B18" s="19">
        <f>SUM(B11:B17)</f>
        <v>5268</v>
      </c>
      <c r="C18" s="19">
        <f>SUM(C11:C17)</f>
        <v>541</v>
      </c>
      <c r="D18" s="19">
        <f>SUM(D11:D17)</f>
        <v>116</v>
      </c>
      <c r="E18" s="19">
        <f>SUM(E11:E17)</f>
        <v>310</v>
      </c>
      <c r="F18" s="19">
        <f t="shared" ref="F18" si="5">SUM(F11:F17)</f>
        <v>129</v>
      </c>
      <c r="G18" s="19">
        <f>SUM(G11:G17)</f>
        <v>126</v>
      </c>
      <c r="H18" s="19">
        <f t="shared" ref="H18" si="6">SUM(H11:H17)</f>
        <v>370</v>
      </c>
      <c r="I18" s="19">
        <f t="shared" ref="I18:Q18" si="7">SUM(I11:I17)</f>
        <v>1730</v>
      </c>
      <c r="J18" s="19">
        <f t="shared" si="7"/>
        <v>197</v>
      </c>
      <c r="K18" s="19">
        <f t="shared" si="7"/>
        <v>518</v>
      </c>
      <c r="L18" s="19">
        <f t="shared" si="7"/>
        <v>66</v>
      </c>
      <c r="M18" s="19">
        <f t="shared" si="7"/>
        <v>0</v>
      </c>
      <c r="N18" s="19">
        <f t="shared" si="7"/>
        <v>1080</v>
      </c>
      <c r="O18" s="19">
        <f t="shared" si="7"/>
        <v>340</v>
      </c>
      <c r="P18" s="19">
        <f t="shared" si="7"/>
        <v>885</v>
      </c>
      <c r="Q18" s="19">
        <f t="shared" si="7"/>
        <v>44</v>
      </c>
      <c r="R18" s="19">
        <f t="shared" ref="R18:S18" si="8">SUM(R11:R17)</f>
        <v>2969</v>
      </c>
      <c r="S18" s="19">
        <f t="shared" si="8"/>
        <v>25</v>
      </c>
      <c r="T18" s="19">
        <f t="shared" ref="T18:W18" si="9">SUM(T11:T17)</f>
        <v>20311</v>
      </c>
      <c r="U18" s="19">
        <f t="shared" si="9"/>
        <v>1940</v>
      </c>
      <c r="V18" s="19">
        <f t="shared" si="9"/>
        <v>531865</v>
      </c>
      <c r="W18" s="19">
        <f t="shared" si="9"/>
        <v>268775</v>
      </c>
      <c r="X18" s="19">
        <f t="shared" ref="X18:AB18" si="10">SUM(X11:X17)</f>
        <v>745091</v>
      </c>
      <c r="Y18" s="19">
        <f t="shared" si="10"/>
        <v>528</v>
      </c>
      <c r="Z18" s="19">
        <f t="shared" si="10"/>
        <v>451</v>
      </c>
      <c r="AA18" s="19">
        <f t="shared" si="10"/>
        <v>0</v>
      </c>
      <c r="AB18" s="19">
        <f t="shared" si="10"/>
        <v>2308</v>
      </c>
    </row>
    <row r="19" spans="1:28" s="26" customFormat="1" x14ac:dyDescent="0.25">
      <c r="A19" s="35" t="s">
        <v>15</v>
      </c>
      <c r="B19" s="19">
        <f>SUM(B10,B18)</f>
        <v>72400</v>
      </c>
      <c r="C19" s="19">
        <f>SUM(C10,C18)</f>
        <v>2802</v>
      </c>
      <c r="D19" s="19">
        <f>SUM(D10,D18)</f>
        <v>12983</v>
      </c>
      <c r="E19" s="19">
        <f>SUM(E10,E18)</f>
        <v>2258</v>
      </c>
      <c r="F19" s="19">
        <f t="shared" ref="F19" si="11">SUM(F10,F18)</f>
        <v>1291</v>
      </c>
      <c r="G19" s="19">
        <f>SUM(G10,G18)</f>
        <v>2603</v>
      </c>
      <c r="H19" s="19">
        <f t="shared" ref="H19" si="12">SUM(H10,H18)</f>
        <v>4329</v>
      </c>
      <c r="I19" s="19">
        <f t="shared" ref="I19:Q19" si="13">SUM(I10,I18)</f>
        <v>40400</v>
      </c>
      <c r="J19" s="19">
        <f t="shared" si="13"/>
        <v>1576</v>
      </c>
      <c r="K19" s="19">
        <f t="shared" si="13"/>
        <v>7420</v>
      </c>
      <c r="L19" s="19">
        <f t="shared" si="13"/>
        <v>1354</v>
      </c>
      <c r="M19" s="19">
        <f t="shared" si="13"/>
        <v>78</v>
      </c>
      <c r="N19" s="19">
        <f t="shared" si="13"/>
        <v>2089</v>
      </c>
      <c r="O19" s="19">
        <f t="shared" si="13"/>
        <v>4323</v>
      </c>
      <c r="P19" s="19">
        <f t="shared" si="13"/>
        <v>4619</v>
      </c>
      <c r="Q19" s="19">
        <f t="shared" si="13"/>
        <v>271</v>
      </c>
      <c r="R19" s="19">
        <f t="shared" ref="R19:S19" si="14">SUM(R10,R18)</f>
        <v>21124</v>
      </c>
      <c r="S19" s="19">
        <f t="shared" si="14"/>
        <v>560</v>
      </c>
      <c r="T19" s="19">
        <f t="shared" ref="T19:W19" si="15">SUM(T10,T18)</f>
        <v>31237</v>
      </c>
      <c r="U19" s="19">
        <f t="shared" si="15"/>
        <v>4311</v>
      </c>
      <c r="V19" s="19">
        <f t="shared" si="15"/>
        <v>1565752</v>
      </c>
      <c r="W19" s="19">
        <f t="shared" si="15"/>
        <v>1395955</v>
      </c>
      <c r="X19" s="19">
        <f t="shared" ref="X19:AB19" si="16">SUM(X10,X18)</f>
        <v>2366110</v>
      </c>
      <c r="Y19" s="19">
        <f t="shared" si="16"/>
        <v>1506</v>
      </c>
      <c r="Z19" s="19">
        <f t="shared" si="16"/>
        <v>3694</v>
      </c>
      <c r="AA19" s="19">
        <f t="shared" si="16"/>
        <v>935</v>
      </c>
      <c r="AB19" s="19">
        <f t="shared" si="16"/>
        <v>4402</v>
      </c>
    </row>
    <row r="21" spans="1:28"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row>
    <row r="22" spans="1:28"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row>
    <row r="23" spans="1:28"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row>
    <row r="24" spans="1:28"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row>
    <row r="25" spans="1:28"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row>
  </sheetData>
  <sheetProtection formatCells="0" formatColumns="0" formatRows="0" insertColumns="0" insertRows="0" sort="0" autoFilter="0" pivotTables="0"/>
  <dataValidations count="1">
    <dataValidation type="list" errorStyle="information" allowBlank="1" showInputMessage="1" showErrorMessage="1" sqref="B1:AB1" xr:uid="{88196A89-3688-4412-BFD6-014B2402EF3D}">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7160ED56-33A6-4864-87CD-DDA4230CBE77}">
          <x14:formula1>
            <xm:f>'Term List'!$A2:$A242</xm:f>
          </x14:formula1>
          <xm:sqref>AC1:XFD1</xm:sqref>
        </x14:dataValidation>
      </x14:dataValidations>
    </ext>
  </extLs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91BE3-089C-417E-82D4-8C9429409E31}">
  <sheetPr codeName="Sheet43"/>
  <dimension ref="A1:N25"/>
  <sheetViews>
    <sheetView workbookViewId="0">
      <pane xSplit="1" ySplit="1" topLeftCell="B2" activePane="bottomRight" state="frozen"/>
      <selection activeCell="E23" sqref="E23"/>
      <selection pane="topRight" activeCell="E23" sqref="E23"/>
      <selection pane="bottomLeft" activeCell="E23" sqref="E23"/>
      <selection pane="bottomRight" activeCell="C24" sqref="C24"/>
    </sheetView>
  </sheetViews>
  <sheetFormatPr defaultColWidth="17.28515625" defaultRowHeight="15" x14ac:dyDescent="0.25"/>
  <cols>
    <col min="1" max="1" width="35.7109375" style="6" bestFit="1" customWidth="1"/>
    <col min="2" max="14" width="17.28515625" style="5"/>
    <col min="15" max="16384" width="17.28515625" style="3"/>
  </cols>
  <sheetData>
    <row r="1" spans="1:14" s="14" customFormat="1" ht="30" x14ac:dyDescent="0.25">
      <c r="A1" s="36" t="s">
        <v>396</v>
      </c>
      <c r="B1" s="36" t="s">
        <v>155</v>
      </c>
      <c r="C1" s="36" t="s">
        <v>156</v>
      </c>
      <c r="D1" s="36" t="s">
        <v>154</v>
      </c>
      <c r="E1" s="36" t="s">
        <v>150</v>
      </c>
      <c r="F1" s="36" t="s">
        <v>148</v>
      </c>
      <c r="G1" s="36" t="s">
        <v>147</v>
      </c>
      <c r="H1" s="36" t="s">
        <v>314</v>
      </c>
      <c r="I1" s="36" t="s">
        <v>139</v>
      </c>
      <c r="J1" s="36" t="s">
        <v>130</v>
      </c>
      <c r="K1" s="36" t="s">
        <v>132</v>
      </c>
      <c r="L1" s="36" t="s">
        <v>142</v>
      </c>
      <c r="M1" s="36" t="s">
        <v>144</v>
      </c>
      <c r="N1" s="36" t="s">
        <v>124</v>
      </c>
    </row>
    <row r="2" spans="1:14" s="26" customFormat="1" x14ac:dyDescent="0.25">
      <c r="A2" s="34" t="s">
        <v>0</v>
      </c>
      <c r="B2" s="16">
        <v>23028</v>
      </c>
      <c r="C2" s="17">
        <v>1565</v>
      </c>
      <c r="D2" s="17">
        <v>371</v>
      </c>
      <c r="E2" s="17">
        <v>5667</v>
      </c>
      <c r="F2" s="17">
        <v>97</v>
      </c>
      <c r="G2" s="17">
        <v>0</v>
      </c>
      <c r="H2" s="17">
        <v>0</v>
      </c>
      <c r="I2" s="17">
        <v>20</v>
      </c>
      <c r="J2" s="17">
        <v>577</v>
      </c>
      <c r="K2" s="17">
        <v>574</v>
      </c>
      <c r="L2" s="17">
        <v>1414</v>
      </c>
      <c r="M2" s="17">
        <v>95</v>
      </c>
      <c r="N2" s="17">
        <v>18828959</v>
      </c>
    </row>
    <row r="3" spans="1:14" s="26" customFormat="1" x14ac:dyDescent="0.25">
      <c r="A3" s="34" t="s">
        <v>1</v>
      </c>
      <c r="B3" s="16">
        <v>2531</v>
      </c>
      <c r="C3" s="17">
        <v>516</v>
      </c>
      <c r="D3" s="17">
        <v>302</v>
      </c>
      <c r="E3" s="17">
        <v>825</v>
      </c>
      <c r="F3" s="17">
        <v>111</v>
      </c>
      <c r="G3" s="17">
        <v>0</v>
      </c>
      <c r="H3" s="17">
        <v>0</v>
      </c>
      <c r="I3" s="17">
        <v>20</v>
      </c>
      <c r="J3" s="17">
        <v>22</v>
      </c>
      <c r="K3" s="17">
        <v>109</v>
      </c>
      <c r="L3" s="17">
        <v>85</v>
      </c>
      <c r="M3" s="17">
        <v>35</v>
      </c>
      <c r="N3" s="17">
        <v>1451193</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95</v>
      </c>
      <c r="C6" s="17">
        <v>62</v>
      </c>
      <c r="D6" s="17">
        <v>1040</v>
      </c>
      <c r="E6" s="17">
        <v>5692</v>
      </c>
      <c r="F6" s="17">
        <v>777</v>
      </c>
      <c r="G6" s="17">
        <v>0</v>
      </c>
      <c r="H6" s="17">
        <v>14</v>
      </c>
      <c r="I6" s="17">
        <v>19</v>
      </c>
      <c r="J6" s="17">
        <v>34</v>
      </c>
      <c r="K6" s="17">
        <v>34</v>
      </c>
      <c r="L6" s="17">
        <v>134</v>
      </c>
      <c r="M6" s="17">
        <v>0</v>
      </c>
      <c r="N6" s="17">
        <v>90267</v>
      </c>
    </row>
    <row r="7" spans="1:14" s="26" customFormat="1" x14ac:dyDescent="0.25">
      <c r="A7" s="34" t="s">
        <v>4</v>
      </c>
      <c r="B7" s="16"/>
      <c r="C7" s="17"/>
      <c r="D7" s="17"/>
      <c r="E7" s="17"/>
      <c r="F7" s="17"/>
      <c r="G7" s="17"/>
      <c r="H7" s="17"/>
      <c r="I7" s="17"/>
      <c r="J7" s="17"/>
      <c r="K7" s="17"/>
      <c r="L7" s="17"/>
      <c r="M7" s="17"/>
      <c r="N7" s="17"/>
    </row>
    <row r="8" spans="1:14" s="26" customFormat="1" x14ac:dyDescent="0.25">
      <c r="A8" s="34" t="s">
        <v>5</v>
      </c>
      <c r="B8" s="16">
        <v>0</v>
      </c>
      <c r="C8" s="17">
        <v>0</v>
      </c>
      <c r="D8" s="17">
        <v>0</v>
      </c>
      <c r="E8" s="17">
        <v>279</v>
      </c>
      <c r="F8" s="17">
        <v>44</v>
      </c>
      <c r="G8" s="17">
        <v>201</v>
      </c>
      <c r="H8" s="17">
        <v>1130</v>
      </c>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SUM(B2:B9)</f>
        <v>25654</v>
      </c>
      <c r="C10" s="19">
        <f t="shared" ref="C10:N10" si="0">SUM(C2:C9)</f>
        <v>2143</v>
      </c>
      <c r="D10" s="19">
        <f t="shared" si="0"/>
        <v>1713</v>
      </c>
      <c r="E10" s="19">
        <f t="shared" si="0"/>
        <v>12463</v>
      </c>
      <c r="F10" s="19">
        <f t="shared" si="0"/>
        <v>1029</v>
      </c>
      <c r="G10" s="19">
        <f t="shared" ref="G10" si="1">SUM(G2:G9)</f>
        <v>201</v>
      </c>
      <c r="H10" s="19">
        <f t="shared" si="0"/>
        <v>1144</v>
      </c>
      <c r="I10" s="19">
        <f t="shared" si="0"/>
        <v>59</v>
      </c>
      <c r="J10" s="19">
        <f t="shared" si="0"/>
        <v>633</v>
      </c>
      <c r="K10" s="19">
        <f t="shared" si="0"/>
        <v>717</v>
      </c>
      <c r="L10" s="19">
        <f t="shared" si="0"/>
        <v>1633</v>
      </c>
      <c r="M10" s="19">
        <f t="shared" si="0"/>
        <v>130</v>
      </c>
      <c r="N10" s="19">
        <f t="shared" si="0"/>
        <v>20370419</v>
      </c>
    </row>
    <row r="11" spans="1:14" s="26" customFormat="1" x14ac:dyDescent="0.25">
      <c r="A11" s="34" t="s">
        <v>8</v>
      </c>
      <c r="B11" s="16">
        <v>76064</v>
      </c>
      <c r="C11" s="16">
        <v>8327</v>
      </c>
      <c r="D11" s="16">
        <v>841</v>
      </c>
      <c r="E11" s="16">
        <v>29361</v>
      </c>
      <c r="F11" s="16">
        <v>453</v>
      </c>
      <c r="G11" s="16">
        <v>0</v>
      </c>
      <c r="H11" s="16">
        <v>0</v>
      </c>
      <c r="I11" s="16">
        <v>86</v>
      </c>
      <c r="J11" s="16">
        <v>1035</v>
      </c>
      <c r="K11" s="16">
        <v>167</v>
      </c>
      <c r="L11" s="16">
        <v>9071</v>
      </c>
      <c r="M11" s="16">
        <v>256</v>
      </c>
      <c r="N11" s="16">
        <v>13671166</v>
      </c>
    </row>
    <row r="12" spans="1:14" s="26" customFormat="1" x14ac:dyDescent="0.25">
      <c r="A12" s="34" t="s">
        <v>9</v>
      </c>
      <c r="B12" s="16"/>
      <c r="C12" s="16"/>
      <c r="D12" s="16"/>
      <c r="E12" s="16"/>
      <c r="F12" s="16"/>
      <c r="G12" s="16"/>
      <c r="H12" s="16"/>
      <c r="I12" s="16"/>
      <c r="J12" s="16"/>
      <c r="K12" s="16"/>
      <c r="L12" s="16"/>
      <c r="M12" s="16"/>
      <c r="N12" s="16"/>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128</v>
      </c>
      <c r="C14" s="16">
        <v>15</v>
      </c>
      <c r="D14" s="16">
        <v>21</v>
      </c>
      <c r="E14" s="16">
        <v>1627</v>
      </c>
      <c r="F14" s="16">
        <v>66</v>
      </c>
      <c r="G14" s="16">
        <v>0</v>
      </c>
      <c r="H14" s="16">
        <v>0</v>
      </c>
      <c r="I14" s="16">
        <v>0</v>
      </c>
      <c r="J14" s="16">
        <v>0</v>
      </c>
      <c r="K14" s="16">
        <v>0</v>
      </c>
      <c r="L14" s="16">
        <v>7</v>
      </c>
      <c r="M14" s="16">
        <v>8</v>
      </c>
      <c r="N14" s="16">
        <v>4000</v>
      </c>
    </row>
    <row r="15" spans="1:14" s="26" customFormat="1" x14ac:dyDescent="0.25">
      <c r="A15" s="34" t="s">
        <v>11</v>
      </c>
      <c r="B15" s="16"/>
      <c r="C15" s="16"/>
      <c r="D15" s="16"/>
      <c r="E15" s="16"/>
      <c r="F15" s="16"/>
      <c r="G15" s="16"/>
      <c r="H15" s="16"/>
      <c r="I15" s="16"/>
      <c r="J15" s="16"/>
      <c r="K15" s="16"/>
      <c r="L15" s="16"/>
      <c r="M15" s="16"/>
      <c r="N15" s="16"/>
    </row>
    <row r="16" spans="1:14" s="26" customFormat="1" x14ac:dyDescent="0.25">
      <c r="A16" s="34" t="s">
        <v>12</v>
      </c>
      <c r="B16" s="16">
        <v>0</v>
      </c>
      <c r="C16" s="16">
        <v>0</v>
      </c>
      <c r="D16" s="16">
        <v>0</v>
      </c>
      <c r="E16" s="16">
        <v>35</v>
      </c>
      <c r="F16" s="16">
        <v>3</v>
      </c>
      <c r="G16" s="16">
        <v>1</v>
      </c>
      <c r="H16" s="16">
        <v>2</v>
      </c>
      <c r="I16" s="16">
        <v>0</v>
      </c>
      <c r="J16" s="16">
        <v>0</v>
      </c>
      <c r="K16" s="16">
        <v>0</v>
      </c>
      <c r="L16" s="16">
        <v>0</v>
      </c>
      <c r="M16" s="16">
        <v>0</v>
      </c>
      <c r="N16" s="16">
        <v>0</v>
      </c>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SUM(B11:B17)</f>
        <v>76192</v>
      </c>
      <c r="C18" s="19">
        <f t="shared" ref="C18:N18" si="2">SUM(C11:C17)</f>
        <v>8342</v>
      </c>
      <c r="D18" s="19">
        <f t="shared" si="2"/>
        <v>862</v>
      </c>
      <c r="E18" s="19">
        <f t="shared" si="2"/>
        <v>31023</v>
      </c>
      <c r="F18" s="19">
        <f t="shared" si="2"/>
        <v>522</v>
      </c>
      <c r="G18" s="19">
        <f t="shared" ref="G18" si="3">SUM(G11:G17)</f>
        <v>1</v>
      </c>
      <c r="H18" s="19">
        <f t="shared" si="2"/>
        <v>2</v>
      </c>
      <c r="I18" s="19">
        <f t="shared" si="2"/>
        <v>86</v>
      </c>
      <c r="J18" s="19">
        <f t="shared" si="2"/>
        <v>1035</v>
      </c>
      <c r="K18" s="19">
        <f t="shared" si="2"/>
        <v>167</v>
      </c>
      <c r="L18" s="19">
        <f t="shared" si="2"/>
        <v>9078</v>
      </c>
      <c r="M18" s="19">
        <f t="shared" si="2"/>
        <v>264</v>
      </c>
      <c r="N18" s="19">
        <f t="shared" si="2"/>
        <v>13675166</v>
      </c>
    </row>
    <row r="19" spans="1:14" s="26" customFormat="1" x14ac:dyDescent="0.25">
      <c r="A19" s="35" t="s">
        <v>15</v>
      </c>
      <c r="B19" s="19">
        <f>SUM(B10,B18)</f>
        <v>101846</v>
      </c>
      <c r="C19" s="19">
        <f t="shared" ref="C19:N19" si="4">SUM(C10,C18)</f>
        <v>10485</v>
      </c>
      <c r="D19" s="19">
        <f t="shared" si="4"/>
        <v>2575</v>
      </c>
      <c r="E19" s="19">
        <f t="shared" si="4"/>
        <v>43486</v>
      </c>
      <c r="F19" s="19">
        <f t="shared" si="4"/>
        <v>1551</v>
      </c>
      <c r="G19" s="19">
        <f t="shared" ref="G19" si="5">SUM(G10,G18)</f>
        <v>202</v>
      </c>
      <c r="H19" s="19">
        <f t="shared" si="4"/>
        <v>1146</v>
      </c>
      <c r="I19" s="19">
        <f t="shared" si="4"/>
        <v>145</v>
      </c>
      <c r="J19" s="19">
        <f t="shared" si="4"/>
        <v>1668</v>
      </c>
      <c r="K19" s="19">
        <f t="shared" si="4"/>
        <v>884</v>
      </c>
      <c r="L19" s="19">
        <f t="shared" si="4"/>
        <v>10711</v>
      </c>
      <c r="M19" s="19">
        <f t="shared" si="4"/>
        <v>394</v>
      </c>
      <c r="N19" s="19">
        <f t="shared" si="4"/>
        <v>34045585</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row r="25" spans="1:14" x14ac:dyDescent="0.25">
      <c r="B25" s="44"/>
      <c r="C25" s="44"/>
      <c r="D25" s="44"/>
      <c r="E25" s="44"/>
      <c r="F25" s="44"/>
      <c r="G25" s="44"/>
      <c r="H25" s="44"/>
      <c r="I25" s="44"/>
      <c r="J25" s="44"/>
      <c r="K25" s="44"/>
      <c r="L25" s="44"/>
      <c r="M25" s="44"/>
      <c r="N25" s="44"/>
    </row>
  </sheetData>
  <sheetProtection formatCells="0" formatColumns="0" formatRows="0" insertColumns="0" insertRows="0" sort="0" autoFilter="0" pivotTables="0"/>
  <dataValidations count="1">
    <dataValidation type="list" errorStyle="information" allowBlank="1" showInputMessage="1" showErrorMessage="1" sqref="B1:N1" xr:uid="{DA4B9E07-9CC9-40C3-ABAD-0BC9701B1ADC}">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E6B464C-95D8-4BD5-85E5-CF248E8951D2}">
          <x14:formula1>
            <xm:f>'Term List'!$A2:$A242</xm:f>
          </x14:formula1>
          <xm:sqref>O1:XFD1</xm:sqref>
        </x14:dataValidation>
      </x14:dataValidations>
    </ext>
  </extLs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130E8-5A7E-4DC8-8E1F-46215E246BE6}">
  <sheetPr codeName="Sheet42"/>
  <dimension ref="A1:AF25"/>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ColWidth="14.140625" defaultRowHeight="15" x14ac:dyDescent="0.25"/>
  <cols>
    <col min="1" max="1" width="35.7109375" style="6" bestFit="1" customWidth="1"/>
    <col min="2" max="4" width="12.5703125" style="5" customWidth="1"/>
    <col min="5" max="5" width="12.5703125" style="3" customWidth="1"/>
    <col min="6" max="7" width="12.5703125" style="5" customWidth="1"/>
    <col min="8" max="8" width="12.5703125" style="3" customWidth="1"/>
    <col min="9" max="11" width="12.5703125" style="5" customWidth="1"/>
    <col min="12" max="13" width="12.5703125" style="3" customWidth="1"/>
    <col min="14" max="17" width="12.5703125" style="5" customWidth="1"/>
    <col min="18" max="18" width="12.5703125" style="3" customWidth="1"/>
    <col min="19" max="20" width="12.5703125" style="5" customWidth="1"/>
    <col min="21" max="21" width="12.5703125" style="3" customWidth="1"/>
    <col min="22" max="23" width="12.5703125" style="5" customWidth="1"/>
    <col min="24" max="32" width="12.5703125" style="3" customWidth="1"/>
    <col min="33" max="16384" width="14.140625" style="3"/>
  </cols>
  <sheetData>
    <row r="1" spans="1:32" s="40" customFormat="1" ht="30" x14ac:dyDescent="0.25">
      <c r="A1" s="36" t="s">
        <v>389</v>
      </c>
      <c r="B1" s="36" t="s">
        <v>62</v>
      </c>
      <c r="C1" s="36" t="s">
        <v>35</v>
      </c>
      <c r="D1" s="36" t="s">
        <v>36</v>
      </c>
      <c r="E1" s="36" t="s">
        <v>99</v>
      </c>
      <c r="F1" s="36" t="s">
        <v>95</v>
      </c>
      <c r="G1" s="36" t="s">
        <v>94</v>
      </c>
      <c r="H1" s="36" t="s">
        <v>386</v>
      </c>
      <c r="I1" s="36" t="s">
        <v>387</v>
      </c>
      <c r="J1" s="36" t="s">
        <v>55</v>
      </c>
      <c r="K1" s="36" t="s">
        <v>388</v>
      </c>
      <c r="L1" s="36" t="s">
        <v>383</v>
      </c>
      <c r="M1" s="36" t="s">
        <v>384</v>
      </c>
      <c r="N1" s="36" t="s">
        <v>570</v>
      </c>
      <c r="O1" s="36" t="s">
        <v>571</v>
      </c>
      <c r="P1" s="36" t="s">
        <v>572</v>
      </c>
      <c r="Q1" s="36" t="s">
        <v>573</v>
      </c>
      <c r="R1" s="36" t="s">
        <v>566</v>
      </c>
      <c r="S1" s="36" t="s">
        <v>567</v>
      </c>
      <c r="T1" s="36" t="s">
        <v>569</v>
      </c>
      <c r="U1" s="36" t="s">
        <v>28</v>
      </c>
      <c r="V1" s="36" t="s">
        <v>45</v>
      </c>
      <c r="W1" s="36" t="s">
        <v>392</v>
      </c>
      <c r="X1" s="36" t="s">
        <v>65</v>
      </c>
      <c r="Y1" s="36" t="s">
        <v>88</v>
      </c>
      <c r="Z1" s="36" t="s">
        <v>107</v>
      </c>
      <c r="AA1" s="36" t="s">
        <v>101</v>
      </c>
      <c r="AB1" s="36" t="s">
        <v>75</v>
      </c>
      <c r="AC1" s="36" t="s">
        <v>330</v>
      </c>
      <c r="AD1" s="36" t="s">
        <v>331</v>
      </c>
      <c r="AE1" s="36" t="s">
        <v>332</v>
      </c>
      <c r="AF1" s="36" t="s">
        <v>333</v>
      </c>
    </row>
    <row r="2" spans="1:32" s="26" customFormat="1" x14ac:dyDescent="0.25">
      <c r="A2" s="34" t="s">
        <v>0</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row>
    <row r="3" spans="1:32" s="26" customFormat="1" x14ac:dyDescent="0.25">
      <c r="A3" s="34" t="s">
        <v>1</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row>
    <row r="4" spans="1:32" s="26" customFormat="1" x14ac:dyDescent="0.25">
      <c r="A4" s="34" t="s">
        <v>169</v>
      </c>
      <c r="B4" s="16">
        <v>32115</v>
      </c>
      <c r="C4" s="16">
        <v>737</v>
      </c>
      <c r="D4" s="16">
        <v>6936</v>
      </c>
      <c r="E4" s="16">
        <v>0</v>
      </c>
      <c r="F4" s="16">
        <v>0</v>
      </c>
      <c r="G4" s="16">
        <v>612</v>
      </c>
      <c r="H4" s="16">
        <v>0</v>
      </c>
      <c r="I4" s="16">
        <v>0</v>
      </c>
      <c r="J4" s="16"/>
      <c r="K4" s="16">
        <v>0</v>
      </c>
      <c r="L4" s="16">
        <v>100</v>
      </c>
      <c r="M4" s="16">
        <v>0</v>
      </c>
      <c r="N4" s="16">
        <v>0</v>
      </c>
      <c r="O4" s="16">
        <v>0</v>
      </c>
      <c r="P4" s="16">
        <v>200</v>
      </c>
      <c r="Q4" s="16">
        <v>0</v>
      </c>
      <c r="R4" s="16">
        <v>0</v>
      </c>
      <c r="S4" s="16">
        <v>0</v>
      </c>
      <c r="T4" s="16">
        <v>126</v>
      </c>
      <c r="U4" s="16"/>
      <c r="V4" s="16"/>
      <c r="W4" s="16"/>
      <c r="X4" s="16">
        <v>9304</v>
      </c>
      <c r="Y4" s="16">
        <v>3070</v>
      </c>
      <c r="Z4" s="16">
        <v>0</v>
      </c>
      <c r="AA4" s="16">
        <v>0</v>
      </c>
      <c r="AB4" s="16">
        <v>0</v>
      </c>
      <c r="AC4" s="16">
        <v>0</v>
      </c>
      <c r="AD4" s="16">
        <v>0</v>
      </c>
      <c r="AE4" s="16">
        <v>0</v>
      </c>
      <c r="AF4" s="16">
        <v>0</v>
      </c>
    </row>
    <row r="5" spans="1:32" s="26" customFormat="1" x14ac:dyDescent="0.25">
      <c r="A5" s="34" t="s">
        <v>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spans="1:32" s="26" customFormat="1" x14ac:dyDescent="0.25">
      <c r="A6" s="34" t="s">
        <v>3</v>
      </c>
      <c r="B6" s="16">
        <v>7331</v>
      </c>
      <c r="C6" s="16">
        <v>432</v>
      </c>
      <c r="D6" s="16">
        <v>10</v>
      </c>
      <c r="E6" s="43">
        <v>793</v>
      </c>
      <c r="F6" s="16">
        <v>1</v>
      </c>
      <c r="G6" s="16">
        <v>0</v>
      </c>
      <c r="H6" s="16">
        <v>0</v>
      </c>
      <c r="I6" s="16">
        <v>0</v>
      </c>
      <c r="J6" s="16">
        <v>400</v>
      </c>
      <c r="K6" s="16"/>
      <c r="L6" s="16">
        <v>0</v>
      </c>
      <c r="M6" s="16">
        <v>0</v>
      </c>
      <c r="N6" s="16">
        <v>828</v>
      </c>
      <c r="O6" s="16">
        <v>3453</v>
      </c>
      <c r="P6" s="16">
        <v>5069</v>
      </c>
      <c r="Q6" s="16">
        <v>4</v>
      </c>
      <c r="R6" s="16">
        <v>744</v>
      </c>
      <c r="S6" s="16">
        <v>18500</v>
      </c>
      <c r="T6" s="16">
        <v>599</v>
      </c>
      <c r="U6" s="16">
        <v>20</v>
      </c>
      <c r="V6" s="16">
        <v>33</v>
      </c>
      <c r="W6" s="16">
        <v>16</v>
      </c>
      <c r="X6" s="16">
        <v>0</v>
      </c>
      <c r="Y6" s="16">
        <v>0</v>
      </c>
      <c r="Z6" s="16">
        <v>706334</v>
      </c>
      <c r="AA6" s="16">
        <v>247970</v>
      </c>
      <c r="AB6" s="16">
        <v>1551377</v>
      </c>
      <c r="AC6" s="16">
        <v>4</v>
      </c>
      <c r="AD6" s="16">
        <v>0</v>
      </c>
      <c r="AE6" s="16">
        <v>0</v>
      </c>
      <c r="AF6" s="16">
        <v>0</v>
      </c>
    </row>
    <row r="7" spans="1:32" s="26" customFormat="1" x14ac:dyDescent="0.25">
      <c r="A7" s="34" t="s">
        <v>4</v>
      </c>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row>
    <row r="8" spans="1:32" s="26" customFormat="1" x14ac:dyDescent="0.25">
      <c r="A8" s="34" t="s">
        <v>5</v>
      </c>
      <c r="B8" s="16">
        <v>12176</v>
      </c>
      <c r="C8" s="16">
        <v>0</v>
      </c>
      <c r="D8" s="16">
        <v>200</v>
      </c>
      <c r="E8" s="16">
        <v>0</v>
      </c>
      <c r="F8" s="16">
        <v>3360</v>
      </c>
      <c r="G8" s="16">
        <v>5910</v>
      </c>
      <c r="H8" s="16">
        <v>62088</v>
      </c>
      <c r="I8" s="16">
        <v>667</v>
      </c>
      <c r="J8" s="16"/>
      <c r="K8" s="16">
        <v>198</v>
      </c>
      <c r="L8" s="16">
        <v>1050</v>
      </c>
      <c r="M8" s="16">
        <v>426</v>
      </c>
      <c r="N8" s="16">
        <v>0</v>
      </c>
      <c r="O8" s="16">
        <v>0</v>
      </c>
      <c r="P8" s="16">
        <v>0</v>
      </c>
      <c r="Q8" s="16">
        <v>0</v>
      </c>
      <c r="R8" s="16">
        <v>0</v>
      </c>
      <c r="S8" s="16">
        <v>0</v>
      </c>
      <c r="T8" s="16">
        <v>0</v>
      </c>
      <c r="U8" s="16"/>
      <c r="V8" s="16"/>
      <c r="W8" s="16"/>
      <c r="X8" s="16">
        <v>0</v>
      </c>
      <c r="Y8" s="16">
        <v>0</v>
      </c>
      <c r="Z8" s="16">
        <v>328492</v>
      </c>
      <c r="AA8" s="16">
        <v>503530</v>
      </c>
      <c r="AB8" s="16">
        <v>167682</v>
      </c>
      <c r="AC8" s="16">
        <v>734</v>
      </c>
      <c r="AD8" s="16">
        <v>1286</v>
      </c>
      <c r="AE8" s="16">
        <v>245</v>
      </c>
      <c r="AF8" s="16">
        <v>1250</v>
      </c>
    </row>
    <row r="9" spans="1:32" s="26" customFormat="1" x14ac:dyDescent="0.25">
      <c r="A9" s="34" t="s">
        <v>6</v>
      </c>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row>
    <row r="10" spans="1:32" s="26" customFormat="1" x14ac:dyDescent="0.25">
      <c r="A10" s="35" t="s">
        <v>7</v>
      </c>
      <c r="B10" s="19">
        <f>SUM(B2:B9)</f>
        <v>51622</v>
      </c>
      <c r="C10" s="19">
        <f>SUM(C2:C9)</f>
        <v>1169</v>
      </c>
      <c r="D10" s="19">
        <f>SUM(D2:D9)</f>
        <v>7146</v>
      </c>
      <c r="E10" s="19">
        <f t="shared" ref="E10" si="0">SUM(E2:E9)</f>
        <v>793</v>
      </c>
      <c r="F10" s="19">
        <f>SUM(F2:F9)</f>
        <v>3361</v>
      </c>
      <c r="G10" s="19">
        <f t="shared" ref="G10:T10" si="1">SUM(G2:G9)</f>
        <v>6522</v>
      </c>
      <c r="H10" s="19">
        <f t="shared" ref="H10:R10" si="2">SUM(H2:H9)</f>
        <v>62088</v>
      </c>
      <c r="I10" s="19">
        <f t="shared" si="2"/>
        <v>667</v>
      </c>
      <c r="J10" s="19">
        <f t="shared" si="2"/>
        <v>400</v>
      </c>
      <c r="K10" s="19">
        <f t="shared" si="2"/>
        <v>198</v>
      </c>
      <c r="L10" s="19">
        <f t="shared" si="2"/>
        <v>1150</v>
      </c>
      <c r="M10" s="19">
        <f t="shared" si="2"/>
        <v>426</v>
      </c>
      <c r="N10" s="19">
        <f t="shared" si="2"/>
        <v>828</v>
      </c>
      <c r="O10" s="19">
        <f t="shared" si="2"/>
        <v>3453</v>
      </c>
      <c r="P10" s="19">
        <f t="shared" si="2"/>
        <v>5269</v>
      </c>
      <c r="Q10" s="19">
        <f t="shared" si="2"/>
        <v>4</v>
      </c>
      <c r="R10" s="19">
        <f t="shared" si="2"/>
        <v>744</v>
      </c>
      <c r="S10" s="19">
        <f t="shared" si="1"/>
        <v>18500</v>
      </c>
      <c r="T10" s="19">
        <f t="shared" si="1"/>
        <v>725</v>
      </c>
      <c r="U10" s="19">
        <f t="shared" ref="U10:AA10" si="3">SUM(U2:U9)</f>
        <v>20</v>
      </c>
      <c r="V10" s="19">
        <f t="shared" si="3"/>
        <v>33</v>
      </c>
      <c r="W10" s="19">
        <f t="shared" si="3"/>
        <v>16</v>
      </c>
      <c r="X10" s="19">
        <f t="shared" si="3"/>
        <v>9304</v>
      </c>
      <c r="Y10" s="19">
        <f t="shared" si="3"/>
        <v>3070</v>
      </c>
      <c r="Z10" s="19">
        <f t="shared" si="3"/>
        <v>1034826</v>
      </c>
      <c r="AA10" s="19">
        <f t="shared" si="3"/>
        <v>751500</v>
      </c>
      <c r="AB10" s="19">
        <f t="shared" ref="AB10:AF10" si="4">SUM(AB2:AB9)</f>
        <v>1719059</v>
      </c>
      <c r="AC10" s="19">
        <f t="shared" si="4"/>
        <v>738</v>
      </c>
      <c r="AD10" s="19">
        <f t="shared" si="4"/>
        <v>1286</v>
      </c>
      <c r="AE10" s="19">
        <f t="shared" si="4"/>
        <v>245</v>
      </c>
      <c r="AF10" s="19">
        <f t="shared" si="4"/>
        <v>1250</v>
      </c>
    </row>
    <row r="11" spans="1:32"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row>
    <row r="12" spans="1:32"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row>
    <row r="13" spans="1:32" s="26" customFormat="1" x14ac:dyDescent="0.25">
      <c r="A13" s="34" t="s">
        <v>164</v>
      </c>
      <c r="B13" s="16">
        <v>3684</v>
      </c>
      <c r="C13" s="16">
        <v>42</v>
      </c>
      <c r="D13" s="16">
        <v>0</v>
      </c>
      <c r="E13" s="16">
        <v>0</v>
      </c>
      <c r="F13" s="16">
        <v>0</v>
      </c>
      <c r="G13" s="16">
        <v>0</v>
      </c>
      <c r="H13" s="16"/>
      <c r="I13" s="16">
        <v>0</v>
      </c>
      <c r="J13" s="16"/>
      <c r="K13" s="16">
        <v>0</v>
      </c>
      <c r="L13" s="16">
        <v>0</v>
      </c>
      <c r="M13" s="16">
        <v>0</v>
      </c>
      <c r="N13" s="16">
        <v>0</v>
      </c>
      <c r="O13" s="16">
        <v>0</v>
      </c>
      <c r="P13" s="16">
        <v>0</v>
      </c>
      <c r="Q13" s="16">
        <v>0</v>
      </c>
      <c r="R13" s="16">
        <v>0</v>
      </c>
      <c r="S13" s="16">
        <v>0</v>
      </c>
      <c r="T13" s="16">
        <v>0</v>
      </c>
      <c r="U13" s="16"/>
      <c r="V13" s="16"/>
      <c r="W13" s="16"/>
      <c r="X13" s="16">
        <v>25117</v>
      </c>
      <c r="Y13" s="16">
        <v>3554</v>
      </c>
      <c r="Z13" s="16">
        <v>0</v>
      </c>
      <c r="AA13" s="16">
        <v>0</v>
      </c>
      <c r="AB13" s="16">
        <v>0</v>
      </c>
      <c r="AC13" s="16">
        <v>0</v>
      </c>
      <c r="AD13" s="16">
        <v>0</v>
      </c>
      <c r="AE13" s="16">
        <v>0</v>
      </c>
      <c r="AF13" s="16">
        <v>0</v>
      </c>
    </row>
    <row r="14" spans="1:32" s="26" customFormat="1" x14ac:dyDescent="0.25">
      <c r="A14" s="34" t="s">
        <v>10</v>
      </c>
      <c r="B14" s="16">
        <v>1119</v>
      </c>
      <c r="C14" s="16">
        <v>250</v>
      </c>
      <c r="D14" s="16">
        <v>0</v>
      </c>
      <c r="E14" s="16">
        <v>364</v>
      </c>
      <c r="F14" s="16">
        <v>0</v>
      </c>
      <c r="G14" s="16">
        <v>0</v>
      </c>
      <c r="H14" s="16">
        <v>0</v>
      </c>
      <c r="I14" s="16">
        <v>0</v>
      </c>
      <c r="J14" s="16"/>
      <c r="K14" s="16">
        <v>0</v>
      </c>
      <c r="L14" s="16">
        <v>0</v>
      </c>
      <c r="M14" s="16">
        <v>0</v>
      </c>
      <c r="N14" s="16">
        <v>312</v>
      </c>
      <c r="O14" s="16">
        <v>358</v>
      </c>
      <c r="P14" s="16">
        <v>120</v>
      </c>
      <c r="Q14" s="16">
        <v>0</v>
      </c>
      <c r="R14" s="16">
        <v>0</v>
      </c>
      <c r="S14" s="16">
        <v>4652</v>
      </c>
      <c r="T14" s="16">
        <v>0</v>
      </c>
      <c r="U14" s="16">
        <v>0</v>
      </c>
      <c r="V14" s="16">
        <v>0</v>
      </c>
      <c r="W14" s="16">
        <v>0</v>
      </c>
      <c r="X14" s="16">
        <v>0</v>
      </c>
      <c r="Y14" s="16">
        <v>0</v>
      </c>
      <c r="Z14" s="16">
        <v>170050</v>
      </c>
      <c r="AA14" s="16">
        <v>9000</v>
      </c>
      <c r="AB14" s="16">
        <v>596193</v>
      </c>
      <c r="AC14" s="16">
        <v>0</v>
      </c>
      <c r="AD14" s="16">
        <v>0</v>
      </c>
      <c r="AE14" s="16">
        <v>0</v>
      </c>
      <c r="AF14" s="16">
        <v>0</v>
      </c>
    </row>
    <row r="15" spans="1:32" s="26" customFormat="1" x14ac:dyDescent="0.25">
      <c r="A15" s="34" t="s">
        <v>11</v>
      </c>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row>
    <row r="16" spans="1:32" s="26" customFormat="1" x14ac:dyDescent="0.25">
      <c r="A16" s="34" t="s">
        <v>12</v>
      </c>
      <c r="B16" s="16">
        <v>25</v>
      </c>
      <c r="C16" s="16">
        <v>0</v>
      </c>
      <c r="D16" s="16">
        <v>0</v>
      </c>
      <c r="E16" s="16">
        <v>0</v>
      </c>
      <c r="F16" s="16">
        <v>142</v>
      </c>
      <c r="G16" s="16">
        <v>106</v>
      </c>
      <c r="H16" s="16">
        <v>4949</v>
      </c>
      <c r="I16" s="16">
        <v>10</v>
      </c>
      <c r="J16" s="16"/>
      <c r="K16" s="16">
        <v>0</v>
      </c>
      <c r="L16" s="16">
        <v>33</v>
      </c>
      <c r="M16" s="16">
        <v>6</v>
      </c>
      <c r="N16" s="16">
        <v>0</v>
      </c>
      <c r="O16" s="16">
        <v>0</v>
      </c>
      <c r="P16" s="16">
        <v>0</v>
      </c>
      <c r="Q16" s="16">
        <v>0</v>
      </c>
      <c r="R16" s="16">
        <v>0</v>
      </c>
      <c r="S16" s="16">
        <v>0</v>
      </c>
      <c r="T16" s="16">
        <v>0</v>
      </c>
      <c r="U16" s="16"/>
      <c r="V16" s="16"/>
      <c r="W16" s="16"/>
      <c r="X16" s="16">
        <v>0</v>
      </c>
      <c r="Y16" s="16">
        <v>0</v>
      </c>
      <c r="Z16" s="16">
        <v>43684</v>
      </c>
      <c r="AA16" s="16">
        <v>300000</v>
      </c>
      <c r="AB16" s="16">
        <v>7821</v>
      </c>
      <c r="AC16" s="16">
        <v>348</v>
      </c>
      <c r="AD16" s="16">
        <v>146</v>
      </c>
      <c r="AE16" s="16">
        <v>21</v>
      </c>
      <c r="AF16" s="16">
        <v>729</v>
      </c>
    </row>
    <row r="17" spans="1:32"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row>
    <row r="18" spans="1:32" s="26" customFormat="1" x14ac:dyDescent="0.25">
      <c r="A18" s="35" t="s">
        <v>14</v>
      </c>
      <c r="B18" s="19">
        <f>SUM(B11:B17)</f>
        <v>4828</v>
      </c>
      <c r="C18" s="19">
        <f>SUM(C11:C17)</f>
        <v>292</v>
      </c>
      <c r="D18" s="19">
        <f>SUM(D11:D17)</f>
        <v>0</v>
      </c>
      <c r="E18" s="19">
        <f t="shared" ref="E18" si="5">SUM(E11:E17)</f>
        <v>364</v>
      </c>
      <c r="F18" s="19">
        <f>SUM(F11:F17)</f>
        <v>142</v>
      </c>
      <c r="G18" s="19">
        <f t="shared" ref="G18" si="6">SUM(G11:G17)</f>
        <v>106</v>
      </c>
      <c r="H18" s="19">
        <f t="shared" ref="H18:R18" si="7">SUM(H11:H17)</f>
        <v>4949</v>
      </c>
      <c r="I18" s="19">
        <f t="shared" si="7"/>
        <v>10</v>
      </c>
      <c r="J18" s="19">
        <f t="shared" si="7"/>
        <v>0</v>
      </c>
      <c r="K18" s="19">
        <f t="shared" si="7"/>
        <v>0</v>
      </c>
      <c r="L18" s="19">
        <f t="shared" si="7"/>
        <v>33</v>
      </c>
      <c r="M18" s="19">
        <f t="shared" si="7"/>
        <v>6</v>
      </c>
      <c r="N18" s="19">
        <f t="shared" si="7"/>
        <v>312</v>
      </c>
      <c r="O18" s="19">
        <f t="shared" si="7"/>
        <v>358</v>
      </c>
      <c r="P18" s="19">
        <f t="shared" si="7"/>
        <v>120</v>
      </c>
      <c r="Q18" s="19">
        <f t="shared" si="7"/>
        <v>0</v>
      </c>
      <c r="R18" s="19">
        <f t="shared" si="7"/>
        <v>0</v>
      </c>
      <c r="S18" s="19">
        <f t="shared" ref="S18:T18" si="8">SUM(S11:S17)</f>
        <v>4652</v>
      </c>
      <c r="T18" s="19">
        <f t="shared" si="8"/>
        <v>0</v>
      </c>
      <c r="U18" s="19">
        <f t="shared" ref="U18:Z18" si="9">SUM(U11:U17)</f>
        <v>0</v>
      </c>
      <c r="V18" s="19">
        <f t="shared" si="9"/>
        <v>0</v>
      </c>
      <c r="W18" s="19">
        <f t="shared" si="9"/>
        <v>0</v>
      </c>
      <c r="X18" s="19">
        <f t="shared" si="9"/>
        <v>25117</v>
      </c>
      <c r="Y18" s="19">
        <f t="shared" si="9"/>
        <v>3554</v>
      </c>
      <c r="Z18" s="19">
        <f t="shared" si="9"/>
        <v>213734</v>
      </c>
      <c r="AA18" s="19">
        <f t="shared" ref="AA18" si="10">SUM(AA11:AA17)</f>
        <v>309000</v>
      </c>
      <c r="AB18" s="19">
        <f t="shared" ref="AB18:AF18" si="11">SUM(AB11:AB17)</f>
        <v>604014</v>
      </c>
      <c r="AC18" s="19">
        <f t="shared" si="11"/>
        <v>348</v>
      </c>
      <c r="AD18" s="19">
        <f t="shared" si="11"/>
        <v>146</v>
      </c>
      <c r="AE18" s="19">
        <f t="shared" si="11"/>
        <v>21</v>
      </c>
      <c r="AF18" s="19">
        <f t="shared" si="11"/>
        <v>729</v>
      </c>
    </row>
    <row r="19" spans="1:32" s="26" customFormat="1" x14ac:dyDescent="0.25">
      <c r="A19" s="35" t="s">
        <v>15</v>
      </c>
      <c r="B19" s="19">
        <f>SUM(B10,B18)</f>
        <v>56450</v>
      </c>
      <c r="C19" s="19">
        <f>SUM(C10,C18)</f>
        <v>1461</v>
      </c>
      <c r="D19" s="19">
        <f>SUM(D10,D18)</f>
        <v>7146</v>
      </c>
      <c r="E19" s="42">
        <f t="shared" ref="E19" si="12">SUM(E10,E18)</f>
        <v>1157</v>
      </c>
      <c r="F19" s="19">
        <f>SUM(F10,F18)</f>
        <v>3503</v>
      </c>
      <c r="G19" s="19">
        <f t="shared" ref="G19" si="13">SUM(G10,G18)</f>
        <v>6628</v>
      </c>
      <c r="H19" s="19">
        <f t="shared" ref="H19:R19" si="14">SUM(H10,H18)</f>
        <v>67037</v>
      </c>
      <c r="I19" s="19">
        <f t="shared" si="14"/>
        <v>677</v>
      </c>
      <c r="J19" s="19">
        <f t="shared" si="14"/>
        <v>400</v>
      </c>
      <c r="K19" s="19">
        <f t="shared" si="14"/>
        <v>198</v>
      </c>
      <c r="L19" s="19">
        <f t="shared" si="14"/>
        <v>1183</v>
      </c>
      <c r="M19" s="19">
        <f t="shared" si="14"/>
        <v>432</v>
      </c>
      <c r="N19" s="19">
        <f t="shared" si="14"/>
        <v>1140</v>
      </c>
      <c r="O19" s="19">
        <f t="shared" si="14"/>
        <v>3811</v>
      </c>
      <c r="P19" s="19">
        <f t="shared" si="14"/>
        <v>5389</v>
      </c>
      <c r="Q19" s="19">
        <f t="shared" si="14"/>
        <v>4</v>
      </c>
      <c r="R19" s="19">
        <f t="shared" si="14"/>
        <v>744</v>
      </c>
      <c r="S19" s="19">
        <f t="shared" ref="S19:T19" si="15">SUM(S10,S18)</f>
        <v>23152</v>
      </c>
      <c r="T19" s="19">
        <f t="shared" si="15"/>
        <v>725</v>
      </c>
      <c r="U19" s="19">
        <f t="shared" ref="U19:Z19" si="16">SUM(U10,U18)</f>
        <v>20</v>
      </c>
      <c r="V19" s="19">
        <f t="shared" si="16"/>
        <v>33</v>
      </c>
      <c r="W19" s="19">
        <f t="shared" si="16"/>
        <v>16</v>
      </c>
      <c r="X19" s="19">
        <f t="shared" si="16"/>
        <v>34421</v>
      </c>
      <c r="Y19" s="19">
        <f t="shared" si="16"/>
        <v>6624</v>
      </c>
      <c r="Z19" s="19">
        <f t="shared" si="16"/>
        <v>1248560</v>
      </c>
      <c r="AA19" s="19">
        <f t="shared" ref="AA19" si="17">SUM(AA10,AA18)</f>
        <v>1060500</v>
      </c>
      <c r="AB19" s="19">
        <f t="shared" ref="AB19:AF19" si="18">SUM(AB10,AB18)</f>
        <v>2323073</v>
      </c>
      <c r="AC19" s="19">
        <f t="shared" si="18"/>
        <v>1086</v>
      </c>
      <c r="AD19" s="19">
        <f t="shared" si="18"/>
        <v>1432</v>
      </c>
      <c r="AE19" s="19">
        <f t="shared" si="18"/>
        <v>266</v>
      </c>
      <c r="AF19" s="19">
        <f t="shared" si="18"/>
        <v>1979</v>
      </c>
    </row>
    <row r="21" spans="1:32"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row>
    <row r="22" spans="1:32"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row>
    <row r="23" spans="1:32" x14ac:dyDescent="0.2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row>
    <row r="24" spans="1:32" x14ac:dyDescent="0.2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row>
    <row r="25" spans="1:32" x14ac:dyDescent="0.2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row>
  </sheetData>
  <sheetProtection formatCells="0" formatColumns="0" formatRows="0" insertColumns="0" insertRows="0" sort="0" autoFilter="0" pivotTables="0"/>
  <dataValidations count="1">
    <dataValidation type="list" errorStyle="information" allowBlank="1" showInputMessage="1" showErrorMessage="1" sqref="B1:AF1" xr:uid="{8F07AFAB-4360-4BCF-AA55-FD7EF093A49D}">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BE9C0A78-E7F4-46BA-AF10-FCAF180932AA}">
          <x14:formula1>
            <xm:f>'Term List'!$A2:$A242</xm:f>
          </x14:formula1>
          <xm:sqref>AG1:XFD1</xm:sqref>
        </x14:dataValidation>
      </x14:dataValidations>
    </ext>
  </extLs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10ABE-A7B1-48F8-89DB-5CD0CF64F2B3}">
  <sheetPr codeName="Sheet41"/>
  <dimension ref="A1:N23"/>
  <sheetViews>
    <sheetView workbookViewId="0">
      <pane xSplit="1" ySplit="1" topLeftCell="I2" activePane="bottomRight" state="frozen"/>
      <selection activeCell="E23" sqref="E23"/>
      <selection pane="topRight" activeCell="E23" sqref="E23"/>
      <selection pane="bottomLeft" activeCell="E23" sqref="E23"/>
      <selection pane="bottomRight" activeCell="M22" sqref="M22"/>
    </sheetView>
  </sheetViews>
  <sheetFormatPr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1.42578125" style="5" bestFit="1" customWidth="1"/>
    <col min="8" max="8" width="10.85546875" style="5" bestFit="1" customWidth="1"/>
    <col min="9" max="9" width="15.85546875" style="5" bestFit="1" customWidth="1"/>
    <col min="10" max="10" width="12.85546875" style="5" bestFit="1" customWidth="1"/>
    <col min="11" max="11" width="13.5703125" style="5" bestFit="1" customWidth="1"/>
    <col min="12" max="12" width="14.5703125" style="5" bestFit="1" customWidth="1"/>
    <col min="13" max="13" width="15.140625" style="5" bestFit="1" customWidth="1"/>
    <col min="14" max="14" width="11.5703125" style="5" bestFit="1" customWidth="1"/>
    <col min="15" max="16384" width="9.140625" style="3"/>
  </cols>
  <sheetData>
    <row r="1" spans="1:14" s="14" customFormat="1" ht="30" x14ac:dyDescent="0.25">
      <c r="A1" s="36" t="s">
        <v>397</v>
      </c>
      <c r="B1" s="36" t="s">
        <v>155</v>
      </c>
      <c r="C1" s="36" t="s">
        <v>156</v>
      </c>
      <c r="D1" s="36" t="s">
        <v>154</v>
      </c>
      <c r="E1" s="36" t="s">
        <v>150</v>
      </c>
      <c r="F1" s="36" t="s">
        <v>148</v>
      </c>
      <c r="G1" s="36" t="s">
        <v>147</v>
      </c>
      <c r="H1" s="36" t="s">
        <v>149</v>
      </c>
      <c r="I1" s="36" t="s">
        <v>139</v>
      </c>
      <c r="J1" s="36" t="s">
        <v>130</v>
      </c>
      <c r="K1" s="36" t="s">
        <v>132</v>
      </c>
      <c r="L1" s="36" t="s">
        <v>142</v>
      </c>
      <c r="M1" s="36" t="s">
        <v>144</v>
      </c>
      <c r="N1" s="36" t="s">
        <v>124</v>
      </c>
    </row>
    <row r="2" spans="1:14" s="26" customFormat="1" x14ac:dyDescent="0.25">
      <c r="A2" s="34" t="s">
        <v>0</v>
      </c>
      <c r="B2" s="16">
        <v>23653</v>
      </c>
      <c r="C2" s="17">
        <v>1905</v>
      </c>
      <c r="D2" s="17">
        <v>668</v>
      </c>
      <c r="E2" s="17">
        <v>6683</v>
      </c>
      <c r="F2" s="17">
        <v>278</v>
      </c>
      <c r="G2" s="17">
        <v>0</v>
      </c>
      <c r="H2" s="17">
        <v>0</v>
      </c>
      <c r="I2" s="17">
        <v>0</v>
      </c>
      <c r="J2" s="17">
        <v>506</v>
      </c>
      <c r="K2" s="17">
        <v>325</v>
      </c>
      <c r="L2" s="17">
        <v>2199</v>
      </c>
      <c r="M2" s="17">
        <v>636</v>
      </c>
      <c r="N2" s="17">
        <v>14145916</v>
      </c>
    </row>
    <row r="3" spans="1:14" s="26" customFormat="1" x14ac:dyDescent="0.25">
      <c r="A3" s="34" t="s">
        <v>1</v>
      </c>
      <c r="B3" s="16">
        <v>1870</v>
      </c>
      <c r="C3" s="17">
        <v>258</v>
      </c>
      <c r="D3" s="17">
        <v>395</v>
      </c>
      <c r="E3" s="17">
        <v>1886</v>
      </c>
      <c r="F3" s="17">
        <v>191</v>
      </c>
      <c r="G3" s="17">
        <v>0</v>
      </c>
      <c r="H3" s="17">
        <v>0</v>
      </c>
      <c r="I3" s="17">
        <v>0</v>
      </c>
      <c r="J3" s="17">
        <v>74</v>
      </c>
      <c r="K3" s="17">
        <v>120</v>
      </c>
      <c r="L3" s="17">
        <v>152</v>
      </c>
      <c r="M3" s="17">
        <v>51</v>
      </c>
      <c r="N3" s="17">
        <v>146179</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6</v>
      </c>
      <c r="C6" s="17">
        <v>8</v>
      </c>
      <c r="D6" s="17">
        <v>435</v>
      </c>
      <c r="E6" s="17">
        <v>3850</v>
      </c>
      <c r="F6" s="17">
        <v>305</v>
      </c>
      <c r="G6" s="17">
        <v>0</v>
      </c>
      <c r="H6" s="17">
        <v>0</v>
      </c>
      <c r="I6" s="17">
        <v>47</v>
      </c>
      <c r="J6" s="17">
        <v>0</v>
      </c>
      <c r="K6" s="17">
        <v>0</v>
      </c>
      <c r="L6" s="17">
        <v>0</v>
      </c>
      <c r="M6" s="17">
        <v>6</v>
      </c>
      <c r="N6" s="17">
        <v>661479</v>
      </c>
    </row>
    <row r="7" spans="1:14" s="26" customFormat="1" x14ac:dyDescent="0.25">
      <c r="A7" s="34" t="s">
        <v>4</v>
      </c>
      <c r="B7" s="16">
        <v>0</v>
      </c>
      <c r="C7" s="17">
        <v>0</v>
      </c>
      <c r="D7" s="17">
        <v>0</v>
      </c>
      <c r="E7" s="17">
        <v>11</v>
      </c>
      <c r="F7" s="17">
        <v>0</v>
      </c>
      <c r="G7" s="17">
        <v>0</v>
      </c>
      <c r="H7" s="17">
        <v>0</v>
      </c>
      <c r="I7" s="17">
        <v>18</v>
      </c>
      <c r="J7" s="17">
        <v>0</v>
      </c>
      <c r="K7" s="17">
        <v>0</v>
      </c>
      <c r="L7" s="17">
        <v>0</v>
      </c>
      <c r="M7" s="17">
        <v>15</v>
      </c>
      <c r="N7" s="17">
        <v>0</v>
      </c>
    </row>
    <row r="8" spans="1:14" s="26" customFormat="1" x14ac:dyDescent="0.25">
      <c r="A8" s="34" t="s">
        <v>5</v>
      </c>
      <c r="B8" s="16">
        <v>0</v>
      </c>
      <c r="C8" s="17">
        <v>0</v>
      </c>
      <c r="D8" s="17">
        <v>2</v>
      </c>
      <c r="E8" s="17">
        <v>226</v>
      </c>
      <c r="F8" s="17">
        <v>61</v>
      </c>
      <c r="G8" s="17">
        <v>377</v>
      </c>
      <c r="H8" s="17">
        <v>874</v>
      </c>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SUM(B2:B9)</f>
        <v>25529</v>
      </c>
      <c r="C10" s="19">
        <f t="shared" ref="C10:N10" si="0">SUM(C2:C9)</f>
        <v>2171</v>
      </c>
      <c r="D10" s="19">
        <f t="shared" si="0"/>
        <v>1500</v>
      </c>
      <c r="E10" s="19">
        <f t="shared" si="0"/>
        <v>12656</v>
      </c>
      <c r="F10" s="19">
        <f t="shared" si="0"/>
        <v>835</v>
      </c>
      <c r="G10" s="19">
        <f t="shared" si="0"/>
        <v>377</v>
      </c>
      <c r="H10" s="19">
        <f t="shared" si="0"/>
        <v>874</v>
      </c>
      <c r="I10" s="19">
        <f t="shared" si="0"/>
        <v>65</v>
      </c>
      <c r="J10" s="19">
        <f t="shared" si="0"/>
        <v>580</v>
      </c>
      <c r="K10" s="19">
        <f t="shared" si="0"/>
        <v>445</v>
      </c>
      <c r="L10" s="19">
        <f t="shared" si="0"/>
        <v>2351</v>
      </c>
      <c r="M10" s="19">
        <f t="shared" si="0"/>
        <v>708</v>
      </c>
      <c r="N10" s="19">
        <f t="shared" si="0"/>
        <v>14953574</v>
      </c>
    </row>
    <row r="11" spans="1:14" s="26" customFormat="1" x14ac:dyDescent="0.25">
      <c r="A11" s="34" t="s">
        <v>8</v>
      </c>
      <c r="B11" s="16">
        <v>72017</v>
      </c>
      <c r="C11" s="16">
        <v>7858</v>
      </c>
      <c r="D11" s="16">
        <v>804</v>
      </c>
      <c r="E11" s="16">
        <v>31204</v>
      </c>
      <c r="F11" s="16">
        <v>501</v>
      </c>
      <c r="G11" s="16">
        <v>0</v>
      </c>
      <c r="H11" s="16">
        <v>0</v>
      </c>
      <c r="I11" s="16">
        <v>128</v>
      </c>
      <c r="J11" s="16">
        <v>848</v>
      </c>
      <c r="K11" s="16">
        <v>371</v>
      </c>
      <c r="L11" s="16">
        <v>12010</v>
      </c>
      <c r="M11" s="16">
        <v>316</v>
      </c>
      <c r="N11" s="16">
        <v>9670001</v>
      </c>
    </row>
    <row r="12" spans="1:14" s="26" customFormat="1" x14ac:dyDescent="0.25">
      <c r="A12" s="34" t="s">
        <v>9</v>
      </c>
      <c r="B12" s="16"/>
      <c r="C12" s="16"/>
      <c r="D12" s="16"/>
      <c r="E12" s="16"/>
      <c r="F12" s="16"/>
      <c r="G12" s="16"/>
      <c r="H12" s="16"/>
      <c r="I12" s="16"/>
      <c r="J12" s="16"/>
      <c r="K12" s="16"/>
      <c r="L12" s="16"/>
      <c r="M12" s="16"/>
      <c r="N12" s="16"/>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2</v>
      </c>
      <c r="C14" s="16">
        <v>0</v>
      </c>
      <c r="D14" s="16">
        <v>0</v>
      </c>
      <c r="E14" s="16">
        <v>669</v>
      </c>
      <c r="F14" s="16">
        <v>3</v>
      </c>
      <c r="G14" s="16">
        <v>0</v>
      </c>
      <c r="H14" s="16">
        <v>0</v>
      </c>
      <c r="I14" s="16">
        <v>5</v>
      </c>
      <c r="J14" s="16">
        <v>0</v>
      </c>
      <c r="K14" s="16">
        <v>0</v>
      </c>
      <c r="L14" s="16">
        <v>0</v>
      </c>
      <c r="M14" s="16">
        <v>0</v>
      </c>
      <c r="N14" s="16">
        <v>0</v>
      </c>
    </row>
    <row r="15" spans="1:14" s="26" customFormat="1" x14ac:dyDescent="0.25">
      <c r="A15" s="34" t="s">
        <v>11</v>
      </c>
      <c r="B15" s="16"/>
      <c r="C15" s="16"/>
      <c r="D15" s="16"/>
      <c r="E15" s="16"/>
      <c r="F15" s="16"/>
      <c r="G15" s="16"/>
      <c r="H15" s="16"/>
      <c r="I15" s="16"/>
      <c r="J15" s="16"/>
      <c r="K15" s="16"/>
      <c r="L15" s="16"/>
      <c r="M15" s="16"/>
      <c r="N15" s="16"/>
    </row>
    <row r="16" spans="1:14" s="26" customFormat="1" x14ac:dyDescent="0.25">
      <c r="A16" s="34" t="s">
        <v>12</v>
      </c>
      <c r="B16" s="16">
        <v>0</v>
      </c>
      <c r="C16" s="16">
        <v>0</v>
      </c>
      <c r="D16" s="16">
        <v>0</v>
      </c>
      <c r="E16" s="16">
        <v>89</v>
      </c>
      <c r="F16" s="16">
        <v>6</v>
      </c>
      <c r="G16" s="16">
        <v>5</v>
      </c>
      <c r="H16" s="16">
        <v>0</v>
      </c>
      <c r="I16" s="16">
        <v>10</v>
      </c>
      <c r="J16" s="16">
        <v>0</v>
      </c>
      <c r="K16" s="16">
        <v>0</v>
      </c>
      <c r="L16" s="16">
        <v>0</v>
      </c>
      <c r="M16" s="16">
        <v>0</v>
      </c>
      <c r="N16" s="16">
        <v>0</v>
      </c>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SUM(B11:B17)</f>
        <v>72019</v>
      </c>
      <c r="C18" s="19">
        <f t="shared" ref="C18:N18" si="1">SUM(C11:C17)</f>
        <v>7858</v>
      </c>
      <c r="D18" s="19">
        <f t="shared" si="1"/>
        <v>804</v>
      </c>
      <c r="E18" s="19">
        <f t="shared" si="1"/>
        <v>31962</v>
      </c>
      <c r="F18" s="19">
        <f t="shared" si="1"/>
        <v>510</v>
      </c>
      <c r="G18" s="19">
        <f t="shared" si="1"/>
        <v>5</v>
      </c>
      <c r="H18" s="19">
        <f t="shared" si="1"/>
        <v>0</v>
      </c>
      <c r="I18" s="19">
        <f t="shared" si="1"/>
        <v>143</v>
      </c>
      <c r="J18" s="19">
        <f t="shared" si="1"/>
        <v>848</v>
      </c>
      <c r="K18" s="19">
        <f t="shared" si="1"/>
        <v>371</v>
      </c>
      <c r="L18" s="19">
        <f t="shared" si="1"/>
        <v>12010</v>
      </c>
      <c r="M18" s="19">
        <f t="shared" si="1"/>
        <v>316</v>
      </c>
      <c r="N18" s="19">
        <f t="shared" si="1"/>
        <v>9670001</v>
      </c>
    </row>
    <row r="19" spans="1:14" s="26" customFormat="1" x14ac:dyDescent="0.25">
      <c r="A19" s="35" t="s">
        <v>15</v>
      </c>
      <c r="B19" s="19">
        <f>SUM(B10,B18)</f>
        <v>97548</v>
      </c>
      <c r="C19" s="19">
        <f t="shared" ref="C19:N19" si="2">SUM(C10,C18)</f>
        <v>10029</v>
      </c>
      <c r="D19" s="19">
        <f t="shared" si="2"/>
        <v>2304</v>
      </c>
      <c r="E19" s="19">
        <f t="shared" si="2"/>
        <v>44618</v>
      </c>
      <c r="F19" s="19">
        <f t="shared" si="2"/>
        <v>1345</v>
      </c>
      <c r="G19" s="19">
        <f t="shared" si="2"/>
        <v>382</v>
      </c>
      <c r="H19" s="19">
        <f t="shared" si="2"/>
        <v>874</v>
      </c>
      <c r="I19" s="19">
        <f t="shared" si="2"/>
        <v>208</v>
      </c>
      <c r="J19" s="19">
        <f t="shared" si="2"/>
        <v>1428</v>
      </c>
      <c r="K19" s="19">
        <f t="shared" si="2"/>
        <v>816</v>
      </c>
      <c r="L19" s="19">
        <f t="shared" si="2"/>
        <v>14361</v>
      </c>
      <c r="M19" s="19">
        <f t="shared" si="2"/>
        <v>1024</v>
      </c>
      <c r="N19" s="19">
        <f t="shared" si="2"/>
        <v>24623575</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sheetData>
  <sheetProtection formatCells="0" formatColumns="0" formatRows="0" insertColumns="0" insertRows="0" sort="0" autoFilter="0" pivotTables="0"/>
  <dataValidations count="1">
    <dataValidation type="list" errorStyle="information" allowBlank="1" showInputMessage="1" showErrorMessage="1" sqref="B1:N1" xr:uid="{FD73B541-0538-4CD4-AD25-A4CE91C56B6B}">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9A5F87E-0934-4DBC-A486-91F443A4A377}">
          <x14:formula1>
            <xm:f>'Term List'!$A2:$A242</xm:f>
          </x14:formula1>
          <xm:sqref>O1:XFD1</xm:sqref>
        </x14:dataValidation>
      </x14:dataValidations>
    </ext>
  </extLs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3344D-57BF-4643-BA56-B3E768C46652}">
  <sheetPr codeName="Sheet40"/>
  <dimension ref="A1:AH22"/>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RowHeight="15" x14ac:dyDescent="0.25"/>
  <cols>
    <col min="1" max="1" width="35.7109375" style="6" bestFit="1" customWidth="1"/>
    <col min="2" max="2" width="15.85546875" style="5" customWidth="1"/>
    <col min="3" max="3" width="20.140625" style="3" customWidth="1"/>
    <col min="4" max="4" width="15.85546875" style="5" customWidth="1"/>
    <col min="5" max="5" width="16.28515625" style="5" customWidth="1"/>
    <col min="6" max="9" width="15.85546875" style="5" customWidth="1"/>
    <col min="10" max="10" width="21.140625" style="5" customWidth="1"/>
    <col min="11" max="11" width="21.28515625" style="5" customWidth="1"/>
    <col min="12" max="12" width="19.140625" style="5" customWidth="1"/>
    <col min="13" max="13" width="21.140625" style="3" customWidth="1"/>
    <col min="14" max="14" width="18.28515625" style="5" customWidth="1"/>
    <col min="15" max="15" width="17" style="5" customWidth="1"/>
    <col min="16" max="16" width="18.85546875" style="5" customWidth="1"/>
    <col min="17" max="18" width="15.85546875" style="5" customWidth="1"/>
    <col min="19" max="19" width="16.140625" style="5" customWidth="1"/>
    <col min="20" max="20" width="15.85546875" style="5" customWidth="1"/>
    <col min="21" max="21" width="21.7109375" style="3" customWidth="1"/>
    <col min="22" max="22" width="24.5703125" style="3" customWidth="1"/>
    <col min="23" max="23" width="16" style="3" customWidth="1"/>
    <col min="24" max="24" width="25.85546875" style="3" customWidth="1"/>
    <col min="25" max="25" width="23.7109375" style="3" customWidth="1"/>
    <col min="26" max="26" width="15.85546875" style="3" customWidth="1"/>
    <col min="27" max="27" width="20.140625" style="3" customWidth="1"/>
    <col min="28" max="28" width="15.85546875" style="3" customWidth="1"/>
    <col min="29" max="29" width="18.5703125" style="3" customWidth="1"/>
    <col min="30" max="30" width="19.140625" style="3" customWidth="1"/>
    <col min="31" max="31" width="18.28515625" style="3" customWidth="1"/>
    <col min="32" max="32" width="17.85546875" style="3" customWidth="1"/>
    <col min="33" max="33" width="17.28515625" style="3" customWidth="1"/>
    <col min="34" max="34" width="17.5703125" style="3" customWidth="1"/>
    <col min="35" max="16384" width="9.140625" style="3"/>
  </cols>
  <sheetData>
    <row r="1" spans="1:34" s="40" customFormat="1" ht="30" x14ac:dyDescent="0.25">
      <c r="A1" s="36" t="s">
        <v>378</v>
      </c>
      <c r="B1" s="36" t="s">
        <v>62</v>
      </c>
      <c r="C1" s="126" t="s">
        <v>55</v>
      </c>
      <c r="D1" s="36" t="s">
        <v>35</v>
      </c>
      <c r="E1" s="36" t="s">
        <v>36</v>
      </c>
      <c r="F1" s="36" t="s">
        <v>39</v>
      </c>
      <c r="G1" s="36" t="s">
        <v>95</v>
      </c>
      <c r="H1" s="36" t="s">
        <v>94</v>
      </c>
      <c r="I1" s="36" t="s">
        <v>99</v>
      </c>
      <c r="J1" s="36" t="s">
        <v>566</v>
      </c>
      <c r="K1" s="36" t="s">
        <v>567</v>
      </c>
      <c r="L1" s="36" t="s">
        <v>569</v>
      </c>
      <c r="M1" s="36" t="s">
        <v>570</v>
      </c>
      <c r="N1" s="36" t="s">
        <v>571</v>
      </c>
      <c r="O1" s="36" t="s">
        <v>572</v>
      </c>
      <c r="P1" s="36" t="s">
        <v>573</v>
      </c>
      <c r="Q1" s="36" t="s">
        <v>28</v>
      </c>
      <c r="R1" s="36" t="s">
        <v>89</v>
      </c>
      <c r="S1" s="36" t="s">
        <v>45</v>
      </c>
      <c r="T1" s="36" t="s">
        <v>382</v>
      </c>
      <c r="U1" s="126" t="s">
        <v>387</v>
      </c>
      <c r="V1" s="126" t="s">
        <v>386</v>
      </c>
      <c r="W1" s="36" t="s">
        <v>53</v>
      </c>
      <c r="X1" s="126" t="s">
        <v>383</v>
      </c>
      <c r="Y1" s="126" t="s">
        <v>384</v>
      </c>
      <c r="Z1" s="36" t="s">
        <v>75</v>
      </c>
      <c r="AA1" s="36" t="s">
        <v>107</v>
      </c>
      <c r="AB1" s="126" t="s">
        <v>101</v>
      </c>
      <c r="AC1" s="126" t="s">
        <v>65</v>
      </c>
      <c r="AD1" s="126" t="s">
        <v>88</v>
      </c>
      <c r="AE1" s="126" t="s">
        <v>330</v>
      </c>
      <c r="AF1" s="126" t="s">
        <v>331</v>
      </c>
      <c r="AG1" s="126" t="s">
        <v>332</v>
      </c>
      <c r="AH1" s="126" t="s">
        <v>333</v>
      </c>
    </row>
    <row r="2" spans="1:34" s="26" customFormat="1" x14ac:dyDescent="0.25">
      <c r="A2" s="34" t="s">
        <v>0</v>
      </c>
      <c r="B2" s="16"/>
      <c r="C2" s="17"/>
      <c r="D2" s="17"/>
      <c r="E2" s="17"/>
      <c r="F2" s="17"/>
      <c r="G2" s="17"/>
      <c r="H2" s="17"/>
      <c r="I2" s="17"/>
      <c r="J2" s="17"/>
      <c r="K2" s="17"/>
      <c r="L2" s="17"/>
      <c r="M2" s="17"/>
      <c r="N2" s="17"/>
      <c r="O2" s="17"/>
      <c r="P2" s="17"/>
      <c r="Q2" s="17"/>
      <c r="R2" s="17"/>
      <c r="S2" s="17"/>
      <c r="T2" s="17"/>
      <c r="U2" s="25"/>
      <c r="V2" s="25"/>
      <c r="W2" s="24"/>
      <c r="X2" s="25"/>
      <c r="Y2" s="25"/>
      <c r="Z2" s="25"/>
      <c r="AA2" s="25"/>
      <c r="AB2" s="25"/>
      <c r="AC2" s="25"/>
      <c r="AD2" s="25"/>
      <c r="AE2" s="25"/>
      <c r="AF2" s="25"/>
      <c r="AG2" s="25"/>
      <c r="AH2" s="25"/>
    </row>
    <row r="3" spans="1:34" s="26" customFormat="1" x14ac:dyDescent="0.25">
      <c r="A3" s="34" t="s">
        <v>1</v>
      </c>
      <c r="B3" s="16"/>
      <c r="C3" s="17"/>
      <c r="D3" s="17"/>
      <c r="E3" s="17"/>
      <c r="F3" s="17"/>
      <c r="G3" s="17"/>
      <c r="H3" s="17"/>
      <c r="I3" s="17"/>
      <c r="J3" s="17"/>
      <c r="K3" s="17"/>
      <c r="L3" s="17"/>
      <c r="M3" s="17"/>
      <c r="N3" s="17"/>
      <c r="O3" s="17"/>
      <c r="P3" s="17"/>
      <c r="Q3" s="17"/>
      <c r="R3" s="17"/>
      <c r="S3" s="17"/>
      <c r="T3" s="17"/>
      <c r="U3" s="25"/>
      <c r="V3" s="25"/>
      <c r="W3" s="24"/>
      <c r="X3" s="25"/>
      <c r="Y3" s="25"/>
      <c r="Z3" s="25"/>
      <c r="AA3" s="25"/>
      <c r="AB3" s="25"/>
      <c r="AC3" s="25"/>
      <c r="AD3" s="25"/>
      <c r="AE3" s="25"/>
      <c r="AF3" s="25"/>
      <c r="AG3" s="25"/>
      <c r="AH3" s="25"/>
    </row>
    <row r="4" spans="1:34" s="26" customFormat="1" x14ac:dyDescent="0.25">
      <c r="A4" s="34" t="s">
        <v>169</v>
      </c>
      <c r="B4" s="16"/>
      <c r="C4" s="17"/>
      <c r="D4" s="17"/>
      <c r="E4" s="17"/>
      <c r="F4" s="17"/>
      <c r="G4" s="17"/>
      <c r="H4" s="17"/>
      <c r="I4" s="17"/>
      <c r="J4" s="17"/>
      <c r="K4" s="17"/>
      <c r="L4" s="17"/>
      <c r="M4" s="17"/>
      <c r="N4" s="17"/>
      <c r="O4" s="17"/>
      <c r="P4" s="17"/>
      <c r="Q4" s="17"/>
      <c r="R4" s="17"/>
      <c r="S4" s="17"/>
      <c r="T4" s="17"/>
      <c r="U4" s="25"/>
      <c r="V4" s="25"/>
      <c r="W4" s="24"/>
      <c r="X4" s="25"/>
      <c r="Y4" s="25"/>
      <c r="Z4" s="25"/>
      <c r="AA4" s="25"/>
      <c r="AB4" s="25"/>
      <c r="AC4" s="25">
        <v>2498</v>
      </c>
      <c r="AD4" s="25">
        <v>2934</v>
      </c>
      <c r="AE4" s="25"/>
      <c r="AF4" s="25"/>
      <c r="AG4" s="25"/>
      <c r="AH4" s="25"/>
    </row>
    <row r="5" spans="1:34" s="26" customFormat="1" x14ac:dyDescent="0.25">
      <c r="A5" s="34" t="s">
        <v>2</v>
      </c>
      <c r="B5" s="16"/>
      <c r="C5" s="17"/>
      <c r="D5" s="17"/>
      <c r="E5" s="17"/>
      <c r="F5" s="17"/>
      <c r="G5" s="17"/>
      <c r="H5" s="17"/>
      <c r="I5" s="17"/>
      <c r="J5" s="17"/>
      <c r="K5" s="17"/>
      <c r="L5" s="17"/>
      <c r="M5" s="17"/>
      <c r="N5" s="17"/>
      <c r="O5" s="17"/>
      <c r="P5" s="17"/>
      <c r="Q5" s="17"/>
      <c r="R5" s="17"/>
      <c r="S5" s="17"/>
      <c r="T5" s="17"/>
      <c r="U5" s="25"/>
      <c r="V5" s="25"/>
      <c r="W5" s="24"/>
      <c r="X5" s="25"/>
      <c r="Y5" s="25"/>
      <c r="Z5" s="25"/>
      <c r="AA5" s="25"/>
      <c r="AB5" s="25"/>
      <c r="AC5" s="25"/>
      <c r="AD5" s="25"/>
      <c r="AE5" s="25"/>
      <c r="AF5" s="25"/>
      <c r="AG5" s="25"/>
      <c r="AH5" s="25"/>
    </row>
    <row r="6" spans="1:34" s="26" customFormat="1" x14ac:dyDescent="0.25">
      <c r="A6" s="34" t="s">
        <v>3</v>
      </c>
      <c r="B6" s="16">
        <v>8665</v>
      </c>
      <c r="C6" s="17">
        <v>365</v>
      </c>
      <c r="D6" s="17">
        <v>359</v>
      </c>
      <c r="E6" s="17"/>
      <c r="F6" s="17"/>
      <c r="G6" s="17"/>
      <c r="H6" s="17"/>
      <c r="I6" s="17">
        <v>556</v>
      </c>
      <c r="J6" s="17">
        <v>177</v>
      </c>
      <c r="K6" s="17">
        <v>15041</v>
      </c>
      <c r="L6" s="17">
        <v>299</v>
      </c>
      <c r="M6" s="17">
        <v>1104</v>
      </c>
      <c r="N6" s="17">
        <v>1078</v>
      </c>
      <c r="O6" s="17">
        <v>4309</v>
      </c>
      <c r="P6" s="17">
        <v>93</v>
      </c>
      <c r="Q6" s="17">
        <v>317</v>
      </c>
      <c r="R6" s="17">
        <v>39</v>
      </c>
      <c r="S6" s="17">
        <v>26</v>
      </c>
      <c r="T6" s="17"/>
      <c r="U6" s="25"/>
      <c r="V6" s="25"/>
      <c r="W6" s="24"/>
      <c r="X6" s="25"/>
      <c r="Y6" s="25"/>
      <c r="Z6" s="25">
        <v>759727</v>
      </c>
      <c r="AA6" s="25">
        <v>376926</v>
      </c>
      <c r="AB6" s="25">
        <v>287670</v>
      </c>
      <c r="AC6" s="25"/>
      <c r="AD6" s="25"/>
      <c r="AE6" s="25"/>
      <c r="AF6" s="25"/>
      <c r="AG6" s="25"/>
      <c r="AH6" s="25"/>
    </row>
    <row r="7" spans="1:34" s="26" customFormat="1" x14ac:dyDescent="0.25">
      <c r="A7" s="34" t="s">
        <v>4</v>
      </c>
      <c r="B7" s="16">
        <v>1359</v>
      </c>
      <c r="C7" s="17"/>
      <c r="D7" s="17">
        <v>300</v>
      </c>
      <c r="E7" s="17">
        <v>431</v>
      </c>
      <c r="F7" s="17">
        <v>130</v>
      </c>
      <c r="G7" s="17"/>
      <c r="H7" s="17"/>
      <c r="I7" s="17">
        <v>45</v>
      </c>
      <c r="J7" s="17"/>
      <c r="K7" s="17"/>
      <c r="L7" s="17"/>
      <c r="M7" s="17"/>
      <c r="N7" s="17"/>
      <c r="O7" s="17"/>
      <c r="P7" s="17"/>
      <c r="Q7" s="17"/>
      <c r="R7" s="17"/>
      <c r="S7" s="17"/>
      <c r="T7" s="17"/>
      <c r="U7" s="25">
        <v>300</v>
      </c>
      <c r="V7" s="25">
        <v>277</v>
      </c>
      <c r="W7" s="24"/>
      <c r="X7" s="25">
        <v>3</v>
      </c>
      <c r="Y7" s="25">
        <v>0</v>
      </c>
      <c r="Z7" s="25">
        <v>1105533</v>
      </c>
      <c r="AA7" s="25">
        <v>700429</v>
      </c>
      <c r="AB7" s="25">
        <v>371750</v>
      </c>
      <c r="AC7" s="25"/>
      <c r="AD7" s="25"/>
      <c r="AE7" s="25"/>
      <c r="AF7" s="25"/>
      <c r="AG7" s="25"/>
      <c r="AH7" s="25"/>
    </row>
    <row r="8" spans="1:34" s="26" customFormat="1" x14ac:dyDescent="0.25">
      <c r="A8" s="34" t="s">
        <v>5</v>
      </c>
      <c r="B8" s="16">
        <v>9271</v>
      </c>
      <c r="C8" s="17"/>
      <c r="D8" s="17">
        <v>912</v>
      </c>
      <c r="E8" s="17"/>
      <c r="F8" s="17"/>
      <c r="G8" s="17">
        <v>4664</v>
      </c>
      <c r="H8" s="17">
        <v>7519</v>
      </c>
      <c r="I8" s="17"/>
      <c r="J8" s="17"/>
      <c r="K8" s="17"/>
      <c r="L8" s="17"/>
      <c r="M8" s="17"/>
      <c r="N8" s="17"/>
      <c r="O8" s="17"/>
      <c r="P8" s="17"/>
      <c r="Q8" s="17"/>
      <c r="R8" s="17"/>
      <c r="S8" s="17"/>
      <c r="T8" s="17">
        <v>9174</v>
      </c>
      <c r="U8" s="25"/>
      <c r="V8" s="25"/>
      <c r="W8" s="24">
        <v>41417</v>
      </c>
      <c r="X8" s="25">
        <v>2409</v>
      </c>
      <c r="Y8" s="25">
        <v>950</v>
      </c>
      <c r="Z8" s="25"/>
      <c r="AA8" s="25"/>
      <c r="AB8" s="25"/>
      <c r="AC8" s="25"/>
      <c r="AD8" s="25"/>
      <c r="AE8" s="25"/>
      <c r="AF8" s="25"/>
      <c r="AG8" s="25"/>
      <c r="AH8" s="25"/>
    </row>
    <row r="9" spans="1:34" s="26" customFormat="1" x14ac:dyDescent="0.25">
      <c r="A9" s="34" t="s">
        <v>6</v>
      </c>
      <c r="B9" s="16"/>
      <c r="C9" s="17"/>
      <c r="D9" s="17"/>
      <c r="E9" s="17"/>
      <c r="F9" s="17"/>
      <c r="G9" s="17"/>
      <c r="H9" s="17"/>
      <c r="I9" s="17"/>
      <c r="J9" s="17"/>
      <c r="K9" s="17"/>
      <c r="L9" s="17"/>
      <c r="M9" s="17"/>
      <c r="N9" s="17"/>
      <c r="O9" s="17"/>
      <c r="P9" s="17"/>
      <c r="Q9" s="17"/>
      <c r="R9" s="17"/>
      <c r="S9" s="17"/>
      <c r="T9" s="17"/>
      <c r="U9" s="25"/>
      <c r="V9" s="25"/>
      <c r="W9" s="24"/>
      <c r="X9" s="25"/>
      <c r="Y9" s="25"/>
      <c r="Z9" s="25"/>
      <c r="AA9" s="25"/>
      <c r="AB9" s="25"/>
      <c r="AC9" s="25"/>
      <c r="AD9" s="25"/>
      <c r="AE9" s="25">
        <v>321</v>
      </c>
      <c r="AF9" s="25">
        <v>1275</v>
      </c>
      <c r="AG9" s="25">
        <v>178</v>
      </c>
      <c r="AH9" s="25">
        <v>509</v>
      </c>
    </row>
    <row r="10" spans="1:34" s="26" customFormat="1" x14ac:dyDescent="0.25">
      <c r="A10" s="35" t="s">
        <v>7</v>
      </c>
      <c r="B10" s="19">
        <f>SUM(B2:B9)</f>
        <v>19295</v>
      </c>
      <c r="C10" s="19">
        <f t="shared" ref="C10:AH10" si="0">SUM(C2:C9)</f>
        <v>365</v>
      </c>
      <c r="D10" s="19">
        <f t="shared" si="0"/>
        <v>1571</v>
      </c>
      <c r="E10" s="19">
        <f t="shared" si="0"/>
        <v>431</v>
      </c>
      <c r="F10" s="19">
        <f t="shared" si="0"/>
        <v>130</v>
      </c>
      <c r="G10" s="19">
        <f t="shared" si="0"/>
        <v>4664</v>
      </c>
      <c r="H10" s="19">
        <f t="shared" si="0"/>
        <v>7519</v>
      </c>
      <c r="I10" s="19">
        <f t="shared" si="0"/>
        <v>601</v>
      </c>
      <c r="J10" s="19">
        <f t="shared" si="0"/>
        <v>177</v>
      </c>
      <c r="K10" s="19">
        <f t="shared" si="0"/>
        <v>15041</v>
      </c>
      <c r="L10" s="19">
        <f t="shared" si="0"/>
        <v>299</v>
      </c>
      <c r="M10" s="19">
        <f t="shared" si="0"/>
        <v>1104</v>
      </c>
      <c r="N10" s="19">
        <f t="shared" si="0"/>
        <v>1078</v>
      </c>
      <c r="O10" s="19">
        <f t="shared" si="0"/>
        <v>4309</v>
      </c>
      <c r="P10" s="19">
        <f t="shared" si="0"/>
        <v>93</v>
      </c>
      <c r="Q10" s="19">
        <f t="shared" si="0"/>
        <v>317</v>
      </c>
      <c r="R10" s="19">
        <f t="shared" si="0"/>
        <v>39</v>
      </c>
      <c r="S10" s="19">
        <f t="shared" si="0"/>
        <v>26</v>
      </c>
      <c r="T10" s="19">
        <f t="shared" si="0"/>
        <v>9174</v>
      </c>
      <c r="U10" s="19">
        <f t="shared" si="0"/>
        <v>300</v>
      </c>
      <c r="V10" s="19">
        <f>SUM(V2:V9)</f>
        <v>277</v>
      </c>
      <c r="W10" s="19">
        <f t="shared" si="0"/>
        <v>41417</v>
      </c>
      <c r="X10" s="19">
        <f t="shared" si="0"/>
        <v>2412</v>
      </c>
      <c r="Y10" s="19">
        <f t="shared" si="0"/>
        <v>950</v>
      </c>
      <c r="Z10" s="19">
        <f t="shared" si="0"/>
        <v>1865260</v>
      </c>
      <c r="AA10" s="19">
        <f t="shared" si="0"/>
        <v>1077355</v>
      </c>
      <c r="AB10" s="19">
        <f t="shared" si="0"/>
        <v>659420</v>
      </c>
      <c r="AC10" s="19">
        <f t="shared" si="0"/>
        <v>2498</v>
      </c>
      <c r="AD10" s="19">
        <f t="shared" si="0"/>
        <v>2934</v>
      </c>
      <c r="AE10" s="19">
        <f t="shared" si="0"/>
        <v>321</v>
      </c>
      <c r="AF10" s="19">
        <f t="shared" si="0"/>
        <v>1275</v>
      </c>
      <c r="AG10" s="19">
        <f t="shared" si="0"/>
        <v>178</v>
      </c>
      <c r="AH10" s="19">
        <f t="shared" si="0"/>
        <v>509</v>
      </c>
    </row>
    <row r="11" spans="1:34" s="26" customFormat="1" x14ac:dyDescent="0.25">
      <c r="A11" s="34" t="s">
        <v>8</v>
      </c>
      <c r="B11" s="16"/>
      <c r="C11" s="16"/>
      <c r="D11" s="16"/>
      <c r="E11" s="16"/>
      <c r="F11" s="16"/>
      <c r="G11" s="16"/>
      <c r="H11" s="16"/>
      <c r="I11" s="16"/>
      <c r="J11" s="16"/>
      <c r="K11" s="16"/>
      <c r="L11" s="16"/>
      <c r="M11" s="16"/>
      <c r="N11" s="16"/>
      <c r="O11" s="16"/>
      <c r="P11" s="16"/>
      <c r="Q11" s="16"/>
      <c r="R11" s="16"/>
      <c r="S11" s="16"/>
      <c r="T11" s="16"/>
      <c r="U11" s="23"/>
      <c r="V11" s="23"/>
      <c r="W11" s="22"/>
      <c r="X11" s="23"/>
      <c r="Y11" s="23"/>
      <c r="Z11" s="23"/>
      <c r="AA11" s="23"/>
      <c r="AB11" s="23"/>
      <c r="AC11" s="23"/>
      <c r="AD11" s="23"/>
      <c r="AE11" s="23"/>
      <c r="AF11" s="23"/>
      <c r="AG11" s="23"/>
      <c r="AH11" s="23"/>
    </row>
    <row r="12" spans="1:34" s="26" customFormat="1" x14ac:dyDescent="0.25">
      <c r="A12" s="34" t="s">
        <v>9</v>
      </c>
      <c r="B12" s="16"/>
      <c r="C12" s="16"/>
      <c r="D12" s="16"/>
      <c r="E12" s="16"/>
      <c r="F12" s="16"/>
      <c r="G12" s="16"/>
      <c r="H12" s="16"/>
      <c r="I12" s="16"/>
      <c r="J12" s="16"/>
      <c r="K12" s="16"/>
      <c r="L12" s="16"/>
      <c r="M12" s="16"/>
      <c r="N12" s="16"/>
      <c r="O12" s="16"/>
      <c r="P12" s="16"/>
      <c r="Q12" s="16"/>
      <c r="R12" s="16"/>
      <c r="S12" s="16"/>
      <c r="T12" s="16"/>
      <c r="U12" s="23"/>
      <c r="V12" s="23"/>
      <c r="W12" s="22"/>
      <c r="X12" s="23"/>
      <c r="Y12" s="23"/>
      <c r="Z12" s="23"/>
      <c r="AA12" s="23"/>
      <c r="AB12" s="23"/>
      <c r="AC12" s="23"/>
      <c r="AD12" s="23"/>
      <c r="AE12" s="23"/>
      <c r="AF12" s="23"/>
      <c r="AG12" s="23"/>
      <c r="AH12" s="23"/>
    </row>
    <row r="13" spans="1:34" s="26" customFormat="1" x14ac:dyDescent="0.25">
      <c r="A13" s="34" t="s">
        <v>164</v>
      </c>
      <c r="B13" s="16"/>
      <c r="C13" s="16"/>
      <c r="D13" s="16"/>
      <c r="E13" s="16"/>
      <c r="F13" s="16"/>
      <c r="G13" s="16"/>
      <c r="H13" s="16"/>
      <c r="I13" s="16"/>
      <c r="J13" s="16"/>
      <c r="K13" s="16"/>
      <c r="L13" s="16"/>
      <c r="M13" s="16"/>
      <c r="N13" s="16"/>
      <c r="O13" s="16"/>
      <c r="P13" s="16"/>
      <c r="Q13" s="16"/>
      <c r="R13" s="16"/>
      <c r="S13" s="16"/>
      <c r="T13" s="16"/>
      <c r="U13" s="23"/>
      <c r="V13" s="23"/>
      <c r="W13" s="22"/>
      <c r="X13" s="23"/>
      <c r="Y13" s="23"/>
      <c r="Z13" s="23"/>
      <c r="AA13" s="23"/>
      <c r="AB13" s="23"/>
      <c r="AC13" s="23">
        <v>20427</v>
      </c>
      <c r="AD13" s="23">
        <v>3694</v>
      </c>
      <c r="AE13" s="23"/>
      <c r="AF13" s="23"/>
      <c r="AG13" s="23"/>
      <c r="AH13" s="23"/>
    </row>
    <row r="14" spans="1:34" s="26" customFormat="1" x14ac:dyDescent="0.25">
      <c r="A14" s="34" t="s">
        <v>10</v>
      </c>
      <c r="B14" s="16">
        <v>515</v>
      </c>
      <c r="C14" s="16"/>
      <c r="D14" s="16"/>
      <c r="E14" s="16"/>
      <c r="F14" s="16"/>
      <c r="G14" s="16"/>
      <c r="H14" s="16"/>
      <c r="I14" s="16"/>
      <c r="J14" s="16">
        <v>200</v>
      </c>
      <c r="K14" s="16">
        <v>2569</v>
      </c>
      <c r="L14" s="16">
        <v>11</v>
      </c>
      <c r="M14" s="16">
        <v>395</v>
      </c>
      <c r="N14" s="16">
        <v>155</v>
      </c>
      <c r="O14" s="16">
        <v>479</v>
      </c>
      <c r="P14" s="16">
        <v>0</v>
      </c>
      <c r="Q14" s="16">
        <v>10</v>
      </c>
      <c r="R14" s="16">
        <v>10</v>
      </c>
      <c r="S14" s="16">
        <v>37</v>
      </c>
      <c r="T14" s="16"/>
      <c r="U14" s="23"/>
      <c r="V14" s="23"/>
      <c r="W14" s="22"/>
      <c r="X14" s="23"/>
      <c r="Y14" s="23"/>
      <c r="Z14" s="23">
        <v>48600</v>
      </c>
      <c r="AA14" s="23">
        <v>24419</v>
      </c>
      <c r="AB14" s="23">
        <v>0</v>
      </c>
      <c r="AC14" s="23"/>
      <c r="AD14" s="23"/>
      <c r="AE14" s="23"/>
      <c r="AF14" s="23"/>
      <c r="AG14" s="23"/>
      <c r="AH14" s="23"/>
    </row>
    <row r="15" spans="1:34" s="26" customFormat="1" x14ac:dyDescent="0.25">
      <c r="A15" s="34" t="s">
        <v>11</v>
      </c>
      <c r="B15" s="16">
        <v>246</v>
      </c>
      <c r="C15" s="16"/>
      <c r="D15" s="16">
        <v>0</v>
      </c>
      <c r="E15" s="16">
        <v>250</v>
      </c>
      <c r="F15" s="16">
        <v>0</v>
      </c>
      <c r="G15" s="16"/>
      <c r="H15" s="16"/>
      <c r="I15" s="16">
        <v>93</v>
      </c>
      <c r="J15" s="16"/>
      <c r="K15" s="16"/>
      <c r="L15" s="16"/>
      <c r="M15" s="16"/>
      <c r="N15" s="16"/>
      <c r="O15" s="16"/>
      <c r="P15" s="16"/>
      <c r="Q15" s="16"/>
      <c r="R15" s="16"/>
      <c r="S15" s="16"/>
      <c r="T15" s="16"/>
      <c r="U15" s="23">
        <v>0</v>
      </c>
      <c r="V15" s="23">
        <v>0</v>
      </c>
      <c r="W15" s="22"/>
      <c r="X15" s="23">
        <v>0</v>
      </c>
      <c r="Y15" s="23">
        <v>0</v>
      </c>
      <c r="Z15" s="23">
        <v>39443</v>
      </c>
      <c r="AA15" s="23">
        <v>129775</v>
      </c>
      <c r="AB15" s="23">
        <v>77000</v>
      </c>
      <c r="AC15" s="23"/>
      <c r="AD15" s="23"/>
      <c r="AE15" s="23"/>
      <c r="AF15" s="23"/>
      <c r="AG15" s="23"/>
      <c r="AH15" s="23"/>
    </row>
    <row r="16" spans="1:34" s="26" customFormat="1" x14ac:dyDescent="0.25">
      <c r="A16" s="34" t="s">
        <v>12</v>
      </c>
      <c r="B16" s="16">
        <v>0</v>
      </c>
      <c r="C16" s="16"/>
      <c r="D16" s="16">
        <v>0</v>
      </c>
      <c r="E16" s="16"/>
      <c r="F16" s="16"/>
      <c r="G16" s="16">
        <v>32</v>
      </c>
      <c r="H16" s="16">
        <v>0</v>
      </c>
      <c r="I16" s="16"/>
      <c r="J16" s="16"/>
      <c r="K16" s="16"/>
      <c r="L16" s="16"/>
      <c r="M16" s="16"/>
      <c r="N16" s="16"/>
      <c r="O16" s="16"/>
      <c r="P16" s="16"/>
      <c r="Q16" s="16"/>
      <c r="R16" s="16"/>
      <c r="S16" s="16"/>
      <c r="T16" s="16">
        <v>0</v>
      </c>
      <c r="U16" s="23"/>
      <c r="V16" s="23"/>
      <c r="W16" s="22">
        <v>1233</v>
      </c>
      <c r="X16" s="23">
        <v>20</v>
      </c>
      <c r="Y16" s="23">
        <v>0</v>
      </c>
      <c r="Z16" s="23"/>
      <c r="AA16" s="23"/>
      <c r="AB16" s="23"/>
      <c r="AC16" s="23"/>
      <c r="AD16" s="23"/>
      <c r="AE16" s="23"/>
      <c r="AF16" s="23"/>
      <c r="AG16" s="23"/>
      <c r="AH16" s="23"/>
    </row>
    <row r="17" spans="1:34" s="26" customFormat="1" x14ac:dyDescent="0.25">
      <c r="A17" s="34" t="s">
        <v>13</v>
      </c>
      <c r="B17" s="16"/>
      <c r="C17" s="16"/>
      <c r="D17" s="16"/>
      <c r="E17" s="16"/>
      <c r="F17" s="16"/>
      <c r="G17" s="16"/>
      <c r="H17" s="16"/>
      <c r="I17" s="16"/>
      <c r="J17" s="16"/>
      <c r="K17" s="16"/>
      <c r="L17" s="16"/>
      <c r="M17" s="16"/>
      <c r="N17" s="16"/>
      <c r="O17" s="16"/>
      <c r="P17" s="16"/>
      <c r="Q17" s="16"/>
      <c r="R17" s="16"/>
      <c r="S17" s="16"/>
      <c r="T17" s="16"/>
      <c r="U17" s="23"/>
      <c r="V17" s="23"/>
      <c r="W17" s="22"/>
      <c r="X17" s="23"/>
      <c r="Y17" s="23"/>
      <c r="Z17" s="23"/>
      <c r="AA17" s="23"/>
      <c r="AB17" s="23"/>
      <c r="AC17" s="23"/>
      <c r="AD17" s="23"/>
      <c r="AE17" s="23">
        <v>170</v>
      </c>
      <c r="AF17" s="23">
        <v>620</v>
      </c>
      <c r="AG17" s="23">
        <v>3</v>
      </c>
      <c r="AH17" s="23">
        <v>536</v>
      </c>
    </row>
    <row r="18" spans="1:34" s="26" customFormat="1" x14ac:dyDescent="0.25">
      <c r="A18" s="35" t="s">
        <v>14</v>
      </c>
      <c r="B18" s="19">
        <f>SUM(B11:B17)</f>
        <v>761</v>
      </c>
      <c r="C18" s="19">
        <f t="shared" ref="C18:AH18" si="1">SUM(C11:C17)</f>
        <v>0</v>
      </c>
      <c r="D18" s="19">
        <f t="shared" si="1"/>
        <v>0</v>
      </c>
      <c r="E18" s="19">
        <f t="shared" si="1"/>
        <v>250</v>
      </c>
      <c r="F18" s="19">
        <f t="shared" si="1"/>
        <v>0</v>
      </c>
      <c r="G18" s="19">
        <f t="shared" si="1"/>
        <v>32</v>
      </c>
      <c r="H18" s="19">
        <f t="shared" si="1"/>
        <v>0</v>
      </c>
      <c r="I18" s="19">
        <f t="shared" si="1"/>
        <v>93</v>
      </c>
      <c r="J18" s="19">
        <f t="shared" si="1"/>
        <v>200</v>
      </c>
      <c r="K18" s="19">
        <f t="shared" si="1"/>
        <v>2569</v>
      </c>
      <c r="L18" s="19">
        <f t="shared" si="1"/>
        <v>11</v>
      </c>
      <c r="M18" s="19">
        <f t="shared" si="1"/>
        <v>395</v>
      </c>
      <c r="N18" s="19">
        <f t="shared" si="1"/>
        <v>155</v>
      </c>
      <c r="O18" s="19">
        <f t="shared" si="1"/>
        <v>479</v>
      </c>
      <c r="P18" s="19">
        <f t="shared" si="1"/>
        <v>0</v>
      </c>
      <c r="Q18" s="19">
        <f t="shared" si="1"/>
        <v>10</v>
      </c>
      <c r="R18" s="19">
        <f t="shared" si="1"/>
        <v>10</v>
      </c>
      <c r="S18" s="19">
        <f t="shared" si="1"/>
        <v>37</v>
      </c>
      <c r="T18" s="19">
        <f t="shared" si="1"/>
        <v>0</v>
      </c>
      <c r="U18" s="19">
        <f t="shared" si="1"/>
        <v>0</v>
      </c>
      <c r="V18" s="19">
        <f>SUM(V11:V17)</f>
        <v>0</v>
      </c>
      <c r="W18" s="19">
        <f t="shared" si="1"/>
        <v>1233</v>
      </c>
      <c r="X18" s="19">
        <f t="shared" si="1"/>
        <v>20</v>
      </c>
      <c r="Y18" s="19">
        <f t="shared" si="1"/>
        <v>0</v>
      </c>
      <c r="Z18" s="19">
        <f t="shared" si="1"/>
        <v>88043</v>
      </c>
      <c r="AA18" s="19">
        <f t="shared" si="1"/>
        <v>154194</v>
      </c>
      <c r="AB18" s="19">
        <f t="shared" si="1"/>
        <v>77000</v>
      </c>
      <c r="AC18" s="19">
        <f t="shared" si="1"/>
        <v>20427</v>
      </c>
      <c r="AD18" s="19">
        <f t="shared" si="1"/>
        <v>3694</v>
      </c>
      <c r="AE18" s="19">
        <f t="shared" si="1"/>
        <v>170</v>
      </c>
      <c r="AF18" s="19">
        <f t="shared" si="1"/>
        <v>620</v>
      </c>
      <c r="AG18" s="19">
        <f t="shared" si="1"/>
        <v>3</v>
      </c>
      <c r="AH18" s="19">
        <f t="shared" si="1"/>
        <v>536</v>
      </c>
    </row>
    <row r="19" spans="1:34" s="26" customFormat="1" x14ac:dyDescent="0.25">
      <c r="A19" s="35" t="s">
        <v>15</v>
      </c>
      <c r="B19" s="19">
        <f>SUM(B10,B18)</f>
        <v>20056</v>
      </c>
      <c r="C19" s="19">
        <f t="shared" ref="C19:AH19" si="2">SUM(C10,C18)</f>
        <v>365</v>
      </c>
      <c r="D19" s="19">
        <f t="shared" si="2"/>
        <v>1571</v>
      </c>
      <c r="E19" s="19">
        <f t="shared" si="2"/>
        <v>681</v>
      </c>
      <c r="F19" s="19">
        <f t="shared" si="2"/>
        <v>130</v>
      </c>
      <c r="G19" s="19">
        <f t="shared" si="2"/>
        <v>4696</v>
      </c>
      <c r="H19" s="19">
        <f t="shared" si="2"/>
        <v>7519</v>
      </c>
      <c r="I19" s="19">
        <f t="shared" si="2"/>
        <v>694</v>
      </c>
      <c r="J19" s="19">
        <f t="shared" si="2"/>
        <v>377</v>
      </c>
      <c r="K19" s="19">
        <f t="shared" si="2"/>
        <v>17610</v>
      </c>
      <c r="L19" s="19">
        <f t="shared" si="2"/>
        <v>310</v>
      </c>
      <c r="M19" s="19">
        <f t="shared" si="2"/>
        <v>1499</v>
      </c>
      <c r="N19" s="19">
        <f t="shared" si="2"/>
        <v>1233</v>
      </c>
      <c r="O19" s="19">
        <f t="shared" si="2"/>
        <v>4788</v>
      </c>
      <c r="P19" s="19">
        <f t="shared" si="2"/>
        <v>93</v>
      </c>
      <c r="Q19" s="19">
        <f t="shared" si="2"/>
        <v>327</v>
      </c>
      <c r="R19" s="19">
        <f t="shared" si="2"/>
        <v>49</v>
      </c>
      <c r="S19" s="19">
        <f t="shared" si="2"/>
        <v>63</v>
      </c>
      <c r="T19" s="19">
        <f t="shared" si="2"/>
        <v>9174</v>
      </c>
      <c r="U19" s="19">
        <f t="shared" si="2"/>
        <v>300</v>
      </c>
      <c r="V19" s="19">
        <f>SUM(V10,V18)</f>
        <v>277</v>
      </c>
      <c r="W19" s="19">
        <f t="shared" si="2"/>
        <v>42650</v>
      </c>
      <c r="X19" s="19">
        <f t="shared" si="2"/>
        <v>2432</v>
      </c>
      <c r="Y19" s="19">
        <f t="shared" si="2"/>
        <v>950</v>
      </c>
      <c r="Z19" s="19">
        <f t="shared" si="2"/>
        <v>1953303</v>
      </c>
      <c r="AA19" s="19">
        <f t="shared" si="2"/>
        <v>1231549</v>
      </c>
      <c r="AB19" s="19">
        <f t="shared" si="2"/>
        <v>736420</v>
      </c>
      <c r="AC19" s="19">
        <f t="shared" si="2"/>
        <v>22925</v>
      </c>
      <c r="AD19" s="19">
        <f t="shared" si="2"/>
        <v>6628</v>
      </c>
      <c r="AE19" s="19">
        <f t="shared" si="2"/>
        <v>491</v>
      </c>
      <c r="AF19" s="19">
        <f t="shared" si="2"/>
        <v>1895</v>
      </c>
      <c r="AG19" s="19">
        <f t="shared" si="2"/>
        <v>181</v>
      </c>
      <c r="AH19" s="19">
        <f t="shared" si="2"/>
        <v>1045</v>
      </c>
    </row>
    <row r="21" spans="1:34"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row>
    <row r="22" spans="1:34"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row>
  </sheetData>
  <sheetProtection formatCells="0" formatColumns="0" formatRows="0" insertColumns="0" insertRows="0" sort="0" autoFilter="0" pivotTables="0"/>
  <dataValidations count="1">
    <dataValidation type="list" errorStyle="information" allowBlank="1" showInputMessage="1" showErrorMessage="1" sqref="Z1:AH1 B1:Y1" xr:uid="{5A9F26ED-05CE-4676-9A47-B5D4F2BD05AE}">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788711E-F1C1-48C8-B615-9C399FD3CC04}">
          <x14:formula1>
            <xm:f>'Term List'!$A2:$A242</xm:f>
          </x14:formula1>
          <xm:sqref>AI1:XFD1</xm:sqref>
        </x14:dataValidation>
      </x14:dataValidations>
    </ext>
  </extLs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CE5D9-9FF3-46DF-90E8-7ED2974460AB}">
  <sheetPr codeName="Sheet39"/>
  <dimension ref="A1:L23"/>
  <sheetViews>
    <sheetView workbookViewId="0">
      <pane xSplit="1" ySplit="1" topLeftCell="B2" activePane="bottomRight" state="frozen"/>
      <selection activeCell="E23" sqref="E23"/>
      <selection pane="topRight" activeCell="E23" sqref="E23"/>
      <selection pane="bottomLeft" activeCell="E23" sqref="E23"/>
      <selection pane="bottomRight" activeCell="B23" sqref="B23"/>
    </sheetView>
  </sheetViews>
  <sheetFormatPr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5.85546875" style="5" bestFit="1" customWidth="1"/>
    <col min="8" max="8" width="12.85546875" style="5" bestFit="1" customWidth="1"/>
    <col min="9" max="9" width="13.5703125" style="5" bestFit="1" customWidth="1"/>
    <col min="10" max="10" width="14.5703125" style="5" bestFit="1" customWidth="1"/>
    <col min="11" max="11" width="15.140625" style="5" bestFit="1" customWidth="1"/>
    <col min="12" max="12" width="11.5703125" style="5" bestFit="1" customWidth="1"/>
    <col min="13" max="16384" width="9.140625" style="3"/>
  </cols>
  <sheetData>
    <row r="1" spans="1:12" s="14" customFormat="1" ht="30" x14ac:dyDescent="0.25">
      <c r="A1" s="36" t="s">
        <v>582</v>
      </c>
      <c r="B1" s="36" t="s">
        <v>155</v>
      </c>
      <c r="C1" s="36" t="s">
        <v>156</v>
      </c>
      <c r="D1" s="36" t="s">
        <v>154</v>
      </c>
      <c r="E1" s="36" t="s">
        <v>150</v>
      </c>
      <c r="F1" s="36" t="s">
        <v>148</v>
      </c>
      <c r="G1" s="36" t="s">
        <v>139</v>
      </c>
      <c r="H1" s="36" t="s">
        <v>130</v>
      </c>
      <c r="I1" s="36" t="s">
        <v>132</v>
      </c>
      <c r="J1" s="36" t="s">
        <v>142</v>
      </c>
      <c r="K1" s="36" t="s">
        <v>144</v>
      </c>
      <c r="L1" s="36" t="s">
        <v>124</v>
      </c>
    </row>
    <row r="2" spans="1:12" s="26" customFormat="1" x14ac:dyDescent="0.25">
      <c r="A2" s="34" t="s">
        <v>0</v>
      </c>
      <c r="B2" s="16">
        <v>26270</v>
      </c>
      <c r="C2" s="17">
        <v>2693</v>
      </c>
      <c r="D2" s="17">
        <v>416</v>
      </c>
      <c r="E2" s="17">
        <v>5771</v>
      </c>
      <c r="F2" s="17">
        <v>334</v>
      </c>
      <c r="G2" s="17">
        <v>0</v>
      </c>
      <c r="H2" s="17">
        <v>136</v>
      </c>
      <c r="I2" s="17">
        <v>137</v>
      </c>
      <c r="J2" s="17">
        <v>1879</v>
      </c>
      <c r="K2" s="17">
        <v>140</v>
      </c>
      <c r="L2" s="17">
        <v>8668705</v>
      </c>
    </row>
    <row r="3" spans="1:12" s="26" customFormat="1" x14ac:dyDescent="0.25">
      <c r="A3" s="34" t="s">
        <v>1</v>
      </c>
      <c r="B3" s="16">
        <v>3132</v>
      </c>
      <c r="C3" s="17">
        <v>508</v>
      </c>
      <c r="D3" s="17">
        <v>475</v>
      </c>
      <c r="E3" s="17">
        <v>3320</v>
      </c>
      <c r="F3" s="17">
        <v>404</v>
      </c>
      <c r="G3" s="17">
        <v>0</v>
      </c>
      <c r="H3" s="17">
        <v>171</v>
      </c>
      <c r="I3" s="17">
        <v>203</v>
      </c>
      <c r="J3" s="17">
        <v>328</v>
      </c>
      <c r="K3" s="17">
        <v>87</v>
      </c>
      <c r="L3" s="17">
        <v>489467</v>
      </c>
    </row>
    <row r="4" spans="1:12" s="26" customFormat="1" x14ac:dyDescent="0.25">
      <c r="A4" s="34" t="s">
        <v>169</v>
      </c>
      <c r="B4" s="16"/>
      <c r="C4" s="17"/>
      <c r="D4" s="17"/>
      <c r="E4" s="17"/>
      <c r="F4" s="17"/>
      <c r="G4" s="17"/>
      <c r="H4" s="17"/>
      <c r="I4" s="17"/>
      <c r="J4" s="17"/>
      <c r="K4" s="17"/>
      <c r="L4" s="17"/>
    </row>
    <row r="5" spans="1:12" s="26" customFormat="1" x14ac:dyDescent="0.25">
      <c r="A5" s="34" t="s">
        <v>2</v>
      </c>
      <c r="B5" s="16"/>
      <c r="C5" s="17"/>
      <c r="D5" s="17"/>
      <c r="E5" s="17"/>
      <c r="F5" s="17"/>
      <c r="G5" s="17"/>
      <c r="H5" s="17"/>
      <c r="I5" s="17"/>
      <c r="J5" s="17"/>
      <c r="K5" s="17"/>
      <c r="L5" s="17"/>
    </row>
    <row r="6" spans="1:12" s="26" customFormat="1" x14ac:dyDescent="0.25">
      <c r="A6" s="34" t="s">
        <v>3</v>
      </c>
      <c r="B6" s="16">
        <v>47</v>
      </c>
      <c r="C6" s="17">
        <v>0</v>
      </c>
      <c r="D6" s="17">
        <v>805</v>
      </c>
      <c r="E6" s="17">
        <v>3805</v>
      </c>
      <c r="F6" s="17">
        <v>314</v>
      </c>
      <c r="G6" s="17">
        <v>4</v>
      </c>
      <c r="H6" s="17">
        <v>0</v>
      </c>
      <c r="I6" s="17">
        <v>0</v>
      </c>
      <c r="J6" s="17">
        <v>95</v>
      </c>
      <c r="K6" s="17">
        <v>4</v>
      </c>
      <c r="L6" s="17">
        <v>56588</v>
      </c>
    </row>
    <row r="7" spans="1:12" s="26" customFormat="1" x14ac:dyDescent="0.25">
      <c r="A7" s="34" t="s">
        <v>4</v>
      </c>
      <c r="B7" s="16">
        <v>0</v>
      </c>
      <c r="C7" s="17">
        <v>0</v>
      </c>
      <c r="D7" s="17">
        <v>0</v>
      </c>
      <c r="E7" s="17">
        <v>460</v>
      </c>
      <c r="F7" s="17">
        <v>0</v>
      </c>
      <c r="G7" s="17">
        <v>2</v>
      </c>
      <c r="H7" s="17">
        <v>0</v>
      </c>
      <c r="I7" s="17">
        <v>0</v>
      </c>
      <c r="J7" s="17">
        <v>97</v>
      </c>
      <c r="K7" s="17">
        <v>0</v>
      </c>
      <c r="L7" s="17">
        <v>64918</v>
      </c>
    </row>
    <row r="8" spans="1:12" s="26" customFormat="1" x14ac:dyDescent="0.25">
      <c r="A8" s="34" t="s">
        <v>5</v>
      </c>
      <c r="B8" s="16">
        <v>0</v>
      </c>
      <c r="C8" s="17">
        <v>5</v>
      </c>
      <c r="D8" s="17">
        <v>96</v>
      </c>
      <c r="E8" s="17">
        <v>628</v>
      </c>
      <c r="F8" s="17">
        <v>71</v>
      </c>
      <c r="G8" s="17">
        <v>0</v>
      </c>
      <c r="H8" s="17">
        <v>0</v>
      </c>
      <c r="I8" s="17">
        <v>0</v>
      </c>
      <c r="J8" s="17">
        <v>0</v>
      </c>
      <c r="K8" s="17">
        <v>0</v>
      </c>
      <c r="L8" s="17">
        <v>0</v>
      </c>
    </row>
    <row r="9" spans="1:12" s="26" customFormat="1" x14ac:dyDescent="0.25">
      <c r="A9" s="34" t="s">
        <v>6</v>
      </c>
      <c r="B9" s="16"/>
      <c r="C9" s="17"/>
      <c r="D9" s="17"/>
      <c r="E9" s="17"/>
      <c r="F9" s="17"/>
      <c r="G9" s="17"/>
      <c r="H9" s="17"/>
      <c r="I9" s="17"/>
      <c r="J9" s="17"/>
      <c r="K9" s="17"/>
      <c r="L9" s="17"/>
    </row>
    <row r="10" spans="1:12" s="26" customFormat="1" x14ac:dyDescent="0.25">
      <c r="A10" s="35" t="s">
        <v>7</v>
      </c>
      <c r="B10" s="19">
        <f>SUM(B2:B9)</f>
        <v>29449</v>
      </c>
      <c r="C10" s="19">
        <f t="shared" ref="C10:L10" si="0">SUM(C2:C9)</f>
        <v>3206</v>
      </c>
      <c r="D10" s="19">
        <f t="shared" si="0"/>
        <v>1792</v>
      </c>
      <c r="E10" s="19">
        <f t="shared" si="0"/>
        <v>13984</v>
      </c>
      <c r="F10" s="19">
        <f t="shared" si="0"/>
        <v>1123</v>
      </c>
      <c r="G10" s="19">
        <f t="shared" si="0"/>
        <v>6</v>
      </c>
      <c r="H10" s="19">
        <f t="shared" si="0"/>
        <v>307</v>
      </c>
      <c r="I10" s="19">
        <f t="shared" si="0"/>
        <v>340</v>
      </c>
      <c r="J10" s="19">
        <f t="shared" si="0"/>
        <v>2399</v>
      </c>
      <c r="K10" s="19">
        <f t="shared" si="0"/>
        <v>231</v>
      </c>
      <c r="L10" s="19">
        <f t="shared" si="0"/>
        <v>9279678</v>
      </c>
    </row>
    <row r="11" spans="1:12" s="26" customFormat="1" x14ac:dyDescent="0.25">
      <c r="A11" s="34" t="s">
        <v>8</v>
      </c>
      <c r="B11" s="16">
        <v>75811</v>
      </c>
      <c r="C11" s="16">
        <v>8105</v>
      </c>
      <c r="D11" s="16">
        <v>690</v>
      </c>
      <c r="E11" s="16">
        <v>25794</v>
      </c>
      <c r="F11" s="16">
        <v>319</v>
      </c>
      <c r="G11" s="16">
        <v>24</v>
      </c>
      <c r="H11" s="16">
        <v>877</v>
      </c>
      <c r="I11" s="16">
        <v>462</v>
      </c>
      <c r="J11" s="16">
        <v>4834</v>
      </c>
      <c r="K11" s="16">
        <v>143</v>
      </c>
      <c r="L11" s="16">
        <v>9190880</v>
      </c>
    </row>
    <row r="12" spans="1:12" s="26" customFormat="1" x14ac:dyDescent="0.25">
      <c r="A12" s="34" t="s">
        <v>9</v>
      </c>
      <c r="B12" s="16">
        <v>16</v>
      </c>
      <c r="C12" s="16">
        <v>22</v>
      </c>
      <c r="D12" s="16">
        <v>32</v>
      </c>
      <c r="E12" s="16">
        <v>176</v>
      </c>
      <c r="F12" s="16">
        <v>8</v>
      </c>
      <c r="G12" s="16">
        <v>0</v>
      </c>
      <c r="H12" s="16">
        <v>0</v>
      </c>
      <c r="I12" s="16">
        <v>0</v>
      </c>
      <c r="J12" s="16">
        <v>0</v>
      </c>
      <c r="K12" s="16">
        <v>0</v>
      </c>
      <c r="L12" s="16">
        <v>0</v>
      </c>
    </row>
    <row r="13" spans="1:12" s="26" customFormat="1" x14ac:dyDescent="0.25">
      <c r="A13" s="34" t="s">
        <v>164</v>
      </c>
      <c r="B13" s="16"/>
      <c r="C13" s="16"/>
      <c r="D13" s="16"/>
      <c r="E13" s="16"/>
      <c r="F13" s="16"/>
      <c r="G13" s="16"/>
      <c r="H13" s="16"/>
      <c r="I13" s="16"/>
      <c r="J13" s="16"/>
      <c r="K13" s="16"/>
      <c r="L13" s="16"/>
    </row>
    <row r="14" spans="1:12" s="26" customFormat="1" x14ac:dyDescent="0.25">
      <c r="A14" s="34" t="s">
        <v>10</v>
      </c>
      <c r="B14" s="16">
        <v>7</v>
      </c>
      <c r="C14" s="16">
        <v>24</v>
      </c>
      <c r="D14" s="16">
        <v>44</v>
      </c>
      <c r="E14" s="16">
        <v>2569</v>
      </c>
      <c r="F14" s="16">
        <v>81</v>
      </c>
      <c r="G14" s="16">
        <v>57</v>
      </c>
      <c r="H14" s="16">
        <v>51</v>
      </c>
      <c r="I14" s="16">
        <v>2</v>
      </c>
      <c r="J14" s="16">
        <v>88</v>
      </c>
      <c r="K14" s="16">
        <v>23</v>
      </c>
      <c r="L14" s="16">
        <v>11428</v>
      </c>
    </row>
    <row r="15" spans="1:12" s="26" customFormat="1" x14ac:dyDescent="0.25">
      <c r="A15" s="34" t="s">
        <v>11</v>
      </c>
      <c r="B15" s="16">
        <v>0</v>
      </c>
      <c r="C15" s="16">
        <v>0</v>
      </c>
      <c r="D15" s="16">
        <v>0</v>
      </c>
      <c r="E15" s="16">
        <v>504</v>
      </c>
      <c r="F15" s="16">
        <v>0</v>
      </c>
      <c r="G15" s="16">
        <v>64</v>
      </c>
      <c r="H15" s="16">
        <v>0</v>
      </c>
      <c r="I15" s="16">
        <v>0</v>
      </c>
      <c r="J15" s="16">
        <v>354</v>
      </c>
      <c r="K15" s="16">
        <v>201</v>
      </c>
      <c r="L15" s="16">
        <v>0</v>
      </c>
    </row>
    <row r="16" spans="1:12" s="26" customFormat="1" x14ac:dyDescent="0.25">
      <c r="A16" s="34" t="s">
        <v>12</v>
      </c>
      <c r="B16" s="16">
        <v>0</v>
      </c>
      <c r="C16" s="16">
        <v>0</v>
      </c>
      <c r="D16" s="16">
        <v>0</v>
      </c>
      <c r="E16" s="16">
        <v>319</v>
      </c>
      <c r="F16" s="16">
        <v>0</v>
      </c>
      <c r="G16" s="16">
        <v>0</v>
      </c>
      <c r="H16" s="16">
        <v>0</v>
      </c>
      <c r="I16" s="16">
        <v>0</v>
      </c>
      <c r="J16" s="16">
        <v>103</v>
      </c>
      <c r="K16" s="16">
        <v>0</v>
      </c>
      <c r="L16" s="16">
        <v>0</v>
      </c>
    </row>
    <row r="17" spans="1:12" s="26" customFormat="1" x14ac:dyDescent="0.25">
      <c r="A17" s="34" t="s">
        <v>13</v>
      </c>
      <c r="B17" s="16"/>
      <c r="C17" s="16"/>
      <c r="D17" s="16"/>
      <c r="E17" s="16"/>
      <c r="F17" s="16"/>
      <c r="G17" s="16"/>
      <c r="H17" s="16"/>
      <c r="I17" s="16"/>
      <c r="J17" s="16"/>
      <c r="K17" s="16"/>
      <c r="L17" s="16"/>
    </row>
    <row r="18" spans="1:12" s="26" customFormat="1" x14ac:dyDescent="0.25">
      <c r="A18" s="35" t="s">
        <v>14</v>
      </c>
      <c r="B18" s="19">
        <f>SUM(B11:B17)</f>
        <v>75834</v>
      </c>
      <c r="C18" s="19">
        <f t="shared" ref="C18:L18" si="1">SUM(C11:C17)</f>
        <v>8151</v>
      </c>
      <c r="D18" s="19">
        <f t="shared" si="1"/>
        <v>766</v>
      </c>
      <c r="E18" s="19">
        <f t="shared" si="1"/>
        <v>29362</v>
      </c>
      <c r="F18" s="19">
        <f t="shared" si="1"/>
        <v>408</v>
      </c>
      <c r="G18" s="19">
        <f t="shared" si="1"/>
        <v>145</v>
      </c>
      <c r="H18" s="19">
        <f t="shared" si="1"/>
        <v>928</v>
      </c>
      <c r="I18" s="19">
        <f t="shared" si="1"/>
        <v>464</v>
      </c>
      <c r="J18" s="19">
        <f t="shared" si="1"/>
        <v>5379</v>
      </c>
      <c r="K18" s="19">
        <f t="shared" si="1"/>
        <v>367</v>
      </c>
      <c r="L18" s="19">
        <f t="shared" si="1"/>
        <v>9202308</v>
      </c>
    </row>
    <row r="19" spans="1:12" s="26" customFormat="1" x14ac:dyDescent="0.25">
      <c r="A19" s="35" t="s">
        <v>15</v>
      </c>
      <c r="B19" s="19">
        <f>SUM(B10,B18)</f>
        <v>105283</v>
      </c>
      <c r="C19" s="19">
        <f t="shared" ref="C19:L19" si="2">SUM(C10,C18)</f>
        <v>11357</v>
      </c>
      <c r="D19" s="19">
        <f t="shared" si="2"/>
        <v>2558</v>
      </c>
      <c r="E19" s="19">
        <f t="shared" si="2"/>
        <v>43346</v>
      </c>
      <c r="F19" s="19">
        <f t="shared" si="2"/>
        <v>1531</v>
      </c>
      <c r="G19" s="19">
        <f t="shared" si="2"/>
        <v>151</v>
      </c>
      <c r="H19" s="19">
        <f t="shared" si="2"/>
        <v>1235</v>
      </c>
      <c r="I19" s="19">
        <f t="shared" si="2"/>
        <v>804</v>
      </c>
      <c r="J19" s="19">
        <f t="shared" si="2"/>
        <v>7778</v>
      </c>
      <c r="K19" s="19">
        <f t="shared" si="2"/>
        <v>598</v>
      </c>
      <c r="L19" s="19">
        <f t="shared" si="2"/>
        <v>18481986</v>
      </c>
    </row>
    <row r="21" spans="1:12" x14ac:dyDescent="0.25">
      <c r="B21" s="44"/>
      <c r="C21" s="44"/>
      <c r="D21" s="44"/>
      <c r="E21" s="44"/>
      <c r="F21" s="44"/>
      <c r="G21" s="44"/>
      <c r="H21" s="44"/>
      <c r="I21" s="44"/>
      <c r="J21" s="44"/>
      <c r="K21" s="44"/>
      <c r="L21" s="44"/>
    </row>
    <row r="23" spans="1:12" x14ac:dyDescent="0.25">
      <c r="B23" s="44"/>
      <c r="C23" s="44"/>
      <c r="D23" s="44"/>
      <c r="E23" s="44"/>
      <c r="F23" s="44"/>
      <c r="G23" s="44"/>
      <c r="H23" s="44"/>
      <c r="I23" s="44"/>
      <c r="J23" s="44"/>
      <c r="K23" s="44"/>
      <c r="L23" s="44"/>
    </row>
  </sheetData>
  <sheetProtection formatCells="0" formatColumns="0" formatRows="0" insertColumns="0" insertRows="0" sort="0" autoFilter="0" pivotTables="0"/>
  <dataValidations count="1">
    <dataValidation type="list" errorStyle="information" allowBlank="1" showInputMessage="1" showErrorMessage="1" sqref="B1:L1" xr:uid="{C1DDD51A-47C8-4F7D-95D7-6DD68D703317}">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E45CBC57-7E20-471A-83C7-FE911A9A0C6A}">
          <x14:formula1>
            <xm:f>'Term List'!$A2:$A242</xm:f>
          </x14:formula1>
          <xm:sqref>M1:XFD1</xm:sqref>
        </x14:dataValidation>
      </x14:dataValidations>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26F4B-3EE1-441A-BC8E-C9352DDB4DD8}">
  <sheetPr codeName="Sheet10"/>
  <dimension ref="A1:AA22"/>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5.85546875" style="5" customWidth="1"/>
    <col min="3" max="3" width="20.140625" style="3" customWidth="1"/>
    <col min="4" max="4" width="15.85546875" style="5" customWidth="1"/>
    <col min="5" max="5" width="16.28515625" style="5" customWidth="1"/>
    <col min="6" max="7" width="15.85546875" style="5" customWidth="1"/>
    <col min="8" max="8" width="18" style="3" customWidth="1"/>
    <col min="9" max="14" width="15.85546875" style="5" customWidth="1"/>
    <col min="15" max="15" width="16.140625" style="5" customWidth="1"/>
    <col min="16" max="16" width="30" style="3" customWidth="1"/>
    <col min="17" max="17" width="29.42578125" style="3" customWidth="1"/>
    <col min="18" max="18" width="32.28515625" style="3" customWidth="1"/>
    <col min="19" max="19" width="15.85546875" style="3" customWidth="1"/>
    <col min="20" max="20" width="20.140625" style="3" customWidth="1"/>
    <col min="21" max="21" width="15.85546875" style="3" customWidth="1"/>
    <col min="22" max="22" width="18.5703125" style="3" customWidth="1"/>
    <col min="23" max="23" width="19.140625" style="3" customWidth="1"/>
    <col min="24" max="24" width="18.28515625" style="3" customWidth="1"/>
    <col min="25" max="25" width="17.85546875" style="3" customWidth="1"/>
    <col min="26" max="26" width="17.28515625" style="3" customWidth="1"/>
    <col min="27" max="27" width="17.5703125" style="3" customWidth="1"/>
    <col min="28" max="16384" width="9.140625" style="3"/>
  </cols>
  <sheetData>
    <row r="1" spans="1:27" s="40" customFormat="1" ht="33" customHeight="1" x14ac:dyDescent="0.25">
      <c r="A1" s="36" t="s">
        <v>377</v>
      </c>
      <c r="B1" s="36" t="s">
        <v>62</v>
      </c>
      <c r="C1" s="126" t="s">
        <v>55</v>
      </c>
      <c r="D1" s="36" t="s">
        <v>35</v>
      </c>
      <c r="E1" s="36" t="s">
        <v>36</v>
      </c>
      <c r="F1" s="36" t="s">
        <v>39</v>
      </c>
      <c r="G1" s="36" t="s">
        <v>99</v>
      </c>
      <c r="H1" s="36" t="s">
        <v>570</v>
      </c>
      <c r="I1" s="36" t="s">
        <v>567</v>
      </c>
      <c r="J1" s="36" t="s">
        <v>569</v>
      </c>
      <c r="K1" s="36" t="s">
        <v>572</v>
      </c>
      <c r="L1" s="36" t="s">
        <v>573</v>
      </c>
      <c r="M1" s="36" t="s">
        <v>28</v>
      </c>
      <c r="N1" s="36" t="s">
        <v>89</v>
      </c>
      <c r="O1" s="36" t="s">
        <v>45</v>
      </c>
      <c r="P1" s="126" t="s">
        <v>351</v>
      </c>
      <c r="Q1" s="126" t="s">
        <v>367</v>
      </c>
      <c r="R1" s="126" t="s">
        <v>352</v>
      </c>
      <c r="S1" s="36" t="s">
        <v>75</v>
      </c>
      <c r="T1" s="36" t="s">
        <v>107</v>
      </c>
      <c r="U1" s="126" t="s">
        <v>101</v>
      </c>
      <c r="V1" s="126" t="s">
        <v>65</v>
      </c>
      <c r="W1" s="126" t="s">
        <v>88</v>
      </c>
      <c r="X1" s="126" t="s">
        <v>330</v>
      </c>
      <c r="Y1" s="126" t="s">
        <v>331</v>
      </c>
      <c r="Z1" s="126" t="s">
        <v>332</v>
      </c>
      <c r="AA1" s="126" t="s">
        <v>333</v>
      </c>
    </row>
    <row r="2" spans="1:27" s="26" customFormat="1" x14ac:dyDescent="0.25">
      <c r="A2" s="34" t="s">
        <v>0</v>
      </c>
      <c r="B2" s="16"/>
      <c r="C2" s="17"/>
      <c r="D2" s="17"/>
      <c r="E2" s="17"/>
      <c r="F2" s="17"/>
      <c r="G2" s="17"/>
      <c r="H2" s="17"/>
      <c r="I2" s="17"/>
      <c r="J2" s="17"/>
      <c r="K2" s="17"/>
      <c r="L2" s="17"/>
      <c r="M2" s="17"/>
      <c r="N2" s="17"/>
      <c r="O2" s="17"/>
      <c r="P2" s="25"/>
      <c r="Q2" s="25"/>
      <c r="R2" s="25"/>
      <c r="S2" s="25"/>
      <c r="T2" s="25"/>
      <c r="U2" s="25"/>
      <c r="V2" s="25"/>
      <c r="W2" s="25"/>
      <c r="X2" s="25"/>
      <c r="Y2" s="25"/>
      <c r="Z2" s="25"/>
      <c r="AA2" s="25"/>
    </row>
    <row r="3" spans="1:27" s="26" customFormat="1" x14ac:dyDescent="0.25">
      <c r="A3" s="34" t="s">
        <v>1</v>
      </c>
      <c r="B3" s="16"/>
      <c r="C3" s="17"/>
      <c r="D3" s="17"/>
      <c r="E3" s="17"/>
      <c r="F3" s="17"/>
      <c r="G3" s="17"/>
      <c r="H3" s="17"/>
      <c r="I3" s="17"/>
      <c r="J3" s="17"/>
      <c r="K3" s="17"/>
      <c r="L3" s="17"/>
      <c r="M3" s="17"/>
      <c r="N3" s="17"/>
      <c r="O3" s="17"/>
      <c r="P3" s="25"/>
      <c r="Q3" s="25"/>
      <c r="R3" s="25"/>
      <c r="S3" s="25"/>
      <c r="T3" s="25"/>
      <c r="U3" s="25"/>
      <c r="V3" s="25"/>
      <c r="W3" s="25"/>
      <c r="X3" s="25"/>
      <c r="Y3" s="25"/>
      <c r="Z3" s="25"/>
      <c r="AA3" s="25"/>
    </row>
    <row r="4" spans="1:27" s="26" customFormat="1" x14ac:dyDescent="0.25">
      <c r="A4" s="34" t="s">
        <v>169</v>
      </c>
      <c r="B4" s="16"/>
      <c r="C4" s="17"/>
      <c r="D4" s="17"/>
      <c r="E4" s="17"/>
      <c r="F4" s="17"/>
      <c r="G4" s="17"/>
      <c r="H4" s="17"/>
      <c r="I4" s="17"/>
      <c r="J4" s="17"/>
      <c r="K4" s="17"/>
      <c r="L4" s="17"/>
      <c r="M4" s="17"/>
      <c r="N4" s="17"/>
      <c r="O4" s="17"/>
      <c r="P4" s="25"/>
      <c r="Q4" s="25"/>
      <c r="R4" s="25"/>
      <c r="S4" s="25"/>
      <c r="T4" s="25"/>
      <c r="U4" s="25"/>
      <c r="V4" s="25">
        <v>6803</v>
      </c>
      <c r="W4" s="25">
        <v>10521</v>
      </c>
      <c r="X4" s="25"/>
      <c r="Y4" s="25"/>
      <c r="Z4" s="25"/>
      <c r="AA4" s="25"/>
    </row>
    <row r="5" spans="1:27" s="26" customFormat="1" x14ac:dyDescent="0.25">
      <c r="A5" s="34" t="s">
        <v>2</v>
      </c>
      <c r="B5" s="16"/>
      <c r="C5" s="17"/>
      <c r="D5" s="17"/>
      <c r="E5" s="17"/>
      <c r="F5" s="17"/>
      <c r="G5" s="17"/>
      <c r="H5" s="17"/>
      <c r="I5" s="17"/>
      <c r="J5" s="17"/>
      <c r="K5" s="17"/>
      <c r="L5" s="17"/>
      <c r="M5" s="17"/>
      <c r="N5" s="17"/>
      <c r="O5" s="17"/>
      <c r="P5" s="25"/>
      <c r="Q5" s="25"/>
      <c r="R5" s="25"/>
      <c r="S5" s="25"/>
      <c r="T5" s="25"/>
      <c r="U5" s="25"/>
      <c r="V5" s="25"/>
      <c r="W5" s="25"/>
      <c r="X5" s="25"/>
      <c r="Y5" s="25"/>
      <c r="Z5" s="25"/>
      <c r="AA5" s="25"/>
    </row>
    <row r="6" spans="1:27" s="26" customFormat="1" x14ac:dyDescent="0.25">
      <c r="A6" s="34" t="s">
        <v>3</v>
      </c>
      <c r="B6" s="16">
        <v>2204</v>
      </c>
      <c r="C6" s="17"/>
      <c r="D6" s="17"/>
      <c r="E6" s="17">
        <v>634</v>
      </c>
      <c r="F6" s="17">
        <v>0</v>
      </c>
      <c r="G6" s="17"/>
      <c r="H6" s="17">
        <v>4365</v>
      </c>
      <c r="I6" s="17">
        <v>15866</v>
      </c>
      <c r="J6" s="17">
        <v>159</v>
      </c>
      <c r="K6" s="17">
        <v>3166</v>
      </c>
      <c r="L6" s="17">
        <v>230</v>
      </c>
      <c r="M6" s="17">
        <v>811</v>
      </c>
      <c r="N6" s="17">
        <v>43</v>
      </c>
      <c r="O6" s="17">
        <v>34</v>
      </c>
      <c r="P6" s="25"/>
      <c r="Q6" s="25"/>
      <c r="R6" s="25"/>
      <c r="S6" s="25">
        <v>33450</v>
      </c>
      <c r="T6" s="25">
        <v>106727</v>
      </c>
      <c r="U6" s="25">
        <v>36900</v>
      </c>
      <c r="V6" s="25"/>
      <c r="W6" s="25"/>
      <c r="X6" s="25"/>
      <c r="Y6" s="25"/>
      <c r="Z6" s="25"/>
      <c r="AA6" s="25"/>
    </row>
    <row r="7" spans="1:27" s="26" customFormat="1" x14ac:dyDescent="0.25">
      <c r="A7" s="34" t="s">
        <v>4</v>
      </c>
      <c r="B7" s="16">
        <v>32344</v>
      </c>
      <c r="C7" s="17">
        <v>8330</v>
      </c>
      <c r="D7" s="17">
        <v>553</v>
      </c>
      <c r="E7" s="17">
        <v>3472</v>
      </c>
      <c r="F7" s="17">
        <v>1622</v>
      </c>
      <c r="G7" s="17">
        <v>1452</v>
      </c>
      <c r="H7" s="17">
        <v>327</v>
      </c>
      <c r="I7" s="17">
        <v>600</v>
      </c>
      <c r="J7" s="17">
        <v>0</v>
      </c>
      <c r="K7" s="17">
        <v>430</v>
      </c>
      <c r="L7" s="17">
        <v>31</v>
      </c>
      <c r="M7" s="17"/>
      <c r="N7" s="17"/>
      <c r="O7" s="17"/>
      <c r="P7" s="25">
        <v>390</v>
      </c>
      <c r="Q7" s="25">
        <v>557</v>
      </c>
      <c r="R7" s="25">
        <v>9837</v>
      </c>
      <c r="S7" s="25">
        <v>3649161</v>
      </c>
      <c r="T7" s="25">
        <f>2988024+48000</f>
        <v>3036024</v>
      </c>
      <c r="U7" s="25">
        <f>6858368</f>
        <v>6858368</v>
      </c>
      <c r="V7" s="25"/>
      <c r="W7" s="25"/>
      <c r="X7" s="25"/>
      <c r="Y7" s="25"/>
      <c r="Z7" s="25"/>
      <c r="AA7" s="25"/>
    </row>
    <row r="8" spans="1:27" s="26" customFormat="1" x14ac:dyDescent="0.25">
      <c r="A8" s="34" t="s">
        <v>5</v>
      </c>
      <c r="B8" s="16"/>
      <c r="C8" s="17"/>
      <c r="D8" s="17"/>
      <c r="E8" s="17"/>
      <c r="F8" s="17"/>
      <c r="G8" s="17"/>
      <c r="H8" s="17"/>
      <c r="I8" s="17"/>
      <c r="J8" s="17"/>
      <c r="K8" s="17"/>
      <c r="L8" s="17"/>
      <c r="M8" s="17"/>
      <c r="N8" s="17"/>
      <c r="O8" s="17"/>
      <c r="P8" s="25"/>
      <c r="Q8" s="25"/>
      <c r="R8" s="25"/>
      <c r="S8" s="25"/>
      <c r="T8" s="25"/>
      <c r="U8" s="25"/>
      <c r="V8" s="25"/>
      <c r="W8" s="25"/>
      <c r="X8" s="25"/>
      <c r="Y8" s="25"/>
      <c r="Z8" s="25"/>
      <c r="AA8" s="25"/>
    </row>
    <row r="9" spans="1:27" s="26" customFormat="1" x14ac:dyDescent="0.25">
      <c r="A9" s="34" t="s">
        <v>6</v>
      </c>
      <c r="B9" s="16"/>
      <c r="C9" s="17"/>
      <c r="D9" s="17"/>
      <c r="E9" s="17"/>
      <c r="F9" s="17"/>
      <c r="G9" s="17"/>
      <c r="H9" s="17"/>
      <c r="I9" s="17"/>
      <c r="J9" s="17"/>
      <c r="K9" s="17"/>
      <c r="L9" s="17"/>
      <c r="M9" s="17"/>
      <c r="N9" s="17"/>
      <c r="O9" s="17"/>
      <c r="P9" s="25"/>
      <c r="Q9" s="25"/>
      <c r="R9" s="25"/>
      <c r="S9" s="25"/>
      <c r="T9" s="25"/>
      <c r="U9" s="25"/>
      <c r="V9" s="25"/>
      <c r="W9" s="25"/>
      <c r="X9" s="25">
        <v>1124</v>
      </c>
      <c r="Y9" s="25">
        <v>2658</v>
      </c>
      <c r="Z9" s="25">
        <v>381</v>
      </c>
      <c r="AA9" s="25">
        <v>1338</v>
      </c>
    </row>
    <row r="10" spans="1:27" s="26" customFormat="1" x14ac:dyDescent="0.25">
      <c r="A10" s="35" t="s">
        <v>7</v>
      </c>
      <c r="B10" s="19">
        <f>SUM(B2:B9)</f>
        <v>34548</v>
      </c>
      <c r="C10" s="19">
        <f t="shared" ref="C10:O10" si="0">SUM(C2:C9)</f>
        <v>8330</v>
      </c>
      <c r="D10" s="19">
        <f t="shared" si="0"/>
        <v>553</v>
      </c>
      <c r="E10" s="19">
        <f t="shared" si="0"/>
        <v>4106</v>
      </c>
      <c r="F10" s="19">
        <f t="shared" si="0"/>
        <v>1622</v>
      </c>
      <c r="G10" s="19">
        <f t="shared" si="0"/>
        <v>1452</v>
      </c>
      <c r="H10" s="19">
        <f>SUM(H2:H9)</f>
        <v>4692</v>
      </c>
      <c r="I10" s="19">
        <f t="shared" si="0"/>
        <v>16466</v>
      </c>
      <c r="J10" s="19">
        <f t="shared" si="0"/>
        <v>159</v>
      </c>
      <c r="K10" s="19">
        <f>SUM(K2:K9)</f>
        <v>3596</v>
      </c>
      <c r="L10" s="19">
        <f t="shared" si="0"/>
        <v>261</v>
      </c>
      <c r="M10" s="19">
        <f t="shared" si="0"/>
        <v>811</v>
      </c>
      <c r="N10" s="19">
        <f t="shared" si="0"/>
        <v>43</v>
      </c>
      <c r="O10" s="19">
        <f t="shared" si="0"/>
        <v>34</v>
      </c>
      <c r="P10" s="21">
        <f>SUM(P2:P9)</f>
        <v>390</v>
      </c>
      <c r="Q10" s="21">
        <f>SUM(Q2:Q9)</f>
        <v>557</v>
      </c>
      <c r="R10" s="21">
        <f>SUM(R2:R9)</f>
        <v>9837</v>
      </c>
      <c r="S10" s="21">
        <f t="shared" ref="S10:AA10" si="1">SUM(S2:S9)</f>
        <v>3682611</v>
      </c>
      <c r="T10" s="21">
        <f t="shared" si="1"/>
        <v>3142751</v>
      </c>
      <c r="U10" s="21">
        <f t="shared" si="1"/>
        <v>6895268</v>
      </c>
      <c r="V10" s="21">
        <f>SUM(V2:V9)</f>
        <v>6803</v>
      </c>
      <c r="W10" s="21">
        <f>SUM(W2:W9)</f>
        <v>10521</v>
      </c>
      <c r="X10" s="21">
        <f t="shared" si="1"/>
        <v>1124</v>
      </c>
      <c r="Y10" s="21">
        <f t="shared" si="1"/>
        <v>2658</v>
      </c>
      <c r="Z10" s="21">
        <f t="shared" si="1"/>
        <v>381</v>
      </c>
      <c r="AA10" s="21">
        <f t="shared" si="1"/>
        <v>1338</v>
      </c>
    </row>
    <row r="11" spans="1:27" s="26" customFormat="1" x14ac:dyDescent="0.25">
      <c r="A11" s="34" t="s">
        <v>8</v>
      </c>
      <c r="B11" s="16"/>
      <c r="C11" s="16"/>
      <c r="D11" s="16"/>
      <c r="E11" s="16"/>
      <c r="F11" s="16"/>
      <c r="G11" s="16"/>
      <c r="H11" s="16"/>
      <c r="I11" s="16"/>
      <c r="J11" s="16"/>
      <c r="K11" s="16"/>
      <c r="L11" s="16"/>
      <c r="M11" s="16"/>
      <c r="N11" s="16"/>
      <c r="O11" s="16"/>
      <c r="P11" s="23"/>
      <c r="Q11" s="23"/>
      <c r="R11" s="23"/>
      <c r="S11" s="23"/>
      <c r="T11" s="23"/>
      <c r="U11" s="23"/>
      <c r="V11" s="23"/>
      <c r="W11" s="23"/>
      <c r="X11" s="23"/>
      <c r="Y11" s="23"/>
      <c r="Z11" s="23"/>
      <c r="AA11" s="23"/>
    </row>
    <row r="12" spans="1:27" s="26" customFormat="1" x14ac:dyDescent="0.25">
      <c r="A12" s="34" t="s">
        <v>9</v>
      </c>
      <c r="B12" s="16"/>
      <c r="C12" s="16"/>
      <c r="D12" s="16"/>
      <c r="E12" s="16"/>
      <c r="F12" s="16"/>
      <c r="G12" s="16"/>
      <c r="H12" s="16"/>
      <c r="I12" s="16"/>
      <c r="J12" s="16"/>
      <c r="K12" s="16"/>
      <c r="L12" s="16"/>
      <c r="M12" s="16"/>
      <c r="N12" s="16"/>
      <c r="O12" s="16"/>
      <c r="P12" s="23"/>
      <c r="Q12" s="23"/>
      <c r="R12" s="23"/>
      <c r="S12" s="23"/>
      <c r="T12" s="23"/>
      <c r="U12" s="23"/>
      <c r="V12" s="23"/>
      <c r="W12" s="23"/>
      <c r="X12" s="23"/>
      <c r="Y12" s="23"/>
      <c r="Z12" s="23"/>
      <c r="AA12" s="23"/>
    </row>
    <row r="13" spans="1:27" s="26" customFormat="1" x14ac:dyDescent="0.25">
      <c r="A13" s="34" t="s">
        <v>164</v>
      </c>
      <c r="B13" s="16"/>
      <c r="C13" s="16"/>
      <c r="D13" s="16"/>
      <c r="E13" s="16"/>
      <c r="F13" s="16"/>
      <c r="G13" s="16"/>
      <c r="H13" s="16"/>
      <c r="I13" s="16"/>
      <c r="J13" s="16"/>
      <c r="K13" s="16"/>
      <c r="L13" s="16"/>
      <c r="M13" s="16"/>
      <c r="N13" s="16"/>
      <c r="O13" s="16"/>
      <c r="P13" s="23"/>
      <c r="Q13" s="23"/>
      <c r="R13" s="23"/>
      <c r="S13" s="23"/>
      <c r="T13" s="23"/>
      <c r="U13" s="23"/>
      <c r="V13" s="23">
        <v>17779</v>
      </c>
      <c r="W13" s="23">
        <v>10235</v>
      </c>
      <c r="X13" s="23"/>
      <c r="Y13" s="23"/>
      <c r="Z13" s="23"/>
      <c r="AA13" s="23"/>
    </row>
    <row r="14" spans="1:27" s="26" customFormat="1" x14ac:dyDescent="0.25">
      <c r="A14" s="34" t="s">
        <v>10</v>
      </c>
      <c r="B14" s="16">
        <v>80</v>
      </c>
      <c r="C14" s="16"/>
      <c r="D14" s="16"/>
      <c r="E14" s="16">
        <v>24</v>
      </c>
      <c r="F14" s="16">
        <v>8</v>
      </c>
      <c r="G14" s="16"/>
      <c r="H14" s="16">
        <v>1902</v>
      </c>
      <c r="I14" s="16">
        <v>6427</v>
      </c>
      <c r="J14" s="16">
        <v>77</v>
      </c>
      <c r="K14" s="16">
        <v>952</v>
      </c>
      <c r="L14" s="16">
        <v>0</v>
      </c>
      <c r="M14" s="16">
        <v>171</v>
      </c>
      <c r="N14" s="16">
        <v>63</v>
      </c>
      <c r="O14" s="16">
        <v>46</v>
      </c>
      <c r="P14" s="23"/>
      <c r="Q14" s="23"/>
      <c r="R14" s="23"/>
      <c r="S14" s="23">
        <v>1299585</v>
      </c>
      <c r="T14" s="23">
        <v>271125</v>
      </c>
      <c r="U14" s="23">
        <v>113550</v>
      </c>
      <c r="V14" s="23"/>
      <c r="W14" s="23"/>
      <c r="X14" s="23"/>
      <c r="Y14" s="23"/>
      <c r="Z14" s="23"/>
      <c r="AA14" s="23"/>
    </row>
    <row r="15" spans="1:27" s="26" customFormat="1" x14ac:dyDescent="0.25">
      <c r="A15" s="34" t="s">
        <v>11</v>
      </c>
      <c r="B15" s="16">
        <f>2693+65</f>
        <v>2758</v>
      </c>
      <c r="C15" s="16">
        <v>925</v>
      </c>
      <c r="D15" s="16">
        <v>0</v>
      </c>
      <c r="E15" s="16">
        <f>311+40</f>
        <v>351</v>
      </c>
      <c r="F15" s="16">
        <v>150</v>
      </c>
      <c r="G15" s="16">
        <f>156+79</f>
        <v>235</v>
      </c>
      <c r="H15" s="16">
        <v>167</v>
      </c>
      <c r="I15" s="16">
        <v>662</v>
      </c>
      <c r="J15" s="16">
        <v>150</v>
      </c>
      <c r="K15" s="16">
        <v>721</v>
      </c>
      <c r="L15" s="16">
        <v>179</v>
      </c>
      <c r="M15" s="16"/>
      <c r="N15" s="16"/>
      <c r="O15" s="16"/>
      <c r="P15" s="23">
        <v>83</v>
      </c>
      <c r="Q15" s="23">
        <v>0</v>
      </c>
      <c r="R15" s="23">
        <v>2010</v>
      </c>
      <c r="S15" s="23">
        <f>3350271+79500</f>
        <v>3429771</v>
      </c>
      <c r="T15" s="23">
        <f>3430229+21310</f>
        <v>3451539</v>
      </c>
      <c r="U15" s="23">
        <f>3516602+50300</f>
        <v>3566902</v>
      </c>
      <c r="V15" s="23"/>
      <c r="W15" s="23"/>
      <c r="X15" s="23"/>
      <c r="Y15" s="23"/>
      <c r="Z15" s="23"/>
      <c r="AA15" s="23"/>
    </row>
    <row r="16" spans="1:27" s="26" customFormat="1" x14ac:dyDescent="0.25">
      <c r="A16" s="34" t="s">
        <v>12</v>
      </c>
      <c r="B16" s="16"/>
      <c r="C16" s="16"/>
      <c r="D16" s="16"/>
      <c r="E16" s="16"/>
      <c r="F16" s="16"/>
      <c r="G16" s="16"/>
      <c r="H16" s="16"/>
      <c r="I16" s="16"/>
      <c r="J16" s="16"/>
      <c r="K16" s="16"/>
      <c r="L16" s="16"/>
      <c r="M16" s="16"/>
      <c r="N16" s="16"/>
      <c r="O16" s="16"/>
      <c r="P16" s="23"/>
      <c r="Q16" s="23"/>
      <c r="R16" s="23"/>
      <c r="S16" s="23"/>
      <c r="T16" s="23"/>
      <c r="U16" s="23"/>
      <c r="V16" s="23"/>
      <c r="W16" s="23"/>
      <c r="X16" s="23"/>
      <c r="Y16" s="23"/>
      <c r="Z16" s="23"/>
      <c r="AA16" s="23"/>
    </row>
    <row r="17" spans="1:27" s="26" customFormat="1" x14ac:dyDescent="0.25">
      <c r="A17" s="34" t="s">
        <v>13</v>
      </c>
      <c r="B17" s="16"/>
      <c r="C17" s="16"/>
      <c r="D17" s="16"/>
      <c r="E17" s="16"/>
      <c r="F17" s="16"/>
      <c r="G17" s="16"/>
      <c r="H17" s="16"/>
      <c r="I17" s="16"/>
      <c r="J17" s="16"/>
      <c r="K17" s="16"/>
      <c r="L17" s="16"/>
      <c r="M17" s="16"/>
      <c r="N17" s="16"/>
      <c r="O17" s="16"/>
      <c r="P17" s="23"/>
      <c r="Q17" s="23"/>
      <c r="R17" s="23"/>
      <c r="S17" s="23"/>
      <c r="T17" s="23"/>
      <c r="U17" s="23"/>
      <c r="V17" s="23"/>
      <c r="W17" s="23"/>
      <c r="X17" s="23">
        <v>641</v>
      </c>
      <c r="Y17" s="23">
        <v>625</v>
      </c>
      <c r="Z17" s="23">
        <v>88</v>
      </c>
      <c r="AA17" s="23">
        <v>1021</v>
      </c>
    </row>
    <row r="18" spans="1:27" s="26" customFormat="1" x14ac:dyDescent="0.25">
      <c r="A18" s="35" t="s">
        <v>14</v>
      </c>
      <c r="B18" s="19">
        <f>SUM(B11:B17)</f>
        <v>2838</v>
      </c>
      <c r="C18" s="19">
        <f t="shared" ref="C18:O18" si="2">SUM(C11:C17)</f>
        <v>925</v>
      </c>
      <c r="D18" s="19">
        <f t="shared" si="2"/>
        <v>0</v>
      </c>
      <c r="E18" s="19">
        <f t="shared" si="2"/>
        <v>375</v>
      </c>
      <c r="F18" s="19">
        <f t="shared" si="2"/>
        <v>158</v>
      </c>
      <c r="G18" s="19">
        <f t="shared" si="2"/>
        <v>235</v>
      </c>
      <c r="H18" s="19">
        <f>SUM(H11:H17)</f>
        <v>2069</v>
      </c>
      <c r="I18" s="19">
        <f t="shared" si="2"/>
        <v>7089</v>
      </c>
      <c r="J18" s="19">
        <f t="shared" si="2"/>
        <v>227</v>
      </c>
      <c r="K18" s="19">
        <f>SUM(K11:K17)</f>
        <v>1673</v>
      </c>
      <c r="L18" s="19">
        <f t="shared" si="2"/>
        <v>179</v>
      </c>
      <c r="M18" s="19">
        <f t="shared" si="2"/>
        <v>171</v>
      </c>
      <c r="N18" s="19">
        <f t="shared" si="2"/>
        <v>63</v>
      </c>
      <c r="O18" s="19">
        <f t="shared" si="2"/>
        <v>46</v>
      </c>
      <c r="P18" s="21">
        <f>SUM(P11:P17)</f>
        <v>83</v>
      </c>
      <c r="Q18" s="21">
        <f>SUM(Q11:Q17)</f>
        <v>0</v>
      </c>
      <c r="R18" s="21">
        <f>SUM(R11:R17)</f>
        <v>2010</v>
      </c>
      <c r="S18" s="21">
        <f t="shared" ref="S18:AA18" si="3">SUM(S11:S17)</f>
        <v>4729356</v>
      </c>
      <c r="T18" s="21">
        <f t="shared" si="3"/>
        <v>3722664</v>
      </c>
      <c r="U18" s="21">
        <f t="shared" si="3"/>
        <v>3680452</v>
      </c>
      <c r="V18" s="21">
        <f>SUM(V11:V17)</f>
        <v>17779</v>
      </c>
      <c r="W18" s="21">
        <f>SUM(W11:W17)</f>
        <v>10235</v>
      </c>
      <c r="X18" s="21">
        <f t="shared" si="3"/>
        <v>641</v>
      </c>
      <c r="Y18" s="21">
        <f t="shared" si="3"/>
        <v>625</v>
      </c>
      <c r="Z18" s="21">
        <f t="shared" si="3"/>
        <v>88</v>
      </c>
      <c r="AA18" s="21">
        <f t="shared" si="3"/>
        <v>1021</v>
      </c>
    </row>
    <row r="19" spans="1:27" s="26" customFormat="1" x14ac:dyDescent="0.25">
      <c r="A19" s="35" t="s">
        <v>15</v>
      </c>
      <c r="B19" s="125">
        <f>SUM(B10,B18)</f>
        <v>37386</v>
      </c>
      <c r="C19" s="125">
        <f t="shared" ref="C19:O19" si="4">SUM(C10,C18)</f>
        <v>9255</v>
      </c>
      <c r="D19" s="125">
        <f t="shared" si="4"/>
        <v>553</v>
      </c>
      <c r="E19" s="125">
        <f t="shared" si="4"/>
        <v>4481</v>
      </c>
      <c r="F19" s="125">
        <f t="shared" si="4"/>
        <v>1780</v>
      </c>
      <c r="G19" s="125">
        <f t="shared" si="4"/>
        <v>1687</v>
      </c>
      <c r="H19" s="125">
        <f>SUM(H10,H18)</f>
        <v>6761</v>
      </c>
      <c r="I19" s="125">
        <f t="shared" si="4"/>
        <v>23555</v>
      </c>
      <c r="J19" s="125">
        <f t="shared" si="4"/>
        <v>386</v>
      </c>
      <c r="K19" s="125">
        <f>SUM(K10,K18)</f>
        <v>5269</v>
      </c>
      <c r="L19" s="125">
        <f t="shared" si="4"/>
        <v>440</v>
      </c>
      <c r="M19" s="125">
        <f t="shared" si="4"/>
        <v>982</v>
      </c>
      <c r="N19" s="125">
        <f t="shared" si="4"/>
        <v>106</v>
      </c>
      <c r="O19" s="125">
        <f t="shared" si="4"/>
        <v>80</v>
      </c>
      <c r="P19" s="128">
        <f>SUM(P10,P18)</f>
        <v>473</v>
      </c>
      <c r="Q19" s="128">
        <f>SUM(Q10,Q18)</f>
        <v>557</v>
      </c>
      <c r="R19" s="128">
        <f>SUM(R10,R18)</f>
        <v>11847</v>
      </c>
      <c r="S19" s="128">
        <f t="shared" ref="S19:AA19" si="5">SUM(S10,S18)</f>
        <v>8411967</v>
      </c>
      <c r="T19" s="128">
        <f t="shared" si="5"/>
        <v>6865415</v>
      </c>
      <c r="U19" s="128">
        <f t="shared" si="5"/>
        <v>10575720</v>
      </c>
      <c r="V19" s="128">
        <f>SUM(V10,V18)</f>
        <v>24582</v>
      </c>
      <c r="W19" s="128">
        <f>SUM(W10,W18)</f>
        <v>20756</v>
      </c>
      <c r="X19" s="128">
        <f t="shared" si="5"/>
        <v>1765</v>
      </c>
      <c r="Y19" s="128">
        <f t="shared" si="5"/>
        <v>3283</v>
      </c>
      <c r="Z19" s="128">
        <f t="shared" si="5"/>
        <v>469</v>
      </c>
      <c r="AA19" s="128">
        <f t="shared" si="5"/>
        <v>2359</v>
      </c>
    </row>
    <row r="21" spans="1:27"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row>
    <row r="22" spans="1:27"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row>
  </sheetData>
  <sheetProtection formatCells="0" formatColumns="0" formatRows="0" insertColumns="0" insertRows="0" sort="0" autoFilter="0" pivotTables="0"/>
  <dataValidations count="1">
    <dataValidation type="list" errorStyle="information" allowBlank="1" showInputMessage="1" showErrorMessage="1" sqref="B1:AA1" xr:uid="{F14B4AF9-53C5-45CD-8F3F-66EB2CC697DA}">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69A4EA9C-7EFE-409C-9E76-3885C71CC59F}">
          <x14:formula1>
            <xm:f>'Term List'!$A2:$A242</xm:f>
          </x14:formula1>
          <xm:sqref>AB1:XFD1</xm:sqref>
        </x14:dataValidation>
      </x14:dataValidations>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8F01B-3443-4009-AF6B-815B8E68C723}">
  <sheetPr codeName="Sheet11"/>
  <dimension ref="A1:R23"/>
  <sheetViews>
    <sheetView workbookViewId="0">
      <pane xSplit="1" ySplit="1" topLeftCell="B2" activePane="bottomRight" state="frozen"/>
      <selection activeCell="B3" sqref="B3"/>
      <selection pane="topRight" activeCell="B3" sqref="B3"/>
      <selection pane="bottomLeft" activeCell="B3" sqref="B3"/>
      <selection pane="bottomRight" activeCell="F26" sqref="F26"/>
    </sheetView>
  </sheetViews>
  <sheetFormatPr defaultColWidth="16" defaultRowHeight="15" x14ac:dyDescent="0.25"/>
  <cols>
    <col min="1" max="1" width="35.7109375" style="6" bestFit="1" customWidth="1"/>
    <col min="2" max="18" width="16" style="5"/>
    <col min="19" max="16384" width="16" style="3"/>
  </cols>
  <sheetData>
    <row r="1" spans="1:18" s="14" customFormat="1" ht="30" x14ac:dyDescent="0.25">
      <c r="A1" s="36" t="s">
        <v>506</v>
      </c>
      <c r="B1" s="36" t="s">
        <v>155</v>
      </c>
      <c r="C1" s="36" t="s">
        <v>156</v>
      </c>
      <c r="D1" s="36" t="s">
        <v>154</v>
      </c>
      <c r="E1" s="36" t="s">
        <v>150</v>
      </c>
      <c r="F1" s="36" t="s">
        <v>148</v>
      </c>
      <c r="G1" s="36" t="s">
        <v>139</v>
      </c>
      <c r="H1" s="36" t="s">
        <v>130</v>
      </c>
      <c r="I1" s="36" t="s">
        <v>132</v>
      </c>
      <c r="J1" s="36" t="s">
        <v>142</v>
      </c>
      <c r="K1" s="36" t="s">
        <v>144</v>
      </c>
      <c r="L1" s="36" t="s">
        <v>124</v>
      </c>
      <c r="M1" s="31"/>
      <c r="N1" s="31"/>
      <c r="O1" s="31"/>
      <c r="P1" s="31"/>
      <c r="Q1" s="31"/>
      <c r="R1" s="31"/>
    </row>
    <row r="2" spans="1:18" s="26" customFormat="1" x14ac:dyDescent="0.25">
      <c r="A2" s="34" t="s">
        <v>0</v>
      </c>
      <c r="B2" s="16">
        <v>25470</v>
      </c>
      <c r="C2" s="17">
        <v>2738</v>
      </c>
      <c r="D2" s="17">
        <v>405</v>
      </c>
      <c r="E2" s="17">
        <v>6388</v>
      </c>
      <c r="F2" s="17">
        <v>348</v>
      </c>
      <c r="G2" s="17">
        <v>0</v>
      </c>
      <c r="H2" s="17">
        <v>284</v>
      </c>
      <c r="I2" s="17">
        <v>275</v>
      </c>
      <c r="J2" s="17">
        <v>2473</v>
      </c>
      <c r="K2" s="17">
        <v>58</v>
      </c>
      <c r="L2" s="17">
        <v>7706953</v>
      </c>
      <c r="M2" s="17"/>
      <c r="N2" s="17"/>
      <c r="O2" s="17"/>
      <c r="P2" s="17"/>
      <c r="Q2" s="17"/>
      <c r="R2" s="17"/>
    </row>
    <row r="3" spans="1:18" s="26" customFormat="1" x14ac:dyDescent="0.25">
      <c r="A3" s="34" t="s">
        <v>1</v>
      </c>
      <c r="B3" s="16">
        <v>2820</v>
      </c>
      <c r="C3" s="17">
        <v>432</v>
      </c>
      <c r="D3" s="17">
        <v>461</v>
      </c>
      <c r="E3" s="17">
        <v>775</v>
      </c>
      <c r="F3" s="17">
        <v>227</v>
      </c>
      <c r="G3" s="17">
        <v>0</v>
      </c>
      <c r="H3" s="17">
        <v>42</v>
      </c>
      <c r="I3" s="17">
        <v>344</v>
      </c>
      <c r="J3" s="17">
        <v>306</v>
      </c>
      <c r="K3" s="17">
        <v>10</v>
      </c>
      <c r="L3" s="17">
        <v>291213</v>
      </c>
      <c r="M3" s="17"/>
      <c r="N3" s="17"/>
      <c r="O3" s="17"/>
      <c r="P3" s="17"/>
      <c r="Q3" s="17"/>
      <c r="R3" s="17"/>
    </row>
    <row r="4" spans="1:18" s="26" customFormat="1" x14ac:dyDescent="0.25">
      <c r="A4" s="34" t="s">
        <v>169</v>
      </c>
      <c r="B4" s="16"/>
      <c r="C4" s="17"/>
      <c r="D4" s="17"/>
      <c r="E4" s="17"/>
      <c r="F4" s="17"/>
      <c r="G4" s="17"/>
      <c r="H4" s="17"/>
      <c r="I4" s="17"/>
      <c r="J4" s="17"/>
      <c r="K4" s="17"/>
      <c r="L4" s="17"/>
      <c r="M4" s="17"/>
      <c r="N4" s="17"/>
      <c r="O4" s="17"/>
      <c r="P4" s="17"/>
      <c r="Q4" s="17"/>
      <c r="R4" s="17"/>
    </row>
    <row r="5" spans="1:18" s="26" customFormat="1" x14ac:dyDescent="0.25">
      <c r="A5" s="34" t="s">
        <v>2</v>
      </c>
      <c r="B5" s="16"/>
      <c r="C5" s="17"/>
      <c r="D5" s="17"/>
      <c r="E5" s="17"/>
      <c r="F5" s="17"/>
      <c r="G5" s="17"/>
      <c r="H5" s="17"/>
      <c r="I5" s="17"/>
      <c r="J5" s="17"/>
      <c r="K5" s="17"/>
      <c r="L5" s="17"/>
      <c r="M5" s="17"/>
      <c r="N5" s="17"/>
      <c r="O5" s="17"/>
      <c r="P5" s="17"/>
      <c r="Q5" s="17"/>
      <c r="R5" s="17"/>
    </row>
    <row r="6" spans="1:18" s="26" customFormat="1" x14ac:dyDescent="0.25">
      <c r="A6" s="34" t="s">
        <v>3</v>
      </c>
      <c r="B6" s="16">
        <v>112</v>
      </c>
      <c r="C6" s="17">
        <v>37</v>
      </c>
      <c r="D6" s="17">
        <v>827</v>
      </c>
      <c r="E6" s="17">
        <v>3074</v>
      </c>
      <c r="F6" s="17">
        <v>199</v>
      </c>
      <c r="G6" s="17">
        <v>58</v>
      </c>
      <c r="H6" s="17">
        <v>0</v>
      </c>
      <c r="I6" s="17">
        <v>0</v>
      </c>
      <c r="J6" s="17">
        <v>67</v>
      </c>
      <c r="K6" s="17">
        <v>0</v>
      </c>
      <c r="L6" s="17">
        <v>183290</v>
      </c>
      <c r="M6" s="17"/>
      <c r="N6" s="17"/>
      <c r="O6" s="17"/>
      <c r="P6" s="17"/>
      <c r="Q6" s="17"/>
      <c r="R6" s="17"/>
    </row>
    <row r="7" spans="1:18" s="26" customFormat="1" x14ac:dyDescent="0.25">
      <c r="A7" s="34" t="s">
        <v>4</v>
      </c>
      <c r="B7" s="16">
        <v>74</v>
      </c>
      <c r="C7" s="17">
        <v>8</v>
      </c>
      <c r="D7" s="17">
        <v>0</v>
      </c>
      <c r="E7" s="17">
        <v>560</v>
      </c>
      <c r="F7" s="17">
        <v>8</v>
      </c>
      <c r="G7" s="17">
        <v>19</v>
      </c>
      <c r="H7" s="17">
        <v>0</v>
      </c>
      <c r="I7" s="17">
        <v>0</v>
      </c>
      <c r="J7" s="17">
        <v>1758</v>
      </c>
      <c r="K7" s="17">
        <v>205</v>
      </c>
      <c r="L7" s="17">
        <v>204168</v>
      </c>
      <c r="M7" s="17"/>
      <c r="N7" s="17"/>
      <c r="O7" s="17"/>
      <c r="P7" s="17"/>
      <c r="Q7" s="17"/>
      <c r="R7" s="17"/>
    </row>
    <row r="8" spans="1:18" s="26" customFormat="1" x14ac:dyDescent="0.25">
      <c r="A8" s="34" t="s">
        <v>5</v>
      </c>
      <c r="B8" s="16">
        <v>0</v>
      </c>
      <c r="C8" s="17">
        <v>0</v>
      </c>
      <c r="D8" s="17">
        <v>0</v>
      </c>
      <c r="E8" s="17">
        <v>697</v>
      </c>
      <c r="F8" s="17">
        <v>97</v>
      </c>
      <c r="G8" s="17">
        <v>0</v>
      </c>
      <c r="H8" s="17">
        <v>0</v>
      </c>
      <c r="I8" s="17">
        <v>0</v>
      </c>
      <c r="J8" s="17">
        <v>0</v>
      </c>
      <c r="K8" s="17">
        <v>0</v>
      </c>
      <c r="L8" s="17">
        <v>0</v>
      </c>
      <c r="M8" s="17"/>
      <c r="N8" s="17"/>
      <c r="O8" s="17"/>
      <c r="P8" s="17"/>
      <c r="Q8" s="17"/>
      <c r="R8" s="17"/>
    </row>
    <row r="9" spans="1:18" s="26" customFormat="1" x14ac:dyDescent="0.25">
      <c r="A9" s="34" t="s">
        <v>6</v>
      </c>
      <c r="B9" s="16"/>
      <c r="C9" s="17"/>
      <c r="D9" s="17"/>
      <c r="E9" s="17"/>
      <c r="F9" s="17"/>
      <c r="G9" s="17"/>
      <c r="H9" s="17"/>
      <c r="I9" s="17"/>
      <c r="J9" s="17"/>
      <c r="K9" s="17"/>
      <c r="L9" s="17"/>
      <c r="M9" s="17"/>
      <c r="N9" s="17"/>
      <c r="O9" s="17"/>
      <c r="P9" s="17"/>
      <c r="Q9" s="17"/>
      <c r="R9" s="17"/>
    </row>
    <row r="10" spans="1:18" s="26" customFormat="1" x14ac:dyDescent="0.25">
      <c r="A10" s="35" t="s">
        <v>7</v>
      </c>
      <c r="B10" s="19">
        <f>SUM(B2:B9)</f>
        <v>28476</v>
      </c>
      <c r="C10" s="19">
        <f t="shared" ref="C10:R10" si="0">SUM(C2:C9)</f>
        <v>3215</v>
      </c>
      <c r="D10" s="19">
        <f t="shared" si="0"/>
        <v>1693</v>
      </c>
      <c r="E10" s="19">
        <f t="shared" si="0"/>
        <v>11494</v>
      </c>
      <c r="F10" s="19">
        <f t="shared" si="0"/>
        <v>879</v>
      </c>
      <c r="G10" s="19">
        <f t="shared" si="0"/>
        <v>77</v>
      </c>
      <c r="H10" s="19">
        <f t="shared" si="0"/>
        <v>326</v>
      </c>
      <c r="I10" s="19">
        <f t="shared" si="0"/>
        <v>619</v>
      </c>
      <c r="J10" s="19">
        <f t="shared" si="0"/>
        <v>4604</v>
      </c>
      <c r="K10" s="19">
        <f t="shared" si="0"/>
        <v>273</v>
      </c>
      <c r="L10" s="19">
        <f t="shared" si="0"/>
        <v>8385624</v>
      </c>
      <c r="M10" s="19">
        <f t="shared" si="0"/>
        <v>0</v>
      </c>
      <c r="N10" s="19">
        <f t="shared" si="0"/>
        <v>0</v>
      </c>
      <c r="O10" s="19">
        <f t="shared" si="0"/>
        <v>0</v>
      </c>
      <c r="P10" s="19">
        <f t="shared" si="0"/>
        <v>0</v>
      </c>
      <c r="Q10" s="19">
        <f t="shared" si="0"/>
        <v>0</v>
      </c>
      <c r="R10" s="19">
        <f t="shared" si="0"/>
        <v>0</v>
      </c>
    </row>
    <row r="11" spans="1:18" s="26" customFormat="1" x14ac:dyDescent="0.25">
      <c r="A11" s="34" t="s">
        <v>8</v>
      </c>
      <c r="B11" s="16">
        <v>98638</v>
      </c>
      <c r="C11" s="16">
        <v>11809</v>
      </c>
      <c r="D11" s="16">
        <v>983</v>
      </c>
      <c r="E11" s="16">
        <v>36617</v>
      </c>
      <c r="F11" s="16">
        <v>852</v>
      </c>
      <c r="G11" s="16">
        <v>120</v>
      </c>
      <c r="H11" s="16">
        <v>1722</v>
      </c>
      <c r="I11" s="16">
        <v>482</v>
      </c>
      <c r="J11" s="16">
        <v>13648</v>
      </c>
      <c r="K11" s="16">
        <v>160</v>
      </c>
      <c r="L11" s="16">
        <v>9018489</v>
      </c>
      <c r="M11" s="16"/>
      <c r="N11" s="16"/>
      <c r="O11" s="16"/>
      <c r="P11" s="16"/>
      <c r="Q11" s="16"/>
      <c r="R11" s="16"/>
    </row>
    <row r="12" spans="1:18" s="26" customFormat="1" x14ac:dyDescent="0.25">
      <c r="A12" s="34" t="s">
        <v>9</v>
      </c>
      <c r="B12" s="16">
        <v>561</v>
      </c>
      <c r="C12" s="16">
        <v>26</v>
      </c>
      <c r="D12" s="16">
        <v>33</v>
      </c>
      <c r="E12" s="16">
        <v>267</v>
      </c>
      <c r="F12" s="16">
        <v>29</v>
      </c>
      <c r="G12" s="16">
        <v>0</v>
      </c>
      <c r="H12" s="16">
        <v>0</v>
      </c>
      <c r="I12" s="16">
        <v>0</v>
      </c>
      <c r="J12" s="16">
        <v>0</v>
      </c>
      <c r="K12" s="16">
        <v>0</v>
      </c>
      <c r="L12" s="16">
        <v>14774</v>
      </c>
      <c r="M12" s="16"/>
      <c r="N12" s="16"/>
      <c r="O12" s="16"/>
      <c r="P12" s="16"/>
      <c r="Q12" s="16"/>
      <c r="R12" s="16"/>
    </row>
    <row r="13" spans="1:18" s="26" customFormat="1" x14ac:dyDescent="0.25">
      <c r="A13" s="34" t="s">
        <v>164</v>
      </c>
      <c r="B13" s="16"/>
      <c r="C13" s="16"/>
      <c r="D13" s="16"/>
      <c r="E13" s="16"/>
      <c r="F13" s="16"/>
      <c r="G13" s="16"/>
      <c r="H13" s="16"/>
      <c r="I13" s="16"/>
      <c r="J13" s="16"/>
      <c r="K13" s="16"/>
      <c r="L13" s="16"/>
      <c r="M13" s="16"/>
      <c r="N13" s="16"/>
      <c r="O13" s="16"/>
      <c r="P13" s="16"/>
      <c r="Q13" s="16"/>
      <c r="R13" s="16"/>
    </row>
    <row r="14" spans="1:18" s="26" customFormat="1" x14ac:dyDescent="0.25">
      <c r="A14" s="34" t="s">
        <v>10</v>
      </c>
      <c r="B14" s="16">
        <v>44</v>
      </c>
      <c r="C14" s="16">
        <v>172</v>
      </c>
      <c r="D14" s="16">
        <v>335</v>
      </c>
      <c r="E14" s="16">
        <v>2152</v>
      </c>
      <c r="F14" s="16">
        <v>88</v>
      </c>
      <c r="G14" s="16">
        <v>24</v>
      </c>
      <c r="H14" s="16">
        <v>24</v>
      </c>
      <c r="I14" s="16">
        <v>9</v>
      </c>
      <c r="J14" s="16">
        <v>162</v>
      </c>
      <c r="K14" s="16">
        <v>2</v>
      </c>
      <c r="L14" s="16">
        <v>41181</v>
      </c>
      <c r="M14" s="16"/>
      <c r="N14" s="16"/>
      <c r="O14" s="16"/>
      <c r="P14" s="16"/>
      <c r="Q14" s="16"/>
      <c r="R14" s="16"/>
    </row>
    <row r="15" spans="1:18" s="26" customFormat="1" x14ac:dyDescent="0.25">
      <c r="A15" s="34" t="s">
        <v>11</v>
      </c>
      <c r="B15" s="16">
        <v>32</v>
      </c>
      <c r="C15" s="16">
        <v>13</v>
      </c>
      <c r="D15" s="16">
        <v>2</v>
      </c>
      <c r="E15" s="16">
        <v>3229</v>
      </c>
      <c r="F15" s="16">
        <v>143</v>
      </c>
      <c r="G15" s="16">
        <v>223</v>
      </c>
      <c r="H15" s="16">
        <v>0</v>
      </c>
      <c r="I15" s="16">
        <v>0</v>
      </c>
      <c r="J15" s="16">
        <v>3660</v>
      </c>
      <c r="K15" s="16">
        <v>203</v>
      </c>
      <c r="L15" s="16">
        <v>0</v>
      </c>
      <c r="M15" s="16"/>
      <c r="N15" s="16"/>
      <c r="O15" s="16"/>
      <c r="P15" s="16"/>
      <c r="Q15" s="16"/>
      <c r="R15" s="16"/>
    </row>
    <row r="16" spans="1:18" s="26" customFormat="1" x14ac:dyDescent="0.25">
      <c r="A16" s="34" t="s">
        <v>12</v>
      </c>
      <c r="B16" s="16">
        <v>0</v>
      </c>
      <c r="C16" s="16">
        <v>0</v>
      </c>
      <c r="D16" s="16">
        <v>0</v>
      </c>
      <c r="E16" s="16">
        <v>334</v>
      </c>
      <c r="F16" s="16">
        <v>20</v>
      </c>
      <c r="G16" s="16">
        <v>2</v>
      </c>
      <c r="H16" s="16">
        <v>0</v>
      </c>
      <c r="I16" s="16">
        <v>0</v>
      </c>
      <c r="J16" s="16">
        <v>0</v>
      </c>
      <c r="K16" s="16">
        <v>0</v>
      </c>
      <c r="L16" s="16">
        <v>0</v>
      </c>
      <c r="M16" s="16"/>
      <c r="N16" s="16"/>
      <c r="O16" s="16"/>
      <c r="P16" s="16"/>
      <c r="Q16" s="16"/>
      <c r="R16" s="16"/>
    </row>
    <row r="17" spans="1:18" s="26" customFormat="1" x14ac:dyDescent="0.25">
      <c r="A17" s="34" t="s">
        <v>13</v>
      </c>
      <c r="B17" s="16"/>
      <c r="C17" s="16"/>
      <c r="D17" s="16"/>
      <c r="E17" s="16"/>
      <c r="F17" s="16"/>
      <c r="G17" s="16"/>
      <c r="H17" s="16"/>
      <c r="I17" s="16"/>
      <c r="J17" s="16"/>
      <c r="K17" s="16"/>
      <c r="L17" s="16"/>
      <c r="M17" s="16"/>
      <c r="N17" s="16"/>
      <c r="O17" s="16"/>
      <c r="P17" s="16"/>
      <c r="Q17" s="16"/>
      <c r="R17" s="16"/>
    </row>
    <row r="18" spans="1:18" s="26" customFormat="1" x14ac:dyDescent="0.25">
      <c r="A18" s="35" t="s">
        <v>14</v>
      </c>
      <c r="B18" s="19">
        <f>SUM(B11:B17)</f>
        <v>99275</v>
      </c>
      <c r="C18" s="19">
        <f t="shared" ref="C18:R18" si="1">SUM(C11:C17)</f>
        <v>12020</v>
      </c>
      <c r="D18" s="19">
        <f t="shared" si="1"/>
        <v>1353</v>
      </c>
      <c r="E18" s="19">
        <f t="shared" si="1"/>
        <v>42599</v>
      </c>
      <c r="F18" s="19">
        <f t="shared" si="1"/>
        <v>1132</v>
      </c>
      <c r="G18" s="19">
        <f t="shared" si="1"/>
        <v>369</v>
      </c>
      <c r="H18" s="19">
        <f t="shared" si="1"/>
        <v>1746</v>
      </c>
      <c r="I18" s="19">
        <f t="shared" si="1"/>
        <v>491</v>
      </c>
      <c r="J18" s="19">
        <f t="shared" si="1"/>
        <v>17470</v>
      </c>
      <c r="K18" s="19">
        <f t="shared" si="1"/>
        <v>365</v>
      </c>
      <c r="L18" s="19">
        <f t="shared" si="1"/>
        <v>9074444</v>
      </c>
      <c r="M18" s="19">
        <f t="shared" si="1"/>
        <v>0</v>
      </c>
      <c r="N18" s="19">
        <f t="shared" si="1"/>
        <v>0</v>
      </c>
      <c r="O18" s="19">
        <f t="shared" si="1"/>
        <v>0</v>
      </c>
      <c r="P18" s="19">
        <f t="shared" si="1"/>
        <v>0</v>
      </c>
      <c r="Q18" s="19">
        <f t="shared" si="1"/>
        <v>0</v>
      </c>
      <c r="R18" s="19">
        <f t="shared" si="1"/>
        <v>0</v>
      </c>
    </row>
    <row r="19" spans="1:18" s="26" customFormat="1" x14ac:dyDescent="0.25">
      <c r="A19" s="35" t="s">
        <v>15</v>
      </c>
      <c r="B19" s="19">
        <f>SUM(B10,B18)</f>
        <v>127751</v>
      </c>
      <c r="C19" s="19">
        <f t="shared" ref="C19:R19" si="2">SUM(C10,C18)</f>
        <v>15235</v>
      </c>
      <c r="D19" s="19">
        <f t="shared" si="2"/>
        <v>3046</v>
      </c>
      <c r="E19" s="19">
        <f t="shared" si="2"/>
        <v>54093</v>
      </c>
      <c r="F19" s="19">
        <f t="shared" si="2"/>
        <v>2011</v>
      </c>
      <c r="G19" s="19">
        <f t="shared" si="2"/>
        <v>446</v>
      </c>
      <c r="H19" s="19">
        <f t="shared" si="2"/>
        <v>2072</v>
      </c>
      <c r="I19" s="19">
        <f t="shared" si="2"/>
        <v>1110</v>
      </c>
      <c r="J19" s="19">
        <f t="shared" si="2"/>
        <v>22074</v>
      </c>
      <c r="K19" s="19">
        <f t="shared" si="2"/>
        <v>638</v>
      </c>
      <c r="L19" s="19">
        <f t="shared" si="2"/>
        <v>17460068</v>
      </c>
      <c r="M19" s="19">
        <f t="shared" si="2"/>
        <v>0</v>
      </c>
      <c r="N19" s="19">
        <f t="shared" si="2"/>
        <v>0</v>
      </c>
      <c r="O19" s="19">
        <f t="shared" si="2"/>
        <v>0</v>
      </c>
      <c r="P19" s="19">
        <f t="shared" si="2"/>
        <v>0</v>
      </c>
      <c r="Q19" s="19">
        <f t="shared" si="2"/>
        <v>0</v>
      </c>
      <c r="R19" s="19">
        <f t="shared" si="2"/>
        <v>0</v>
      </c>
    </row>
    <row r="21" spans="1:18" x14ac:dyDescent="0.25">
      <c r="B21" s="44"/>
      <c r="C21" s="44"/>
      <c r="D21" s="44"/>
      <c r="E21" s="44"/>
      <c r="F21" s="44"/>
      <c r="G21" s="44"/>
      <c r="H21" s="44"/>
      <c r="I21" s="44"/>
      <c r="J21" s="44"/>
      <c r="K21" s="44"/>
      <c r="L21" s="44"/>
      <c r="M21" s="44"/>
      <c r="N21" s="44"/>
      <c r="O21" s="44"/>
      <c r="P21" s="44"/>
      <c r="Q21" s="44"/>
      <c r="R21" s="44"/>
    </row>
    <row r="23" spans="1:18" x14ac:dyDescent="0.25">
      <c r="B23" s="44"/>
      <c r="C23" s="44"/>
      <c r="D23" s="44"/>
      <c r="E23" s="44"/>
      <c r="F23" s="44"/>
      <c r="G23" s="44"/>
      <c r="H23" s="44"/>
      <c r="I23" s="44"/>
      <c r="J23" s="44"/>
      <c r="K23" s="44"/>
      <c r="L23" s="44"/>
      <c r="M23" s="44"/>
      <c r="N23" s="44"/>
      <c r="O23" s="44"/>
      <c r="P23" s="44"/>
      <c r="Q23" s="44"/>
      <c r="R23" s="44"/>
    </row>
  </sheetData>
  <sheetProtection formatCells="0" formatColumns="0" formatRows="0" insertColumns="0" insertRows="0" sort="0" autoFilter="0" pivotTables="0"/>
  <dataValidations count="1">
    <dataValidation type="list" errorStyle="information" allowBlank="1" showInputMessage="1" showErrorMessage="1" sqref="B1:R1" xr:uid="{D8613E0B-5027-45C5-AC3B-C11D3B129BB2}">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9426AA29-FB22-46D9-9E8F-176E36395A0A}">
          <x14:formula1>
            <xm:f>'Term List'!$A2:$A242</xm:f>
          </x14:formula1>
          <xm:sqref>S1:XFD1</xm:sqref>
        </x14:dataValidation>
      </x14:dataValidations>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197B0-D436-4A01-B688-10AB500050A7}">
  <sheetPr codeName="Sheet12"/>
  <dimension ref="A1:AE22"/>
  <sheetViews>
    <sheetView workbookViewId="0">
      <pane xSplit="1" ySplit="1" topLeftCell="B2" activePane="bottomRight" state="frozen"/>
      <selection activeCell="B3" sqref="B3"/>
      <selection pane="topRight" activeCell="B3" sqref="B3"/>
      <selection pane="bottomLeft" activeCell="B3" sqref="B3"/>
      <selection pane="bottomRight" activeCell="B3" sqref="B3"/>
    </sheetView>
  </sheetViews>
  <sheetFormatPr defaultColWidth="15.85546875" defaultRowHeight="15" x14ac:dyDescent="0.25"/>
  <cols>
    <col min="1" max="1" width="35.7109375" style="6" bestFit="1" customWidth="1"/>
    <col min="2" max="2" width="15.85546875" style="3"/>
    <col min="3" max="7" width="15.85546875" style="5"/>
    <col min="8" max="8" width="15.85546875" style="3"/>
    <col min="9" max="16" width="15.85546875" style="5"/>
    <col min="17" max="16384" width="15.85546875" style="3"/>
  </cols>
  <sheetData>
    <row r="1" spans="1:31" s="40" customFormat="1" ht="30.75" customHeight="1" x14ac:dyDescent="0.25">
      <c r="A1" s="36" t="s">
        <v>418</v>
      </c>
      <c r="B1" s="36" t="s">
        <v>57</v>
      </c>
      <c r="C1" s="126" t="s">
        <v>35</v>
      </c>
      <c r="D1" s="36" t="s">
        <v>36</v>
      </c>
      <c r="E1" s="126" t="s">
        <v>39</v>
      </c>
      <c r="F1" s="36" t="s">
        <v>94</v>
      </c>
      <c r="G1" s="126" t="s">
        <v>99</v>
      </c>
      <c r="H1" s="36" t="s">
        <v>570</v>
      </c>
      <c r="I1" s="126" t="s">
        <v>571</v>
      </c>
      <c r="J1" s="36" t="s">
        <v>567</v>
      </c>
      <c r="K1" s="126" t="s">
        <v>569</v>
      </c>
      <c r="L1" s="36" t="s">
        <v>572</v>
      </c>
      <c r="M1" s="126" t="s">
        <v>573</v>
      </c>
      <c r="N1" s="36" t="s">
        <v>28</v>
      </c>
      <c r="O1" s="126" t="s">
        <v>89</v>
      </c>
      <c r="P1" s="36" t="s">
        <v>45</v>
      </c>
      <c r="Q1" s="126" t="s">
        <v>54</v>
      </c>
      <c r="R1" s="36" t="s">
        <v>53</v>
      </c>
      <c r="S1" s="126" t="s">
        <v>351</v>
      </c>
      <c r="T1" s="36" t="s">
        <v>367</v>
      </c>
      <c r="U1" s="126" t="s">
        <v>352</v>
      </c>
      <c r="V1" s="36" t="s">
        <v>75</v>
      </c>
      <c r="W1" s="126" t="s">
        <v>107</v>
      </c>
      <c r="X1" s="36" t="s">
        <v>101</v>
      </c>
      <c r="Y1" s="126" t="s">
        <v>65</v>
      </c>
      <c r="Z1" s="36" t="s">
        <v>88</v>
      </c>
      <c r="AA1" s="126" t="s">
        <v>330</v>
      </c>
      <c r="AB1" s="36" t="s">
        <v>331</v>
      </c>
      <c r="AC1" s="126" t="s">
        <v>332</v>
      </c>
      <c r="AD1" s="36" t="s">
        <v>333</v>
      </c>
      <c r="AE1" s="39"/>
    </row>
    <row r="2" spans="1:31" s="26" customFormat="1" x14ac:dyDescent="0.25">
      <c r="A2" s="34" t="s">
        <v>0</v>
      </c>
      <c r="B2" s="16"/>
      <c r="C2" s="17"/>
      <c r="D2" s="16"/>
      <c r="E2" s="17"/>
      <c r="F2" s="16"/>
      <c r="G2" s="17"/>
      <c r="H2" s="16"/>
      <c r="I2" s="17"/>
      <c r="J2" s="16"/>
      <c r="K2" s="17"/>
      <c r="L2" s="16"/>
      <c r="M2" s="17"/>
      <c r="N2" s="16"/>
      <c r="O2" s="17"/>
      <c r="P2" s="16"/>
      <c r="Q2" s="17"/>
      <c r="R2" s="16"/>
      <c r="S2" s="17"/>
      <c r="T2" s="16"/>
      <c r="U2" s="17"/>
      <c r="V2" s="16"/>
      <c r="W2" s="17"/>
      <c r="X2" s="16"/>
      <c r="Y2" s="17"/>
      <c r="Z2" s="16"/>
      <c r="AA2" s="17"/>
      <c r="AB2" s="16"/>
      <c r="AC2" s="17"/>
      <c r="AD2" s="16"/>
      <c r="AE2" s="17"/>
    </row>
    <row r="3" spans="1:31" s="26" customFormat="1" x14ac:dyDescent="0.25">
      <c r="A3" s="34" t="s">
        <v>1</v>
      </c>
      <c r="B3" s="16"/>
      <c r="C3" s="17"/>
      <c r="D3" s="16"/>
      <c r="E3" s="17"/>
      <c r="F3" s="16"/>
      <c r="G3" s="17"/>
      <c r="H3" s="16"/>
      <c r="I3" s="17"/>
      <c r="J3" s="16"/>
      <c r="K3" s="17"/>
      <c r="L3" s="16"/>
      <c r="M3" s="17"/>
      <c r="N3" s="16"/>
      <c r="O3" s="17"/>
      <c r="P3" s="16"/>
      <c r="Q3" s="17"/>
      <c r="R3" s="16"/>
      <c r="S3" s="17"/>
      <c r="T3" s="16"/>
      <c r="U3" s="17"/>
      <c r="V3" s="16"/>
      <c r="W3" s="17"/>
      <c r="X3" s="16"/>
      <c r="Y3" s="17"/>
      <c r="Z3" s="16"/>
      <c r="AA3" s="17"/>
      <c r="AB3" s="16"/>
      <c r="AC3" s="17"/>
      <c r="AD3" s="16"/>
      <c r="AE3" s="17"/>
    </row>
    <row r="4" spans="1:31" s="26" customFormat="1" x14ac:dyDescent="0.25">
      <c r="A4" s="34" t="s">
        <v>169</v>
      </c>
      <c r="B4" s="16"/>
      <c r="C4" s="17"/>
      <c r="D4" s="16"/>
      <c r="E4" s="17"/>
      <c r="F4" s="16"/>
      <c r="G4" s="17"/>
      <c r="H4" s="16"/>
      <c r="I4" s="17"/>
      <c r="J4" s="16"/>
      <c r="K4" s="17"/>
      <c r="L4" s="16"/>
      <c r="M4" s="17"/>
      <c r="N4" s="16"/>
      <c r="O4" s="17"/>
      <c r="P4" s="16"/>
      <c r="Q4" s="17"/>
      <c r="R4" s="16"/>
      <c r="S4" s="17"/>
      <c r="T4" s="16"/>
      <c r="U4" s="17"/>
      <c r="V4" s="16"/>
      <c r="W4" s="17"/>
      <c r="X4" s="16"/>
      <c r="Y4" s="17">
        <v>6295</v>
      </c>
      <c r="Z4" s="16">
        <v>256</v>
      </c>
      <c r="AA4" s="17"/>
      <c r="AB4" s="16"/>
      <c r="AC4" s="17"/>
      <c r="AD4" s="16"/>
      <c r="AE4" s="17"/>
    </row>
    <row r="5" spans="1:31" s="26" customFormat="1" x14ac:dyDescent="0.25">
      <c r="A5" s="34" t="s">
        <v>2</v>
      </c>
      <c r="B5" s="16"/>
      <c r="C5" s="17"/>
      <c r="D5" s="16"/>
      <c r="E5" s="17"/>
      <c r="F5" s="16"/>
      <c r="G5" s="17"/>
      <c r="H5" s="16"/>
      <c r="I5" s="17"/>
      <c r="J5" s="16"/>
      <c r="K5" s="17"/>
      <c r="L5" s="16"/>
      <c r="M5" s="17"/>
      <c r="N5" s="16"/>
      <c r="O5" s="17"/>
      <c r="P5" s="16"/>
      <c r="Q5" s="17"/>
      <c r="R5" s="16"/>
      <c r="S5" s="17"/>
      <c r="T5" s="16"/>
      <c r="U5" s="17"/>
      <c r="V5" s="16"/>
      <c r="W5" s="17"/>
      <c r="X5" s="16"/>
      <c r="Y5" s="17"/>
      <c r="Z5" s="16"/>
      <c r="AA5" s="17"/>
      <c r="AB5" s="16"/>
      <c r="AC5" s="17"/>
      <c r="AD5" s="16"/>
      <c r="AE5" s="17"/>
    </row>
    <row r="6" spans="1:31" s="26" customFormat="1" x14ac:dyDescent="0.25">
      <c r="A6" s="34" t="s">
        <v>3</v>
      </c>
      <c r="B6" s="16">
        <v>1455</v>
      </c>
      <c r="C6" s="17"/>
      <c r="D6" s="16">
        <v>15</v>
      </c>
      <c r="E6" s="17">
        <v>1150</v>
      </c>
      <c r="F6" s="16"/>
      <c r="G6" s="17">
        <v>6</v>
      </c>
      <c r="H6" s="16">
        <v>4735</v>
      </c>
      <c r="I6" s="17"/>
      <c r="J6" s="16">
        <v>18541</v>
      </c>
      <c r="K6" s="17">
        <v>0</v>
      </c>
      <c r="L6" s="16">
        <v>2709</v>
      </c>
      <c r="M6" s="17">
        <v>733</v>
      </c>
      <c r="N6" s="16">
        <v>429</v>
      </c>
      <c r="O6" s="17">
        <v>455</v>
      </c>
      <c r="P6" s="16">
        <v>253</v>
      </c>
      <c r="Q6" s="17">
        <v>0</v>
      </c>
      <c r="R6" s="16">
        <v>0</v>
      </c>
      <c r="S6" s="17"/>
      <c r="T6" s="16"/>
      <c r="U6" s="17"/>
      <c r="V6" s="16">
        <v>450543</v>
      </c>
      <c r="W6" s="17">
        <v>122869</v>
      </c>
      <c r="X6" s="16">
        <v>105700</v>
      </c>
      <c r="Y6" s="17"/>
      <c r="Z6" s="16"/>
      <c r="AA6" s="17"/>
      <c r="AB6" s="16"/>
      <c r="AC6" s="17"/>
      <c r="AD6" s="16"/>
      <c r="AE6" s="17"/>
    </row>
    <row r="7" spans="1:31" s="26" customFormat="1" x14ac:dyDescent="0.25">
      <c r="A7" s="34" t="s">
        <v>4</v>
      </c>
      <c r="B7" s="16">
        <f>61387+1911</f>
        <v>63298</v>
      </c>
      <c r="C7" s="17">
        <v>6151</v>
      </c>
      <c r="D7" s="16">
        <f>1746+142</f>
        <v>1888</v>
      </c>
      <c r="E7" s="17">
        <f>3625</f>
        <v>3625</v>
      </c>
      <c r="F7" s="16"/>
      <c r="G7" s="17">
        <f>3914+328</f>
        <v>4242</v>
      </c>
      <c r="H7" s="16">
        <v>88</v>
      </c>
      <c r="I7" s="17"/>
      <c r="J7" s="16">
        <v>1207</v>
      </c>
      <c r="K7" s="17">
        <v>237</v>
      </c>
      <c r="L7" s="16">
        <v>573</v>
      </c>
      <c r="M7" s="17">
        <v>0</v>
      </c>
      <c r="N7" s="16"/>
      <c r="O7" s="17"/>
      <c r="P7" s="16"/>
      <c r="Q7" s="17"/>
      <c r="R7" s="16"/>
      <c r="S7" s="17">
        <v>1520</v>
      </c>
      <c r="T7" s="16">
        <v>904</v>
      </c>
      <c r="U7" s="17">
        <f>13354+116</f>
        <v>13470</v>
      </c>
      <c r="V7" s="16">
        <f>5230956+4000</f>
        <v>5234956</v>
      </c>
      <c r="W7" s="17">
        <f>2849787+55550</f>
        <v>2905337</v>
      </c>
      <c r="X7" s="16">
        <f>9761250+107555</f>
        <v>9868805</v>
      </c>
      <c r="Y7" s="17"/>
      <c r="Z7" s="16"/>
      <c r="AA7" s="17"/>
      <c r="AB7" s="16"/>
      <c r="AC7" s="17"/>
      <c r="AD7" s="16"/>
      <c r="AE7" s="17"/>
    </row>
    <row r="8" spans="1:31" s="26" customFormat="1" x14ac:dyDescent="0.25">
      <c r="A8" s="34" t="s">
        <v>5</v>
      </c>
      <c r="B8" s="16"/>
      <c r="C8" s="17"/>
      <c r="D8" s="16"/>
      <c r="E8" s="17"/>
      <c r="F8" s="16"/>
      <c r="G8" s="17"/>
      <c r="H8" s="16"/>
      <c r="I8" s="17"/>
      <c r="J8" s="16"/>
      <c r="K8" s="17"/>
      <c r="L8" s="16"/>
      <c r="M8" s="17"/>
      <c r="N8" s="16"/>
      <c r="O8" s="17"/>
      <c r="P8" s="16"/>
      <c r="Q8" s="17"/>
      <c r="R8" s="16"/>
      <c r="S8" s="17"/>
      <c r="T8" s="16"/>
      <c r="U8" s="17"/>
      <c r="V8" s="16"/>
      <c r="W8" s="17"/>
      <c r="X8" s="16"/>
      <c r="Y8" s="17"/>
      <c r="Z8" s="16"/>
      <c r="AA8" s="17"/>
      <c r="AB8" s="16"/>
      <c r="AC8" s="17"/>
      <c r="AD8" s="16"/>
      <c r="AE8" s="17"/>
    </row>
    <row r="9" spans="1:31" s="26" customFormat="1" x14ac:dyDescent="0.25">
      <c r="A9" s="34" t="s">
        <v>6</v>
      </c>
      <c r="B9" s="16"/>
      <c r="C9" s="17"/>
      <c r="D9" s="16"/>
      <c r="E9" s="17"/>
      <c r="F9" s="16"/>
      <c r="G9" s="17"/>
      <c r="H9" s="16"/>
      <c r="I9" s="17"/>
      <c r="J9" s="16"/>
      <c r="K9" s="17"/>
      <c r="L9" s="16"/>
      <c r="M9" s="17"/>
      <c r="N9" s="16"/>
      <c r="O9" s="17"/>
      <c r="P9" s="16"/>
      <c r="Q9" s="17"/>
      <c r="R9" s="16"/>
      <c r="S9" s="17"/>
      <c r="T9" s="16"/>
      <c r="U9" s="17"/>
      <c r="V9" s="16"/>
      <c r="W9" s="17"/>
      <c r="X9" s="16"/>
      <c r="Y9" s="17"/>
      <c r="Z9" s="16"/>
      <c r="AA9" s="17">
        <v>2344</v>
      </c>
      <c r="AB9" s="16">
        <v>2293</v>
      </c>
      <c r="AC9" s="17">
        <v>515</v>
      </c>
      <c r="AD9" s="16">
        <v>890</v>
      </c>
      <c r="AE9" s="17"/>
    </row>
    <row r="10" spans="1:31" s="26" customFormat="1" x14ac:dyDescent="0.25">
      <c r="A10" s="35" t="s">
        <v>7</v>
      </c>
      <c r="B10" s="19">
        <f t="shared" ref="B10:R10" si="0">SUM(B2:B9)</f>
        <v>64753</v>
      </c>
      <c r="C10" s="19">
        <f t="shared" si="0"/>
        <v>6151</v>
      </c>
      <c r="D10" s="19">
        <f t="shared" si="0"/>
        <v>1903</v>
      </c>
      <c r="E10" s="19">
        <f t="shared" si="0"/>
        <v>4775</v>
      </c>
      <c r="F10" s="19">
        <f t="shared" si="0"/>
        <v>0</v>
      </c>
      <c r="G10" s="19">
        <f t="shared" si="0"/>
        <v>4248</v>
      </c>
      <c r="H10" s="19">
        <f>SUM(H2:H9)</f>
        <v>4823</v>
      </c>
      <c r="I10" s="19">
        <f t="shared" si="0"/>
        <v>0</v>
      </c>
      <c r="J10" s="19">
        <f t="shared" si="0"/>
        <v>19748</v>
      </c>
      <c r="K10" s="19">
        <f t="shared" si="0"/>
        <v>237</v>
      </c>
      <c r="L10" s="19">
        <f>SUM(L2:L9)</f>
        <v>3282</v>
      </c>
      <c r="M10" s="19">
        <f t="shared" si="0"/>
        <v>733</v>
      </c>
      <c r="N10" s="19">
        <f t="shared" si="0"/>
        <v>429</v>
      </c>
      <c r="O10" s="19">
        <f t="shared" si="0"/>
        <v>455</v>
      </c>
      <c r="P10" s="19">
        <f t="shared" si="0"/>
        <v>253</v>
      </c>
      <c r="Q10" s="19">
        <f>SUM(Q2:Q9)</f>
        <v>0</v>
      </c>
      <c r="R10" s="19">
        <f t="shared" si="0"/>
        <v>0</v>
      </c>
      <c r="S10" s="19">
        <f>SUM(S2:S9)</f>
        <v>1520</v>
      </c>
      <c r="T10" s="19">
        <f>SUM(T2:T9)</f>
        <v>904</v>
      </c>
      <c r="U10" s="19">
        <f>SUM(U2:U9)</f>
        <v>13470</v>
      </c>
      <c r="V10" s="19">
        <f t="shared" ref="V10:AE10" si="1">SUM(V2:V9)</f>
        <v>5685499</v>
      </c>
      <c r="W10" s="19">
        <f t="shared" si="1"/>
        <v>3028206</v>
      </c>
      <c r="X10" s="19">
        <f t="shared" si="1"/>
        <v>9974505</v>
      </c>
      <c r="Y10" s="19">
        <f>SUM(Y2:Y9)</f>
        <v>6295</v>
      </c>
      <c r="Z10" s="19">
        <f>SUM(Z2:Z9)</f>
        <v>256</v>
      </c>
      <c r="AA10" s="19">
        <f t="shared" si="1"/>
        <v>2344</v>
      </c>
      <c r="AB10" s="19">
        <f t="shared" si="1"/>
        <v>2293</v>
      </c>
      <c r="AC10" s="19">
        <f t="shared" si="1"/>
        <v>515</v>
      </c>
      <c r="AD10" s="19">
        <f t="shared" si="1"/>
        <v>890</v>
      </c>
      <c r="AE10" s="19">
        <f t="shared" si="1"/>
        <v>0</v>
      </c>
    </row>
    <row r="11" spans="1:31"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row>
    <row r="12" spans="1:31"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row>
    <row r="13" spans="1:31"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v>25033</v>
      </c>
      <c r="Z13" s="16">
        <v>2016</v>
      </c>
      <c r="AA13" s="16"/>
      <c r="AB13" s="16"/>
      <c r="AC13" s="16"/>
      <c r="AD13" s="16"/>
      <c r="AE13" s="16"/>
    </row>
    <row r="14" spans="1:31" s="26" customFormat="1" x14ac:dyDescent="0.25">
      <c r="A14" s="34" t="s">
        <v>10</v>
      </c>
      <c r="B14" s="16">
        <v>531</v>
      </c>
      <c r="C14" s="16"/>
      <c r="D14" s="16">
        <v>147</v>
      </c>
      <c r="E14" s="16">
        <v>0</v>
      </c>
      <c r="F14" s="16"/>
      <c r="G14" s="16">
        <v>21</v>
      </c>
      <c r="H14" s="16">
        <v>828</v>
      </c>
      <c r="I14" s="16"/>
      <c r="J14" s="16">
        <v>5706</v>
      </c>
      <c r="K14" s="16">
        <v>105</v>
      </c>
      <c r="L14" s="16">
        <v>441</v>
      </c>
      <c r="M14" s="16">
        <v>0</v>
      </c>
      <c r="N14" s="16">
        <v>146</v>
      </c>
      <c r="O14" s="16">
        <v>333</v>
      </c>
      <c r="P14" s="16">
        <v>91</v>
      </c>
      <c r="Q14" s="16">
        <v>0</v>
      </c>
      <c r="R14" s="16">
        <v>405</v>
      </c>
      <c r="S14" s="16"/>
      <c r="T14" s="16"/>
      <c r="U14" s="16"/>
      <c r="V14" s="16">
        <v>355958</v>
      </c>
      <c r="W14" s="16">
        <v>141002</v>
      </c>
      <c r="X14" s="16">
        <v>28100</v>
      </c>
      <c r="Y14" s="16"/>
      <c r="Z14" s="16"/>
      <c r="AA14" s="16"/>
      <c r="AB14" s="16"/>
      <c r="AC14" s="16"/>
      <c r="AD14" s="16"/>
      <c r="AE14" s="16"/>
    </row>
    <row r="15" spans="1:31" s="26" customFormat="1" x14ac:dyDescent="0.25">
      <c r="A15" s="34" t="s">
        <v>11</v>
      </c>
      <c r="B15" s="16">
        <f>6432+970</f>
        <v>7402</v>
      </c>
      <c r="C15" s="16">
        <v>0</v>
      </c>
      <c r="D15" s="16">
        <f>947+110</f>
        <v>1057</v>
      </c>
      <c r="E15" s="16">
        <f>249+74</f>
        <v>323</v>
      </c>
      <c r="F15" s="16"/>
      <c r="G15" s="16">
        <f>997+10</f>
        <v>1007</v>
      </c>
      <c r="H15" s="16">
        <v>476</v>
      </c>
      <c r="I15" s="16"/>
      <c r="J15" s="16">
        <v>1089</v>
      </c>
      <c r="K15" s="16">
        <v>60</v>
      </c>
      <c r="L15" s="16">
        <v>1417</v>
      </c>
      <c r="M15" s="16">
        <v>643</v>
      </c>
      <c r="N15" s="16"/>
      <c r="O15" s="16"/>
      <c r="P15" s="16"/>
      <c r="Q15" s="16"/>
      <c r="R15" s="16"/>
      <c r="S15" s="16">
        <v>594</v>
      </c>
      <c r="T15" s="16">
        <v>46</v>
      </c>
      <c r="U15" s="16">
        <f>11130+360</f>
        <v>11490</v>
      </c>
      <c r="V15" s="16">
        <f>3617292+160354</f>
        <v>3777646</v>
      </c>
      <c r="W15" s="16">
        <f>4499553+122840</f>
        <v>4622393</v>
      </c>
      <c r="X15" s="16">
        <f>5966447+187440</f>
        <v>6153887</v>
      </c>
      <c r="Y15" s="16"/>
      <c r="Z15" s="16"/>
      <c r="AA15" s="16"/>
      <c r="AB15" s="16"/>
      <c r="AC15" s="16"/>
      <c r="AD15" s="16"/>
      <c r="AE15" s="16"/>
    </row>
    <row r="16" spans="1:31"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row>
    <row r="17" spans="1:31"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v>424</v>
      </c>
      <c r="AB17" s="16">
        <v>650</v>
      </c>
      <c r="AC17" s="16">
        <v>12</v>
      </c>
      <c r="AD17" s="16">
        <v>915</v>
      </c>
      <c r="AE17" s="16"/>
    </row>
    <row r="18" spans="1:31" s="26" customFormat="1" x14ac:dyDescent="0.25">
      <c r="A18" s="35" t="s">
        <v>14</v>
      </c>
      <c r="B18" s="19">
        <f t="shared" ref="B18:R18" si="2">SUM(B11:B17)</f>
        <v>7933</v>
      </c>
      <c r="C18" s="19">
        <f t="shared" si="2"/>
        <v>0</v>
      </c>
      <c r="D18" s="19">
        <f t="shared" si="2"/>
        <v>1204</v>
      </c>
      <c r="E18" s="19">
        <f t="shared" si="2"/>
        <v>323</v>
      </c>
      <c r="F18" s="19">
        <f t="shared" si="2"/>
        <v>0</v>
      </c>
      <c r="G18" s="19">
        <f t="shared" si="2"/>
        <v>1028</v>
      </c>
      <c r="H18" s="19">
        <f>SUM(H11:H17)</f>
        <v>1304</v>
      </c>
      <c r="I18" s="19">
        <f t="shared" si="2"/>
        <v>0</v>
      </c>
      <c r="J18" s="19">
        <f t="shared" si="2"/>
        <v>6795</v>
      </c>
      <c r="K18" s="19">
        <f t="shared" si="2"/>
        <v>165</v>
      </c>
      <c r="L18" s="19">
        <f>SUM(L11:L17)</f>
        <v>1858</v>
      </c>
      <c r="M18" s="19">
        <f t="shared" si="2"/>
        <v>643</v>
      </c>
      <c r="N18" s="19">
        <f t="shared" si="2"/>
        <v>146</v>
      </c>
      <c r="O18" s="19">
        <f t="shared" si="2"/>
        <v>333</v>
      </c>
      <c r="P18" s="19">
        <f t="shared" si="2"/>
        <v>91</v>
      </c>
      <c r="Q18" s="19">
        <f>SUM(Q11:Q17)</f>
        <v>0</v>
      </c>
      <c r="R18" s="19">
        <f t="shared" si="2"/>
        <v>405</v>
      </c>
      <c r="S18" s="19">
        <f>SUM(S11:S17)</f>
        <v>594</v>
      </c>
      <c r="T18" s="19">
        <f>SUM(T11:T17)</f>
        <v>46</v>
      </c>
      <c r="U18" s="19">
        <f>SUM(U11:U17)</f>
        <v>11490</v>
      </c>
      <c r="V18" s="19">
        <f t="shared" ref="V18:AE18" si="3">SUM(V11:V17)</f>
        <v>4133604</v>
      </c>
      <c r="W18" s="19">
        <f t="shared" si="3"/>
        <v>4763395</v>
      </c>
      <c r="X18" s="19">
        <f t="shared" si="3"/>
        <v>6181987</v>
      </c>
      <c r="Y18" s="19">
        <f>SUM(Y11:Y17)</f>
        <v>25033</v>
      </c>
      <c r="Z18" s="19">
        <f>SUM(Z11:Z17)</f>
        <v>2016</v>
      </c>
      <c r="AA18" s="19">
        <f t="shared" si="3"/>
        <v>424</v>
      </c>
      <c r="AB18" s="19">
        <f t="shared" si="3"/>
        <v>650</v>
      </c>
      <c r="AC18" s="19">
        <f t="shared" si="3"/>
        <v>12</v>
      </c>
      <c r="AD18" s="19">
        <f t="shared" si="3"/>
        <v>915</v>
      </c>
      <c r="AE18" s="19">
        <f t="shared" si="3"/>
        <v>0</v>
      </c>
    </row>
    <row r="19" spans="1:31" s="26" customFormat="1" x14ac:dyDescent="0.25">
      <c r="A19" s="35" t="s">
        <v>15</v>
      </c>
      <c r="B19" s="19">
        <f t="shared" ref="B19:R19" si="4">SUM(B10,B18)</f>
        <v>72686</v>
      </c>
      <c r="C19" s="19">
        <f t="shared" si="4"/>
        <v>6151</v>
      </c>
      <c r="D19" s="19">
        <f t="shared" si="4"/>
        <v>3107</v>
      </c>
      <c r="E19" s="19">
        <f t="shared" si="4"/>
        <v>5098</v>
      </c>
      <c r="F19" s="19">
        <f t="shared" si="4"/>
        <v>0</v>
      </c>
      <c r="G19" s="19">
        <f t="shared" si="4"/>
        <v>5276</v>
      </c>
      <c r="H19" s="19">
        <f>SUM(H10,H18)</f>
        <v>6127</v>
      </c>
      <c r="I19" s="19">
        <f t="shared" si="4"/>
        <v>0</v>
      </c>
      <c r="J19" s="19">
        <f t="shared" si="4"/>
        <v>26543</v>
      </c>
      <c r="K19" s="19">
        <f t="shared" si="4"/>
        <v>402</v>
      </c>
      <c r="L19" s="19">
        <f>SUM(L10,L18)</f>
        <v>5140</v>
      </c>
      <c r="M19" s="19">
        <f t="shared" si="4"/>
        <v>1376</v>
      </c>
      <c r="N19" s="19">
        <f t="shared" si="4"/>
        <v>575</v>
      </c>
      <c r="O19" s="19">
        <f t="shared" si="4"/>
        <v>788</v>
      </c>
      <c r="P19" s="19">
        <f t="shared" si="4"/>
        <v>344</v>
      </c>
      <c r="Q19" s="19">
        <f>SUM(Q10,Q18)</f>
        <v>0</v>
      </c>
      <c r="R19" s="19">
        <f t="shared" si="4"/>
        <v>405</v>
      </c>
      <c r="S19" s="19">
        <f>SUM(S10,S18)</f>
        <v>2114</v>
      </c>
      <c r="T19" s="19">
        <f>SUM(T10,T18)</f>
        <v>950</v>
      </c>
      <c r="U19" s="19">
        <f>SUM(U10,U18)</f>
        <v>24960</v>
      </c>
      <c r="V19" s="19">
        <f t="shared" ref="V19:AE19" si="5">SUM(V10,V18)</f>
        <v>9819103</v>
      </c>
      <c r="W19" s="19">
        <f t="shared" si="5"/>
        <v>7791601</v>
      </c>
      <c r="X19" s="19">
        <f t="shared" si="5"/>
        <v>16156492</v>
      </c>
      <c r="Y19" s="19">
        <f>SUM(Y10,Y18)</f>
        <v>31328</v>
      </c>
      <c r="Z19" s="19">
        <f>SUM(Z10,Z18)</f>
        <v>2272</v>
      </c>
      <c r="AA19" s="19">
        <f t="shared" si="5"/>
        <v>2768</v>
      </c>
      <c r="AB19" s="19">
        <f t="shared" si="5"/>
        <v>2943</v>
      </c>
      <c r="AC19" s="19">
        <f t="shared" si="5"/>
        <v>527</v>
      </c>
      <c r="AD19" s="19">
        <f t="shared" si="5"/>
        <v>1805</v>
      </c>
      <c r="AE19" s="19">
        <f t="shared" si="5"/>
        <v>0</v>
      </c>
    </row>
    <row r="21" spans="1:31"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row>
    <row r="22" spans="1:31"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row>
  </sheetData>
  <sheetProtection formatCells="0" formatColumns="0" formatRows="0" insertColumns="0" insertRows="0" sort="0" autoFilter="0" pivotTables="0"/>
  <dataValidations count="1">
    <dataValidation type="list" errorStyle="information" allowBlank="1" showInputMessage="1" showErrorMessage="1" sqref="B1:AE1" xr:uid="{CDBBDC5A-E951-4C70-AEFB-C47DD25D6508}">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6DC3D845-43AA-4C6B-803F-A903C15C43EB}">
          <x14:formula1>
            <xm:f>'Term List'!$A2:$A242</xm:f>
          </x14:formula1>
          <xm:sqref>AF1:XFD1</xm:sqref>
        </x14:dataValidation>
      </x14:dataValidations>
    </ext>
  </extLs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C1529-708D-42C1-A0CC-3014567F9E04}">
  <sheetPr codeName="Sheet13"/>
  <dimension ref="A1:T23"/>
  <sheetViews>
    <sheetView workbookViewId="0">
      <pane xSplit="1" ySplit="1" topLeftCell="B2" activePane="bottomRight" state="frozen"/>
      <selection activeCell="B3" sqref="B3"/>
      <selection pane="topRight" activeCell="B3" sqref="B3"/>
      <selection pane="bottomLeft" activeCell="B3" sqref="B3"/>
      <selection pane="bottomRight" activeCell="D23" sqref="D23"/>
    </sheetView>
  </sheetViews>
  <sheetFormatPr defaultColWidth="16.140625" defaultRowHeight="15" x14ac:dyDescent="0.25"/>
  <cols>
    <col min="1" max="1" width="35.7109375" style="6" bestFit="1" customWidth="1"/>
    <col min="2" max="20" width="16.140625" style="5"/>
    <col min="21" max="16384" width="16.140625" style="3"/>
  </cols>
  <sheetData>
    <row r="1" spans="1:20" s="14" customFormat="1" ht="30" x14ac:dyDescent="0.25">
      <c r="A1" s="36" t="s">
        <v>373</v>
      </c>
      <c r="B1" s="36" t="s">
        <v>155</v>
      </c>
      <c r="C1" s="36" t="s">
        <v>156</v>
      </c>
      <c r="D1" s="36" t="s">
        <v>154</v>
      </c>
      <c r="E1" s="36" t="s">
        <v>150</v>
      </c>
      <c r="F1" s="36" t="s">
        <v>148</v>
      </c>
      <c r="G1" s="36" t="s">
        <v>314</v>
      </c>
      <c r="H1" s="36" t="s">
        <v>149</v>
      </c>
      <c r="I1" s="36" t="s">
        <v>139</v>
      </c>
      <c r="J1" s="36" t="s">
        <v>130</v>
      </c>
      <c r="K1" s="36" t="s">
        <v>132</v>
      </c>
      <c r="L1" s="36" t="s">
        <v>142</v>
      </c>
      <c r="M1" s="36" t="s">
        <v>144</v>
      </c>
      <c r="N1" s="36" t="s">
        <v>124</v>
      </c>
      <c r="O1" s="31"/>
      <c r="P1" s="31"/>
      <c r="Q1" s="31"/>
      <c r="R1" s="31"/>
      <c r="S1" s="31"/>
      <c r="T1" s="31"/>
    </row>
    <row r="2" spans="1:20" s="26" customFormat="1" x14ac:dyDescent="0.25">
      <c r="A2" s="34" t="s">
        <v>0</v>
      </c>
      <c r="B2" s="16">
        <v>21545</v>
      </c>
      <c r="C2" s="17">
        <v>3017</v>
      </c>
      <c r="D2" s="17">
        <v>381</v>
      </c>
      <c r="E2" s="17">
        <v>3729</v>
      </c>
      <c r="F2" s="17">
        <v>312</v>
      </c>
      <c r="G2" s="17"/>
      <c r="H2" s="17"/>
      <c r="I2" s="17">
        <v>10</v>
      </c>
      <c r="J2" s="17">
        <v>398</v>
      </c>
      <c r="K2" s="17">
        <v>211</v>
      </c>
      <c r="L2" s="17">
        <v>4806</v>
      </c>
      <c r="M2" s="17">
        <v>441</v>
      </c>
      <c r="N2" s="17">
        <v>14662910</v>
      </c>
      <c r="O2" s="17"/>
      <c r="P2" s="17"/>
      <c r="Q2" s="17"/>
      <c r="R2" s="17"/>
      <c r="S2" s="17"/>
      <c r="T2" s="17"/>
    </row>
    <row r="3" spans="1:20" s="26" customFormat="1" x14ac:dyDescent="0.25">
      <c r="A3" s="34" t="s">
        <v>1</v>
      </c>
      <c r="B3" s="16">
        <v>2171</v>
      </c>
      <c r="C3" s="17">
        <v>239</v>
      </c>
      <c r="D3" s="17">
        <v>911</v>
      </c>
      <c r="E3" s="17">
        <v>1594</v>
      </c>
      <c r="F3" s="17">
        <v>394</v>
      </c>
      <c r="G3" s="17"/>
      <c r="H3" s="17"/>
      <c r="I3" s="17">
        <v>0</v>
      </c>
      <c r="J3" s="17">
        <v>51</v>
      </c>
      <c r="K3" s="17">
        <v>34</v>
      </c>
      <c r="L3" s="17">
        <v>201</v>
      </c>
      <c r="M3" s="17">
        <v>63</v>
      </c>
      <c r="N3" s="17">
        <v>178004</v>
      </c>
      <c r="O3" s="17"/>
      <c r="P3" s="17"/>
      <c r="Q3" s="17"/>
      <c r="R3" s="17"/>
      <c r="S3" s="17"/>
      <c r="T3" s="17"/>
    </row>
    <row r="4" spans="1:20" s="26" customFormat="1" x14ac:dyDescent="0.25">
      <c r="A4" s="34" t="s">
        <v>169</v>
      </c>
      <c r="B4" s="16"/>
      <c r="C4" s="17"/>
      <c r="D4" s="17"/>
      <c r="E4" s="17"/>
      <c r="F4" s="17"/>
      <c r="G4" s="17"/>
      <c r="H4" s="17"/>
      <c r="I4" s="17"/>
      <c r="J4" s="17"/>
      <c r="K4" s="17"/>
      <c r="L4" s="17"/>
      <c r="M4" s="17"/>
      <c r="N4" s="17"/>
      <c r="O4" s="17"/>
      <c r="P4" s="17"/>
      <c r="Q4" s="17"/>
      <c r="R4" s="17"/>
      <c r="S4" s="17"/>
      <c r="T4" s="17"/>
    </row>
    <row r="5" spans="1:20" s="26" customFormat="1" x14ac:dyDescent="0.25">
      <c r="A5" s="34" t="s">
        <v>2</v>
      </c>
      <c r="B5" s="16"/>
      <c r="C5" s="17"/>
      <c r="D5" s="17"/>
      <c r="E5" s="17"/>
      <c r="F5" s="17"/>
      <c r="G5" s="17"/>
      <c r="H5" s="17"/>
      <c r="I5" s="17"/>
      <c r="J5" s="17"/>
      <c r="K5" s="17"/>
      <c r="L5" s="17"/>
      <c r="M5" s="17"/>
      <c r="N5" s="17"/>
      <c r="O5" s="17"/>
      <c r="P5" s="17"/>
      <c r="Q5" s="17"/>
      <c r="R5" s="17"/>
      <c r="S5" s="17"/>
      <c r="T5" s="17"/>
    </row>
    <row r="6" spans="1:20" s="26" customFormat="1" x14ac:dyDescent="0.25">
      <c r="A6" s="34" t="s">
        <v>3</v>
      </c>
      <c r="B6" s="16">
        <v>297</v>
      </c>
      <c r="C6" s="17">
        <v>7</v>
      </c>
      <c r="D6" s="17">
        <v>1067</v>
      </c>
      <c r="E6" s="17">
        <v>3301</v>
      </c>
      <c r="F6" s="17">
        <v>168</v>
      </c>
      <c r="G6" s="17"/>
      <c r="H6" s="17"/>
      <c r="I6" s="17">
        <v>2</v>
      </c>
      <c r="J6" s="17">
        <v>0</v>
      </c>
      <c r="K6" s="17">
        <v>6</v>
      </c>
      <c r="L6" s="17">
        <v>220</v>
      </c>
      <c r="M6" s="17">
        <v>0</v>
      </c>
      <c r="N6" s="17">
        <v>74200</v>
      </c>
      <c r="O6" s="17"/>
      <c r="P6" s="17"/>
      <c r="Q6" s="17"/>
      <c r="R6" s="17"/>
      <c r="S6" s="17"/>
      <c r="T6" s="17"/>
    </row>
    <row r="7" spans="1:20" s="26" customFormat="1" x14ac:dyDescent="0.25">
      <c r="A7" s="34" t="s">
        <v>4</v>
      </c>
      <c r="B7" s="16">
        <v>50</v>
      </c>
      <c r="C7" s="17">
        <v>39</v>
      </c>
      <c r="D7" s="17">
        <v>39</v>
      </c>
      <c r="E7" s="17">
        <v>1435</v>
      </c>
      <c r="F7" s="17">
        <v>12</v>
      </c>
      <c r="G7" s="17"/>
      <c r="H7" s="17"/>
      <c r="I7" s="17">
        <v>16</v>
      </c>
      <c r="J7" s="17">
        <v>10</v>
      </c>
      <c r="K7" s="17">
        <v>4</v>
      </c>
      <c r="L7" s="17">
        <v>1278</v>
      </c>
      <c r="M7" s="17">
        <v>43</v>
      </c>
      <c r="N7" s="17">
        <v>39138</v>
      </c>
      <c r="O7" s="17"/>
      <c r="P7" s="17"/>
      <c r="Q7" s="17"/>
      <c r="R7" s="17"/>
      <c r="S7" s="17"/>
      <c r="T7" s="17"/>
    </row>
    <row r="8" spans="1:20" s="26" customFormat="1" x14ac:dyDescent="0.25">
      <c r="A8" s="34" t="s">
        <v>5</v>
      </c>
      <c r="B8" s="16">
        <v>0</v>
      </c>
      <c r="C8" s="17"/>
      <c r="D8" s="17">
        <v>0</v>
      </c>
      <c r="E8" s="17">
        <v>494</v>
      </c>
      <c r="F8" s="17">
        <v>177</v>
      </c>
      <c r="G8" s="17"/>
      <c r="H8" s="17"/>
      <c r="I8" s="17">
        <v>0</v>
      </c>
      <c r="J8" s="17">
        <v>0</v>
      </c>
      <c r="K8" s="17">
        <v>0</v>
      </c>
      <c r="L8" s="17">
        <v>4</v>
      </c>
      <c r="M8" s="17">
        <v>0</v>
      </c>
      <c r="N8" s="17">
        <v>0</v>
      </c>
      <c r="O8" s="17"/>
      <c r="P8" s="17"/>
      <c r="Q8" s="17"/>
      <c r="R8" s="17"/>
      <c r="S8" s="17"/>
      <c r="T8" s="17"/>
    </row>
    <row r="9" spans="1:20" s="26" customFormat="1" x14ac:dyDescent="0.25">
      <c r="A9" s="34" t="s">
        <v>6</v>
      </c>
      <c r="B9" s="16"/>
      <c r="C9" s="17"/>
      <c r="D9" s="17"/>
      <c r="E9" s="17"/>
      <c r="F9" s="17"/>
      <c r="G9" s="17"/>
      <c r="H9" s="17"/>
      <c r="I9" s="17"/>
      <c r="J9" s="17"/>
      <c r="K9" s="17"/>
      <c r="L9" s="17"/>
      <c r="M9" s="17"/>
      <c r="N9" s="17"/>
      <c r="O9" s="17"/>
      <c r="P9" s="17"/>
      <c r="Q9" s="17"/>
      <c r="R9" s="17"/>
      <c r="S9" s="17"/>
      <c r="T9" s="17"/>
    </row>
    <row r="10" spans="1:20" s="26" customFormat="1" x14ac:dyDescent="0.25">
      <c r="A10" s="35" t="s">
        <v>7</v>
      </c>
      <c r="B10" s="19">
        <f>SUM(B2:B9)</f>
        <v>24063</v>
      </c>
      <c r="C10" s="19">
        <f t="shared" ref="C10:T10" si="0">SUM(C2:C9)</f>
        <v>3302</v>
      </c>
      <c r="D10" s="19">
        <f t="shared" si="0"/>
        <v>2398</v>
      </c>
      <c r="E10" s="19">
        <f t="shared" si="0"/>
        <v>10553</v>
      </c>
      <c r="F10" s="19">
        <f t="shared" si="0"/>
        <v>1063</v>
      </c>
      <c r="G10" s="19">
        <f t="shared" si="0"/>
        <v>0</v>
      </c>
      <c r="H10" s="19">
        <f t="shared" si="0"/>
        <v>0</v>
      </c>
      <c r="I10" s="19">
        <f t="shared" si="0"/>
        <v>28</v>
      </c>
      <c r="J10" s="19">
        <f t="shared" si="0"/>
        <v>459</v>
      </c>
      <c r="K10" s="19">
        <f t="shared" si="0"/>
        <v>255</v>
      </c>
      <c r="L10" s="19">
        <f t="shared" si="0"/>
        <v>6509</v>
      </c>
      <c r="M10" s="19">
        <f t="shared" si="0"/>
        <v>547</v>
      </c>
      <c r="N10" s="19">
        <f t="shared" si="0"/>
        <v>14954252</v>
      </c>
      <c r="O10" s="19">
        <f t="shared" si="0"/>
        <v>0</v>
      </c>
      <c r="P10" s="19">
        <f t="shared" si="0"/>
        <v>0</v>
      </c>
      <c r="Q10" s="19">
        <f t="shared" si="0"/>
        <v>0</v>
      </c>
      <c r="R10" s="19">
        <f t="shared" si="0"/>
        <v>0</v>
      </c>
      <c r="S10" s="19">
        <f t="shared" si="0"/>
        <v>0</v>
      </c>
      <c r="T10" s="19">
        <f t="shared" si="0"/>
        <v>0</v>
      </c>
    </row>
    <row r="11" spans="1:20" s="26" customFormat="1" x14ac:dyDescent="0.25">
      <c r="A11" s="34" t="s">
        <v>8</v>
      </c>
      <c r="B11" s="16">
        <v>84539</v>
      </c>
      <c r="C11" s="16">
        <v>1218</v>
      </c>
      <c r="D11" s="16">
        <v>1209</v>
      </c>
      <c r="E11" s="16">
        <v>25219</v>
      </c>
      <c r="F11" s="16">
        <v>827</v>
      </c>
      <c r="G11" s="16"/>
      <c r="H11" s="16"/>
      <c r="I11" s="16">
        <v>14</v>
      </c>
      <c r="J11" s="16">
        <v>1416</v>
      </c>
      <c r="K11" s="16">
        <v>265</v>
      </c>
      <c r="L11" s="16">
        <v>13243</v>
      </c>
      <c r="M11" s="16">
        <v>3667</v>
      </c>
      <c r="N11" s="16">
        <v>10576581</v>
      </c>
      <c r="O11" s="16"/>
      <c r="P11" s="16"/>
      <c r="Q11" s="16"/>
      <c r="R11" s="16"/>
      <c r="S11" s="16"/>
      <c r="T11" s="16"/>
    </row>
    <row r="12" spans="1:20" s="26" customFormat="1" x14ac:dyDescent="0.25">
      <c r="A12" s="34" t="s">
        <v>9</v>
      </c>
      <c r="B12" s="16">
        <v>0</v>
      </c>
      <c r="C12" s="16">
        <v>0</v>
      </c>
      <c r="D12" s="16">
        <v>0</v>
      </c>
      <c r="E12" s="16">
        <v>173</v>
      </c>
      <c r="F12" s="16">
        <v>33</v>
      </c>
      <c r="G12" s="16"/>
      <c r="H12" s="16"/>
      <c r="I12" s="16">
        <v>0</v>
      </c>
      <c r="J12" s="16">
        <v>0</v>
      </c>
      <c r="K12" s="16">
        <v>0</v>
      </c>
      <c r="L12" s="16">
        <v>0</v>
      </c>
      <c r="M12" s="16">
        <v>0</v>
      </c>
      <c r="N12" s="16">
        <v>36400</v>
      </c>
      <c r="O12" s="16"/>
      <c r="P12" s="16"/>
      <c r="Q12" s="16"/>
      <c r="R12" s="16"/>
      <c r="S12" s="16"/>
      <c r="T12" s="16"/>
    </row>
    <row r="13" spans="1:20" s="26" customFormat="1" x14ac:dyDescent="0.25">
      <c r="A13" s="34" t="s">
        <v>164</v>
      </c>
      <c r="B13" s="16"/>
      <c r="C13" s="16"/>
      <c r="D13" s="16"/>
      <c r="E13" s="16"/>
      <c r="F13" s="16"/>
      <c r="G13" s="16"/>
      <c r="H13" s="16"/>
      <c r="I13" s="16"/>
      <c r="J13" s="16"/>
      <c r="K13" s="16"/>
      <c r="L13" s="16"/>
      <c r="M13" s="16"/>
      <c r="N13" s="16"/>
      <c r="O13" s="16"/>
      <c r="P13" s="16"/>
      <c r="Q13" s="16"/>
      <c r="R13" s="16"/>
      <c r="S13" s="16"/>
      <c r="T13" s="16"/>
    </row>
    <row r="14" spans="1:20" s="26" customFormat="1" x14ac:dyDescent="0.25">
      <c r="A14" s="34" t="s">
        <v>10</v>
      </c>
      <c r="B14" s="16">
        <v>84</v>
      </c>
      <c r="C14" s="16">
        <v>25</v>
      </c>
      <c r="D14" s="16">
        <v>106</v>
      </c>
      <c r="E14" s="16">
        <v>2064</v>
      </c>
      <c r="F14" s="16">
        <v>33</v>
      </c>
      <c r="G14" s="16"/>
      <c r="H14" s="16"/>
      <c r="I14" s="16">
        <v>28</v>
      </c>
      <c r="J14" s="16">
        <v>0</v>
      </c>
      <c r="K14" s="16">
        <v>0</v>
      </c>
      <c r="L14" s="16">
        <v>143</v>
      </c>
      <c r="M14" s="16">
        <v>43</v>
      </c>
      <c r="N14" s="16">
        <v>303827</v>
      </c>
      <c r="O14" s="16"/>
      <c r="P14" s="16"/>
      <c r="Q14" s="16"/>
      <c r="R14" s="16"/>
      <c r="S14" s="16"/>
      <c r="T14" s="16"/>
    </row>
    <row r="15" spans="1:20" s="26" customFormat="1" x14ac:dyDescent="0.25">
      <c r="A15" s="34" t="s">
        <v>11</v>
      </c>
      <c r="B15" s="16">
        <v>17</v>
      </c>
      <c r="C15" s="16">
        <v>15</v>
      </c>
      <c r="D15" s="16">
        <v>6</v>
      </c>
      <c r="E15" s="16">
        <v>4244</v>
      </c>
      <c r="F15" s="16">
        <v>4</v>
      </c>
      <c r="G15" s="16"/>
      <c r="H15" s="16"/>
      <c r="I15" s="16">
        <v>188</v>
      </c>
      <c r="J15" s="16">
        <v>6</v>
      </c>
      <c r="K15" s="16">
        <v>0</v>
      </c>
      <c r="L15" s="16">
        <v>1243</v>
      </c>
      <c r="M15" s="16">
        <v>19</v>
      </c>
      <c r="N15" s="16">
        <v>14225</v>
      </c>
      <c r="O15" s="16"/>
      <c r="P15" s="16"/>
      <c r="Q15" s="16"/>
      <c r="R15" s="16"/>
      <c r="S15" s="16"/>
      <c r="T15" s="16"/>
    </row>
    <row r="16" spans="1:20" s="26" customFormat="1" x14ac:dyDescent="0.25">
      <c r="A16" s="34" t="s">
        <v>12</v>
      </c>
      <c r="B16" s="16">
        <v>0</v>
      </c>
      <c r="C16" s="16">
        <v>0</v>
      </c>
      <c r="D16" s="16">
        <v>0</v>
      </c>
      <c r="E16" s="16">
        <v>100</v>
      </c>
      <c r="F16" s="16">
        <v>4</v>
      </c>
      <c r="G16" s="16"/>
      <c r="H16" s="16"/>
      <c r="I16" s="16">
        <v>35</v>
      </c>
      <c r="J16" s="16">
        <v>0</v>
      </c>
      <c r="K16" s="16">
        <v>0</v>
      </c>
      <c r="L16" s="16">
        <v>25</v>
      </c>
      <c r="M16" s="16">
        <v>0</v>
      </c>
      <c r="N16" s="16">
        <v>0</v>
      </c>
      <c r="O16" s="16"/>
      <c r="P16" s="16"/>
      <c r="Q16" s="16"/>
      <c r="R16" s="16"/>
      <c r="S16" s="16"/>
      <c r="T16" s="16"/>
    </row>
    <row r="17" spans="1:20" s="26" customFormat="1" x14ac:dyDescent="0.25">
      <c r="A17" s="34" t="s">
        <v>13</v>
      </c>
      <c r="B17" s="16"/>
      <c r="C17" s="16"/>
      <c r="D17" s="16"/>
      <c r="E17" s="16"/>
      <c r="F17" s="16"/>
      <c r="G17" s="16"/>
      <c r="H17" s="16"/>
      <c r="I17" s="16"/>
      <c r="J17" s="16"/>
      <c r="K17" s="16"/>
      <c r="L17" s="16"/>
      <c r="M17" s="16"/>
      <c r="N17" s="16"/>
      <c r="O17" s="16"/>
      <c r="P17" s="16"/>
      <c r="Q17" s="16"/>
      <c r="R17" s="16"/>
      <c r="S17" s="16"/>
      <c r="T17" s="16"/>
    </row>
    <row r="18" spans="1:20" s="26" customFormat="1" x14ac:dyDescent="0.25">
      <c r="A18" s="35" t="s">
        <v>14</v>
      </c>
      <c r="B18" s="19">
        <f>SUM(B11:B17)</f>
        <v>84640</v>
      </c>
      <c r="C18" s="19">
        <f t="shared" ref="C18:T18" si="1">SUM(C11:C17)</f>
        <v>1258</v>
      </c>
      <c r="D18" s="19">
        <f t="shared" si="1"/>
        <v>1321</v>
      </c>
      <c r="E18" s="19">
        <f t="shared" si="1"/>
        <v>31800</v>
      </c>
      <c r="F18" s="19">
        <f t="shared" si="1"/>
        <v>901</v>
      </c>
      <c r="G18" s="19">
        <f t="shared" si="1"/>
        <v>0</v>
      </c>
      <c r="H18" s="19">
        <f t="shared" si="1"/>
        <v>0</v>
      </c>
      <c r="I18" s="19">
        <f t="shared" si="1"/>
        <v>265</v>
      </c>
      <c r="J18" s="19">
        <f t="shared" si="1"/>
        <v>1422</v>
      </c>
      <c r="K18" s="19">
        <f t="shared" si="1"/>
        <v>265</v>
      </c>
      <c r="L18" s="19">
        <f t="shared" si="1"/>
        <v>14654</v>
      </c>
      <c r="M18" s="19">
        <f t="shared" si="1"/>
        <v>3729</v>
      </c>
      <c r="N18" s="19">
        <f t="shared" si="1"/>
        <v>10931033</v>
      </c>
      <c r="O18" s="19">
        <f t="shared" si="1"/>
        <v>0</v>
      </c>
      <c r="P18" s="19">
        <f t="shared" si="1"/>
        <v>0</v>
      </c>
      <c r="Q18" s="19">
        <f t="shared" si="1"/>
        <v>0</v>
      </c>
      <c r="R18" s="19">
        <f t="shared" si="1"/>
        <v>0</v>
      </c>
      <c r="S18" s="19">
        <f t="shared" si="1"/>
        <v>0</v>
      </c>
      <c r="T18" s="19">
        <f t="shared" si="1"/>
        <v>0</v>
      </c>
    </row>
    <row r="19" spans="1:20" s="26" customFormat="1" x14ac:dyDescent="0.25">
      <c r="A19" s="35" t="s">
        <v>15</v>
      </c>
      <c r="B19" s="19">
        <f>SUM(B10,B18)</f>
        <v>108703</v>
      </c>
      <c r="C19" s="19">
        <f t="shared" ref="C19:T19" si="2">SUM(C10,C18)</f>
        <v>4560</v>
      </c>
      <c r="D19" s="19">
        <f t="shared" si="2"/>
        <v>3719</v>
      </c>
      <c r="E19" s="19">
        <f t="shared" si="2"/>
        <v>42353</v>
      </c>
      <c r="F19" s="19">
        <f t="shared" si="2"/>
        <v>1964</v>
      </c>
      <c r="G19" s="19">
        <f t="shared" si="2"/>
        <v>0</v>
      </c>
      <c r="H19" s="19">
        <f t="shared" si="2"/>
        <v>0</v>
      </c>
      <c r="I19" s="19">
        <f t="shared" si="2"/>
        <v>293</v>
      </c>
      <c r="J19" s="19">
        <f t="shared" si="2"/>
        <v>1881</v>
      </c>
      <c r="K19" s="19">
        <f t="shared" si="2"/>
        <v>520</v>
      </c>
      <c r="L19" s="19">
        <f t="shared" si="2"/>
        <v>21163</v>
      </c>
      <c r="M19" s="19">
        <f t="shared" si="2"/>
        <v>4276</v>
      </c>
      <c r="N19" s="19">
        <f t="shared" si="2"/>
        <v>25885285</v>
      </c>
      <c r="O19" s="19">
        <f t="shared" si="2"/>
        <v>0</v>
      </c>
      <c r="P19" s="19">
        <f t="shared" si="2"/>
        <v>0</v>
      </c>
      <c r="Q19" s="19">
        <f t="shared" si="2"/>
        <v>0</v>
      </c>
      <c r="R19" s="19">
        <f t="shared" si="2"/>
        <v>0</v>
      </c>
      <c r="S19" s="19">
        <f t="shared" si="2"/>
        <v>0</v>
      </c>
      <c r="T19" s="19">
        <f t="shared" si="2"/>
        <v>0</v>
      </c>
    </row>
    <row r="21" spans="1:20" x14ac:dyDescent="0.25">
      <c r="B21" s="44"/>
      <c r="C21" s="44"/>
      <c r="D21" s="44"/>
      <c r="E21" s="44"/>
      <c r="F21" s="44"/>
      <c r="G21" s="44"/>
      <c r="H21" s="44"/>
      <c r="I21" s="44"/>
      <c r="J21" s="44"/>
      <c r="K21" s="44"/>
      <c r="L21" s="44"/>
      <c r="M21" s="44"/>
      <c r="N21" s="44"/>
      <c r="O21" s="44"/>
      <c r="P21" s="44"/>
      <c r="Q21" s="44"/>
      <c r="R21" s="44"/>
      <c r="S21" s="44"/>
      <c r="T21" s="44"/>
    </row>
    <row r="23" spans="1:20" x14ac:dyDescent="0.25">
      <c r="B23" s="44"/>
      <c r="C23" s="44"/>
      <c r="D23" s="44"/>
      <c r="E23" s="44"/>
      <c r="F23" s="44"/>
      <c r="G23" s="44"/>
      <c r="H23" s="44"/>
      <c r="I23" s="44"/>
      <c r="J23" s="44"/>
      <c r="K23" s="44"/>
      <c r="L23" s="44"/>
      <c r="M23" s="44"/>
      <c r="N23" s="44"/>
      <c r="O23" s="44"/>
      <c r="P23" s="44"/>
      <c r="Q23" s="44"/>
      <c r="R23" s="44"/>
      <c r="S23" s="44"/>
      <c r="T23" s="44"/>
    </row>
  </sheetData>
  <sheetProtection formatCells="0" formatColumns="0" formatRows="0" insertColumns="0" insertRows="0" sort="0" autoFilter="0" pivotTables="0"/>
  <dataValidations count="1">
    <dataValidation type="list" errorStyle="information" allowBlank="1" showInputMessage="1" showErrorMessage="1" sqref="B1:T1" xr:uid="{7E1C7965-ACC2-4770-84A9-042F1911E5A8}">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0535A53-4A55-49FF-983D-ED070606FFEA}">
          <x14:formula1>
            <xm:f>'Term List'!$A2:$A242</xm:f>
          </x14:formula1>
          <xm:sqref>U1:XFD1</xm:sqref>
        </x14:dataValidation>
      </x14:dataValidations>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1B4D8-C5A6-49B6-B785-B586300E56EE}">
  <sheetPr codeName="Sheet14"/>
  <dimension ref="A1:AG22"/>
  <sheetViews>
    <sheetView workbookViewId="0">
      <pane xSplit="1" ySplit="1" topLeftCell="B2" activePane="bottomRight" state="frozen"/>
      <selection activeCell="B3" sqref="B3"/>
      <selection pane="topRight" activeCell="B3" sqref="B3"/>
      <selection pane="bottomLeft" activeCell="B3" sqref="B3"/>
      <selection pane="bottomRight" activeCell="B7" sqref="B7"/>
    </sheetView>
  </sheetViews>
  <sheetFormatPr defaultColWidth="15.85546875" defaultRowHeight="15" x14ac:dyDescent="0.25"/>
  <cols>
    <col min="1" max="1" width="35.7109375" style="6" bestFit="1" customWidth="1"/>
    <col min="2" max="2" width="13.7109375" style="5" bestFit="1" customWidth="1"/>
    <col min="3" max="3" width="16.7109375" style="3" bestFit="1" customWidth="1"/>
    <col min="4" max="4" width="13.85546875" style="3" bestFit="1" customWidth="1"/>
    <col min="5" max="5" width="12" style="5" bestFit="1" customWidth="1"/>
    <col min="6" max="6" width="14.28515625" style="5" bestFit="1" customWidth="1"/>
    <col min="7" max="7" width="12" style="5" bestFit="1" customWidth="1"/>
    <col min="8" max="8" width="10.5703125" style="5" bestFit="1" customWidth="1"/>
    <col min="9" max="9" width="12.5703125" style="5" bestFit="1" customWidth="1"/>
    <col min="10" max="10" width="11.85546875" style="3" bestFit="1" customWidth="1"/>
    <col min="11" max="11" width="15" style="5" bestFit="1" customWidth="1"/>
    <col min="12" max="13" width="12" style="5" bestFit="1" customWidth="1"/>
    <col min="14" max="14" width="15.7109375" style="5" bestFit="1" customWidth="1"/>
    <col min="15" max="15" width="9.5703125" style="5" bestFit="1" customWidth="1"/>
    <col min="16" max="16" width="13.28515625" style="5" bestFit="1" customWidth="1"/>
    <col min="17" max="17" width="13.140625" style="5" bestFit="1" customWidth="1"/>
    <col min="18" max="18" width="14.140625" style="5" bestFit="1" customWidth="1"/>
    <col min="19" max="19" width="11.5703125" style="3" bestFit="1" customWidth="1"/>
    <col min="20" max="20" width="14" style="3" bestFit="1" customWidth="1"/>
    <col min="21" max="23" width="15.85546875" style="3"/>
    <col min="24" max="24" width="13.42578125" style="3" bestFit="1" customWidth="1"/>
    <col min="25" max="26" width="10.5703125" style="3" bestFit="1" customWidth="1"/>
    <col min="27" max="27" width="8.5703125" style="3" bestFit="1" customWidth="1"/>
    <col min="28" max="28" width="9" style="3" bestFit="1" customWidth="1"/>
    <col min="29" max="29" width="9.7109375" style="3" bestFit="1" customWidth="1"/>
    <col min="30" max="30" width="15.85546875" style="3"/>
    <col min="31" max="31" width="15.28515625" style="3" bestFit="1" customWidth="1"/>
    <col min="32" max="32" width="15.5703125" style="3" bestFit="1" customWidth="1"/>
    <col min="33" max="33" width="5.140625" style="3" bestFit="1" customWidth="1"/>
    <col min="34" max="16384" width="15.85546875" style="3"/>
  </cols>
  <sheetData>
    <row r="1" spans="1:33" s="40" customFormat="1" ht="30" x14ac:dyDescent="0.25">
      <c r="A1" s="36" t="s">
        <v>374</v>
      </c>
      <c r="B1" s="36" t="s">
        <v>62</v>
      </c>
      <c r="C1" s="126" t="s">
        <v>58</v>
      </c>
      <c r="D1" s="36" t="s">
        <v>57</v>
      </c>
      <c r="E1" s="126" t="s">
        <v>35</v>
      </c>
      <c r="F1" s="36" t="s">
        <v>36</v>
      </c>
      <c r="G1" s="126" t="s">
        <v>39</v>
      </c>
      <c r="H1" s="36" t="s">
        <v>94</v>
      </c>
      <c r="I1" s="126" t="s">
        <v>99</v>
      </c>
      <c r="J1" s="36" t="s">
        <v>570</v>
      </c>
      <c r="K1" s="126" t="s">
        <v>571</v>
      </c>
      <c r="L1" s="36" t="s">
        <v>567</v>
      </c>
      <c r="M1" s="126" t="s">
        <v>569</v>
      </c>
      <c r="N1" s="36" t="s">
        <v>572</v>
      </c>
      <c r="O1" s="126" t="s">
        <v>573</v>
      </c>
      <c r="P1" s="36" t="s">
        <v>28</v>
      </c>
      <c r="Q1" s="126" t="s">
        <v>89</v>
      </c>
      <c r="R1" s="36" t="s">
        <v>45</v>
      </c>
      <c r="S1" s="126" t="s">
        <v>54</v>
      </c>
      <c r="T1" s="36" t="s">
        <v>53</v>
      </c>
      <c r="U1" s="126" t="s">
        <v>351</v>
      </c>
      <c r="V1" s="36" t="s">
        <v>367</v>
      </c>
      <c r="W1" s="126" t="s">
        <v>352</v>
      </c>
      <c r="X1" s="36" t="s">
        <v>75</v>
      </c>
      <c r="Y1" s="126" t="s">
        <v>107</v>
      </c>
      <c r="Z1" s="36" t="s">
        <v>101</v>
      </c>
      <c r="AA1" s="126" t="s">
        <v>65</v>
      </c>
      <c r="AB1" s="36" t="s">
        <v>88</v>
      </c>
      <c r="AC1" s="126" t="s">
        <v>330</v>
      </c>
      <c r="AD1" s="36" t="s">
        <v>331</v>
      </c>
      <c r="AE1" s="126" t="s">
        <v>332</v>
      </c>
      <c r="AF1" s="36" t="s">
        <v>333</v>
      </c>
      <c r="AG1" s="39"/>
    </row>
    <row r="2" spans="1:33" s="26" customFormat="1" x14ac:dyDescent="0.25">
      <c r="A2" s="34" t="s">
        <v>0</v>
      </c>
      <c r="B2" s="16"/>
      <c r="C2" s="17"/>
      <c r="D2" s="16"/>
      <c r="E2" s="17"/>
      <c r="F2" s="16"/>
      <c r="G2" s="17"/>
      <c r="H2" s="16"/>
      <c r="I2" s="17"/>
      <c r="J2" s="16"/>
      <c r="K2" s="17"/>
      <c r="L2" s="16"/>
      <c r="M2" s="17"/>
      <c r="N2" s="16"/>
      <c r="O2" s="17"/>
      <c r="P2" s="16"/>
      <c r="Q2" s="17"/>
      <c r="R2" s="16"/>
      <c r="S2" s="17"/>
      <c r="T2" s="16"/>
      <c r="U2" s="17"/>
      <c r="V2" s="16"/>
      <c r="W2" s="17"/>
      <c r="X2" s="16"/>
      <c r="Y2" s="17"/>
      <c r="Z2" s="16"/>
      <c r="AA2" s="17"/>
      <c r="AB2" s="16"/>
      <c r="AC2" s="17"/>
      <c r="AD2" s="16"/>
      <c r="AE2" s="17"/>
      <c r="AF2" s="16"/>
      <c r="AG2" s="17"/>
    </row>
    <row r="3" spans="1:33" s="26" customFormat="1" x14ac:dyDescent="0.25">
      <c r="A3" s="34" t="s">
        <v>1</v>
      </c>
      <c r="B3" s="16"/>
      <c r="C3" s="17"/>
      <c r="D3" s="16"/>
      <c r="E3" s="17"/>
      <c r="F3" s="16"/>
      <c r="G3" s="17"/>
      <c r="H3" s="16"/>
      <c r="I3" s="17"/>
      <c r="J3" s="16"/>
      <c r="K3" s="17"/>
      <c r="L3" s="16"/>
      <c r="M3" s="17"/>
      <c r="N3" s="16"/>
      <c r="O3" s="17"/>
      <c r="P3" s="16"/>
      <c r="Q3" s="17"/>
      <c r="R3" s="16"/>
      <c r="S3" s="17"/>
      <c r="T3" s="16"/>
      <c r="U3" s="17"/>
      <c r="V3" s="16"/>
      <c r="W3" s="17"/>
      <c r="X3" s="16"/>
      <c r="Y3" s="17"/>
      <c r="Z3" s="16"/>
      <c r="AA3" s="17"/>
      <c r="AB3" s="16"/>
      <c r="AC3" s="17"/>
      <c r="AD3" s="16"/>
      <c r="AE3" s="17"/>
      <c r="AF3" s="16"/>
      <c r="AG3" s="17"/>
    </row>
    <row r="4" spans="1:33" s="26" customFormat="1" x14ac:dyDescent="0.25">
      <c r="A4" s="34" t="s">
        <v>169</v>
      </c>
      <c r="B4" s="16"/>
      <c r="C4" s="17"/>
      <c r="D4" s="16"/>
      <c r="E4" s="17"/>
      <c r="F4" s="16"/>
      <c r="G4" s="17"/>
      <c r="H4" s="16"/>
      <c r="I4" s="17"/>
      <c r="J4" s="16"/>
      <c r="K4" s="17"/>
      <c r="L4" s="16"/>
      <c r="M4" s="17"/>
      <c r="N4" s="16"/>
      <c r="O4" s="17"/>
      <c r="P4" s="16"/>
      <c r="Q4" s="17"/>
      <c r="R4" s="16"/>
      <c r="S4" s="17"/>
      <c r="T4" s="16"/>
      <c r="U4" s="17"/>
      <c r="V4" s="16"/>
      <c r="W4" s="17"/>
      <c r="X4" s="16"/>
      <c r="Y4" s="17"/>
      <c r="Z4" s="16"/>
      <c r="AA4" s="17">
        <v>3334</v>
      </c>
      <c r="AB4" s="16">
        <v>3849</v>
      </c>
      <c r="AC4" s="17"/>
      <c r="AD4" s="16"/>
      <c r="AE4" s="17"/>
      <c r="AF4" s="16"/>
      <c r="AG4" s="17"/>
    </row>
    <row r="5" spans="1:33" s="26" customFormat="1" x14ac:dyDescent="0.25">
      <c r="A5" s="34" t="s">
        <v>2</v>
      </c>
      <c r="B5" s="16"/>
      <c r="C5" s="17"/>
      <c r="D5" s="16"/>
      <c r="E5" s="17"/>
      <c r="F5" s="16"/>
      <c r="G5" s="17"/>
      <c r="H5" s="16"/>
      <c r="I5" s="17"/>
      <c r="J5" s="16"/>
      <c r="K5" s="17"/>
      <c r="L5" s="16"/>
      <c r="M5" s="17"/>
      <c r="N5" s="16"/>
      <c r="O5" s="17"/>
      <c r="P5" s="16"/>
      <c r="Q5" s="17"/>
      <c r="R5" s="16"/>
      <c r="S5" s="17"/>
      <c r="T5" s="16"/>
      <c r="U5" s="17"/>
      <c r="V5" s="16"/>
      <c r="W5" s="17"/>
      <c r="X5" s="16"/>
      <c r="Y5" s="17"/>
      <c r="Z5" s="16"/>
      <c r="AA5" s="17"/>
      <c r="AB5" s="16"/>
      <c r="AC5" s="17"/>
      <c r="AD5" s="16"/>
      <c r="AE5" s="17"/>
      <c r="AF5" s="16"/>
      <c r="AG5" s="17"/>
    </row>
    <row r="6" spans="1:33" s="26" customFormat="1" x14ac:dyDescent="0.25">
      <c r="A6" s="34" t="s">
        <v>3</v>
      </c>
      <c r="B6" s="16"/>
      <c r="C6" s="17"/>
      <c r="D6" s="16">
        <v>1160</v>
      </c>
      <c r="E6" s="17"/>
      <c r="F6" s="16">
        <v>273</v>
      </c>
      <c r="G6" s="17">
        <v>0</v>
      </c>
      <c r="H6" s="16"/>
      <c r="I6" s="17">
        <v>34</v>
      </c>
      <c r="J6" s="16">
        <v>2516</v>
      </c>
      <c r="K6" s="17"/>
      <c r="L6" s="16">
        <v>19757</v>
      </c>
      <c r="M6" s="17">
        <v>911</v>
      </c>
      <c r="N6" s="16">
        <v>2557</v>
      </c>
      <c r="O6" s="17">
        <v>15089</v>
      </c>
      <c r="P6" s="16">
        <v>36</v>
      </c>
      <c r="Q6" s="17">
        <v>214</v>
      </c>
      <c r="R6" s="16">
        <v>48</v>
      </c>
      <c r="S6" s="17">
        <v>0</v>
      </c>
      <c r="T6" s="16">
        <v>8</v>
      </c>
      <c r="U6" s="17"/>
      <c r="V6" s="16"/>
      <c r="W6" s="17"/>
      <c r="X6" s="16">
        <v>359794</v>
      </c>
      <c r="Y6" s="17">
        <v>455301</v>
      </c>
      <c r="Z6" s="16">
        <v>104900</v>
      </c>
      <c r="AA6" s="17"/>
      <c r="AB6" s="16"/>
      <c r="AC6" s="17"/>
      <c r="AD6" s="16"/>
      <c r="AE6" s="17"/>
      <c r="AF6" s="16"/>
      <c r="AG6" s="17"/>
    </row>
    <row r="7" spans="1:33" s="26" customFormat="1" x14ac:dyDescent="0.25">
      <c r="A7" s="34" t="s">
        <v>4</v>
      </c>
      <c r="B7" s="16"/>
      <c r="C7" s="17">
        <f>35251+917</f>
        <v>36168</v>
      </c>
      <c r="D7" s="16"/>
      <c r="E7" s="17">
        <v>2606</v>
      </c>
      <c r="F7" s="16">
        <f>1824+32</f>
        <v>1856</v>
      </c>
      <c r="G7" s="17">
        <v>2833</v>
      </c>
      <c r="H7" s="16"/>
      <c r="I7" s="17">
        <f>2771+6</f>
        <v>2777</v>
      </c>
      <c r="J7" s="16">
        <f>16+26</f>
        <v>42</v>
      </c>
      <c r="K7" s="17"/>
      <c r="L7" s="16">
        <f>1026+2</f>
        <v>1028</v>
      </c>
      <c r="M7" s="17">
        <v>188</v>
      </c>
      <c r="N7" s="16">
        <f>684+7</f>
        <v>691</v>
      </c>
      <c r="O7" s="17">
        <v>6</v>
      </c>
      <c r="P7" s="16"/>
      <c r="Q7" s="17"/>
      <c r="R7" s="16"/>
      <c r="S7" s="17"/>
      <c r="T7" s="16"/>
      <c r="U7" s="17">
        <v>719</v>
      </c>
      <c r="V7" s="16">
        <f>133+27</f>
        <v>160</v>
      </c>
      <c r="W7" s="17">
        <v>9554</v>
      </c>
      <c r="X7" s="16">
        <f>1890823+91000</f>
        <v>1981823</v>
      </c>
      <c r="Y7" s="17">
        <f>1661828+50400</f>
        <v>1712228</v>
      </c>
      <c r="Z7" s="16">
        <f>3895150+160000</f>
        <v>4055150</v>
      </c>
      <c r="AA7" s="17"/>
      <c r="AB7" s="16"/>
      <c r="AC7" s="17"/>
      <c r="AD7" s="16"/>
      <c r="AE7" s="17"/>
      <c r="AF7" s="16"/>
      <c r="AG7" s="17"/>
    </row>
    <row r="8" spans="1:33" s="26" customFormat="1" x14ac:dyDescent="0.25">
      <c r="A8" s="34" t="s">
        <v>5</v>
      </c>
      <c r="B8" s="16"/>
      <c r="C8" s="17"/>
      <c r="D8" s="16"/>
      <c r="E8" s="17"/>
      <c r="F8" s="16"/>
      <c r="G8" s="17"/>
      <c r="H8" s="16"/>
      <c r="I8" s="17"/>
      <c r="J8" s="16"/>
      <c r="K8" s="17"/>
      <c r="L8" s="16"/>
      <c r="M8" s="17"/>
      <c r="N8" s="16"/>
      <c r="O8" s="17"/>
      <c r="P8" s="16"/>
      <c r="Q8" s="17"/>
      <c r="R8" s="16"/>
      <c r="S8" s="17"/>
      <c r="T8" s="16"/>
      <c r="U8" s="17"/>
      <c r="V8" s="16"/>
      <c r="W8" s="17"/>
      <c r="X8" s="16"/>
      <c r="Y8" s="17"/>
      <c r="Z8" s="16"/>
      <c r="AA8" s="17"/>
      <c r="AB8" s="16"/>
      <c r="AC8" s="17"/>
      <c r="AD8" s="16"/>
      <c r="AE8" s="17"/>
      <c r="AF8" s="16"/>
      <c r="AG8" s="17"/>
    </row>
    <row r="9" spans="1:33" s="26" customFormat="1" x14ac:dyDescent="0.25">
      <c r="A9" s="34" t="s">
        <v>6</v>
      </c>
      <c r="B9" s="16"/>
      <c r="C9" s="17"/>
      <c r="D9" s="16"/>
      <c r="E9" s="17"/>
      <c r="F9" s="16"/>
      <c r="G9" s="17"/>
      <c r="H9" s="16"/>
      <c r="I9" s="17"/>
      <c r="J9" s="16"/>
      <c r="K9" s="17"/>
      <c r="L9" s="16"/>
      <c r="M9" s="17"/>
      <c r="N9" s="16"/>
      <c r="O9" s="17"/>
      <c r="P9" s="16"/>
      <c r="Q9" s="17"/>
      <c r="R9" s="16"/>
      <c r="S9" s="17"/>
      <c r="T9" s="16"/>
      <c r="U9" s="17"/>
      <c r="V9" s="16"/>
      <c r="W9" s="17"/>
      <c r="X9" s="16"/>
      <c r="Y9" s="17"/>
      <c r="Z9" s="16"/>
      <c r="AA9" s="17"/>
      <c r="AB9" s="16"/>
      <c r="AC9" s="17">
        <v>1335</v>
      </c>
      <c r="AD9" s="16">
        <v>1475</v>
      </c>
      <c r="AE9" s="17">
        <v>523</v>
      </c>
      <c r="AF9" s="16">
        <v>255</v>
      </c>
      <c r="AG9" s="17"/>
    </row>
    <row r="10" spans="1:33" s="26" customFormat="1" x14ac:dyDescent="0.25">
      <c r="A10" s="35" t="s">
        <v>7</v>
      </c>
      <c r="B10" s="19">
        <f>SUM(B2:B9)</f>
        <v>0</v>
      </c>
      <c r="C10" s="19">
        <f t="shared" ref="C10:T10" si="0">SUM(C2:C9)</f>
        <v>36168</v>
      </c>
      <c r="D10" s="19">
        <f t="shared" si="0"/>
        <v>1160</v>
      </c>
      <c r="E10" s="19">
        <f t="shared" si="0"/>
        <v>2606</v>
      </c>
      <c r="F10" s="19">
        <f t="shared" si="0"/>
        <v>2129</v>
      </c>
      <c r="G10" s="19">
        <f t="shared" si="0"/>
        <v>2833</v>
      </c>
      <c r="H10" s="19">
        <f t="shared" si="0"/>
        <v>0</v>
      </c>
      <c r="I10" s="19">
        <f t="shared" si="0"/>
        <v>2811</v>
      </c>
      <c r="J10" s="19">
        <f>SUM(J2:J9)</f>
        <v>2558</v>
      </c>
      <c r="K10" s="19">
        <f t="shared" si="0"/>
        <v>0</v>
      </c>
      <c r="L10" s="19">
        <f t="shared" si="0"/>
        <v>20785</v>
      </c>
      <c r="M10" s="19">
        <f t="shared" si="0"/>
        <v>1099</v>
      </c>
      <c r="N10" s="19">
        <f>SUM(N2:N9)</f>
        <v>3248</v>
      </c>
      <c r="O10" s="19">
        <f t="shared" si="0"/>
        <v>15095</v>
      </c>
      <c r="P10" s="19">
        <f t="shared" si="0"/>
        <v>36</v>
      </c>
      <c r="Q10" s="19">
        <f t="shared" si="0"/>
        <v>214</v>
      </c>
      <c r="R10" s="19">
        <f t="shared" si="0"/>
        <v>48</v>
      </c>
      <c r="S10" s="19">
        <f>SUM(S2:S9)</f>
        <v>0</v>
      </c>
      <c r="T10" s="19">
        <f t="shared" si="0"/>
        <v>8</v>
      </c>
      <c r="U10" s="19">
        <f>SUM(U2:U9)</f>
        <v>719</v>
      </c>
      <c r="V10" s="19">
        <f>SUM(V2:V9)</f>
        <v>160</v>
      </c>
      <c r="W10" s="19">
        <f>SUM(W2:W9)</f>
        <v>9554</v>
      </c>
      <c r="X10" s="19">
        <f t="shared" ref="X10:AG10" si="1">SUM(X2:X9)</f>
        <v>2341617</v>
      </c>
      <c r="Y10" s="19">
        <f t="shared" si="1"/>
        <v>2167529</v>
      </c>
      <c r="Z10" s="19">
        <f t="shared" si="1"/>
        <v>4160050</v>
      </c>
      <c r="AA10" s="19">
        <f>SUM(AA2:AA9)</f>
        <v>3334</v>
      </c>
      <c r="AB10" s="19">
        <f>SUM(AB2:AB9)</f>
        <v>3849</v>
      </c>
      <c r="AC10" s="19">
        <f t="shared" si="1"/>
        <v>1335</v>
      </c>
      <c r="AD10" s="19">
        <f t="shared" si="1"/>
        <v>1475</v>
      </c>
      <c r="AE10" s="19">
        <f t="shared" si="1"/>
        <v>523</v>
      </c>
      <c r="AF10" s="19">
        <f t="shared" si="1"/>
        <v>255</v>
      </c>
      <c r="AG10" s="19">
        <f t="shared" si="1"/>
        <v>0</v>
      </c>
    </row>
    <row r="11" spans="1:33" s="26" customFormat="1" x14ac:dyDescent="0.25">
      <c r="A11" s="34" t="s">
        <v>8</v>
      </c>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row>
    <row r="12" spans="1:33"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row>
    <row r="13" spans="1:33"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v>19052</v>
      </c>
      <c r="AB13" s="16">
        <v>2782</v>
      </c>
      <c r="AC13" s="16"/>
      <c r="AD13" s="16"/>
      <c r="AE13" s="16"/>
      <c r="AF13" s="16"/>
      <c r="AG13" s="16"/>
    </row>
    <row r="14" spans="1:33" s="26" customFormat="1" x14ac:dyDescent="0.25">
      <c r="A14" s="34" t="s">
        <v>10</v>
      </c>
      <c r="B14" s="16"/>
      <c r="C14" s="16"/>
      <c r="D14" s="16">
        <v>124</v>
      </c>
      <c r="E14" s="16"/>
      <c r="F14" s="16">
        <v>25</v>
      </c>
      <c r="G14" s="16">
        <v>17</v>
      </c>
      <c r="H14" s="16"/>
      <c r="I14" s="16">
        <v>0</v>
      </c>
      <c r="J14" s="16">
        <v>924</v>
      </c>
      <c r="K14" s="16"/>
      <c r="L14" s="16">
        <v>11081</v>
      </c>
      <c r="M14" s="16">
        <v>664</v>
      </c>
      <c r="N14" s="16">
        <v>929</v>
      </c>
      <c r="O14" s="16">
        <v>4941</v>
      </c>
      <c r="P14" s="16">
        <v>8</v>
      </c>
      <c r="Q14" s="16">
        <v>0</v>
      </c>
      <c r="R14" s="16">
        <v>131</v>
      </c>
      <c r="S14" s="16">
        <v>27</v>
      </c>
      <c r="T14" s="16">
        <v>51</v>
      </c>
      <c r="U14" s="16"/>
      <c r="V14" s="16"/>
      <c r="W14" s="16"/>
      <c r="X14" s="16">
        <v>445629</v>
      </c>
      <c r="Y14" s="16">
        <v>170601</v>
      </c>
      <c r="Z14" s="16">
        <v>97500</v>
      </c>
      <c r="AA14" s="16"/>
      <c r="AB14" s="16"/>
      <c r="AC14" s="16"/>
      <c r="AD14" s="16"/>
      <c r="AE14" s="16"/>
      <c r="AF14" s="16"/>
      <c r="AG14" s="16"/>
    </row>
    <row r="15" spans="1:33" s="26" customFormat="1" x14ac:dyDescent="0.25">
      <c r="A15" s="34" t="s">
        <v>11</v>
      </c>
      <c r="B15" s="16"/>
      <c r="C15" s="16">
        <f>6805+100</f>
        <v>6905</v>
      </c>
      <c r="D15" s="16"/>
      <c r="E15" s="16">
        <v>0</v>
      </c>
      <c r="F15" s="16">
        <f>640+50</f>
        <v>690</v>
      </c>
      <c r="G15" s="16">
        <v>826</v>
      </c>
      <c r="H15" s="16"/>
      <c r="I15" s="16">
        <f>429+185</f>
        <v>614</v>
      </c>
      <c r="J15" s="16">
        <v>361</v>
      </c>
      <c r="K15" s="16"/>
      <c r="L15" s="16">
        <v>1780</v>
      </c>
      <c r="M15" s="16">
        <v>513</v>
      </c>
      <c r="N15" s="16">
        <v>731</v>
      </c>
      <c r="O15" s="16">
        <v>111</v>
      </c>
      <c r="P15" s="16"/>
      <c r="Q15" s="16"/>
      <c r="R15" s="16"/>
      <c r="S15" s="16"/>
      <c r="T15" s="16"/>
      <c r="U15" s="16">
        <v>0</v>
      </c>
      <c r="V15" s="16"/>
      <c r="W15" s="16">
        <f>5870+450</f>
        <v>6320</v>
      </c>
      <c r="X15" s="16">
        <f>2186535+6900</f>
        <v>2193435</v>
      </c>
      <c r="Y15" s="16">
        <f>1995651+18100</f>
        <v>2013751</v>
      </c>
      <c r="Z15" s="16">
        <f>1177640+23900</f>
        <v>1201540</v>
      </c>
      <c r="AA15" s="16"/>
      <c r="AB15" s="16"/>
      <c r="AC15" s="16"/>
      <c r="AD15" s="16"/>
      <c r="AE15" s="16"/>
      <c r="AF15" s="16"/>
      <c r="AG15" s="16"/>
    </row>
    <row r="16" spans="1:33"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row>
    <row r="17" spans="1:33"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v>190</v>
      </c>
      <c r="AD17" s="16">
        <v>220</v>
      </c>
      <c r="AE17" s="16">
        <v>13</v>
      </c>
      <c r="AF17" s="16">
        <v>869</v>
      </c>
      <c r="AG17" s="16"/>
    </row>
    <row r="18" spans="1:33" s="26" customFormat="1" x14ac:dyDescent="0.25">
      <c r="A18" s="35" t="s">
        <v>14</v>
      </c>
      <c r="B18" s="19">
        <f>SUM(B11:B17)</f>
        <v>0</v>
      </c>
      <c r="C18" s="19">
        <f t="shared" ref="C18:T18" si="2">SUM(C11:C17)</f>
        <v>6905</v>
      </c>
      <c r="D18" s="19">
        <f t="shared" si="2"/>
        <v>124</v>
      </c>
      <c r="E18" s="19">
        <f t="shared" si="2"/>
        <v>0</v>
      </c>
      <c r="F18" s="19">
        <f t="shared" si="2"/>
        <v>715</v>
      </c>
      <c r="G18" s="19">
        <f t="shared" si="2"/>
        <v>843</v>
      </c>
      <c r="H18" s="19">
        <f t="shared" si="2"/>
        <v>0</v>
      </c>
      <c r="I18" s="19">
        <f t="shared" si="2"/>
        <v>614</v>
      </c>
      <c r="J18" s="19">
        <f>SUM(J11:J17)</f>
        <v>1285</v>
      </c>
      <c r="K18" s="19">
        <f t="shared" si="2"/>
        <v>0</v>
      </c>
      <c r="L18" s="19">
        <f t="shared" si="2"/>
        <v>12861</v>
      </c>
      <c r="M18" s="19">
        <f t="shared" si="2"/>
        <v>1177</v>
      </c>
      <c r="N18" s="19">
        <f>SUM(N11:N17)</f>
        <v>1660</v>
      </c>
      <c r="O18" s="19">
        <f t="shared" si="2"/>
        <v>5052</v>
      </c>
      <c r="P18" s="19">
        <f t="shared" si="2"/>
        <v>8</v>
      </c>
      <c r="Q18" s="19">
        <f t="shared" si="2"/>
        <v>0</v>
      </c>
      <c r="R18" s="19">
        <f t="shared" si="2"/>
        <v>131</v>
      </c>
      <c r="S18" s="19">
        <f>SUM(S11:S17)</f>
        <v>27</v>
      </c>
      <c r="T18" s="19">
        <f t="shared" si="2"/>
        <v>51</v>
      </c>
      <c r="U18" s="19">
        <f>SUM(U11:U17)</f>
        <v>0</v>
      </c>
      <c r="V18" s="19">
        <f>SUM(V11:V17)</f>
        <v>0</v>
      </c>
      <c r="W18" s="19">
        <f>SUM(W11:W17)</f>
        <v>6320</v>
      </c>
      <c r="X18" s="19">
        <f t="shared" ref="X18:AG18" si="3">SUM(X11:X17)</f>
        <v>2639064</v>
      </c>
      <c r="Y18" s="19">
        <f t="shared" si="3"/>
        <v>2184352</v>
      </c>
      <c r="Z18" s="19">
        <f t="shared" si="3"/>
        <v>1299040</v>
      </c>
      <c r="AA18" s="19">
        <f>SUM(AA11:AA17)</f>
        <v>19052</v>
      </c>
      <c r="AB18" s="19">
        <f>SUM(AB11:AB17)</f>
        <v>2782</v>
      </c>
      <c r="AC18" s="19">
        <f t="shared" si="3"/>
        <v>190</v>
      </c>
      <c r="AD18" s="19">
        <f t="shared" si="3"/>
        <v>220</v>
      </c>
      <c r="AE18" s="19">
        <f t="shared" si="3"/>
        <v>13</v>
      </c>
      <c r="AF18" s="19">
        <f t="shared" si="3"/>
        <v>869</v>
      </c>
      <c r="AG18" s="19">
        <f t="shared" si="3"/>
        <v>0</v>
      </c>
    </row>
    <row r="19" spans="1:33" s="26" customFormat="1" x14ac:dyDescent="0.25">
      <c r="A19" s="35" t="s">
        <v>15</v>
      </c>
      <c r="B19" s="19">
        <f>SUM(B10,B18)</f>
        <v>0</v>
      </c>
      <c r="C19" s="19">
        <f t="shared" ref="C19:T19" si="4">SUM(C10,C18)</f>
        <v>43073</v>
      </c>
      <c r="D19" s="19">
        <f t="shared" si="4"/>
        <v>1284</v>
      </c>
      <c r="E19" s="19">
        <f t="shared" si="4"/>
        <v>2606</v>
      </c>
      <c r="F19" s="19">
        <f t="shared" si="4"/>
        <v>2844</v>
      </c>
      <c r="G19" s="19">
        <f t="shared" si="4"/>
        <v>3676</v>
      </c>
      <c r="H19" s="19">
        <f t="shared" si="4"/>
        <v>0</v>
      </c>
      <c r="I19" s="19">
        <f t="shared" si="4"/>
        <v>3425</v>
      </c>
      <c r="J19" s="19">
        <f>SUM(J10,J18)</f>
        <v>3843</v>
      </c>
      <c r="K19" s="19">
        <f t="shared" si="4"/>
        <v>0</v>
      </c>
      <c r="L19" s="19">
        <f t="shared" si="4"/>
        <v>33646</v>
      </c>
      <c r="M19" s="19">
        <f t="shared" si="4"/>
        <v>2276</v>
      </c>
      <c r="N19" s="19">
        <f>SUM(N10,N18)</f>
        <v>4908</v>
      </c>
      <c r="O19" s="19">
        <f t="shared" si="4"/>
        <v>20147</v>
      </c>
      <c r="P19" s="19">
        <f t="shared" si="4"/>
        <v>44</v>
      </c>
      <c r="Q19" s="19">
        <f t="shared" si="4"/>
        <v>214</v>
      </c>
      <c r="R19" s="19">
        <f t="shared" si="4"/>
        <v>179</v>
      </c>
      <c r="S19" s="19">
        <f>SUM(S10,S18)</f>
        <v>27</v>
      </c>
      <c r="T19" s="19">
        <f t="shared" si="4"/>
        <v>59</v>
      </c>
      <c r="U19" s="19">
        <f>SUM(U10,U18)</f>
        <v>719</v>
      </c>
      <c r="V19" s="19">
        <f>SUM(V10,V18)</f>
        <v>160</v>
      </c>
      <c r="W19" s="19">
        <f>SUM(W10,W18)</f>
        <v>15874</v>
      </c>
      <c r="X19" s="19">
        <f t="shared" ref="X19:AG19" si="5">SUM(X10,X18)</f>
        <v>4980681</v>
      </c>
      <c r="Y19" s="19">
        <f t="shared" si="5"/>
        <v>4351881</v>
      </c>
      <c r="Z19" s="19">
        <f t="shared" si="5"/>
        <v>5459090</v>
      </c>
      <c r="AA19" s="19">
        <f>SUM(AA10,AA18)</f>
        <v>22386</v>
      </c>
      <c r="AB19" s="19">
        <f>SUM(AB10,AB18)</f>
        <v>6631</v>
      </c>
      <c r="AC19" s="19">
        <f t="shared" si="5"/>
        <v>1525</v>
      </c>
      <c r="AD19" s="19">
        <f t="shared" si="5"/>
        <v>1695</v>
      </c>
      <c r="AE19" s="19">
        <f t="shared" si="5"/>
        <v>536</v>
      </c>
      <c r="AF19" s="19">
        <f t="shared" si="5"/>
        <v>1124</v>
      </c>
      <c r="AG19" s="19">
        <f t="shared" si="5"/>
        <v>0</v>
      </c>
    </row>
    <row r="21" spans="1:33"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row>
    <row r="22" spans="1:33" x14ac:dyDescent="0.25">
      <c r="B22" s="44"/>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row>
  </sheetData>
  <sheetProtection formatCells="0" formatColumns="0" formatRows="0" insertColumns="0" insertRows="0" sort="0" autoFilter="0" pivotTables="0"/>
  <dataValidations count="1">
    <dataValidation type="list" errorStyle="information" allowBlank="1" showInputMessage="1" showErrorMessage="1" sqref="B1:AG1" xr:uid="{72C6ADDE-6200-4730-B4FB-7044DD51D10C}">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52C7B81-2FAD-4185-BC92-2910B38DD887}">
          <x14:formula1>
            <xm:f>'Term List'!$A2:$A242</xm:f>
          </x14:formula1>
          <xm:sqref>AH1:XFD1</xm:sqref>
        </x14:dataValidation>
      </x14:dataValidations>
    </ext>
  </extLs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8DE53-67C8-4CAF-838D-4DEEC0B0BF14}">
  <sheetPr codeName="Sheet15"/>
  <dimension ref="A1:N23"/>
  <sheetViews>
    <sheetView workbookViewId="0">
      <pane xSplit="1" ySplit="1" topLeftCell="B2" activePane="bottomRight" state="frozen"/>
      <selection activeCell="B3" sqref="B3"/>
      <selection pane="topRight" activeCell="B3" sqref="B3"/>
      <selection pane="bottomLeft" activeCell="B3" sqref="B3"/>
      <selection pane="bottomRight" activeCell="E13" sqref="E13"/>
    </sheetView>
  </sheetViews>
  <sheetFormatPr defaultColWidth="13" defaultRowHeight="15" x14ac:dyDescent="0.25"/>
  <cols>
    <col min="1" max="1" width="35.7109375" style="6" bestFit="1" customWidth="1"/>
    <col min="2" max="14" width="13" style="5"/>
    <col min="15" max="16384" width="13" style="3"/>
  </cols>
  <sheetData>
    <row r="1" spans="1:14" s="14" customFormat="1" ht="30" x14ac:dyDescent="0.25">
      <c r="A1" s="36" t="s">
        <v>375</v>
      </c>
      <c r="B1" s="36" t="s">
        <v>155</v>
      </c>
      <c r="C1" s="36" t="s">
        <v>156</v>
      </c>
      <c r="D1" s="36" t="s">
        <v>154</v>
      </c>
      <c r="E1" s="36" t="s">
        <v>150</v>
      </c>
      <c r="F1" s="36" t="s">
        <v>148</v>
      </c>
      <c r="G1" s="36" t="s">
        <v>314</v>
      </c>
      <c r="H1" s="36" t="s">
        <v>149</v>
      </c>
      <c r="I1" s="36" t="s">
        <v>139</v>
      </c>
      <c r="J1" s="36" t="s">
        <v>130</v>
      </c>
      <c r="K1" s="36" t="s">
        <v>132</v>
      </c>
      <c r="L1" s="36" t="s">
        <v>142</v>
      </c>
      <c r="M1" s="36" t="s">
        <v>144</v>
      </c>
      <c r="N1" s="36" t="s">
        <v>124</v>
      </c>
    </row>
    <row r="2" spans="1:14" s="26" customFormat="1" x14ac:dyDescent="0.25">
      <c r="A2" s="34" t="s">
        <v>0</v>
      </c>
      <c r="B2" s="16">
        <v>21236</v>
      </c>
      <c r="C2" s="17">
        <v>3077</v>
      </c>
      <c r="D2" s="17">
        <v>984</v>
      </c>
      <c r="E2" s="17">
        <v>5256</v>
      </c>
      <c r="F2" s="17">
        <v>392</v>
      </c>
      <c r="G2" s="17"/>
      <c r="H2" s="17"/>
      <c r="I2" s="17">
        <v>30</v>
      </c>
      <c r="J2" s="17">
        <v>292</v>
      </c>
      <c r="K2" s="17">
        <v>505</v>
      </c>
      <c r="L2" s="17">
        <v>485</v>
      </c>
      <c r="M2" s="17">
        <v>2926</v>
      </c>
      <c r="N2" s="17">
        <v>13185494</v>
      </c>
    </row>
    <row r="3" spans="1:14" s="26" customFormat="1" x14ac:dyDescent="0.25">
      <c r="A3" s="34" t="s">
        <v>1</v>
      </c>
      <c r="B3" s="16">
        <v>2256</v>
      </c>
      <c r="C3" s="17">
        <v>923</v>
      </c>
      <c r="D3" s="17">
        <v>990</v>
      </c>
      <c r="E3" s="17">
        <v>2859</v>
      </c>
      <c r="F3" s="17">
        <v>634</v>
      </c>
      <c r="G3" s="17"/>
      <c r="H3" s="17"/>
      <c r="I3" s="17">
        <v>0</v>
      </c>
      <c r="J3" s="17">
        <v>49</v>
      </c>
      <c r="K3" s="17">
        <v>48</v>
      </c>
      <c r="L3" s="17">
        <v>92</v>
      </c>
      <c r="M3" s="17">
        <v>298</v>
      </c>
      <c r="N3" s="17">
        <v>388430</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117</v>
      </c>
      <c r="C6" s="17">
        <v>4</v>
      </c>
      <c r="D6" s="17">
        <v>901</v>
      </c>
      <c r="E6" s="17">
        <v>2764</v>
      </c>
      <c r="F6" s="17">
        <v>193</v>
      </c>
      <c r="G6" s="17"/>
      <c r="H6" s="17"/>
      <c r="I6" s="17">
        <v>55</v>
      </c>
      <c r="J6" s="17">
        <v>2</v>
      </c>
      <c r="K6" s="17">
        <v>233</v>
      </c>
      <c r="L6" s="17">
        <v>27</v>
      </c>
      <c r="M6" s="17">
        <v>304</v>
      </c>
      <c r="N6" s="17">
        <v>254151</v>
      </c>
    </row>
    <row r="7" spans="1:14" s="26" customFormat="1" x14ac:dyDescent="0.25">
      <c r="A7" s="34" t="s">
        <v>4</v>
      </c>
      <c r="B7" s="16">
        <v>73</v>
      </c>
      <c r="C7" s="17">
        <v>38</v>
      </c>
      <c r="D7" s="17">
        <v>8</v>
      </c>
      <c r="E7" s="17">
        <v>1180</v>
      </c>
      <c r="F7" s="17">
        <v>1</v>
      </c>
      <c r="G7" s="17"/>
      <c r="H7" s="17"/>
      <c r="I7" s="17">
        <v>3</v>
      </c>
      <c r="J7" s="17">
        <v>40</v>
      </c>
      <c r="K7" s="17">
        <v>208</v>
      </c>
      <c r="L7" s="17">
        <v>136</v>
      </c>
      <c r="M7" s="17">
        <v>1366</v>
      </c>
      <c r="N7" s="17">
        <v>1096665</v>
      </c>
    </row>
    <row r="8" spans="1:14" s="26" customFormat="1" x14ac:dyDescent="0.25">
      <c r="A8" s="34" t="s">
        <v>5</v>
      </c>
      <c r="B8" s="16">
        <v>0</v>
      </c>
      <c r="C8" s="17">
        <v>0</v>
      </c>
      <c r="D8" s="17">
        <v>0</v>
      </c>
      <c r="E8" s="17">
        <v>313</v>
      </c>
      <c r="F8" s="17">
        <v>146</v>
      </c>
      <c r="G8" s="17"/>
      <c r="H8" s="17"/>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SUM(B2:B9)</f>
        <v>23682</v>
      </c>
      <c r="C10" s="19">
        <f t="shared" ref="C10:N10" si="0">SUM(C2:C9)</f>
        <v>4042</v>
      </c>
      <c r="D10" s="19">
        <f t="shared" si="0"/>
        <v>2883</v>
      </c>
      <c r="E10" s="19">
        <f t="shared" si="0"/>
        <v>12372</v>
      </c>
      <c r="F10" s="19">
        <f t="shared" si="0"/>
        <v>1366</v>
      </c>
      <c r="G10" s="19">
        <f t="shared" si="0"/>
        <v>0</v>
      </c>
      <c r="H10" s="19">
        <f t="shared" si="0"/>
        <v>0</v>
      </c>
      <c r="I10" s="19">
        <f t="shared" si="0"/>
        <v>88</v>
      </c>
      <c r="J10" s="19">
        <f t="shared" si="0"/>
        <v>383</v>
      </c>
      <c r="K10" s="19">
        <f t="shared" si="0"/>
        <v>994</v>
      </c>
      <c r="L10" s="19">
        <f t="shared" si="0"/>
        <v>740</v>
      </c>
      <c r="M10" s="19">
        <f t="shared" si="0"/>
        <v>4894</v>
      </c>
      <c r="N10" s="19">
        <f t="shared" si="0"/>
        <v>14924740</v>
      </c>
    </row>
    <row r="11" spans="1:14" s="26" customFormat="1" x14ac:dyDescent="0.25">
      <c r="A11" s="34" t="s">
        <v>8</v>
      </c>
      <c r="B11" s="16">
        <v>80675</v>
      </c>
      <c r="C11" s="16">
        <v>10537</v>
      </c>
      <c r="D11" s="16">
        <v>564</v>
      </c>
      <c r="E11" s="16">
        <v>25905</v>
      </c>
      <c r="F11" s="16">
        <v>1220</v>
      </c>
      <c r="G11" s="16"/>
      <c r="H11" s="16"/>
      <c r="I11" s="16">
        <v>88</v>
      </c>
      <c r="J11" s="16">
        <v>176</v>
      </c>
      <c r="K11" s="16">
        <v>1324</v>
      </c>
      <c r="L11" s="16">
        <v>306</v>
      </c>
      <c r="M11" s="16">
        <v>17452</v>
      </c>
      <c r="N11" s="16">
        <v>10525811</v>
      </c>
    </row>
    <row r="12" spans="1:14" s="26" customFormat="1" x14ac:dyDescent="0.25">
      <c r="A12" s="34" t="s">
        <v>9</v>
      </c>
      <c r="B12" s="16"/>
      <c r="C12" s="16"/>
      <c r="D12" s="16"/>
      <c r="E12" s="16"/>
      <c r="F12" s="16"/>
      <c r="G12" s="16"/>
      <c r="H12" s="16"/>
      <c r="I12" s="16"/>
      <c r="J12" s="16"/>
      <c r="K12" s="16"/>
      <c r="L12" s="16"/>
      <c r="M12" s="16"/>
      <c r="N12" s="16"/>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101</v>
      </c>
      <c r="C14" s="16">
        <v>17</v>
      </c>
      <c r="D14" s="16">
        <v>87</v>
      </c>
      <c r="E14" s="16">
        <v>2597</v>
      </c>
      <c r="F14" s="16">
        <v>130</v>
      </c>
      <c r="G14" s="16"/>
      <c r="H14" s="16"/>
      <c r="I14" s="16">
        <v>25</v>
      </c>
      <c r="J14" s="16">
        <v>7</v>
      </c>
      <c r="K14" s="16">
        <v>3</v>
      </c>
      <c r="L14" s="16">
        <v>109</v>
      </c>
      <c r="M14" s="16">
        <v>189</v>
      </c>
      <c r="N14" s="16">
        <v>125617</v>
      </c>
    </row>
    <row r="15" spans="1:14" s="26" customFormat="1" x14ac:dyDescent="0.25">
      <c r="A15" s="34" t="s">
        <v>11</v>
      </c>
      <c r="B15" s="16">
        <v>5</v>
      </c>
      <c r="C15" s="16">
        <v>0</v>
      </c>
      <c r="D15" s="16">
        <v>0</v>
      </c>
      <c r="E15" s="16">
        <v>2423</v>
      </c>
      <c r="F15" s="16">
        <v>0</v>
      </c>
      <c r="G15" s="16"/>
      <c r="H15" s="16"/>
      <c r="I15" s="16">
        <v>29</v>
      </c>
      <c r="J15" s="16">
        <v>6</v>
      </c>
      <c r="K15" s="16">
        <v>0</v>
      </c>
      <c r="L15" s="16">
        <v>22</v>
      </c>
      <c r="M15" s="16">
        <v>1487</v>
      </c>
      <c r="N15" s="16">
        <v>10500</v>
      </c>
    </row>
    <row r="16" spans="1:14" s="26" customFormat="1" x14ac:dyDescent="0.25">
      <c r="A16" s="34" t="s">
        <v>12</v>
      </c>
      <c r="B16" s="16">
        <v>0</v>
      </c>
      <c r="C16" s="16">
        <v>0</v>
      </c>
      <c r="D16" s="16">
        <v>0</v>
      </c>
      <c r="E16" s="16">
        <v>195</v>
      </c>
      <c r="F16" s="16">
        <v>1</v>
      </c>
      <c r="G16" s="16"/>
      <c r="H16" s="16"/>
      <c r="I16" s="16">
        <v>0</v>
      </c>
      <c r="J16" s="16">
        <v>0</v>
      </c>
      <c r="K16" s="16">
        <v>0</v>
      </c>
      <c r="L16" s="16">
        <v>0</v>
      </c>
      <c r="M16" s="16">
        <v>0</v>
      </c>
      <c r="N16" s="16">
        <v>0</v>
      </c>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SUM(B11:B17)</f>
        <v>80781</v>
      </c>
      <c r="C18" s="19">
        <f t="shared" ref="C18:N18" si="1">SUM(C11:C17)</f>
        <v>10554</v>
      </c>
      <c r="D18" s="19">
        <f t="shared" si="1"/>
        <v>651</v>
      </c>
      <c r="E18" s="19">
        <f t="shared" si="1"/>
        <v>31120</v>
      </c>
      <c r="F18" s="19">
        <f t="shared" si="1"/>
        <v>1351</v>
      </c>
      <c r="G18" s="19">
        <f t="shared" si="1"/>
        <v>0</v>
      </c>
      <c r="H18" s="19">
        <f t="shared" si="1"/>
        <v>0</v>
      </c>
      <c r="I18" s="19">
        <f t="shared" si="1"/>
        <v>142</v>
      </c>
      <c r="J18" s="19">
        <f t="shared" si="1"/>
        <v>189</v>
      </c>
      <c r="K18" s="19">
        <f t="shared" si="1"/>
        <v>1327</v>
      </c>
      <c r="L18" s="19">
        <f t="shared" si="1"/>
        <v>437</v>
      </c>
      <c r="M18" s="19">
        <f t="shared" si="1"/>
        <v>19128</v>
      </c>
      <c r="N18" s="19">
        <f t="shared" si="1"/>
        <v>10661928</v>
      </c>
    </row>
    <row r="19" spans="1:14" s="26" customFormat="1" x14ac:dyDescent="0.25">
      <c r="A19" s="35" t="s">
        <v>15</v>
      </c>
      <c r="B19" s="19">
        <f>SUM(B10,B18)</f>
        <v>104463</v>
      </c>
      <c r="C19" s="19">
        <f t="shared" ref="C19:N19" si="2">SUM(C10,C18)</f>
        <v>14596</v>
      </c>
      <c r="D19" s="19">
        <f t="shared" si="2"/>
        <v>3534</v>
      </c>
      <c r="E19" s="19">
        <f t="shared" si="2"/>
        <v>43492</v>
      </c>
      <c r="F19" s="19">
        <f t="shared" si="2"/>
        <v>2717</v>
      </c>
      <c r="G19" s="19">
        <f t="shared" si="2"/>
        <v>0</v>
      </c>
      <c r="H19" s="19">
        <f t="shared" si="2"/>
        <v>0</v>
      </c>
      <c r="I19" s="19">
        <f t="shared" si="2"/>
        <v>230</v>
      </c>
      <c r="J19" s="19">
        <f t="shared" si="2"/>
        <v>572</v>
      </c>
      <c r="K19" s="19">
        <f t="shared" si="2"/>
        <v>2321</v>
      </c>
      <c r="L19" s="19">
        <f t="shared" si="2"/>
        <v>1177</v>
      </c>
      <c r="M19" s="19">
        <f t="shared" si="2"/>
        <v>24022</v>
      </c>
      <c r="N19" s="19">
        <f t="shared" si="2"/>
        <v>25586668</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sheetData>
  <sheetProtection formatCells="0" formatColumns="0" formatRows="0" insertColumns="0" insertRows="0" sort="0" autoFilter="0" pivotTables="0"/>
  <dataValidations count="1">
    <dataValidation type="list" errorStyle="information" allowBlank="1" showInputMessage="1" showErrorMessage="1" sqref="B1:N1" xr:uid="{1EDC33EB-9159-41C0-8C5B-FC476F2DCDC4}">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BBCC61C-F31B-48C7-9FE0-860B4ED4FBE8}">
          <x14:formula1>
            <xm:f>'Term List'!$A2:$A242</xm:f>
          </x14:formula1>
          <xm:sqref>O1:XFD1</xm:sqref>
        </x14:dataValidation>
      </x14:dataValidations>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5CCA2-49C9-498A-81E0-F7948368E0B0}">
  <sheetPr codeName="Sheet16"/>
  <dimension ref="A1:AE21"/>
  <sheetViews>
    <sheetView workbookViewId="0">
      <pane xSplit="1" ySplit="1" topLeftCell="B2" activePane="bottomRight" state="frozen"/>
      <selection activeCell="B3" sqref="B3"/>
      <selection pane="topRight" activeCell="B3" sqref="B3"/>
      <selection pane="bottomLeft" activeCell="B3" sqref="B3"/>
      <selection pane="bottomRight"/>
    </sheetView>
  </sheetViews>
  <sheetFormatPr defaultColWidth="16" defaultRowHeight="15" x14ac:dyDescent="0.25"/>
  <cols>
    <col min="1" max="1" width="35.7109375" style="6" bestFit="1" customWidth="1"/>
    <col min="2" max="2" width="16" style="5"/>
    <col min="3" max="4" width="16" style="3"/>
    <col min="5" max="9" width="16" style="5"/>
    <col min="10" max="10" width="16" style="3"/>
    <col min="11" max="18" width="16" style="5"/>
    <col min="19" max="16384" width="16" style="3"/>
  </cols>
  <sheetData>
    <row r="1" spans="1:31" s="40" customFormat="1" ht="30" x14ac:dyDescent="0.25">
      <c r="A1" s="36" t="s">
        <v>364</v>
      </c>
      <c r="B1" s="36" t="s">
        <v>62</v>
      </c>
      <c r="C1" s="126" t="s">
        <v>58</v>
      </c>
      <c r="D1" s="126" t="s">
        <v>57</v>
      </c>
      <c r="E1" s="36" t="s">
        <v>35</v>
      </c>
      <c r="F1" s="36" t="s">
        <v>36</v>
      </c>
      <c r="G1" s="36" t="s">
        <v>39</v>
      </c>
      <c r="H1" s="36" t="s">
        <v>94</v>
      </c>
      <c r="I1" s="36" t="s">
        <v>99</v>
      </c>
      <c r="J1" s="36" t="s">
        <v>570</v>
      </c>
      <c r="K1" s="36" t="s">
        <v>571</v>
      </c>
      <c r="L1" s="36" t="s">
        <v>567</v>
      </c>
      <c r="M1" s="36" t="s">
        <v>569</v>
      </c>
      <c r="N1" s="36" t="s">
        <v>572</v>
      </c>
      <c r="O1" s="36" t="s">
        <v>573</v>
      </c>
      <c r="P1" s="36" t="s">
        <v>28</v>
      </c>
      <c r="Q1" s="36" t="s">
        <v>89</v>
      </c>
      <c r="R1" s="36" t="s">
        <v>45</v>
      </c>
      <c r="S1" s="126" t="s">
        <v>54</v>
      </c>
      <c r="T1" s="36" t="s">
        <v>53</v>
      </c>
      <c r="U1" s="126" t="s">
        <v>351</v>
      </c>
      <c r="V1" s="126" t="s">
        <v>352</v>
      </c>
      <c r="W1" s="36" t="s">
        <v>75</v>
      </c>
      <c r="X1" s="36" t="s">
        <v>107</v>
      </c>
      <c r="Y1" s="126" t="s">
        <v>101</v>
      </c>
      <c r="Z1" s="126" t="s">
        <v>65</v>
      </c>
      <c r="AA1" s="126" t="s">
        <v>88</v>
      </c>
      <c r="AB1" s="126" t="s">
        <v>330</v>
      </c>
      <c r="AC1" s="126" t="s">
        <v>331</v>
      </c>
      <c r="AD1" s="126" t="s">
        <v>332</v>
      </c>
      <c r="AE1" s="36" t="s">
        <v>333</v>
      </c>
    </row>
    <row r="2" spans="1:31" s="26" customFormat="1" x14ac:dyDescent="0.25">
      <c r="A2" s="34" t="s">
        <v>0</v>
      </c>
      <c r="B2" s="16"/>
      <c r="C2" s="17"/>
      <c r="D2" s="17"/>
      <c r="E2" s="17"/>
      <c r="F2" s="17"/>
      <c r="G2" s="17"/>
      <c r="H2" s="17"/>
      <c r="I2" s="17"/>
      <c r="J2" s="17"/>
      <c r="K2" s="17"/>
      <c r="L2" s="17"/>
      <c r="M2" s="17"/>
      <c r="N2" s="17"/>
      <c r="O2" s="17"/>
      <c r="P2" s="17"/>
      <c r="Q2" s="17"/>
      <c r="R2" s="17"/>
      <c r="S2" s="25"/>
      <c r="T2" s="24"/>
      <c r="U2" s="25"/>
      <c r="V2" s="25"/>
      <c r="W2" s="25"/>
      <c r="X2" s="25"/>
      <c r="Y2" s="25"/>
      <c r="Z2" s="25"/>
      <c r="AA2" s="25"/>
      <c r="AB2" s="25"/>
      <c r="AC2" s="25"/>
      <c r="AD2" s="25"/>
      <c r="AE2" s="24"/>
    </row>
    <row r="3" spans="1:31" s="26" customFormat="1" x14ac:dyDescent="0.25">
      <c r="A3" s="34" t="s">
        <v>1</v>
      </c>
      <c r="B3" s="16"/>
      <c r="C3" s="17"/>
      <c r="D3" s="17"/>
      <c r="E3" s="17"/>
      <c r="F3" s="17"/>
      <c r="G3" s="17"/>
      <c r="H3" s="17"/>
      <c r="I3" s="17"/>
      <c r="J3" s="17"/>
      <c r="K3" s="17"/>
      <c r="L3" s="17"/>
      <c r="M3" s="17"/>
      <c r="N3" s="17"/>
      <c r="O3" s="17"/>
      <c r="P3" s="17"/>
      <c r="Q3" s="17"/>
      <c r="R3" s="17"/>
      <c r="S3" s="25"/>
      <c r="T3" s="24"/>
      <c r="U3" s="25"/>
      <c r="V3" s="25"/>
      <c r="W3" s="25"/>
      <c r="X3" s="25"/>
      <c r="Y3" s="25"/>
      <c r="Z3" s="25"/>
      <c r="AA3" s="25"/>
      <c r="AB3" s="25"/>
      <c r="AC3" s="25"/>
      <c r="AD3" s="25"/>
      <c r="AE3" s="24"/>
    </row>
    <row r="4" spans="1:31" s="26" customFormat="1" x14ac:dyDescent="0.25">
      <c r="A4" s="34" t="s">
        <v>169</v>
      </c>
      <c r="B4" s="16"/>
      <c r="C4" s="17"/>
      <c r="D4" s="17"/>
      <c r="E4" s="17"/>
      <c r="F4" s="17"/>
      <c r="G4" s="17"/>
      <c r="H4" s="17"/>
      <c r="I4" s="17"/>
      <c r="J4" s="17"/>
      <c r="K4" s="17"/>
      <c r="L4" s="17"/>
      <c r="M4" s="17"/>
      <c r="N4" s="17"/>
      <c r="O4" s="17"/>
      <c r="P4" s="17"/>
      <c r="Q4" s="17"/>
      <c r="R4" s="17"/>
      <c r="S4" s="25"/>
      <c r="T4" s="24"/>
      <c r="U4" s="25"/>
      <c r="V4" s="25"/>
      <c r="W4" s="25"/>
      <c r="X4" s="25"/>
      <c r="Y4" s="25"/>
      <c r="Z4" s="25">
        <v>4997</v>
      </c>
      <c r="AA4" s="25">
        <v>842</v>
      </c>
      <c r="AB4" s="25"/>
      <c r="AC4" s="25"/>
      <c r="AD4" s="25"/>
      <c r="AE4" s="24"/>
    </row>
    <row r="5" spans="1:31" s="26" customFormat="1" x14ac:dyDescent="0.25">
      <c r="A5" s="34" t="s">
        <v>2</v>
      </c>
      <c r="B5" s="16"/>
      <c r="C5" s="17"/>
      <c r="D5" s="17"/>
      <c r="E5" s="17"/>
      <c r="F5" s="17"/>
      <c r="G5" s="17"/>
      <c r="H5" s="17"/>
      <c r="I5" s="17"/>
      <c r="J5" s="17"/>
      <c r="K5" s="17"/>
      <c r="L5" s="17"/>
      <c r="M5" s="17"/>
      <c r="N5" s="17"/>
      <c r="O5" s="17"/>
      <c r="P5" s="17"/>
      <c r="Q5" s="17"/>
      <c r="R5" s="17"/>
      <c r="S5" s="25"/>
      <c r="T5" s="24"/>
      <c r="U5" s="25"/>
      <c r="V5" s="25"/>
      <c r="W5" s="25"/>
      <c r="X5" s="25"/>
      <c r="Y5" s="25"/>
      <c r="Z5" s="25"/>
      <c r="AA5" s="25"/>
      <c r="AB5" s="25"/>
      <c r="AC5" s="25"/>
      <c r="AD5" s="25"/>
      <c r="AE5" s="24"/>
    </row>
    <row r="6" spans="1:31" s="26" customFormat="1" x14ac:dyDescent="0.25">
      <c r="A6" s="34" t="s">
        <v>3</v>
      </c>
      <c r="B6" s="16">
        <v>4412</v>
      </c>
      <c r="C6" s="17"/>
      <c r="D6" s="17"/>
      <c r="E6" s="17"/>
      <c r="F6" s="17">
        <v>370</v>
      </c>
      <c r="G6" s="17">
        <v>20</v>
      </c>
      <c r="H6" s="17"/>
      <c r="I6" s="17">
        <v>78</v>
      </c>
      <c r="J6" s="17">
        <v>5556</v>
      </c>
      <c r="K6" s="17"/>
      <c r="L6" s="17">
        <v>19593</v>
      </c>
      <c r="M6" s="17">
        <v>1688</v>
      </c>
      <c r="N6" s="17">
        <v>3196</v>
      </c>
      <c r="O6" s="17">
        <v>798</v>
      </c>
      <c r="P6" s="17">
        <v>422</v>
      </c>
      <c r="Q6" s="17">
        <v>445</v>
      </c>
      <c r="R6" s="17">
        <v>613</v>
      </c>
      <c r="S6" s="25">
        <v>270</v>
      </c>
      <c r="T6" s="24">
        <v>337</v>
      </c>
      <c r="U6" s="25"/>
      <c r="V6" s="25"/>
      <c r="W6" s="25">
        <v>611395</v>
      </c>
      <c r="X6" s="25">
        <v>140305</v>
      </c>
      <c r="Y6" s="25">
        <v>164000</v>
      </c>
      <c r="Z6" s="25"/>
      <c r="AA6" s="25"/>
      <c r="AB6" s="25"/>
      <c r="AC6" s="25"/>
      <c r="AD6" s="25"/>
      <c r="AE6" s="24"/>
    </row>
    <row r="7" spans="1:31" s="26" customFormat="1" x14ac:dyDescent="0.25">
      <c r="A7" s="34" t="s">
        <v>4</v>
      </c>
      <c r="B7" s="16"/>
      <c r="C7" s="17"/>
      <c r="D7" s="17">
        <f>34657+1988</f>
        <v>36645</v>
      </c>
      <c r="E7" s="17">
        <v>713</v>
      </c>
      <c r="F7" s="17">
        <f>2470+66</f>
        <v>2536</v>
      </c>
      <c r="G7" s="17">
        <v>1149</v>
      </c>
      <c r="H7" s="17"/>
      <c r="I7" s="17">
        <f>1487+208</f>
        <v>1695</v>
      </c>
      <c r="J7" s="17">
        <f>491+71</f>
        <v>562</v>
      </c>
      <c r="K7" s="17"/>
      <c r="L7" s="17">
        <f>3753+60</f>
        <v>3813</v>
      </c>
      <c r="M7" s="17">
        <v>270</v>
      </c>
      <c r="N7" s="17">
        <f>525+55</f>
        <v>580</v>
      </c>
      <c r="O7" s="17">
        <v>804</v>
      </c>
      <c r="P7" s="17"/>
      <c r="Q7" s="17"/>
      <c r="R7" s="17"/>
      <c r="S7" s="25"/>
      <c r="T7" s="24"/>
      <c r="U7" s="25">
        <f>1036+8</f>
        <v>1044</v>
      </c>
      <c r="V7" s="25">
        <f>14989+199</f>
        <v>15188</v>
      </c>
      <c r="W7" s="25">
        <v>2594537</v>
      </c>
      <c r="X7" s="25">
        <f>1296455+120255</f>
        <v>1416710</v>
      </c>
      <c r="Y7" s="25">
        <f>4263995+7000</f>
        <v>4270995</v>
      </c>
      <c r="Z7" s="25"/>
      <c r="AA7" s="25"/>
      <c r="AB7" s="25"/>
      <c r="AC7" s="25"/>
      <c r="AD7" s="25"/>
      <c r="AE7" s="24"/>
    </row>
    <row r="8" spans="1:31" s="26" customFormat="1" x14ac:dyDescent="0.25">
      <c r="A8" s="34" t="s">
        <v>5</v>
      </c>
      <c r="B8" s="16"/>
      <c r="C8" s="17"/>
      <c r="D8" s="17"/>
      <c r="E8" s="17"/>
      <c r="F8" s="17"/>
      <c r="G8" s="17"/>
      <c r="H8" s="17"/>
      <c r="I8" s="17"/>
      <c r="J8" s="17"/>
      <c r="K8" s="17"/>
      <c r="L8" s="17"/>
      <c r="M8" s="17"/>
      <c r="N8" s="17"/>
      <c r="O8" s="17"/>
      <c r="P8" s="17"/>
      <c r="Q8" s="17"/>
      <c r="R8" s="17"/>
      <c r="S8" s="25"/>
      <c r="T8" s="24"/>
      <c r="U8" s="25"/>
      <c r="V8" s="25"/>
      <c r="W8" s="25"/>
      <c r="X8" s="25"/>
      <c r="Y8" s="25"/>
      <c r="Z8" s="25"/>
      <c r="AA8" s="25"/>
      <c r="AB8" s="25"/>
      <c r="AC8" s="25"/>
      <c r="AD8" s="25"/>
      <c r="AE8" s="24"/>
    </row>
    <row r="9" spans="1:31" s="26" customFormat="1" x14ac:dyDescent="0.25">
      <c r="A9" s="34" t="s">
        <v>6</v>
      </c>
      <c r="B9" s="16"/>
      <c r="C9" s="17"/>
      <c r="D9" s="17"/>
      <c r="E9" s="17"/>
      <c r="F9" s="17"/>
      <c r="G9" s="17"/>
      <c r="H9" s="17"/>
      <c r="I9" s="17"/>
      <c r="J9" s="17"/>
      <c r="K9" s="17"/>
      <c r="L9" s="17"/>
      <c r="M9" s="17"/>
      <c r="N9" s="17"/>
      <c r="O9" s="17"/>
      <c r="P9" s="17"/>
      <c r="Q9" s="17"/>
      <c r="R9" s="17"/>
      <c r="S9" s="25"/>
      <c r="T9" s="24"/>
      <c r="U9" s="25"/>
      <c r="V9" s="25"/>
      <c r="W9" s="25"/>
      <c r="X9" s="25"/>
      <c r="Y9" s="25"/>
      <c r="Z9" s="25"/>
      <c r="AA9" s="25"/>
      <c r="AB9" s="25">
        <v>1096</v>
      </c>
      <c r="AC9" s="25">
        <v>1719</v>
      </c>
      <c r="AD9" s="25">
        <v>423</v>
      </c>
      <c r="AE9" s="24">
        <v>427</v>
      </c>
    </row>
    <row r="10" spans="1:31" s="26" customFormat="1" x14ac:dyDescent="0.25">
      <c r="A10" s="35" t="s">
        <v>7</v>
      </c>
      <c r="B10" s="19">
        <f>SUM(B2:B9)</f>
        <v>4412</v>
      </c>
      <c r="C10" s="19">
        <f t="shared" ref="C10:AE10" si="0">SUM(C2:C9)</f>
        <v>0</v>
      </c>
      <c r="D10" s="19">
        <f t="shared" si="0"/>
        <v>36645</v>
      </c>
      <c r="E10" s="19">
        <f t="shared" si="0"/>
        <v>713</v>
      </c>
      <c r="F10" s="19">
        <f t="shared" si="0"/>
        <v>2906</v>
      </c>
      <c r="G10" s="19">
        <f t="shared" si="0"/>
        <v>1169</v>
      </c>
      <c r="H10" s="19">
        <f t="shared" si="0"/>
        <v>0</v>
      </c>
      <c r="I10" s="19">
        <f t="shared" si="0"/>
        <v>1773</v>
      </c>
      <c r="J10" s="19">
        <f>SUM(J2:J9)</f>
        <v>6118</v>
      </c>
      <c r="K10" s="19">
        <f t="shared" si="0"/>
        <v>0</v>
      </c>
      <c r="L10" s="19">
        <f t="shared" si="0"/>
        <v>23406</v>
      </c>
      <c r="M10" s="19">
        <f t="shared" si="0"/>
        <v>1958</v>
      </c>
      <c r="N10" s="19">
        <f>SUM(N2:N9)</f>
        <v>3776</v>
      </c>
      <c r="O10" s="19">
        <f t="shared" si="0"/>
        <v>1602</v>
      </c>
      <c r="P10" s="19">
        <f t="shared" si="0"/>
        <v>422</v>
      </c>
      <c r="Q10" s="19">
        <f t="shared" si="0"/>
        <v>445</v>
      </c>
      <c r="R10" s="19">
        <f t="shared" si="0"/>
        <v>613</v>
      </c>
      <c r="S10" s="21">
        <f>SUM(S2:S9)</f>
        <v>270</v>
      </c>
      <c r="T10" s="20">
        <f t="shared" si="0"/>
        <v>337</v>
      </c>
      <c r="U10" s="21">
        <f>SUM(U2:U9)</f>
        <v>1044</v>
      </c>
      <c r="V10" s="21">
        <f>SUM(V2:V9)</f>
        <v>15188</v>
      </c>
      <c r="W10" s="21">
        <f t="shared" si="0"/>
        <v>3205932</v>
      </c>
      <c r="X10" s="21">
        <f t="shared" si="0"/>
        <v>1557015</v>
      </c>
      <c r="Y10" s="21">
        <f t="shared" si="0"/>
        <v>4434995</v>
      </c>
      <c r="Z10" s="21">
        <f>SUM(Z2:Z9)</f>
        <v>4997</v>
      </c>
      <c r="AA10" s="21">
        <f>SUM(AA2:AA9)</f>
        <v>842</v>
      </c>
      <c r="AB10" s="21">
        <f t="shared" si="0"/>
        <v>1096</v>
      </c>
      <c r="AC10" s="21">
        <f t="shared" si="0"/>
        <v>1719</v>
      </c>
      <c r="AD10" s="21">
        <f t="shared" si="0"/>
        <v>423</v>
      </c>
      <c r="AE10" s="20">
        <f t="shared" si="0"/>
        <v>427</v>
      </c>
    </row>
    <row r="11" spans="1:31" s="26" customFormat="1" x14ac:dyDescent="0.25">
      <c r="A11" s="34" t="s">
        <v>8</v>
      </c>
      <c r="B11" s="16"/>
      <c r="C11" s="16"/>
      <c r="D11" s="16"/>
      <c r="E11" s="16"/>
      <c r="F11" s="16"/>
      <c r="G11" s="16"/>
      <c r="H11" s="16"/>
      <c r="I11" s="16"/>
      <c r="J11" s="16"/>
      <c r="K11" s="16"/>
      <c r="L11" s="16"/>
      <c r="M11" s="16"/>
      <c r="N11" s="16"/>
      <c r="O11" s="16"/>
      <c r="P11" s="16"/>
      <c r="Q11" s="16"/>
      <c r="R11" s="16"/>
      <c r="S11" s="23"/>
      <c r="T11" s="22"/>
      <c r="U11" s="23"/>
      <c r="V11" s="23"/>
      <c r="W11" s="23"/>
      <c r="X11" s="23"/>
      <c r="Y11" s="23"/>
      <c r="Z11" s="23"/>
      <c r="AA11" s="23"/>
      <c r="AB11" s="23"/>
      <c r="AC11" s="23"/>
      <c r="AD11" s="23"/>
      <c r="AE11" s="22"/>
    </row>
    <row r="12" spans="1:31" s="26" customFormat="1" x14ac:dyDescent="0.25">
      <c r="A12" s="34" t="s">
        <v>9</v>
      </c>
      <c r="B12" s="16"/>
      <c r="C12" s="16"/>
      <c r="D12" s="16"/>
      <c r="E12" s="16"/>
      <c r="F12" s="16"/>
      <c r="G12" s="16"/>
      <c r="H12" s="16"/>
      <c r="I12" s="16"/>
      <c r="J12" s="16"/>
      <c r="K12" s="16"/>
      <c r="L12" s="16"/>
      <c r="M12" s="16"/>
      <c r="N12" s="16"/>
      <c r="O12" s="16"/>
      <c r="P12" s="16"/>
      <c r="Q12" s="16"/>
      <c r="R12" s="16"/>
      <c r="S12" s="23"/>
      <c r="T12" s="22"/>
      <c r="U12" s="23"/>
      <c r="V12" s="23"/>
      <c r="W12" s="23"/>
      <c r="X12" s="23"/>
      <c r="Y12" s="23"/>
      <c r="Z12" s="23"/>
      <c r="AA12" s="23"/>
      <c r="AB12" s="23"/>
      <c r="AC12" s="23"/>
      <c r="AD12" s="23"/>
      <c r="AE12" s="22"/>
    </row>
    <row r="13" spans="1:31" s="26" customFormat="1" x14ac:dyDescent="0.25">
      <c r="A13" s="34" t="s">
        <v>164</v>
      </c>
      <c r="B13" s="16"/>
      <c r="C13" s="16"/>
      <c r="D13" s="16"/>
      <c r="E13" s="16"/>
      <c r="F13" s="16"/>
      <c r="G13" s="16"/>
      <c r="H13" s="16"/>
      <c r="I13" s="16"/>
      <c r="J13" s="16"/>
      <c r="K13" s="16"/>
      <c r="L13" s="16"/>
      <c r="M13" s="16"/>
      <c r="N13" s="16"/>
      <c r="O13" s="16"/>
      <c r="P13" s="16"/>
      <c r="Q13" s="16"/>
      <c r="R13" s="16"/>
      <c r="S13" s="23"/>
      <c r="T13" s="22"/>
      <c r="U13" s="23"/>
      <c r="V13" s="23"/>
      <c r="W13" s="23"/>
      <c r="X13" s="23"/>
      <c r="Y13" s="23"/>
      <c r="Z13" s="23">
        <v>23075</v>
      </c>
      <c r="AA13" s="23">
        <v>3182</v>
      </c>
      <c r="AB13" s="23"/>
      <c r="AC13" s="23"/>
      <c r="AD13" s="23"/>
      <c r="AE13" s="22"/>
    </row>
    <row r="14" spans="1:31" s="26" customFormat="1" x14ac:dyDescent="0.25">
      <c r="A14" s="34" t="s">
        <v>10</v>
      </c>
      <c r="B14" s="16">
        <v>464</v>
      </c>
      <c r="C14" s="16"/>
      <c r="D14" s="16"/>
      <c r="E14" s="16"/>
      <c r="F14" s="16">
        <v>70</v>
      </c>
      <c r="G14" s="16">
        <v>10</v>
      </c>
      <c r="H14" s="16"/>
      <c r="I14" s="16">
        <v>0</v>
      </c>
      <c r="J14" s="16">
        <v>1162</v>
      </c>
      <c r="K14" s="16"/>
      <c r="L14" s="16">
        <v>7978</v>
      </c>
      <c r="M14" s="16">
        <v>822</v>
      </c>
      <c r="N14" s="16">
        <v>1802</v>
      </c>
      <c r="O14" s="16">
        <v>1226</v>
      </c>
      <c r="P14" s="16">
        <v>106</v>
      </c>
      <c r="Q14" s="16">
        <v>95</v>
      </c>
      <c r="R14" s="16">
        <v>93</v>
      </c>
      <c r="S14" s="23">
        <v>0</v>
      </c>
      <c r="T14" s="22">
        <v>26</v>
      </c>
      <c r="U14" s="23"/>
      <c r="V14" s="23"/>
      <c r="W14" s="23">
        <v>359821</v>
      </c>
      <c r="X14" s="23">
        <v>184200</v>
      </c>
      <c r="Y14" s="23">
        <v>97500</v>
      </c>
      <c r="Z14" s="23"/>
      <c r="AA14" s="23"/>
      <c r="AB14" s="23"/>
      <c r="AC14" s="23"/>
      <c r="AD14" s="23"/>
      <c r="AE14" s="22"/>
    </row>
    <row r="15" spans="1:31" s="26" customFormat="1" x14ac:dyDescent="0.25">
      <c r="A15" s="34" t="s">
        <v>11</v>
      </c>
      <c r="B15" s="16"/>
      <c r="C15" s="16"/>
      <c r="D15" s="16">
        <v>3691</v>
      </c>
      <c r="E15" s="16">
        <v>0</v>
      </c>
      <c r="F15" s="16">
        <v>406</v>
      </c>
      <c r="G15" s="16">
        <v>45</v>
      </c>
      <c r="H15" s="16"/>
      <c r="I15" s="16">
        <f>315+40</f>
        <v>355</v>
      </c>
      <c r="J15" s="16">
        <f>145</f>
        <v>145</v>
      </c>
      <c r="K15" s="16"/>
      <c r="L15" s="16">
        <v>2497</v>
      </c>
      <c r="M15" s="16">
        <v>0</v>
      </c>
      <c r="N15" s="16">
        <v>440</v>
      </c>
      <c r="O15" s="16">
        <v>62</v>
      </c>
      <c r="P15" s="16"/>
      <c r="Q15" s="16"/>
      <c r="R15" s="16"/>
      <c r="S15" s="23"/>
      <c r="T15" s="22"/>
      <c r="U15" s="23">
        <v>40</v>
      </c>
      <c r="V15" s="23">
        <v>7931</v>
      </c>
      <c r="W15" s="23">
        <v>1176639</v>
      </c>
      <c r="X15" s="23">
        <f>1061010+25000</f>
        <v>1086010</v>
      </c>
      <c r="Y15" s="23">
        <v>1959600</v>
      </c>
      <c r="Z15" s="23"/>
      <c r="AA15" s="23"/>
      <c r="AB15" s="23"/>
      <c r="AC15" s="23"/>
      <c r="AD15" s="23"/>
      <c r="AE15" s="22"/>
    </row>
    <row r="16" spans="1:31" s="26" customFormat="1" x14ac:dyDescent="0.25">
      <c r="A16" s="34" t="s">
        <v>12</v>
      </c>
      <c r="B16" s="16"/>
      <c r="C16" s="16"/>
      <c r="D16" s="16"/>
      <c r="E16" s="16"/>
      <c r="F16" s="16"/>
      <c r="G16" s="16"/>
      <c r="H16" s="16"/>
      <c r="I16" s="16"/>
      <c r="J16" s="16"/>
      <c r="K16" s="16"/>
      <c r="L16" s="16"/>
      <c r="M16" s="16"/>
      <c r="N16" s="16"/>
      <c r="O16" s="16"/>
      <c r="P16" s="16"/>
      <c r="Q16" s="16"/>
      <c r="R16" s="16"/>
      <c r="S16" s="23"/>
      <c r="T16" s="22"/>
      <c r="U16" s="23"/>
      <c r="V16" s="23"/>
      <c r="W16" s="23"/>
      <c r="X16" s="23"/>
      <c r="Y16" s="23"/>
      <c r="Z16" s="23"/>
      <c r="AA16" s="23"/>
      <c r="AB16" s="23"/>
      <c r="AC16" s="23"/>
      <c r="AD16" s="23"/>
      <c r="AE16" s="22"/>
    </row>
    <row r="17" spans="1:31" s="26" customFormat="1" x14ac:dyDescent="0.25">
      <c r="A17" s="34" t="s">
        <v>13</v>
      </c>
      <c r="B17" s="16"/>
      <c r="C17" s="16"/>
      <c r="D17" s="16"/>
      <c r="E17" s="16"/>
      <c r="F17" s="16"/>
      <c r="G17" s="16"/>
      <c r="H17" s="16"/>
      <c r="I17" s="16"/>
      <c r="J17" s="16"/>
      <c r="K17" s="16"/>
      <c r="L17" s="16"/>
      <c r="M17" s="16"/>
      <c r="N17" s="16"/>
      <c r="O17" s="16"/>
      <c r="P17" s="16"/>
      <c r="Q17" s="16"/>
      <c r="R17" s="16"/>
      <c r="S17" s="23"/>
      <c r="T17" s="22"/>
      <c r="U17" s="23"/>
      <c r="V17" s="23"/>
      <c r="W17" s="23"/>
      <c r="X17" s="23"/>
      <c r="Y17" s="23"/>
      <c r="Z17" s="23"/>
      <c r="AA17" s="23"/>
      <c r="AB17" s="23">
        <v>316</v>
      </c>
      <c r="AC17" s="23">
        <v>478</v>
      </c>
      <c r="AD17" s="23">
        <v>0</v>
      </c>
      <c r="AE17" s="22">
        <v>834</v>
      </c>
    </row>
    <row r="18" spans="1:31" s="26" customFormat="1" x14ac:dyDescent="0.25">
      <c r="A18" s="35" t="s">
        <v>14</v>
      </c>
      <c r="B18" s="19">
        <f>SUM(B11:B17)</f>
        <v>464</v>
      </c>
      <c r="C18" s="19">
        <f t="shared" ref="C18:AE18" si="1">SUM(C11:C17)</f>
        <v>0</v>
      </c>
      <c r="D18" s="19">
        <f t="shared" si="1"/>
        <v>3691</v>
      </c>
      <c r="E18" s="19">
        <f t="shared" si="1"/>
        <v>0</v>
      </c>
      <c r="F18" s="19">
        <f t="shared" si="1"/>
        <v>476</v>
      </c>
      <c r="G18" s="19">
        <f t="shared" si="1"/>
        <v>55</v>
      </c>
      <c r="H18" s="19">
        <f t="shared" si="1"/>
        <v>0</v>
      </c>
      <c r="I18" s="19">
        <f t="shared" si="1"/>
        <v>355</v>
      </c>
      <c r="J18" s="19">
        <f>SUM(J11:J17)</f>
        <v>1307</v>
      </c>
      <c r="K18" s="19">
        <f t="shared" si="1"/>
        <v>0</v>
      </c>
      <c r="L18" s="19">
        <f t="shared" si="1"/>
        <v>10475</v>
      </c>
      <c r="M18" s="19">
        <f t="shared" si="1"/>
        <v>822</v>
      </c>
      <c r="N18" s="19">
        <f>SUM(N11:N17)</f>
        <v>2242</v>
      </c>
      <c r="O18" s="19">
        <f t="shared" si="1"/>
        <v>1288</v>
      </c>
      <c r="P18" s="19">
        <f t="shared" si="1"/>
        <v>106</v>
      </c>
      <c r="Q18" s="19">
        <f t="shared" si="1"/>
        <v>95</v>
      </c>
      <c r="R18" s="19">
        <f t="shared" si="1"/>
        <v>93</v>
      </c>
      <c r="S18" s="21">
        <f>SUM(S11:S17)</f>
        <v>0</v>
      </c>
      <c r="T18" s="20">
        <f t="shared" si="1"/>
        <v>26</v>
      </c>
      <c r="U18" s="21">
        <f>SUM(U11:U17)</f>
        <v>40</v>
      </c>
      <c r="V18" s="21">
        <f>SUM(V11:V17)</f>
        <v>7931</v>
      </c>
      <c r="W18" s="21">
        <f t="shared" si="1"/>
        <v>1536460</v>
      </c>
      <c r="X18" s="21">
        <f t="shared" si="1"/>
        <v>1270210</v>
      </c>
      <c r="Y18" s="21">
        <f t="shared" si="1"/>
        <v>2057100</v>
      </c>
      <c r="Z18" s="21">
        <f>SUM(Z11:Z17)</f>
        <v>23075</v>
      </c>
      <c r="AA18" s="21">
        <f>SUM(AA11:AA17)</f>
        <v>3182</v>
      </c>
      <c r="AB18" s="21">
        <f t="shared" si="1"/>
        <v>316</v>
      </c>
      <c r="AC18" s="21">
        <f t="shared" si="1"/>
        <v>478</v>
      </c>
      <c r="AD18" s="21">
        <f t="shared" si="1"/>
        <v>0</v>
      </c>
      <c r="AE18" s="20">
        <f t="shared" si="1"/>
        <v>834</v>
      </c>
    </row>
    <row r="19" spans="1:31" s="26" customFormat="1" x14ac:dyDescent="0.25">
      <c r="A19" s="35" t="s">
        <v>15</v>
      </c>
      <c r="B19" s="19">
        <f>SUM(B10,B18)</f>
        <v>4876</v>
      </c>
      <c r="C19" s="19">
        <f t="shared" ref="C19:AE19" si="2">SUM(C10,C18)</f>
        <v>0</v>
      </c>
      <c r="D19" s="19">
        <f t="shared" si="2"/>
        <v>40336</v>
      </c>
      <c r="E19" s="19">
        <f t="shared" si="2"/>
        <v>713</v>
      </c>
      <c r="F19" s="19">
        <f t="shared" si="2"/>
        <v>3382</v>
      </c>
      <c r="G19" s="19">
        <f t="shared" si="2"/>
        <v>1224</v>
      </c>
      <c r="H19" s="19">
        <f t="shared" si="2"/>
        <v>0</v>
      </c>
      <c r="I19" s="19">
        <f t="shared" si="2"/>
        <v>2128</v>
      </c>
      <c r="J19" s="19">
        <f>SUM(J10,J18)</f>
        <v>7425</v>
      </c>
      <c r="K19" s="19">
        <f t="shared" si="2"/>
        <v>0</v>
      </c>
      <c r="L19" s="19">
        <f t="shared" si="2"/>
        <v>33881</v>
      </c>
      <c r="M19" s="19">
        <f t="shared" si="2"/>
        <v>2780</v>
      </c>
      <c r="N19" s="19">
        <f>SUM(N10,N18)</f>
        <v>6018</v>
      </c>
      <c r="O19" s="19">
        <f t="shared" si="2"/>
        <v>2890</v>
      </c>
      <c r="P19" s="19">
        <f t="shared" si="2"/>
        <v>528</v>
      </c>
      <c r="Q19" s="19">
        <f t="shared" si="2"/>
        <v>540</v>
      </c>
      <c r="R19" s="19">
        <f t="shared" si="2"/>
        <v>706</v>
      </c>
      <c r="S19" s="21">
        <f>SUM(S10,S18)</f>
        <v>270</v>
      </c>
      <c r="T19" s="20">
        <f t="shared" si="2"/>
        <v>363</v>
      </c>
      <c r="U19" s="21">
        <f>SUM(U10,U18)</f>
        <v>1084</v>
      </c>
      <c r="V19" s="21">
        <f>SUM(V10,V18)</f>
        <v>23119</v>
      </c>
      <c r="W19" s="21">
        <f t="shared" si="2"/>
        <v>4742392</v>
      </c>
      <c r="X19" s="21">
        <f t="shared" si="2"/>
        <v>2827225</v>
      </c>
      <c r="Y19" s="21">
        <f t="shared" si="2"/>
        <v>6492095</v>
      </c>
      <c r="Z19" s="21">
        <f>SUM(Z10,Z18)</f>
        <v>28072</v>
      </c>
      <c r="AA19" s="21">
        <f>SUM(AA10,AA18)</f>
        <v>4024</v>
      </c>
      <c r="AB19" s="21">
        <f t="shared" si="2"/>
        <v>1412</v>
      </c>
      <c r="AC19" s="21">
        <f t="shared" si="2"/>
        <v>2197</v>
      </c>
      <c r="AD19" s="21">
        <f t="shared" si="2"/>
        <v>423</v>
      </c>
      <c r="AE19" s="20">
        <f t="shared" si="2"/>
        <v>1261</v>
      </c>
    </row>
    <row r="21" spans="1:31"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row>
  </sheetData>
  <sheetProtection formatCells="0" formatColumns="0" formatRows="0" insertColumns="0" insertRows="0" sort="0" autoFilter="0" pivotTables="0"/>
  <dataValidations count="1">
    <dataValidation type="list" errorStyle="information" allowBlank="1" showInputMessage="1" showErrorMessage="1" sqref="B1:AE1" xr:uid="{C4548833-4D8C-4E60-B688-5CCEC000759C}">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54140641-1D13-44EB-9BE4-875EFBF1AA32}">
          <x14:formula1>
            <xm:f>'Term List'!$A2:$A242</xm:f>
          </x14:formula1>
          <xm:sqref>AF1:XFD1</xm:sqref>
        </x14:dataValidation>
      </x14:dataValidations>
    </ext>
  </extLs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63163-78DF-4945-A33B-407D9C0F6C24}">
  <sheetPr codeName="Sheet17"/>
  <dimension ref="A1:N23"/>
  <sheetViews>
    <sheetView workbookViewId="0">
      <pane xSplit="1" ySplit="1" topLeftCell="F2" activePane="bottomRight" state="frozen"/>
      <selection activeCell="B3" sqref="B3"/>
      <selection pane="topRight" activeCell="B3" sqref="B3"/>
      <selection pane="bottomLeft" activeCell="B3" sqref="B3"/>
      <selection pane="bottomRight"/>
    </sheetView>
  </sheetViews>
  <sheetFormatPr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3.140625" style="5" bestFit="1" customWidth="1"/>
    <col min="8" max="8" width="10.85546875" style="5" bestFit="1" customWidth="1"/>
    <col min="9" max="9" width="15.85546875" style="5" bestFit="1" customWidth="1"/>
    <col min="10" max="10" width="12.85546875" style="5" bestFit="1" customWidth="1"/>
    <col min="11" max="11" width="13.5703125" style="5" bestFit="1" customWidth="1"/>
    <col min="12" max="12" width="14.5703125" style="5" bestFit="1" customWidth="1"/>
    <col min="13" max="13" width="15.140625" style="5" bestFit="1" customWidth="1"/>
    <col min="14" max="14" width="11.5703125" style="5" bestFit="1" customWidth="1"/>
    <col min="15" max="16384" width="9.140625" style="3"/>
  </cols>
  <sheetData>
    <row r="1" spans="1:14" s="14" customFormat="1" ht="30" x14ac:dyDescent="0.25">
      <c r="A1" s="36" t="s">
        <v>505</v>
      </c>
      <c r="B1" s="36" t="s">
        <v>155</v>
      </c>
      <c r="C1" s="36" t="s">
        <v>156</v>
      </c>
      <c r="D1" s="36" t="s">
        <v>154</v>
      </c>
      <c r="E1" s="36" t="s">
        <v>150</v>
      </c>
      <c r="F1" s="36" t="s">
        <v>148</v>
      </c>
      <c r="G1" s="36" t="s">
        <v>314</v>
      </c>
      <c r="H1" s="36" t="s">
        <v>149</v>
      </c>
      <c r="I1" s="36" t="s">
        <v>139</v>
      </c>
      <c r="J1" s="36" t="s">
        <v>130</v>
      </c>
      <c r="K1" s="36" t="s">
        <v>132</v>
      </c>
      <c r="L1" s="36" t="s">
        <v>142</v>
      </c>
      <c r="M1" s="36" t="s">
        <v>144</v>
      </c>
      <c r="N1" s="36" t="s">
        <v>124</v>
      </c>
    </row>
    <row r="2" spans="1:14" s="26" customFormat="1" x14ac:dyDescent="0.25">
      <c r="A2" s="34" t="s">
        <v>0</v>
      </c>
      <c r="B2" s="16">
        <v>24622</v>
      </c>
      <c r="C2" s="17">
        <v>3690</v>
      </c>
      <c r="D2" s="17">
        <v>450</v>
      </c>
      <c r="E2" s="17">
        <v>5606</v>
      </c>
      <c r="F2" s="17">
        <v>283</v>
      </c>
      <c r="G2" s="17"/>
      <c r="H2" s="17"/>
      <c r="I2" s="17">
        <v>44</v>
      </c>
      <c r="J2" s="17">
        <v>137</v>
      </c>
      <c r="K2" s="17">
        <v>208</v>
      </c>
      <c r="L2" s="17">
        <v>233</v>
      </c>
      <c r="M2" s="17">
        <v>44</v>
      </c>
      <c r="N2" s="17">
        <v>15228346</v>
      </c>
    </row>
    <row r="3" spans="1:14" s="26" customFormat="1" x14ac:dyDescent="0.25">
      <c r="A3" s="34" t="s">
        <v>1</v>
      </c>
      <c r="B3" s="16">
        <v>2727</v>
      </c>
      <c r="C3" s="17">
        <v>513</v>
      </c>
      <c r="D3" s="17">
        <v>650</v>
      </c>
      <c r="E3" s="17">
        <v>1622</v>
      </c>
      <c r="F3" s="17">
        <v>520</v>
      </c>
      <c r="G3" s="17"/>
      <c r="H3" s="17"/>
      <c r="I3" s="17">
        <v>0</v>
      </c>
      <c r="J3" s="17">
        <v>132</v>
      </c>
      <c r="K3" s="17">
        <v>117</v>
      </c>
      <c r="L3" s="17">
        <v>33</v>
      </c>
      <c r="M3" s="17">
        <v>36</v>
      </c>
      <c r="N3" s="17">
        <v>142549</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3</v>
      </c>
      <c r="C6" s="17">
        <v>0</v>
      </c>
      <c r="D6" s="17">
        <v>317</v>
      </c>
      <c r="E6" s="17">
        <v>2862</v>
      </c>
      <c r="F6" s="17">
        <v>120</v>
      </c>
      <c r="G6" s="17"/>
      <c r="H6" s="17"/>
      <c r="I6" s="17">
        <v>60</v>
      </c>
      <c r="J6" s="17">
        <v>3</v>
      </c>
      <c r="K6" s="17">
        <v>0</v>
      </c>
      <c r="L6" s="17">
        <v>69</v>
      </c>
      <c r="M6" s="17">
        <v>13</v>
      </c>
      <c r="N6" s="17">
        <v>87869</v>
      </c>
    </row>
    <row r="7" spans="1:14" s="26" customFormat="1" x14ac:dyDescent="0.25">
      <c r="A7" s="34" t="s">
        <v>4</v>
      </c>
      <c r="B7" s="16">
        <v>45</v>
      </c>
      <c r="C7" s="17">
        <v>0</v>
      </c>
      <c r="D7" s="17">
        <v>27</v>
      </c>
      <c r="E7" s="17">
        <v>1714</v>
      </c>
      <c r="F7" s="17">
        <v>1</v>
      </c>
      <c r="G7" s="17"/>
      <c r="H7" s="17"/>
      <c r="I7" s="17">
        <v>0</v>
      </c>
      <c r="J7" s="17">
        <v>68</v>
      </c>
      <c r="K7" s="17">
        <v>0</v>
      </c>
      <c r="L7" s="17">
        <v>707</v>
      </c>
      <c r="M7" s="17">
        <v>0</v>
      </c>
      <c r="N7" s="17">
        <v>987759</v>
      </c>
    </row>
    <row r="8" spans="1:14" s="26" customFormat="1" x14ac:dyDescent="0.25">
      <c r="A8" s="34" t="s">
        <v>5</v>
      </c>
      <c r="B8" s="16">
        <v>0</v>
      </c>
      <c r="C8" s="17">
        <v>0</v>
      </c>
      <c r="D8" s="17">
        <v>0</v>
      </c>
      <c r="E8" s="17">
        <v>460</v>
      </c>
      <c r="F8" s="17">
        <v>165</v>
      </c>
      <c r="G8" s="17"/>
      <c r="H8" s="17"/>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SUM(B2:B9)</f>
        <v>27397</v>
      </c>
      <c r="C10" s="19">
        <f t="shared" ref="C10:N10" si="0">SUM(C2:C9)</f>
        <v>4203</v>
      </c>
      <c r="D10" s="19">
        <f t="shared" si="0"/>
        <v>1444</v>
      </c>
      <c r="E10" s="19">
        <f t="shared" si="0"/>
        <v>12264</v>
      </c>
      <c r="F10" s="19">
        <f t="shared" si="0"/>
        <v>1089</v>
      </c>
      <c r="G10" s="19">
        <f t="shared" si="0"/>
        <v>0</v>
      </c>
      <c r="H10" s="19">
        <f t="shared" si="0"/>
        <v>0</v>
      </c>
      <c r="I10" s="19">
        <f t="shared" si="0"/>
        <v>104</v>
      </c>
      <c r="J10" s="19">
        <f t="shared" si="0"/>
        <v>340</v>
      </c>
      <c r="K10" s="19">
        <f t="shared" si="0"/>
        <v>325</v>
      </c>
      <c r="L10" s="19">
        <f t="shared" si="0"/>
        <v>1042</v>
      </c>
      <c r="M10" s="19">
        <f t="shared" si="0"/>
        <v>93</v>
      </c>
      <c r="N10" s="19">
        <f t="shared" si="0"/>
        <v>16446523</v>
      </c>
    </row>
    <row r="11" spans="1:14" s="26" customFormat="1" x14ac:dyDescent="0.25">
      <c r="A11" s="34" t="s">
        <v>8</v>
      </c>
      <c r="B11" s="16">
        <v>93585</v>
      </c>
      <c r="C11" s="16">
        <v>11526</v>
      </c>
      <c r="D11" s="16">
        <v>958</v>
      </c>
      <c r="E11" s="16">
        <v>29336</v>
      </c>
      <c r="F11" s="16">
        <v>936</v>
      </c>
      <c r="G11" s="16"/>
      <c r="H11" s="16"/>
      <c r="I11" s="16">
        <v>10</v>
      </c>
      <c r="J11" s="16">
        <v>1129</v>
      </c>
      <c r="K11" s="16">
        <v>99</v>
      </c>
      <c r="L11" s="16">
        <v>2890</v>
      </c>
      <c r="M11" s="16">
        <v>28</v>
      </c>
      <c r="N11" s="16">
        <v>13003514</v>
      </c>
    </row>
    <row r="12" spans="1:14" s="26" customFormat="1" x14ac:dyDescent="0.25">
      <c r="A12" s="34" t="s">
        <v>9</v>
      </c>
      <c r="B12" s="16">
        <v>249</v>
      </c>
      <c r="C12" s="16">
        <v>52</v>
      </c>
      <c r="D12" s="16">
        <v>31</v>
      </c>
      <c r="E12" s="16">
        <v>330</v>
      </c>
      <c r="F12" s="16">
        <v>17</v>
      </c>
      <c r="G12" s="16"/>
      <c r="H12" s="16"/>
      <c r="I12" s="16">
        <v>0</v>
      </c>
      <c r="J12" s="16">
        <v>4</v>
      </c>
      <c r="K12" s="16">
        <v>0</v>
      </c>
      <c r="L12" s="16">
        <v>106</v>
      </c>
      <c r="M12" s="16">
        <v>0</v>
      </c>
      <c r="N12" s="16">
        <v>10886</v>
      </c>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84</v>
      </c>
      <c r="C14" s="16">
        <v>24</v>
      </c>
      <c r="D14" s="16">
        <v>157</v>
      </c>
      <c r="E14" s="16">
        <v>2492</v>
      </c>
      <c r="F14" s="16">
        <v>154</v>
      </c>
      <c r="G14" s="16"/>
      <c r="H14" s="16"/>
      <c r="I14" s="16">
        <v>26</v>
      </c>
      <c r="J14" s="16">
        <v>3</v>
      </c>
      <c r="K14" s="16">
        <v>0</v>
      </c>
      <c r="L14" s="16">
        <v>134</v>
      </c>
      <c r="M14" s="16">
        <v>6</v>
      </c>
      <c r="N14" s="16">
        <v>62450</v>
      </c>
    </row>
    <row r="15" spans="1:14" s="26" customFormat="1" x14ac:dyDescent="0.25">
      <c r="A15" s="34" t="s">
        <v>11</v>
      </c>
      <c r="B15" s="16">
        <v>129</v>
      </c>
      <c r="C15" s="16">
        <v>31</v>
      </c>
      <c r="D15" s="16">
        <v>35</v>
      </c>
      <c r="E15" s="16">
        <v>7940</v>
      </c>
      <c r="F15" s="16">
        <v>0</v>
      </c>
      <c r="G15" s="16"/>
      <c r="H15" s="16"/>
      <c r="I15" s="16">
        <v>239</v>
      </c>
      <c r="J15" s="16">
        <v>94</v>
      </c>
      <c r="K15" s="16">
        <v>12</v>
      </c>
      <c r="L15" s="16">
        <v>2357</v>
      </c>
      <c r="M15" s="16">
        <v>98</v>
      </c>
      <c r="N15" s="16">
        <v>4900</v>
      </c>
    </row>
    <row r="16" spans="1:14" s="26" customFormat="1" x14ac:dyDescent="0.25">
      <c r="A16" s="34" t="s">
        <v>12</v>
      </c>
      <c r="B16" s="16">
        <v>0</v>
      </c>
      <c r="C16" s="16">
        <v>0</v>
      </c>
      <c r="D16" s="16">
        <v>0</v>
      </c>
      <c r="E16" s="16">
        <v>47</v>
      </c>
      <c r="F16" s="16">
        <v>0</v>
      </c>
      <c r="G16" s="16"/>
      <c r="H16" s="16"/>
      <c r="I16" s="16">
        <v>0</v>
      </c>
      <c r="J16" s="16">
        <v>0</v>
      </c>
      <c r="K16" s="16">
        <v>0</v>
      </c>
      <c r="L16" s="16">
        <v>0</v>
      </c>
      <c r="M16" s="16">
        <v>0</v>
      </c>
      <c r="N16" s="16">
        <v>0</v>
      </c>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 t="shared" ref="B18:N18" si="1">SUM(B11:B17)</f>
        <v>94047</v>
      </c>
      <c r="C18" s="19">
        <f t="shared" si="1"/>
        <v>11633</v>
      </c>
      <c r="D18" s="19">
        <f t="shared" si="1"/>
        <v>1181</v>
      </c>
      <c r="E18" s="19">
        <f t="shared" si="1"/>
        <v>40145</v>
      </c>
      <c r="F18" s="19">
        <f t="shared" si="1"/>
        <v>1107</v>
      </c>
      <c r="G18" s="19">
        <f t="shared" si="1"/>
        <v>0</v>
      </c>
      <c r="H18" s="19">
        <f t="shared" si="1"/>
        <v>0</v>
      </c>
      <c r="I18" s="19">
        <f t="shared" si="1"/>
        <v>275</v>
      </c>
      <c r="J18" s="19">
        <f t="shared" si="1"/>
        <v>1230</v>
      </c>
      <c r="K18" s="19">
        <f t="shared" si="1"/>
        <v>111</v>
      </c>
      <c r="L18" s="19">
        <f t="shared" si="1"/>
        <v>5487</v>
      </c>
      <c r="M18" s="19">
        <f t="shared" si="1"/>
        <v>132</v>
      </c>
      <c r="N18" s="19">
        <f t="shared" si="1"/>
        <v>13081750</v>
      </c>
    </row>
    <row r="19" spans="1:14" s="26" customFormat="1" x14ac:dyDescent="0.25">
      <c r="A19" s="35" t="s">
        <v>15</v>
      </c>
      <c r="B19" s="19">
        <f>SUM(B10,B18)</f>
        <v>121444</v>
      </c>
      <c r="C19" s="19">
        <f t="shared" ref="C19:N19" si="2">SUM(C10,C18)</f>
        <v>15836</v>
      </c>
      <c r="D19" s="19">
        <f t="shared" si="2"/>
        <v>2625</v>
      </c>
      <c r="E19" s="19">
        <f t="shared" si="2"/>
        <v>52409</v>
      </c>
      <c r="F19" s="19">
        <f t="shared" si="2"/>
        <v>2196</v>
      </c>
      <c r="G19" s="19">
        <f t="shared" si="2"/>
        <v>0</v>
      </c>
      <c r="H19" s="19">
        <f t="shared" si="2"/>
        <v>0</v>
      </c>
      <c r="I19" s="19">
        <f t="shared" si="2"/>
        <v>379</v>
      </c>
      <c r="J19" s="19">
        <f t="shared" si="2"/>
        <v>1570</v>
      </c>
      <c r="K19" s="19">
        <f t="shared" si="2"/>
        <v>436</v>
      </c>
      <c r="L19" s="19">
        <f t="shared" si="2"/>
        <v>6529</v>
      </c>
      <c r="M19" s="19">
        <f t="shared" si="2"/>
        <v>225</v>
      </c>
      <c r="N19" s="19">
        <f t="shared" si="2"/>
        <v>29528273</v>
      </c>
    </row>
    <row r="21" spans="1:14" x14ac:dyDescent="0.25">
      <c r="B21" s="44"/>
      <c r="C21" s="44"/>
      <c r="D21" s="44"/>
      <c r="E21" s="44"/>
      <c r="F21" s="44"/>
      <c r="G21" s="44"/>
      <c r="H21" s="44"/>
      <c r="I21" s="44"/>
      <c r="J21" s="44"/>
      <c r="K21" s="44"/>
      <c r="L21" s="44"/>
      <c r="M21" s="44"/>
      <c r="N21" s="44"/>
    </row>
    <row r="23" spans="1:14" x14ac:dyDescent="0.25">
      <c r="B23" s="44"/>
      <c r="C23" s="44"/>
      <c r="D23" s="44"/>
      <c r="E23" s="44"/>
      <c r="F23" s="44"/>
      <c r="G23" s="44"/>
      <c r="H23" s="44"/>
      <c r="I23" s="44"/>
      <c r="J23" s="44"/>
      <c r="K23" s="44"/>
      <c r="L23" s="44"/>
      <c r="M23" s="44"/>
      <c r="N23" s="44"/>
    </row>
  </sheetData>
  <sheetProtection formatCells="0" formatColumns="0" formatRows="0" insertColumns="0" insertRows="0" sort="0" autoFilter="0" pivotTables="0"/>
  <dataValidations count="1">
    <dataValidation type="list" errorStyle="information" allowBlank="1" showInputMessage="1" showErrorMessage="1" sqref="B1:N1" xr:uid="{561B068A-20AE-46E5-B0E6-FC6DA1A427E9}">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5ACAA-9EFA-4F6D-99A8-ED403793EA14}">
  <sheetPr codeName="Sheet18"/>
  <dimension ref="A1:AH21"/>
  <sheetViews>
    <sheetView workbookViewId="0">
      <pane xSplit="1" ySplit="1" topLeftCell="B2" activePane="bottomRight" state="frozen"/>
      <selection activeCell="B3" sqref="B3"/>
      <selection pane="topRight" activeCell="B3" sqref="B3"/>
      <selection pane="bottomLeft" activeCell="B3" sqref="B3"/>
      <selection pane="bottomRight" activeCell="B3" sqref="B3"/>
    </sheetView>
  </sheetViews>
  <sheetFormatPr defaultRowHeight="15" x14ac:dyDescent="0.25"/>
  <cols>
    <col min="1" max="1" width="35.7109375" style="6" bestFit="1" customWidth="1"/>
    <col min="2" max="2" width="15.42578125" style="5" customWidth="1"/>
    <col min="3" max="4" width="15.42578125" style="3" customWidth="1"/>
    <col min="5" max="9" width="15.42578125" style="5" customWidth="1"/>
    <col min="10" max="10" width="15.42578125" style="3" customWidth="1"/>
    <col min="11" max="17" width="15.42578125" style="5" customWidth="1"/>
    <col min="18" max="29" width="15.42578125" style="3" customWidth="1"/>
    <col min="30" max="34" width="16" style="3" customWidth="1"/>
    <col min="35" max="16384" width="9.140625" style="3"/>
  </cols>
  <sheetData>
    <row r="1" spans="1:34" s="40" customFormat="1" ht="30" x14ac:dyDescent="0.25">
      <c r="A1" s="36" t="s">
        <v>483</v>
      </c>
      <c r="B1" s="36" t="s">
        <v>62</v>
      </c>
      <c r="C1" s="126" t="s">
        <v>58</v>
      </c>
      <c r="D1" s="126" t="s">
        <v>57</v>
      </c>
      <c r="E1" s="36" t="s">
        <v>35</v>
      </c>
      <c r="F1" s="36" t="s">
        <v>36</v>
      </c>
      <c r="G1" s="36" t="s">
        <v>39</v>
      </c>
      <c r="H1" s="36" t="s">
        <v>94</v>
      </c>
      <c r="I1" s="36" t="s">
        <v>99</v>
      </c>
      <c r="J1" s="36" t="s">
        <v>570</v>
      </c>
      <c r="K1" s="36" t="s">
        <v>567</v>
      </c>
      <c r="L1" s="36" t="s">
        <v>569</v>
      </c>
      <c r="M1" s="36" t="s">
        <v>572</v>
      </c>
      <c r="N1" s="36" t="s">
        <v>573</v>
      </c>
      <c r="O1" s="36" t="s">
        <v>28</v>
      </c>
      <c r="P1" s="36" t="s">
        <v>89</v>
      </c>
      <c r="Q1" s="36" t="s">
        <v>45</v>
      </c>
      <c r="R1" s="36" t="s">
        <v>53</v>
      </c>
      <c r="S1" s="126" t="s">
        <v>351</v>
      </c>
      <c r="T1" s="126" t="s">
        <v>352</v>
      </c>
      <c r="U1" s="36" t="s">
        <v>75</v>
      </c>
      <c r="V1" s="36" t="s">
        <v>107</v>
      </c>
      <c r="W1" s="126" t="s">
        <v>101</v>
      </c>
      <c r="X1" s="126" t="s">
        <v>65</v>
      </c>
      <c r="Y1" s="126" t="s">
        <v>330</v>
      </c>
      <c r="Z1" s="126" t="s">
        <v>331</v>
      </c>
      <c r="AA1" s="126" t="s">
        <v>332</v>
      </c>
      <c r="AB1" s="126" t="s">
        <v>333</v>
      </c>
      <c r="AC1" s="36" t="s">
        <v>109</v>
      </c>
      <c r="AD1" s="39"/>
      <c r="AE1" s="39"/>
      <c r="AF1" s="39"/>
      <c r="AG1" s="39"/>
      <c r="AH1" s="39"/>
    </row>
    <row r="2" spans="1:34" s="26" customFormat="1" x14ac:dyDescent="0.25">
      <c r="A2" s="34" t="s">
        <v>0</v>
      </c>
      <c r="B2" s="16"/>
      <c r="C2" s="25"/>
      <c r="D2" s="25"/>
      <c r="E2" s="17"/>
      <c r="F2" s="17"/>
      <c r="G2" s="17"/>
      <c r="H2" s="17"/>
      <c r="I2" s="17"/>
      <c r="J2" s="17"/>
      <c r="K2" s="17"/>
      <c r="L2" s="17"/>
      <c r="M2" s="17"/>
      <c r="N2" s="17"/>
      <c r="O2" s="17"/>
      <c r="P2" s="17"/>
      <c r="Q2" s="17"/>
      <c r="R2" s="24"/>
      <c r="S2" s="25"/>
      <c r="T2" s="25"/>
      <c r="U2" s="25"/>
      <c r="V2" s="25"/>
      <c r="W2" s="25"/>
      <c r="X2" s="25"/>
      <c r="Y2" s="25"/>
      <c r="Z2" s="25"/>
      <c r="AA2" s="25"/>
      <c r="AB2" s="25"/>
      <c r="AC2" s="24">
        <f>17937+556+178+150+160+157</f>
        <v>19138</v>
      </c>
      <c r="AD2" s="25"/>
      <c r="AE2" s="25"/>
      <c r="AF2" s="25"/>
      <c r="AG2" s="25"/>
      <c r="AH2" s="25"/>
    </row>
    <row r="3" spans="1:34" s="26" customFormat="1" x14ac:dyDescent="0.25">
      <c r="A3" s="34" t="s">
        <v>1</v>
      </c>
      <c r="B3" s="16"/>
      <c r="C3" s="25"/>
      <c r="D3" s="25"/>
      <c r="E3" s="17"/>
      <c r="F3" s="17"/>
      <c r="G3" s="17"/>
      <c r="H3" s="17"/>
      <c r="I3" s="17"/>
      <c r="J3" s="17"/>
      <c r="K3" s="17"/>
      <c r="L3" s="17"/>
      <c r="M3" s="17"/>
      <c r="N3" s="17"/>
      <c r="O3" s="17"/>
      <c r="P3" s="17"/>
      <c r="Q3" s="17"/>
      <c r="R3" s="24"/>
      <c r="S3" s="25"/>
      <c r="T3" s="25"/>
      <c r="U3" s="25"/>
      <c r="V3" s="25"/>
      <c r="W3" s="25"/>
      <c r="X3" s="25"/>
      <c r="Y3" s="25"/>
      <c r="Z3" s="25"/>
      <c r="AA3" s="25"/>
      <c r="AB3" s="25"/>
      <c r="AC3" s="24"/>
      <c r="AD3" s="25"/>
      <c r="AE3" s="25"/>
      <c r="AF3" s="25"/>
      <c r="AG3" s="25"/>
      <c r="AH3" s="25"/>
    </row>
    <row r="4" spans="1:34" s="26" customFormat="1" x14ac:dyDescent="0.25">
      <c r="A4" s="34" t="s">
        <v>169</v>
      </c>
      <c r="B4" s="16"/>
      <c r="C4" s="25"/>
      <c r="D4" s="25"/>
      <c r="E4" s="17"/>
      <c r="F4" s="17"/>
      <c r="G4" s="17"/>
      <c r="H4" s="17"/>
      <c r="I4" s="17"/>
      <c r="J4" s="17"/>
      <c r="K4" s="17"/>
      <c r="L4" s="17"/>
      <c r="M4" s="17"/>
      <c r="N4" s="17"/>
      <c r="O4" s="17"/>
      <c r="P4" s="17"/>
      <c r="Q4" s="17"/>
      <c r="R4" s="24"/>
      <c r="S4" s="25"/>
      <c r="T4" s="25"/>
      <c r="U4" s="25"/>
      <c r="V4" s="25"/>
      <c r="W4" s="25"/>
      <c r="X4" s="25">
        <v>4965</v>
      </c>
      <c r="Y4" s="25"/>
      <c r="Z4" s="25"/>
      <c r="AA4" s="25"/>
      <c r="AB4" s="25"/>
      <c r="AC4" s="24"/>
      <c r="AD4" s="25"/>
      <c r="AE4" s="25"/>
      <c r="AF4" s="25"/>
      <c r="AG4" s="25"/>
      <c r="AH4" s="25"/>
    </row>
    <row r="5" spans="1:34" s="26" customFormat="1" x14ac:dyDescent="0.25">
      <c r="A5" s="34" t="s">
        <v>2</v>
      </c>
      <c r="B5" s="16"/>
      <c r="C5" s="25"/>
      <c r="D5" s="25"/>
      <c r="E5" s="17"/>
      <c r="F5" s="17"/>
      <c r="G5" s="17"/>
      <c r="H5" s="17"/>
      <c r="I5" s="17"/>
      <c r="J5" s="17"/>
      <c r="K5" s="17"/>
      <c r="L5" s="17"/>
      <c r="M5" s="17"/>
      <c r="N5" s="17"/>
      <c r="O5" s="17"/>
      <c r="P5" s="17"/>
      <c r="Q5" s="17"/>
      <c r="R5" s="24"/>
      <c r="S5" s="25"/>
      <c r="T5" s="25"/>
      <c r="U5" s="25"/>
      <c r="V5" s="25"/>
      <c r="W5" s="25"/>
      <c r="X5" s="25"/>
      <c r="Y5" s="25"/>
      <c r="Z5" s="25"/>
      <c r="AA5" s="25"/>
      <c r="AB5" s="25"/>
      <c r="AC5" s="24"/>
      <c r="AD5" s="25"/>
      <c r="AE5" s="25"/>
      <c r="AF5" s="25"/>
      <c r="AG5" s="25"/>
      <c r="AH5" s="25"/>
    </row>
    <row r="6" spans="1:34" s="26" customFormat="1" x14ac:dyDescent="0.25">
      <c r="A6" s="34" t="s">
        <v>3</v>
      </c>
      <c r="B6" s="16">
        <v>6477</v>
      </c>
      <c r="C6" s="25"/>
      <c r="D6" s="25"/>
      <c r="E6" s="17"/>
      <c r="F6" s="17">
        <v>538</v>
      </c>
      <c r="G6" s="17">
        <v>189</v>
      </c>
      <c r="H6" s="17">
        <v>47</v>
      </c>
      <c r="I6" s="17">
        <v>80</v>
      </c>
      <c r="J6" s="17">
        <v>3443</v>
      </c>
      <c r="K6" s="17">
        <v>13707</v>
      </c>
      <c r="L6" s="17">
        <v>1046</v>
      </c>
      <c r="M6" s="17">
        <v>3528</v>
      </c>
      <c r="N6" s="17">
        <v>1103</v>
      </c>
      <c r="O6" s="17">
        <v>281</v>
      </c>
      <c r="P6" s="17">
        <v>327</v>
      </c>
      <c r="Q6" s="17">
        <v>473</v>
      </c>
      <c r="R6" s="24">
        <v>1595</v>
      </c>
      <c r="S6" s="25"/>
      <c r="T6" s="25"/>
      <c r="U6" s="25">
        <v>401664</v>
      </c>
      <c r="V6" s="25">
        <v>197716</v>
      </c>
      <c r="W6" s="25">
        <v>78320</v>
      </c>
      <c r="X6" s="25"/>
      <c r="Y6" s="25"/>
      <c r="Z6" s="25"/>
      <c r="AA6" s="25"/>
      <c r="AB6" s="25"/>
      <c r="AC6" s="24"/>
      <c r="AD6" s="25"/>
      <c r="AE6" s="25"/>
      <c r="AF6" s="25"/>
      <c r="AG6" s="25"/>
      <c r="AH6" s="25"/>
    </row>
    <row r="7" spans="1:34" s="26" customFormat="1" x14ac:dyDescent="0.25">
      <c r="A7" s="34" t="s">
        <v>4</v>
      </c>
      <c r="B7" s="16"/>
      <c r="C7" s="25">
        <v>21</v>
      </c>
      <c r="D7" s="25">
        <f>35659+956</f>
        <v>36615</v>
      </c>
      <c r="E7" s="17">
        <v>2810</v>
      </c>
      <c r="F7" s="17">
        <f>1724+25</f>
        <v>1749</v>
      </c>
      <c r="G7" s="17">
        <f>1626+50</f>
        <v>1676</v>
      </c>
      <c r="H7" s="17"/>
      <c r="I7" s="17">
        <v>1373</v>
      </c>
      <c r="J7" s="17">
        <v>874</v>
      </c>
      <c r="K7" s="17">
        <v>1969</v>
      </c>
      <c r="L7" s="17">
        <v>365</v>
      </c>
      <c r="M7" s="17">
        <v>934</v>
      </c>
      <c r="N7" s="17">
        <v>100</v>
      </c>
      <c r="O7" s="17"/>
      <c r="P7" s="17"/>
      <c r="Q7" s="17"/>
      <c r="R7" s="24"/>
      <c r="S7" s="25">
        <v>29</v>
      </c>
      <c r="T7" s="25">
        <v>34817</v>
      </c>
      <c r="U7" s="25">
        <v>1926064</v>
      </c>
      <c r="V7" s="25">
        <f>1335688+28000</f>
        <v>1363688</v>
      </c>
      <c r="W7" s="25">
        <v>2829800</v>
      </c>
      <c r="X7" s="25"/>
      <c r="Y7" s="25"/>
      <c r="Z7" s="25"/>
      <c r="AA7" s="25"/>
      <c r="AB7" s="25"/>
      <c r="AC7" s="24"/>
      <c r="AD7" s="25"/>
      <c r="AE7" s="25"/>
      <c r="AF7" s="25"/>
      <c r="AG7" s="25"/>
      <c r="AH7" s="25"/>
    </row>
    <row r="8" spans="1:34" s="26" customFormat="1" x14ac:dyDescent="0.25">
      <c r="A8" s="34" t="s">
        <v>5</v>
      </c>
      <c r="B8" s="16"/>
      <c r="C8" s="25"/>
      <c r="D8" s="25"/>
      <c r="E8" s="17"/>
      <c r="F8" s="17"/>
      <c r="G8" s="17"/>
      <c r="H8" s="17"/>
      <c r="I8" s="17"/>
      <c r="J8" s="17"/>
      <c r="K8" s="17"/>
      <c r="L8" s="17"/>
      <c r="M8" s="17"/>
      <c r="N8" s="17"/>
      <c r="O8" s="17"/>
      <c r="P8" s="17"/>
      <c r="Q8" s="17"/>
      <c r="R8" s="24"/>
      <c r="S8" s="25"/>
      <c r="T8" s="25"/>
      <c r="U8" s="25"/>
      <c r="V8" s="25"/>
      <c r="W8" s="25"/>
      <c r="X8" s="25"/>
      <c r="Y8" s="25"/>
      <c r="Z8" s="25"/>
      <c r="AA8" s="25"/>
      <c r="AB8" s="25"/>
      <c r="AC8" s="24"/>
      <c r="AD8" s="25"/>
      <c r="AE8" s="25"/>
      <c r="AF8" s="25"/>
      <c r="AG8" s="25"/>
      <c r="AH8" s="25"/>
    </row>
    <row r="9" spans="1:34" s="26" customFormat="1" x14ac:dyDescent="0.25">
      <c r="A9" s="34" t="s">
        <v>6</v>
      </c>
      <c r="B9" s="16"/>
      <c r="C9" s="25"/>
      <c r="D9" s="25"/>
      <c r="E9" s="17"/>
      <c r="F9" s="17"/>
      <c r="G9" s="17"/>
      <c r="H9" s="17"/>
      <c r="I9" s="17"/>
      <c r="J9" s="17"/>
      <c r="K9" s="17"/>
      <c r="L9" s="17"/>
      <c r="M9" s="17"/>
      <c r="N9" s="17"/>
      <c r="O9" s="17"/>
      <c r="P9" s="17"/>
      <c r="Q9" s="17"/>
      <c r="R9" s="24"/>
      <c r="S9" s="25"/>
      <c r="T9" s="25"/>
      <c r="U9" s="25"/>
      <c r="V9" s="25"/>
      <c r="W9" s="25"/>
      <c r="X9" s="25"/>
      <c r="Y9" s="25">
        <v>1239</v>
      </c>
      <c r="Z9" s="25">
        <v>1637</v>
      </c>
      <c r="AA9" s="25">
        <v>536</v>
      </c>
      <c r="AB9" s="25">
        <v>1124</v>
      </c>
      <c r="AC9" s="24"/>
      <c r="AD9" s="25"/>
      <c r="AE9" s="25"/>
      <c r="AF9" s="25"/>
      <c r="AG9" s="25"/>
      <c r="AH9" s="25"/>
    </row>
    <row r="10" spans="1:34" s="26" customFormat="1" x14ac:dyDescent="0.25">
      <c r="A10" s="35" t="s">
        <v>7</v>
      </c>
      <c r="B10" s="19">
        <f>SUM(B2:B9)</f>
        <v>6477</v>
      </c>
      <c r="C10" s="21">
        <f>SUM(C2:C9)</f>
        <v>21</v>
      </c>
      <c r="D10" s="21">
        <f>SUM(D2:D9)</f>
        <v>36615</v>
      </c>
      <c r="E10" s="19">
        <f t="shared" ref="E10:AH10" si="0">SUM(E2:E9)</f>
        <v>2810</v>
      </c>
      <c r="F10" s="19">
        <f t="shared" si="0"/>
        <v>2287</v>
      </c>
      <c r="G10" s="19">
        <f t="shared" si="0"/>
        <v>1865</v>
      </c>
      <c r="H10" s="19">
        <f t="shared" si="0"/>
        <v>47</v>
      </c>
      <c r="I10" s="19">
        <f t="shared" si="0"/>
        <v>1453</v>
      </c>
      <c r="J10" s="19">
        <f>SUM(J2:J9)</f>
        <v>4317</v>
      </c>
      <c r="K10" s="19">
        <f t="shared" si="0"/>
        <v>15676</v>
      </c>
      <c r="L10" s="19">
        <f t="shared" si="0"/>
        <v>1411</v>
      </c>
      <c r="M10" s="19">
        <f>SUM(M2:M9)</f>
        <v>4462</v>
      </c>
      <c r="N10" s="19">
        <f t="shared" si="0"/>
        <v>1203</v>
      </c>
      <c r="O10" s="19">
        <f t="shared" si="0"/>
        <v>281</v>
      </c>
      <c r="P10" s="19">
        <f t="shared" si="0"/>
        <v>327</v>
      </c>
      <c r="Q10" s="19">
        <f t="shared" si="0"/>
        <v>473</v>
      </c>
      <c r="R10" s="20">
        <f t="shared" si="0"/>
        <v>1595</v>
      </c>
      <c r="S10" s="21">
        <f>SUM(S2:S9)</f>
        <v>29</v>
      </c>
      <c r="T10" s="21">
        <f>SUM(T2:T9)</f>
        <v>34817</v>
      </c>
      <c r="U10" s="21">
        <f t="shared" si="0"/>
        <v>2327728</v>
      </c>
      <c r="V10" s="21">
        <f t="shared" si="0"/>
        <v>1561404</v>
      </c>
      <c r="W10" s="21">
        <f t="shared" si="0"/>
        <v>2908120</v>
      </c>
      <c r="X10" s="21">
        <f>SUM(X2:X9)</f>
        <v>4965</v>
      </c>
      <c r="Y10" s="21">
        <f t="shared" si="0"/>
        <v>1239</v>
      </c>
      <c r="Z10" s="21">
        <f t="shared" si="0"/>
        <v>1637</v>
      </c>
      <c r="AA10" s="21">
        <f t="shared" si="0"/>
        <v>536</v>
      </c>
      <c r="AB10" s="21">
        <f t="shared" si="0"/>
        <v>1124</v>
      </c>
      <c r="AC10" s="20">
        <f t="shared" si="0"/>
        <v>19138</v>
      </c>
      <c r="AD10" s="21">
        <f t="shared" si="0"/>
        <v>0</v>
      </c>
      <c r="AE10" s="21">
        <f t="shared" si="0"/>
        <v>0</v>
      </c>
      <c r="AF10" s="21">
        <f t="shared" si="0"/>
        <v>0</v>
      </c>
      <c r="AG10" s="21">
        <f t="shared" si="0"/>
        <v>0</v>
      </c>
      <c r="AH10" s="21">
        <f t="shared" si="0"/>
        <v>0</v>
      </c>
    </row>
    <row r="11" spans="1:34" s="26" customFormat="1" x14ac:dyDescent="0.25">
      <c r="A11" s="34" t="s">
        <v>8</v>
      </c>
      <c r="B11" s="16"/>
      <c r="C11" s="23"/>
      <c r="D11" s="23"/>
      <c r="E11" s="16"/>
      <c r="F11" s="16"/>
      <c r="G11" s="16"/>
      <c r="H11" s="16"/>
      <c r="I11" s="16"/>
      <c r="J11" s="16"/>
      <c r="K11" s="16"/>
      <c r="L11" s="16"/>
      <c r="M11" s="16"/>
      <c r="N11" s="16"/>
      <c r="O11" s="16"/>
      <c r="P11" s="16"/>
      <c r="Q11" s="16"/>
      <c r="R11" s="22"/>
      <c r="S11" s="23"/>
      <c r="T11" s="23"/>
      <c r="U11" s="23"/>
      <c r="V11" s="23"/>
      <c r="W11" s="23"/>
      <c r="X11" s="23"/>
      <c r="Y11" s="23"/>
      <c r="Z11" s="23"/>
      <c r="AA11" s="23"/>
      <c r="AB11" s="23"/>
      <c r="AC11" s="22">
        <v>3066</v>
      </c>
      <c r="AD11" s="23"/>
      <c r="AE11" s="23"/>
      <c r="AF11" s="23"/>
      <c r="AG11" s="23"/>
      <c r="AH11" s="23"/>
    </row>
    <row r="12" spans="1:34" s="26" customFormat="1" x14ac:dyDescent="0.25">
      <c r="A12" s="34" t="s">
        <v>9</v>
      </c>
      <c r="B12" s="16"/>
      <c r="C12" s="23"/>
      <c r="D12" s="23"/>
      <c r="E12" s="16"/>
      <c r="F12" s="16"/>
      <c r="G12" s="16"/>
      <c r="H12" s="16"/>
      <c r="I12" s="16"/>
      <c r="J12" s="16"/>
      <c r="K12" s="16"/>
      <c r="L12" s="16"/>
      <c r="M12" s="16"/>
      <c r="N12" s="16"/>
      <c r="O12" s="16"/>
      <c r="P12" s="16"/>
      <c r="Q12" s="16"/>
      <c r="R12" s="22"/>
      <c r="S12" s="23"/>
      <c r="T12" s="23"/>
      <c r="U12" s="23"/>
      <c r="V12" s="23"/>
      <c r="W12" s="23"/>
      <c r="X12" s="23"/>
      <c r="Y12" s="23"/>
      <c r="Z12" s="23"/>
      <c r="AA12" s="23"/>
      <c r="AB12" s="23"/>
      <c r="AC12" s="22"/>
      <c r="AD12" s="23"/>
      <c r="AE12" s="23"/>
      <c r="AF12" s="23"/>
      <c r="AG12" s="23"/>
      <c r="AH12" s="23"/>
    </row>
    <row r="13" spans="1:34" s="26" customFormat="1" x14ac:dyDescent="0.25">
      <c r="A13" s="34" t="s">
        <v>164</v>
      </c>
      <c r="B13" s="16"/>
      <c r="C13" s="23"/>
      <c r="D13" s="23"/>
      <c r="E13" s="16"/>
      <c r="F13" s="16"/>
      <c r="G13" s="16"/>
      <c r="H13" s="16"/>
      <c r="I13" s="16"/>
      <c r="J13" s="16"/>
      <c r="K13" s="16"/>
      <c r="L13" s="16"/>
      <c r="M13" s="16"/>
      <c r="N13" s="16"/>
      <c r="O13" s="16"/>
      <c r="P13" s="16"/>
      <c r="Q13" s="16"/>
      <c r="R13" s="22"/>
      <c r="S13" s="23"/>
      <c r="T13" s="23"/>
      <c r="U13" s="23"/>
      <c r="V13" s="23"/>
      <c r="W13" s="23"/>
      <c r="X13" s="23">
        <v>22152</v>
      </c>
      <c r="Y13" s="23"/>
      <c r="Z13" s="23"/>
      <c r="AA13" s="23"/>
      <c r="AB13" s="23"/>
      <c r="AC13" s="22"/>
      <c r="AD13" s="23"/>
      <c r="AE13" s="23"/>
      <c r="AF13" s="23"/>
      <c r="AG13" s="23"/>
      <c r="AH13" s="23"/>
    </row>
    <row r="14" spans="1:34" s="26" customFormat="1" x14ac:dyDescent="0.25">
      <c r="A14" s="34" t="s">
        <v>10</v>
      </c>
      <c r="B14" s="16">
        <v>548</v>
      </c>
      <c r="C14" s="23"/>
      <c r="D14" s="23"/>
      <c r="E14" s="16"/>
      <c r="F14" s="16">
        <v>190</v>
      </c>
      <c r="G14" s="16">
        <v>220</v>
      </c>
      <c r="H14" s="16">
        <v>0</v>
      </c>
      <c r="I14" s="16">
        <v>23</v>
      </c>
      <c r="J14" s="16">
        <v>963</v>
      </c>
      <c r="K14" s="16">
        <v>9108</v>
      </c>
      <c r="L14" s="16">
        <v>269</v>
      </c>
      <c r="M14" s="16">
        <v>918</v>
      </c>
      <c r="N14" s="16">
        <v>15</v>
      </c>
      <c r="O14" s="16">
        <v>301</v>
      </c>
      <c r="P14" s="16">
        <v>2</v>
      </c>
      <c r="Q14" s="16">
        <v>79</v>
      </c>
      <c r="R14" s="22">
        <v>780</v>
      </c>
      <c r="S14" s="23"/>
      <c r="T14" s="23"/>
      <c r="U14" s="23">
        <v>342080</v>
      </c>
      <c r="V14" s="23">
        <v>78200</v>
      </c>
      <c r="W14" s="23">
        <v>37500</v>
      </c>
      <c r="X14" s="23"/>
      <c r="Y14" s="23"/>
      <c r="Z14" s="23"/>
      <c r="AA14" s="23"/>
      <c r="AB14" s="23"/>
      <c r="AC14" s="22"/>
      <c r="AD14" s="23"/>
      <c r="AE14" s="23"/>
      <c r="AF14" s="23"/>
      <c r="AG14" s="23"/>
      <c r="AH14" s="23"/>
    </row>
    <row r="15" spans="1:34" s="26" customFormat="1" x14ac:dyDescent="0.25">
      <c r="A15" s="34" t="s">
        <v>11</v>
      </c>
      <c r="B15" s="16"/>
      <c r="C15" s="23">
        <v>0</v>
      </c>
      <c r="D15" s="23">
        <v>6203</v>
      </c>
      <c r="E15" s="16">
        <v>25</v>
      </c>
      <c r="F15" s="16">
        <v>1178</v>
      </c>
      <c r="G15" s="16">
        <v>494</v>
      </c>
      <c r="H15" s="16"/>
      <c r="I15" s="16">
        <v>283</v>
      </c>
      <c r="J15" s="16">
        <v>747</v>
      </c>
      <c r="K15" s="16">
        <v>3403</v>
      </c>
      <c r="L15" s="16">
        <v>94</v>
      </c>
      <c r="M15" s="16">
        <v>2028</v>
      </c>
      <c r="N15" s="16">
        <v>0</v>
      </c>
      <c r="O15" s="16"/>
      <c r="P15" s="16"/>
      <c r="Q15" s="16"/>
      <c r="R15" s="22"/>
      <c r="S15" s="23">
        <v>0</v>
      </c>
      <c r="T15" s="23">
        <v>9427</v>
      </c>
      <c r="U15" s="23">
        <v>1846159</v>
      </c>
      <c r="V15" s="23">
        <v>1693322</v>
      </c>
      <c r="W15" s="23">
        <v>1326400</v>
      </c>
      <c r="X15" s="23"/>
      <c r="Y15" s="23"/>
      <c r="Z15" s="23"/>
      <c r="AA15" s="23"/>
      <c r="AB15" s="23"/>
      <c r="AC15" s="22"/>
      <c r="AD15" s="23"/>
      <c r="AE15" s="23"/>
      <c r="AF15" s="23"/>
      <c r="AG15" s="23"/>
      <c r="AH15" s="23"/>
    </row>
    <row r="16" spans="1:34" s="26" customFormat="1" x14ac:dyDescent="0.25">
      <c r="A16" s="34" t="s">
        <v>12</v>
      </c>
      <c r="B16" s="16"/>
      <c r="C16" s="23"/>
      <c r="D16" s="23"/>
      <c r="E16" s="16"/>
      <c r="F16" s="16"/>
      <c r="G16" s="16"/>
      <c r="H16" s="16"/>
      <c r="I16" s="16"/>
      <c r="J16" s="16"/>
      <c r="K16" s="16"/>
      <c r="L16" s="16"/>
      <c r="M16" s="16"/>
      <c r="N16" s="16"/>
      <c r="O16" s="16"/>
      <c r="P16" s="16"/>
      <c r="Q16" s="16"/>
      <c r="R16" s="22"/>
      <c r="S16" s="23"/>
      <c r="T16" s="23"/>
      <c r="U16" s="23"/>
      <c r="V16" s="23"/>
      <c r="W16" s="23"/>
      <c r="X16" s="23"/>
      <c r="Y16" s="23"/>
      <c r="Z16" s="23"/>
      <c r="AA16" s="23"/>
      <c r="AB16" s="23"/>
      <c r="AC16" s="22"/>
      <c r="AD16" s="23"/>
      <c r="AE16" s="23"/>
      <c r="AF16" s="23"/>
      <c r="AG16" s="23"/>
      <c r="AH16" s="23"/>
    </row>
    <row r="17" spans="1:34" s="26" customFormat="1" x14ac:dyDescent="0.25">
      <c r="A17" s="34" t="s">
        <v>13</v>
      </c>
      <c r="B17" s="16"/>
      <c r="C17" s="23"/>
      <c r="D17" s="23"/>
      <c r="E17" s="16"/>
      <c r="F17" s="16"/>
      <c r="G17" s="16"/>
      <c r="H17" s="16"/>
      <c r="I17" s="16"/>
      <c r="J17" s="16"/>
      <c r="K17" s="16"/>
      <c r="L17" s="16"/>
      <c r="M17" s="16"/>
      <c r="N17" s="16"/>
      <c r="O17" s="16"/>
      <c r="P17" s="16"/>
      <c r="Q17" s="16"/>
      <c r="R17" s="22"/>
      <c r="S17" s="23"/>
      <c r="T17" s="23"/>
      <c r="U17" s="23"/>
      <c r="V17" s="23"/>
      <c r="W17" s="23"/>
      <c r="X17" s="23"/>
      <c r="Y17" s="23">
        <v>182</v>
      </c>
      <c r="Z17" s="23">
        <v>137</v>
      </c>
      <c r="AA17" s="23">
        <v>23</v>
      </c>
      <c r="AB17" s="23">
        <v>507</v>
      </c>
      <c r="AC17" s="22"/>
      <c r="AD17" s="23"/>
      <c r="AE17" s="23"/>
      <c r="AF17" s="23"/>
      <c r="AG17" s="23"/>
      <c r="AH17" s="23"/>
    </row>
    <row r="18" spans="1:34" s="26" customFormat="1" x14ac:dyDescent="0.25">
      <c r="A18" s="35" t="s">
        <v>14</v>
      </c>
      <c r="B18" s="19">
        <f>SUM(B11:B17)</f>
        <v>548</v>
      </c>
      <c r="C18" s="21">
        <f>SUM(C11:C17)</f>
        <v>0</v>
      </c>
      <c r="D18" s="21">
        <f>SUM(D11:D17)</f>
        <v>6203</v>
      </c>
      <c r="E18" s="19">
        <f t="shared" ref="E18:AH18" si="1">SUM(E11:E17)</f>
        <v>25</v>
      </c>
      <c r="F18" s="19">
        <f t="shared" si="1"/>
        <v>1368</v>
      </c>
      <c r="G18" s="19">
        <f t="shared" si="1"/>
        <v>714</v>
      </c>
      <c r="H18" s="19">
        <f t="shared" ref="H18" si="2">SUM(H11:H17)</f>
        <v>0</v>
      </c>
      <c r="I18" s="19">
        <f t="shared" si="1"/>
        <v>306</v>
      </c>
      <c r="J18" s="19">
        <f>SUM(J11:J17)</f>
        <v>1710</v>
      </c>
      <c r="K18" s="19">
        <f t="shared" si="1"/>
        <v>12511</v>
      </c>
      <c r="L18" s="19">
        <f t="shared" si="1"/>
        <v>363</v>
      </c>
      <c r="M18" s="19">
        <f>SUM(M11:M17)</f>
        <v>2946</v>
      </c>
      <c r="N18" s="19">
        <f t="shared" si="1"/>
        <v>15</v>
      </c>
      <c r="O18" s="19">
        <f t="shared" si="1"/>
        <v>301</v>
      </c>
      <c r="P18" s="19">
        <f t="shared" si="1"/>
        <v>2</v>
      </c>
      <c r="Q18" s="19">
        <f t="shared" si="1"/>
        <v>79</v>
      </c>
      <c r="R18" s="20">
        <f t="shared" si="1"/>
        <v>780</v>
      </c>
      <c r="S18" s="21">
        <f>SUM(S11:S17)</f>
        <v>0</v>
      </c>
      <c r="T18" s="21">
        <f>SUM(T11:T17)</f>
        <v>9427</v>
      </c>
      <c r="U18" s="21">
        <f t="shared" si="1"/>
        <v>2188239</v>
      </c>
      <c r="V18" s="21">
        <f t="shared" si="1"/>
        <v>1771522</v>
      </c>
      <c r="W18" s="21">
        <f t="shared" si="1"/>
        <v>1363900</v>
      </c>
      <c r="X18" s="21">
        <f>SUM(X11:X17)</f>
        <v>22152</v>
      </c>
      <c r="Y18" s="21">
        <f t="shared" si="1"/>
        <v>182</v>
      </c>
      <c r="Z18" s="21">
        <f t="shared" si="1"/>
        <v>137</v>
      </c>
      <c r="AA18" s="21">
        <f t="shared" si="1"/>
        <v>23</v>
      </c>
      <c r="AB18" s="21">
        <f t="shared" si="1"/>
        <v>507</v>
      </c>
      <c r="AC18" s="20">
        <f t="shared" si="1"/>
        <v>3066</v>
      </c>
      <c r="AD18" s="21">
        <f t="shared" si="1"/>
        <v>0</v>
      </c>
      <c r="AE18" s="21">
        <f t="shared" si="1"/>
        <v>0</v>
      </c>
      <c r="AF18" s="21">
        <f t="shared" si="1"/>
        <v>0</v>
      </c>
      <c r="AG18" s="21">
        <f t="shared" si="1"/>
        <v>0</v>
      </c>
      <c r="AH18" s="21">
        <f t="shared" si="1"/>
        <v>0</v>
      </c>
    </row>
    <row r="19" spans="1:34" s="26" customFormat="1" x14ac:dyDescent="0.25">
      <c r="A19" s="35" t="s">
        <v>15</v>
      </c>
      <c r="B19" s="19">
        <f>SUM(B10,B18)</f>
        <v>7025</v>
      </c>
      <c r="C19" s="21">
        <f>SUM(C10,C18)</f>
        <v>21</v>
      </c>
      <c r="D19" s="21">
        <f>SUM(D10,D18)</f>
        <v>42818</v>
      </c>
      <c r="E19" s="19">
        <f t="shared" ref="E19:AH19" si="3">SUM(E10,E18)</f>
        <v>2835</v>
      </c>
      <c r="F19" s="19">
        <f t="shared" si="3"/>
        <v>3655</v>
      </c>
      <c r="G19" s="19">
        <f t="shared" si="3"/>
        <v>2579</v>
      </c>
      <c r="H19" s="19">
        <f t="shared" ref="H19" si="4">SUM(H10,H18)</f>
        <v>47</v>
      </c>
      <c r="I19" s="19">
        <f t="shared" si="3"/>
        <v>1759</v>
      </c>
      <c r="J19" s="19">
        <f>SUM(J10,J18)</f>
        <v>6027</v>
      </c>
      <c r="K19" s="19">
        <f t="shared" si="3"/>
        <v>28187</v>
      </c>
      <c r="L19" s="19">
        <f t="shared" si="3"/>
        <v>1774</v>
      </c>
      <c r="M19" s="19">
        <f>SUM(M10,M18)</f>
        <v>7408</v>
      </c>
      <c r="N19" s="19">
        <f t="shared" si="3"/>
        <v>1218</v>
      </c>
      <c r="O19" s="19">
        <f t="shared" si="3"/>
        <v>582</v>
      </c>
      <c r="P19" s="19">
        <f t="shared" si="3"/>
        <v>329</v>
      </c>
      <c r="Q19" s="19">
        <f t="shared" si="3"/>
        <v>552</v>
      </c>
      <c r="R19" s="20">
        <f t="shared" si="3"/>
        <v>2375</v>
      </c>
      <c r="S19" s="21">
        <f>SUM(S10,S18)</f>
        <v>29</v>
      </c>
      <c r="T19" s="21">
        <f>SUM(T10,T18)</f>
        <v>44244</v>
      </c>
      <c r="U19" s="21">
        <f t="shared" si="3"/>
        <v>4515967</v>
      </c>
      <c r="V19" s="21">
        <f t="shared" si="3"/>
        <v>3332926</v>
      </c>
      <c r="W19" s="21">
        <f t="shared" si="3"/>
        <v>4272020</v>
      </c>
      <c r="X19" s="21">
        <f>SUM(X10,X18)</f>
        <v>27117</v>
      </c>
      <c r="Y19" s="21">
        <f t="shared" si="3"/>
        <v>1421</v>
      </c>
      <c r="Z19" s="21">
        <f t="shared" si="3"/>
        <v>1774</v>
      </c>
      <c r="AA19" s="21">
        <f t="shared" si="3"/>
        <v>559</v>
      </c>
      <c r="AB19" s="21">
        <f t="shared" si="3"/>
        <v>1631</v>
      </c>
      <c r="AC19" s="20">
        <f t="shared" si="3"/>
        <v>22204</v>
      </c>
      <c r="AD19" s="21">
        <f t="shared" si="3"/>
        <v>0</v>
      </c>
      <c r="AE19" s="21">
        <f t="shared" si="3"/>
        <v>0</v>
      </c>
      <c r="AF19" s="21">
        <f t="shared" si="3"/>
        <v>0</v>
      </c>
      <c r="AG19" s="21">
        <f t="shared" si="3"/>
        <v>0</v>
      </c>
      <c r="AH19" s="21">
        <f t="shared" si="3"/>
        <v>0</v>
      </c>
    </row>
    <row r="21" spans="1:34"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row>
  </sheetData>
  <sheetProtection formatCells="0" formatColumns="0" formatRows="0" insertColumns="0" insertRows="0" sort="0" autoFilter="0" pivotTables="0"/>
  <dataValidations count="1">
    <dataValidation type="list" errorStyle="information" allowBlank="1" showInputMessage="1" showErrorMessage="1" sqref="B1:AH1" xr:uid="{C98E7DD1-3748-4736-BF0B-3DF956BCB4AB}">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B1B6F09D-463B-4233-B6E0-2C0B3013283A}">
          <x14:formula1>
            <xm:f>'Term List'!$A2:$A242</xm:f>
          </x14:formula1>
          <xm:sqref>AI1:XFD1</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AE478-1DAF-4472-A62B-6807E5AEE32D}">
  <sheetPr codeName="Sheet19"/>
  <dimension ref="A1:L23"/>
  <sheetViews>
    <sheetView workbookViewId="0">
      <pane xSplit="1" ySplit="1" topLeftCell="B2" activePane="bottomRight" state="frozen"/>
      <selection activeCell="B3" sqref="B3"/>
      <selection pane="topRight" activeCell="B3" sqref="B3"/>
      <selection pane="bottomLeft" activeCell="B3" sqref="B3"/>
      <selection pane="bottomRight" activeCell="A2" sqref="A2"/>
    </sheetView>
  </sheetViews>
  <sheetFormatPr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5.85546875" style="5" bestFit="1" customWidth="1"/>
    <col min="8" max="8" width="12.85546875" style="5" bestFit="1" customWidth="1"/>
    <col min="9" max="9" width="13.5703125" style="5" bestFit="1" customWidth="1"/>
    <col min="10" max="10" width="14.5703125" style="5" bestFit="1" customWidth="1"/>
    <col min="11" max="11" width="15.140625" style="5" bestFit="1" customWidth="1"/>
    <col min="12" max="12" width="11.5703125" style="5" bestFit="1" customWidth="1"/>
    <col min="13" max="16384" width="9.140625" style="3"/>
  </cols>
  <sheetData>
    <row r="1" spans="1:12" s="14" customFormat="1" ht="30" x14ac:dyDescent="0.25">
      <c r="A1" s="36" t="s">
        <v>355</v>
      </c>
      <c r="B1" s="36" t="s">
        <v>155</v>
      </c>
      <c r="C1" s="36" t="s">
        <v>156</v>
      </c>
      <c r="D1" s="36" t="s">
        <v>154</v>
      </c>
      <c r="E1" s="36" t="s">
        <v>150</v>
      </c>
      <c r="F1" s="36" t="s">
        <v>148</v>
      </c>
      <c r="G1" s="36" t="s">
        <v>139</v>
      </c>
      <c r="H1" s="36" t="s">
        <v>130</v>
      </c>
      <c r="I1" s="36" t="s">
        <v>132</v>
      </c>
      <c r="J1" s="36" t="s">
        <v>142</v>
      </c>
      <c r="K1" s="36" t="s">
        <v>144</v>
      </c>
      <c r="L1" s="36" t="s">
        <v>124</v>
      </c>
    </row>
    <row r="2" spans="1:12" s="26" customFormat="1" x14ac:dyDescent="0.25">
      <c r="A2" s="34" t="s">
        <v>0</v>
      </c>
      <c r="B2" s="16">
        <v>42693</v>
      </c>
      <c r="C2" s="17">
        <v>5249</v>
      </c>
      <c r="D2" s="17">
        <v>1152</v>
      </c>
      <c r="E2" s="17">
        <v>8798</v>
      </c>
      <c r="F2" s="17">
        <v>519</v>
      </c>
      <c r="G2" s="17">
        <v>0</v>
      </c>
      <c r="H2" s="17">
        <v>321</v>
      </c>
      <c r="I2" s="17">
        <v>375</v>
      </c>
      <c r="J2" s="17">
        <v>1179</v>
      </c>
      <c r="K2" s="17">
        <v>192</v>
      </c>
      <c r="L2" s="17">
        <v>15385961</v>
      </c>
    </row>
    <row r="3" spans="1:12" s="26" customFormat="1" x14ac:dyDescent="0.25">
      <c r="A3" s="34" t="s">
        <v>1</v>
      </c>
      <c r="B3" s="16">
        <v>2588</v>
      </c>
      <c r="C3" s="17">
        <v>460</v>
      </c>
      <c r="D3" s="17">
        <v>523</v>
      </c>
      <c r="E3" s="17">
        <v>1253</v>
      </c>
      <c r="F3" s="17">
        <v>210</v>
      </c>
      <c r="G3" s="17">
        <v>0</v>
      </c>
      <c r="H3" s="17">
        <v>160</v>
      </c>
      <c r="I3" s="17">
        <v>62</v>
      </c>
      <c r="J3" s="17">
        <v>65</v>
      </c>
      <c r="K3" s="17">
        <v>0</v>
      </c>
      <c r="L3" s="17">
        <v>158010</v>
      </c>
    </row>
    <row r="4" spans="1:12" s="26" customFormat="1" x14ac:dyDescent="0.25">
      <c r="A4" s="34" t="s">
        <v>169</v>
      </c>
      <c r="B4" s="16"/>
      <c r="C4" s="17"/>
      <c r="D4" s="17"/>
      <c r="E4" s="17"/>
      <c r="F4" s="17"/>
      <c r="G4" s="17"/>
      <c r="H4" s="17"/>
      <c r="I4" s="17"/>
      <c r="J4" s="17"/>
      <c r="K4" s="17"/>
      <c r="L4" s="17"/>
    </row>
    <row r="5" spans="1:12" s="26" customFormat="1" x14ac:dyDescent="0.25">
      <c r="A5" s="34" t="s">
        <v>2</v>
      </c>
      <c r="B5" s="16"/>
      <c r="C5" s="17"/>
      <c r="D5" s="17"/>
      <c r="E5" s="17"/>
      <c r="F5" s="17"/>
      <c r="G5" s="17"/>
      <c r="H5" s="17"/>
      <c r="I5" s="17"/>
      <c r="J5" s="17"/>
      <c r="K5" s="17"/>
      <c r="L5" s="17"/>
    </row>
    <row r="6" spans="1:12" s="26" customFormat="1" x14ac:dyDescent="0.25">
      <c r="A6" s="34" t="s">
        <v>3</v>
      </c>
      <c r="B6" s="16">
        <v>95</v>
      </c>
      <c r="C6" s="17">
        <v>20</v>
      </c>
      <c r="D6" s="17">
        <v>803</v>
      </c>
      <c r="E6" s="17">
        <v>1823</v>
      </c>
      <c r="F6" s="17">
        <v>75</v>
      </c>
      <c r="G6" s="17">
        <v>17</v>
      </c>
      <c r="H6" s="17">
        <v>0</v>
      </c>
      <c r="I6" s="17">
        <v>0</v>
      </c>
      <c r="J6" s="17">
        <v>10</v>
      </c>
      <c r="K6" s="17">
        <v>0</v>
      </c>
      <c r="L6" s="17">
        <v>95752</v>
      </c>
    </row>
    <row r="7" spans="1:12" s="26" customFormat="1" x14ac:dyDescent="0.25">
      <c r="A7" s="34" t="s">
        <v>4</v>
      </c>
      <c r="B7" s="16">
        <v>143</v>
      </c>
      <c r="C7" s="17">
        <v>5</v>
      </c>
      <c r="D7" s="17">
        <v>43</v>
      </c>
      <c r="E7" s="17">
        <v>2940</v>
      </c>
      <c r="F7" s="17">
        <v>431</v>
      </c>
      <c r="G7" s="17">
        <v>170</v>
      </c>
      <c r="H7" s="17">
        <v>36</v>
      </c>
      <c r="I7" s="17">
        <v>7</v>
      </c>
      <c r="J7" s="17">
        <v>1481</v>
      </c>
      <c r="K7" s="17">
        <v>209</v>
      </c>
      <c r="L7" s="17">
        <v>1550528</v>
      </c>
    </row>
    <row r="8" spans="1:12" s="26" customFormat="1" x14ac:dyDescent="0.25">
      <c r="A8" s="34" t="s">
        <v>5</v>
      </c>
      <c r="B8" s="16">
        <v>0</v>
      </c>
      <c r="C8" s="17">
        <v>0</v>
      </c>
      <c r="D8" s="17">
        <v>0</v>
      </c>
      <c r="E8" s="17">
        <v>320</v>
      </c>
      <c r="F8" s="17">
        <v>125</v>
      </c>
      <c r="G8" s="17">
        <v>0</v>
      </c>
      <c r="H8" s="17">
        <v>0</v>
      </c>
      <c r="I8" s="17">
        <v>0</v>
      </c>
      <c r="J8" s="17">
        <v>0</v>
      </c>
      <c r="K8" s="17">
        <v>0</v>
      </c>
      <c r="L8" s="17">
        <v>0</v>
      </c>
    </row>
    <row r="9" spans="1:12" s="26" customFormat="1" x14ac:dyDescent="0.25">
      <c r="A9" s="34" t="s">
        <v>6</v>
      </c>
      <c r="B9" s="16"/>
      <c r="C9" s="17"/>
      <c r="D9" s="17"/>
      <c r="E9" s="17"/>
      <c r="F9" s="17"/>
      <c r="G9" s="17"/>
      <c r="H9" s="17"/>
      <c r="I9" s="17"/>
      <c r="J9" s="17"/>
      <c r="K9" s="17"/>
      <c r="L9" s="17"/>
    </row>
    <row r="10" spans="1:12" s="26" customFormat="1" x14ac:dyDescent="0.25">
      <c r="A10" s="35" t="s">
        <v>7</v>
      </c>
      <c r="B10" s="19">
        <f>SUM(B2:B9)</f>
        <v>45519</v>
      </c>
      <c r="C10" s="19">
        <f t="shared" ref="C10:L10" si="0">SUM(C2:C9)</f>
        <v>5734</v>
      </c>
      <c r="D10" s="19">
        <f t="shared" si="0"/>
        <v>2521</v>
      </c>
      <c r="E10" s="19">
        <f t="shared" si="0"/>
        <v>15134</v>
      </c>
      <c r="F10" s="19">
        <f t="shared" si="0"/>
        <v>1360</v>
      </c>
      <c r="G10" s="19">
        <f t="shared" si="0"/>
        <v>187</v>
      </c>
      <c r="H10" s="19">
        <f t="shared" si="0"/>
        <v>517</v>
      </c>
      <c r="I10" s="19">
        <f t="shared" si="0"/>
        <v>444</v>
      </c>
      <c r="J10" s="19">
        <f t="shared" si="0"/>
        <v>2735</v>
      </c>
      <c r="K10" s="19">
        <f t="shared" si="0"/>
        <v>401</v>
      </c>
      <c r="L10" s="19">
        <f t="shared" si="0"/>
        <v>17190251</v>
      </c>
    </row>
    <row r="11" spans="1:12" s="26" customFormat="1" x14ac:dyDescent="0.25">
      <c r="A11" s="34" t="s">
        <v>8</v>
      </c>
      <c r="B11" s="16">
        <v>77314</v>
      </c>
      <c r="C11" s="16">
        <v>11542</v>
      </c>
      <c r="D11" s="16">
        <v>1105</v>
      </c>
      <c r="E11" s="16">
        <v>21547</v>
      </c>
      <c r="F11" s="16">
        <v>557</v>
      </c>
      <c r="G11" s="16">
        <v>18</v>
      </c>
      <c r="H11" s="16">
        <v>870</v>
      </c>
      <c r="I11" s="16">
        <v>68</v>
      </c>
      <c r="J11" s="16">
        <v>16487</v>
      </c>
      <c r="K11" s="16">
        <v>124</v>
      </c>
      <c r="L11" s="16">
        <v>9545255</v>
      </c>
    </row>
    <row r="12" spans="1:12" s="26" customFormat="1" x14ac:dyDescent="0.25">
      <c r="A12" s="34" t="s">
        <v>9</v>
      </c>
      <c r="B12" s="16"/>
      <c r="C12" s="16"/>
      <c r="D12" s="16"/>
      <c r="E12" s="16"/>
      <c r="F12" s="16"/>
      <c r="G12" s="16"/>
      <c r="H12" s="16"/>
      <c r="I12" s="16"/>
      <c r="J12" s="16"/>
      <c r="K12" s="16"/>
      <c r="L12" s="16"/>
    </row>
    <row r="13" spans="1:12" s="26" customFormat="1" x14ac:dyDescent="0.25">
      <c r="A13" s="34" t="s">
        <v>164</v>
      </c>
      <c r="B13" s="16"/>
      <c r="C13" s="16"/>
      <c r="D13" s="16"/>
      <c r="E13" s="16"/>
      <c r="F13" s="16"/>
      <c r="G13" s="16"/>
      <c r="H13" s="16"/>
      <c r="I13" s="16"/>
      <c r="J13" s="16"/>
      <c r="K13" s="16"/>
      <c r="L13" s="16"/>
    </row>
    <row r="14" spans="1:12" s="26" customFormat="1" x14ac:dyDescent="0.25">
      <c r="A14" s="34" t="s">
        <v>10</v>
      </c>
      <c r="B14" s="16">
        <v>28</v>
      </c>
      <c r="C14" s="16">
        <v>59</v>
      </c>
      <c r="D14" s="16">
        <v>74</v>
      </c>
      <c r="E14" s="16">
        <v>1793</v>
      </c>
      <c r="F14" s="16">
        <v>77</v>
      </c>
      <c r="G14" s="16">
        <v>20</v>
      </c>
      <c r="H14" s="16">
        <v>24</v>
      </c>
      <c r="I14" s="16">
        <v>0</v>
      </c>
      <c r="J14" s="16">
        <v>2</v>
      </c>
      <c r="K14" s="16">
        <v>0</v>
      </c>
      <c r="L14" s="16">
        <v>19507</v>
      </c>
    </row>
    <row r="15" spans="1:12" s="26" customFormat="1" x14ac:dyDescent="0.25">
      <c r="A15" s="34" t="s">
        <v>11</v>
      </c>
      <c r="B15" s="16">
        <v>314</v>
      </c>
      <c r="C15" s="16">
        <v>9</v>
      </c>
      <c r="D15" s="16">
        <v>16</v>
      </c>
      <c r="E15" s="16">
        <v>13338</v>
      </c>
      <c r="F15" s="16">
        <v>4</v>
      </c>
      <c r="G15" s="16">
        <v>474</v>
      </c>
      <c r="H15" s="16">
        <v>0</v>
      </c>
      <c r="I15" s="16">
        <v>0</v>
      </c>
      <c r="J15" s="16">
        <v>0</v>
      </c>
      <c r="K15" s="16">
        <v>0</v>
      </c>
      <c r="L15" s="16">
        <v>6175</v>
      </c>
    </row>
    <row r="16" spans="1:12" s="26" customFormat="1" x14ac:dyDescent="0.25">
      <c r="A16" s="34" t="s">
        <v>12</v>
      </c>
      <c r="B16" s="16">
        <v>0</v>
      </c>
      <c r="C16" s="16">
        <v>0</v>
      </c>
      <c r="D16" s="16">
        <v>0</v>
      </c>
      <c r="E16" s="16">
        <v>0</v>
      </c>
      <c r="F16" s="16">
        <v>0</v>
      </c>
      <c r="G16" s="16">
        <v>0</v>
      </c>
      <c r="H16" s="16">
        <v>0</v>
      </c>
      <c r="I16" s="16">
        <v>0</v>
      </c>
      <c r="J16" s="16">
        <v>0</v>
      </c>
      <c r="K16" s="16">
        <v>0</v>
      </c>
      <c r="L16" s="16">
        <v>0</v>
      </c>
    </row>
    <row r="17" spans="1:12" s="26" customFormat="1" x14ac:dyDescent="0.25">
      <c r="A17" s="34" t="s">
        <v>13</v>
      </c>
      <c r="B17" s="16"/>
      <c r="C17" s="16"/>
      <c r="D17" s="16"/>
      <c r="E17" s="16"/>
      <c r="F17" s="16"/>
      <c r="G17" s="16"/>
      <c r="H17" s="16"/>
      <c r="I17" s="16"/>
      <c r="J17" s="16"/>
      <c r="K17" s="16"/>
      <c r="L17" s="16"/>
    </row>
    <row r="18" spans="1:12" s="26" customFormat="1" x14ac:dyDescent="0.25">
      <c r="A18" s="35" t="s">
        <v>14</v>
      </c>
      <c r="B18" s="19">
        <f>SUM(B11:B17)</f>
        <v>77656</v>
      </c>
      <c r="C18" s="19">
        <f t="shared" ref="C18:L18" si="1">SUM(C11:C17)</f>
        <v>11610</v>
      </c>
      <c r="D18" s="19">
        <f t="shared" si="1"/>
        <v>1195</v>
      </c>
      <c r="E18" s="19">
        <f t="shared" si="1"/>
        <v>36678</v>
      </c>
      <c r="F18" s="19">
        <f t="shared" si="1"/>
        <v>638</v>
      </c>
      <c r="G18" s="19">
        <f t="shared" si="1"/>
        <v>512</v>
      </c>
      <c r="H18" s="19">
        <f t="shared" si="1"/>
        <v>894</v>
      </c>
      <c r="I18" s="19">
        <f t="shared" si="1"/>
        <v>68</v>
      </c>
      <c r="J18" s="19">
        <f t="shared" si="1"/>
        <v>16489</v>
      </c>
      <c r="K18" s="19">
        <f t="shared" si="1"/>
        <v>124</v>
      </c>
      <c r="L18" s="19">
        <f t="shared" si="1"/>
        <v>9570937</v>
      </c>
    </row>
    <row r="19" spans="1:12" s="26" customFormat="1" x14ac:dyDescent="0.25">
      <c r="A19" s="35" t="s">
        <v>15</v>
      </c>
      <c r="B19" s="19">
        <f>SUM(B10,B18)</f>
        <v>123175</v>
      </c>
      <c r="C19" s="19">
        <f t="shared" ref="C19:L19" si="2">SUM(C10,C18)</f>
        <v>17344</v>
      </c>
      <c r="D19" s="19">
        <f t="shared" si="2"/>
        <v>3716</v>
      </c>
      <c r="E19" s="19">
        <f t="shared" si="2"/>
        <v>51812</v>
      </c>
      <c r="F19" s="19">
        <f t="shared" si="2"/>
        <v>1998</v>
      </c>
      <c r="G19" s="19">
        <f t="shared" si="2"/>
        <v>699</v>
      </c>
      <c r="H19" s="19">
        <f t="shared" si="2"/>
        <v>1411</v>
      </c>
      <c r="I19" s="19">
        <f t="shared" si="2"/>
        <v>512</v>
      </c>
      <c r="J19" s="19">
        <f t="shared" si="2"/>
        <v>19224</v>
      </c>
      <c r="K19" s="19">
        <f t="shared" si="2"/>
        <v>525</v>
      </c>
      <c r="L19" s="19">
        <f t="shared" si="2"/>
        <v>26761188</v>
      </c>
    </row>
    <row r="21" spans="1:12" x14ac:dyDescent="0.25">
      <c r="B21" s="44"/>
      <c r="C21" s="44"/>
      <c r="D21" s="44"/>
      <c r="E21" s="44"/>
      <c r="F21" s="44"/>
      <c r="G21" s="44"/>
      <c r="H21" s="44"/>
      <c r="I21" s="44"/>
      <c r="J21" s="44"/>
      <c r="K21" s="44"/>
      <c r="L21" s="44"/>
    </row>
    <row r="23" spans="1:12" x14ac:dyDescent="0.25">
      <c r="B23" s="44"/>
      <c r="C23" s="44"/>
      <c r="D23" s="44"/>
      <c r="E23" s="44"/>
      <c r="F23" s="44"/>
      <c r="G23" s="44"/>
      <c r="H23" s="44"/>
      <c r="I23" s="44"/>
      <c r="J23" s="44"/>
      <c r="K23" s="44"/>
      <c r="L23" s="44"/>
    </row>
  </sheetData>
  <sheetProtection formatCells="0" formatColumns="0" formatRows="0" insertColumns="0" insertRows="0" sort="0" autoFilter="0" pivotTables="0"/>
  <dataValidations count="1">
    <dataValidation type="list" errorStyle="information" allowBlank="1" showInputMessage="1" showErrorMessage="1" sqref="B1:L1" xr:uid="{3D947CE5-17E4-4488-BBCA-60DA1AA5E54D}">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C3B150AA-168E-4152-8015-DF5CEDFC1A47}">
          <x14:formula1>
            <xm:f>'Term List'!$A2:$A242</xm:f>
          </x14:formula1>
          <xm:sqref>M1:XFD1</xm:sqref>
        </x14:dataValidation>
      </x14:dataValidations>
    </ext>
  </extLs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E33B1-EB24-4E84-9508-528FA8E98AF7}">
  <sheetPr codeName="Sheet20"/>
  <dimension ref="A1:AB21"/>
  <sheetViews>
    <sheetView workbookViewId="0">
      <pane xSplit="1" ySplit="1" topLeftCell="B2" activePane="bottomRight" state="frozen"/>
      <selection activeCell="B3" sqref="B3"/>
      <selection pane="topRight" activeCell="B3" sqref="B3"/>
      <selection pane="bottomLeft" activeCell="B3" sqref="B3"/>
      <selection pane="bottomRight" activeCell="AD18" sqref="AD18"/>
    </sheetView>
  </sheetViews>
  <sheetFormatPr defaultRowHeight="15" x14ac:dyDescent="0.25"/>
  <cols>
    <col min="1" max="1" width="35.7109375" style="6" bestFit="1" customWidth="1"/>
    <col min="2" max="2" width="13.7109375" style="5" bestFit="1" customWidth="1"/>
    <col min="3" max="3" width="16.7109375" style="3" bestFit="1" customWidth="1"/>
    <col min="4" max="4" width="13.85546875" style="3" bestFit="1" customWidth="1"/>
    <col min="5" max="5" width="12" style="5" bestFit="1" customWidth="1"/>
    <col min="6" max="6" width="14.28515625" style="5" bestFit="1" customWidth="1"/>
    <col min="7" max="7" width="12" style="5" bestFit="1" customWidth="1"/>
    <col min="8" max="8" width="12.5703125" style="5" bestFit="1" customWidth="1"/>
    <col min="9" max="9" width="11.85546875" style="3" bestFit="1" customWidth="1"/>
    <col min="10" max="10" width="15" style="5" bestFit="1" customWidth="1"/>
    <col min="11" max="12" width="12" style="5" bestFit="1" customWidth="1"/>
    <col min="13" max="13" width="15.7109375" style="5" bestFit="1" customWidth="1"/>
    <col min="14" max="14" width="9.5703125" style="5" bestFit="1" customWidth="1"/>
    <col min="15" max="15" width="13.28515625" style="5" bestFit="1" customWidth="1"/>
    <col min="16" max="16" width="13.140625" style="5" bestFit="1" customWidth="1"/>
    <col min="17" max="17" width="14.140625" style="5" bestFit="1" customWidth="1"/>
    <col min="18" max="18" width="14" style="3" bestFit="1" customWidth="1"/>
    <col min="19" max="20" width="20.28515625" style="3" customWidth="1"/>
    <col min="21" max="21" width="13.42578125" style="3" bestFit="1" customWidth="1"/>
    <col min="22" max="22" width="18.28515625" style="3" bestFit="1" customWidth="1"/>
    <col min="23" max="23" width="11.5703125" style="3" bestFit="1" customWidth="1"/>
    <col min="24" max="24" width="16.5703125" style="3" bestFit="1" customWidth="1"/>
    <col min="25" max="25" width="16.28515625" style="3" bestFit="1" customWidth="1"/>
    <col min="26" max="26" width="15.85546875" style="3" bestFit="1" customWidth="1"/>
    <col min="27" max="27" width="15.28515625" style="3" bestFit="1" customWidth="1"/>
    <col min="28" max="28" width="15.5703125" style="3" bestFit="1" customWidth="1"/>
    <col min="29" max="16384" width="9.140625" style="3"/>
  </cols>
  <sheetData>
    <row r="1" spans="1:28" s="40" customFormat="1" ht="30" x14ac:dyDescent="0.25">
      <c r="A1" s="36" t="s">
        <v>482</v>
      </c>
      <c r="B1" s="36" t="s">
        <v>62</v>
      </c>
      <c r="C1" s="126" t="s">
        <v>58</v>
      </c>
      <c r="D1" s="126" t="s">
        <v>57</v>
      </c>
      <c r="E1" s="36" t="s">
        <v>35</v>
      </c>
      <c r="F1" s="36" t="s">
        <v>36</v>
      </c>
      <c r="G1" s="36" t="s">
        <v>39</v>
      </c>
      <c r="H1" s="36" t="s">
        <v>99</v>
      </c>
      <c r="I1" s="36" t="s">
        <v>570</v>
      </c>
      <c r="J1" s="36" t="s">
        <v>571</v>
      </c>
      <c r="K1" s="36" t="s">
        <v>567</v>
      </c>
      <c r="L1" s="36" t="s">
        <v>569</v>
      </c>
      <c r="M1" s="36" t="s">
        <v>572</v>
      </c>
      <c r="N1" s="36" t="s">
        <v>573</v>
      </c>
      <c r="O1" s="36" t="s">
        <v>28</v>
      </c>
      <c r="P1" s="36" t="s">
        <v>89</v>
      </c>
      <c r="Q1" s="36" t="s">
        <v>45</v>
      </c>
      <c r="R1" s="36" t="s">
        <v>53</v>
      </c>
      <c r="S1" s="126" t="s">
        <v>351</v>
      </c>
      <c r="T1" s="126" t="s">
        <v>352</v>
      </c>
      <c r="U1" s="36" t="s">
        <v>75</v>
      </c>
      <c r="V1" s="36" t="s">
        <v>107</v>
      </c>
      <c r="W1" s="126" t="s">
        <v>101</v>
      </c>
      <c r="X1" s="126" t="s">
        <v>65</v>
      </c>
      <c r="Y1" s="126" t="s">
        <v>330</v>
      </c>
      <c r="Z1" s="126" t="s">
        <v>331</v>
      </c>
      <c r="AA1" s="126" t="s">
        <v>332</v>
      </c>
      <c r="AB1" s="36" t="s">
        <v>333</v>
      </c>
    </row>
    <row r="2" spans="1:28" s="26" customFormat="1" x14ac:dyDescent="0.25">
      <c r="A2" s="34" t="s">
        <v>0</v>
      </c>
      <c r="B2" s="16"/>
      <c r="C2" s="25"/>
      <c r="D2" s="25"/>
      <c r="E2" s="17"/>
      <c r="F2" s="17"/>
      <c r="G2" s="17"/>
      <c r="H2" s="17"/>
      <c r="I2" s="17"/>
      <c r="J2" s="17"/>
      <c r="K2" s="17"/>
      <c r="L2" s="17"/>
      <c r="M2" s="17"/>
      <c r="N2" s="17"/>
      <c r="O2" s="17"/>
      <c r="P2" s="17"/>
      <c r="Q2" s="17"/>
      <c r="R2" s="24"/>
      <c r="S2" s="25"/>
      <c r="T2" s="25"/>
      <c r="U2" s="25"/>
      <c r="V2" s="25"/>
      <c r="W2" s="25"/>
      <c r="X2" s="25"/>
      <c r="Y2" s="25"/>
      <c r="Z2" s="25"/>
      <c r="AA2" s="25"/>
      <c r="AB2" s="24"/>
    </row>
    <row r="3" spans="1:28" s="26" customFormat="1" x14ac:dyDescent="0.25">
      <c r="A3" s="34" t="s">
        <v>1</v>
      </c>
      <c r="B3" s="16"/>
      <c r="C3" s="25"/>
      <c r="D3" s="25"/>
      <c r="E3" s="17"/>
      <c r="F3" s="17"/>
      <c r="G3" s="17"/>
      <c r="H3" s="17"/>
      <c r="I3" s="17"/>
      <c r="J3" s="17"/>
      <c r="K3" s="17"/>
      <c r="L3" s="17"/>
      <c r="M3" s="17"/>
      <c r="N3" s="17"/>
      <c r="O3" s="17"/>
      <c r="P3" s="17"/>
      <c r="Q3" s="17"/>
      <c r="R3" s="24"/>
      <c r="S3" s="25"/>
      <c r="T3" s="25"/>
      <c r="U3" s="25"/>
      <c r="V3" s="25"/>
      <c r="W3" s="25"/>
      <c r="X3" s="25"/>
      <c r="Y3" s="25"/>
      <c r="Z3" s="25"/>
      <c r="AA3" s="25"/>
      <c r="AB3" s="24"/>
    </row>
    <row r="4" spans="1:28" s="26" customFormat="1" x14ac:dyDescent="0.25">
      <c r="A4" s="34" t="s">
        <v>169</v>
      </c>
      <c r="B4" s="16"/>
      <c r="C4" s="25"/>
      <c r="D4" s="25"/>
      <c r="E4" s="17"/>
      <c r="F4" s="17"/>
      <c r="G4" s="17"/>
      <c r="H4" s="17"/>
      <c r="I4" s="17"/>
      <c r="J4" s="17"/>
      <c r="K4" s="17"/>
      <c r="L4" s="17"/>
      <c r="M4" s="17"/>
      <c r="N4" s="17"/>
      <c r="O4" s="17"/>
      <c r="P4" s="17"/>
      <c r="Q4" s="17"/>
      <c r="R4" s="24"/>
      <c r="S4" s="25"/>
      <c r="T4" s="25"/>
      <c r="U4" s="25"/>
      <c r="V4" s="25"/>
      <c r="W4" s="25"/>
      <c r="X4" s="25">
        <v>9993</v>
      </c>
      <c r="Y4" s="25"/>
      <c r="Z4" s="25"/>
      <c r="AA4" s="25"/>
      <c r="AB4" s="24"/>
    </row>
    <row r="5" spans="1:28" s="26" customFormat="1" x14ac:dyDescent="0.25">
      <c r="A5" s="34" t="s">
        <v>2</v>
      </c>
      <c r="B5" s="16"/>
      <c r="C5" s="25"/>
      <c r="D5" s="25"/>
      <c r="E5" s="17"/>
      <c r="F5" s="17"/>
      <c r="G5" s="17"/>
      <c r="H5" s="17"/>
      <c r="I5" s="17"/>
      <c r="J5" s="17"/>
      <c r="K5" s="17"/>
      <c r="L5" s="17"/>
      <c r="M5" s="17"/>
      <c r="N5" s="17"/>
      <c r="O5" s="17"/>
      <c r="P5" s="17"/>
      <c r="Q5" s="17"/>
      <c r="R5" s="24"/>
      <c r="S5" s="25"/>
      <c r="T5" s="25"/>
      <c r="U5" s="25"/>
      <c r="V5" s="25"/>
      <c r="W5" s="25"/>
      <c r="X5" s="25"/>
      <c r="Y5" s="25"/>
      <c r="Z5" s="25"/>
      <c r="AA5" s="25"/>
      <c r="AB5" s="24"/>
    </row>
    <row r="6" spans="1:28" s="26" customFormat="1" x14ac:dyDescent="0.25">
      <c r="A6" s="34" t="s">
        <v>3</v>
      </c>
      <c r="B6" s="16">
        <v>156</v>
      </c>
      <c r="C6" s="25"/>
      <c r="D6" s="25"/>
      <c r="E6" s="17"/>
      <c r="F6" s="17">
        <v>78</v>
      </c>
      <c r="G6" s="17"/>
      <c r="H6" s="17"/>
      <c r="I6" s="17">
        <v>542</v>
      </c>
      <c r="J6" s="17"/>
      <c r="K6" s="17">
        <v>11082</v>
      </c>
      <c r="L6" s="17">
        <v>180</v>
      </c>
      <c r="M6" s="17">
        <v>1296</v>
      </c>
      <c r="N6" s="17">
        <v>8112</v>
      </c>
      <c r="O6" s="17">
        <v>312</v>
      </c>
      <c r="P6" s="17">
        <v>50</v>
      </c>
      <c r="Q6" s="17">
        <v>87</v>
      </c>
      <c r="R6" s="24">
        <v>1620</v>
      </c>
      <c r="S6" s="25"/>
      <c r="T6" s="25"/>
      <c r="U6" s="25">
        <v>304810</v>
      </c>
      <c r="V6" s="25">
        <v>88510</v>
      </c>
      <c r="W6" s="25">
        <v>106700</v>
      </c>
      <c r="X6" s="25"/>
      <c r="Y6" s="25"/>
      <c r="Z6" s="25"/>
      <c r="AA6" s="25"/>
      <c r="AB6" s="24"/>
    </row>
    <row r="7" spans="1:28" s="26" customFormat="1" x14ac:dyDescent="0.25">
      <c r="A7" s="34" t="s">
        <v>4</v>
      </c>
      <c r="B7" s="16"/>
      <c r="C7" s="25"/>
      <c r="D7" s="25">
        <f>84884+6847</f>
        <v>91731</v>
      </c>
      <c r="E7" s="17">
        <v>13348</v>
      </c>
      <c r="F7" s="17">
        <f>4615+310</f>
        <v>4925</v>
      </c>
      <c r="G7" s="17">
        <f>5526+300</f>
        <v>5826</v>
      </c>
      <c r="H7" s="17">
        <f>2738+440</f>
        <v>3178</v>
      </c>
      <c r="I7" s="17">
        <f>624+44</f>
        <v>668</v>
      </c>
      <c r="J7" s="17"/>
      <c r="K7" s="17">
        <f>8662+240</f>
        <v>8902</v>
      </c>
      <c r="L7" s="17">
        <v>1059</v>
      </c>
      <c r="M7" s="17">
        <f>4404+788</f>
        <v>5192</v>
      </c>
      <c r="N7" s="17">
        <v>289</v>
      </c>
      <c r="O7" s="17"/>
      <c r="P7" s="17"/>
      <c r="Q7" s="17"/>
      <c r="R7" s="24"/>
      <c r="S7" s="25">
        <f>1176</f>
        <v>1176</v>
      </c>
      <c r="T7" s="25">
        <f>21847+820</f>
        <v>22667</v>
      </c>
      <c r="U7" s="25">
        <f>6005687+104182</f>
        <v>6109869</v>
      </c>
      <c r="V7" s="25">
        <f>3433030+177067</f>
        <v>3610097</v>
      </c>
      <c r="W7" s="25">
        <f>8739261+59000</f>
        <v>8798261</v>
      </c>
      <c r="X7" s="25"/>
      <c r="Y7" s="25"/>
      <c r="Z7" s="25"/>
      <c r="AA7" s="25"/>
      <c r="AB7" s="24"/>
    </row>
    <row r="8" spans="1:28" s="26" customFormat="1" x14ac:dyDescent="0.25">
      <c r="A8" s="34" t="s">
        <v>5</v>
      </c>
      <c r="B8" s="16"/>
      <c r="C8" s="25"/>
      <c r="D8" s="25"/>
      <c r="E8" s="17"/>
      <c r="F8" s="17"/>
      <c r="G8" s="17"/>
      <c r="H8" s="17"/>
      <c r="I8" s="17"/>
      <c r="J8" s="17"/>
      <c r="K8" s="17"/>
      <c r="L8" s="17"/>
      <c r="M8" s="17"/>
      <c r="N8" s="17"/>
      <c r="O8" s="17"/>
      <c r="P8" s="17"/>
      <c r="Q8" s="17"/>
      <c r="R8" s="24"/>
      <c r="S8" s="25"/>
      <c r="T8" s="25"/>
      <c r="U8" s="25"/>
      <c r="V8" s="25"/>
      <c r="W8" s="25"/>
      <c r="X8" s="25"/>
      <c r="Y8" s="25"/>
      <c r="Z8" s="25"/>
      <c r="AA8" s="25"/>
      <c r="AB8" s="24"/>
    </row>
    <row r="9" spans="1:28" s="26" customFormat="1" x14ac:dyDescent="0.25">
      <c r="A9" s="34" t="s">
        <v>6</v>
      </c>
      <c r="B9" s="16"/>
      <c r="C9" s="25"/>
      <c r="D9" s="25"/>
      <c r="E9" s="17"/>
      <c r="F9" s="17"/>
      <c r="G9" s="17"/>
      <c r="H9" s="17"/>
      <c r="I9" s="17"/>
      <c r="J9" s="17"/>
      <c r="K9" s="17"/>
      <c r="L9" s="17"/>
      <c r="M9" s="17"/>
      <c r="N9" s="17"/>
      <c r="O9" s="17"/>
      <c r="P9" s="17"/>
      <c r="Q9" s="17"/>
      <c r="R9" s="24"/>
      <c r="S9" s="25"/>
      <c r="T9" s="25"/>
      <c r="U9" s="25"/>
      <c r="V9" s="25"/>
      <c r="W9" s="25"/>
      <c r="X9" s="25"/>
      <c r="Y9" s="25">
        <v>1664</v>
      </c>
      <c r="Z9" s="25">
        <v>1766</v>
      </c>
      <c r="AA9" s="25">
        <v>461</v>
      </c>
      <c r="AB9" s="24">
        <v>1163</v>
      </c>
    </row>
    <row r="10" spans="1:28" s="26" customFormat="1" x14ac:dyDescent="0.25">
      <c r="A10" s="35" t="s">
        <v>7</v>
      </c>
      <c r="B10" s="19">
        <f>SUM(B2:B9)</f>
        <v>156</v>
      </c>
      <c r="C10" s="21"/>
      <c r="D10" s="21">
        <f>SUM(D2:D9)</f>
        <v>91731</v>
      </c>
      <c r="E10" s="19">
        <f t="shared" ref="E10:AB10" si="0">SUM(E2:E9)</f>
        <v>13348</v>
      </c>
      <c r="F10" s="19">
        <f t="shared" si="0"/>
        <v>5003</v>
      </c>
      <c r="G10" s="19">
        <f t="shared" si="0"/>
        <v>5826</v>
      </c>
      <c r="H10" s="19">
        <f t="shared" si="0"/>
        <v>3178</v>
      </c>
      <c r="I10" s="19">
        <f>SUM(I2:I9)</f>
        <v>1210</v>
      </c>
      <c r="J10" s="19">
        <f t="shared" si="0"/>
        <v>0</v>
      </c>
      <c r="K10" s="19">
        <f t="shared" si="0"/>
        <v>19984</v>
      </c>
      <c r="L10" s="19">
        <f t="shared" si="0"/>
        <v>1239</v>
      </c>
      <c r="M10" s="19">
        <f>SUM(M2:M9)</f>
        <v>6488</v>
      </c>
      <c r="N10" s="19">
        <f t="shared" si="0"/>
        <v>8401</v>
      </c>
      <c r="O10" s="19">
        <f t="shared" si="0"/>
        <v>312</v>
      </c>
      <c r="P10" s="19">
        <f t="shared" si="0"/>
        <v>50</v>
      </c>
      <c r="Q10" s="19">
        <f t="shared" si="0"/>
        <v>87</v>
      </c>
      <c r="R10" s="20">
        <f t="shared" si="0"/>
        <v>1620</v>
      </c>
      <c r="S10" s="21">
        <f>SUM(S2:S9)</f>
        <v>1176</v>
      </c>
      <c r="T10" s="21">
        <f>SUM(T2:T9)</f>
        <v>22667</v>
      </c>
      <c r="U10" s="21">
        <f t="shared" si="0"/>
        <v>6414679</v>
      </c>
      <c r="V10" s="21">
        <f t="shared" si="0"/>
        <v>3698607</v>
      </c>
      <c r="W10" s="21">
        <f t="shared" si="0"/>
        <v>8904961</v>
      </c>
      <c r="X10" s="21">
        <f>SUM(X2:X9)</f>
        <v>9993</v>
      </c>
      <c r="Y10" s="21">
        <f t="shared" si="0"/>
        <v>1664</v>
      </c>
      <c r="Z10" s="21">
        <f t="shared" si="0"/>
        <v>1766</v>
      </c>
      <c r="AA10" s="21">
        <f t="shared" si="0"/>
        <v>461</v>
      </c>
      <c r="AB10" s="20">
        <f t="shared" si="0"/>
        <v>1163</v>
      </c>
    </row>
    <row r="11" spans="1:28" s="26" customFormat="1" x14ac:dyDescent="0.25">
      <c r="A11" s="34" t="s">
        <v>8</v>
      </c>
      <c r="B11" s="16"/>
      <c r="C11" s="23"/>
      <c r="D11" s="23"/>
      <c r="E11" s="16"/>
      <c r="F11" s="16"/>
      <c r="G11" s="16"/>
      <c r="H11" s="16"/>
      <c r="I11" s="16"/>
      <c r="J11" s="16"/>
      <c r="K11" s="16"/>
      <c r="L11" s="16"/>
      <c r="M11" s="16"/>
      <c r="N11" s="16"/>
      <c r="O11" s="16"/>
      <c r="P11" s="16"/>
      <c r="Q11" s="16"/>
      <c r="R11" s="22"/>
      <c r="S11" s="23"/>
      <c r="T11" s="23"/>
      <c r="U11" s="23"/>
      <c r="V11" s="23"/>
      <c r="W11" s="23"/>
      <c r="X11" s="23"/>
      <c r="Y11" s="23"/>
      <c r="Z11" s="23"/>
      <c r="AA11" s="23"/>
      <c r="AB11" s="22"/>
    </row>
    <row r="12" spans="1:28" s="26" customFormat="1" x14ac:dyDescent="0.25">
      <c r="A12" s="34" t="s">
        <v>9</v>
      </c>
      <c r="B12" s="16"/>
      <c r="C12" s="23"/>
      <c r="D12" s="23"/>
      <c r="E12" s="16"/>
      <c r="F12" s="16"/>
      <c r="G12" s="16"/>
      <c r="H12" s="16"/>
      <c r="I12" s="16"/>
      <c r="J12" s="16"/>
      <c r="K12" s="16"/>
      <c r="L12" s="16"/>
      <c r="M12" s="16"/>
      <c r="N12" s="16"/>
      <c r="O12" s="16"/>
      <c r="P12" s="16"/>
      <c r="Q12" s="16"/>
      <c r="R12" s="22"/>
      <c r="S12" s="23"/>
      <c r="T12" s="23"/>
      <c r="U12" s="23"/>
      <c r="V12" s="23"/>
      <c r="W12" s="23"/>
      <c r="X12" s="23"/>
      <c r="Y12" s="23"/>
      <c r="Z12" s="23"/>
      <c r="AA12" s="23"/>
      <c r="AB12" s="22"/>
    </row>
    <row r="13" spans="1:28" s="26" customFormat="1" x14ac:dyDescent="0.25">
      <c r="A13" s="34" t="s">
        <v>164</v>
      </c>
      <c r="B13" s="16"/>
      <c r="C13" s="23"/>
      <c r="D13" s="23"/>
      <c r="E13" s="16"/>
      <c r="F13" s="16"/>
      <c r="G13" s="16"/>
      <c r="H13" s="16"/>
      <c r="I13" s="16"/>
      <c r="J13" s="16"/>
      <c r="K13" s="16"/>
      <c r="L13" s="16"/>
      <c r="M13" s="16"/>
      <c r="N13" s="16"/>
      <c r="O13" s="16"/>
      <c r="P13" s="16"/>
      <c r="Q13" s="16"/>
      <c r="R13" s="22"/>
      <c r="S13" s="23"/>
      <c r="T13" s="23"/>
      <c r="U13" s="23"/>
      <c r="V13" s="23"/>
      <c r="W13" s="23"/>
      <c r="X13" s="23">
        <v>29570</v>
      </c>
      <c r="Y13" s="23"/>
      <c r="Z13" s="23"/>
      <c r="AA13" s="23"/>
      <c r="AB13" s="22"/>
    </row>
    <row r="14" spans="1:28" s="26" customFormat="1" x14ac:dyDescent="0.25">
      <c r="A14" s="34" t="s">
        <v>10</v>
      </c>
      <c r="B14" s="16">
        <v>28</v>
      </c>
      <c r="C14" s="23"/>
      <c r="D14" s="23"/>
      <c r="E14" s="16"/>
      <c r="F14" s="16">
        <v>25</v>
      </c>
      <c r="G14" s="16"/>
      <c r="H14" s="16"/>
      <c r="I14" s="16">
        <v>328</v>
      </c>
      <c r="J14" s="16"/>
      <c r="K14" s="16">
        <v>6367</v>
      </c>
      <c r="L14" s="16">
        <v>102</v>
      </c>
      <c r="M14" s="16">
        <v>347</v>
      </c>
      <c r="N14" s="16">
        <v>323</v>
      </c>
      <c r="O14" s="16">
        <v>87</v>
      </c>
      <c r="P14" s="16">
        <v>46</v>
      </c>
      <c r="Q14" s="16">
        <v>34</v>
      </c>
      <c r="R14" s="22">
        <v>0</v>
      </c>
      <c r="S14" s="23"/>
      <c r="T14" s="23"/>
      <c r="U14" s="23">
        <v>205360</v>
      </c>
      <c r="V14" s="23">
        <v>44360</v>
      </c>
      <c r="W14" s="23">
        <v>34000</v>
      </c>
      <c r="X14" s="23"/>
      <c r="Y14" s="23"/>
      <c r="Z14" s="23"/>
      <c r="AA14" s="23"/>
      <c r="AB14" s="22"/>
    </row>
    <row r="15" spans="1:28" s="26" customFormat="1" x14ac:dyDescent="0.25">
      <c r="A15" s="34" t="s">
        <v>11</v>
      </c>
      <c r="B15" s="16"/>
      <c r="C15" s="23"/>
      <c r="D15" s="23">
        <f>14567+275</f>
        <v>14842</v>
      </c>
      <c r="E15" s="16">
        <v>0</v>
      </c>
      <c r="F15" s="16">
        <f>1995+20</f>
        <v>2015</v>
      </c>
      <c r="G15" s="16">
        <v>1620</v>
      </c>
      <c r="H15" s="16">
        <f>960+40</f>
        <v>1000</v>
      </c>
      <c r="I15" s="16">
        <v>1123</v>
      </c>
      <c r="J15" s="16"/>
      <c r="K15" s="16">
        <v>9143</v>
      </c>
      <c r="L15" s="16">
        <v>284</v>
      </c>
      <c r="M15" s="16">
        <v>3063</v>
      </c>
      <c r="N15" s="16">
        <v>0</v>
      </c>
      <c r="O15" s="16"/>
      <c r="P15" s="16"/>
      <c r="Q15" s="16"/>
      <c r="R15" s="22"/>
      <c r="S15" s="23">
        <v>393</v>
      </c>
      <c r="T15" s="23">
        <f>31419+360</f>
        <v>31779</v>
      </c>
      <c r="U15" s="23">
        <v>3364416</v>
      </c>
      <c r="V15" s="23">
        <f>5373181+48000</f>
        <v>5421181</v>
      </c>
      <c r="W15" s="23">
        <f>5888708</f>
        <v>5888708</v>
      </c>
      <c r="X15" s="23"/>
      <c r="Y15" s="23"/>
      <c r="Z15" s="23"/>
      <c r="AA15" s="23"/>
      <c r="AB15" s="22"/>
    </row>
    <row r="16" spans="1:28" s="26" customFormat="1" x14ac:dyDescent="0.25">
      <c r="A16" s="34" t="s">
        <v>12</v>
      </c>
      <c r="B16" s="16"/>
      <c r="C16" s="23"/>
      <c r="D16" s="23"/>
      <c r="E16" s="16"/>
      <c r="F16" s="16"/>
      <c r="G16" s="16"/>
      <c r="H16" s="16"/>
      <c r="I16" s="16"/>
      <c r="J16" s="16"/>
      <c r="K16" s="16"/>
      <c r="L16" s="16"/>
      <c r="M16" s="16"/>
      <c r="N16" s="16"/>
      <c r="O16" s="16"/>
      <c r="P16" s="16"/>
      <c r="Q16" s="16"/>
      <c r="R16" s="22"/>
      <c r="S16" s="23"/>
      <c r="T16" s="23"/>
      <c r="U16" s="23"/>
      <c r="V16" s="23"/>
      <c r="W16" s="23"/>
      <c r="X16" s="23"/>
      <c r="Y16" s="23"/>
      <c r="Z16" s="23"/>
      <c r="AA16" s="23"/>
      <c r="AB16" s="22"/>
    </row>
    <row r="17" spans="1:28" s="26" customFormat="1" x14ac:dyDescent="0.25">
      <c r="A17" s="34" t="s">
        <v>13</v>
      </c>
      <c r="B17" s="16"/>
      <c r="C17" s="23"/>
      <c r="D17" s="23"/>
      <c r="E17" s="16"/>
      <c r="F17" s="16"/>
      <c r="G17" s="16"/>
      <c r="H17" s="16"/>
      <c r="I17" s="16"/>
      <c r="J17" s="16"/>
      <c r="K17" s="16"/>
      <c r="L17" s="16"/>
      <c r="M17" s="16"/>
      <c r="N17" s="16"/>
      <c r="O17" s="16"/>
      <c r="P17" s="16"/>
      <c r="Q17" s="16"/>
      <c r="R17" s="22"/>
      <c r="S17" s="23"/>
      <c r="T17" s="23"/>
      <c r="U17" s="23"/>
      <c r="V17" s="23"/>
      <c r="W17" s="23"/>
      <c r="X17" s="23"/>
      <c r="Y17" s="23">
        <v>143</v>
      </c>
      <c r="Z17" s="23">
        <v>76</v>
      </c>
      <c r="AA17" s="23">
        <v>3</v>
      </c>
      <c r="AB17" s="22">
        <v>240</v>
      </c>
    </row>
    <row r="18" spans="1:28" s="26" customFormat="1" x14ac:dyDescent="0.25">
      <c r="A18" s="35" t="s">
        <v>14</v>
      </c>
      <c r="B18" s="19">
        <f>SUM(B11:B17)</f>
        <v>28</v>
      </c>
      <c r="C18" s="21">
        <f>SUM(C11:C17)</f>
        <v>0</v>
      </c>
      <c r="D18" s="21">
        <f>SUM(D11:D17)</f>
        <v>14842</v>
      </c>
      <c r="E18" s="19">
        <f t="shared" ref="E18:AB18" si="1">SUM(E11:E17)</f>
        <v>0</v>
      </c>
      <c r="F18" s="19">
        <f t="shared" si="1"/>
        <v>2040</v>
      </c>
      <c r="G18" s="19">
        <f t="shared" si="1"/>
        <v>1620</v>
      </c>
      <c r="H18" s="19">
        <f t="shared" si="1"/>
        <v>1000</v>
      </c>
      <c r="I18" s="19">
        <f>SUM(I11:I17)</f>
        <v>1451</v>
      </c>
      <c r="J18" s="19">
        <f t="shared" si="1"/>
        <v>0</v>
      </c>
      <c r="K18" s="19">
        <f t="shared" si="1"/>
        <v>15510</v>
      </c>
      <c r="L18" s="19">
        <f t="shared" si="1"/>
        <v>386</v>
      </c>
      <c r="M18" s="19">
        <f>SUM(M11:M17)</f>
        <v>3410</v>
      </c>
      <c r="N18" s="19">
        <f t="shared" si="1"/>
        <v>323</v>
      </c>
      <c r="O18" s="19">
        <f t="shared" si="1"/>
        <v>87</v>
      </c>
      <c r="P18" s="19">
        <f t="shared" si="1"/>
        <v>46</v>
      </c>
      <c r="Q18" s="19">
        <f t="shared" si="1"/>
        <v>34</v>
      </c>
      <c r="R18" s="20">
        <f t="shared" si="1"/>
        <v>0</v>
      </c>
      <c r="S18" s="21">
        <f>SUM(S11:S17)</f>
        <v>393</v>
      </c>
      <c r="T18" s="21">
        <f>SUM(T11:T17)</f>
        <v>31779</v>
      </c>
      <c r="U18" s="21">
        <f t="shared" si="1"/>
        <v>3569776</v>
      </c>
      <c r="V18" s="21">
        <f t="shared" si="1"/>
        <v>5465541</v>
      </c>
      <c r="W18" s="21">
        <f t="shared" si="1"/>
        <v>5922708</v>
      </c>
      <c r="X18" s="21">
        <f>SUM(X11:X17)</f>
        <v>29570</v>
      </c>
      <c r="Y18" s="21">
        <f t="shared" si="1"/>
        <v>143</v>
      </c>
      <c r="Z18" s="21">
        <f t="shared" si="1"/>
        <v>76</v>
      </c>
      <c r="AA18" s="21">
        <f t="shared" si="1"/>
        <v>3</v>
      </c>
      <c r="AB18" s="20">
        <f t="shared" si="1"/>
        <v>240</v>
      </c>
    </row>
    <row r="19" spans="1:28" s="26" customFormat="1" x14ac:dyDescent="0.25">
      <c r="A19" s="35" t="s">
        <v>15</v>
      </c>
      <c r="B19" s="19">
        <f>SUM(B10,B18)</f>
        <v>184</v>
      </c>
      <c r="C19" s="21">
        <f>SUM(C10,C18)</f>
        <v>0</v>
      </c>
      <c r="D19" s="21">
        <f>SUM(D10,D18)</f>
        <v>106573</v>
      </c>
      <c r="E19" s="19">
        <f t="shared" ref="E19:AB19" si="2">SUM(E10,E18)</f>
        <v>13348</v>
      </c>
      <c r="F19" s="19">
        <f t="shared" si="2"/>
        <v>7043</v>
      </c>
      <c r="G19" s="19">
        <f t="shared" si="2"/>
        <v>7446</v>
      </c>
      <c r="H19" s="19">
        <f t="shared" si="2"/>
        <v>4178</v>
      </c>
      <c r="I19" s="19">
        <f>SUM(I10,I18)</f>
        <v>2661</v>
      </c>
      <c r="J19" s="19">
        <f t="shared" si="2"/>
        <v>0</v>
      </c>
      <c r="K19" s="19">
        <f t="shared" si="2"/>
        <v>35494</v>
      </c>
      <c r="L19" s="19">
        <f t="shared" si="2"/>
        <v>1625</v>
      </c>
      <c r="M19" s="19">
        <f>SUM(M10,M18)</f>
        <v>9898</v>
      </c>
      <c r="N19" s="19">
        <f t="shared" si="2"/>
        <v>8724</v>
      </c>
      <c r="O19" s="19">
        <f t="shared" si="2"/>
        <v>399</v>
      </c>
      <c r="P19" s="19">
        <f t="shared" si="2"/>
        <v>96</v>
      </c>
      <c r="Q19" s="19">
        <f t="shared" si="2"/>
        <v>121</v>
      </c>
      <c r="R19" s="20">
        <f t="shared" si="2"/>
        <v>1620</v>
      </c>
      <c r="S19" s="21">
        <f>SUM(S10,S18)</f>
        <v>1569</v>
      </c>
      <c r="T19" s="21">
        <f>SUM(T10,T18)</f>
        <v>54446</v>
      </c>
      <c r="U19" s="21">
        <f t="shared" si="2"/>
        <v>9984455</v>
      </c>
      <c r="V19" s="21">
        <f t="shared" si="2"/>
        <v>9164148</v>
      </c>
      <c r="W19" s="21">
        <f t="shared" si="2"/>
        <v>14827669</v>
      </c>
      <c r="X19" s="21">
        <f>SUM(X10,X18)</f>
        <v>39563</v>
      </c>
      <c r="Y19" s="21">
        <f t="shared" si="2"/>
        <v>1807</v>
      </c>
      <c r="Z19" s="21">
        <f t="shared" si="2"/>
        <v>1842</v>
      </c>
      <c r="AA19" s="21">
        <f t="shared" si="2"/>
        <v>464</v>
      </c>
      <c r="AB19" s="20">
        <f t="shared" si="2"/>
        <v>1403</v>
      </c>
    </row>
    <row r="21" spans="1:28"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row>
  </sheetData>
  <sheetProtection formatCells="0" formatColumns="0" formatRows="0" insertColumns="0" insertRows="0" sort="0" autoFilter="0" pivotTables="0"/>
  <dataValidations count="1">
    <dataValidation type="list" errorStyle="information" allowBlank="1" showInputMessage="1" showErrorMessage="1" sqref="B1:AB1" xr:uid="{61EA56BC-B527-4DA7-81EB-2A4FD23535F0}">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89642BEC-B3CD-4B3E-B9EE-784E6B6A1AB3}">
          <x14:formula1>
            <xm:f>'Term List'!$A2:$A242</xm:f>
          </x14:formula1>
          <xm:sqref>AC1:XFD1</xm:sqref>
        </x14:dataValidation>
      </x14:dataValidations>
    </ext>
  </extLst>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44DB1-016D-4EC6-9D0C-3674110F1FA8}">
  <sheetPr codeName="Sheet21"/>
  <dimension ref="A1:L23"/>
  <sheetViews>
    <sheetView workbookViewId="0">
      <pane xSplit="1" ySplit="1" topLeftCell="B2" activePane="bottomRight" state="frozen"/>
      <selection activeCell="B3" sqref="B3"/>
      <selection pane="topRight" activeCell="B3" sqref="B3"/>
      <selection pane="bottomLeft" activeCell="B3" sqref="B3"/>
      <selection pane="bottomRight" activeCell="A24" sqref="A24"/>
    </sheetView>
  </sheetViews>
  <sheetFormatPr defaultRowHeight="15" x14ac:dyDescent="0.25"/>
  <cols>
    <col min="1" max="1" width="38.85546875" style="6" customWidth="1"/>
    <col min="2" max="2" width="19.28515625" style="5" customWidth="1"/>
    <col min="3" max="3" width="15.85546875" style="5" customWidth="1"/>
    <col min="4" max="4" width="16" style="5" customWidth="1"/>
    <col min="5" max="5" width="18.7109375" style="5" customWidth="1"/>
    <col min="6" max="6" width="18.42578125" style="5" customWidth="1"/>
    <col min="7" max="7" width="17.85546875" style="5" customWidth="1"/>
    <col min="8" max="8" width="15" style="5" customWidth="1"/>
    <col min="9" max="9" width="15.5703125" style="5" customWidth="1"/>
    <col min="10" max="10" width="16.5703125" style="5" customWidth="1"/>
    <col min="11" max="11" width="17.140625" style="5" customWidth="1"/>
    <col min="12" max="12" width="14.42578125" style="5" customWidth="1"/>
    <col min="13" max="16384" width="9.140625" style="3"/>
  </cols>
  <sheetData>
    <row r="1" spans="1:12" s="14" customFormat="1" ht="30" x14ac:dyDescent="0.25">
      <c r="A1" s="36" t="s">
        <v>576</v>
      </c>
      <c r="B1" s="36" t="s">
        <v>155</v>
      </c>
      <c r="C1" s="36" t="s">
        <v>156</v>
      </c>
      <c r="D1" s="36" t="s">
        <v>154</v>
      </c>
      <c r="E1" s="36" t="s">
        <v>150</v>
      </c>
      <c r="F1" s="36" t="s">
        <v>148</v>
      </c>
      <c r="G1" s="36" t="s">
        <v>139</v>
      </c>
      <c r="H1" s="36" t="s">
        <v>130</v>
      </c>
      <c r="I1" s="36" t="s">
        <v>132</v>
      </c>
      <c r="J1" s="36" t="s">
        <v>142</v>
      </c>
      <c r="K1" s="36" t="s">
        <v>144</v>
      </c>
      <c r="L1" s="36" t="s">
        <v>124</v>
      </c>
    </row>
    <row r="2" spans="1:12" s="26" customFormat="1" x14ac:dyDescent="0.25">
      <c r="A2" s="34" t="s">
        <v>0</v>
      </c>
      <c r="B2" s="16">
        <v>53850</v>
      </c>
      <c r="C2" s="17">
        <v>6031</v>
      </c>
      <c r="D2" s="17">
        <v>851</v>
      </c>
      <c r="E2" s="17">
        <v>7572</v>
      </c>
      <c r="F2" s="17">
        <v>352</v>
      </c>
      <c r="G2" s="17">
        <v>0</v>
      </c>
      <c r="H2" s="17">
        <v>483</v>
      </c>
      <c r="I2" s="17">
        <v>279</v>
      </c>
      <c r="J2" s="17">
        <v>5126</v>
      </c>
      <c r="K2" s="17">
        <v>319</v>
      </c>
      <c r="L2" s="17">
        <v>21094536</v>
      </c>
    </row>
    <row r="3" spans="1:12" s="26" customFormat="1" x14ac:dyDescent="0.25">
      <c r="A3" s="34" t="s">
        <v>1</v>
      </c>
      <c r="B3" s="16">
        <v>4218</v>
      </c>
      <c r="C3" s="17">
        <v>384</v>
      </c>
      <c r="D3" s="17">
        <v>990</v>
      </c>
      <c r="E3" s="17">
        <v>471</v>
      </c>
      <c r="F3" s="17">
        <v>249</v>
      </c>
      <c r="G3" s="17">
        <v>0</v>
      </c>
      <c r="H3" s="17">
        <v>118</v>
      </c>
      <c r="I3" s="17">
        <v>105</v>
      </c>
      <c r="J3" s="17">
        <v>131</v>
      </c>
      <c r="K3" s="17">
        <v>16</v>
      </c>
      <c r="L3" s="17">
        <v>79856</v>
      </c>
    </row>
    <row r="4" spans="1:12" s="26" customFormat="1" x14ac:dyDescent="0.25">
      <c r="A4" s="34" t="s">
        <v>169</v>
      </c>
      <c r="B4" s="16"/>
      <c r="C4" s="17"/>
      <c r="D4" s="17"/>
      <c r="E4" s="17"/>
      <c r="F4" s="17"/>
      <c r="G4" s="17"/>
      <c r="H4" s="17"/>
      <c r="I4" s="17"/>
      <c r="J4" s="17"/>
      <c r="K4" s="17"/>
      <c r="L4" s="17"/>
    </row>
    <row r="5" spans="1:12" s="26" customFormat="1" x14ac:dyDescent="0.25">
      <c r="A5" s="34" t="s">
        <v>2</v>
      </c>
      <c r="B5" s="16"/>
      <c r="C5" s="17"/>
      <c r="D5" s="17"/>
      <c r="E5" s="17"/>
      <c r="F5" s="17"/>
      <c r="G5" s="17"/>
      <c r="H5" s="17"/>
      <c r="I5" s="17"/>
      <c r="J5" s="17"/>
      <c r="K5" s="17"/>
      <c r="L5" s="17"/>
    </row>
    <row r="6" spans="1:12" s="26" customFormat="1" x14ac:dyDescent="0.25">
      <c r="A6" s="34" t="s">
        <v>3</v>
      </c>
      <c r="B6" s="16">
        <v>107</v>
      </c>
      <c r="C6" s="17">
        <v>29</v>
      </c>
      <c r="D6" s="17">
        <v>458</v>
      </c>
      <c r="E6" s="17">
        <v>2538</v>
      </c>
      <c r="F6" s="17">
        <v>141</v>
      </c>
      <c r="G6" s="17">
        <v>69</v>
      </c>
      <c r="H6" s="17">
        <v>1</v>
      </c>
      <c r="I6" s="17">
        <v>0</v>
      </c>
      <c r="J6" s="17">
        <v>0</v>
      </c>
      <c r="K6" s="17">
        <v>2</v>
      </c>
      <c r="L6" s="17">
        <v>58332</v>
      </c>
    </row>
    <row r="7" spans="1:12" s="26" customFormat="1" x14ac:dyDescent="0.25">
      <c r="A7" s="34" t="s">
        <v>4</v>
      </c>
      <c r="B7" s="16">
        <v>348</v>
      </c>
      <c r="C7" s="17">
        <v>37</v>
      </c>
      <c r="D7" s="17">
        <v>96</v>
      </c>
      <c r="E7" s="17">
        <v>4669</v>
      </c>
      <c r="F7" s="17">
        <v>2</v>
      </c>
      <c r="G7" s="17">
        <v>29</v>
      </c>
      <c r="H7" s="17">
        <v>24</v>
      </c>
      <c r="I7" s="17">
        <v>0</v>
      </c>
      <c r="J7" s="17">
        <v>248</v>
      </c>
      <c r="K7" s="17">
        <v>358</v>
      </c>
      <c r="L7" s="17">
        <v>644171</v>
      </c>
    </row>
    <row r="8" spans="1:12" s="26" customFormat="1" x14ac:dyDescent="0.25">
      <c r="A8" s="34" t="s">
        <v>5</v>
      </c>
      <c r="B8" s="16">
        <v>0</v>
      </c>
      <c r="C8" s="17">
        <v>0</v>
      </c>
      <c r="D8" s="17">
        <v>0</v>
      </c>
      <c r="E8" s="17">
        <v>485</v>
      </c>
      <c r="F8" s="17">
        <v>0</v>
      </c>
      <c r="G8" s="17">
        <v>0</v>
      </c>
      <c r="H8" s="17">
        <v>0</v>
      </c>
      <c r="I8" s="17">
        <v>0</v>
      </c>
      <c r="J8" s="17">
        <v>0</v>
      </c>
      <c r="K8" s="17">
        <v>0</v>
      </c>
      <c r="L8" s="17">
        <v>0</v>
      </c>
    </row>
    <row r="9" spans="1:12" s="26" customFormat="1" x14ac:dyDescent="0.25">
      <c r="A9" s="34" t="s">
        <v>6</v>
      </c>
      <c r="B9" s="16"/>
      <c r="C9" s="17"/>
      <c r="D9" s="17"/>
      <c r="E9" s="17"/>
      <c r="F9" s="17"/>
      <c r="G9" s="17"/>
      <c r="H9" s="17"/>
      <c r="I9" s="17"/>
      <c r="J9" s="17"/>
      <c r="K9" s="17"/>
      <c r="L9" s="17"/>
    </row>
    <row r="10" spans="1:12" s="26" customFormat="1" x14ac:dyDescent="0.25">
      <c r="A10" s="35" t="s">
        <v>7</v>
      </c>
      <c r="B10" s="19">
        <f>SUM(B2:B9)</f>
        <v>58523</v>
      </c>
      <c r="C10" s="19">
        <f t="shared" ref="C10:L10" si="0">SUM(C2:C9)</f>
        <v>6481</v>
      </c>
      <c r="D10" s="19">
        <f t="shared" si="0"/>
        <v>2395</v>
      </c>
      <c r="E10" s="19">
        <f t="shared" si="0"/>
        <v>15735</v>
      </c>
      <c r="F10" s="19">
        <f t="shared" si="0"/>
        <v>744</v>
      </c>
      <c r="G10" s="19">
        <f t="shared" si="0"/>
        <v>98</v>
      </c>
      <c r="H10" s="19">
        <f t="shared" si="0"/>
        <v>626</v>
      </c>
      <c r="I10" s="19">
        <f t="shared" si="0"/>
        <v>384</v>
      </c>
      <c r="J10" s="19">
        <f t="shared" si="0"/>
        <v>5505</v>
      </c>
      <c r="K10" s="19">
        <f t="shared" si="0"/>
        <v>695</v>
      </c>
      <c r="L10" s="19">
        <f t="shared" si="0"/>
        <v>21876895</v>
      </c>
    </row>
    <row r="11" spans="1:12" s="26" customFormat="1" x14ac:dyDescent="0.25">
      <c r="A11" s="34" t="s">
        <v>8</v>
      </c>
      <c r="B11" s="16">
        <v>75331</v>
      </c>
      <c r="C11" s="16">
        <v>11305</v>
      </c>
      <c r="D11" s="16">
        <v>994</v>
      </c>
      <c r="E11" s="16">
        <v>21051</v>
      </c>
      <c r="F11" s="16">
        <v>391</v>
      </c>
      <c r="G11" s="16">
        <v>0</v>
      </c>
      <c r="H11" s="16">
        <v>1180</v>
      </c>
      <c r="I11" s="16">
        <v>101</v>
      </c>
      <c r="J11" s="16">
        <v>13064</v>
      </c>
      <c r="K11" s="16">
        <v>338</v>
      </c>
      <c r="L11" s="16">
        <v>7355906</v>
      </c>
    </row>
    <row r="12" spans="1:12" s="26" customFormat="1" x14ac:dyDescent="0.25">
      <c r="A12" s="34" t="s">
        <v>9</v>
      </c>
      <c r="B12" s="16"/>
      <c r="C12" s="16"/>
      <c r="D12" s="16"/>
      <c r="E12" s="16"/>
      <c r="F12" s="16"/>
      <c r="G12" s="16"/>
      <c r="H12" s="16"/>
      <c r="I12" s="16"/>
      <c r="J12" s="16"/>
      <c r="K12" s="16"/>
      <c r="L12" s="16"/>
    </row>
    <row r="13" spans="1:12" s="26" customFormat="1" x14ac:dyDescent="0.25">
      <c r="A13" s="34" t="s">
        <v>164</v>
      </c>
      <c r="B13" s="16"/>
      <c r="C13" s="16"/>
      <c r="D13" s="16"/>
      <c r="E13" s="16"/>
      <c r="F13" s="16"/>
      <c r="G13" s="16"/>
      <c r="H13" s="16"/>
      <c r="I13" s="16"/>
      <c r="J13" s="16"/>
      <c r="K13" s="16"/>
      <c r="L13" s="16"/>
    </row>
    <row r="14" spans="1:12" s="26" customFormat="1" x14ac:dyDescent="0.25">
      <c r="A14" s="34" t="s">
        <v>10</v>
      </c>
      <c r="B14" s="16">
        <v>73</v>
      </c>
      <c r="C14" s="16">
        <v>24</v>
      </c>
      <c r="D14" s="16">
        <v>77</v>
      </c>
      <c r="E14" s="16">
        <v>1828</v>
      </c>
      <c r="F14" s="16">
        <v>34</v>
      </c>
      <c r="G14" s="16">
        <v>24</v>
      </c>
      <c r="H14" s="16">
        <v>12</v>
      </c>
      <c r="I14" s="16">
        <v>0</v>
      </c>
      <c r="J14" s="16">
        <v>8</v>
      </c>
      <c r="K14" s="16">
        <v>3</v>
      </c>
      <c r="L14" s="16">
        <v>10215</v>
      </c>
    </row>
    <row r="15" spans="1:12" s="26" customFormat="1" x14ac:dyDescent="0.25">
      <c r="A15" s="34" t="s">
        <v>11</v>
      </c>
      <c r="B15" s="16">
        <v>69</v>
      </c>
      <c r="C15" s="16">
        <v>427</v>
      </c>
      <c r="D15" s="16">
        <v>113</v>
      </c>
      <c r="E15" s="16">
        <v>19539</v>
      </c>
      <c r="F15" s="16">
        <v>6</v>
      </c>
      <c r="G15" s="16">
        <v>377</v>
      </c>
      <c r="H15" s="16">
        <v>0</v>
      </c>
      <c r="I15" s="16">
        <v>0</v>
      </c>
      <c r="J15" s="16">
        <v>957</v>
      </c>
      <c r="K15" s="16">
        <v>58</v>
      </c>
      <c r="L15" s="16">
        <v>55020</v>
      </c>
    </row>
    <row r="16" spans="1:12" s="26" customFormat="1" x14ac:dyDescent="0.25">
      <c r="A16" s="34" t="s">
        <v>12</v>
      </c>
      <c r="B16" s="16">
        <v>0</v>
      </c>
      <c r="C16" s="16">
        <v>0</v>
      </c>
      <c r="D16" s="16">
        <v>0</v>
      </c>
      <c r="E16" s="16">
        <v>38</v>
      </c>
      <c r="F16" s="16">
        <v>3</v>
      </c>
      <c r="G16" s="16">
        <v>0</v>
      </c>
      <c r="H16" s="16">
        <v>0</v>
      </c>
      <c r="I16" s="16">
        <v>0</v>
      </c>
      <c r="J16" s="16">
        <v>0</v>
      </c>
      <c r="K16" s="16">
        <v>0</v>
      </c>
      <c r="L16" s="16">
        <v>0</v>
      </c>
    </row>
    <row r="17" spans="1:12" s="26" customFormat="1" x14ac:dyDescent="0.25">
      <c r="A17" s="34" t="s">
        <v>13</v>
      </c>
      <c r="B17" s="16"/>
      <c r="C17" s="16"/>
      <c r="D17" s="16"/>
      <c r="E17" s="16"/>
      <c r="F17" s="16"/>
      <c r="G17" s="16"/>
      <c r="H17" s="16"/>
      <c r="I17" s="16"/>
      <c r="J17" s="16"/>
      <c r="K17" s="16"/>
      <c r="L17" s="16"/>
    </row>
    <row r="18" spans="1:12" s="26" customFormat="1" x14ac:dyDescent="0.25">
      <c r="A18" s="35" t="s">
        <v>14</v>
      </c>
      <c r="B18" s="19">
        <f>SUM(B11:B17)</f>
        <v>75473</v>
      </c>
      <c r="C18" s="19">
        <f t="shared" ref="C18:L18" si="1">SUM(C11:C17)</f>
        <v>11756</v>
      </c>
      <c r="D18" s="19">
        <f t="shared" si="1"/>
        <v>1184</v>
      </c>
      <c r="E18" s="19">
        <f t="shared" si="1"/>
        <v>42456</v>
      </c>
      <c r="F18" s="19">
        <f t="shared" si="1"/>
        <v>434</v>
      </c>
      <c r="G18" s="19">
        <f t="shared" si="1"/>
        <v>401</v>
      </c>
      <c r="H18" s="19">
        <f t="shared" si="1"/>
        <v>1192</v>
      </c>
      <c r="I18" s="19">
        <f t="shared" si="1"/>
        <v>101</v>
      </c>
      <c r="J18" s="19">
        <f t="shared" si="1"/>
        <v>14029</v>
      </c>
      <c r="K18" s="19">
        <f t="shared" si="1"/>
        <v>399</v>
      </c>
      <c r="L18" s="19">
        <f t="shared" si="1"/>
        <v>7421141</v>
      </c>
    </row>
    <row r="19" spans="1:12" s="26" customFormat="1" x14ac:dyDescent="0.25">
      <c r="A19" s="35" t="s">
        <v>15</v>
      </c>
      <c r="B19" s="19">
        <f>SUM(B10,B18)</f>
        <v>133996</v>
      </c>
      <c r="C19" s="19">
        <f t="shared" ref="C19:L19" si="2">SUM(C10,C18)</f>
        <v>18237</v>
      </c>
      <c r="D19" s="19">
        <f t="shared" si="2"/>
        <v>3579</v>
      </c>
      <c r="E19" s="19">
        <f t="shared" si="2"/>
        <v>58191</v>
      </c>
      <c r="F19" s="19">
        <f t="shared" si="2"/>
        <v>1178</v>
      </c>
      <c r="G19" s="19">
        <f t="shared" si="2"/>
        <v>499</v>
      </c>
      <c r="H19" s="19">
        <f t="shared" si="2"/>
        <v>1818</v>
      </c>
      <c r="I19" s="19">
        <f t="shared" si="2"/>
        <v>485</v>
      </c>
      <c r="J19" s="19">
        <f t="shared" si="2"/>
        <v>19534</v>
      </c>
      <c r="K19" s="19">
        <f t="shared" si="2"/>
        <v>1094</v>
      </c>
      <c r="L19" s="19">
        <f t="shared" si="2"/>
        <v>29298036</v>
      </c>
    </row>
    <row r="21" spans="1:12" x14ac:dyDescent="0.25">
      <c r="B21" s="44"/>
      <c r="C21" s="44"/>
      <c r="D21" s="44"/>
      <c r="E21" s="44"/>
      <c r="F21" s="44"/>
      <c r="G21" s="44"/>
      <c r="H21" s="44"/>
      <c r="I21" s="44"/>
      <c r="J21" s="44"/>
      <c r="K21" s="44"/>
      <c r="L21" s="44"/>
    </row>
    <row r="23" spans="1:12" x14ac:dyDescent="0.25">
      <c r="B23" s="44"/>
      <c r="C23" s="44"/>
      <c r="D23" s="44"/>
      <c r="E23" s="44"/>
      <c r="F23" s="44"/>
      <c r="G23" s="44"/>
      <c r="H23" s="44"/>
      <c r="I23" s="44"/>
      <c r="J23" s="44"/>
      <c r="K23" s="44"/>
      <c r="L23" s="44"/>
    </row>
  </sheetData>
  <sheetProtection formatCells="0" formatColumns="0" formatRows="0" insertColumns="0" insertRows="0" sort="0" autoFilter="0" pivotTables="0"/>
  <dataValidations count="1">
    <dataValidation type="list" errorStyle="information" allowBlank="1" showInputMessage="1" showErrorMessage="1" sqref="B1:L1" xr:uid="{B173059F-B68F-41B1-A2BB-69CE99C6CED0}">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4E6DAAD3-EE50-4AA6-B0F6-19BA2FB3D7FF}">
          <x14:formula1>
            <xm:f>'Term List'!$A2:$A242</xm:f>
          </x14:formula1>
          <xm:sqref>M1:XFD1</xm:sqref>
        </x14:dataValidation>
      </x14:dataValidations>
    </ext>
  </extLst>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58AA7-AAD5-4736-B00B-FB5028B6ECC2}">
  <sheetPr codeName="Sheet22"/>
  <dimension ref="A1:AB20"/>
  <sheetViews>
    <sheetView workbookViewId="0">
      <pane xSplit="1" ySplit="1" topLeftCell="B2" activePane="bottomRight" state="frozen"/>
      <selection activeCell="B3" sqref="B3"/>
      <selection pane="topRight" activeCell="B3" sqref="B3"/>
      <selection pane="bottomLeft" activeCell="B3" sqref="B3"/>
      <selection pane="bottomRight" activeCell="A2" sqref="A2"/>
    </sheetView>
  </sheetViews>
  <sheetFormatPr defaultRowHeight="15" x14ac:dyDescent="0.25"/>
  <cols>
    <col min="1" max="1" width="35.7109375" style="6" bestFit="1" customWidth="1"/>
    <col min="2" max="2" width="13.7109375" style="5" bestFit="1" customWidth="1"/>
    <col min="3" max="3" width="16.7109375" style="3" bestFit="1" customWidth="1"/>
    <col min="4" max="4" width="13.85546875" style="3" bestFit="1" customWidth="1"/>
    <col min="5" max="5" width="12" style="5" bestFit="1" customWidth="1"/>
    <col min="6" max="6" width="14.28515625" style="5" bestFit="1" customWidth="1"/>
    <col min="7" max="7" width="12" style="5" bestFit="1" customWidth="1"/>
    <col min="8" max="8" width="12.5703125" style="5" bestFit="1" customWidth="1"/>
    <col min="9" max="9" width="11.85546875" style="3" bestFit="1" customWidth="1"/>
    <col min="10" max="10" width="15" style="5" bestFit="1" customWidth="1"/>
    <col min="11" max="12" width="12" style="5" bestFit="1" customWidth="1"/>
    <col min="13" max="13" width="15.7109375" style="5" bestFit="1" customWidth="1"/>
    <col min="14" max="14" width="9.5703125" style="5" bestFit="1" customWidth="1"/>
    <col min="15" max="15" width="13.28515625" style="5" bestFit="1" customWidth="1"/>
    <col min="16" max="16" width="13.140625" style="5" bestFit="1" customWidth="1"/>
    <col min="17" max="17" width="14.140625" style="5" bestFit="1" customWidth="1"/>
    <col min="18" max="18" width="14" style="3" bestFit="1" customWidth="1"/>
    <col min="19" max="20" width="14.7109375" style="3" bestFit="1" customWidth="1"/>
    <col min="21" max="21" width="13.42578125" style="3" bestFit="1" customWidth="1"/>
    <col min="22" max="23" width="11.5703125" style="3" bestFit="1" customWidth="1"/>
    <col min="24" max="24" width="8.5703125" style="3" bestFit="1" customWidth="1"/>
    <col min="25" max="25" width="16.28515625" style="3" customWidth="1"/>
    <col min="26" max="26" width="15.85546875" style="3" bestFit="1" customWidth="1"/>
    <col min="27" max="27" width="15.28515625" style="3" bestFit="1" customWidth="1"/>
    <col min="28" max="28" width="15.5703125" style="3" bestFit="1" customWidth="1"/>
    <col min="29" max="16384" width="9.140625" style="3"/>
  </cols>
  <sheetData>
    <row r="1" spans="1:28" s="40" customFormat="1" ht="33.75" customHeight="1" x14ac:dyDescent="0.25">
      <c r="A1" s="31" t="s">
        <v>577</v>
      </c>
      <c r="B1" s="31" t="s">
        <v>62</v>
      </c>
      <c r="C1" s="39" t="s">
        <v>58</v>
      </c>
      <c r="D1" s="39" t="s">
        <v>57</v>
      </c>
      <c r="E1" s="31" t="s">
        <v>35</v>
      </c>
      <c r="F1" s="31" t="s">
        <v>36</v>
      </c>
      <c r="G1" s="31" t="s">
        <v>39</v>
      </c>
      <c r="H1" s="31" t="s">
        <v>99</v>
      </c>
      <c r="I1" s="31" t="s">
        <v>570</v>
      </c>
      <c r="J1" s="31" t="s">
        <v>571</v>
      </c>
      <c r="K1" s="31" t="s">
        <v>567</v>
      </c>
      <c r="L1" s="31" t="s">
        <v>569</v>
      </c>
      <c r="M1" s="31" t="s">
        <v>572</v>
      </c>
      <c r="N1" s="31" t="s">
        <v>573</v>
      </c>
      <c r="O1" s="31" t="s">
        <v>28</v>
      </c>
      <c r="P1" s="31" t="s">
        <v>89</v>
      </c>
      <c r="Q1" s="31" t="s">
        <v>45</v>
      </c>
      <c r="R1" s="31" t="s">
        <v>53</v>
      </c>
      <c r="S1" s="39" t="s">
        <v>339</v>
      </c>
      <c r="T1" s="39" t="s">
        <v>340</v>
      </c>
      <c r="U1" s="31" t="s">
        <v>75</v>
      </c>
      <c r="V1" s="31" t="s">
        <v>107</v>
      </c>
      <c r="W1" s="39" t="s">
        <v>101</v>
      </c>
      <c r="X1" s="39" t="s">
        <v>65</v>
      </c>
      <c r="Y1" s="39" t="s">
        <v>330</v>
      </c>
      <c r="Z1" s="39" t="s">
        <v>331</v>
      </c>
      <c r="AA1" s="39" t="s">
        <v>332</v>
      </c>
      <c r="AB1" s="31" t="s">
        <v>333</v>
      </c>
    </row>
    <row r="2" spans="1:28" s="26" customFormat="1" x14ac:dyDescent="0.25">
      <c r="A2" s="34" t="s">
        <v>0</v>
      </c>
      <c r="B2" s="16"/>
      <c r="C2" s="25"/>
      <c r="D2" s="25"/>
      <c r="E2" s="17"/>
      <c r="F2" s="17"/>
      <c r="G2" s="17"/>
      <c r="H2" s="17"/>
      <c r="I2" s="17"/>
      <c r="J2" s="17"/>
      <c r="K2" s="17"/>
      <c r="L2" s="17"/>
      <c r="M2" s="17"/>
      <c r="N2" s="17"/>
      <c r="O2" s="17"/>
      <c r="P2" s="17"/>
      <c r="Q2" s="17"/>
      <c r="R2" s="24"/>
      <c r="S2" s="25"/>
      <c r="T2" s="25"/>
      <c r="U2" s="25"/>
      <c r="V2" s="25"/>
      <c r="W2" s="25"/>
      <c r="X2" s="25"/>
      <c r="Y2" s="25"/>
      <c r="Z2" s="25"/>
      <c r="AA2" s="25"/>
      <c r="AB2" s="24"/>
    </row>
    <row r="3" spans="1:28" s="26" customFormat="1" x14ac:dyDescent="0.25">
      <c r="A3" s="34" t="s">
        <v>1</v>
      </c>
      <c r="B3" s="16"/>
      <c r="C3" s="25"/>
      <c r="D3" s="25"/>
      <c r="E3" s="17"/>
      <c r="F3" s="17"/>
      <c r="G3" s="17"/>
      <c r="H3" s="17"/>
      <c r="I3" s="17"/>
      <c r="J3" s="17"/>
      <c r="K3" s="17"/>
      <c r="L3" s="17"/>
      <c r="M3" s="17"/>
      <c r="N3" s="17"/>
      <c r="O3" s="17"/>
      <c r="P3" s="17"/>
      <c r="Q3" s="17"/>
      <c r="R3" s="24"/>
      <c r="S3" s="25"/>
      <c r="T3" s="25"/>
      <c r="U3" s="25"/>
      <c r="V3" s="25"/>
      <c r="W3" s="25"/>
      <c r="X3" s="25"/>
      <c r="Y3" s="25"/>
      <c r="Z3" s="25"/>
      <c r="AA3" s="25"/>
      <c r="AB3" s="24"/>
    </row>
    <row r="4" spans="1:28" s="26" customFormat="1" x14ac:dyDescent="0.25">
      <c r="A4" s="34" t="s">
        <v>169</v>
      </c>
      <c r="B4" s="16"/>
      <c r="C4" s="25"/>
      <c r="D4" s="25"/>
      <c r="E4" s="17"/>
      <c r="F4" s="17"/>
      <c r="G4" s="17"/>
      <c r="H4" s="17"/>
      <c r="I4" s="17"/>
      <c r="J4" s="17"/>
      <c r="K4" s="17"/>
      <c r="L4" s="17"/>
      <c r="M4" s="17"/>
      <c r="N4" s="17"/>
      <c r="O4" s="17"/>
      <c r="P4" s="17"/>
      <c r="Q4" s="17"/>
      <c r="R4" s="24"/>
      <c r="S4" s="25"/>
      <c r="T4" s="25"/>
      <c r="U4" s="25"/>
      <c r="V4" s="25"/>
      <c r="W4" s="25"/>
      <c r="X4" s="25">
        <v>12827</v>
      </c>
      <c r="Y4" s="25"/>
      <c r="Z4" s="25"/>
      <c r="AA4" s="25"/>
      <c r="AB4" s="24"/>
    </row>
    <row r="5" spans="1:28" s="26" customFormat="1" x14ac:dyDescent="0.25">
      <c r="A5" s="34" t="s">
        <v>2</v>
      </c>
      <c r="B5" s="16"/>
      <c r="C5" s="25"/>
      <c r="D5" s="25"/>
      <c r="E5" s="17"/>
      <c r="F5" s="17"/>
      <c r="G5" s="17"/>
      <c r="H5" s="17"/>
      <c r="I5" s="17"/>
      <c r="J5" s="17"/>
      <c r="K5" s="17"/>
      <c r="L5" s="17"/>
      <c r="M5" s="17"/>
      <c r="N5" s="17"/>
      <c r="O5" s="17"/>
      <c r="P5" s="17"/>
      <c r="Q5" s="17"/>
      <c r="R5" s="24"/>
      <c r="S5" s="25"/>
      <c r="T5" s="25"/>
      <c r="U5" s="25"/>
      <c r="V5" s="25"/>
      <c r="W5" s="25"/>
      <c r="X5" s="25"/>
      <c r="Y5" s="25"/>
      <c r="Z5" s="25"/>
      <c r="AA5" s="25"/>
      <c r="AB5" s="24"/>
    </row>
    <row r="6" spans="1:28" s="26" customFormat="1" x14ac:dyDescent="0.25">
      <c r="A6" s="34" t="s">
        <v>3</v>
      </c>
      <c r="B6" s="16">
        <v>43</v>
      </c>
      <c r="C6" s="25"/>
      <c r="D6" s="25"/>
      <c r="E6" s="17"/>
      <c r="F6" s="17">
        <v>0</v>
      </c>
      <c r="G6" s="17"/>
      <c r="H6" s="17"/>
      <c r="I6" s="17">
        <v>5630</v>
      </c>
      <c r="J6" s="17"/>
      <c r="K6" s="17">
        <v>15421</v>
      </c>
      <c r="L6" s="17">
        <v>523</v>
      </c>
      <c r="M6" s="17">
        <v>917</v>
      </c>
      <c r="N6" s="17">
        <v>104</v>
      </c>
      <c r="O6" s="17">
        <v>164</v>
      </c>
      <c r="P6" s="17">
        <v>13</v>
      </c>
      <c r="Q6" s="17">
        <v>117</v>
      </c>
      <c r="R6" s="24">
        <v>156</v>
      </c>
      <c r="S6" s="25"/>
      <c r="T6" s="25"/>
      <c r="U6" s="25">
        <v>471858</v>
      </c>
      <c r="V6" s="25">
        <v>175260</v>
      </c>
      <c r="W6" s="25">
        <v>89456</v>
      </c>
      <c r="X6" s="25"/>
      <c r="Y6" s="25"/>
      <c r="Z6" s="25"/>
      <c r="AA6" s="25"/>
      <c r="AB6" s="24"/>
    </row>
    <row r="7" spans="1:28" s="26" customFormat="1" x14ac:dyDescent="0.25">
      <c r="A7" s="34" t="s">
        <v>4</v>
      </c>
      <c r="B7" s="16"/>
      <c r="C7" s="25">
        <f>86</f>
        <v>86</v>
      </c>
      <c r="D7" s="25">
        <f>36962+5864</f>
        <v>42826</v>
      </c>
      <c r="E7" s="17">
        <v>8348</v>
      </c>
      <c r="F7" s="17">
        <f>2489+140</f>
        <v>2629</v>
      </c>
      <c r="G7" s="17">
        <f>2667+210</f>
        <v>2877</v>
      </c>
      <c r="H7" s="17">
        <f>1252+444</f>
        <v>1696</v>
      </c>
      <c r="I7" s="17">
        <v>1141</v>
      </c>
      <c r="J7" s="17">
        <f>11188+50</f>
        <v>11238</v>
      </c>
      <c r="K7" s="17"/>
      <c r="L7" s="17">
        <v>367</v>
      </c>
      <c r="M7" s="17">
        <f>3359</f>
        <v>3359</v>
      </c>
      <c r="N7" s="17">
        <f>419+80</f>
        <v>499</v>
      </c>
      <c r="O7" s="17"/>
      <c r="P7" s="17"/>
      <c r="Q7" s="17"/>
      <c r="R7" s="24"/>
      <c r="S7" s="25">
        <f>300</f>
        <v>300</v>
      </c>
      <c r="T7" s="25">
        <f>45035+120</f>
        <v>45155</v>
      </c>
      <c r="U7" s="25">
        <f>5731413+240629</f>
        <v>5972042</v>
      </c>
      <c r="V7" s="25">
        <f>6099975+326190</f>
        <v>6426165</v>
      </c>
      <c r="W7" s="25">
        <f>10533411+396000</f>
        <v>10929411</v>
      </c>
      <c r="X7" s="25"/>
      <c r="Y7" s="25"/>
      <c r="Z7" s="25"/>
      <c r="AA7" s="25"/>
      <c r="AB7" s="24"/>
    </row>
    <row r="8" spans="1:28" s="26" customFormat="1" x14ac:dyDescent="0.25">
      <c r="A8" s="34" t="s">
        <v>5</v>
      </c>
      <c r="B8" s="16"/>
      <c r="C8" s="25"/>
      <c r="D8" s="25"/>
      <c r="E8" s="17"/>
      <c r="F8" s="17"/>
      <c r="G8" s="17"/>
      <c r="H8" s="17"/>
      <c r="I8" s="17"/>
      <c r="J8" s="17"/>
      <c r="K8" s="17"/>
      <c r="L8" s="17"/>
      <c r="M8" s="17"/>
      <c r="N8" s="17"/>
      <c r="O8" s="17"/>
      <c r="P8" s="17"/>
      <c r="Q8" s="17"/>
      <c r="R8" s="24"/>
      <c r="S8" s="25"/>
      <c r="T8" s="25"/>
      <c r="U8" s="25"/>
      <c r="V8" s="25"/>
      <c r="W8" s="25"/>
      <c r="X8" s="25"/>
      <c r="Y8" s="25"/>
      <c r="Z8" s="25"/>
      <c r="AA8" s="25"/>
      <c r="AB8" s="24"/>
    </row>
    <row r="9" spans="1:28" s="26" customFormat="1" x14ac:dyDescent="0.25">
      <c r="A9" s="34" t="s">
        <v>6</v>
      </c>
      <c r="B9" s="16"/>
      <c r="C9" s="25"/>
      <c r="D9" s="25"/>
      <c r="E9" s="17"/>
      <c r="F9" s="17"/>
      <c r="G9" s="17"/>
      <c r="H9" s="17"/>
      <c r="I9" s="17"/>
      <c r="J9" s="17"/>
      <c r="K9" s="17"/>
      <c r="L9" s="17"/>
      <c r="M9" s="17"/>
      <c r="N9" s="17"/>
      <c r="O9" s="17"/>
      <c r="P9" s="17"/>
      <c r="Q9" s="17"/>
      <c r="R9" s="24"/>
      <c r="S9" s="25"/>
      <c r="T9" s="25"/>
      <c r="U9" s="25"/>
      <c r="V9" s="25"/>
      <c r="W9" s="25"/>
      <c r="X9" s="25"/>
      <c r="Y9" s="25">
        <v>1281</v>
      </c>
      <c r="Z9" s="25">
        <v>2890</v>
      </c>
      <c r="AA9" s="25">
        <v>221</v>
      </c>
      <c r="AB9" s="24">
        <v>471</v>
      </c>
    </row>
    <row r="10" spans="1:28" s="26" customFormat="1" x14ac:dyDescent="0.25">
      <c r="A10" s="35" t="s">
        <v>7</v>
      </c>
      <c r="B10" s="19">
        <f t="shared" ref="B10:AB10" si="0">SUM(B2:B9)</f>
        <v>43</v>
      </c>
      <c r="C10" s="21">
        <f t="shared" si="0"/>
        <v>86</v>
      </c>
      <c r="D10" s="21">
        <f t="shared" si="0"/>
        <v>42826</v>
      </c>
      <c r="E10" s="19">
        <f t="shared" si="0"/>
        <v>8348</v>
      </c>
      <c r="F10" s="19">
        <f t="shared" si="0"/>
        <v>2629</v>
      </c>
      <c r="G10" s="19">
        <f t="shared" si="0"/>
        <v>2877</v>
      </c>
      <c r="H10" s="19">
        <f t="shared" si="0"/>
        <v>1696</v>
      </c>
      <c r="I10" s="19">
        <f t="shared" si="0"/>
        <v>6771</v>
      </c>
      <c r="J10" s="19">
        <f t="shared" si="0"/>
        <v>11238</v>
      </c>
      <c r="K10" s="19">
        <f t="shared" si="0"/>
        <v>15421</v>
      </c>
      <c r="L10" s="19">
        <f t="shared" si="0"/>
        <v>890</v>
      </c>
      <c r="M10" s="19">
        <f t="shared" si="0"/>
        <v>4276</v>
      </c>
      <c r="N10" s="19">
        <f t="shared" si="0"/>
        <v>603</v>
      </c>
      <c r="O10" s="19">
        <f t="shared" si="0"/>
        <v>164</v>
      </c>
      <c r="P10" s="19">
        <f t="shared" si="0"/>
        <v>13</v>
      </c>
      <c r="Q10" s="19">
        <f t="shared" si="0"/>
        <v>117</v>
      </c>
      <c r="R10" s="20">
        <f t="shared" si="0"/>
        <v>156</v>
      </c>
      <c r="S10" s="21">
        <f t="shared" si="0"/>
        <v>300</v>
      </c>
      <c r="T10" s="21">
        <f t="shared" si="0"/>
        <v>45155</v>
      </c>
      <c r="U10" s="21">
        <f t="shared" si="0"/>
        <v>6443900</v>
      </c>
      <c r="V10" s="21">
        <f t="shared" si="0"/>
        <v>6601425</v>
      </c>
      <c r="W10" s="21">
        <f t="shared" si="0"/>
        <v>11018867</v>
      </c>
      <c r="X10" s="21">
        <f t="shared" si="0"/>
        <v>12827</v>
      </c>
      <c r="Y10" s="21">
        <f t="shared" si="0"/>
        <v>1281</v>
      </c>
      <c r="Z10" s="21">
        <f t="shared" si="0"/>
        <v>2890</v>
      </c>
      <c r="AA10" s="21">
        <f t="shared" si="0"/>
        <v>221</v>
      </c>
      <c r="AB10" s="20">
        <f t="shared" si="0"/>
        <v>471</v>
      </c>
    </row>
    <row r="11" spans="1:28" s="26" customFormat="1" x14ac:dyDescent="0.25">
      <c r="A11" s="34" t="s">
        <v>8</v>
      </c>
      <c r="B11" s="16"/>
      <c r="C11" s="23"/>
      <c r="D11" s="23"/>
      <c r="E11" s="16"/>
      <c r="F11" s="16"/>
      <c r="G11" s="16"/>
      <c r="H11" s="16"/>
      <c r="I11" s="16"/>
      <c r="J11" s="16"/>
      <c r="K11" s="16"/>
      <c r="L11" s="16"/>
      <c r="M11" s="16"/>
      <c r="N11" s="16"/>
      <c r="O11" s="16"/>
      <c r="P11" s="16"/>
      <c r="Q11" s="16"/>
      <c r="R11" s="22"/>
      <c r="S11" s="23"/>
      <c r="T11" s="23"/>
      <c r="U11" s="23"/>
      <c r="V11" s="23"/>
      <c r="W11" s="23"/>
      <c r="X11" s="23"/>
      <c r="Y11" s="23"/>
      <c r="Z11" s="23"/>
      <c r="AA11" s="23"/>
      <c r="AB11" s="22"/>
    </row>
    <row r="12" spans="1:28" s="26" customFormat="1" x14ac:dyDescent="0.25">
      <c r="A12" s="34" t="s">
        <v>9</v>
      </c>
      <c r="B12" s="16"/>
      <c r="C12" s="23"/>
      <c r="D12" s="23"/>
      <c r="E12" s="16"/>
      <c r="F12" s="16"/>
      <c r="G12" s="16"/>
      <c r="H12" s="16"/>
      <c r="I12" s="16"/>
      <c r="J12" s="16"/>
      <c r="K12" s="16"/>
      <c r="L12" s="16"/>
      <c r="M12" s="16"/>
      <c r="N12" s="16"/>
      <c r="O12" s="16"/>
      <c r="P12" s="16"/>
      <c r="Q12" s="16"/>
      <c r="R12" s="22"/>
      <c r="S12" s="23"/>
      <c r="T12" s="23"/>
      <c r="U12" s="23"/>
      <c r="V12" s="23"/>
      <c r="W12" s="23"/>
      <c r="X12" s="23"/>
      <c r="Y12" s="23"/>
      <c r="Z12" s="23"/>
      <c r="AA12" s="23"/>
      <c r="AB12" s="22"/>
    </row>
    <row r="13" spans="1:28" s="26" customFormat="1" x14ac:dyDescent="0.25">
      <c r="A13" s="34" t="s">
        <v>164</v>
      </c>
      <c r="B13" s="16"/>
      <c r="C13" s="23"/>
      <c r="D13" s="23"/>
      <c r="E13" s="16"/>
      <c r="F13" s="16"/>
      <c r="G13" s="16"/>
      <c r="H13" s="16"/>
      <c r="I13" s="16"/>
      <c r="J13" s="16"/>
      <c r="K13" s="16"/>
      <c r="L13" s="16"/>
      <c r="M13" s="16"/>
      <c r="N13" s="16"/>
      <c r="O13" s="16"/>
      <c r="P13" s="16"/>
      <c r="Q13" s="16"/>
      <c r="R13" s="22"/>
      <c r="S13" s="23"/>
      <c r="T13" s="23"/>
      <c r="U13" s="23"/>
      <c r="V13" s="23"/>
      <c r="W13" s="23"/>
      <c r="X13" s="23">
        <v>34264</v>
      </c>
      <c r="Y13" s="23"/>
      <c r="Z13" s="23"/>
      <c r="AA13" s="23"/>
      <c r="AB13" s="22"/>
    </row>
    <row r="14" spans="1:28" s="26" customFormat="1" x14ac:dyDescent="0.25">
      <c r="A14" s="34" t="s">
        <v>10</v>
      </c>
      <c r="B14" s="16">
        <v>105</v>
      </c>
      <c r="C14" s="23"/>
      <c r="D14" s="23"/>
      <c r="E14" s="16"/>
      <c r="F14" s="16">
        <v>62</v>
      </c>
      <c r="G14" s="16"/>
      <c r="H14" s="16"/>
      <c r="I14" s="16">
        <v>635</v>
      </c>
      <c r="J14" s="16"/>
      <c r="K14" s="16">
        <v>6941</v>
      </c>
      <c r="L14" s="16">
        <v>316</v>
      </c>
      <c r="M14" s="16">
        <v>1009</v>
      </c>
      <c r="N14" s="16">
        <v>166</v>
      </c>
      <c r="O14" s="16">
        <v>462</v>
      </c>
      <c r="P14" s="16">
        <v>28</v>
      </c>
      <c r="Q14" s="16">
        <v>56</v>
      </c>
      <c r="R14" s="22">
        <v>772</v>
      </c>
      <c r="S14" s="23"/>
      <c r="T14" s="23"/>
      <c r="U14" s="23">
        <v>298851</v>
      </c>
      <c r="V14" s="23">
        <v>58700</v>
      </c>
      <c r="W14" s="23">
        <v>84000</v>
      </c>
      <c r="X14" s="23"/>
      <c r="Y14" s="23"/>
      <c r="Z14" s="23"/>
      <c r="AA14" s="23"/>
      <c r="AB14" s="22"/>
    </row>
    <row r="15" spans="1:28" s="26" customFormat="1" x14ac:dyDescent="0.25">
      <c r="A15" s="34" t="s">
        <v>11</v>
      </c>
      <c r="B15" s="16"/>
      <c r="C15" s="23">
        <v>34</v>
      </c>
      <c r="D15" s="23">
        <f>9015+70</f>
        <v>9085</v>
      </c>
      <c r="E15" s="16">
        <v>75</v>
      </c>
      <c r="F15" s="16">
        <f>1842+77</f>
        <v>1919</v>
      </c>
      <c r="G15" s="16">
        <f>1072+100</f>
        <v>1172</v>
      </c>
      <c r="H15" s="16">
        <f>387+45</f>
        <v>432</v>
      </c>
      <c r="I15" s="16">
        <v>600</v>
      </c>
      <c r="J15" s="16">
        <f>14115+162</f>
        <v>14277</v>
      </c>
      <c r="K15" s="16"/>
      <c r="L15" s="16">
        <v>247</v>
      </c>
      <c r="M15" s="16">
        <v>2305</v>
      </c>
      <c r="N15" s="16">
        <v>0</v>
      </c>
      <c r="O15" s="16"/>
      <c r="P15" s="16"/>
      <c r="Q15" s="16"/>
      <c r="R15" s="22"/>
      <c r="S15" s="23">
        <v>120</v>
      </c>
      <c r="T15" s="23">
        <v>44954</v>
      </c>
      <c r="U15" s="23">
        <f>4364618+28000</f>
        <v>4392618</v>
      </c>
      <c r="V15" s="23">
        <f>8956491+19000</f>
        <v>8975491</v>
      </c>
      <c r="W15" s="23">
        <f>5896220+8200</f>
        <v>5904420</v>
      </c>
      <c r="X15" s="23"/>
      <c r="Y15" s="23"/>
      <c r="Z15" s="23"/>
      <c r="AA15" s="23"/>
      <c r="AB15" s="22"/>
    </row>
    <row r="16" spans="1:28" s="26" customFormat="1" x14ac:dyDescent="0.25">
      <c r="A16" s="34" t="s">
        <v>12</v>
      </c>
      <c r="B16" s="16"/>
      <c r="C16" s="23"/>
      <c r="D16" s="23"/>
      <c r="E16" s="16"/>
      <c r="F16" s="16"/>
      <c r="G16" s="16"/>
      <c r="H16" s="16"/>
      <c r="I16" s="16"/>
      <c r="J16" s="16"/>
      <c r="K16" s="16"/>
      <c r="L16" s="16"/>
      <c r="M16" s="16"/>
      <c r="N16" s="16"/>
      <c r="O16" s="16"/>
      <c r="P16" s="16"/>
      <c r="Q16" s="16"/>
      <c r="R16" s="22"/>
      <c r="S16" s="23"/>
      <c r="T16" s="23"/>
      <c r="U16" s="23"/>
      <c r="V16" s="23"/>
      <c r="W16" s="23"/>
      <c r="X16" s="23"/>
      <c r="Y16" s="23"/>
      <c r="Z16" s="23"/>
      <c r="AA16" s="23"/>
      <c r="AB16" s="22"/>
    </row>
    <row r="17" spans="1:28" s="26" customFormat="1" x14ac:dyDescent="0.25">
      <c r="A17" s="34" t="s">
        <v>13</v>
      </c>
      <c r="B17" s="16"/>
      <c r="C17" s="23"/>
      <c r="D17" s="23"/>
      <c r="E17" s="16"/>
      <c r="F17" s="16"/>
      <c r="G17" s="16"/>
      <c r="H17" s="16"/>
      <c r="I17" s="16"/>
      <c r="J17" s="16"/>
      <c r="K17" s="16"/>
      <c r="L17" s="16"/>
      <c r="M17" s="16"/>
      <c r="N17" s="16"/>
      <c r="O17" s="16"/>
      <c r="P17" s="16"/>
      <c r="Q17" s="16"/>
      <c r="R17" s="22"/>
      <c r="S17" s="23"/>
      <c r="T17" s="23"/>
      <c r="U17" s="23"/>
      <c r="V17" s="23"/>
      <c r="W17" s="23"/>
      <c r="X17" s="23"/>
      <c r="Y17" s="23">
        <v>66</v>
      </c>
      <c r="Z17" s="23">
        <v>192</v>
      </c>
      <c r="AA17" s="23">
        <v>9</v>
      </c>
      <c r="AB17" s="22">
        <v>327</v>
      </c>
    </row>
    <row r="18" spans="1:28" s="26" customFormat="1" x14ac:dyDescent="0.25">
      <c r="A18" s="35" t="s">
        <v>14</v>
      </c>
      <c r="B18" s="19">
        <f t="shared" ref="B18:AB18" si="1">SUM(B11:B17)</f>
        <v>105</v>
      </c>
      <c r="C18" s="21">
        <f t="shared" si="1"/>
        <v>34</v>
      </c>
      <c r="D18" s="21">
        <f t="shared" si="1"/>
        <v>9085</v>
      </c>
      <c r="E18" s="19">
        <f t="shared" si="1"/>
        <v>75</v>
      </c>
      <c r="F18" s="19">
        <f t="shared" si="1"/>
        <v>1981</v>
      </c>
      <c r="G18" s="19">
        <f t="shared" si="1"/>
        <v>1172</v>
      </c>
      <c r="H18" s="19">
        <f t="shared" si="1"/>
        <v>432</v>
      </c>
      <c r="I18" s="19">
        <f t="shared" si="1"/>
        <v>1235</v>
      </c>
      <c r="J18" s="19">
        <f t="shared" si="1"/>
        <v>14277</v>
      </c>
      <c r="K18" s="19">
        <f t="shared" si="1"/>
        <v>6941</v>
      </c>
      <c r="L18" s="19">
        <f t="shared" si="1"/>
        <v>563</v>
      </c>
      <c r="M18" s="19">
        <f t="shared" si="1"/>
        <v>3314</v>
      </c>
      <c r="N18" s="19">
        <f t="shared" si="1"/>
        <v>166</v>
      </c>
      <c r="O18" s="19">
        <f t="shared" si="1"/>
        <v>462</v>
      </c>
      <c r="P18" s="19">
        <f t="shared" si="1"/>
        <v>28</v>
      </c>
      <c r="Q18" s="19">
        <f t="shared" si="1"/>
        <v>56</v>
      </c>
      <c r="R18" s="20">
        <f t="shared" si="1"/>
        <v>772</v>
      </c>
      <c r="S18" s="21">
        <f t="shared" si="1"/>
        <v>120</v>
      </c>
      <c r="T18" s="21">
        <f t="shared" si="1"/>
        <v>44954</v>
      </c>
      <c r="U18" s="21">
        <f t="shared" si="1"/>
        <v>4691469</v>
      </c>
      <c r="V18" s="21">
        <f t="shared" si="1"/>
        <v>9034191</v>
      </c>
      <c r="W18" s="21">
        <f t="shared" si="1"/>
        <v>5988420</v>
      </c>
      <c r="X18" s="21">
        <f t="shared" si="1"/>
        <v>34264</v>
      </c>
      <c r="Y18" s="21">
        <f t="shared" si="1"/>
        <v>66</v>
      </c>
      <c r="Z18" s="21">
        <f t="shared" si="1"/>
        <v>192</v>
      </c>
      <c r="AA18" s="21">
        <f t="shared" si="1"/>
        <v>9</v>
      </c>
      <c r="AB18" s="20">
        <f t="shared" si="1"/>
        <v>327</v>
      </c>
    </row>
    <row r="19" spans="1:28" x14ac:dyDescent="0.25">
      <c r="A19" s="35" t="s">
        <v>15</v>
      </c>
      <c r="B19" s="19">
        <f t="shared" ref="B19:AB19" si="2">SUM(B10,B18)</f>
        <v>148</v>
      </c>
      <c r="C19" s="21">
        <f t="shared" si="2"/>
        <v>120</v>
      </c>
      <c r="D19" s="21">
        <f t="shared" si="2"/>
        <v>51911</v>
      </c>
      <c r="E19" s="19">
        <f t="shared" si="2"/>
        <v>8423</v>
      </c>
      <c r="F19" s="19">
        <f t="shared" si="2"/>
        <v>4610</v>
      </c>
      <c r="G19" s="19">
        <f t="shared" si="2"/>
        <v>4049</v>
      </c>
      <c r="H19" s="19">
        <f t="shared" si="2"/>
        <v>2128</v>
      </c>
      <c r="I19" s="19">
        <f t="shared" si="2"/>
        <v>8006</v>
      </c>
      <c r="J19" s="19">
        <f t="shared" si="2"/>
        <v>25515</v>
      </c>
      <c r="K19" s="19">
        <f t="shared" si="2"/>
        <v>22362</v>
      </c>
      <c r="L19" s="19">
        <f t="shared" si="2"/>
        <v>1453</v>
      </c>
      <c r="M19" s="19">
        <f t="shared" si="2"/>
        <v>7590</v>
      </c>
      <c r="N19" s="19">
        <f t="shared" si="2"/>
        <v>769</v>
      </c>
      <c r="O19" s="19">
        <f t="shared" si="2"/>
        <v>626</v>
      </c>
      <c r="P19" s="19">
        <f t="shared" si="2"/>
        <v>41</v>
      </c>
      <c r="Q19" s="19">
        <f t="shared" si="2"/>
        <v>173</v>
      </c>
      <c r="R19" s="20">
        <f t="shared" si="2"/>
        <v>928</v>
      </c>
      <c r="S19" s="21">
        <f t="shared" si="2"/>
        <v>420</v>
      </c>
      <c r="T19" s="21">
        <f t="shared" si="2"/>
        <v>90109</v>
      </c>
      <c r="U19" s="21">
        <f t="shared" si="2"/>
        <v>11135369</v>
      </c>
      <c r="V19" s="21">
        <f t="shared" si="2"/>
        <v>15635616</v>
      </c>
      <c r="W19" s="21">
        <f t="shared" si="2"/>
        <v>17007287</v>
      </c>
      <c r="X19" s="21">
        <f t="shared" si="2"/>
        <v>47091</v>
      </c>
      <c r="Y19" s="21">
        <f t="shared" si="2"/>
        <v>1347</v>
      </c>
      <c r="Z19" s="21">
        <f t="shared" si="2"/>
        <v>3082</v>
      </c>
      <c r="AA19" s="21">
        <f t="shared" si="2"/>
        <v>230</v>
      </c>
      <c r="AB19" s="20">
        <f t="shared" si="2"/>
        <v>798</v>
      </c>
    </row>
    <row r="20" spans="1:28" x14ac:dyDescent="0.25">
      <c r="B20" s="44"/>
      <c r="C20" s="44"/>
      <c r="D20" s="44"/>
      <c r="E20" s="44"/>
      <c r="F20" s="44"/>
      <c r="G20" s="44"/>
      <c r="H20" s="44"/>
      <c r="I20" s="44"/>
      <c r="J20" s="44"/>
      <c r="K20" s="44"/>
      <c r="L20" s="44"/>
      <c r="M20" s="44"/>
      <c r="N20" s="44"/>
      <c r="O20" s="44"/>
      <c r="P20" s="44"/>
      <c r="Q20" s="44"/>
      <c r="R20" s="44"/>
      <c r="S20" s="44"/>
      <c r="T20" s="44"/>
      <c r="U20" s="44"/>
      <c r="V20" s="44"/>
      <c r="W20" s="44"/>
      <c r="X20" s="44"/>
      <c r="Y20" s="44"/>
      <c r="Z20" s="44"/>
      <c r="AA20" s="44"/>
      <c r="AB20" s="44"/>
    </row>
  </sheetData>
  <sheetProtection formatCells="0" formatColumns="0" formatRows="0" insertColumns="0" insertRows="0" sort="0" autoFilter="0" pivotTables="0"/>
  <dataValidations count="1">
    <dataValidation type="list" errorStyle="information" allowBlank="1" showInputMessage="1" showErrorMessage="1" sqref="B1:AB1" xr:uid="{9A179A44-CE05-48B6-82F2-A6CB82D99F6A}">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C02CB80A-74DD-476A-8CF4-8FDF1509245D}">
          <x14:formula1>
            <xm:f>'Term List'!$A2:$A242</xm:f>
          </x14:formula1>
          <xm:sqref>AC1:XFD1</xm:sqref>
        </x14:dataValidation>
      </x14:dataValidations>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6EA73-7CC2-4F98-AA20-3DDB8B19BD15}">
  <sheetPr codeName="Sheet23"/>
  <dimension ref="A1:N20"/>
  <sheetViews>
    <sheetView workbookViewId="0">
      <pane xSplit="1" ySplit="1" topLeftCell="E2" activePane="bottomRight" state="frozen"/>
      <selection activeCell="B3" sqref="B3"/>
      <selection pane="topRight" activeCell="B3" sqref="B3"/>
      <selection pane="bottomLeft" activeCell="B3" sqref="B3"/>
      <selection pane="bottomRight" activeCell="A2" sqref="A2"/>
    </sheetView>
  </sheetViews>
  <sheetFormatPr defaultRowHeight="15" x14ac:dyDescent="0.25"/>
  <cols>
    <col min="1" max="1" width="35.7109375" style="6" bestFit="1" customWidth="1"/>
    <col min="2" max="2" width="11.85546875" style="5" bestFit="1" customWidth="1"/>
    <col min="3" max="3" width="13.85546875" style="5" bestFit="1" customWidth="1"/>
    <col min="4" max="4" width="14" style="5" bestFit="1" customWidth="1"/>
    <col min="5" max="5" width="12.140625" style="5" bestFit="1" customWidth="1"/>
    <col min="6" max="6" width="11.85546875" style="5" bestFit="1" customWidth="1"/>
    <col min="7" max="7" width="13.140625" style="5" bestFit="1" customWidth="1"/>
    <col min="8" max="8" width="10.85546875" style="5" bestFit="1" customWidth="1"/>
    <col min="9" max="9" width="9.28515625" style="5" bestFit="1" customWidth="1"/>
    <col min="10" max="10" width="12.85546875" style="5" bestFit="1" customWidth="1"/>
    <col min="11" max="11" width="13.5703125" style="5" bestFit="1" customWidth="1"/>
    <col min="12" max="13" width="8.5703125" style="5" bestFit="1" customWidth="1"/>
    <col min="14" max="14" width="11.5703125" style="5" bestFit="1" customWidth="1"/>
    <col min="15" max="16384" width="9.140625" style="3"/>
  </cols>
  <sheetData>
    <row r="1" spans="1:14" s="14" customFormat="1" ht="30" x14ac:dyDescent="0.25">
      <c r="A1" s="31" t="s">
        <v>578</v>
      </c>
      <c r="B1" s="31" t="s">
        <v>155</v>
      </c>
      <c r="C1" s="31" t="s">
        <v>156</v>
      </c>
      <c r="D1" s="31" t="s">
        <v>154</v>
      </c>
      <c r="E1" s="31" t="s">
        <v>150</v>
      </c>
      <c r="F1" s="31" t="s">
        <v>148</v>
      </c>
      <c r="G1" s="31" t="s">
        <v>314</v>
      </c>
      <c r="H1" s="31" t="s">
        <v>149</v>
      </c>
      <c r="I1" s="31" t="s">
        <v>139</v>
      </c>
      <c r="J1" s="31" t="s">
        <v>130</v>
      </c>
      <c r="K1" s="31" t="s">
        <v>132</v>
      </c>
      <c r="L1" s="31" t="s">
        <v>142</v>
      </c>
      <c r="M1" s="31" t="s">
        <v>144</v>
      </c>
      <c r="N1" s="31" t="s">
        <v>124</v>
      </c>
    </row>
    <row r="2" spans="1:14" s="26" customFormat="1" x14ac:dyDescent="0.25">
      <c r="A2" s="34" t="s">
        <v>0</v>
      </c>
      <c r="B2" s="16">
        <v>53141</v>
      </c>
      <c r="C2" s="17">
        <v>5732</v>
      </c>
      <c r="D2" s="17">
        <v>464</v>
      </c>
      <c r="E2" s="17">
        <v>10721</v>
      </c>
      <c r="F2" s="17">
        <v>368</v>
      </c>
      <c r="G2" s="17">
        <v>0</v>
      </c>
      <c r="H2" s="17">
        <v>0</v>
      </c>
      <c r="I2" s="17">
        <v>0</v>
      </c>
      <c r="J2" s="17">
        <v>482</v>
      </c>
      <c r="K2" s="17">
        <v>182</v>
      </c>
      <c r="L2" s="17">
        <v>1970</v>
      </c>
      <c r="M2" s="17">
        <v>84</v>
      </c>
      <c r="N2" s="17">
        <v>16253333</v>
      </c>
    </row>
    <row r="3" spans="1:14" s="26" customFormat="1" x14ac:dyDescent="0.25">
      <c r="A3" s="34" t="s">
        <v>1</v>
      </c>
      <c r="B3" s="16">
        <v>2970</v>
      </c>
      <c r="C3" s="17">
        <v>524</v>
      </c>
      <c r="D3" s="17">
        <v>481</v>
      </c>
      <c r="E3" s="17">
        <v>587</v>
      </c>
      <c r="F3" s="17">
        <v>223</v>
      </c>
      <c r="G3" s="17">
        <v>0</v>
      </c>
      <c r="H3" s="17">
        <v>0</v>
      </c>
      <c r="I3" s="17">
        <v>0</v>
      </c>
      <c r="J3" s="17">
        <v>279</v>
      </c>
      <c r="K3" s="17">
        <v>78</v>
      </c>
      <c r="L3" s="17">
        <v>47</v>
      </c>
      <c r="M3" s="17">
        <v>10</v>
      </c>
      <c r="N3" s="17">
        <v>132232</v>
      </c>
    </row>
    <row r="4" spans="1:14" s="26" customFormat="1" x14ac:dyDescent="0.25">
      <c r="A4" s="34" t="s">
        <v>169</v>
      </c>
      <c r="B4" s="16"/>
      <c r="C4" s="17"/>
      <c r="D4" s="17"/>
      <c r="E4" s="17"/>
      <c r="F4" s="17"/>
      <c r="G4" s="17"/>
      <c r="H4" s="17"/>
      <c r="I4" s="17"/>
      <c r="J4" s="17"/>
      <c r="K4" s="17"/>
      <c r="L4" s="17"/>
      <c r="M4" s="17"/>
      <c r="N4" s="17"/>
    </row>
    <row r="5" spans="1:14" s="26" customFormat="1" x14ac:dyDescent="0.25">
      <c r="A5" s="34" t="s">
        <v>2</v>
      </c>
      <c r="B5" s="16"/>
      <c r="C5" s="17"/>
      <c r="D5" s="17"/>
      <c r="E5" s="17"/>
      <c r="F5" s="17"/>
      <c r="G5" s="17"/>
      <c r="H5" s="17"/>
      <c r="I5" s="17"/>
      <c r="J5" s="17"/>
      <c r="K5" s="17"/>
      <c r="L5" s="17"/>
      <c r="M5" s="17"/>
      <c r="N5" s="17"/>
    </row>
    <row r="6" spans="1:14" s="26" customFormat="1" x14ac:dyDescent="0.25">
      <c r="A6" s="34" t="s">
        <v>3</v>
      </c>
      <c r="B6" s="16">
        <v>211</v>
      </c>
      <c r="C6" s="17">
        <v>27</v>
      </c>
      <c r="D6" s="17">
        <v>1237</v>
      </c>
      <c r="E6" s="17">
        <v>3361</v>
      </c>
      <c r="F6" s="17">
        <v>293</v>
      </c>
      <c r="G6" s="17">
        <v>0</v>
      </c>
      <c r="H6" s="17">
        <v>0</v>
      </c>
      <c r="I6" s="17">
        <v>108</v>
      </c>
      <c r="J6" s="17">
        <v>0</v>
      </c>
      <c r="K6" s="17">
        <v>0</v>
      </c>
      <c r="L6" s="17">
        <v>2</v>
      </c>
      <c r="M6" s="17"/>
      <c r="N6" s="17">
        <v>94893</v>
      </c>
    </row>
    <row r="7" spans="1:14" s="26" customFormat="1" x14ac:dyDescent="0.25">
      <c r="A7" s="34" t="s">
        <v>4</v>
      </c>
      <c r="B7" s="16">
        <v>469</v>
      </c>
      <c r="C7" s="17">
        <v>87</v>
      </c>
      <c r="D7" s="17">
        <v>79</v>
      </c>
      <c r="E7" s="17">
        <v>2910</v>
      </c>
      <c r="F7" s="17">
        <v>0</v>
      </c>
      <c r="G7" s="17">
        <v>0</v>
      </c>
      <c r="H7" s="17">
        <v>0</v>
      </c>
      <c r="I7" s="17">
        <v>7</v>
      </c>
      <c r="J7" s="17">
        <v>12</v>
      </c>
      <c r="K7" s="17">
        <v>0</v>
      </c>
      <c r="L7" s="17">
        <v>404</v>
      </c>
      <c r="M7" s="17">
        <v>38</v>
      </c>
      <c r="N7" s="17">
        <v>984582</v>
      </c>
    </row>
    <row r="8" spans="1:14" s="26" customFormat="1" x14ac:dyDescent="0.25">
      <c r="A8" s="34" t="s">
        <v>5</v>
      </c>
      <c r="B8" s="16">
        <v>0</v>
      </c>
      <c r="C8" s="17">
        <v>0</v>
      </c>
      <c r="D8" s="17">
        <v>0</v>
      </c>
      <c r="E8" s="17">
        <v>291</v>
      </c>
      <c r="F8" s="17">
        <v>38</v>
      </c>
      <c r="G8" s="17">
        <v>133</v>
      </c>
      <c r="H8" s="17">
        <v>167</v>
      </c>
      <c r="I8" s="17">
        <v>0</v>
      </c>
      <c r="J8" s="17">
        <v>0</v>
      </c>
      <c r="K8" s="17">
        <v>0</v>
      </c>
      <c r="L8" s="17">
        <v>0</v>
      </c>
      <c r="M8" s="17">
        <v>0</v>
      </c>
      <c r="N8" s="17">
        <v>0</v>
      </c>
    </row>
    <row r="9" spans="1:14" s="26" customFormat="1" x14ac:dyDescent="0.25">
      <c r="A9" s="34" t="s">
        <v>6</v>
      </c>
      <c r="B9" s="16"/>
      <c r="C9" s="17"/>
      <c r="D9" s="17"/>
      <c r="E9" s="17"/>
      <c r="F9" s="17"/>
      <c r="G9" s="17"/>
      <c r="H9" s="17"/>
      <c r="I9" s="17"/>
      <c r="J9" s="17"/>
      <c r="K9" s="17"/>
      <c r="L9" s="17"/>
      <c r="M9" s="17"/>
      <c r="N9" s="17"/>
    </row>
    <row r="10" spans="1:14" s="26" customFormat="1" x14ac:dyDescent="0.25">
      <c r="A10" s="35" t="s">
        <v>7</v>
      </c>
      <c r="B10" s="19">
        <f t="shared" ref="B10:N10" si="0">SUM(B2:B9)</f>
        <v>56791</v>
      </c>
      <c r="C10" s="19">
        <f t="shared" si="0"/>
        <v>6370</v>
      </c>
      <c r="D10" s="19">
        <f t="shared" si="0"/>
        <v>2261</v>
      </c>
      <c r="E10" s="19">
        <f t="shared" si="0"/>
        <v>17870</v>
      </c>
      <c r="F10" s="19">
        <f t="shared" si="0"/>
        <v>922</v>
      </c>
      <c r="G10" s="19">
        <f t="shared" si="0"/>
        <v>133</v>
      </c>
      <c r="H10" s="19">
        <f t="shared" si="0"/>
        <v>167</v>
      </c>
      <c r="I10" s="19">
        <f t="shared" si="0"/>
        <v>115</v>
      </c>
      <c r="J10" s="19">
        <f t="shared" si="0"/>
        <v>773</v>
      </c>
      <c r="K10" s="19">
        <f t="shared" si="0"/>
        <v>260</v>
      </c>
      <c r="L10" s="19">
        <f t="shared" si="0"/>
        <v>2423</v>
      </c>
      <c r="M10" s="19">
        <f t="shared" si="0"/>
        <v>132</v>
      </c>
      <c r="N10" s="19">
        <f t="shared" si="0"/>
        <v>17465040</v>
      </c>
    </row>
    <row r="11" spans="1:14" s="26" customFormat="1" x14ac:dyDescent="0.25">
      <c r="A11" s="34" t="s">
        <v>8</v>
      </c>
      <c r="B11" s="16">
        <v>80916</v>
      </c>
      <c r="C11" s="16">
        <v>11510</v>
      </c>
      <c r="D11" s="16">
        <v>1401</v>
      </c>
      <c r="E11" s="16">
        <v>20336</v>
      </c>
      <c r="F11" s="16">
        <v>345</v>
      </c>
      <c r="G11" s="16">
        <v>0</v>
      </c>
      <c r="H11" s="16">
        <v>0</v>
      </c>
      <c r="I11" s="16">
        <v>12</v>
      </c>
      <c r="J11" s="16">
        <v>1309</v>
      </c>
      <c r="K11" s="16">
        <v>55</v>
      </c>
      <c r="L11" s="16">
        <v>4734</v>
      </c>
      <c r="M11" s="16">
        <v>141</v>
      </c>
      <c r="N11" s="16">
        <v>6644209</v>
      </c>
    </row>
    <row r="12" spans="1:14" s="26" customFormat="1" x14ac:dyDescent="0.25">
      <c r="A12" s="34" t="s">
        <v>9</v>
      </c>
      <c r="B12" s="16">
        <v>0</v>
      </c>
      <c r="C12" s="16">
        <v>0</v>
      </c>
      <c r="D12" s="16">
        <v>0</v>
      </c>
      <c r="E12" s="16">
        <v>159</v>
      </c>
      <c r="F12" s="16">
        <v>2</v>
      </c>
      <c r="G12" s="16">
        <v>0</v>
      </c>
      <c r="H12" s="16">
        <v>0</v>
      </c>
      <c r="I12" s="16">
        <v>0</v>
      </c>
      <c r="J12" s="16">
        <v>0</v>
      </c>
      <c r="K12" s="16">
        <v>0</v>
      </c>
      <c r="L12" s="16">
        <v>0</v>
      </c>
      <c r="M12" s="16">
        <v>0</v>
      </c>
      <c r="N12" s="16">
        <v>17147</v>
      </c>
    </row>
    <row r="13" spans="1:14" s="26" customFormat="1" x14ac:dyDescent="0.25">
      <c r="A13" s="34" t="s">
        <v>164</v>
      </c>
      <c r="B13" s="16"/>
      <c r="C13" s="16"/>
      <c r="D13" s="16"/>
      <c r="E13" s="16"/>
      <c r="F13" s="16"/>
      <c r="G13" s="16"/>
      <c r="H13" s="16"/>
      <c r="I13" s="16"/>
      <c r="J13" s="16"/>
      <c r="K13" s="16"/>
      <c r="L13" s="16"/>
      <c r="M13" s="16"/>
      <c r="N13" s="16"/>
    </row>
    <row r="14" spans="1:14" s="26" customFormat="1" x14ac:dyDescent="0.25">
      <c r="A14" s="34" t="s">
        <v>10</v>
      </c>
      <c r="B14" s="16">
        <v>141</v>
      </c>
      <c r="C14" s="16">
        <v>74</v>
      </c>
      <c r="D14" s="16">
        <v>18</v>
      </c>
      <c r="E14" s="16">
        <v>441</v>
      </c>
      <c r="F14" s="16">
        <v>59</v>
      </c>
      <c r="G14" s="16">
        <v>0</v>
      </c>
      <c r="H14" s="16">
        <v>0</v>
      </c>
      <c r="I14" s="16">
        <v>15</v>
      </c>
      <c r="J14" s="16">
        <v>0</v>
      </c>
      <c r="K14" s="16">
        <v>0</v>
      </c>
      <c r="L14" s="16">
        <v>0</v>
      </c>
      <c r="M14" s="16">
        <v>0</v>
      </c>
      <c r="N14" s="16">
        <v>4581</v>
      </c>
    </row>
    <row r="15" spans="1:14" s="26" customFormat="1" x14ac:dyDescent="0.25">
      <c r="A15" s="34" t="s">
        <v>11</v>
      </c>
      <c r="B15" s="16">
        <v>58</v>
      </c>
      <c r="C15" s="16">
        <v>23</v>
      </c>
      <c r="D15" s="16">
        <v>9</v>
      </c>
      <c r="E15" s="16">
        <v>14405</v>
      </c>
      <c r="F15" s="16">
        <v>0</v>
      </c>
      <c r="G15" s="16">
        <v>0</v>
      </c>
      <c r="H15" s="16">
        <v>0</v>
      </c>
      <c r="I15" s="16">
        <v>329</v>
      </c>
      <c r="J15" s="16">
        <v>46</v>
      </c>
      <c r="K15" s="16">
        <v>0</v>
      </c>
      <c r="L15" s="16">
        <v>0</v>
      </c>
      <c r="M15" s="16">
        <v>15</v>
      </c>
      <c r="N15" s="16">
        <v>6416</v>
      </c>
    </row>
    <row r="16" spans="1:14" s="26" customFormat="1" x14ac:dyDescent="0.25">
      <c r="A16" s="34" t="s">
        <v>12</v>
      </c>
      <c r="B16" s="16"/>
      <c r="C16" s="16"/>
      <c r="D16" s="16"/>
      <c r="E16" s="16"/>
      <c r="F16" s="16"/>
      <c r="G16" s="16"/>
      <c r="H16" s="16"/>
      <c r="I16" s="16"/>
      <c r="J16" s="16"/>
      <c r="K16" s="16"/>
      <c r="L16" s="16"/>
      <c r="M16" s="16"/>
      <c r="N16" s="16"/>
    </row>
    <row r="17" spans="1:14" s="26" customFormat="1" x14ac:dyDescent="0.25">
      <c r="A17" s="34" t="s">
        <v>13</v>
      </c>
      <c r="B17" s="16"/>
      <c r="C17" s="16"/>
      <c r="D17" s="16"/>
      <c r="E17" s="16"/>
      <c r="F17" s="16"/>
      <c r="G17" s="16"/>
      <c r="H17" s="16"/>
      <c r="I17" s="16"/>
      <c r="J17" s="16"/>
      <c r="K17" s="16"/>
      <c r="L17" s="16"/>
      <c r="M17" s="16"/>
      <c r="N17" s="16"/>
    </row>
    <row r="18" spans="1:14" s="26" customFormat="1" x14ac:dyDescent="0.25">
      <c r="A18" s="35" t="s">
        <v>14</v>
      </c>
      <c r="B18" s="19">
        <f t="shared" ref="B18:N18" si="1">SUM(B11:B17)</f>
        <v>81115</v>
      </c>
      <c r="C18" s="19">
        <f t="shared" si="1"/>
        <v>11607</v>
      </c>
      <c r="D18" s="19">
        <f t="shared" si="1"/>
        <v>1428</v>
      </c>
      <c r="E18" s="19">
        <f t="shared" si="1"/>
        <v>35341</v>
      </c>
      <c r="F18" s="19">
        <f t="shared" si="1"/>
        <v>406</v>
      </c>
      <c r="G18" s="19">
        <f t="shared" si="1"/>
        <v>0</v>
      </c>
      <c r="H18" s="19">
        <f t="shared" si="1"/>
        <v>0</v>
      </c>
      <c r="I18" s="19">
        <f t="shared" si="1"/>
        <v>356</v>
      </c>
      <c r="J18" s="19">
        <f t="shared" si="1"/>
        <v>1355</v>
      </c>
      <c r="K18" s="19">
        <f t="shared" si="1"/>
        <v>55</v>
      </c>
      <c r="L18" s="19">
        <f t="shared" si="1"/>
        <v>4734</v>
      </c>
      <c r="M18" s="19">
        <f t="shared" si="1"/>
        <v>156</v>
      </c>
      <c r="N18" s="19">
        <f t="shared" si="1"/>
        <v>6672353</v>
      </c>
    </row>
    <row r="19" spans="1:14" x14ac:dyDescent="0.25">
      <c r="A19" s="35" t="s">
        <v>15</v>
      </c>
      <c r="B19" s="19">
        <f t="shared" ref="B19:N19" si="2">SUM(B10,B18)</f>
        <v>137906</v>
      </c>
      <c r="C19" s="19">
        <f t="shared" si="2"/>
        <v>17977</v>
      </c>
      <c r="D19" s="19">
        <f t="shared" si="2"/>
        <v>3689</v>
      </c>
      <c r="E19" s="19">
        <f t="shared" si="2"/>
        <v>53211</v>
      </c>
      <c r="F19" s="19">
        <f t="shared" si="2"/>
        <v>1328</v>
      </c>
      <c r="G19" s="19">
        <f t="shared" si="2"/>
        <v>133</v>
      </c>
      <c r="H19" s="19">
        <f t="shared" si="2"/>
        <v>167</v>
      </c>
      <c r="I19" s="19">
        <f t="shared" si="2"/>
        <v>471</v>
      </c>
      <c r="J19" s="19">
        <f t="shared" si="2"/>
        <v>2128</v>
      </c>
      <c r="K19" s="19">
        <f t="shared" si="2"/>
        <v>315</v>
      </c>
      <c r="L19" s="19">
        <f t="shared" si="2"/>
        <v>7157</v>
      </c>
      <c r="M19" s="19">
        <f t="shared" si="2"/>
        <v>288</v>
      </c>
      <c r="N19" s="19">
        <f t="shared" si="2"/>
        <v>24137393</v>
      </c>
    </row>
    <row r="20" spans="1:14" x14ac:dyDescent="0.25">
      <c r="B20" s="44"/>
      <c r="C20" s="44"/>
      <c r="D20" s="44"/>
      <c r="E20" s="44"/>
      <c r="F20" s="44"/>
      <c r="G20" s="44"/>
      <c r="H20" s="44"/>
      <c r="I20" s="44"/>
      <c r="J20" s="44"/>
      <c r="K20" s="44"/>
      <c r="L20" s="44"/>
      <c r="M20" s="44"/>
      <c r="N20" s="44"/>
    </row>
  </sheetData>
  <sheetProtection formatCells="0" formatColumns="0" formatRows="0" insertColumns="0" insertRows="0" sort="0" autoFilter="0" pivotTables="0"/>
  <dataValidations count="1">
    <dataValidation type="list" errorStyle="information" allowBlank="1" showInputMessage="1" showErrorMessage="1" sqref="B1:N1" xr:uid="{4CB6E028-5D8B-4A33-BD4A-F403D031FE9A}">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914405B-A3F3-4BF7-B4D3-774CA8C63DE1}">
          <x14:formula1>
            <xm:f>'Term List'!$A2:$A242</xm:f>
          </x14:formula1>
          <xm:sqref>O1:XFD1</xm:sqref>
        </x14:dataValidation>
      </x14:dataValidation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0B56C-F4C9-488F-A12F-90F4EF640625}">
  <sheetPr codeName="Sheet24"/>
  <dimension ref="A1:AA20"/>
  <sheetViews>
    <sheetView workbookViewId="0">
      <pane xSplit="1" ySplit="1" topLeftCell="B2" activePane="bottomRight" state="frozen"/>
      <selection activeCell="B3" sqref="B3"/>
      <selection pane="topRight" activeCell="B3" sqref="B3"/>
      <selection pane="bottomLeft" activeCell="B3" sqref="B3"/>
      <selection pane="bottomRight" activeCell="A2" sqref="A2"/>
    </sheetView>
  </sheetViews>
  <sheetFormatPr defaultColWidth="16" defaultRowHeight="15" x14ac:dyDescent="0.25"/>
  <cols>
    <col min="1" max="1" width="35.7109375" style="6" bestFit="1" customWidth="1"/>
    <col min="2" max="2" width="13.7109375" style="5" bestFit="1" customWidth="1"/>
    <col min="3" max="3" width="13.85546875" style="3" bestFit="1" customWidth="1"/>
    <col min="4" max="4" width="12" style="5" bestFit="1" customWidth="1"/>
    <col min="5" max="5" width="14.28515625" style="5" bestFit="1" customWidth="1"/>
    <col min="6" max="6" width="12" style="5" bestFit="1" customWidth="1"/>
    <col min="7" max="7" width="12.5703125" style="5" bestFit="1" customWidth="1"/>
    <col min="8" max="8" width="11.85546875" style="3" bestFit="1" customWidth="1"/>
    <col min="9" max="9" width="15" style="5" bestFit="1" customWidth="1"/>
    <col min="10" max="11" width="12" style="5" bestFit="1" customWidth="1"/>
    <col min="12" max="12" width="15.7109375" style="5" bestFit="1" customWidth="1"/>
    <col min="13" max="13" width="9.5703125" style="5" bestFit="1" customWidth="1"/>
    <col min="14" max="14" width="13.28515625" style="5" bestFit="1" customWidth="1"/>
    <col min="15" max="15" width="13.140625" style="5" bestFit="1" customWidth="1"/>
    <col min="16" max="16" width="14.140625" style="5" bestFit="1" customWidth="1"/>
    <col min="17" max="17" width="14" style="3" bestFit="1" customWidth="1"/>
    <col min="18" max="19" width="14.7109375" style="3" bestFit="1" customWidth="1"/>
    <col min="20" max="20" width="13.42578125" style="3" bestFit="1" customWidth="1"/>
    <col min="21" max="22" width="10.5703125" style="3" bestFit="1" customWidth="1"/>
    <col min="23" max="23" width="8.5703125" style="3" bestFit="1" customWidth="1"/>
    <col min="24" max="24" width="9.7109375" style="3" bestFit="1" customWidth="1"/>
    <col min="25" max="25" width="15.85546875" style="3" bestFit="1" customWidth="1"/>
    <col min="26" max="26" width="15.28515625" style="3" bestFit="1" customWidth="1"/>
    <col min="27" max="27" width="15.5703125" style="3" bestFit="1" customWidth="1"/>
    <col min="28" max="16384" width="16" style="3"/>
  </cols>
  <sheetData>
    <row r="1" spans="1:27" s="40" customFormat="1" ht="30" x14ac:dyDescent="0.25">
      <c r="A1" s="31" t="s">
        <v>334</v>
      </c>
      <c r="B1" s="31" t="s">
        <v>62</v>
      </c>
      <c r="C1" s="39" t="s">
        <v>57</v>
      </c>
      <c r="D1" s="31" t="s">
        <v>35</v>
      </c>
      <c r="E1" s="31" t="s">
        <v>36</v>
      </c>
      <c r="F1" s="31" t="s">
        <v>39</v>
      </c>
      <c r="G1" s="31" t="s">
        <v>99</v>
      </c>
      <c r="H1" s="39" t="s">
        <v>570</v>
      </c>
      <c r="I1" s="31" t="s">
        <v>571</v>
      </c>
      <c r="J1" s="31" t="s">
        <v>567</v>
      </c>
      <c r="K1" s="31" t="s">
        <v>569</v>
      </c>
      <c r="L1" s="31" t="s">
        <v>572</v>
      </c>
      <c r="M1" s="31" t="s">
        <v>573</v>
      </c>
      <c r="N1" s="31" t="s">
        <v>28</v>
      </c>
      <c r="O1" s="31" t="s">
        <v>89</v>
      </c>
      <c r="P1" s="31" t="s">
        <v>45</v>
      </c>
      <c r="Q1" s="31" t="s">
        <v>53</v>
      </c>
      <c r="R1" s="39" t="s">
        <v>335</v>
      </c>
      <c r="S1" s="39" t="s">
        <v>336</v>
      </c>
      <c r="T1" s="31" t="s">
        <v>75</v>
      </c>
      <c r="U1" s="31" t="s">
        <v>107</v>
      </c>
      <c r="V1" s="39" t="s">
        <v>101</v>
      </c>
      <c r="W1" s="39" t="s">
        <v>65</v>
      </c>
      <c r="X1" s="39" t="s">
        <v>330</v>
      </c>
      <c r="Y1" s="39" t="s">
        <v>331</v>
      </c>
      <c r="Z1" s="39" t="s">
        <v>332</v>
      </c>
      <c r="AA1" s="31" t="s">
        <v>333</v>
      </c>
    </row>
    <row r="2" spans="1:27" s="26" customFormat="1" x14ac:dyDescent="0.25">
      <c r="A2" s="34" t="s">
        <v>0</v>
      </c>
      <c r="B2" s="16"/>
      <c r="C2" s="25"/>
      <c r="D2" s="17"/>
      <c r="E2" s="17"/>
      <c r="F2" s="17"/>
      <c r="G2" s="17"/>
      <c r="H2" s="25"/>
      <c r="I2" s="17"/>
      <c r="J2" s="17"/>
      <c r="K2" s="17"/>
      <c r="L2" s="17"/>
      <c r="M2" s="17"/>
      <c r="N2" s="17"/>
      <c r="O2" s="17"/>
      <c r="P2" s="17"/>
      <c r="Q2" s="24"/>
      <c r="R2" s="25"/>
      <c r="S2" s="25"/>
      <c r="T2" s="25"/>
      <c r="U2" s="25"/>
      <c r="V2" s="25"/>
      <c r="W2" s="25"/>
      <c r="X2" s="25"/>
      <c r="Y2" s="25"/>
      <c r="Z2" s="25"/>
      <c r="AA2" s="24"/>
    </row>
    <row r="3" spans="1:27" s="26" customFormat="1" x14ac:dyDescent="0.25">
      <c r="A3" s="34" t="s">
        <v>1</v>
      </c>
      <c r="B3" s="16"/>
      <c r="C3" s="25"/>
      <c r="D3" s="17"/>
      <c r="E3" s="17"/>
      <c r="F3" s="17"/>
      <c r="G3" s="17"/>
      <c r="H3" s="25"/>
      <c r="I3" s="17"/>
      <c r="J3" s="17"/>
      <c r="K3" s="17"/>
      <c r="L3" s="17"/>
      <c r="M3" s="17"/>
      <c r="N3" s="17"/>
      <c r="O3" s="17"/>
      <c r="P3" s="17"/>
      <c r="Q3" s="24"/>
      <c r="R3" s="25"/>
      <c r="S3" s="25"/>
      <c r="T3" s="25"/>
      <c r="U3" s="25"/>
      <c r="V3" s="25"/>
      <c r="W3" s="25"/>
      <c r="X3" s="25"/>
      <c r="Y3" s="25"/>
      <c r="Z3" s="25"/>
      <c r="AA3" s="24"/>
    </row>
    <row r="4" spans="1:27" s="26" customFormat="1" x14ac:dyDescent="0.25">
      <c r="A4" s="34" t="s">
        <v>169</v>
      </c>
      <c r="B4" s="16"/>
      <c r="C4" s="25"/>
      <c r="D4" s="17"/>
      <c r="E4" s="17"/>
      <c r="F4" s="17"/>
      <c r="G4" s="17"/>
      <c r="H4" s="25"/>
      <c r="I4" s="17"/>
      <c r="J4" s="17"/>
      <c r="K4" s="17"/>
      <c r="L4" s="17"/>
      <c r="M4" s="17"/>
      <c r="N4" s="17"/>
      <c r="O4" s="17"/>
      <c r="P4" s="17"/>
      <c r="Q4" s="24"/>
      <c r="R4" s="25"/>
      <c r="S4" s="25"/>
      <c r="T4" s="25"/>
      <c r="U4" s="25"/>
      <c r="V4" s="25"/>
      <c r="W4" s="25">
        <v>7208</v>
      </c>
      <c r="X4" s="25"/>
      <c r="Y4" s="25"/>
      <c r="Z4" s="25"/>
      <c r="AA4" s="24"/>
    </row>
    <row r="5" spans="1:27" s="26" customFormat="1" x14ac:dyDescent="0.25">
      <c r="A5" s="34" t="s">
        <v>2</v>
      </c>
      <c r="B5" s="16"/>
      <c r="C5" s="25"/>
      <c r="D5" s="17"/>
      <c r="E5" s="17"/>
      <c r="F5" s="17"/>
      <c r="G5" s="17"/>
      <c r="H5" s="25"/>
      <c r="I5" s="17"/>
      <c r="J5" s="17"/>
      <c r="K5" s="17"/>
      <c r="L5" s="17"/>
      <c r="M5" s="17"/>
      <c r="N5" s="17"/>
      <c r="O5" s="17"/>
      <c r="P5" s="17"/>
      <c r="Q5" s="24"/>
      <c r="R5" s="25"/>
      <c r="S5" s="25"/>
      <c r="T5" s="25"/>
      <c r="U5" s="25"/>
      <c r="V5" s="25"/>
      <c r="W5" s="25"/>
      <c r="X5" s="25"/>
      <c r="Y5" s="25"/>
      <c r="Z5" s="25"/>
      <c r="AA5" s="24"/>
    </row>
    <row r="6" spans="1:27" s="26" customFormat="1" x14ac:dyDescent="0.25">
      <c r="A6" s="34" t="s">
        <v>3</v>
      </c>
      <c r="B6" s="16">
        <v>58</v>
      </c>
      <c r="C6" s="25"/>
      <c r="D6" s="17"/>
      <c r="E6" s="17">
        <v>385</v>
      </c>
      <c r="F6" s="17"/>
      <c r="G6" s="17"/>
      <c r="H6" s="25">
        <v>1938</v>
      </c>
      <c r="I6" s="17"/>
      <c r="J6" s="17">
        <v>14982</v>
      </c>
      <c r="K6" s="17">
        <v>224</v>
      </c>
      <c r="L6" s="17">
        <v>687</v>
      </c>
      <c r="M6" s="17">
        <v>90</v>
      </c>
      <c r="N6" s="17">
        <v>171</v>
      </c>
      <c r="O6" s="17">
        <v>101</v>
      </c>
      <c r="P6" s="17">
        <v>24</v>
      </c>
      <c r="Q6" s="24">
        <v>1346</v>
      </c>
      <c r="R6" s="25"/>
      <c r="S6" s="25"/>
      <c r="T6" s="25">
        <v>270124</v>
      </c>
      <c r="U6" s="25">
        <v>90718</v>
      </c>
      <c r="V6" s="25">
        <v>13325</v>
      </c>
      <c r="W6" s="25"/>
      <c r="X6" s="25"/>
      <c r="Y6" s="25"/>
      <c r="Z6" s="25"/>
      <c r="AA6" s="24"/>
    </row>
    <row r="7" spans="1:27" s="26" customFormat="1" x14ac:dyDescent="0.25">
      <c r="A7" s="34" t="s">
        <v>4</v>
      </c>
      <c r="B7" s="16"/>
      <c r="C7" s="25">
        <f>42629+9444</f>
        <v>52073</v>
      </c>
      <c r="D7" s="17">
        <v>15451</v>
      </c>
      <c r="E7" s="17">
        <f>2398+493</f>
        <v>2891</v>
      </c>
      <c r="F7" s="17">
        <f>2161+140</f>
        <v>2301</v>
      </c>
      <c r="G7" s="17">
        <f>876+48</f>
        <v>924</v>
      </c>
      <c r="H7" s="25">
        <f>455+40</f>
        <v>495</v>
      </c>
      <c r="I7" s="17"/>
      <c r="J7" s="17">
        <f>4929+70</f>
        <v>4999</v>
      </c>
      <c r="K7" s="17">
        <f>653+20</f>
        <v>673</v>
      </c>
      <c r="L7" s="17">
        <f>1137+90</f>
        <v>1227</v>
      </c>
      <c r="M7" s="17">
        <v>93</v>
      </c>
      <c r="N7" s="17">
        <f>2025+184</f>
        <v>2209</v>
      </c>
      <c r="O7" s="17">
        <f>3031+315</f>
        <v>3346</v>
      </c>
      <c r="P7" s="17">
        <f>461</f>
        <v>461</v>
      </c>
      <c r="Q7" s="24"/>
      <c r="R7" s="25">
        <v>606</v>
      </c>
      <c r="S7" s="25">
        <v>16079</v>
      </c>
      <c r="T7" s="25">
        <f>2833190+45800</f>
        <v>2878990</v>
      </c>
      <c r="U7" s="25">
        <f>3386560+182100</f>
        <v>3568660</v>
      </c>
      <c r="V7" s="25">
        <f>4863160+75900</f>
        <v>4939060</v>
      </c>
      <c r="W7" s="25"/>
      <c r="X7" s="25"/>
      <c r="Y7" s="25"/>
      <c r="Z7" s="25"/>
      <c r="AA7" s="24"/>
    </row>
    <row r="8" spans="1:27" s="26" customFormat="1" x14ac:dyDescent="0.25">
      <c r="A8" s="34" t="s">
        <v>5</v>
      </c>
      <c r="B8" s="16"/>
      <c r="C8" s="25"/>
      <c r="D8" s="17"/>
      <c r="E8" s="17"/>
      <c r="F8" s="17"/>
      <c r="G8" s="17"/>
      <c r="H8" s="25"/>
      <c r="I8" s="17"/>
      <c r="J8" s="17"/>
      <c r="K8" s="17"/>
      <c r="L8" s="17"/>
      <c r="M8" s="17"/>
      <c r="N8" s="17"/>
      <c r="O8" s="17"/>
      <c r="P8" s="17"/>
      <c r="Q8" s="24"/>
      <c r="R8" s="25"/>
      <c r="S8" s="25"/>
      <c r="T8" s="25"/>
      <c r="U8" s="25"/>
      <c r="V8" s="25"/>
      <c r="W8" s="25"/>
      <c r="X8" s="25"/>
      <c r="Y8" s="25"/>
      <c r="Z8" s="25"/>
      <c r="AA8" s="24"/>
    </row>
    <row r="9" spans="1:27" s="26" customFormat="1" x14ac:dyDescent="0.25">
      <c r="A9" s="34" t="s">
        <v>6</v>
      </c>
      <c r="B9" s="16"/>
      <c r="C9" s="25"/>
      <c r="D9" s="17"/>
      <c r="E9" s="17"/>
      <c r="F9" s="17"/>
      <c r="G9" s="17"/>
      <c r="H9" s="25"/>
      <c r="I9" s="17"/>
      <c r="J9" s="17"/>
      <c r="K9" s="17"/>
      <c r="L9" s="17"/>
      <c r="M9" s="17"/>
      <c r="N9" s="17"/>
      <c r="O9" s="17"/>
      <c r="P9" s="17"/>
      <c r="Q9" s="24"/>
      <c r="R9" s="25"/>
      <c r="S9" s="25"/>
      <c r="T9" s="25"/>
      <c r="U9" s="25"/>
      <c r="V9" s="25"/>
      <c r="W9" s="25"/>
      <c r="X9" s="25">
        <v>1143</v>
      </c>
      <c r="Y9" s="25">
        <v>1146</v>
      </c>
      <c r="Z9" s="25">
        <v>476</v>
      </c>
      <c r="AA9" s="24">
        <v>227</v>
      </c>
    </row>
    <row r="10" spans="1:27" s="26" customFormat="1" x14ac:dyDescent="0.25">
      <c r="A10" s="35" t="s">
        <v>7</v>
      </c>
      <c r="B10" s="19">
        <f>SUM(B2:B9)</f>
        <v>58</v>
      </c>
      <c r="C10" s="21">
        <f>SUM(C2:C9)</f>
        <v>52073</v>
      </c>
      <c r="D10" s="19">
        <f t="shared" ref="D10:AA10" si="0">SUM(D2:D9)</f>
        <v>15451</v>
      </c>
      <c r="E10" s="19">
        <f t="shared" si="0"/>
        <v>3276</v>
      </c>
      <c r="F10" s="19">
        <f t="shared" si="0"/>
        <v>2301</v>
      </c>
      <c r="G10" s="19">
        <f t="shared" si="0"/>
        <v>924</v>
      </c>
      <c r="H10" s="21">
        <f>SUM(H2:H9)</f>
        <v>2433</v>
      </c>
      <c r="I10" s="19">
        <f t="shared" si="0"/>
        <v>0</v>
      </c>
      <c r="J10" s="19">
        <f t="shared" si="0"/>
        <v>19981</v>
      </c>
      <c r="K10" s="19">
        <f t="shared" si="0"/>
        <v>897</v>
      </c>
      <c r="L10" s="19">
        <f>SUM(L2:L9)</f>
        <v>1914</v>
      </c>
      <c r="M10" s="19">
        <f t="shared" si="0"/>
        <v>183</v>
      </c>
      <c r="N10" s="19">
        <f t="shared" si="0"/>
        <v>2380</v>
      </c>
      <c r="O10" s="19">
        <f t="shared" si="0"/>
        <v>3447</v>
      </c>
      <c r="P10" s="19">
        <f t="shared" si="0"/>
        <v>485</v>
      </c>
      <c r="Q10" s="20">
        <f t="shared" si="0"/>
        <v>1346</v>
      </c>
      <c r="R10" s="21">
        <f>SUM(R2:R9)</f>
        <v>606</v>
      </c>
      <c r="S10" s="21">
        <f>SUM(S2:S9)</f>
        <v>16079</v>
      </c>
      <c r="T10" s="21">
        <f t="shared" si="0"/>
        <v>3149114</v>
      </c>
      <c r="U10" s="21">
        <f t="shared" si="0"/>
        <v>3659378</v>
      </c>
      <c r="V10" s="21">
        <f t="shared" si="0"/>
        <v>4952385</v>
      </c>
      <c r="W10" s="21">
        <f>SUM(W2:W9)</f>
        <v>7208</v>
      </c>
      <c r="X10" s="21">
        <f t="shared" si="0"/>
        <v>1143</v>
      </c>
      <c r="Y10" s="21">
        <f t="shared" si="0"/>
        <v>1146</v>
      </c>
      <c r="Z10" s="21">
        <f t="shared" si="0"/>
        <v>476</v>
      </c>
      <c r="AA10" s="20">
        <f t="shared" si="0"/>
        <v>227</v>
      </c>
    </row>
    <row r="11" spans="1:27" s="26" customFormat="1" x14ac:dyDescent="0.25">
      <c r="A11" s="34" t="s">
        <v>8</v>
      </c>
      <c r="B11" s="16"/>
      <c r="C11" s="23"/>
      <c r="D11" s="16"/>
      <c r="E11" s="16"/>
      <c r="F11" s="16"/>
      <c r="G11" s="16"/>
      <c r="H11" s="23"/>
      <c r="I11" s="16"/>
      <c r="J11" s="16"/>
      <c r="K11" s="16"/>
      <c r="L11" s="16"/>
      <c r="M11" s="16"/>
      <c r="N11" s="16"/>
      <c r="O11" s="16"/>
      <c r="P11" s="16"/>
      <c r="Q11" s="22"/>
      <c r="R11" s="23"/>
      <c r="S11" s="23"/>
      <c r="T11" s="23"/>
      <c r="U11" s="23"/>
      <c r="V11" s="23"/>
      <c r="W11" s="23"/>
      <c r="X11" s="23"/>
      <c r="Y11" s="23"/>
      <c r="Z11" s="23"/>
      <c r="AA11" s="22"/>
    </row>
    <row r="12" spans="1:27" s="26" customFormat="1" x14ac:dyDescent="0.25">
      <c r="A12" s="34" t="s">
        <v>9</v>
      </c>
      <c r="B12" s="16"/>
      <c r="C12" s="23"/>
      <c r="D12" s="16"/>
      <c r="E12" s="16"/>
      <c r="F12" s="16"/>
      <c r="G12" s="16"/>
      <c r="H12" s="23"/>
      <c r="I12" s="16"/>
      <c r="J12" s="16"/>
      <c r="K12" s="16"/>
      <c r="L12" s="16"/>
      <c r="M12" s="16"/>
      <c r="N12" s="16"/>
      <c r="O12" s="16"/>
      <c r="P12" s="16"/>
      <c r="Q12" s="22"/>
      <c r="R12" s="23"/>
      <c r="S12" s="23"/>
      <c r="T12" s="23"/>
      <c r="U12" s="23"/>
      <c r="V12" s="23"/>
      <c r="W12" s="23"/>
      <c r="X12" s="23"/>
      <c r="Y12" s="23"/>
      <c r="Z12" s="23"/>
      <c r="AA12" s="22"/>
    </row>
    <row r="13" spans="1:27" s="26" customFormat="1" x14ac:dyDescent="0.25">
      <c r="A13" s="34" t="s">
        <v>164</v>
      </c>
      <c r="B13" s="16"/>
      <c r="C13" s="23"/>
      <c r="D13" s="16"/>
      <c r="E13" s="16"/>
      <c r="F13" s="16"/>
      <c r="G13" s="16"/>
      <c r="H13" s="23"/>
      <c r="I13" s="16"/>
      <c r="J13" s="16"/>
      <c r="K13" s="16"/>
      <c r="L13" s="16"/>
      <c r="M13" s="16"/>
      <c r="N13" s="16"/>
      <c r="O13" s="16"/>
      <c r="P13" s="16"/>
      <c r="Q13" s="22"/>
      <c r="R13" s="23"/>
      <c r="S13" s="23"/>
      <c r="T13" s="23"/>
      <c r="U13" s="23"/>
      <c r="V13" s="23"/>
      <c r="W13" s="23">
        <v>17522</v>
      </c>
      <c r="X13" s="23"/>
      <c r="Y13" s="23"/>
      <c r="Z13" s="23"/>
      <c r="AA13" s="22"/>
    </row>
    <row r="14" spans="1:27" s="26" customFormat="1" x14ac:dyDescent="0.25">
      <c r="A14" s="34" t="s">
        <v>10</v>
      </c>
      <c r="B14" s="16">
        <v>0</v>
      </c>
      <c r="C14" s="23"/>
      <c r="D14" s="16"/>
      <c r="E14" s="16">
        <v>0</v>
      </c>
      <c r="F14" s="16"/>
      <c r="G14" s="16"/>
      <c r="H14" s="23">
        <v>625</v>
      </c>
      <c r="I14" s="16"/>
      <c r="J14" s="16">
        <v>1382</v>
      </c>
      <c r="K14" s="16">
        <v>0</v>
      </c>
      <c r="L14" s="16">
        <v>75</v>
      </c>
      <c r="M14" s="16">
        <v>0</v>
      </c>
      <c r="N14" s="16">
        <v>15</v>
      </c>
      <c r="O14" s="16">
        <v>10</v>
      </c>
      <c r="P14" s="16">
        <v>0</v>
      </c>
      <c r="Q14" s="22">
        <v>0</v>
      </c>
      <c r="R14" s="23"/>
      <c r="S14" s="23"/>
      <c r="T14" s="23">
        <v>256000</v>
      </c>
      <c r="U14" s="23">
        <v>13600</v>
      </c>
      <c r="V14" s="23">
        <v>39000</v>
      </c>
      <c r="W14" s="23"/>
      <c r="X14" s="23"/>
      <c r="Y14" s="23"/>
      <c r="Z14" s="23"/>
      <c r="AA14" s="22"/>
    </row>
    <row r="15" spans="1:27" s="26" customFormat="1" x14ac:dyDescent="0.25">
      <c r="A15" s="34" t="s">
        <v>11</v>
      </c>
      <c r="B15" s="16"/>
      <c r="C15" s="23">
        <v>3914</v>
      </c>
      <c r="D15" s="16">
        <v>0</v>
      </c>
      <c r="E15" s="16">
        <v>1592</v>
      </c>
      <c r="F15" s="16">
        <v>0</v>
      </c>
      <c r="G15" s="16">
        <v>267</v>
      </c>
      <c r="H15" s="23">
        <v>1038</v>
      </c>
      <c r="I15" s="16"/>
      <c r="J15" s="16">
        <f>5078+170</f>
        <v>5248</v>
      </c>
      <c r="K15" s="16">
        <v>82</v>
      </c>
      <c r="L15" s="16">
        <v>1192</v>
      </c>
      <c r="M15" s="16">
        <v>0</v>
      </c>
      <c r="N15" s="16">
        <f>2170+29</f>
        <v>2199</v>
      </c>
      <c r="O15" s="16">
        <f>2611+81</f>
        <v>2692</v>
      </c>
      <c r="P15" s="16">
        <f>738+50</f>
        <v>788</v>
      </c>
      <c r="Q15" s="22"/>
      <c r="R15" s="23">
        <v>0</v>
      </c>
      <c r="S15" s="23">
        <v>12053</v>
      </c>
      <c r="T15" s="23">
        <v>3632000</v>
      </c>
      <c r="U15" s="23">
        <f>5999500+34000</f>
        <v>6033500</v>
      </c>
      <c r="V15" s="23">
        <v>3849500</v>
      </c>
      <c r="W15" s="23"/>
      <c r="X15" s="23"/>
      <c r="Y15" s="23"/>
      <c r="Z15" s="23"/>
      <c r="AA15" s="22"/>
    </row>
    <row r="16" spans="1:27" s="26" customFormat="1" x14ac:dyDescent="0.25">
      <c r="A16" s="34" t="s">
        <v>12</v>
      </c>
      <c r="B16" s="16"/>
      <c r="C16" s="23"/>
      <c r="D16" s="16"/>
      <c r="E16" s="16"/>
      <c r="F16" s="16"/>
      <c r="G16" s="16"/>
      <c r="H16" s="23"/>
      <c r="I16" s="16"/>
      <c r="J16" s="16"/>
      <c r="K16" s="16"/>
      <c r="L16" s="16"/>
      <c r="M16" s="16"/>
      <c r="N16" s="16"/>
      <c r="O16" s="16"/>
      <c r="P16" s="16"/>
      <c r="Q16" s="22"/>
      <c r="R16" s="23"/>
      <c r="S16" s="23"/>
      <c r="T16" s="23"/>
      <c r="U16" s="23"/>
      <c r="V16" s="23"/>
      <c r="W16" s="23"/>
      <c r="X16" s="23"/>
      <c r="Y16" s="23"/>
      <c r="Z16" s="23"/>
      <c r="AA16" s="22"/>
    </row>
    <row r="17" spans="1:27" s="26" customFormat="1" x14ac:dyDescent="0.25">
      <c r="A17" s="34" t="s">
        <v>13</v>
      </c>
      <c r="B17" s="16"/>
      <c r="C17" s="23"/>
      <c r="D17" s="16"/>
      <c r="E17" s="16"/>
      <c r="F17" s="16"/>
      <c r="G17" s="16"/>
      <c r="H17" s="23"/>
      <c r="I17" s="16"/>
      <c r="J17" s="16"/>
      <c r="K17" s="16"/>
      <c r="L17" s="16"/>
      <c r="M17" s="16"/>
      <c r="N17" s="16"/>
      <c r="O17" s="16"/>
      <c r="P17" s="16"/>
      <c r="Q17" s="22"/>
      <c r="R17" s="23"/>
      <c r="S17" s="23"/>
      <c r="T17" s="23"/>
      <c r="U17" s="23"/>
      <c r="V17" s="23"/>
      <c r="W17" s="23"/>
      <c r="X17" s="23">
        <v>355</v>
      </c>
      <c r="Y17" s="23">
        <v>807</v>
      </c>
      <c r="Z17" s="23">
        <v>0</v>
      </c>
      <c r="AA17" s="22">
        <v>1117</v>
      </c>
    </row>
    <row r="18" spans="1:27" s="26" customFormat="1" x14ac:dyDescent="0.25">
      <c r="A18" s="35" t="s">
        <v>14</v>
      </c>
      <c r="B18" s="19">
        <f>SUM(B11:B17)</f>
        <v>0</v>
      </c>
      <c r="C18" s="21">
        <f>SUM(C11:C17)</f>
        <v>3914</v>
      </c>
      <c r="D18" s="19">
        <f t="shared" ref="D18:AA18" si="1">SUM(D11:D17)</f>
        <v>0</v>
      </c>
      <c r="E18" s="19">
        <f t="shared" si="1"/>
        <v>1592</v>
      </c>
      <c r="F18" s="19">
        <f t="shared" si="1"/>
        <v>0</v>
      </c>
      <c r="G18" s="19">
        <f t="shared" si="1"/>
        <v>267</v>
      </c>
      <c r="H18" s="21">
        <f>SUM(H11:H17)</f>
        <v>1663</v>
      </c>
      <c r="I18" s="19">
        <f t="shared" si="1"/>
        <v>0</v>
      </c>
      <c r="J18" s="19">
        <f t="shared" si="1"/>
        <v>6630</v>
      </c>
      <c r="K18" s="19">
        <f t="shared" si="1"/>
        <v>82</v>
      </c>
      <c r="L18" s="19">
        <f>SUM(L11:L17)</f>
        <v>1267</v>
      </c>
      <c r="M18" s="19">
        <f t="shared" si="1"/>
        <v>0</v>
      </c>
      <c r="N18" s="19">
        <f t="shared" si="1"/>
        <v>2214</v>
      </c>
      <c r="O18" s="19">
        <f t="shared" si="1"/>
        <v>2702</v>
      </c>
      <c r="P18" s="19">
        <f t="shared" si="1"/>
        <v>788</v>
      </c>
      <c r="Q18" s="20">
        <f t="shared" si="1"/>
        <v>0</v>
      </c>
      <c r="R18" s="21">
        <f>SUM(R11:R17)</f>
        <v>0</v>
      </c>
      <c r="S18" s="21">
        <f>SUM(S11:S17)</f>
        <v>12053</v>
      </c>
      <c r="T18" s="21">
        <f t="shared" si="1"/>
        <v>3888000</v>
      </c>
      <c r="U18" s="21">
        <f t="shared" si="1"/>
        <v>6047100</v>
      </c>
      <c r="V18" s="21">
        <f t="shared" si="1"/>
        <v>3888500</v>
      </c>
      <c r="W18" s="21">
        <f>SUM(W11:W17)</f>
        <v>17522</v>
      </c>
      <c r="X18" s="21">
        <f t="shared" si="1"/>
        <v>355</v>
      </c>
      <c r="Y18" s="21">
        <f t="shared" si="1"/>
        <v>807</v>
      </c>
      <c r="Z18" s="21">
        <f t="shared" si="1"/>
        <v>0</v>
      </c>
      <c r="AA18" s="20">
        <f t="shared" si="1"/>
        <v>1117</v>
      </c>
    </row>
    <row r="19" spans="1:27" x14ac:dyDescent="0.25">
      <c r="A19" s="35" t="s">
        <v>15</v>
      </c>
      <c r="B19" s="19">
        <f>SUM(B10,B18)</f>
        <v>58</v>
      </c>
      <c r="C19" s="21">
        <f>SUM(C10,C18)</f>
        <v>55987</v>
      </c>
      <c r="D19" s="19">
        <f t="shared" ref="D19:AA19" si="2">SUM(D10,D18)</f>
        <v>15451</v>
      </c>
      <c r="E19" s="19">
        <f t="shared" si="2"/>
        <v>4868</v>
      </c>
      <c r="F19" s="19">
        <f t="shared" si="2"/>
        <v>2301</v>
      </c>
      <c r="G19" s="19">
        <f t="shared" si="2"/>
        <v>1191</v>
      </c>
      <c r="H19" s="21">
        <f>SUM(H10,H18)</f>
        <v>4096</v>
      </c>
      <c r="I19" s="19">
        <f t="shared" si="2"/>
        <v>0</v>
      </c>
      <c r="J19" s="19">
        <f t="shared" si="2"/>
        <v>26611</v>
      </c>
      <c r="K19" s="19">
        <f t="shared" si="2"/>
        <v>979</v>
      </c>
      <c r="L19" s="19">
        <f>SUM(L10,L18)</f>
        <v>3181</v>
      </c>
      <c r="M19" s="19">
        <f t="shared" si="2"/>
        <v>183</v>
      </c>
      <c r="N19" s="19">
        <f t="shared" si="2"/>
        <v>4594</v>
      </c>
      <c r="O19" s="19">
        <f t="shared" si="2"/>
        <v>6149</v>
      </c>
      <c r="P19" s="19">
        <f t="shared" si="2"/>
        <v>1273</v>
      </c>
      <c r="Q19" s="20">
        <f t="shared" si="2"/>
        <v>1346</v>
      </c>
      <c r="R19" s="21">
        <f>SUM(R10,R18)</f>
        <v>606</v>
      </c>
      <c r="S19" s="21">
        <f>SUM(S10,S18)</f>
        <v>28132</v>
      </c>
      <c r="T19" s="21">
        <f t="shared" si="2"/>
        <v>7037114</v>
      </c>
      <c r="U19" s="21">
        <f t="shared" si="2"/>
        <v>9706478</v>
      </c>
      <c r="V19" s="21">
        <f t="shared" si="2"/>
        <v>8840885</v>
      </c>
      <c r="W19" s="21">
        <f>SUM(W10,W18)</f>
        <v>24730</v>
      </c>
      <c r="X19" s="21">
        <f t="shared" si="2"/>
        <v>1498</v>
      </c>
      <c r="Y19" s="21">
        <f t="shared" si="2"/>
        <v>1953</v>
      </c>
      <c r="Z19" s="21">
        <f t="shared" si="2"/>
        <v>476</v>
      </c>
      <c r="AA19" s="20">
        <f t="shared" si="2"/>
        <v>1344</v>
      </c>
    </row>
    <row r="20" spans="1:27" x14ac:dyDescent="0.25">
      <c r="C20" s="47"/>
      <c r="D20" s="47"/>
      <c r="E20" s="47"/>
      <c r="F20" s="47"/>
      <c r="G20" s="47"/>
      <c r="H20" s="47"/>
      <c r="I20" s="47"/>
      <c r="J20" s="47"/>
      <c r="K20" s="47"/>
      <c r="L20" s="47"/>
      <c r="M20" s="47"/>
      <c r="N20" s="47"/>
      <c r="O20" s="47"/>
      <c r="P20" s="47"/>
      <c r="Q20" s="47"/>
      <c r="R20" s="47"/>
      <c r="T20" s="47"/>
      <c r="U20" s="47"/>
      <c r="V20" s="47"/>
      <c r="W20" s="47"/>
      <c r="X20" s="47"/>
      <c r="Y20" s="47"/>
      <c r="Z20" s="47"/>
      <c r="AA20" s="47"/>
    </row>
  </sheetData>
  <sheetProtection formatCells="0" formatColumns="0" formatRows="0" insertColumns="0" insertRows="0" sort="0" autoFilter="0" pivotTables="0"/>
  <dataValidations count="1">
    <dataValidation type="list" errorStyle="information" allowBlank="1" showInputMessage="1" showErrorMessage="1" sqref="B1:AA1" xr:uid="{977357D3-49C9-41AC-99CA-7DD8F20F761A}">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67DB3304-3551-4812-A5D3-E0CE7291E6B3}">
          <x14:formula1>
            <xm:f>'Term List'!$A2:$A242</xm:f>
          </x14:formula1>
          <xm:sqref>AB1:XFD1</xm:sqref>
        </x14:dataValidation>
      </x14:dataValidations>
    </ext>
  </extLst>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4CA4E-3130-4F19-B7EE-69575A978589}">
  <sheetPr codeName="Sheet26"/>
  <dimension ref="A1:L20"/>
  <sheetViews>
    <sheetView workbookViewId="0">
      <pane xSplit="1" ySplit="1" topLeftCell="B2" activePane="bottomRight" state="frozen"/>
      <selection activeCell="B3" sqref="B3"/>
      <selection pane="topRight" activeCell="B3" sqref="B3"/>
      <selection pane="bottomLeft" activeCell="B3" sqref="B3"/>
      <selection pane="bottomRight" activeCell="A2" sqref="A2"/>
    </sheetView>
  </sheetViews>
  <sheetFormatPr defaultRowHeight="15" x14ac:dyDescent="0.25"/>
  <cols>
    <col min="1" max="1" width="35.7109375" style="6" bestFit="1" customWidth="1"/>
    <col min="2" max="2" width="11.85546875" style="5" bestFit="1" customWidth="1"/>
    <col min="3" max="3" width="13.85546875" style="5" bestFit="1" customWidth="1"/>
    <col min="4" max="4" width="14" style="5" bestFit="1" customWidth="1"/>
    <col min="5" max="5" width="16.7109375" style="5" bestFit="1" customWidth="1"/>
    <col min="6" max="6" width="16.42578125" style="5" bestFit="1" customWidth="1"/>
    <col min="7" max="7" width="15.85546875" style="5" bestFit="1" customWidth="1"/>
    <col min="8" max="8" width="12.85546875" style="5" bestFit="1" customWidth="1"/>
    <col min="9" max="9" width="13.5703125" style="5" bestFit="1" customWidth="1"/>
    <col min="10" max="10" width="14.5703125" style="5" bestFit="1" customWidth="1"/>
    <col min="11" max="11" width="15.140625" style="5" bestFit="1" customWidth="1"/>
    <col min="12" max="12" width="11.5703125" style="5" bestFit="1" customWidth="1"/>
    <col min="13" max="16384" width="9.140625" style="3"/>
  </cols>
  <sheetData>
    <row r="1" spans="1:12" s="14" customFormat="1" ht="30" x14ac:dyDescent="0.25">
      <c r="A1" s="31" t="s">
        <v>579</v>
      </c>
      <c r="B1" s="31" t="s">
        <v>155</v>
      </c>
      <c r="C1" s="31" t="s">
        <v>156</v>
      </c>
      <c r="D1" s="31" t="s">
        <v>154</v>
      </c>
      <c r="E1" s="31" t="s">
        <v>150</v>
      </c>
      <c r="F1" s="31" t="s">
        <v>148</v>
      </c>
      <c r="G1" s="31" t="s">
        <v>139</v>
      </c>
      <c r="H1" s="31" t="s">
        <v>130</v>
      </c>
      <c r="I1" s="31" t="s">
        <v>132</v>
      </c>
      <c r="J1" s="31" t="s">
        <v>142</v>
      </c>
      <c r="K1" s="31" t="s">
        <v>144</v>
      </c>
      <c r="L1" s="31" t="s">
        <v>124</v>
      </c>
    </row>
    <row r="2" spans="1:12" s="26" customFormat="1" x14ac:dyDescent="0.25">
      <c r="A2" s="34" t="s">
        <v>0</v>
      </c>
      <c r="B2" s="16">
        <v>38660</v>
      </c>
      <c r="C2" s="17">
        <v>3562</v>
      </c>
      <c r="D2" s="17">
        <v>352</v>
      </c>
      <c r="E2" s="17">
        <v>4276</v>
      </c>
      <c r="F2" s="17">
        <v>124</v>
      </c>
      <c r="G2" s="17">
        <v>0</v>
      </c>
      <c r="H2" s="17">
        <v>125</v>
      </c>
      <c r="I2" s="17">
        <v>992</v>
      </c>
      <c r="J2" s="17">
        <v>4469</v>
      </c>
      <c r="K2" s="17">
        <v>525</v>
      </c>
      <c r="L2" s="17">
        <v>14845365</v>
      </c>
    </row>
    <row r="3" spans="1:12" s="26" customFormat="1" x14ac:dyDescent="0.25">
      <c r="A3" s="34" t="s">
        <v>1</v>
      </c>
      <c r="B3" s="16">
        <v>1984</v>
      </c>
      <c r="C3" s="17">
        <v>342</v>
      </c>
      <c r="D3" s="17">
        <v>370</v>
      </c>
      <c r="E3" s="17">
        <v>759</v>
      </c>
      <c r="F3" s="17">
        <v>190</v>
      </c>
      <c r="G3" s="17">
        <v>3</v>
      </c>
      <c r="H3" s="17">
        <v>310</v>
      </c>
      <c r="I3" s="17">
        <v>20</v>
      </c>
      <c r="J3" s="17">
        <v>176</v>
      </c>
      <c r="K3" s="17">
        <v>6</v>
      </c>
      <c r="L3" s="17">
        <v>118621</v>
      </c>
    </row>
    <row r="4" spans="1:12" s="26" customFormat="1" x14ac:dyDescent="0.25">
      <c r="A4" s="34" t="s">
        <v>169</v>
      </c>
      <c r="B4" s="16"/>
      <c r="C4" s="17"/>
      <c r="D4" s="17"/>
      <c r="E4" s="17"/>
      <c r="F4" s="17"/>
      <c r="G4" s="17"/>
      <c r="H4" s="17"/>
      <c r="I4" s="17"/>
      <c r="J4" s="17"/>
      <c r="K4" s="17"/>
      <c r="L4" s="17"/>
    </row>
    <row r="5" spans="1:12" s="26" customFormat="1" x14ac:dyDescent="0.25">
      <c r="A5" s="34" t="s">
        <v>2</v>
      </c>
      <c r="B5" s="16"/>
      <c r="C5" s="17"/>
      <c r="D5" s="17"/>
      <c r="E5" s="17"/>
      <c r="F5" s="17"/>
      <c r="G5" s="17"/>
      <c r="H5" s="17"/>
      <c r="I5" s="17"/>
      <c r="J5" s="17"/>
      <c r="K5" s="17"/>
      <c r="L5" s="17"/>
    </row>
    <row r="6" spans="1:12" s="26" customFormat="1" x14ac:dyDescent="0.25">
      <c r="A6" s="34" t="s">
        <v>3</v>
      </c>
      <c r="B6" s="16">
        <v>211</v>
      </c>
      <c r="C6" s="17">
        <v>18</v>
      </c>
      <c r="D6" s="17">
        <v>573</v>
      </c>
      <c r="E6" s="17">
        <v>1700</v>
      </c>
      <c r="F6" s="17">
        <v>176</v>
      </c>
      <c r="G6" s="17">
        <v>29</v>
      </c>
      <c r="H6" s="17">
        <v>0</v>
      </c>
      <c r="I6" s="17">
        <v>0</v>
      </c>
      <c r="J6" s="17">
        <v>34</v>
      </c>
      <c r="K6" s="17">
        <v>0</v>
      </c>
      <c r="L6" s="17">
        <v>95748</v>
      </c>
    </row>
    <row r="7" spans="1:12" s="26" customFormat="1" x14ac:dyDescent="0.25">
      <c r="A7" s="34" t="s">
        <v>4</v>
      </c>
      <c r="B7" s="16">
        <v>707</v>
      </c>
      <c r="C7" s="17">
        <v>18</v>
      </c>
      <c r="D7" s="17">
        <v>145</v>
      </c>
      <c r="E7" s="17">
        <v>4875</v>
      </c>
      <c r="F7" s="17">
        <v>0</v>
      </c>
      <c r="G7" s="17">
        <v>32</v>
      </c>
      <c r="H7" s="17">
        <v>438</v>
      </c>
      <c r="I7" s="17">
        <v>12</v>
      </c>
      <c r="J7" s="17">
        <v>966</v>
      </c>
      <c r="K7" s="17">
        <v>101</v>
      </c>
      <c r="L7" s="17">
        <v>1253652</v>
      </c>
    </row>
    <row r="8" spans="1:12" s="26" customFormat="1" x14ac:dyDescent="0.25">
      <c r="A8" s="34" t="s">
        <v>5</v>
      </c>
      <c r="B8" s="16">
        <v>0</v>
      </c>
      <c r="C8" s="17"/>
      <c r="D8" s="17">
        <v>0</v>
      </c>
      <c r="E8" s="17">
        <v>393</v>
      </c>
      <c r="F8" s="17">
        <v>51</v>
      </c>
      <c r="G8" s="17">
        <v>0</v>
      </c>
      <c r="H8" s="17">
        <v>0</v>
      </c>
      <c r="I8" s="17">
        <v>0</v>
      </c>
      <c r="J8" s="17">
        <v>0</v>
      </c>
      <c r="K8" s="17">
        <v>0</v>
      </c>
      <c r="L8" s="17">
        <v>0</v>
      </c>
    </row>
    <row r="9" spans="1:12" s="26" customFormat="1" x14ac:dyDescent="0.25">
      <c r="A9" s="34" t="s">
        <v>6</v>
      </c>
      <c r="B9" s="16"/>
      <c r="C9" s="17"/>
      <c r="D9" s="17"/>
      <c r="E9" s="17"/>
      <c r="F9" s="17"/>
      <c r="G9" s="17"/>
      <c r="H9" s="17"/>
      <c r="I9" s="17"/>
      <c r="J9" s="17"/>
      <c r="K9" s="17"/>
      <c r="L9" s="17"/>
    </row>
    <row r="10" spans="1:12" s="26" customFormat="1" x14ac:dyDescent="0.25">
      <c r="A10" s="35" t="s">
        <v>7</v>
      </c>
      <c r="B10" s="19">
        <f t="shared" ref="B10:L10" si="0">SUM(B2:B9)</f>
        <v>41562</v>
      </c>
      <c r="C10" s="19">
        <f t="shared" si="0"/>
        <v>3940</v>
      </c>
      <c r="D10" s="19">
        <f t="shared" si="0"/>
        <v>1440</v>
      </c>
      <c r="E10" s="19">
        <f t="shared" si="0"/>
        <v>12003</v>
      </c>
      <c r="F10" s="19">
        <f t="shared" si="0"/>
        <v>541</v>
      </c>
      <c r="G10" s="19">
        <f t="shared" si="0"/>
        <v>64</v>
      </c>
      <c r="H10" s="19">
        <f t="shared" si="0"/>
        <v>873</v>
      </c>
      <c r="I10" s="19">
        <f t="shared" si="0"/>
        <v>1024</v>
      </c>
      <c r="J10" s="19">
        <f t="shared" si="0"/>
        <v>5645</v>
      </c>
      <c r="K10" s="19">
        <f t="shared" si="0"/>
        <v>632</v>
      </c>
      <c r="L10" s="19">
        <f t="shared" si="0"/>
        <v>16313386</v>
      </c>
    </row>
    <row r="11" spans="1:12" s="26" customFormat="1" x14ac:dyDescent="0.25">
      <c r="A11" s="34" t="s">
        <v>8</v>
      </c>
      <c r="B11" s="16">
        <v>61299</v>
      </c>
      <c r="C11" s="16">
        <v>8636</v>
      </c>
      <c r="D11" s="16">
        <v>639</v>
      </c>
      <c r="E11" s="16">
        <v>13377</v>
      </c>
      <c r="F11" s="16">
        <v>315</v>
      </c>
      <c r="G11" s="16"/>
      <c r="H11" s="16">
        <v>466</v>
      </c>
      <c r="I11" s="16">
        <v>7</v>
      </c>
      <c r="J11" s="16">
        <v>9873</v>
      </c>
      <c r="K11" s="16">
        <v>136</v>
      </c>
      <c r="L11" s="16">
        <v>5669191</v>
      </c>
    </row>
    <row r="12" spans="1:12" s="26" customFormat="1" x14ac:dyDescent="0.25">
      <c r="A12" s="34" t="s">
        <v>9</v>
      </c>
      <c r="B12" s="16"/>
      <c r="C12" s="16"/>
      <c r="D12" s="16"/>
      <c r="E12" s="16"/>
      <c r="F12" s="16"/>
      <c r="G12" s="16"/>
      <c r="H12" s="16"/>
      <c r="I12" s="16"/>
      <c r="J12" s="16"/>
      <c r="K12" s="16"/>
      <c r="L12" s="16"/>
    </row>
    <row r="13" spans="1:12" s="26" customFormat="1" x14ac:dyDescent="0.25">
      <c r="A13" s="34" t="s">
        <v>164</v>
      </c>
      <c r="B13" s="16"/>
      <c r="C13" s="16"/>
      <c r="D13" s="16"/>
      <c r="E13" s="16"/>
      <c r="F13" s="16"/>
      <c r="G13" s="16"/>
      <c r="H13" s="16"/>
      <c r="I13" s="16"/>
      <c r="J13" s="16"/>
      <c r="K13" s="16"/>
      <c r="L13" s="16"/>
    </row>
    <row r="14" spans="1:12" s="26" customFormat="1" x14ac:dyDescent="0.25">
      <c r="A14" s="34" t="s">
        <v>10</v>
      </c>
      <c r="B14" s="16">
        <v>47</v>
      </c>
      <c r="C14" s="16">
        <v>0</v>
      </c>
      <c r="D14" s="46">
        <v>745</v>
      </c>
      <c r="E14" s="46">
        <v>767</v>
      </c>
      <c r="F14" s="16">
        <v>0</v>
      </c>
      <c r="G14" s="16">
        <v>0</v>
      </c>
      <c r="H14" s="16">
        <v>0</v>
      </c>
      <c r="I14" s="16">
        <v>0</v>
      </c>
      <c r="J14" s="16">
        <v>541</v>
      </c>
      <c r="K14" s="16">
        <v>0</v>
      </c>
      <c r="L14" s="16">
        <v>9882</v>
      </c>
    </row>
    <row r="15" spans="1:12" s="26" customFormat="1" x14ac:dyDescent="0.25">
      <c r="A15" s="34" t="s">
        <v>11</v>
      </c>
      <c r="B15" s="16">
        <v>444</v>
      </c>
      <c r="C15" s="16">
        <v>226</v>
      </c>
      <c r="D15" s="16">
        <v>128</v>
      </c>
      <c r="E15" s="16">
        <v>16055</v>
      </c>
      <c r="F15" s="16">
        <v>51</v>
      </c>
      <c r="G15" s="16">
        <v>365</v>
      </c>
      <c r="H15" s="16">
        <v>515</v>
      </c>
      <c r="I15" s="16">
        <v>63</v>
      </c>
      <c r="J15" s="16">
        <v>3513</v>
      </c>
      <c r="K15" s="16">
        <v>649</v>
      </c>
      <c r="L15" s="16">
        <v>71521</v>
      </c>
    </row>
    <row r="16" spans="1:12" s="26" customFormat="1" x14ac:dyDescent="0.25">
      <c r="A16" s="34" t="s">
        <v>12</v>
      </c>
      <c r="B16" s="16">
        <v>0</v>
      </c>
      <c r="C16" s="16"/>
      <c r="D16" s="16">
        <v>0</v>
      </c>
      <c r="E16" s="16">
        <v>27</v>
      </c>
      <c r="F16" s="16">
        <v>6</v>
      </c>
      <c r="G16" s="16">
        <v>0</v>
      </c>
      <c r="H16" s="16">
        <v>0</v>
      </c>
      <c r="I16" s="16">
        <v>0</v>
      </c>
      <c r="J16" s="16">
        <v>0</v>
      </c>
      <c r="K16" s="16"/>
      <c r="L16" s="16">
        <v>0</v>
      </c>
    </row>
    <row r="17" spans="1:12" s="26" customFormat="1" x14ac:dyDescent="0.25">
      <c r="A17" s="34" t="s">
        <v>13</v>
      </c>
      <c r="B17" s="16"/>
      <c r="C17" s="16"/>
      <c r="D17" s="16"/>
      <c r="E17" s="16"/>
      <c r="F17" s="16"/>
      <c r="G17" s="16"/>
      <c r="H17" s="16"/>
      <c r="I17" s="16"/>
      <c r="J17" s="16"/>
      <c r="K17" s="16"/>
      <c r="L17" s="16"/>
    </row>
    <row r="18" spans="1:12" s="26" customFormat="1" x14ac:dyDescent="0.25">
      <c r="A18" s="35" t="s">
        <v>14</v>
      </c>
      <c r="B18" s="19">
        <f t="shared" ref="B18:L18" si="1">SUM(B11:B17)</f>
        <v>61790</v>
      </c>
      <c r="C18" s="19">
        <f t="shared" si="1"/>
        <v>8862</v>
      </c>
      <c r="D18" s="19">
        <f t="shared" si="1"/>
        <v>1512</v>
      </c>
      <c r="E18" s="19">
        <f t="shared" si="1"/>
        <v>30226</v>
      </c>
      <c r="F18" s="19">
        <f t="shared" si="1"/>
        <v>372</v>
      </c>
      <c r="G18" s="19">
        <f t="shared" si="1"/>
        <v>365</v>
      </c>
      <c r="H18" s="19">
        <f t="shared" si="1"/>
        <v>981</v>
      </c>
      <c r="I18" s="19">
        <f t="shared" si="1"/>
        <v>70</v>
      </c>
      <c r="J18" s="19">
        <f t="shared" si="1"/>
        <v>13927</v>
      </c>
      <c r="K18" s="19">
        <f t="shared" si="1"/>
        <v>785</v>
      </c>
      <c r="L18" s="19">
        <f t="shared" si="1"/>
        <v>5750594</v>
      </c>
    </row>
    <row r="19" spans="1:12" x14ac:dyDescent="0.25">
      <c r="A19" s="35" t="s">
        <v>15</v>
      </c>
      <c r="B19" s="19">
        <f t="shared" ref="B19:L19" si="2">SUM(B10,B18)</f>
        <v>103352</v>
      </c>
      <c r="C19" s="19">
        <f t="shared" si="2"/>
        <v>12802</v>
      </c>
      <c r="D19" s="19">
        <f t="shared" si="2"/>
        <v>2952</v>
      </c>
      <c r="E19" s="19">
        <f t="shared" si="2"/>
        <v>42229</v>
      </c>
      <c r="F19" s="19">
        <f t="shared" si="2"/>
        <v>913</v>
      </c>
      <c r="G19" s="19">
        <f t="shared" si="2"/>
        <v>429</v>
      </c>
      <c r="H19" s="19">
        <f t="shared" si="2"/>
        <v>1854</v>
      </c>
      <c r="I19" s="19">
        <f t="shared" si="2"/>
        <v>1094</v>
      </c>
      <c r="J19" s="19">
        <f t="shared" si="2"/>
        <v>19572</v>
      </c>
      <c r="K19" s="19">
        <f t="shared" si="2"/>
        <v>1417</v>
      </c>
      <c r="L19" s="19">
        <f t="shared" si="2"/>
        <v>22063980</v>
      </c>
    </row>
    <row r="20" spans="1:12" x14ac:dyDescent="0.25">
      <c r="B20" s="44"/>
      <c r="C20" s="44"/>
      <c r="D20" s="44"/>
      <c r="E20" s="44"/>
      <c r="F20" s="44"/>
      <c r="G20" s="44"/>
      <c r="H20" s="44"/>
      <c r="I20" s="44"/>
      <c r="J20" s="44"/>
      <c r="K20" s="44"/>
      <c r="L20" s="44"/>
    </row>
  </sheetData>
  <sheetProtection formatCells="0" formatColumns="0" formatRows="0" insertColumns="0" insertRows="0" sort="0" autoFilter="0" pivotTables="0"/>
  <dataValidations count="1">
    <dataValidation type="list" errorStyle="information" allowBlank="1" showInputMessage="1" showErrorMessage="1" sqref="B1:L1" xr:uid="{DDA6CB8E-B06B-43D5-82A9-D2BE5986883C}">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7BB2683B-20DD-4454-ACA1-2589850E86AE}">
          <x14:formula1>
            <xm:f>'Term List'!$A2:$A242</xm:f>
          </x14:formula1>
          <xm:sqref>M1:XFD1</xm:sqref>
        </x14:dataValidation>
      </x14:dataValidations>
    </ext>
  </extLst>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B2539-49AC-42A1-A21A-D417865FCD9B}">
  <sheetPr codeName="Sheet25"/>
  <dimension ref="A1:AF24"/>
  <sheetViews>
    <sheetView workbookViewId="0">
      <pane xSplit="1" ySplit="1" topLeftCell="B2" activePane="bottomRight" state="frozen"/>
      <selection activeCell="B3" sqref="B3"/>
      <selection pane="topRight" activeCell="B3" sqref="B3"/>
      <selection pane="bottomLeft" activeCell="B3" sqref="B3"/>
      <selection pane="bottomRight" activeCell="A2" sqref="A2"/>
    </sheetView>
  </sheetViews>
  <sheetFormatPr defaultRowHeight="15" x14ac:dyDescent="0.25"/>
  <cols>
    <col min="1" max="1" width="35.7109375" style="6" bestFit="1" customWidth="1"/>
    <col min="2" max="2" width="13.7109375" style="5" bestFit="1" customWidth="1"/>
    <col min="3" max="3" width="13.85546875" style="5" bestFit="1" customWidth="1"/>
    <col min="4" max="4" width="12" style="5" bestFit="1" customWidth="1"/>
    <col min="5" max="5" width="14.28515625" style="5" bestFit="1" customWidth="1"/>
    <col min="6" max="6" width="12" style="5" bestFit="1" customWidth="1"/>
    <col min="7" max="7" width="15.28515625" style="5" bestFit="1" customWidth="1"/>
    <col min="8" max="8" width="12.5703125" style="5" bestFit="1" customWidth="1"/>
    <col min="9" max="9" width="11.85546875" style="5" bestFit="1" customWidth="1"/>
    <col min="10" max="10" width="12" style="5" bestFit="1" customWidth="1"/>
    <col min="11" max="11" width="12" style="5" customWidth="1"/>
    <col min="12" max="12" width="8.42578125" style="5" bestFit="1" customWidth="1"/>
    <col min="13" max="13" width="9.5703125" style="5" bestFit="1" customWidth="1"/>
    <col min="14" max="14" width="13.28515625" style="5" bestFit="1" customWidth="1"/>
    <col min="15" max="15" width="13.140625" style="5" bestFit="1" customWidth="1"/>
    <col min="16" max="16" width="14.140625" style="5" bestFit="1" customWidth="1"/>
    <col min="17" max="17" width="11.5703125" style="5" bestFit="1" customWidth="1"/>
    <col min="18" max="18" width="14" style="5" bestFit="1" customWidth="1"/>
    <col min="19" max="19" width="13.42578125" style="3" bestFit="1" customWidth="1"/>
    <col min="20" max="20" width="10.5703125" style="5" bestFit="1" customWidth="1"/>
    <col min="21" max="21" width="11.5703125" style="5" bestFit="1" customWidth="1"/>
    <col min="22" max="22" width="14.7109375" style="5" bestFit="1" customWidth="1"/>
    <col min="23" max="23" width="11.85546875" style="5" bestFit="1" customWidth="1"/>
    <col min="24" max="24" width="15.85546875" style="5" bestFit="1" customWidth="1"/>
    <col min="25" max="25" width="16" style="3" bestFit="1" customWidth="1"/>
    <col min="26" max="26" width="10" style="5" bestFit="1" customWidth="1"/>
    <col min="27" max="27" width="16.5703125" style="5" bestFit="1" customWidth="1"/>
    <col min="28" max="28" width="16.5703125" style="3" bestFit="1" customWidth="1"/>
    <col min="29" max="29" width="16.28515625" style="3" bestFit="1" customWidth="1"/>
    <col min="30" max="30" width="15.85546875" style="3" bestFit="1" customWidth="1"/>
    <col min="31" max="31" width="15.28515625" style="3" bestFit="1" customWidth="1"/>
    <col min="32" max="32" width="15.5703125" style="3" bestFit="1" customWidth="1"/>
    <col min="33" max="16384" width="9.140625" style="3"/>
  </cols>
  <sheetData>
    <row r="1" spans="1:32" s="40" customFormat="1" ht="30" x14ac:dyDescent="0.25">
      <c r="A1" s="36" t="s">
        <v>575</v>
      </c>
      <c r="B1" s="36" t="s">
        <v>62</v>
      </c>
      <c r="C1" s="36" t="s">
        <v>57</v>
      </c>
      <c r="D1" s="36" t="s">
        <v>35</v>
      </c>
      <c r="E1" s="36" t="s">
        <v>36</v>
      </c>
      <c r="F1" s="36" t="s">
        <v>39</v>
      </c>
      <c r="G1" s="36" t="s">
        <v>42</v>
      </c>
      <c r="H1" s="36" t="s">
        <v>99</v>
      </c>
      <c r="I1" s="36" t="s">
        <v>570</v>
      </c>
      <c r="J1" s="36" t="s">
        <v>567</v>
      </c>
      <c r="K1" s="36" t="s">
        <v>569</v>
      </c>
      <c r="L1" s="36" t="s">
        <v>572</v>
      </c>
      <c r="M1" s="36" t="s">
        <v>573</v>
      </c>
      <c r="N1" s="36" t="s">
        <v>28</v>
      </c>
      <c r="O1" s="36" t="s">
        <v>89</v>
      </c>
      <c r="P1" s="36" t="s">
        <v>45</v>
      </c>
      <c r="Q1" s="36" t="s">
        <v>54</v>
      </c>
      <c r="R1" s="36" t="s">
        <v>53</v>
      </c>
      <c r="S1" s="36" t="s">
        <v>75</v>
      </c>
      <c r="T1" s="36" t="s">
        <v>107</v>
      </c>
      <c r="U1" s="36" t="s">
        <v>101</v>
      </c>
      <c r="V1" s="36" t="s">
        <v>328</v>
      </c>
      <c r="W1" s="36" t="s">
        <v>329</v>
      </c>
      <c r="X1" s="36" t="s">
        <v>78</v>
      </c>
      <c r="Y1" s="36" t="s">
        <v>77</v>
      </c>
      <c r="Z1" s="36" t="s">
        <v>82</v>
      </c>
      <c r="AA1" s="36" t="s">
        <v>327</v>
      </c>
      <c r="AB1" s="36" t="s">
        <v>65</v>
      </c>
      <c r="AC1" s="126" t="s">
        <v>330</v>
      </c>
      <c r="AD1" s="126" t="s">
        <v>331</v>
      </c>
      <c r="AE1" s="126" t="s">
        <v>332</v>
      </c>
      <c r="AF1" s="126" t="s">
        <v>333</v>
      </c>
    </row>
    <row r="2" spans="1:32" s="26" customFormat="1" x14ac:dyDescent="0.25">
      <c r="A2" s="34" t="s">
        <v>0</v>
      </c>
      <c r="B2" s="16"/>
      <c r="C2" s="16"/>
      <c r="D2" s="16"/>
      <c r="E2" s="16"/>
      <c r="F2" s="16"/>
      <c r="G2" s="16"/>
      <c r="H2" s="17"/>
      <c r="I2" s="17"/>
      <c r="J2" s="17"/>
      <c r="K2" s="17"/>
      <c r="L2" s="17"/>
      <c r="M2" s="17"/>
      <c r="N2" s="17"/>
      <c r="O2" s="17"/>
      <c r="P2" s="17"/>
      <c r="Q2" s="17"/>
      <c r="R2" s="17"/>
      <c r="S2" s="24"/>
      <c r="T2" s="17"/>
      <c r="U2" s="17"/>
      <c r="V2" s="17"/>
      <c r="W2" s="17"/>
      <c r="X2" s="17"/>
      <c r="Y2" s="24"/>
      <c r="Z2" s="17"/>
      <c r="AA2" s="17"/>
      <c r="AB2" s="17"/>
      <c r="AC2" s="17"/>
      <c r="AD2" s="17"/>
      <c r="AE2" s="17"/>
      <c r="AF2" s="17"/>
    </row>
    <row r="3" spans="1:32" s="26" customFormat="1" x14ac:dyDescent="0.25">
      <c r="A3" s="34" t="s">
        <v>1</v>
      </c>
      <c r="B3" s="16"/>
      <c r="C3" s="16"/>
      <c r="D3" s="16"/>
      <c r="E3" s="16"/>
      <c r="F3" s="16"/>
      <c r="G3" s="16"/>
      <c r="H3" s="17"/>
      <c r="I3" s="17"/>
      <c r="J3" s="17"/>
      <c r="K3" s="17"/>
      <c r="L3" s="17"/>
      <c r="M3" s="17"/>
      <c r="N3" s="17"/>
      <c r="O3" s="17"/>
      <c r="P3" s="17"/>
      <c r="Q3" s="17"/>
      <c r="R3" s="17"/>
      <c r="S3" s="24"/>
      <c r="T3" s="17"/>
      <c r="U3" s="17"/>
      <c r="V3" s="17"/>
      <c r="W3" s="17"/>
      <c r="X3" s="17"/>
      <c r="Y3" s="24"/>
      <c r="Z3" s="17"/>
      <c r="AA3" s="17"/>
      <c r="AB3" s="17"/>
      <c r="AC3" s="17"/>
      <c r="AD3" s="17"/>
      <c r="AE3" s="17"/>
      <c r="AF3" s="17"/>
    </row>
    <row r="4" spans="1:32" s="26" customFormat="1" x14ac:dyDescent="0.25">
      <c r="A4" s="34" t="s">
        <v>169</v>
      </c>
      <c r="B4" s="16"/>
      <c r="C4" s="16"/>
      <c r="D4" s="16"/>
      <c r="E4" s="16"/>
      <c r="F4" s="16"/>
      <c r="G4" s="16"/>
      <c r="H4" s="17"/>
      <c r="I4" s="17"/>
      <c r="J4" s="17"/>
      <c r="K4" s="17"/>
      <c r="L4" s="17"/>
      <c r="M4" s="17"/>
      <c r="N4" s="17"/>
      <c r="O4" s="17"/>
      <c r="P4" s="17"/>
      <c r="Q4" s="17"/>
      <c r="R4" s="17"/>
      <c r="S4" s="24"/>
      <c r="T4" s="17"/>
      <c r="U4" s="17"/>
      <c r="V4" s="17"/>
      <c r="W4" s="17"/>
      <c r="X4" s="17"/>
      <c r="Y4" s="24"/>
      <c r="Z4" s="17"/>
      <c r="AA4" s="17"/>
      <c r="AB4" s="17">
        <v>6561</v>
      </c>
      <c r="AC4" s="17"/>
      <c r="AD4" s="17"/>
      <c r="AE4" s="17"/>
      <c r="AF4" s="17"/>
    </row>
    <row r="5" spans="1:32" s="26" customFormat="1" x14ac:dyDescent="0.25">
      <c r="A5" s="34" t="s">
        <v>2</v>
      </c>
      <c r="B5" s="16"/>
      <c r="C5" s="16"/>
      <c r="D5" s="16"/>
      <c r="E5" s="16"/>
      <c r="F5" s="16"/>
      <c r="G5" s="16"/>
      <c r="H5" s="17"/>
      <c r="I5" s="17"/>
      <c r="J5" s="17"/>
      <c r="K5" s="17"/>
      <c r="L5" s="17"/>
      <c r="M5" s="17"/>
      <c r="N5" s="17"/>
      <c r="O5" s="17"/>
      <c r="P5" s="17"/>
      <c r="Q5" s="17"/>
      <c r="R5" s="17"/>
      <c r="S5" s="24"/>
      <c r="T5" s="17"/>
      <c r="U5" s="17"/>
      <c r="V5" s="17"/>
      <c r="W5" s="17"/>
      <c r="X5" s="17"/>
      <c r="Y5" s="24"/>
      <c r="Z5" s="17"/>
      <c r="AA5" s="17"/>
      <c r="AB5" s="17"/>
      <c r="AC5" s="17"/>
      <c r="AD5" s="17"/>
      <c r="AE5" s="17"/>
      <c r="AF5" s="17"/>
    </row>
    <row r="6" spans="1:32" s="26" customFormat="1" x14ac:dyDescent="0.25">
      <c r="A6" s="34" t="s">
        <v>3</v>
      </c>
      <c r="B6" s="16">
        <v>692</v>
      </c>
      <c r="C6" s="16"/>
      <c r="D6" s="16">
        <v>100</v>
      </c>
      <c r="E6" s="16">
        <v>58</v>
      </c>
      <c r="F6" s="16">
        <v>100</v>
      </c>
      <c r="G6" s="16">
        <v>10</v>
      </c>
      <c r="H6" s="17"/>
      <c r="I6" s="17">
        <v>1256</v>
      </c>
      <c r="J6" s="41">
        <v>7372</v>
      </c>
      <c r="K6" s="17">
        <v>221</v>
      </c>
      <c r="L6" s="17">
        <v>275</v>
      </c>
      <c r="M6" s="17"/>
      <c r="N6" s="17">
        <v>95</v>
      </c>
      <c r="O6" s="17">
        <v>160</v>
      </c>
      <c r="P6" s="17">
        <v>53</v>
      </c>
      <c r="Q6" s="17"/>
      <c r="R6" s="17"/>
      <c r="S6" s="24">
        <v>137971</v>
      </c>
      <c r="T6" s="17">
        <v>121750</v>
      </c>
      <c r="U6" s="17">
        <v>34750</v>
      </c>
      <c r="V6" s="17"/>
      <c r="W6" s="17"/>
      <c r="X6" s="17">
        <v>153</v>
      </c>
      <c r="Y6" s="24">
        <v>60000</v>
      </c>
      <c r="Z6" s="17">
        <v>126</v>
      </c>
      <c r="AA6" s="17">
        <v>92</v>
      </c>
      <c r="AB6" s="17"/>
      <c r="AC6" s="17"/>
      <c r="AD6" s="17"/>
      <c r="AE6" s="17"/>
      <c r="AF6" s="17"/>
    </row>
    <row r="7" spans="1:32" s="26" customFormat="1" x14ac:dyDescent="0.25">
      <c r="A7" s="34" t="s">
        <v>4</v>
      </c>
      <c r="B7" s="16"/>
      <c r="C7" s="16">
        <f>51785+11630</f>
        <v>63415</v>
      </c>
      <c r="D7" s="16">
        <v>16119</v>
      </c>
      <c r="E7" s="16">
        <f>3822+500</f>
        <v>4322</v>
      </c>
      <c r="F7" s="16">
        <f>3300+433</f>
        <v>3733</v>
      </c>
      <c r="G7" s="16"/>
      <c r="H7" s="17">
        <f>2087+335</f>
        <v>2422</v>
      </c>
      <c r="I7" s="17">
        <f>860+140</f>
        <v>1000</v>
      </c>
      <c r="J7" s="17">
        <f>8356+254</f>
        <v>8610</v>
      </c>
      <c r="K7" s="17">
        <f>286</f>
        <v>286</v>
      </c>
      <c r="L7" s="17">
        <f>1734+411</f>
        <v>2145</v>
      </c>
      <c r="M7" s="17">
        <v>267</v>
      </c>
      <c r="N7" s="17">
        <f>8650+430</f>
        <v>9080</v>
      </c>
      <c r="O7" s="17">
        <f>12697+1221</f>
        <v>13918</v>
      </c>
      <c r="P7" s="17">
        <f>4216+24</f>
        <v>4240</v>
      </c>
      <c r="Q7" s="17">
        <v>162</v>
      </c>
      <c r="R7" s="17">
        <f>29140+792</f>
        <v>29932</v>
      </c>
      <c r="S7" s="24">
        <f>3520363+161283</f>
        <v>3681646</v>
      </c>
      <c r="T7" s="17">
        <f>3359787+257282</f>
        <v>3617069</v>
      </c>
      <c r="U7" s="17">
        <f>7916051+111000</f>
        <v>8027051</v>
      </c>
      <c r="V7" s="17">
        <v>93</v>
      </c>
      <c r="W7" s="17">
        <v>1467</v>
      </c>
      <c r="X7" s="17"/>
      <c r="Y7" s="24"/>
      <c r="Z7" s="17"/>
      <c r="AA7" s="17"/>
      <c r="AB7" s="17"/>
      <c r="AC7" s="17"/>
      <c r="AD7" s="17"/>
      <c r="AE7" s="17"/>
      <c r="AF7" s="17"/>
    </row>
    <row r="8" spans="1:32" s="26" customFormat="1" x14ac:dyDescent="0.25">
      <c r="A8" s="34" t="s">
        <v>5</v>
      </c>
      <c r="B8" s="16"/>
      <c r="C8" s="16"/>
      <c r="D8" s="16"/>
      <c r="E8" s="16"/>
      <c r="F8" s="16"/>
      <c r="G8" s="16"/>
      <c r="H8" s="41"/>
      <c r="I8" s="41"/>
      <c r="J8" s="17"/>
      <c r="K8" s="17"/>
      <c r="L8" s="17"/>
      <c r="M8" s="17"/>
      <c r="N8" s="17"/>
      <c r="O8" s="17"/>
      <c r="P8" s="17"/>
      <c r="Q8" s="17"/>
      <c r="R8" s="17"/>
      <c r="S8" s="24"/>
      <c r="T8" s="17"/>
      <c r="U8" s="17"/>
      <c r="V8" s="17"/>
      <c r="W8" s="17"/>
      <c r="X8" s="17"/>
      <c r="Y8" s="24"/>
      <c r="Z8" s="17"/>
      <c r="AA8" s="17"/>
      <c r="AB8" s="17"/>
      <c r="AC8" s="17"/>
      <c r="AD8" s="17"/>
      <c r="AE8" s="17"/>
      <c r="AF8" s="17"/>
    </row>
    <row r="9" spans="1:32" s="26" customFormat="1" x14ac:dyDescent="0.25">
      <c r="A9" s="34" t="s">
        <v>6</v>
      </c>
      <c r="B9" s="16"/>
      <c r="C9" s="16"/>
      <c r="D9" s="16"/>
      <c r="E9" s="16"/>
      <c r="F9" s="16"/>
      <c r="G9" s="16"/>
      <c r="H9" s="41"/>
      <c r="I9" s="41"/>
      <c r="J9" s="17"/>
      <c r="K9" s="17"/>
      <c r="L9" s="17"/>
      <c r="M9" s="17"/>
      <c r="N9" s="17"/>
      <c r="O9" s="17"/>
      <c r="P9" s="17"/>
      <c r="Q9" s="17"/>
      <c r="R9" s="17"/>
      <c r="S9" s="24"/>
      <c r="T9" s="17"/>
      <c r="U9" s="17"/>
      <c r="V9" s="17"/>
      <c r="W9" s="17"/>
      <c r="X9" s="17"/>
      <c r="Y9" s="24"/>
      <c r="Z9" s="17"/>
      <c r="AA9" s="17"/>
      <c r="AB9" s="17"/>
      <c r="AC9" s="17">
        <v>952</v>
      </c>
      <c r="AD9" s="17">
        <v>1655</v>
      </c>
      <c r="AE9" s="17">
        <v>223</v>
      </c>
      <c r="AF9" s="17">
        <v>461</v>
      </c>
    </row>
    <row r="10" spans="1:32" s="26" customFormat="1" x14ac:dyDescent="0.25">
      <c r="A10" s="35" t="s">
        <v>7</v>
      </c>
      <c r="B10" s="19">
        <f>SUM(B2:B9)</f>
        <v>692</v>
      </c>
      <c r="C10" s="19">
        <f t="shared" ref="C10:AB10" si="0">SUM(C2:C9)</f>
        <v>63415</v>
      </c>
      <c r="D10" s="19">
        <f t="shared" si="0"/>
        <v>16219</v>
      </c>
      <c r="E10" s="19">
        <f t="shared" si="0"/>
        <v>4380</v>
      </c>
      <c r="F10" s="19">
        <f t="shared" si="0"/>
        <v>3833</v>
      </c>
      <c r="G10" s="19">
        <f t="shared" si="0"/>
        <v>10</v>
      </c>
      <c r="H10" s="19">
        <f t="shared" si="0"/>
        <v>2422</v>
      </c>
      <c r="I10" s="19">
        <f t="shared" si="0"/>
        <v>2256</v>
      </c>
      <c r="J10" s="19">
        <f t="shared" si="0"/>
        <v>15982</v>
      </c>
      <c r="K10" s="19">
        <f t="shared" si="0"/>
        <v>507</v>
      </c>
      <c r="L10" s="19">
        <f t="shared" si="0"/>
        <v>2420</v>
      </c>
      <c r="M10" s="19">
        <f t="shared" si="0"/>
        <v>267</v>
      </c>
      <c r="N10" s="19">
        <f t="shared" si="0"/>
        <v>9175</v>
      </c>
      <c r="O10" s="19">
        <f t="shared" si="0"/>
        <v>14078</v>
      </c>
      <c r="P10" s="19">
        <f t="shared" si="0"/>
        <v>4293</v>
      </c>
      <c r="Q10" s="19">
        <f t="shared" si="0"/>
        <v>162</v>
      </c>
      <c r="R10" s="19">
        <f t="shared" si="0"/>
        <v>29932</v>
      </c>
      <c r="S10" s="19">
        <f t="shared" si="0"/>
        <v>3819617</v>
      </c>
      <c r="T10" s="19">
        <f t="shared" si="0"/>
        <v>3738819</v>
      </c>
      <c r="U10" s="19">
        <f t="shared" si="0"/>
        <v>8061801</v>
      </c>
      <c r="V10" s="19">
        <f t="shared" ref="V10" si="1">SUM(V2:V9)</f>
        <v>93</v>
      </c>
      <c r="W10" s="19">
        <f t="shared" ref="W10" si="2">SUM(W2:W9)</f>
        <v>1467</v>
      </c>
      <c r="X10" s="19">
        <f t="shared" si="0"/>
        <v>153</v>
      </c>
      <c r="Y10" s="19">
        <f t="shared" si="0"/>
        <v>60000</v>
      </c>
      <c r="Z10" s="19">
        <f t="shared" si="0"/>
        <v>126</v>
      </c>
      <c r="AA10" s="19">
        <f t="shared" si="0"/>
        <v>92</v>
      </c>
      <c r="AB10" s="19">
        <f t="shared" si="0"/>
        <v>6561</v>
      </c>
      <c r="AC10" s="19">
        <f t="shared" ref="AC10" si="3">SUM(AC2:AC9)</f>
        <v>952</v>
      </c>
      <c r="AD10" s="19">
        <f t="shared" ref="AD10" si="4">SUM(AD2:AD9)</f>
        <v>1655</v>
      </c>
      <c r="AE10" s="19">
        <f t="shared" ref="AE10" si="5">SUM(AE2:AE9)</f>
        <v>223</v>
      </c>
      <c r="AF10" s="19">
        <f t="shared" ref="AF10" si="6">SUM(AF2:AF9)</f>
        <v>461</v>
      </c>
    </row>
    <row r="11" spans="1:32" s="26" customFormat="1" x14ac:dyDescent="0.25">
      <c r="A11" s="34" t="s">
        <v>8</v>
      </c>
      <c r="B11" s="16"/>
      <c r="C11" s="16"/>
      <c r="D11" s="16"/>
      <c r="E11" s="16"/>
      <c r="F11" s="16"/>
      <c r="G11" s="16"/>
      <c r="H11" s="43"/>
      <c r="I11" s="43"/>
      <c r="J11" s="16"/>
      <c r="K11" s="16"/>
      <c r="L11" s="16"/>
      <c r="M11" s="16"/>
      <c r="N11" s="16"/>
      <c r="O11" s="16"/>
      <c r="P11" s="16"/>
      <c r="Q11" s="16"/>
      <c r="R11" s="16"/>
      <c r="S11" s="22"/>
      <c r="T11" s="16"/>
      <c r="U11" s="16"/>
      <c r="V11" s="16"/>
      <c r="W11" s="16"/>
      <c r="X11" s="16"/>
      <c r="Y11" s="22"/>
      <c r="Z11" s="16"/>
      <c r="AA11" s="16"/>
      <c r="AB11" s="16"/>
      <c r="AC11" s="16"/>
      <c r="AD11" s="16"/>
      <c r="AE11" s="16"/>
      <c r="AF11" s="16"/>
    </row>
    <row r="12" spans="1:32" s="26" customFormat="1" x14ac:dyDescent="0.25">
      <c r="A12" s="34" t="s">
        <v>9</v>
      </c>
      <c r="B12" s="16"/>
      <c r="C12" s="16"/>
      <c r="D12" s="16"/>
      <c r="E12" s="16"/>
      <c r="F12" s="16"/>
      <c r="G12" s="16"/>
      <c r="H12" s="43"/>
      <c r="I12" s="43"/>
      <c r="J12" s="16"/>
      <c r="K12" s="16"/>
      <c r="L12" s="16"/>
      <c r="M12" s="16"/>
      <c r="N12" s="16"/>
      <c r="O12" s="16"/>
      <c r="P12" s="16"/>
      <c r="Q12" s="16"/>
      <c r="R12" s="16"/>
      <c r="S12" s="22"/>
      <c r="T12" s="16"/>
      <c r="U12" s="16"/>
      <c r="V12" s="16"/>
      <c r="W12" s="16"/>
      <c r="X12" s="16"/>
      <c r="Y12" s="22"/>
      <c r="Z12" s="16"/>
      <c r="AA12" s="16"/>
      <c r="AB12" s="16"/>
      <c r="AC12" s="16"/>
      <c r="AD12" s="16"/>
      <c r="AE12" s="16"/>
      <c r="AF12" s="16"/>
    </row>
    <row r="13" spans="1:32" s="26" customFormat="1" x14ac:dyDescent="0.25">
      <c r="A13" s="34" t="s">
        <v>164</v>
      </c>
      <c r="B13" s="16"/>
      <c r="C13" s="16"/>
      <c r="D13" s="16"/>
      <c r="E13" s="16"/>
      <c r="F13" s="16"/>
      <c r="G13" s="16"/>
      <c r="H13" s="43"/>
      <c r="I13" s="43"/>
      <c r="J13" s="16"/>
      <c r="K13" s="16"/>
      <c r="L13" s="16"/>
      <c r="M13" s="16"/>
      <c r="N13" s="16"/>
      <c r="O13" s="16"/>
      <c r="P13" s="16"/>
      <c r="Q13" s="16"/>
      <c r="R13" s="16"/>
      <c r="S13" s="22"/>
      <c r="T13" s="16"/>
      <c r="U13" s="16"/>
      <c r="V13" s="16"/>
      <c r="W13" s="16"/>
      <c r="X13" s="16"/>
      <c r="Y13" s="22"/>
      <c r="Z13" s="16"/>
      <c r="AA13" s="16"/>
      <c r="AB13" s="16">
        <v>42946</v>
      </c>
      <c r="AC13" s="16"/>
      <c r="AD13" s="16"/>
      <c r="AE13" s="16"/>
      <c r="AF13" s="16"/>
    </row>
    <row r="14" spans="1:32" s="26" customFormat="1" x14ac:dyDescent="0.25">
      <c r="A14" s="34" t="s">
        <v>10</v>
      </c>
      <c r="B14" s="16">
        <v>124</v>
      </c>
      <c r="C14" s="16"/>
      <c r="D14" s="16">
        <v>0</v>
      </c>
      <c r="E14" s="16">
        <v>30</v>
      </c>
      <c r="F14" s="16">
        <v>0</v>
      </c>
      <c r="G14" s="16">
        <v>0</v>
      </c>
      <c r="H14" s="16"/>
      <c r="I14" s="16">
        <v>704</v>
      </c>
      <c r="J14" s="16">
        <v>6426</v>
      </c>
      <c r="K14" s="16">
        <v>100</v>
      </c>
      <c r="L14" s="16">
        <v>93</v>
      </c>
      <c r="M14" s="16"/>
      <c r="N14" s="16">
        <v>267</v>
      </c>
      <c r="O14" s="16">
        <v>31</v>
      </c>
      <c r="P14" s="16">
        <v>27</v>
      </c>
      <c r="Q14" s="16"/>
      <c r="R14" s="16"/>
      <c r="S14" s="22">
        <v>582000</v>
      </c>
      <c r="T14" s="16">
        <v>181000</v>
      </c>
      <c r="U14" s="16">
        <v>105000</v>
      </c>
      <c r="V14" s="16"/>
      <c r="W14" s="16"/>
      <c r="X14" s="16">
        <v>0</v>
      </c>
      <c r="Y14" s="22">
        <v>0</v>
      </c>
      <c r="Z14" s="16">
        <v>26</v>
      </c>
      <c r="AA14" s="16">
        <v>0</v>
      </c>
      <c r="AB14" s="16"/>
      <c r="AC14" s="16"/>
      <c r="AD14" s="16"/>
      <c r="AE14" s="16"/>
      <c r="AF14" s="16"/>
    </row>
    <row r="15" spans="1:32" s="26" customFormat="1" x14ac:dyDescent="0.25">
      <c r="A15" s="34" t="s">
        <v>11</v>
      </c>
      <c r="B15" s="16"/>
      <c r="C15" s="16">
        <f>12577+1307</f>
        <v>13884</v>
      </c>
      <c r="D15" s="16">
        <v>0</v>
      </c>
      <c r="E15" s="16">
        <f>2401+148</f>
        <v>2549</v>
      </c>
      <c r="F15" s="16">
        <f>595+80</f>
        <v>675</v>
      </c>
      <c r="G15" s="16"/>
      <c r="H15" s="16">
        <f>976+226</f>
        <v>1202</v>
      </c>
      <c r="I15" s="16">
        <f>1415+121</f>
        <v>1536</v>
      </c>
      <c r="J15" s="16">
        <f>7384+600</f>
        <v>7984</v>
      </c>
      <c r="K15" s="16">
        <f>158+100</f>
        <v>258</v>
      </c>
      <c r="L15" s="16">
        <f>1009+154</f>
        <v>1163</v>
      </c>
      <c r="M15" s="16"/>
      <c r="N15" s="16">
        <f>3091+237</f>
        <v>3328</v>
      </c>
      <c r="O15" s="16">
        <f>4341+375</f>
        <v>4716</v>
      </c>
      <c r="P15" s="16">
        <f>1031+25</f>
        <v>1056</v>
      </c>
      <c r="Q15" s="16">
        <v>0</v>
      </c>
      <c r="R15" s="16">
        <f>36295+3100</f>
        <v>39395</v>
      </c>
      <c r="S15" s="22">
        <f>3247908+239562</f>
        <v>3487470</v>
      </c>
      <c r="T15" s="16">
        <f>4638170+154700</f>
        <v>4792870</v>
      </c>
      <c r="U15" s="16">
        <f>4823856+131000</f>
        <v>4954856</v>
      </c>
      <c r="V15" s="16">
        <v>0</v>
      </c>
      <c r="W15" s="16">
        <v>0</v>
      </c>
      <c r="X15" s="16"/>
      <c r="Y15" s="22"/>
      <c r="Z15" s="16"/>
      <c r="AA15" s="16"/>
      <c r="AB15" s="16"/>
      <c r="AC15" s="16"/>
      <c r="AD15" s="16"/>
      <c r="AE15" s="16"/>
      <c r="AF15" s="16"/>
    </row>
    <row r="16" spans="1:32" s="26" customFormat="1" x14ac:dyDescent="0.25">
      <c r="A16" s="34" t="s">
        <v>12</v>
      </c>
      <c r="B16" s="16"/>
      <c r="C16" s="16"/>
      <c r="D16" s="16"/>
      <c r="E16" s="16"/>
      <c r="F16" s="16"/>
      <c r="G16" s="16"/>
      <c r="H16" s="16"/>
      <c r="I16" s="16"/>
      <c r="J16" s="16"/>
      <c r="K16" s="16"/>
      <c r="L16" s="16"/>
      <c r="M16" s="16"/>
      <c r="N16" s="16"/>
      <c r="O16" s="16"/>
      <c r="P16" s="16"/>
      <c r="Q16" s="16"/>
      <c r="R16" s="16"/>
      <c r="S16" s="22"/>
      <c r="T16" s="16"/>
      <c r="U16" s="16"/>
      <c r="V16" s="16"/>
      <c r="W16" s="16"/>
      <c r="X16" s="16"/>
      <c r="Y16" s="22"/>
      <c r="Z16" s="16"/>
      <c r="AA16" s="16"/>
      <c r="AB16" s="16"/>
      <c r="AC16" s="16"/>
      <c r="AD16" s="16"/>
      <c r="AE16" s="16"/>
      <c r="AF16" s="16"/>
    </row>
    <row r="17" spans="1:32" s="26" customFormat="1" x14ac:dyDescent="0.25">
      <c r="A17" s="34" t="s">
        <v>13</v>
      </c>
      <c r="B17" s="16"/>
      <c r="C17" s="16"/>
      <c r="D17" s="16"/>
      <c r="E17" s="16"/>
      <c r="F17" s="16"/>
      <c r="G17" s="16"/>
      <c r="H17" s="16"/>
      <c r="I17" s="16"/>
      <c r="J17" s="16"/>
      <c r="K17" s="16"/>
      <c r="L17" s="16"/>
      <c r="M17" s="16"/>
      <c r="N17" s="16"/>
      <c r="O17" s="16"/>
      <c r="P17" s="16"/>
      <c r="Q17" s="16"/>
      <c r="R17" s="16"/>
      <c r="S17" s="22"/>
      <c r="T17" s="16"/>
      <c r="U17" s="16"/>
      <c r="V17" s="16"/>
      <c r="W17" s="16"/>
      <c r="X17" s="16"/>
      <c r="Y17" s="22"/>
      <c r="Z17" s="16"/>
      <c r="AA17" s="16"/>
      <c r="AB17" s="16"/>
      <c r="AC17" s="16">
        <v>861</v>
      </c>
      <c r="AD17" s="16">
        <v>527</v>
      </c>
      <c r="AE17" s="16">
        <v>65</v>
      </c>
      <c r="AF17" s="16">
        <v>1646</v>
      </c>
    </row>
    <row r="18" spans="1:32" s="26" customFormat="1" x14ac:dyDescent="0.25">
      <c r="A18" s="35" t="s">
        <v>14</v>
      </c>
      <c r="B18" s="20">
        <f t="shared" ref="B18:AA18" si="7">SUM(B11:B17)</f>
        <v>124</v>
      </c>
      <c r="C18" s="20">
        <f t="shared" si="7"/>
        <v>13884</v>
      </c>
      <c r="D18" s="20">
        <f t="shared" si="7"/>
        <v>0</v>
      </c>
      <c r="E18" s="20">
        <f t="shared" si="7"/>
        <v>2579</v>
      </c>
      <c r="F18" s="20">
        <f t="shared" si="7"/>
        <v>675</v>
      </c>
      <c r="G18" s="20">
        <f t="shared" si="7"/>
        <v>0</v>
      </c>
      <c r="H18" s="20">
        <f t="shared" si="7"/>
        <v>1202</v>
      </c>
      <c r="I18" s="20">
        <f t="shared" si="7"/>
        <v>2240</v>
      </c>
      <c r="J18" s="20">
        <f t="shared" si="7"/>
        <v>14410</v>
      </c>
      <c r="K18" s="20">
        <f t="shared" si="7"/>
        <v>358</v>
      </c>
      <c r="L18" s="20">
        <f t="shared" si="7"/>
        <v>1256</v>
      </c>
      <c r="M18" s="20">
        <f t="shared" si="7"/>
        <v>0</v>
      </c>
      <c r="N18" s="20">
        <f t="shared" si="7"/>
        <v>3595</v>
      </c>
      <c r="O18" s="20">
        <f t="shared" si="7"/>
        <v>4747</v>
      </c>
      <c r="P18" s="20">
        <f t="shared" si="7"/>
        <v>1083</v>
      </c>
      <c r="Q18" s="20">
        <f t="shared" si="7"/>
        <v>0</v>
      </c>
      <c r="R18" s="20">
        <f t="shared" si="7"/>
        <v>39395</v>
      </c>
      <c r="S18" s="20">
        <f t="shared" si="7"/>
        <v>4069470</v>
      </c>
      <c r="T18" s="20">
        <f t="shared" si="7"/>
        <v>4973870</v>
      </c>
      <c r="U18" s="20">
        <f t="shared" si="7"/>
        <v>5059856</v>
      </c>
      <c r="V18" s="20">
        <f t="shared" ref="V18:W18" si="8">SUM(V11:V17)</f>
        <v>0</v>
      </c>
      <c r="W18" s="20">
        <f t="shared" si="8"/>
        <v>0</v>
      </c>
      <c r="X18" s="20">
        <f t="shared" si="7"/>
        <v>0</v>
      </c>
      <c r="Y18" s="20">
        <f t="shared" si="7"/>
        <v>0</v>
      </c>
      <c r="Z18" s="20">
        <f>SUM(Z11:Z17)</f>
        <v>26</v>
      </c>
      <c r="AA18" s="20">
        <f t="shared" si="7"/>
        <v>0</v>
      </c>
      <c r="AB18" s="20">
        <f t="shared" ref="AB18:AF18" si="9">SUM(AB11:AB17)</f>
        <v>42946</v>
      </c>
      <c r="AC18" s="20">
        <f t="shared" si="9"/>
        <v>861</v>
      </c>
      <c r="AD18" s="20">
        <f t="shared" si="9"/>
        <v>527</v>
      </c>
      <c r="AE18" s="20">
        <f t="shared" si="9"/>
        <v>65</v>
      </c>
      <c r="AF18" s="20">
        <f t="shared" si="9"/>
        <v>1646</v>
      </c>
    </row>
    <row r="19" spans="1:32" x14ac:dyDescent="0.25">
      <c r="A19" s="35" t="s">
        <v>15</v>
      </c>
      <c r="B19" s="20">
        <f t="shared" ref="B19:AA19" si="10">SUM(B10,B18)</f>
        <v>816</v>
      </c>
      <c r="C19" s="20">
        <f t="shared" si="10"/>
        <v>77299</v>
      </c>
      <c r="D19" s="20">
        <f t="shared" si="10"/>
        <v>16219</v>
      </c>
      <c r="E19" s="20">
        <f t="shared" si="10"/>
        <v>6959</v>
      </c>
      <c r="F19" s="20">
        <f t="shared" si="10"/>
        <v>4508</v>
      </c>
      <c r="G19" s="20">
        <f t="shared" si="10"/>
        <v>10</v>
      </c>
      <c r="H19" s="20">
        <f t="shared" si="10"/>
        <v>3624</v>
      </c>
      <c r="I19" s="20">
        <f t="shared" si="10"/>
        <v>4496</v>
      </c>
      <c r="J19" s="20">
        <f t="shared" si="10"/>
        <v>30392</v>
      </c>
      <c r="K19" s="20">
        <f t="shared" si="10"/>
        <v>865</v>
      </c>
      <c r="L19" s="20">
        <f t="shared" si="10"/>
        <v>3676</v>
      </c>
      <c r="M19" s="20">
        <f t="shared" si="10"/>
        <v>267</v>
      </c>
      <c r="N19" s="20">
        <f t="shared" si="10"/>
        <v>12770</v>
      </c>
      <c r="O19" s="20">
        <f t="shared" si="10"/>
        <v>18825</v>
      </c>
      <c r="P19" s="20">
        <f t="shared" si="10"/>
        <v>5376</v>
      </c>
      <c r="Q19" s="20">
        <f t="shared" si="10"/>
        <v>162</v>
      </c>
      <c r="R19" s="20">
        <f t="shared" si="10"/>
        <v>69327</v>
      </c>
      <c r="S19" s="20">
        <f t="shared" si="10"/>
        <v>7889087</v>
      </c>
      <c r="T19" s="20">
        <f t="shared" si="10"/>
        <v>8712689</v>
      </c>
      <c r="U19" s="20">
        <f t="shared" si="10"/>
        <v>13121657</v>
      </c>
      <c r="V19" s="20">
        <f t="shared" ref="V19:W19" si="11">SUM(V10,V18)</f>
        <v>93</v>
      </c>
      <c r="W19" s="20">
        <f t="shared" si="11"/>
        <v>1467</v>
      </c>
      <c r="X19" s="20">
        <f t="shared" si="10"/>
        <v>153</v>
      </c>
      <c r="Y19" s="20">
        <f t="shared" si="10"/>
        <v>60000</v>
      </c>
      <c r="Z19" s="20">
        <f>SUM(Z10,Z18)</f>
        <v>152</v>
      </c>
      <c r="AA19" s="20">
        <f t="shared" si="10"/>
        <v>92</v>
      </c>
      <c r="AB19" s="20">
        <f t="shared" ref="AB19:AF19" si="12">SUM(AB10,AB18)</f>
        <v>49507</v>
      </c>
      <c r="AC19" s="20">
        <f t="shared" si="12"/>
        <v>1813</v>
      </c>
      <c r="AD19" s="20">
        <f t="shared" si="12"/>
        <v>2182</v>
      </c>
      <c r="AE19" s="20">
        <f t="shared" si="12"/>
        <v>288</v>
      </c>
      <c r="AF19" s="20">
        <f t="shared" si="12"/>
        <v>2107</v>
      </c>
    </row>
    <row r="20" spans="1:32" x14ac:dyDescent="0.25">
      <c r="C20" s="44"/>
      <c r="D20" s="44"/>
      <c r="E20" s="44"/>
      <c r="F20" s="44"/>
      <c r="G20" s="44"/>
      <c r="H20" s="44"/>
      <c r="I20" s="44"/>
      <c r="J20" s="44"/>
      <c r="K20" s="44"/>
      <c r="L20" s="44"/>
      <c r="M20" s="44"/>
      <c r="N20" s="44"/>
      <c r="O20" s="44"/>
      <c r="P20" s="44"/>
      <c r="Q20" s="44"/>
      <c r="R20" s="44"/>
      <c r="S20" s="44"/>
      <c r="T20" s="44"/>
      <c r="U20" s="44"/>
      <c r="V20" s="44"/>
      <c r="W20" s="44"/>
      <c r="X20" s="44"/>
      <c r="Y20" s="44"/>
      <c r="Z20" s="44"/>
      <c r="AA20" s="44"/>
    </row>
    <row r="21" spans="1:32"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row>
    <row r="23" spans="1:32" x14ac:dyDescent="0.25">
      <c r="C23" s="44"/>
      <c r="D23" s="44"/>
      <c r="E23" s="44"/>
      <c r="F23" s="44"/>
      <c r="G23" s="44"/>
      <c r="H23" s="44"/>
      <c r="I23" s="44"/>
      <c r="J23" s="44"/>
      <c r="K23" s="44"/>
      <c r="L23" s="44"/>
      <c r="M23" s="44"/>
      <c r="N23" s="44"/>
      <c r="O23" s="44"/>
      <c r="P23" s="44"/>
      <c r="Q23" s="44"/>
      <c r="R23" s="44"/>
      <c r="S23" s="44"/>
      <c r="T23" s="44"/>
      <c r="U23" s="44"/>
    </row>
    <row r="24" spans="1:32" x14ac:dyDescent="0.25">
      <c r="C24" s="44"/>
      <c r="D24" s="44"/>
      <c r="E24" s="44"/>
      <c r="F24" s="44"/>
      <c r="G24" s="44"/>
      <c r="H24" s="44"/>
      <c r="I24" s="44"/>
      <c r="J24" s="44"/>
      <c r="K24" s="44"/>
      <c r="L24" s="44"/>
      <c r="M24" s="44"/>
      <c r="N24" s="44"/>
      <c r="O24" s="44"/>
      <c r="P24" s="44"/>
      <c r="Q24" s="44"/>
      <c r="R24" s="44"/>
      <c r="S24" s="44"/>
      <c r="T24" s="44"/>
      <c r="U24" s="44"/>
    </row>
  </sheetData>
  <sheetProtection formatCells="0" formatColumns="0" formatRows="0" insertColumns="0" insertRows="0" sort="0" autoFilter="0" pivotTables="0"/>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8A8F8B2-0963-49A2-9165-6F8AFEBE42D1}">
          <x14:formula1>
            <xm:f>'Term List'!$A2:$A242</xm:f>
          </x14:formula1>
          <xm:sqref>AG1:XFD1</xm:sqref>
        </x14:dataValidation>
      </x14:dataValidations>
    </ext>
  </extLst>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341D8-B8BA-4D38-A569-079DF738BCF4}">
  <sheetPr codeName="Sheet28"/>
  <dimension ref="A1:L21"/>
  <sheetViews>
    <sheetView workbookViewId="0">
      <pane xSplit="1" ySplit="1" topLeftCell="D2" activePane="bottomRight" state="frozen"/>
      <selection activeCell="B3" sqref="B3"/>
      <selection pane="topRight" activeCell="B3" sqref="B3"/>
      <selection pane="bottomLeft" activeCell="B3" sqref="B3"/>
      <selection pane="bottomRight"/>
    </sheetView>
  </sheetViews>
  <sheetFormatPr defaultRowHeight="15" x14ac:dyDescent="0.25"/>
  <cols>
    <col min="1" max="1" width="35.7109375" style="6" bestFit="1" customWidth="1"/>
    <col min="2" max="2" width="11.85546875" style="5" bestFit="1" customWidth="1"/>
    <col min="3" max="3" width="13.85546875" style="5" bestFit="1" customWidth="1"/>
    <col min="4" max="4" width="14" style="5" bestFit="1" customWidth="1"/>
    <col min="5" max="5" width="16.7109375" style="5" bestFit="1" customWidth="1"/>
    <col min="6" max="6" width="16.42578125" style="5" bestFit="1" customWidth="1"/>
    <col min="7" max="7" width="12.85546875" style="5" bestFit="1" customWidth="1"/>
    <col min="8" max="8" width="13.5703125" style="5" bestFit="1" customWidth="1"/>
    <col min="9" max="9" width="14.5703125" style="5" bestFit="1" customWidth="1"/>
    <col min="10" max="10" width="15.140625" style="5" bestFit="1" customWidth="1"/>
    <col min="11" max="11" width="11.5703125" style="5" bestFit="1" customWidth="1"/>
    <col min="12" max="12" width="15.85546875" style="5" bestFit="1" customWidth="1"/>
    <col min="13" max="16384" width="9.140625" style="3"/>
  </cols>
  <sheetData>
    <row r="1" spans="1:12" s="14" customFormat="1" ht="30" x14ac:dyDescent="0.25">
      <c r="A1" s="31" t="s">
        <v>319</v>
      </c>
      <c r="B1" s="31" t="s">
        <v>155</v>
      </c>
      <c r="C1" s="31" t="s">
        <v>156</v>
      </c>
      <c r="D1" s="31" t="s">
        <v>154</v>
      </c>
      <c r="E1" s="31" t="s">
        <v>150</v>
      </c>
      <c r="F1" s="31" t="s">
        <v>148</v>
      </c>
      <c r="G1" s="31" t="s">
        <v>130</v>
      </c>
      <c r="H1" s="31" t="s">
        <v>132</v>
      </c>
      <c r="I1" s="31" t="s">
        <v>142</v>
      </c>
      <c r="J1" s="31" t="s">
        <v>144</v>
      </c>
      <c r="K1" s="31" t="s">
        <v>124</v>
      </c>
      <c r="L1" s="31" t="s">
        <v>139</v>
      </c>
    </row>
    <row r="2" spans="1:12" s="26" customFormat="1" x14ac:dyDescent="0.25">
      <c r="A2" s="34" t="s">
        <v>0</v>
      </c>
      <c r="B2" s="16">
        <v>40722</v>
      </c>
      <c r="C2" s="17">
        <v>3422</v>
      </c>
      <c r="D2" s="17">
        <v>302</v>
      </c>
      <c r="E2" s="17">
        <v>8459</v>
      </c>
      <c r="F2" s="17">
        <v>518</v>
      </c>
      <c r="G2" s="17">
        <v>131</v>
      </c>
      <c r="H2" s="17">
        <v>3</v>
      </c>
      <c r="I2" s="17">
        <v>3218</v>
      </c>
      <c r="J2" s="17">
        <v>153</v>
      </c>
      <c r="K2" s="17">
        <v>10615722</v>
      </c>
      <c r="L2" s="17"/>
    </row>
    <row r="3" spans="1:12" s="26" customFormat="1" x14ac:dyDescent="0.25">
      <c r="A3" s="34" t="s">
        <v>1</v>
      </c>
      <c r="B3" s="16">
        <v>2023</v>
      </c>
      <c r="C3" s="17">
        <v>472</v>
      </c>
      <c r="D3" s="17">
        <v>681</v>
      </c>
      <c r="E3" s="17">
        <v>2091</v>
      </c>
      <c r="F3" s="17">
        <v>190</v>
      </c>
      <c r="G3" s="17">
        <v>245</v>
      </c>
      <c r="H3" s="17">
        <v>4</v>
      </c>
      <c r="I3" s="17">
        <v>115</v>
      </c>
      <c r="J3" s="17">
        <v>30</v>
      </c>
      <c r="K3" s="17">
        <v>60173</v>
      </c>
      <c r="L3" s="17"/>
    </row>
    <row r="4" spans="1:12" s="26" customFormat="1" x14ac:dyDescent="0.25">
      <c r="A4" s="34" t="s">
        <v>169</v>
      </c>
      <c r="B4" s="16"/>
      <c r="C4" s="17"/>
      <c r="D4" s="17"/>
      <c r="E4" s="17"/>
      <c r="F4" s="17"/>
      <c r="G4" s="17"/>
      <c r="H4" s="17"/>
      <c r="I4" s="17"/>
      <c r="J4" s="17"/>
      <c r="K4" s="17"/>
      <c r="L4" s="17"/>
    </row>
    <row r="5" spans="1:12" s="26" customFormat="1" x14ac:dyDescent="0.25">
      <c r="A5" s="34" t="s">
        <v>2</v>
      </c>
      <c r="B5" s="16"/>
      <c r="C5" s="17"/>
      <c r="D5" s="17"/>
      <c r="E5" s="17"/>
      <c r="F5" s="17"/>
      <c r="G5" s="17"/>
      <c r="H5" s="17"/>
      <c r="I5" s="17"/>
      <c r="J5" s="17"/>
      <c r="K5" s="17"/>
      <c r="L5" s="17"/>
    </row>
    <row r="6" spans="1:12" s="26" customFormat="1" x14ac:dyDescent="0.25">
      <c r="A6" s="34" t="s">
        <v>3</v>
      </c>
      <c r="B6" s="16">
        <v>97</v>
      </c>
      <c r="C6" s="17">
        <v>14</v>
      </c>
      <c r="D6" s="17">
        <v>432</v>
      </c>
      <c r="E6" s="17">
        <v>2136</v>
      </c>
      <c r="F6" s="17">
        <v>171</v>
      </c>
      <c r="G6" s="17">
        <v>2</v>
      </c>
      <c r="H6" s="17">
        <v>0</v>
      </c>
      <c r="I6" s="17">
        <v>183</v>
      </c>
      <c r="J6" s="17">
        <v>40</v>
      </c>
      <c r="K6" s="17">
        <v>119136</v>
      </c>
      <c r="L6" s="17">
        <v>20</v>
      </c>
    </row>
    <row r="7" spans="1:12" s="26" customFormat="1" x14ac:dyDescent="0.25">
      <c r="A7" s="34" t="s">
        <v>4</v>
      </c>
      <c r="B7" s="16">
        <v>966</v>
      </c>
      <c r="C7" s="17">
        <v>121</v>
      </c>
      <c r="D7" s="17">
        <v>174</v>
      </c>
      <c r="E7" s="17">
        <v>2935</v>
      </c>
      <c r="F7" s="17">
        <v>38</v>
      </c>
      <c r="G7" s="17">
        <v>1712</v>
      </c>
      <c r="H7" s="17">
        <v>29</v>
      </c>
      <c r="I7" s="17">
        <v>2545</v>
      </c>
      <c r="J7" s="17">
        <v>188</v>
      </c>
      <c r="K7" s="17">
        <v>1720321</v>
      </c>
      <c r="L7" s="17">
        <f>3+9</f>
        <v>12</v>
      </c>
    </row>
    <row r="8" spans="1:12" s="26" customFormat="1" x14ac:dyDescent="0.25">
      <c r="A8" s="34" t="s">
        <v>5</v>
      </c>
      <c r="B8" s="16">
        <v>0</v>
      </c>
      <c r="C8" s="17">
        <v>0</v>
      </c>
      <c r="D8" s="17">
        <v>0</v>
      </c>
      <c r="E8" s="17">
        <v>409</v>
      </c>
      <c r="F8" s="17">
        <v>0</v>
      </c>
      <c r="G8" s="17">
        <v>0</v>
      </c>
      <c r="H8" s="17">
        <v>0</v>
      </c>
      <c r="I8" s="17">
        <v>0</v>
      </c>
      <c r="J8" s="17">
        <v>0</v>
      </c>
      <c r="K8" s="17">
        <v>0</v>
      </c>
      <c r="L8" s="17"/>
    </row>
    <row r="9" spans="1:12" s="26" customFormat="1" x14ac:dyDescent="0.25">
      <c r="A9" s="34" t="s">
        <v>6</v>
      </c>
      <c r="B9" s="16"/>
      <c r="C9" s="17"/>
      <c r="D9" s="17"/>
      <c r="E9" s="17"/>
      <c r="F9" s="17"/>
      <c r="G9" s="17"/>
      <c r="H9" s="17"/>
      <c r="I9" s="17"/>
      <c r="J9" s="17"/>
      <c r="K9" s="17"/>
      <c r="L9" s="17"/>
    </row>
    <row r="10" spans="1:12" s="26" customFormat="1" x14ac:dyDescent="0.25">
      <c r="A10" s="35" t="s">
        <v>7</v>
      </c>
      <c r="B10" s="19">
        <f t="shared" ref="B10:L10" si="0">SUM(B2:B9)</f>
        <v>43808</v>
      </c>
      <c r="C10" s="19">
        <f t="shared" si="0"/>
        <v>4029</v>
      </c>
      <c r="D10" s="19">
        <f t="shared" si="0"/>
        <v>1589</v>
      </c>
      <c r="E10" s="19">
        <f t="shared" si="0"/>
        <v>16030</v>
      </c>
      <c r="F10" s="19">
        <f t="shared" si="0"/>
        <v>917</v>
      </c>
      <c r="G10" s="19">
        <f t="shared" si="0"/>
        <v>2090</v>
      </c>
      <c r="H10" s="19">
        <f t="shared" si="0"/>
        <v>36</v>
      </c>
      <c r="I10" s="19">
        <f t="shared" si="0"/>
        <v>6061</v>
      </c>
      <c r="J10" s="19">
        <f t="shared" si="0"/>
        <v>411</v>
      </c>
      <c r="K10" s="19">
        <f t="shared" si="0"/>
        <v>12515352</v>
      </c>
      <c r="L10" s="19">
        <f t="shared" si="0"/>
        <v>32</v>
      </c>
    </row>
    <row r="11" spans="1:12" s="26" customFormat="1" x14ac:dyDescent="0.25">
      <c r="A11" s="34" t="s">
        <v>8</v>
      </c>
      <c r="B11" s="16">
        <v>62852</v>
      </c>
      <c r="C11" s="16">
        <v>7524</v>
      </c>
      <c r="D11" s="16">
        <v>182</v>
      </c>
      <c r="E11" s="16">
        <v>17151</v>
      </c>
      <c r="F11" s="16">
        <v>482</v>
      </c>
      <c r="G11" s="16">
        <v>700</v>
      </c>
      <c r="H11" s="16">
        <v>13</v>
      </c>
      <c r="I11" s="16">
        <v>5308</v>
      </c>
      <c r="J11" s="16">
        <v>66</v>
      </c>
      <c r="K11" s="16">
        <v>3233684</v>
      </c>
      <c r="L11" s="16"/>
    </row>
    <row r="12" spans="1:12" s="26" customFormat="1" x14ac:dyDescent="0.25">
      <c r="A12" s="34" t="s">
        <v>9</v>
      </c>
      <c r="B12" s="16">
        <v>77</v>
      </c>
      <c r="C12" s="16">
        <v>35</v>
      </c>
      <c r="D12" s="16">
        <v>0</v>
      </c>
      <c r="E12" s="16">
        <v>50</v>
      </c>
      <c r="F12" s="16">
        <v>6</v>
      </c>
      <c r="G12" s="16">
        <v>0</v>
      </c>
      <c r="H12" s="16">
        <v>0</v>
      </c>
      <c r="I12" s="16">
        <v>0</v>
      </c>
      <c r="J12" s="16">
        <v>0</v>
      </c>
      <c r="K12" s="16">
        <v>0</v>
      </c>
      <c r="L12" s="16"/>
    </row>
    <row r="13" spans="1:12" s="26" customFormat="1" x14ac:dyDescent="0.25">
      <c r="A13" s="34" t="s">
        <v>164</v>
      </c>
      <c r="B13" s="16"/>
      <c r="C13" s="16"/>
      <c r="D13" s="16"/>
      <c r="E13" s="16"/>
      <c r="F13" s="16"/>
      <c r="G13" s="16"/>
      <c r="H13" s="16"/>
      <c r="I13" s="16"/>
      <c r="J13" s="16"/>
      <c r="K13" s="16"/>
      <c r="L13" s="16"/>
    </row>
    <row r="14" spans="1:12" s="26" customFormat="1" x14ac:dyDescent="0.25">
      <c r="A14" s="34" t="s">
        <v>10</v>
      </c>
      <c r="B14" s="16">
        <v>271</v>
      </c>
      <c r="C14" s="16">
        <v>138</v>
      </c>
      <c r="D14" s="16">
        <v>4</v>
      </c>
      <c r="E14" s="16">
        <v>1258</v>
      </c>
      <c r="F14" s="16">
        <v>10</v>
      </c>
      <c r="G14" s="16">
        <v>105</v>
      </c>
      <c r="H14" s="16">
        <v>0</v>
      </c>
      <c r="I14" s="16">
        <v>821</v>
      </c>
      <c r="J14" s="16">
        <v>0</v>
      </c>
      <c r="K14" s="16">
        <v>22911</v>
      </c>
      <c r="L14" s="16">
        <v>31</v>
      </c>
    </row>
    <row r="15" spans="1:12" s="26" customFormat="1" x14ac:dyDescent="0.25">
      <c r="A15" s="34" t="s">
        <v>11</v>
      </c>
      <c r="B15" s="16">
        <v>379</v>
      </c>
      <c r="C15" s="16">
        <v>99</v>
      </c>
      <c r="D15" s="16">
        <v>22</v>
      </c>
      <c r="E15" s="16">
        <v>8728</v>
      </c>
      <c r="F15" s="16">
        <v>1</v>
      </c>
      <c r="G15" s="16">
        <v>392</v>
      </c>
      <c r="H15" s="16">
        <v>2</v>
      </c>
      <c r="I15" s="16">
        <v>2685</v>
      </c>
      <c r="J15" s="16">
        <v>390</v>
      </c>
      <c r="K15" s="16">
        <v>94344</v>
      </c>
      <c r="L15" s="16">
        <f>392+1</f>
        <v>393</v>
      </c>
    </row>
    <row r="16" spans="1:12" s="26" customFormat="1" x14ac:dyDescent="0.25">
      <c r="A16" s="34" t="s">
        <v>12</v>
      </c>
      <c r="B16" s="16">
        <v>0</v>
      </c>
      <c r="C16" s="16"/>
      <c r="D16" s="16">
        <v>0</v>
      </c>
      <c r="E16" s="16">
        <v>81</v>
      </c>
      <c r="F16" s="16">
        <v>0</v>
      </c>
      <c r="G16" s="16">
        <v>0</v>
      </c>
      <c r="H16" s="16">
        <v>0</v>
      </c>
      <c r="I16" s="16">
        <v>0</v>
      </c>
      <c r="J16" s="16">
        <v>0</v>
      </c>
      <c r="K16" s="16">
        <v>0</v>
      </c>
      <c r="L16" s="16"/>
    </row>
    <row r="17" spans="1:12" s="26" customFormat="1" x14ac:dyDescent="0.25">
      <c r="A17" s="34" t="s">
        <v>13</v>
      </c>
      <c r="B17" s="16"/>
      <c r="C17" s="16"/>
      <c r="D17" s="16"/>
      <c r="E17" s="16"/>
      <c r="F17" s="16"/>
      <c r="G17" s="16"/>
      <c r="H17" s="16"/>
      <c r="I17" s="16"/>
      <c r="J17" s="16"/>
      <c r="K17" s="16"/>
      <c r="L17" s="16"/>
    </row>
    <row r="18" spans="1:12" s="26" customFormat="1" x14ac:dyDescent="0.25">
      <c r="A18" s="35" t="s">
        <v>14</v>
      </c>
      <c r="B18" s="19">
        <f t="shared" ref="B18:L18" si="1">SUM(B11:B17)</f>
        <v>63579</v>
      </c>
      <c r="C18" s="19">
        <f t="shared" si="1"/>
        <v>7796</v>
      </c>
      <c r="D18" s="19">
        <f t="shared" si="1"/>
        <v>208</v>
      </c>
      <c r="E18" s="19">
        <f t="shared" si="1"/>
        <v>27268</v>
      </c>
      <c r="F18" s="19">
        <f t="shared" si="1"/>
        <v>499</v>
      </c>
      <c r="G18" s="19">
        <f t="shared" si="1"/>
        <v>1197</v>
      </c>
      <c r="H18" s="19">
        <f t="shared" si="1"/>
        <v>15</v>
      </c>
      <c r="I18" s="19">
        <f t="shared" si="1"/>
        <v>8814</v>
      </c>
      <c r="J18" s="19">
        <f t="shared" si="1"/>
        <v>456</v>
      </c>
      <c r="K18" s="19">
        <f t="shared" si="1"/>
        <v>3350939</v>
      </c>
      <c r="L18" s="19">
        <f t="shared" si="1"/>
        <v>424</v>
      </c>
    </row>
    <row r="19" spans="1:12" x14ac:dyDescent="0.25">
      <c r="A19" s="35" t="s">
        <v>15</v>
      </c>
      <c r="B19" s="19">
        <f t="shared" ref="B19:L19" si="2">SUM(B10,B18)</f>
        <v>107387</v>
      </c>
      <c r="C19" s="19">
        <f t="shared" si="2"/>
        <v>11825</v>
      </c>
      <c r="D19" s="19">
        <f t="shared" si="2"/>
        <v>1797</v>
      </c>
      <c r="E19" s="19">
        <f t="shared" si="2"/>
        <v>43298</v>
      </c>
      <c r="F19" s="19">
        <f t="shared" si="2"/>
        <v>1416</v>
      </c>
      <c r="G19" s="19">
        <f t="shared" si="2"/>
        <v>3287</v>
      </c>
      <c r="H19" s="19">
        <f t="shared" si="2"/>
        <v>51</v>
      </c>
      <c r="I19" s="19">
        <f t="shared" si="2"/>
        <v>14875</v>
      </c>
      <c r="J19" s="19">
        <f t="shared" si="2"/>
        <v>867</v>
      </c>
      <c r="K19" s="19">
        <f t="shared" si="2"/>
        <v>15866291</v>
      </c>
      <c r="L19" s="19">
        <f t="shared" si="2"/>
        <v>456</v>
      </c>
    </row>
    <row r="21" spans="1:12" x14ac:dyDescent="0.25">
      <c r="B21" s="44"/>
      <c r="C21" s="44"/>
      <c r="D21" s="44"/>
      <c r="E21" s="44"/>
      <c r="F21" s="44"/>
      <c r="G21" s="44"/>
      <c r="H21" s="44"/>
      <c r="I21" s="44"/>
      <c r="J21" s="44"/>
      <c r="K21" s="44"/>
      <c r="L21" s="44"/>
    </row>
  </sheetData>
  <sheetProtection formatCells="0" formatColumns="0" formatRows="0" insertColumns="0" insertRows="0" sort="0" autoFilter="0" pivotTables="0"/>
  <dataValidations count="1">
    <dataValidation type="list" errorStyle="information" allowBlank="1" showInputMessage="1" showErrorMessage="1" sqref="B1:L1" xr:uid="{9DB275D1-5268-49D4-8D54-D3B8F35A1685}">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DE87F376-E2C7-4E17-8B12-855B1063BFB0}">
          <x14:formula1>
            <xm:f>'Term List'!$A2:$A242</xm:f>
          </x14:formula1>
          <xm:sqref>M1:XFD1</xm:sqref>
        </x14:dataValidation>
      </x14:dataValidations>
    </ext>
  </extLst>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5123A-FC02-4EAC-90FF-6B3BD7CB0B54}">
  <sheetPr codeName="Sheet27"/>
  <dimension ref="A1:AH21"/>
  <sheetViews>
    <sheetView workbookViewId="0">
      <pane xSplit="1" ySplit="1" topLeftCell="B2" activePane="bottomRight" state="frozen"/>
      <selection activeCell="B3" sqref="B3"/>
      <selection pane="topRight" activeCell="B3" sqref="B3"/>
      <selection pane="bottomLeft" activeCell="B3" sqref="B3"/>
      <selection pane="bottomRight"/>
    </sheetView>
  </sheetViews>
  <sheetFormatPr defaultRowHeight="15" x14ac:dyDescent="0.25"/>
  <cols>
    <col min="1" max="1" width="35.7109375" style="6" bestFit="1" customWidth="1"/>
    <col min="2" max="2" width="13.7109375" style="5" bestFit="1" customWidth="1"/>
    <col min="3" max="3" width="16.7109375" style="5" bestFit="1" customWidth="1"/>
    <col min="4" max="4" width="13.85546875" style="5" bestFit="1" customWidth="1"/>
    <col min="5" max="5" width="12" style="5" bestFit="1" customWidth="1"/>
    <col min="6" max="6" width="14.28515625" style="5" bestFit="1" customWidth="1"/>
    <col min="7" max="7" width="12" style="5" bestFit="1" customWidth="1"/>
    <col min="8" max="8" width="15.28515625" style="5" bestFit="1" customWidth="1"/>
    <col min="9" max="9" width="12.5703125" style="5" bestFit="1" customWidth="1"/>
    <col min="10" max="10" width="11.85546875" style="5" bestFit="1" customWidth="1"/>
    <col min="11" max="11" width="12" style="5" bestFit="1" customWidth="1"/>
    <col min="12" max="12" width="18.140625" style="5" bestFit="1" customWidth="1"/>
    <col min="13" max="13" width="15.7109375" style="5" bestFit="1" customWidth="1"/>
    <col min="14" max="14" width="17.7109375" style="5" bestFit="1" customWidth="1"/>
    <col min="15" max="15" width="13.28515625" style="5" bestFit="1" customWidth="1"/>
    <col min="16" max="16" width="13.140625" style="5" bestFit="1" customWidth="1"/>
    <col min="17" max="17" width="14.140625" style="5" bestFit="1" customWidth="1"/>
    <col min="18" max="19" width="15.85546875" style="5" bestFit="1" customWidth="1"/>
    <col min="20" max="20" width="11.5703125" style="5" bestFit="1" customWidth="1"/>
    <col min="21" max="21" width="14" style="5" bestFit="1" customWidth="1"/>
    <col min="22" max="22" width="10" style="5" bestFit="1" customWidth="1"/>
    <col min="23" max="23" width="11.28515625" style="5" bestFit="1" customWidth="1"/>
    <col min="24" max="24" width="5.7109375" style="5" bestFit="1" customWidth="1"/>
    <col min="25" max="25" width="13.42578125" style="3" bestFit="1" customWidth="1"/>
    <col min="26" max="26" width="18.28515625" style="5" bestFit="1" customWidth="1"/>
    <col min="27" max="27" width="10.5703125" style="5" bestFit="1" customWidth="1"/>
    <col min="28" max="28" width="11.5703125" style="5" bestFit="1" customWidth="1"/>
    <col min="29" max="29" width="15.85546875" style="5" bestFit="1" customWidth="1"/>
    <col min="30" max="30" width="16" style="3" bestFit="1" customWidth="1"/>
    <col min="31" max="31" width="16.28515625" style="5" bestFit="1" customWidth="1"/>
    <col min="32" max="32" width="15.85546875" style="3" bestFit="1" customWidth="1"/>
    <col min="33" max="33" width="15.28515625" style="3" bestFit="1" customWidth="1"/>
    <col min="34" max="34" width="15.5703125" style="3" bestFit="1" customWidth="1"/>
    <col min="35" max="16384" width="9.140625" style="3"/>
  </cols>
  <sheetData>
    <row r="1" spans="1:34" s="40" customFormat="1" ht="30" x14ac:dyDescent="0.25">
      <c r="A1" s="31" t="s">
        <v>580</v>
      </c>
      <c r="B1" s="31" t="s">
        <v>62</v>
      </c>
      <c r="C1" s="31" t="s">
        <v>58</v>
      </c>
      <c r="D1" s="31" t="s">
        <v>57</v>
      </c>
      <c r="E1" s="31" t="s">
        <v>35</v>
      </c>
      <c r="F1" s="31" t="s">
        <v>36</v>
      </c>
      <c r="G1" s="31" t="s">
        <v>39</v>
      </c>
      <c r="H1" s="31" t="s">
        <v>42</v>
      </c>
      <c r="I1" s="31" t="s">
        <v>99</v>
      </c>
      <c r="J1" s="31" t="s">
        <v>570</v>
      </c>
      <c r="K1" s="31" t="s">
        <v>567</v>
      </c>
      <c r="L1" s="31" t="s">
        <v>569</v>
      </c>
      <c r="M1" s="31" t="s">
        <v>572</v>
      </c>
      <c r="N1" s="31" t="s">
        <v>573</v>
      </c>
      <c r="O1" s="31" t="s">
        <v>28</v>
      </c>
      <c r="P1" s="31" t="s">
        <v>89</v>
      </c>
      <c r="Q1" s="31" t="s">
        <v>45</v>
      </c>
      <c r="R1" s="31" t="s">
        <v>323</v>
      </c>
      <c r="S1" s="31" t="s">
        <v>277</v>
      </c>
      <c r="T1" s="31" t="s">
        <v>54</v>
      </c>
      <c r="U1" s="31" t="s">
        <v>53</v>
      </c>
      <c r="V1" s="31" t="s">
        <v>82</v>
      </c>
      <c r="W1" s="31" t="s">
        <v>51</v>
      </c>
      <c r="X1" s="31" t="s">
        <v>104</v>
      </c>
      <c r="Y1" s="31" t="s">
        <v>75</v>
      </c>
      <c r="Z1" s="31" t="s">
        <v>107</v>
      </c>
      <c r="AA1" s="31" t="s">
        <v>276</v>
      </c>
      <c r="AB1" s="31" t="s">
        <v>101</v>
      </c>
      <c r="AC1" s="31" t="s">
        <v>78</v>
      </c>
      <c r="AD1" s="31" t="s">
        <v>77</v>
      </c>
      <c r="AE1" s="39" t="s">
        <v>330</v>
      </c>
      <c r="AF1" s="39" t="s">
        <v>331</v>
      </c>
      <c r="AG1" s="39" t="s">
        <v>332</v>
      </c>
      <c r="AH1" s="39" t="s">
        <v>333</v>
      </c>
    </row>
    <row r="2" spans="1:34" s="26" customFormat="1" x14ac:dyDescent="0.25">
      <c r="A2" s="34" t="s">
        <v>0</v>
      </c>
      <c r="B2" s="16"/>
      <c r="C2" s="16"/>
      <c r="D2" s="16"/>
      <c r="E2" s="16"/>
      <c r="F2" s="16"/>
      <c r="G2" s="16"/>
      <c r="H2" s="16"/>
      <c r="I2" s="17"/>
      <c r="J2" s="17"/>
      <c r="K2" s="17"/>
      <c r="L2" s="17"/>
      <c r="M2" s="17"/>
      <c r="N2" s="17"/>
      <c r="O2" s="17"/>
      <c r="P2" s="17"/>
      <c r="Q2" s="17"/>
      <c r="R2" s="17"/>
      <c r="S2" s="17"/>
      <c r="T2" s="17"/>
      <c r="U2" s="17"/>
      <c r="V2" s="17"/>
      <c r="W2" s="17"/>
      <c r="X2" s="17"/>
      <c r="Y2" s="24"/>
      <c r="Z2" s="17"/>
      <c r="AA2" s="17"/>
      <c r="AB2" s="17"/>
      <c r="AC2" s="17"/>
      <c r="AD2" s="24"/>
      <c r="AE2" s="17"/>
      <c r="AF2" s="17"/>
      <c r="AG2" s="17"/>
      <c r="AH2" s="17"/>
    </row>
    <row r="3" spans="1:34" s="26" customFormat="1" x14ac:dyDescent="0.25">
      <c r="A3" s="34" t="s">
        <v>1</v>
      </c>
      <c r="B3" s="16"/>
      <c r="C3" s="16"/>
      <c r="D3" s="16"/>
      <c r="E3" s="16"/>
      <c r="F3" s="16"/>
      <c r="G3" s="16"/>
      <c r="H3" s="16"/>
      <c r="I3" s="17"/>
      <c r="J3" s="17"/>
      <c r="K3" s="17"/>
      <c r="L3" s="17"/>
      <c r="M3" s="17"/>
      <c r="N3" s="17"/>
      <c r="O3" s="17"/>
      <c r="P3" s="17"/>
      <c r="Q3" s="17"/>
      <c r="R3" s="17"/>
      <c r="S3" s="17"/>
      <c r="T3" s="17"/>
      <c r="U3" s="17"/>
      <c r="V3" s="17"/>
      <c r="W3" s="17"/>
      <c r="X3" s="17"/>
      <c r="Y3" s="24"/>
      <c r="Z3" s="17"/>
      <c r="AA3" s="17"/>
      <c r="AB3" s="17"/>
      <c r="AC3" s="17"/>
      <c r="AD3" s="24"/>
      <c r="AE3" s="17"/>
      <c r="AF3" s="17"/>
      <c r="AG3" s="17"/>
      <c r="AH3" s="17"/>
    </row>
    <row r="4" spans="1:34" s="26" customFormat="1" x14ac:dyDescent="0.25">
      <c r="A4" s="34" t="s">
        <v>169</v>
      </c>
      <c r="B4" s="16"/>
      <c r="C4" s="16"/>
      <c r="D4" s="16"/>
      <c r="E4" s="16"/>
      <c r="F4" s="16"/>
      <c r="G4" s="16"/>
      <c r="H4" s="16"/>
      <c r="I4" s="17"/>
      <c r="J4" s="17"/>
      <c r="K4" s="17"/>
      <c r="L4" s="17"/>
      <c r="M4" s="17"/>
      <c r="N4" s="17"/>
      <c r="O4" s="17"/>
      <c r="P4" s="17"/>
      <c r="Q4" s="17"/>
      <c r="R4" s="17"/>
      <c r="S4" s="17"/>
      <c r="T4" s="17"/>
      <c r="U4" s="17"/>
      <c r="V4" s="17"/>
      <c r="W4" s="17"/>
      <c r="X4" s="17"/>
      <c r="Y4" s="24"/>
      <c r="Z4" s="17"/>
      <c r="AA4" s="17"/>
      <c r="AB4" s="17"/>
      <c r="AC4" s="17"/>
      <c r="AD4" s="24"/>
      <c r="AE4" s="17"/>
      <c r="AF4" s="17"/>
      <c r="AG4" s="17"/>
      <c r="AH4" s="17"/>
    </row>
    <row r="5" spans="1:34" s="26" customFormat="1" x14ac:dyDescent="0.25">
      <c r="A5" s="34" t="s">
        <v>2</v>
      </c>
      <c r="B5" s="16"/>
      <c r="C5" s="16"/>
      <c r="D5" s="16"/>
      <c r="E5" s="16"/>
      <c r="F5" s="16"/>
      <c r="G5" s="16"/>
      <c r="H5" s="16"/>
      <c r="I5" s="17"/>
      <c r="J5" s="17"/>
      <c r="K5" s="17"/>
      <c r="L5" s="17"/>
      <c r="M5" s="17"/>
      <c r="N5" s="17"/>
      <c r="O5" s="17"/>
      <c r="P5" s="17"/>
      <c r="Q5" s="17"/>
      <c r="R5" s="17"/>
      <c r="S5" s="17"/>
      <c r="T5" s="17"/>
      <c r="U5" s="17"/>
      <c r="V5" s="17"/>
      <c r="W5" s="17"/>
      <c r="X5" s="17"/>
      <c r="Y5" s="24"/>
      <c r="Z5" s="17"/>
      <c r="AA5" s="17"/>
      <c r="AB5" s="17"/>
      <c r="AC5" s="17"/>
      <c r="AD5" s="24"/>
      <c r="AE5" s="17"/>
      <c r="AF5" s="17"/>
      <c r="AG5" s="17"/>
      <c r="AH5" s="17"/>
    </row>
    <row r="6" spans="1:34" s="26" customFormat="1" x14ac:dyDescent="0.25">
      <c r="A6" s="34" t="s">
        <v>3</v>
      </c>
      <c r="B6" s="16">
        <v>478</v>
      </c>
      <c r="C6" s="16"/>
      <c r="D6" s="16"/>
      <c r="E6" s="16"/>
      <c r="F6" s="16">
        <v>257</v>
      </c>
      <c r="G6" s="16"/>
      <c r="H6" s="16">
        <v>679</v>
      </c>
      <c r="I6" s="17">
        <v>0</v>
      </c>
      <c r="J6" s="17">
        <v>2636</v>
      </c>
      <c r="K6" s="41">
        <f>7673+(93/2)</f>
        <v>7719.5</v>
      </c>
      <c r="L6" s="17">
        <v>483</v>
      </c>
      <c r="M6" s="17">
        <v>306</v>
      </c>
      <c r="N6" s="17">
        <v>59</v>
      </c>
      <c r="O6" s="17">
        <v>85</v>
      </c>
      <c r="P6" s="17">
        <v>61</v>
      </c>
      <c r="Q6" s="17">
        <v>56</v>
      </c>
      <c r="R6" s="17"/>
      <c r="S6" s="17"/>
      <c r="T6" s="17">
        <v>62</v>
      </c>
      <c r="U6" s="17">
        <v>678</v>
      </c>
      <c r="V6" s="17">
        <v>97</v>
      </c>
      <c r="W6" s="17">
        <v>4970</v>
      </c>
      <c r="X6" s="17">
        <v>319</v>
      </c>
      <c r="Y6" s="24">
        <v>500178</v>
      </c>
      <c r="Z6" s="17">
        <v>57432</v>
      </c>
      <c r="AA6" s="17"/>
      <c r="AB6" s="17">
        <v>62335</v>
      </c>
      <c r="AC6" s="17">
        <v>75</v>
      </c>
      <c r="AD6" s="24">
        <v>167482</v>
      </c>
      <c r="AE6" s="17"/>
      <c r="AF6" s="17"/>
      <c r="AG6" s="17"/>
      <c r="AH6" s="17"/>
    </row>
    <row r="7" spans="1:34" s="26" customFormat="1" x14ac:dyDescent="0.25">
      <c r="A7" s="34" t="s">
        <v>4</v>
      </c>
      <c r="B7" s="16"/>
      <c r="C7" s="16">
        <f>94+8</f>
        <v>102</v>
      </c>
      <c r="D7" s="16">
        <f>79269+25362+(4699/2)+(1368/2)</f>
        <v>107664.5</v>
      </c>
      <c r="E7" s="16">
        <f>8043+964</f>
        <v>9007</v>
      </c>
      <c r="F7" s="16">
        <f>2672+1235+(661/2)+(374/2)</f>
        <v>4424.5</v>
      </c>
      <c r="G7" s="16">
        <f>1688+89</f>
        <v>1777</v>
      </c>
      <c r="H7" s="16"/>
      <c r="I7" s="41">
        <f>1898+513+(455/2)+(360/2)</f>
        <v>2818.5</v>
      </c>
      <c r="J7" s="17">
        <f>740+111</f>
        <v>851</v>
      </c>
      <c r="K7" s="17">
        <f>6504+1457+(17/2)+(12/2)</f>
        <v>7975.5</v>
      </c>
      <c r="L7" s="17">
        <f>1468+60</f>
        <v>1528</v>
      </c>
      <c r="M7" s="17">
        <f>1803+577</f>
        <v>2380</v>
      </c>
      <c r="N7" s="17"/>
      <c r="O7" s="17">
        <f>2245+1183+(621/2)+(471/2)</f>
        <v>3974</v>
      </c>
      <c r="P7" s="41">
        <f>7454+2353+(273/2)+(40/2)</f>
        <v>9963.5</v>
      </c>
      <c r="Q7" s="17">
        <f>333+70+(1428/2)+(142/2)</f>
        <v>1188</v>
      </c>
      <c r="R7" s="17">
        <f>521+361</f>
        <v>882</v>
      </c>
      <c r="S7" s="17">
        <f>5626+50</f>
        <v>5676</v>
      </c>
      <c r="T7" s="17">
        <f>489+221</f>
        <v>710</v>
      </c>
      <c r="U7" s="17">
        <f>55277+14395</f>
        <v>69672</v>
      </c>
      <c r="V7" s="17"/>
      <c r="W7" s="17"/>
      <c r="X7" s="17"/>
      <c r="Y7" s="24">
        <f>5789192+520879</f>
        <v>6310071</v>
      </c>
      <c r="Z7" s="17"/>
      <c r="AA7" s="17">
        <f>1419923+687639</f>
        <v>2107562</v>
      </c>
      <c r="AB7" s="17">
        <f>6072172+612600</f>
        <v>6684772</v>
      </c>
      <c r="AC7" s="17"/>
      <c r="AD7" s="24"/>
      <c r="AE7" s="17"/>
      <c r="AF7" s="17"/>
      <c r="AG7" s="17"/>
      <c r="AH7" s="17"/>
    </row>
    <row r="8" spans="1:34" s="26" customFormat="1" x14ac:dyDescent="0.25">
      <c r="A8" s="34" t="s">
        <v>5</v>
      </c>
      <c r="B8" s="16"/>
      <c r="C8" s="16"/>
      <c r="D8" s="16"/>
      <c r="E8" s="16"/>
      <c r="F8" s="16"/>
      <c r="G8" s="16"/>
      <c r="H8" s="16"/>
      <c r="I8" s="41"/>
      <c r="J8" s="41"/>
      <c r="K8" s="17"/>
      <c r="L8" s="17"/>
      <c r="M8" s="17"/>
      <c r="N8" s="17"/>
      <c r="O8" s="17"/>
      <c r="P8" s="17"/>
      <c r="Q8" s="17"/>
      <c r="R8" s="17"/>
      <c r="S8" s="17"/>
      <c r="T8" s="17"/>
      <c r="U8" s="17"/>
      <c r="V8" s="17"/>
      <c r="W8" s="17"/>
      <c r="X8" s="17"/>
      <c r="Y8" s="24"/>
      <c r="Z8" s="17"/>
      <c r="AA8" s="17"/>
      <c r="AB8" s="17"/>
      <c r="AC8" s="17"/>
      <c r="AD8" s="24"/>
      <c r="AE8" s="17"/>
      <c r="AF8" s="17"/>
      <c r="AG8" s="17"/>
      <c r="AH8" s="17"/>
    </row>
    <row r="9" spans="1:34" s="26" customFormat="1" x14ac:dyDescent="0.25">
      <c r="A9" s="34" t="s">
        <v>6</v>
      </c>
      <c r="B9" s="16"/>
      <c r="C9" s="16"/>
      <c r="D9" s="16"/>
      <c r="E9" s="16"/>
      <c r="F9" s="16"/>
      <c r="G9" s="16"/>
      <c r="H9" s="16"/>
      <c r="I9" s="41"/>
      <c r="J9" s="41"/>
      <c r="K9" s="17"/>
      <c r="L9" s="17"/>
      <c r="M9" s="17"/>
      <c r="N9" s="17"/>
      <c r="O9" s="17"/>
      <c r="P9" s="17"/>
      <c r="Q9" s="17"/>
      <c r="R9" s="17"/>
      <c r="S9" s="17"/>
      <c r="T9" s="17"/>
      <c r="U9" s="17"/>
      <c r="V9" s="17"/>
      <c r="W9" s="17"/>
      <c r="X9" s="17"/>
      <c r="Y9" s="24"/>
      <c r="Z9" s="17"/>
      <c r="AA9" s="17"/>
      <c r="AB9" s="17"/>
      <c r="AC9" s="17"/>
      <c r="AD9" s="24"/>
      <c r="AE9" s="17">
        <v>974</v>
      </c>
      <c r="AF9" s="17">
        <v>1822</v>
      </c>
      <c r="AG9" s="17">
        <v>294</v>
      </c>
      <c r="AH9" s="17">
        <v>1325</v>
      </c>
    </row>
    <row r="10" spans="1:34" s="26" customFormat="1" x14ac:dyDescent="0.25">
      <c r="A10" s="35" t="s">
        <v>7</v>
      </c>
      <c r="B10" s="19">
        <f>SUM(B2:B9)</f>
        <v>478</v>
      </c>
      <c r="C10" s="19">
        <f t="shared" ref="C10:AE10" si="0">SUM(C2:C9)</f>
        <v>102</v>
      </c>
      <c r="D10" s="19">
        <f t="shared" si="0"/>
        <v>107664.5</v>
      </c>
      <c r="E10" s="19">
        <f t="shared" si="0"/>
        <v>9007</v>
      </c>
      <c r="F10" s="19">
        <f t="shared" si="0"/>
        <v>4681.5</v>
      </c>
      <c r="G10" s="19">
        <f t="shared" si="0"/>
        <v>1777</v>
      </c>
      <c r="H10" s="19">
        <f t="shared" si="0"/>
        <v>679</v>
      </c>
      <c r="I10" s="19">
        <f t="shared" si="0"/>
        <v>2818.5</v>
      </c>
      <c r="J10" s="19">
        <f t="shared" si="0"/>
        <v>3487</v>
      </c>
      <c r="K10" s="19">
        <f t="shared" si="0"/>
        <v>15695</v>
      </c>
      <c r="L10" s="19">
        <f t="shared" si="0"/>
        <v>2011</v>
      </c>
      <c r="M10" s="19">
        <f t="shared" si="0"/>
        <v>2686</v>
      </c>
      <c r="N10" s="19">
        <f t="shared" si="0"/>
        <v>59</v>
      </c>
      <c r="O10" s="19">
        <f t="shared" si="0"/>
        <v>4059</v>
      </c>
      <c r="P10" s="19">
        <f t="shared" si="0"/>
        <v>10024.5</v>
      </c>
      <c r="Q10" s="19">
        <f t="shared" si="0"/>
        <v>1244</v>
      </c>
      <c r="R10" s="19">
        <f t="shared" si="0"/>
        <v>882</v>
      </c>
      <c r="S10" s="19">
        <f t="shared" si="0"/>
        <v>5676</v>
      </c>
      <c r="T10" s="19">
        <f t="shared" si="0"/>
        <v>772</v>
      </c>
      <c r="U10" s="19">
        <f t="shared" si="0"/>
        <v>70350</v>
      </c>
      <c r="V10" s="19">
        <f t="shared" si="0"/>
        <v>97</v>
      </c>
      <c r="W10" s="19">
        <f t="shared" si="0"/>
        <v>4970</v>
      </c>
      <c r="X10" s="19">
        <f t="shared" si="0"/>
        <v>319</v>
      </c>
      <c r="Y10" s="19">
        <f t="shared" si="0"/>
        <v>6810249</v>
      </c>
      <c r="Z10" s="19">
        <f t="shared" si="0"/>
        <v>57432</v>
      </c>
      <c r="AA10" s="19">
        <f t="shared" si="0"/>
        <v>2107562</v>
      </c>
      <c r="AB10" s="19">
        <f t="shared" si="0"/>
        <v>6747107</v>
      </c>
      <c r="AC10" s="19">
        <f t="shared" si="0"/>
        <v>75</v>
      </c>
      <c r="AD10" s="19">
        <f t="shared" si="0"/>
        <v>167482</v>
      </c>
      <c r="AE10" s="19">
        <f t="shared" si="0"/>
        <v>974</v>
      </c>
      <c r="AF10" s="19">
        <f t="shared" ref="AF10" si="1">SUM(AF2:AF9)</f>
        <v>1822</v>
      </c>
      <c r="AG10" s="19">
        <f t="shared" ref="AG10" si="2">SUM(AG2:AG9)</f>
        <v>294</v>
      </c>
      <c r="AH10" s="19">
        <f t="shared" ref="AH10" si="3">SUM(AH2:AH9)</f>
        <v>1325</v>
      </c>
    </row>
    <row r="11" spans="1:34" s="26" customFormat="1" x14ac:dyDescent="0.25">
      <c r="A11" s="34" t="s">
        <v>8</v>
      </c>
      <c r="B11" s="16"/>
      <c r="C11" s="16"/>
      <c r="D11" s="16"/>
      <c r="E11" s="16"/>
      <c r="F11" s="16"/>
      <c r="G11" s="16"/>
      <c r="H11" s="16"/>
      <c r="I11" s="43"/>
      <c r="J11" s="43"/>
      <c r="K11" s="16"/>
      <c r="L11" s="16"/>
      <c r="M11" s="16"/>
      <c r="N11" s="16"/>
      <c r="O11" s="16"/>
      <c r="P11" s="16"/>
      <c r="Q11" s="16"/>
      <c r="R11" s="16"/>
      <c r="S11" s="16"/>
      <c r="T11" s="16"/>
      <c r="U11" s="16"/>
      <c r="V11" s="16"/>
      <c r="W11" s="16"/>
      <c r="X11" s="16"/>
      <c r="Y11" s="22"/>
      <c r="Z11" s="16"/>
      <c r="AA11" s="16"/>
      <c r="AB11" s="16"/>
      <c r="AC11" s="16"/>
      <c r="AD11" s="22"/>
      <c r="AE11" s="16"/>
      <c r="AF11" s="16"/>
      <c r="AG11" s="16"/>
      <c r="AH11" s="16"/>
    </row>
    <row r="12" spans="1:34" s="26" customFormat="1" x14ac:dyDescent="0.25">
      <c r="A12" s="34" t="s">
        <v>9</v>
      </c>
      <c r="B12" s="16"/>
      <c r="C12" s="16"/>
      <c r="D12" s="16"/>
      <c r="E12" s="16"/>
      <c r="F12" s="16"/>
      <c r="G12" s="16"/>
      <c r="H12" s="16"/>
      <c r="I12" s="43"/>
      <c r="J12" s="43"/>
      <c r="K12" s="16"/>
      <c r="L12" s="16"/>
      <c r="M12" s="16"/>
      <c r="N12" s="16"/>
      <c r="O12" s="16"/>
      <c r="P12" s="16"/>
      <c r="Q12" s="16"/>
      <c r="R12" s="16"/>
      <c r="S12" s="16"/>
      <c r="T12" s="16"/>
      <c r="U12" s="16"/>
      <c r="V12" s="16"/>
      <c r="W12" s="16"/>
      <c r="X12" s="16"/>
      <c r="Y12" s="22"/>
      <c r="Z12" s="16"/>
      <c r="AA12" s="16"/>
      <c r="AB12" s="16"/>
      <c r="AC12" s="16"/>
      <c r="AD12" s="22"/>
      <c r="AE12" s="16"/>
      <c r="AF12" s="16"/>
      <c r="AG12" s="16"/>
      <c r="AH12" s="16"/>
    </row>
    <row r="13" spans="1:34" s="26" customFormat="1" x14ac:dyDescent="0.25">
      <c r="A13" s="34" t="s">
        <v>164</v>
      </c>
      <c r="B13" s="16"/>
      <c r="C13" s="16"/>
      <c r="D13" s="16"/>
      <c r="E13" s="16"/>
      <c r="F13" s="16"/>
      <c r="G13" s="16"/>
      <c r="H13" s="16"/>
      <c r="I13" s="43"/>
      <c r="J13" s="43"/>
      <c r="K13" s="16"/>
      <c r="L13" s="16"/>
      <c r="M13" s="16"/>
      <c r="N13" s="16"/>
      <c r="O13" s="16"/>
      <c r="P13" s="16"/>
      <c r="Q13" s="16"/>
      <c r="R13" s="16"/>
      <c r="S13" s="16"/>
      <c r="T13" s="16"/>
      <c r="U13" s="16"/>
      <c r="V13" s="16"/>
      <c r="W13" s="16"/>
      <c r="X13" s="16"/>
      <c r="Y13" s="22"/>
      <c r="Z13" s="16"/>
      <c r="AA13" s="16"/>
      <c r="AB13" s="16"/>
      <c r="AC13" s="16"/>
      <c r="AD13" s="22"/>
      <c r="AE13" s="16"/>
      <c r="AF13" s="16"/>
      <c r="AG13" s="16"/>
      <c r="AH13" s="16"/>
    </row>
    <row r="14" spans="1:34" s="26" customFormat="1" x14ac:dyDescent="0.25">
      <c r="A14" s="34" t="s">
        <v>10</v>
      </c>
      <c r="B14" s="16">
        <v>496</v>
      </c>
      <c r="C14" s="16"/>
      <c r="D14" s="16"/>
      <c r="E14" s="16"/>
      <c r="F14" s="16">
        <v>236</v>
      </c>
      <c r="G14" s="16"/>
      <c r="H14" s="16">
        <v>0</v>
      </c>
      <c r="I14" s="16">
        <v>8</v>
      </c>
      <c r="J14" s="16">
        <v>63</v>
      </c>
      <c r="K14" s="16">
        <v>687</v>
      </c>
      <c r="L14" s="16">
        <v>0</v>
      </c>
      <c r="M14" s="16">
        <v>0</v>
      </c>
      <c r="N14" s="16">
        <v>0</v>
      </c>
      <c r="O14" s="16">
        <v>81</v>
      </c>
      <c r="P14" s="16">
        <v>144</v>
      </c>
      <c r="Q14" s="16">
        <v>0</v>
      </c>
      <c r="R14" s="16"/>
      <c r="S14" s="16"/>
      <c r="T14" s="16">
        <v>0</v>
      </c>
      <c r="U14" s="16">
        <v>0</v>
      </c>
      <c r="V14" s="16">
        <v>0</v>
      </c>
      <c r="W14" s="16">
        <v>0</v>
      </c>
      <c r="X14" s="16">
        <v>0</v>
      </c>
      <c r="Y14" s="22">
        <v>216000</v>
      </c>
      <c r="Z14" s="16">
        <v>137000</v>
      </c>
      <c r="AA14" s="16"/>
      <c r="AB14" s="16">
        <v>135000</v>
      </c>
      <c r="AC14" s="16">
        <v>0</v>
      </c>
      <c r="AD14" s="22">
        <v>0</v>
      </c>
      <c r="AE14" s="16"/>
      <c r="AF14" s="16"/>
      <c r="AG14" s="16"/>
      <c r="AH14" s="16"/>
    </row>
    <row r="15" spans="1:34" s="26" customFormat="1" x14ac:dyDescent="0.25">
      <c r="A15" s="34" t="s">
        <v>11</v>
      </c>
      <c r="B15" s="16"/>
      <c r="C15" s="16">
        <v>0</v>
      </c>
      <c r="D15" s="16">
        <f>12566+2259</f>
        <v>14825</v>
      </c>
      <c r="E15" s="16">
        <v>0</v>
      </c>
      <c r="F15" s="16">
        <f>1695+671</f>
        <v>2366</v>
      </c>
      <c r="G15" s="16">
        <f>205+40</f>
        <v>245</v>
      </c>
      <c r="H15" s="16"/>
      <c r="I15" s="16">
        <f>385+122</f>
        <v>507</v>
      </c>
      <c r="J15" s="16">
        <f>911+559</f>
        <v>1470</v>
      </c>
      <c r="K15" s="16">
        <f>5790+7137</f>
        <v>12927</v>
      </c>
      <c r="L15" s="16">
        <f>778+1106</f>
        <v>1884</v>
      </c>
      <c r="M15" s="16">
        <f>130</f>
        <v>130</v>
      </c>
      <c r="N15" s="16"/>
      <c r="O15" s="16">
        <f>1790+752</f>
        <v>2542</v>
      </c>
      <c r="P15" s="16">
        <f>2680+704</f>
        <v>3384</v>
      </c>
      <c r="Q15" s="16">
        <f>1204+257</f>
        <v>1461</v>
      </c>
      <c r="R15" s="16">
        <v>0</v>
      </c>
      <c r="S15" s="16">
        <v>0</v>
      </c>
      <c r="T15" s="16">
        <v>61</v>
      </c>
      <c r="U15" s="16">
        <f>44290+10319</f>
        <v>54609</v>
      </c>
      <c r="V15" s="16"/>
      <c r="W15" s="16"/>
      <c r="X15" s="16"/>
      <c r="Y15" s="22">
        <f>450149+1889560</f>
        <v>2339709</v>
      </c>
      <c r="Z15" s="16"/>
      <c r="AA15" s="16">
        <f>4935150+742105</f>
        <v>5677255</v>
      </c>
      <c r="AB15" s="16">
        <f>3257000+482335</f>
        <v>3739335</v>
      </c>
      <c r="AC15" s="16"/>
      <c r="AD15" s="22"/>
      <c r="AE15" s="16"/>
      <c r="AF15" s="16"/>
      <c r="AG15" s="16"/>
      <c r="AH15" s="16"/>
    </row>
    <row r="16" spans="1:34"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16"/>
      <c r="X16" s="16"/>
      <c r="Y16" s="22"/>
      <c r="Z16" s="16"/>
      <c r="AA16" s="16"/>
      <c r="AB16" s="16"/>
      <c r="AC16" s="16"/>
      <c r="AD16" s="22"/>
      <c r="AE16" s="16"/>
      <c r="AF16" s="16"/>
      <c r="AG16" s="16"/>
      <c r="AH16" s="16"/>
    </row>
    <row r="17" spans="1:34"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22"/>
      <c r="Z17" s="16"/>
      <c r="AA17" s="16"/>
      <c r="AB17" s="16"/>
      <c r="AC17" s="16"/>
      <c r="AD17" s="22"/>
      <c r="AE17" s="16">
        <v>1546</v>
      </c>
      <c r="AF17" s="16">
        <v>507</v>
      </c>
      <c r="AG17" s="16">
        <v>89</v>
      </c>
      <c r="AH17" s="16">
        <v>2607</v>
      </c>
    </row>
    <row r="18" spans="1:34" s="26" customFormat="1" x14ac:dyDescent="0.25">
      <c r="A18" s="35" t="s">
        <v>14</v>
      </c>
      <c r="B18" s="20">
        <f t="shared" ref="B18:AD18" si="4">SUM(B11:B17)</f>
        <v>496</v>
      </c>
      <c r="C18" s="20">
        <f t="shared" si="4"/>
        <v>0</v>
      </c>
      <c r="D18" s="20">
        <f t="shared" si="4"/>
        <v>14825</v>
      </c>
      <c r="E18" s="20">
        <f t="shared" si="4"/>
        <v>0</v>
      </c>
      <c r="F18" s="20">
        <f t="shared" si="4"/>
        <v>2602</v>
      </c>
      <c r="G18" s="20">
        <f t="shared" si="4"/>
        <v>245</v>
      </c>
      <c r="H18" s="20">
        <f t="shared" si="4"/>
        <v>0</v>
      </c>
      <c r="I18" s="20">
        <f t="shared" si="4"/>
        <v>515</v>
      </c>
      <c r="J18" s="20">
        <f t="shared" si="4"/>
        <v>1533</v>
      </c>
      <c r="K18" s="20">
        <f t="shared" si="4"/>
        <v>13614</v>
      </c>
      <c r="L18" s="20">
        <f t="shared" si="4"/>
        <v>1884</v>
      </c>
      <c r="M18" s="20">
        <f t="shared" si="4"/>
        <v>130</v>
      </c>
      <c r="N18" s="20">
        <f t="shared" si="4"/>
        <v>0</v>
      </c>
      <c r="O18" s="20">
        <f t="shared" si="4"/>
        <v>2623</v>
      </c>
      <c r="P18" s="20">
        <f t="shared" si="4"/>
        <v>3528</v>
      </c>
      <c r="Q18" s="20">
        <f t="shared" si="4"/>
        <v>1461</v>
      </c>
      <c r="R18" s="20">
        <f t="shared" si="4"/>
        <v>0</v>
      </c>
      <c r="S18" s="20">
        <f t="shared" si="4"/>
        <v>0</v>
      </c>
      <c r="T18" s="20">
        <f t="shared" si="4"/>
        <v>61</v>
      </c>
      <c r="U18" s="20">
        <f t="shared" si="4"/>
        <v>54609</v>
      </c>
      <c r="V18" s="20">
        <f t="shared" si="4"/>
        <v>0</v>
      </c>
      <c r="W18" s="20">
        <f t="shared" si="4"/>
        <v>0</v>
      </c>
      <c r="X18" s="20">
        <f t="shared" si="4"/>
        <v>0</v>
      </c>
      <c r="Y18" s="20">
        <f t="shared" si="4"/>
        <v>2555709</v>
      </c>
      <c r="Z18" s="20">
        <f t="shared" si="4"/>
        <v>137000</v>
      </c>
      <c r="AA18" s="20">
        <f t="shared" si="4"/>
        <v>5677255</v>
      </c>
      <c r="AB18" s="20">
        <f t="shared" si="4"/>
        <v>3874335</v>
      </c>
      <c r="AC18" s="20">
        <f t="shared" si="4"/>
        <v>0</v>
      </c>
      <c r="AD18" s="20">
        <f t="shared" si="4"/>
        <v>0</v>
      </c>
      <c r="AE18" s="20">
        <f t="shared" ref="AE18" si="5">SUM(AE11:AE17)</f>
        <v>1546</v>
      </c>
      <c r="AF18" s="20">
        <f t="shared" ref="AF18:AH18" si="6">SUM(AF11:AF17)</f>
        <v>507</v>
      </c>
      <c r="AG18" s="20">
        <f t="shared" si="6"/>
        <v>89</v>
      </c>
      <c r="AH18" s="20">
        <f t="shared" si="6"/>
        <v>2607</v>
      </c>
    </row>
    <row r="19" spans="1:34" x14ac:dyDescent="0.25">
      <c r="A19" s="35" t="s">
        <v>15</v>
      </c>
      <c r="B19" s="20">
        <f t="shared" ref="B19:AD19" si="7">SUM(B10,B18)</f>
        <v>974</v>
      </c>
      <c r="C19" s="20">
        <f t="shared" si="7"/>
        <v>102</v>
      </c>
      <c r="D19" s="20">
        <f t="shared" si="7"/>
        <v>122489.5</v>
      </c>
      <c r="E19" s="20">
        <f t="shared" si="7"/>
        <v>9007</v>
      </c>
      <c r="F19" s="20">
        <f t="shared" si="7"/>
        <v>7283.5</v>
      </c>
      <c r="G19" s="20">
        <f t="shared" si="7"/>
        <v>2022</v>
      </c>
      <c r="H19" s="20">
        <f t="shared" si="7"/>
        <v>679</v>
      </c>
      <c r="I19" s="20">
        <f t="shared" si="7"/>
        <v>3333.5</v>
      </c>
      <c r="J19" s="20">
        <f t="shared" si="7"/>
        <v>5020</v>
      </c>
      <c r="K19" s="20">
        <f t="shared" si="7"/>
        <v>29309</v>
      </c>
      <c r="L19" s="20">
        <f t="shared" si="7"/>
        <v>3895</v>
      </c>
      <c r="M19" s="20">
        <f t="shared" si="7"/>
        <v>2816</v>
      </c>
      <c r="N19" s="20">
        <f t="shared" si="7"/>
        <v>59</v>
      </c>
      <c r="O19" s="20">
        <f t="shared" si="7"/>
        <v>6682</v>
      </c>
      <c r="P19" s="45">
        <f t="shared" si="7"/>
        <v>13552.5</v>
      </c>
      <c r="Q19" s="20">
        <f t="shared" si="7"/>
        <v>2705</v>
      </c>
      <c r="R19" s="20">
        <f t="shared" si="7"/>
        <v>882</v>
      </c>
      <c r="S19" s="20">
        <f t="shared" si="7"/>
        <v>5676</v>
      </c>
      <c r="T19" s="20">
        <f t="shared" si="7"/>
        <v>833</v>
      </c>
      <c r="U19" s="20">
        <f t="shared" si="7"/>
        <v>124959</v>
      </c>
      <c r="V19" s="20">
        <f t="shared" si="7"/>
        <v>97</v>
      </c>
      <c r="W19" s="20">
        <f t="shared" si="7"/>
        <v>4970</v>
      </c>
      <c r="X19" s="20">
        <f t="shared" si="7"/>
        <v>319</v>
      </c>
      <c r="Y19" s="20">
        <f t="shared" si="7"/>
        <v>9365958</v>
      </c>
      <c r="Z19" s="20">
        <f t="shared" si="7"/>
        <v>194432</v>
      </c>
      <c r="AA19" s="20">
        <f t="shared" si="7"/>
        <v>7784817</v>
      </c>
      <c r="AB19" s="20">
        <f t="shared" si="7"/>
        <v>10621442</v>
      </c>
      <c r="AC19" s="20">
        <f t="shared" si="7"/>
        <v>75</v>
      </c>
      <c r="AD19" s="20">
        <f t="shared" si="7"/>
        <v>167482</v>
      </c>
      <c r="AE19" s="20">
        <f t="shared" ref="AE19" si="8">SUM(AE10,AE18)</f>
        <v>2520</v>
      </c>
      <c r="AF19" s="20">
        <f t="shared" ref="AF19:AH19" si="9">SUM(AF10,AF18)</f>
        <v>2329</v>
      </c>
      <c r="AG19" s="20">
        <f t="shared" si="9"/>
        <v>383</v>
      </c>
      <c r="AH19" s="20">
        <f t="shared" si="9"/>
        <v>3932</v>
      </c>
    </row>
    <row r="20" spans="1:34" x14ac:dyDescent="0.25">
      <c r="C20" s="44"/>
      <c r="D20" s="44"/>
      <c r="E20" s="44"/>
      <c r="F20" s="44"/>
      <c r="G20" s="44"/>
      <c r="H20" s="44"/>
      <c r="I20" s="44"/>
      <c r="J20" s="44"/>
      <c r="K20" s="44"/>
      <c r="L20" s="44"/>
      <c r="M20" s="44"/>
      <c r="N20" s="44"/>
      <c r="O20" s="44"/>
      <c r="P20" s="44"/>
      <c r="Q20" s="44"/>
      <c r="R20" s="44"/>
      <c r="S20" s="44"/>
      <c r="T20" s="44"/>
      <c r="U20" s="44"/>
      <c r="V20" s="44"/>
      <c r="W20" s="44"/>
      <c r="X20" s="44"/>
      <c r="Y20" s="44"/>
      <c r="Z20" s="44"/>
      <c r="AA20" s="44"/>
      <c r="AB20" s="44"/>
      <c r="AC20" s="44"/>
      <c r="AD20" s="44"/>
      <c r="AE20" s="44"/>
    </row>
    <row r="21" spans="1:34"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row>
  </sheetData>
  <sheetProtection formatCells="0" formatColumns="0" formatRows="0" insertColumns="0" insertRows="0" sort="0" autoFilter="0" pivotTables="0"/>
  <dataValidations count="1">
    <dataValidation type="list" errorStyle="information" allowBlank="1" showInputMessage="1" showErrorMessage="1" sqref="B1:AH1" xr:uid="{031A2965-DE8E-4853-9F9F-89B180BA5750}">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2B6EBA14-8991-48F9-B69B-44CE5316E643}">
          <x14:formula1>
            <xm:f>'Term List'!$A2:$A242</xm:f>
          </x14:formula1>
          <xm:sqref>AI1:XFD1</xm:sqref>
        </x14:dataValidation>
      </x14:dataValidations>
    </ext>
  </extLst>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A8FEB-88FC-45C3-A0B6-5A85F6E7DAE6}">
  <sheetPr codeName="Sheet30"/>
  <dimension ref="A1:AG22"/>
  <sheetViews>
    <sheetView workbookViewId="0">
      <pane xSplit="1" ySplit="1" topLeftCell="B2" activePane="bottomRight" state="frozen"/>
      <selection activeCell="B3" sqref="B3"/>
      <selection pane="topRight" activeCell="B3" sqref="B3"/>
      <selection pane="bottomLeft" activeCell="B3" sqref="B3"/>
      <selection pane="bottomRight"/>
    </sheetView>
  </sheetViews>
  <sheetFormatPr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3.140625" style="5" bestFit="1" customWidth="1"/>
    <col min="8" max="8" width="10.85546875" style="5" bestFit="1" customWidth="1"/>
    <col min="9" max="9" width="15.85546875" style="5" bestFit="1" customWidth="1"/>
    <col min="10" max="10" width="12.85546875" style="5" bestFit="1" customWidth="1"/>
    <col min="11" max="11" width="13.5703125" style="5" bestFit="1" customWidth="1"/>
    <col min="12" max="12" width="14.5703125" style="5" bestFit="1" customWidth="1"/>
    <col min="13" max="13" width="15.140625" style="5" bestFit="1" customWidth="1"/>
    <col min="14" max="14" width="11.5703125" style="5" bestFit="1" customWidth="1"/>
    <col min="15" max="15" width="12" style="5" bestFit="1" customWidth="1"/>
    <col min="16" max="16" width="13.7109375" style="5" bestFit="1" customWidth="1"/>
    <col min="17" max="17" width="18.42578125" style="5" bestFit="1" customWidth="1"/>
    <col min="18" max="18" width="14.28515625" style="5" bestFit="1" customWidth="1"/>
    <col min="19" max="19" width="12.5703125" style="5" bestFit="1" customWidth="1"/>
    <col min="20" max="20" width="17.42578125" style="5" bestFit="1" customWidth="1"/>
    <col min="21" max="21" width="19.5703125" style="5" bestFit="1" customWidth="1"/>
    <col min="22" max="22" width="12.5703125" style="5" bestFit="1" customWidth="1"/>
    <col min="23" max="23" width="13.7109375" style="5" bestFit="1" customWidth="1"/>
    <col min="24" max="24" width="18.28515625" style="5" bestFit="1" customWidth="1"/>
    <col min="25" max="25" width="14.28515625" style="3" bestFit="1" customWidth="1"/>
    <col min="26" max="26" width="6.5703125" style="3" bestFit="1" customWidth="1"/>
    <col min="27" max="27" width="12.140625" style="3" bestFit="1" customWidth="1"/>
    <col min="28" max="28" width="14.140625" style="3" bestFit="1" customWidth="1"/>
    <col min="29" max="29" width="12.28515625" style="3" bestFit="1" customWidth="1"/>
    <col min="30" max="30" width="15.28515625" style="3" bestFit="1" customWidth="1"/>
    <col min="31" max="31" width="13.42578125" style="3" bestFit="1" customWidth="1"/>
    <col min="32" max="32" width="8.42578125" style="3" bestFit="1" customWidth="1"/>
    <col min="33" max="16384" width="9.140625" style="3"/>
  </cols>
  <sheetData>
    <row r="1" spans="1:33" s="14" customFormat="1" ht="30" x14ac:dyDescent="0.25">
      <c r="A1" s="36" t="s">
        <v>315</v>
      </c>
      <c r="B1" s="36" t="s">
        <v>155</v>
      </c>
      <c r="C1" s="36" t="s">
        <v>156</v>
      </c>
      <c r="D1" s="36" t="s">
        <v>154</v>
      </c>
      <c r="E1" s="36" t="s">
        <v>150</v>
      </c>
      <c r="F1" s="36" t="s">
        <v>148</v>
      </c>
      <c r="G1" s="36" t="s">
        <v>314</v>
      </c>
      <c r="H1" s="36" t="s">
        <v>149</v>
      </c>
      <c r="I1" s="36" t="s">
        <v>139</v>
      </c>
      <c r="J1" s="36" t="s">
        <v>130</v>
      </c>
      <c r="K1" s="36" t="s">
        <v>132</v>
      </c>
      <c r="L1" s="36" t="s">
        <v>142</v>
      </c>
      <c r="M1" s="36" t="s">
        <v>144</v>
      </c>
      <c r="N1" s="36" t="s">
        <v>124</v>
      </c>
      <c r="O1" s="36" t="s">
        <v>567</v>
      </c>
      <c r="P1" s="36" t="s">
        <v>62</v>
      </c>
      <c r="Q1" s="36" t="s">
        <v>146</v>
      </c>
      <c r="R1" s="36" t="s">
        <v>36</v>
      </c>
      <c r="S1" s="36" t="s">
        <v>171</v>
      </c>
      <c r="T1" s="36" t="s">
        <v>158</v>
      </c>
      <c r="U1" s="36" t="s">
        <v>159</v>
      </c>
      <c r="V1" s="36" t="s">
        <v>99</v>
      </c>
      <c r="W1" s="36" t="s">
        <v>117</v>
      </c>
      <c r="X1" s="36" t="s">
        <v>151</v>
      </c>
      <c r="Y1" s="36" t="s">
        <v>126</v>
      </c>
      <c r="Z1" s="36" t="s">
        <v>153</v>
      </c>
      <c r="AA1" s="36" t="s">
        <v>120</v>
      </c>
      <c r="AB1" s="36" t="s">
        <v>45</v>
      </c>
      <c r="AC1" s="36" t="s">
        <v>152</v>
      </c>
      <c r="AD1" s="36" t="s">
        <v>70</v>
      </c>
      <c r="AE1" s="117" t="s">
        <v>75</v>
      </c>
      <c r="AF1" s="118" t="s">
        <v>101</v>
      </c>
    </row>
    <row r="2" spans="1:33" s="26" customFormat="1" x14ac:dyDescent="0.25">
      <c r="A2" s="34" t="s">
        <v>0</v>
      </c>
      <c r="B2" s="16">
        <v>58155</v>
      </c>
      <c r="C2" s="17">
        <v>5722</v>
      </c>
      <c r="D2" s="17">
        <v>726</v>
      </c>
      <c r="E2" s="17">
        <v>10943</v>
      </c>
      <c r="F2" s="17">
        <v>539</v>
      </c>
      <c r="G2" s="17">
        <v>0</v>
      </c>
      <c r="H2" s="17">
        <v>0</v>
      </c>
      <c r="I2" s="17">
        <v>0</v>
      </c>
      <c r="J2" s="17">
        <v>28</v>
      </c>
      <c r="K2" s="17">
        <v>16</v>
      </c>
      <c r="L2" s="17">
        <v>2221</v>
      </c>
      <c r="M2" s="17">
        <v>426</v>
      </c>
      <c r="N2" s="17">
        <v>11608472</v>
      </c>
      <c r="O2" s="17"/>
      <c r="P2" s="17"/>
      <c r="Q2" s="17"/>
      <c r="R2" s="17"/>
      <c r="S2" s="17"/>
      <c r="T2" s="17"/>
      <c r="U2" s="17"/>
      <c r="V2" s="17"/>
      <c r="W2" s="17"/>
      <c r="X2" s="17"/>
      <c r="Y2" s="24"/>
      <c r="Z2" s="24"/>
      <c r="AA2" s="24"/>
      <c r="AB2" s="24"/>
      <c r="AC2" s="24"/>
      <c r="AD2" s="24"/>
      <c r="AE2" s="24"/>
      <c r="AF2" s="25"/>
    </row>
    <row r="3" spans="1:33" s="26" customFormat="1" x14ac:dyDescent="0.25">
      <c r="A3" s="34" t="s">
        <v>1</v>
      </c>
      <c r="B3" s="16">
        <v>2186</v>
      </c>
      <c r="C3" s="17">
        <v>442</v>
      </c>
      <c r="D3" s="17">
        <v>952</v>
      </c>
      <c r="E3" s="17">
        <v>1522</v>
      </c>
      <c r="F3" s="17">
        <v>198</v>
      </c>
      <c r="G3" s="17">
        <v>0</v>
      </c>
      <c r="H3" s="17">
        <v>0</v>
      </c>
      <c r="I3" s="17">
        <v>0</v>
      </c>
      <c r="J3" s="17">
        <v>0</v>
      </c>
      <c r="K3" s="17">
        <v>0</v>
      </c>
      <c r="L3" s="17">
        <v>5</v>
      </c>
      <c r="M3" s="17">
        <v>20</v>
      </c>
      <c r="N3" s="17">
        <v>65921</v>
      </c>
      <c r="O3" s="17"/>
      <c r="P3" s="17"/>
      <c r="Q3" s="17"/>
      <c r="R3" s="17"/>
      <c r="S3" s="17"/>
      <c r="T3" s="17"/>
      <c r="U3" s="17"/>
      <c r="V3" s="17"/>
      <c r="W3" s="17"/>
      <c r="X3" s="17"/>
      <c r="Y3" s="24"/>
      <c r="Z3" s="24"/>
      <c r="AA3" s="24"/>
      <c r="AB3" s="24"/>
      <c r="AC3" s="24"/>
      <c r="AD3" s="24"/>
      <c r="AE3" s="24"/>
      <c r="AF3" s="25"/>
    </row>
    <row r="4" spans="1:33" s="26" customFormat="1" x14ac:dyDescent="0.25">
      <c r="A4" s="34" t="s">
        <v>169</v>
      </c>
      <c r="B4" s="16"/>
      <c r="C4" s="17"/>
      <c r="D4" s="17"/>
      <c r="E4" s="17"/>
      <c r="F4" s="17"/>
      <c r="G4" s="17"/>
      <c r="H4" s="17"/>
      <c r="I4" s="17"/>
      <c r="J4" s="17"/>
      <c r="K4" s="17"/>
      <c r="L4" s="17"/>
      <c r="M4" s="17"/>
      <c r="N4" s="17"/>
      <c r="O4" s="17"/>
      <c r="P4" s="17"/>
      <c r="Q4" s="17"/>
      <c r="R4" s="17"/>
      <c r="S4" s="17"/>
      <c r="T4" s="17"/>
      <c r="U4" s="17"/>
      <c r="V4" s="17"/>
      <c r="W4" s="17"/>
      <c r="X4" s="17"/>
      <c r="Y4" s="24"/>
      <c r="Z4" s="24"/>
      <c r="AA4" s="24"/>
      <c r="AB4" s="24"/>
      <c r="AC4" s="24"/>
      <c r="AD4" s="24"/>
      <c r="AE4" s="24"/>
      <c r="AF4" s="25"/>
    </row>
    <row r="5" spans="1:33" s="26" customFormat="1" x14ac:dyDescent="0.25">
      <c r="A5" s="34" t="s">
        <v>2</v>
      </c>
      <c r="B5" s="16"/>
      <c r="C5" s="17"/>
      <c r="D5" s="17"/>
      <c r="E5" s="17"/>
      <c r="F5" s="17"/>
      <c r="G5" s="17"/>
      <c r="H5" s="17"/>
      <c r="I5" s="17"/>
      <c r="J5" s="17"/>
      <c r="K5" s="17"/>
      <c r="L5" s="17"/>
      <c r="M5" s="17"/>
      <c r="N5" s="17"/>
      <c r="O5" s="17"/>
      <c r="P5" s="17"/>
      <c r="Q5" s="17"/>
      <c r="R5" s="17"/>
      <c r="S5" s="17"/>
      <c r="T5" s="17"/>
      <c r="U5" s="17"/>
      <c r="V5" s="17"/>
      <c r="W5" s="17"/>
      <c r="X5" s="17"/>
      <c r="Y5" s="24"/>
      <c r="Z5" s="24"/>
      <c r="AA5" s="24"/>
      <c r="AB5" s="24"/>
      <c r="AC5" s="24"/>
      <c r="AD5" s="24"/>
      <c r="AE5" s="24"/>
      <c r="AF5" s="25"/>
    </row>
    <row r="6" spans="1:33" s="26" customFormat="1" x14ac:dyDescent="0.25">
      <c r="A6" s="34" t="s">
        <v>3</v>
      </c>
      <c r="B6" s="16">
        <v>112</v>
      </c>
      <c r="C6" s="17">
        <v>3</v>
      </c>
      <c r="D6" s="17">
        <v>273</v>
      </c>
      <c r="E6" s="17">
        <v>1511</v>
      </c>
      <c r="F6" s="17">
        <v>158</v>
      </c>
      <c r="G6" s="17">
        <v>0</v>
      </c>
      <c r="H6" s="17">
        <v>0</v>
      </c>
      <c r="I6" s="17">
        <v>0</v>
      </c>
      <c r="J6" s="17">
        <v>0</v>
      </c>
      <c r="K6" s="17">
        <v>0</v>
      </c>
      <c r="L6" s="17">
        <v>0</v>
      </c>
      <c r="M6" s="17">
        <v>11</v>
      </c>
      <c r="N6" s="17">
        <v>41381</v>
      </c>
      <c r="O6" s="17">
        <v>35</v>
      </c>
      <c r="P6" s="17">
        <v>823</v>
      </c>
      <c r="Q6" s="17">
        <v>1264</v>
      </c>
      <c r="R6" s="17">
        <v>281</v>
      </c>
      <c r="S6" s="17">
        <v>6</v>
      </c>
      <c r="T6" s="17">
        <v>3</v>
      </c>
      <c r="U6" s="17">
        <v>7</v>
      </c>
      <c r="V6" s="17">
        <v>80</v>
      </c>
      <c r="W6" s="17">
        <v>2</v>
      </c>
      <c r="X6" s="17">
        <v>53</v>
      </c>
      <c r="Y6" s="17">
        <v>70</v>
      </c>
      <c r="Z6" s="24">
        <v>225</v>
      </c>
      <c r="AA6" s="24">
        <v>27</v>
      </c>
      <c r="AB6" s="24">
        <v>36</v>
      </c>
      <c r="AC6" s="24">
        <v>30</v>
      </c>
      <c r="AD6" s="24">
        <v>30</v>
      </c>
      <c r="AE6" s="24">
        <v>14000</v>
      </c>
      <c r="AF6" s="24">
        <v>15000</v>
      </c>
      <c r="AG6" s="25"/>
    </row>
    <row r="7" spans="1:33" s="26" customFormat="1" x14ac:dyDescent="0.25">
      <c r="A7" s="34" t="s">
        <v>4</v>
      </c>
      <c r="B7" s="16">
        <v>776</v>
      </c>
      <c r="C7" s="17">
        <v>105</v>
      </c>
      <c r="D7" s="17">
        <v>246</v>
      </c>
      <c r="E7" s="17">
        <v>2980</v>
      </c>
      <c r="F7" s="17">
        <v>26</v>
      </c>
      <c r="G7" s="17">
        <v>0</v>
      </c>
      <c r="H7" s="17">
        <v>0</v>
      </c>
      <c r="I7" s="17">
        <v>0</v>
      </c>
      <c r="J7" s="17">
        <v>695</v>
      </c>
      <c r="K7" s="17">
        <v>6</v>
      </c>
      <c r="L7" s="17">
        <v>185</v>
      </c>
      <c r="M7" s="17">
        <v>17</v>
      </c>
      <c r="N7" s="17">
        <v>1083821</v>
      </c>
      <c r="O7" s="17"/>
      <c r="P7" s="17"/>
      <c r="Q7" s="17"/>
      <c r="R7" s="17"/>
      <c r="S7" s="17"/>
      <c r="T7" s="17"/>
      <c r="U7" s="17"/>
      <c r="V7" s="17"/>
      <c r="W7" s="17"/>
      <c r="X7" s="17"/>
      <c r="Y7" s="24"/>
      <c r="Z7" s="24"/>
      <c r="AA7" s="24"/>
      <c r="AB7" s="24"/>
      <c r="AC7" s="24"/>
      <c r="AD7" s="24"/>
      <c r="AE7" s="24"/>
      <c r="AF7" s="25"/>
    </row>
    <row r="8" spans="1:33" s="26" customFormat="1" x14ac:dyDescent="0.25">
      <c r="A8" s="34" t="s">
        <v>5</v>
      </c>
      <c r="B8" s="16">
        <v>0</v>
      </c>
      <c r="C8" s="17">
        <v>0</v>
      </c>
      <c r="D8" s="17">
        <v>0</v>
      </c>
      <c r="E8" s="17">
        <v>564</v>
      </c>
      <c r="F8" s="17">
        <v>296</v>
      </c>
      <c r="G8" s="17">
        <v>473</v>
      </c>
      <c r="H8" s="17">
        <v>205</v>
      </c>
      <c r="I8" s="17">
        <v>0</v>
      </c>
      <c r="J8" s="17">
        <v>0</v>
      </c>
      <c r="K8" s="17">
        <v>0</v>
      </c>
      <c r="L8" s="17">
        <v>0</v>
      </c>
      <c r="M8" s="17">
        <v>0</v>
      </c>
      <c r="N8" s="17">
        <v>0</v>
      </c>
      <c r="O8" s="17"/>
      <c r="P8" s="17"/>
      <c r="Q8" s="17"/>
      <c r="R8" s="17"/>
      <c r="S8" s="17"/>
      <c r="T8" s="17"/>
      <c r="U8" s="17"/>
      <c r="V8" s="17"/>
      <c r="W8" s="17"/>
      <c r="X8" s="17"/>
      <c r="Y8" s="24"/>
      <c r="Z8" s="24"/>
      <c r="AA8" s="24"/>
      <c r="AB8" s="24"/>
      <c r="AC8" s="24"/>
      <c r="AD8" s="24"/>
      <c r="AE8" s="24"/>
      <c r="AF8" s="25"/>
    </row>
    <row r="9" spans="1:33" s="26" customFormat="1" x14ac:dyDescent="0.25">
      <c r="A9" s="34" t="s">
        <v>6</v>
      </c>
      <c r="B9" s="16"/>
      <c r="C9" s="17"/>
      <c r="D9" s="17"/>
      <c r="E9" s="17"/>
      <c r="F9" s="17"/>
      <c r="G9" s="17"/>
      <c r="H9" s="17"/>
      <c r="I9" s="17"/>
      <c r="J9" s="17"/>
      <c r="K9" s="17"/>
      <c r="L9" s="17"/>
      <c r="M9" s="17"/>
      <c r="N9" s="17"/>
      <c r="O9" s="17"/>
      <c r="P9" s="17"/>
      <c r="Q9" s="17"/>
      <c r="R9" s="17"/>
      <c r="S9" s="17"/>
      <c r="T9" s="17"/>
      <c r="U9" s="17"/>
      <c r="V9" s="17"/>
      <c r="W9" s="17"/>
      <c r="X9" s="17"/>
      <c r="Y9" s="24"/>
      <c r="Z9" s="24"/>
      <c r="AA9" s="24"/>
      <c r="AB9" s="24"/>
      <c r="AC9" s="24"/>
      <c r="AD9" s="24"/>
      <c r="AE9" s="24"/>
      <c r="AF9" s="25"/>
    </row>
    <row r="10" spans="1:33" s="26" customFormat="1" x14ac:dyDescent="0.25">
      <c r="A10" s="35" t="s">
        <v>7</v>
      </c>
      <c r="B10" s="19">
        <f>SUM(B2:B9)</f>
        <v>61229</v>
      </c>
      <c r="C10" s="19">
        <f>SUM(C2:C9)</f>
        <v>6272</v>
      </c>
      <c r="D10" s="19">
        <f>SUM(D2:D9)</f>
        <v>2197</v>
      </c>
      <c r="E10" s="19">
        <f>SUM(E2:E9)</f>
        <v>17520</v>
      </c>
      <c r="F10" s="19">
        <f>SUM(F2:F9)</f>
        <v>1217</v>
      </c>
      <c r="G10" s="19">
        <f t="shared" ref="G10:J10" si="0">SUM(G2:G9)</f>
        <v>473</v>
      </c>
      <c r="H10" s="19">
        <f t="shared" si="0"/>
        <v>205</v>
      </c>
      <c r="I10" s="19">
        <f t="shared" si="0"/>
        <v>0</v>
      </c>
      <c r="J10" s="19">
        <f t="shared" si="0"/>
        <v>723</v>
      </c>
      <c r="K10" s="19">
        <f t="shared" ref="K10:AF10" si="1">SUM(K2:K9)</f>
        <v>22</v>
      </c>
      <c r="L10" s="19">
        <f t="shared" si="1"/>
        <v>2411</v>
      </c>
      <c r="M10" s="19">
        <f t="shared" si="1"/>
        <v>474</v>
      </c>
      <c r="N10" s="19">
        <f t="shared" si="1"/>
        <v>12799595</v>
      </c>
      <c r="O10" s="19">
        <f t="shared" si="1"/>
        <v>35</v>
      </c>
      <c r="P10" s="19">
        <f t="shared" si="1"/>
        <v>823</v>
      </c>
      <c r="Q10" s="19">
        <f t="shared" si="1"/>
        <v>1264</v>
      </c>
      <c r="R10" s="19">
        <f t="shared" si="1"/>
        <v>281</v>
      </c>
      <c r="S10" s="19">
        <f t="shared" si="1"/>
        <v>6</v>
      </c>
      <c r="T10" s="19">
        <f t="shared" si="1"/>
        <v>3</v>
      </c>
      <c r="U10" s="19">
        <f t="shared" si="1"/>
        <v>7</v>
      </c>
      <c r="V10" s="19">
        <f t="shared" si="1"/>
        <v>80</v>
      </c>
      <c r="W10" s="19">
        <f t="shared" si="1"/>
        <v>2</v>
      </c>
      <c r="X10" s="19">
        <f t="shared" si="1"/>
        <v>53</v>
      </c>
      <c r="Y10" s="20">
        <f t="shared" si="1"/>
        <v>70</v>
      </c>
      <c r="Z10" s="20">
        <f t="shared" si="1"/>
        <v>225</v>
      </c>
      <c r="AA10" s="20">
        <f t="shared" si="1"/>
        <v>27</v>
      </c>
      <c r="AB10" s="20">
        <f t="shared" si="1"/>
        <v>36</v>
      </c>
      <c r="AC10" s="20">
        <f t="shared" si="1"/>
        <v>30</v>
      </c>
      <c r="AD10" s="20">
        <f t="shared" si="1"/>
        <v>30</v>
      </c>
      <c r="AE10" s="20">
        <f t="shared" si="1"/>
        <v>14000</v>
      </c>
      <c r="AF10" s="21">
        <f t="shared" si="1"/>
        <v>15000</v>
      </c>
    </row>
    <row r="11" spans="1:33" s="26" customFormat="1" x14ac:dyDescent="0.25">
      <c r="A11" s="34" t="s">
        <v>8</v>
      </c>
      <c r="B11" s="16">
        <v>67726</v>
      </c>
      <c r="C11" s="16">
        <v>8893</v>
      </c>
      <c r="D11" s="16">
        <v>120</v>
      </c>
      <c r="E11" s="16">
        <v>15985</v>
      </c>
      <c r="F11" s="16">
        <v>773</v>
      </c>
      <c r="G11" s="16">
        <v>0</v>
      </c>
      <c r="H11" s="16">
        <v>0</v>
      </c>
      <c r="I11" s="16">
        <v>0</v>
      </c>
      <c r="J11" s="16">
        <v>309</v>
      </c>
      <c r="K11" s="16">
        <v>1</v>
      </c>
      <c r="L11" s="16">
        <v>3715</v>
      </c>
      <c r="M11" s="16">
        <v>113</v>
      </c>
      <c r="N11" s="16">
        <v>5103119</v>
      </c>
      <c r="O11" s="16"/>
      <c r="P11" s="16"/>
      <c r="Q11" s="16"/>
      <c r="R11" s="16"/>
      <c r="S11" s="16"/>
      <c r="T11" s="16"/>
      <c r="U11" s="16"/>
      <c r="V11" s="16"/>
      <c r="W11" s="16"/>
      <c r="X11" s="16"/>
      <c r="Y11" s="22"/>
      <c r="Z11" s="22"/>
      <c r="AA11" s="22"/>
      <c r="AB11" s="22"/>
      <c r="AC11" s="22"/>
      <c r="AD11" s="22"/>
      <c r="AE11" s="22"/>
      <c r="AF11" s="23"/>
    </row>
    <row r="12" spans="1:33" s="26" customFormat="1" x14ac:dyDescent="0.25">
      <c r="A12" s="34" t="s">
        <v>9</v>
      </c>
      <c r="B12" s="16"/>
      <c r="C12" s="16"/>
      <c r="D12" s="16"/>
      <c r="E12" s="16"/>
      <c r="F12" s="16"/>
      <c r="G12" s="16"/>
      <c r="H12" s="16"/>
      <c r="I12" s="16"/>
      <c r="J12" s="16"/>
      <c r="K12" s="16"/>
      <c r="L12" s="16"/>
      <c r="M12" s="16"/>
      <c r="N12" s="16"/>
      <c r="O12" s="16"/>
      <c r="P12" s="16"/>
      <c r="Q12" s="16"/>
      <c r="R12" s="16"/>
      <c r="S12" s="16"/>
      <c r="T12" s="16"/>
      <c r="U12" s="16"/>
      <c r="V12" s="16"/>
      <c r="W12" s="16"/>
      <c r="X12" s="16"/>
      <c r="Y12" s="22"/>
      <c r="Z12" s="22"/>
      <c r="AA12" s="22"/>
      <c r="AB12" s="22"/>
      <c r="AC12" s="22"/>
      <c r="AD12" s="22"/>
      <c r="AE12" s="22"/>
      <c r="AF12" s="23"/>
    </row>
    <row r="13" spans="1:33" s="26" customFormat="1" x14ac:dyDescent="0.25">
      <c r="A13" s="34" t="s">
        <v>164</v>
      </c>
      <c r="B13" s="16"/>
      <c r="C13" s="16"/>
      <c r="D13" s="16"/>
      <c r="E13" s="16"/>
      <c r="F13" s="16"/>
      <c r="G13" s="16"/>
      <c r="H13" s="16"/>
      <c r="I13" s="16"/>
      <c r="J13" s="16"/>
      <c r="K13" s="16"/>
      <c r="L13" s="16"/>
      <c r="M13" s="16"/>
      <c r="N13" s="16"/>
      <c r="O13" s="16"/>
      <c r="P13" s="16"/>
      <c r="Q13" s="16"/>
      <c r="R13" s="16"/>
      <c r="S13" s="16"/>
      <c r="T13" s="16"/>
      <c r="U13" s="16"/>
      <c r="V13" s="16"/>
      <c r="W13" s="16"/>
      <c r="X13" s="16"/>
      <c r="Y13" s="22"/>
      <c r="Z13" s="22"/>
      <c r="AA13" s="22"/>
      <c r="AB13" s="22"/>
      <c r="AC13" s="22"/>
      <c r="AD13" s="22"/>
      <c r="AE13" s="22"/>
      <c r="AF13" s="23"/>
    </row>
    <row r="14" spans="1:33" s="26" customFormat="1" x14ac:dyDescent="0.25">
      <c r="A14" s="34" t="s">
        <v>10</v>
      </c>
      <c r="B14" s="16">
        <v>130</v>
      </c>
      <c r="C14" s="16">
        <v>75</v>
      </c>
      <c r="D14" s="16">
        <v>12</v>
      </c>
      <c r="E14" s="16">
        <v>1393</v>
      </c>
      <c r="F14" s="16">
        <v>70</v>
      </c>
      <c r="G14" s="16">
        <v>0</v>
      </c>
      <c r="H14" s="16">
        <v>0</v>
      </c>
      <c r="I14" s="16">
        <v>60</v>
      </c>
      <c r="J14" s="16">
        <v>0</v>
      </c>
      <c r="K14" s="16">
        <v>0</v>
      </c>
      <c r="L14" s="16">
        <v>0</v>
      </c>
      <c r="M14" s="16">
        <v>0</v>
      </c>
      <c r="N14" s="16">
        <v>14264</v>
      </c>
      <c r="O14" s="16">
        <v>0</v>
      </c>
      <c r="P14" s="16">
        <v>0</v>
      </c>
      <c r="Q14" s="16">
        <v>0</v>
      </c>
      <c r="R14" s="16">
        <v>0</v>
      </c>
      <c r="S14" s="16">
        <v>0</v>
      </c>
      <c r="T14" s="16">
        <v>0</v>
      </c>
      <c r="U14" s="16">
        <v>0</v>
      </c>
      <c r="V14" s="16">
        <v>0</v>
      </c>
      <c r="W14" s="16">
        <v>0</v>
      </c>
      <c r="X14" s="16">
        <v>0</v>
      </c>
      <c r="Y14" s="22">
        <v>0</v>
      </c>
      <c r="Z14" s="22">
        <v>0</v>
      </c>
      <c r="AA14" s="22">
        <v>0</v>
      </c>
      <c r="AB14" s="22">
        <v>0</v>
      </c>
      <c r="AC14" s="22">
        <v>0</v>
      </c>
      <c r="AD14" s="22">
        <v>0</v>
      </c>
      <c r="AE14" s="22">
        <v>0</v>
      </c>
      <c r="AF14" s="23">
        <v>0</v>
      </c>
    </row>
    <row r="15" spans="1:33" s="26" customFormat="1" x14ac:dyDescent="0.25">
      <c r="A15" s="34" t="s">
        <v>11</v>
      </c>
      <c r="B15" s="16">
        <v>459</v>
      </c>
      <c r="C15" s="16">
        <v>165</v>
      </c>
      <c r="D15" s="16">
        <v>74</v>
      </c>
      <c r="E15" s="16">
        <v>10730</v>
      </c>
      <c r="F15" s="16">
        <v>13</v>
      </c>
      <c r="G15" s="16">
        <v>0</v>
      </c>
      <c r="H15" s="16">
        <v>0</v>
      </c>
      <c r="I15" s="16">
        <v>306</v>
      </c>
      <c r="J15" s="16">
        <v>1047</v>
      </c>
      <c r="K15" s="16">
        <v>0</v>
      </c>
      <c r="L15" s="16">
        <v>1667</v>
      </c>
      <c r="M15" s="16">
        <v>4</v>
      </c>
      <c r="N15" s="16">
        <v>44945</v>
      </c>
      <c r="O15" s="16"/>
      <c r="P15" s="16"/>
      <c r="Q15" s="16"/>
      <c r="R15" s="16"/>
      <c r="S15" s="16"/>
      <c r="T15" s="16"/>
      <c r="U15" s="16"/>
      <c r="V15" s="16"/>
      <c r="W15" s="16"/>
      <c r="X15" s="16"/>
      <c r="Y15" s="22"/>
      <c r="Z15" s="22"/>
      <c r="AA15" s="22"/>
      <c r="AB15" s="22"/>
      <c r="AC15" s="22"/>
      <c r="AD15" s="22"/>
      <c r="AE15" s="22"/>
      <c r="AF15" s="23"/>
    </row>
    <row r="16" spans="1:33" s="26" customFormat="1" x14ac:dyDescent="0.25">
      <c r="A16" s="34" t="s">
        <v>12</v>
      </c>
      <c r="B16" s="16">
        <v>0</v>
      </c>
      <c r="C16" s="16">
        <v>0</v>
      </c>
      <c r="D16" s="16">
        <v>0</v>
      </c>
      <c r="E16" s="16">
        <v>4</v>
      </c>
      <c r="F16" s="16">
        <v>0</v>
      </c>
      <c r="G16" s="16">
        <v>0</v>
      </c>
      <c r="H16" s="16">
        <v>0</v>
      </c>
      <c r="I16" s="16">
        <v>0</v>
      </c>
      <c r="J16" s="16">
        <v>0</v>
      </c>
      <c r="K16" s="16">
        <v>0</v>
      </c>
      <c r="L16" s="16">
        <v>0</v>
      </c>
      <c r="M16" s="16">
        <v>0</v>
      </c>
      <c r="N16" s="16">
        <v>0</v>
      </c>
      <c r="O16" s="16"/>
      <c r="P16" s="16"/>
      <c r="Q16" s="16"/>
      <c r="R16" s="16"/>
      <c r="S16" s="16"/>
      <c r="T16" s="16"/>
      <c r="U16" s="16"/>
      <c r="V16" s="16"/>
      <c r="W16" s="16"/>
      <c r="X16" s="16"/>
      <c r="Y16" s="22"/>
      <c r="Z16" s="22"/>
      <c r="AA16" s="22"/>
      <c r="AB16" s="22"/>
      <c r="AC16" s="22"/>
      <c r="AD16" s="22"/>
      <c r="AE16" s="22"/>
      <c r="AF16" s="23"/>
    </row>
    <row r="17" spans="1:33"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16"/>
      <c r="X17" s="16"/>
      <c r="Y17" s="22"/>
      <c r="Z17" s="22"/>
      <c r="AA17" s="22"/>
      <c r="AB17" s="22"/>
      <c r="AC17" s="22"/>
      <c r="AD17" s="22"/>
      <c r="AE17" s="22"/>
      <c r="AF17" s="23"/>
    </row>
    <row r="18" spans="1:33" s="26" customFormat="1" x14ac:dyDescent="0.25">
      <c r="A18" s="35" t="s">
        <v>14</v>
      </c>
      <c r="B18" s="19">
        <f>SUM(B11:B17)</f>
        <v>68315</v>
      </c>
      <c r="C18" s="19">
        <f>SUM(C11:C17)</f>
        <v>9133</v>
      </c>
      <c r="D18" s="19">
        <f>SUM(D11:D17)</f>
        <v>206</v>
      </c>
      <c r="E18" s="19">
        <f>SUM(E11:E17)</f>
        <v>28112</v>
      </c>
      <c r="F18" s="19">
        <f>SUM(F11:F17)</f>
        <v>856</v>
      </c>
      <c r="G18" s="19">
        <f t="shared" ref="G18:I18" si="2">SUM(G11:G17)</f>
        <v>0</v>
      </c>
      <c r="H18" s="19">
        <f t="shared" si="2"/>
        <v>0</v>
      </c>
      <c r="I18" s="19">
        <f t="shared" si="2"/>
        <v>366</v>
      </c>
      <c r="J18" s="19">
        <f t="shared" ref="J18:AF18" si="3">SUM(J11:J17)</f>
        <v>1356</v>
      </c>
      <c r="K18" s="19">
        <f t="shared" si="3"/>
        <v>1</v>
      </c>
      <c r="L18" s="19">
        <f t="shared" si="3"/>
        <v>5382</v>
      </c>
      <c r="M18" s="19">
        <f t="shared" si="3"/>
        <v>117</v>
      </c>
      <c r="N18" s="19">
        <f t="shared" si="3"/>
        <v>5162328</v>
      </c>
      <c r="O18" s="19">
        <f t="shared" si="3"/>
        <v>0</v>
      </c>
      <c r="P18" s="19">
        <f t="shared" si="3"/>
        <v>0</v>
      </c>
      <c r="Q18" s="19">
        <f t="shared" si="3"/>
        <v>0</v>
      </c>
      <c r="R18" s="19">
        <f t="shared" si="3"/>
        <v>0</v>
      </c>
      <c r="S18" s="19">
        <f t="shared" si="3"/>
        <v>0</v>
      </c>
      <c r="T18" s="19">
        <f t="shared" si="3"/>
        <v>0</v>
      </c>
      <c r="U18" s="19">
        <f t="shared" si="3"/>
        <v>0</v>
      </c>
      <c r="V18" s="19">
        <f t="shared" si="3"/>
        <v>0</v>
      </c>
      <c r="W18" s="19">
        <f t="shared" si="3"/>
        <v>0</v>
      </c>
      <c r="X18" s="19">
        <f t="shared" si="3"/>
        <v>0</v>
      </c>
      <c r="Y18" s="20">
        <f t="shared" si="3"/>
        <v>0</v>
      </c>
      <c r="Z18" s="20">
        <f t="shared" si="3"/>
        <v>0</v>
      </c>
      <c r="AA18" s="20">
        <f t="shared" si="3"/>
        <v>0</v>
      </c>
      <c r="AB18" s="20">
        <f t="shared" si="3"/>
        <v>0</v>
      </c>
      <c r="AC18" s="20">
        <f t="shared" si="3"/>
        <v>0</v>
      </c>
      <c r="AD18" s="20">
        <f t="shared" si="3"/>
        <v>0</v>
      </c>
      <c r="AE18" s="20">
        <f t="shared" si="3"/>
        <v>0</v>
      </c>
      <c r="AF18" s="21">
        <f t="shared" si="3"/>
        <v>0</v>
      </c>
    </row>
    <row r="19" spans="1:33" s="26" customFormat="1" x14ac:dyDescent="0.25">
      <c r="A19" s="35" t="s">
        <v>15</v>
      </c>
      <c r="B19" s="125">
        <f>SUM(B10,B18)</f>
        <v>129544</v>
      </c>
      <c r="C19" s="125">
        <f>SUM(C10,C18)</f>
        <v>15405</v>
      </c>
      <c r="D19" s="125">
        <f>SUM(D10,D18)</f>
        <v>2403</v>
      </c>
      <c r="E19" s="125">
        <f>SUM(E10,E18)</f>
        <v>45632</v>
      </c>
      <c r="F19" s="125">
        <f>SUM(F10,F18)</f>
        <v>2073</v>
      </c>
      <c r="G19" s="125">
        <f t="shared" ref="G19:I19" si="4">SUM(G10,G18)</f>
        <v>473</v>
      </c>
      <c r="H19" s="125">
        <f t="shared" si="4"/>
        <v>205</v>
      </c>
      <c r="I19" s="125">
        <f t="shared" si="4"/>
        <v>366</v>
      </c>
      <c r="J19" s="125">
        <f t="shared" ref="J19:AF19" si="5">SUM(J10,J18)</f>
        <v>2079</v>
      </c>
      <c r="K19" s="125">
        <f t="shared" si="5"/>
        <v>23</v>
      </c>
      <c r="L19" s="125">
        <f t="shared" si="5"/>
        <v>7793</v>
      </c>
      <c r="M19" s="125">
        <f t="shared" si="5"/>
        <v>591</v>
      </c>
      <c r="N19" s="125">
        <f t="shared" si="5"/>
        <v>17961923</v>
      </c>
      <c r="O19" s="125">
        <f t="shared" si="5"/>
        <v>35</v>
      </c>
      <c r="P19" s="125">
        <f t="shared" si="5"/>
        <v>823</v>
      </c>
      <c r="Q19" s="125">
        <f t="shared" si="5"/>
        <v>1264</v>
      </c>
      <c r="R19" s="125">
        <f t="shared" si="5"/>
        <v>281</v>
      </c>
      <c r="S19" s="125">
        <f t="shared" si="5"/>
        <v>6</v>
      </c>
      <c r="T19" s="125">
        <f t="shared" si="5"/>
        <v>3</v>
      </c>
      <c r="U19" s="125">
        <f t="shared" si="5"/>
        <v>7</v>
      </c>
      <c r="V19" s="125">
        <f t="shared" si="5"/>
        <v>80</v>
      </c>
      <c r="W19" s="125">
        <f t="shared" si="5"/>
        <v>2</v>
      </c>
      <c r="X19" s="125">
        <f t="shared" si="5"/>
        <v>53</v>
      </c>
      <c r="Y19" s="127">
        <f t="shared" si="5"/>
        <v>70</v>
      </c>
      <c r="Z19" s="127">
        <f t="shared" si="5"/>
        <v>225</v>
      </c>
      <c r="AA19" s="127">
        <f t="shared" si="5"/>
        <v>27</v>
      </c>
      <c r="AB19" s="127">
        <f t="shared" si="5"/>
        <v>36</v>
      </c>
      <c r="AC19" s="127">
        <f t="shared" si="5"/>
        <v>30</v>
      </c>
      <c r="AD19" s="127">
        <f t="shared" si="5"/>
        <v>30</v>
      </c>
      <c r="AE19" s="127">
        <f t="shared" si="5"/>
        <v>14000</v>
      </c>
      <c r="AF19" s="128">
        <f t="shared" si="5"/>
        <v>15000</v>
      </c>
    </row>
    <row r="22" spans="1:33" x14ac:dyDescent="0.25">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row>
  </sheetData>
  <sheetProtection formatCells="0" formatColumns="0" formatRows="0" insertColumns="0" insertRows="0" sort="0" autoFilter="0" pivotTables="0"/>
  <dataValidations count="1">
    <dataValidation type="list" errorStyle="information" allowBlank="1" showInputMessage="1" showErrorMessage="1" sqref="B1:AF1" xr:uid="{265534D3-88F8-4797-8AC2-A4A5C7336F4F}">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0F5A3CA-7654-4AFD-8FFB-481FFE28E0C5}">
          <x14:formula1>
            <xm:f>'Term List'!$A2:$A242</xm:f>
          </x14:formula1>
          <xm:sqref>AG1:XFD1</xm:sqref>
        </x14:dataValidation>
      </x14:dataValidations>
    </ext>
  </extLst>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29D5F-215C-4356-9D7D-5A8828CEB928}">
  <sheetPr codeName="Sheet29"/>
  <dimension ref="A1:AQ21"/>
  <sheetViews>
    <sheetView workbookViewId="0">
      <pane xSplit="1" ySplit="1" topLeftCell="T2" activePane="bottomRight" state="frozen"/>
      <selection activeCell="B3" sqref="B3"/>
      <selection pane="topRight" activeCell="B3" sqref="B3"/>
      <selection pane="bottomLeft" activeCell="B3" sqref="B3"/>
      <selection pane="bottomRight" activeCell="Z21" sqref="Z21"/>
    </sheetView>
  </sheetViews>
  <sheetFormatPr defaultRowHeight="15" x14ac:dyDescent="0.25"/>
  <cols>
    <col min="1" max="1" width="35.7109375" style="6" bestFit="1" customWidth="1"/>
    <col min="2" max="2" width="13.7109375" style="5" bestFit="1" customWidth="1"/>
    <col min="3" max="3" width="12" style="5" bestFit="1" customWidth="1"/>
    <col min="4" max="4" width="14.28515625" style="5" bestFit="1" customWidth="1"/>
    <col min="5" max="5" width="12" style="5" bestFit="1" customWidth="1"/>
    <col min="6" max="6" width="12.5703125" style="5" bestFit="1" customWidth="1"/>
    <col min="7" max="7" width="15" style="5" bestFit="1" customWidth="1"/>
    <col min="8" max="9" width="12" style="5" bestFit="1" customWidth="1"/>
    <col min="10" max="10" width="9.5703125" style="5" bestFit="1" customWidth="1"/>
    <col min="11" max="11" width="15.7109375" style="5" bestFit="1" customWidth="1"/>
    <col min="12" max="12" width="13.28515625" style="5" bestFit="1" customWidth="1"/>
    <col min="13" max="14" width="13.140625" style="5" bestFit="1" customWidth="1"/>
    <col min="15" max="15" width="10" style="5" bestFit="1" customWidth="1"/>
    <col min="16" max="16" width="14.140625" style="5" bestFit="1" customWidth="1"/>
    <col min="17" max="17" width="11.7109375" style="5" bestFit="1" customWidth="1"/>
    <col min="18" max="18" width="5.7109375" style="5" bestFit="1" customWidth="1"/>
    <col min="19" max="19" width="11.140625" style="5" bestFit="1" customWidth="1"/>
    <col min="20" max="21" width="11.28515625" style="5" bestFit="1" customWidth="1"/>
    <col min="22" max="22" width="11.85546875" style="5" bestFit="1" customWidth="1"/>
    <col min="23" max="23" width="14.85546875" style="5" bestFit="1" customWidth="1"/>
    <col min="24" max="24" width="12.42578125" style="5" bestFit="1" customWidth="1"/>
    <col min="25" max="25" width="11.5703125" style="3" bestFit="1" customWidth="1"/>
    <col min="26" max="26" width="14" style="5" bestFit="1" customWidth="1"/>
    <col min="27" max="27" width="15.85546875" style="5" bestFit="1" customWidth="1"/>
    <col min="28" max="28" width="10.28515625" style="5" bestFit="1" customWidth="1"/>
    <col min="29" max="29" width="10.28515625" style="3" bestFit="1" customWidth="1"/>
    <col min="30" max="30" width="16" style="3" bestFit="1" customWidth="1"/>
    <col min="31" max="31" width="16.140625" style="3" bestFit="1" customWidth="1"/>
    <col min="32" max="32" width="15.42578125" style="3" bestFit="1" customWidth="1"/>
    <col min="33" max="33" width="9.28515625" style="3" bestFit="1" customWidth="1"/>
    <col min="34" max="34" width="13.42578125" style="3" bestFit="1" customWidth="1"/>
    <col min="35" max="35" width="11.5703125" style="3" bestFit="1" customWidth="1"/>
    <col min="36" max="36" width="10.5703125" style="3" bestFit="1" customWidth="1"/>
    <col min="37" max="37" width="10.85546875" style="3" bestFit="1" customWidth="1"/>
    <col min="38" max="38" width="14.42578125" style="3" bestFit="1" customWidth="1"/>
    <col min="39" max="39" width="15.140625" style="3" bestFit="1" customWidth="1"/>
    <col min="41" max="41" width="9.7109375" style="3" bestFit="1" customWidth="1"/>
    <col min="42" max="42" width="15.85546875" style="3" bestFit="1" customWidth="1"/>
    <col min="43" max="43" width="15.28515625" style="3" bestFit="1" customWidth="1"/>
    <col min="44" max="44" width="15.5703125" style="3" bestFit="1" customWidth="1"/>
    <col min="45" max="45" width="17.28515625" style="3" customWidth="1"/>
    <col min="46" max="16384" width="9.140625" style="3"/>
  </cols>
  <sheetData>
    <row r="1" spans="1:43" s="40" customFormat="1" ht="30" x14ac:dyDescent="0.25">
      <c r="A1" s="31" t="s">
        <v>581</v>
      </c>
      <c r="B1" s="31" t="s">
        <v>62</v>
      </c>
      <c r="C1" s="31" t="s">
        <v>35</v>
      </c>
      <c r="D1" s="31" t="s">
        <v>36</v>
      </c>
      <c r="E1" s="31" t="s">
        <v>39</v>
      </c>
      <c r="F1" s="31" t="s">
        <v>99</v>
      </c>
      <c r="G1" s="31" t="s">
        <v>571</v>
      </c>
      <c r="H1" s="31" t="s">
        <v>567</v>
      </c>
      <c r="I1" s="31" t="s">
        <v>569</v>
      </c>
      <c r="J1" s="31" t="s">
        <v>573</v>
      </c>
      <c r="K1" s="31" t="s">
        <v>572</v>
      </c>
      <c r="L1" s="31" t="s">
        <v>28</v>
      </c>
      <c r="M1" s="31" t="s">
        <v>89</v>
      </c>
      <c r="N1" s="31" t="s">
        <v>100</v>
      </c>
      <c r="O1" s="31" t="s">
        <v>82</v>
      </c>
      <c r="P1" s="31" t="s">
        <v>45</v>
      </c>
      <c r="Q1" s="31" t="s">
        <v>108</v>
      </c>
      <c r="R1" s="31" t="s">
        <v>104</v>
      </c>
      <c r="S1" s="31" t="s">
        <v>64</v>
      </c>
      <c r="T1" s="31" t="s">
        <v>93</v>
      </c>
      <c r="U1" s="31" t="s">
        <v>51</v>
      </c>
      <c r="V1" s="31" t="s">
        <v>329</v>
      </c>
      <c r="W1" s="31" t="s">
        <v>74</v>
      </c>
      <c r="X1" s="31" t="s">
        <v>102</v>
      </c>
      <c r="Y1" s="31" t="s">
        <v>54</v>
      </c>
      <c r="Z1" s="31" t="s">
        <v>53</v>
      </c>
      <c r="AA1" s="31" t="s">
        <v>78</v>
      </c>
      <c r="AB1" s="31" t="s">
        <v>79</v>
      </c>
      <c r="AC1" s="31" t="s">
        <v>76</v>
      </c>
      <c r="AD1" s="31" t="s">
        <v>77</v>
      </c>
      <c r="AE1" s="31" t="s">
        <v>71</v>
      </c>
      <c r="AF1" s="31" t="s">
        <v>92</v>
      </c>
      <c r="AG1" s="31" t="s">
        <v>91</v>
      </c>
      <c r="AH1" s="31" t="s">
        <v>75</v>
      </c>
      <c r="AI1" s="31" t="s">
        <v>107</v>
      </c>
      <c r="AJ1" s="31" t="s">
        <v>101</v>
      </c>
      <c r="AK1" s="31" t="s">
        <v>83</v>
      </c>
      <c r="AL1" s="31" t="s">
        <v>85</v>
      </c>
      <c r="AM1" s="31" t="s">
        <v>86</v>
      </c>
      <c r="AN1" s="31" t="s">
        <v>564</v>
      </c>
      <c r="AO1" s="31" t="s">
        <v>331</v>
      </c>
      <c r="AP1" s="31" t="s">
        <v>332</v>
      </c>
      <c r="AQ1" s="31" t="s">
        <v>333</v>
      </c>
    </row>
    <row r="2" spans="1:43" s="26" customFormat="1" x14ac:dyDescent="0.25">
      <c r="A2" s="34" t="s">
        <v>0</v>
      </c>
      <c r="B2" s="16"/>
      <c r="C2" s="16"/>
      <c r="D2" s="16"/>
      <c r="E2" s="16"/>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row>
    <row r="3" spans="1:43" s="26" customFormat="1" x14ac:dyDescent="0.25">
      <c r="A3" s="34" t="s">
        <v>1</v>
      </c>
      <c r="B3" s="16"/>
      <c r="C3" s="16"/>
      <c r="D3" s="16"/>
      <c r="E3" s="16"/>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row>
    <row r="4" spans="1:43" s="26" customFormat="1" x14ac:dyDescent="0.25">
      <c r="A4" s="34" t="s">
        <v>169</v>
      </c>
      <c r="B4" s="16"/>
      <c r="C4" s="16"/>
      <c r="D4" s="16"/>
      <c r="E4" s="16"/>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row>
    <row r="5" spans="1:43" s="26" customFormat="1" x14ac:dyDescent="0.25">
      <c r="A5" s="34" t="s">
        <v>2</v>
      </c>
      <c r="B5" s="16"/>
      <c r="C5" s="16"/>
      <c r="D5" s="16"/>
      <c r="E5" s="16"/>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row>
    <row r="6" spans="1:43" s="26" customFormat="1" x14ac:dyDescent="0.25">
      <c r="A6" s="34" t="s">
        <v>3</v>
      </c>
      <c r="B6" s="16">
        <v>248</v>
      </c>
      <c r="C6" s="16"/>
      <c r="D6" s="16"/>
      <c r="E6" s="16"/>
      <c r="F6" s="17">
        <v>69</v>
      </c>
      <c r="G6" s="17">
        <v>1966</v>
      </c>
      <c r="H6" s="17">
        <v>4869</v>
      </c>
      <c r="I6" s="17"/>
      <c r="J6" s="17">
        <v>268</v>
      </c>
      <c r="K6" s="17">
        <v>69</v>
      </c>
      <c r="L6" s="17"/>
      <c r="M6" s="17"/>
      <c r="N6" s="17">
        <v>1050</v>
      </c>
      <c r="O6" s="17">
        <v>46</v>
      </c>
      <c r="P6" s="17">
        <v>160</v>
      </c>
      <c r="Q6" s="17">
        <v>45</v>
      </c>
      <c r="R6" s="17">
        <v>137</v>
      </c>
      <c r="S6" s="17">
        <v>300</v>
      </c>
      <c r="T6" s="17">
        <v>165</v>
      </c>
      <c r="U6" s="17">
        <v>1000</v>
      </c>
      <c r="V6" s="17">
        <v>12</v>
      </c>
      <c r="W6" s="41">
        <v>16.5</v>
      </c>
      <c r="X6" s="17">
        <v>24</v>
      </c>
      <c r="Y6" s="17"/>
      <c r="Z6" s="17">
        <v>450</v>
      </c>
      <c r="AA6" s="17">
        <v>182</v>
      </c>
      <c r="AB6" s="17">
        <v>27</v>
      </c>
      <c r="AC6" s="17">
        <v>441</v>
      </c>
      <c r="AD6" s="17">
        <v>29000</v>
      </c>
      <c r="AE6" s="17">
        <v>18</v>
      </c>
      <c r="AF6" s="17">
        <v>63</v>
      </c>
      <c r="AG6" s="17">
        <v>577</v>
      </c>
      <c r="AH6" s="17">
        <v>288490</v>
      </c>
      <c r="AI6" s="17">
        <v>82770</v>
      </c>
      <c r="AJ6" s="17">
        <v>123000</v>
      </c>
      <c r="AK6" s="17">
        <v>180000</v>
      </c>
      <c r="AL6" s="17"/>
      <c r="AM6" s="17"/>
      <c r="AN6" s="17"/>
      <c r="AO6" s="17"/>
      <c r="AP6" s="17"/>
      <c r="AQ6" s="17"/>
    </row>
    <row r="7" spans="1:43" s="26" customFormat="1" x14ac:dyDescent="0.25">
      <c r="A7" s="34" t="s">
        <v>4</v>
      </c>
      <c r="B7" s="16">
        <f>73450+15463</f>
        <v>88913</v>
      </c>
      <c r="C7" s="16">
        <f>17083+1712</f>
        <v>18795</v>
      </c>
      <c r="D7" s="16">
        <f>6917+878</f>
        <v>7795</v>
      </c>
      <c r="E7" s="16">
        <f>3834+400</f>
        <v>4234</v>
      </c>
      <c r="F7" s="41">
        <f>1431+827+(403/2)+(322/2)</f>
        <v>2620.5</v>
      </c>
      <c r="G7" s="17">
        <f>758+188</f>
        <v>946</v>
      </c>
      <c r="H7" s="17">
        <f>6533+1342</f>
        <v>7875</v>
      </c>
      <c r="I7" s="17">
        <f>1123+329</f>
        <v>1452</v>
      </c>
      <c r="J7" s="17"/>
      <c r="K7" s="17">
        <f>1165+287</f>
        <v>1452</v>
      </c>
      <c r="L7" s="17">
        <f>983+224</f>
        <v>1207</v>
      </c>
      <c r="M7" s="17">
        <f>5021+1716</f>
        <v>6737</v>
      </c>
      <c r="N7" s="17"/>
      <c r="O7" s="17"/>
      <c r="P7" s="17">
        <f>1429+98</f>
        <v>1527</v>
      </c>
      <c r="Q7" s="17"/>
      <c r="R7" s="17"/>
      <c r="S7" s="17"/>
      <c r="T7" s="17"/>
      <c r="U7" s="17"/>
      <c r="V7" s="17"/>
      <c r="W7" s="41"/>
      <c r="X7" s="17"/>
      <c r="Y7" s="17">
        <f>174+63</f>
        <v>237</v>
      </c>
      <c r="Z7" s="17">
        <f>47932+5837</f>
        <v>53769</v>
      </c>
      <c r="AA7" s="17"/>
      <c r="AB7" s="17"/>
      <c r="AC7" s="17"/>
      <c r="AD7" s="17"/>
      <c r="AE7" s="17"/>
      <c r="AF7" s="17"/>
      <c r="AG7" s="17"/>
      <c r="AH7" s="17">
        <f>6354494+999222</f>
        <v>7353716</v>
      </c>
      <c r="AI7" s="17">
        <f>2764632+442641</f>
        <v>3207273</v>
      </c>
      <c r="AJ7" s="17">
        <f>8837300+627050</f>
        <v>9464350</v>
      </c>
      <c r="AK7" s="17"/>
      <c r="AL7" s="17">
        <f>2717+199</f>
        <v>2916</v>
      </c>
      <c r="AM7" s="17">
        <f>10413+298</f>
        <v>10711</v>
      </c>
      <c r="AN7" s="17"/>
      <c r="AO7" s="17"/>
      <c r="AP7" s="17"/>
      <c r="AQ7" s="17"/>
    </row>
    <row r="8" spans="1:43" s="26" customFormat="1" x14ac:dyDescent="0.25">
      <c r="A8" s="34" t="s">
        <v>5</v>
      </c>
      <c r="B8" s="16"/>
      <c r="C8" s="16"/>
      <c r="D8" s="16"/>
      <c r="E8" s="16"/>
      <c r="F8" s="41"/>
      <c r="G8" s="17"/>
      <c r="H8" s="17"/>
      <c r="I8" s="17"/>
      <c r="J8" s="17"/>
      <c r="K8" s="17"/>
      <c r="L8" s="17"/>
      <c r="M8" s="17"/>
      <c r="N8" s="17"/>
      <c r="O8" s="17"/>
      <c r="P8" s="17"/>
      <c r="Q8" s="17"/>
      <c r="R8" s="17"/>
      <c r="S8" s="17"/>
      <c r="T8" s="17"/>
      <c r="U8" s="17"/>
      <c r="V8" s="17"/>
      <c r="W8" s="41"/>
      <c r="X8" s="17"/>
      <c r="Y8" s="17"/>
      <c r="Z8" s="17"/>
      <c r="AA8" s="17"/>
      <c r="AB8" s="17"/>
      <c r="AC8" s="17"/>
      <c r="AD8" s="17"/>
      <c r="AE8" s="17"/>
      <c r="AF8" s="17"/>
      <c r="AG8" s="17"/>
      <c r="AH8" s="17"/>
      <c r="AI8" s="17"/>
      <c r="AJ8" s="17"/>
      <c r="AK8" s="17"/>
      <c r="AL8" s="17"/>
      <c r="AM8" s="17"/>
      <c r="AN8" s="17"/>
      <c r="AO8" s="17"/>
      <c r="AP8" s="17"/>
      <c r="AQ8" s="17"/>
    </row>
    <row r="9" spans="1:43" s="26" customFormat="1" x14ac:dyDescent="0.25">
      <c r="A9" s="34" t="s">
        <v>6</v>
      </c>
      <c r="B9" s="16"/>
      <c r="C9" s="16"/>
      <c r="D9" s="16"/>
      <c r="E9" s="16"/>
      <c r="F9" s="41"/>
      <c r="G9" s="17"/>
      <c r="H9" s="17"/>
      <c r="I9" s="17"/>
      <c r="J9" s="17"/>
      <c r="K9" s="17"/>
      <c r="L9" s="17"/>
      <c r="M9" s="17"/>
      <c r="N9" s="17"/>
      <c r="O9" s="17"/>
      <c r="P9" s="17"/>
      <c r="Q9" s="17"/>
      <c r="R9" s="17"/>
      <c r="S9" s="17"/>
      <c r="T9" s="17"/>
      <c r="U9" s="17"/>
      <c r="V9" s="17"/>
      <c r="W9" s="41"/>
      <c r="X9" s="17"/>
      <c r="Y9" s="17"/>
      <c r="Z9" s="17"/>
      <c r="AA9" s="17"/>
      <c r="AB9" s="17"/>
      <c r="AC9" s="17"/>
      <c r="AD9" s="17"/>
      <c r="AE9" s="17"/>
      <c r="AF9" s="17"/>
      <c r="AG9" s="17"/>
      <c r="AH9" s="17"/>
      <c r="AI9" s="17"/>
      <c r="AJ9" s="17"/>
      <c r="AK9" s="17"/>
      <c r="AL9" s="17"/>
      <c r="AM9" s="17"/>
      <c r="AN9" s="17">
        <v>1207</v>
      </c>
      <c r="AO9" s="17">
        <v>2343</v>
      </c>
      <c r="AP9" s="17">
        <v>137</v>
      </c>
      <c r="AQ9" s="17">
        <v>2188</v>
      </c>
    </row>
    <row r="10" spans="1:43" s="26" customFormat="1" x14ac:dyDescent="0.25">
      <c r="A10" s="35" t="s">
        <v>7</v>
      </c>
      <c r="B10" s="19">
        <f>SUM(B2:B9)</f>
        <v>89161</v>
      </c>
      <c r="C10" s="19">
        <f t="shared" ref="C10:E10" si="0">SUM(C2:C9)</f>
        <v>18795</v>
      </c>
      <c r="D10" s="19">
        <f t="shared" si="0"/>
        <v>7795</v>
      </c>
      <c r="E10" s="19">
        <f t="shared" si="0"/>
        <v>4234</v>
      </c>
      <c r="F10" s="42">
        <f t="shared" ref="F10:AM10" si="1">SUM(F2:F9)</f>
        <v>2689.5</v>
      </c>
      <c r="G10" s="19">
        <f t="shared" si="1"/>
        <v>2912</v>
      </c>
      <c r="H10" s="19">
        <f t="shared" si="1"/>
        <v>12744</v>
      </c>
      <c r="I10" s="19">
        <f t="shared" si="1"/>
        <v>1452</v>
      </c>
      <c r="J10" s="19">
        <f t="shared" si="1"/>
        <v>268</v>
      </c>
      <c r="K10" s="19">
        <f t="shared" si="1"/>
        <v>1521</v>
      </c>
      <c r="L10" s="19">
        <f t="shared" si="1"/>
        <v>1207</v>
      </c>
      <c r="M10" s="19">
        <f t="shared" si="1"/>
        <v>6737</v>
      </c>
      <c r="N10" s="19">
        <f t="shared" si="1"/>
        <v>1050</v>
      </c>
      <c r="O10" s="19">
        <f t="shared" si="1"/>
        <v>46</v>
      </c>
      <c r="P10" s="19">
        <f t="shared" si="1"/>
        <v>1687</v>
      </c>
      <c r="Q10" s="19">
        <f t="shared" si="1"/>
        <v>45</v>
      </c>
      <c r="R10" s="19">
        <f t="shared" si="1"/>
        <v>137</v>
      </c>
      <c r="S10" s="19">
        <f t="shared" si="1"/>
        <v>300</v>
      </c>
      <c r="T10" s="19">
        <f t="shared" si="1"/>
        <v>165</v>
      </c>
      <c r="U10" s="19">
        <f t="shared" si="1"/>
        <v>1000</v>
      </c>
      <c r="V10" s="19">
        <f t="shared" si="1"/>
        <v>12</v>
      </c>
      <c r="W10" s="19">
        <f t="shared" si="1"/>
        <v>16.5</v>
      </c>
      <c r="X10" s="19">
        <f t="shared" si="1"/>
        <v>24</v>
      </c>
      <c r="Y10" s="19">
        <f>SUM(Y2:Y9)</f>
        <v>237</v>
      </c>
      <c r="Z10" s="19">
        <f t="shared" si="1"/>
        <v>54219</v>
      </c>
      <c r="AA10" s="19">
        <f t="shared" si="1"/>
        <v>182</v>
      </c>
      <c r="AB10" s="19">
        <f t="shared" si="1"/>
        <v>27</v>
      </c>
      <c r="AC10" s="19">
        <f t="shared" si="1"/>
        <v>441</v>
      </c>
      <c r="AD10" s="19">
        <f t="shared" si="1"/>
        <v>29000</v>
      </c>
      <c r="AE10" s="19">
        <f t="shared" si="1"/>
        <v>18</v>
      </c>
      <c r="AF10" s="19">
        <f t="shared" si="1"/>
        <v>63</v>
      </c>
      <c r="AG10" s="19">
        <f t="shared" si="1"/>
        <v>577</v>
      </c>
      <c r="AH10" s="19">
        <f t="shared" si="1"/>
        <v>7642206</v>
      </c>
      <c r="AI10" s="19">
        <f t="shared" si="1"/>
        <v>3290043</v>
      </c>
      <c r="AJ10" s="19">
        <f t="shared" si="1"/>
        <v>9587350</v>
      </c>
      <c r="AK10" s="19">
        <f t="shared" si="1"/>
        <v>180000</v>
      </c>
      <c r="AL10" s="19">
        <f t="shared" si="1"/>
        <v>2916</v>
      </c>
      <c r="AM10" s="19">
        <f t="shared" si="1"/>
        <v>10711</v>
      </c>
      <c r="AN10" s="19">
        <f t="shared" ref="AN10:AQ10" si="2">SUM(AN2:AN9)</f>
        <v>1207</v>
      </c>
      <c r="AO10" s="19">
        <f t="shared" si="2"/>
        <v>2343</v>
      </c>
      <c r="AP10" s="19">
        <f t="shared" si="2"/>
        <v>137</v>
      </c>
      <c r="AQ10" s="19">
        <f t="shared" si="2"/>
        <v>2188</v>
      </c>
    </row>
    <row r="11" spans="1:43" s="26" customFormat="1" x14ac:dyDescent="0.25">
      <c r="A11" s="34" t="s">
        <v>8</v>
      </c>
      <c r="B11" s="16"/>
      <c r="C11" s="16"/>
      <c r="D11" s="16"/>
      <c r="E11" s="16"/>
      <c r="F11" s="43"/>
      <c r="G11" s="16"/>
      <c r="H11" s="16"/>
      <c r="I11" s="16"/>
      <c r="J11" s="16"/>
      <c r="K11" s="16"/>
      <c r="L11" s="16"/>
      <c r="M11" s="16"/>
      <c r="N11" s="16"/>
      <c r="O11" s="16"/>
      <c r="P11" s="16"/>
      <c r="Q11" s="16"/>
      <c r="R11" s="16"/>
      <c r="S11" s="16"/>
      <c r="T11" s="16"/>
      <c r="U11" s="16"/>
      <c r="V11" s="16"/>
      <c r="W11" s="43"/>
      <c r="X11" s="16"/>
      <c r="Y11" s="16"/>
      <c r="Z11" s="16"/>
      <c r="AA11" s="16"/>
      <c r="AB11" s="16"/>
      <c r="AC11" s="16"/>
      <c r="AD11" s="16"/>
      <c r="AE11" s="16"/>
      <c r="AF11" s="16"/>
      <c r="AG11" s="16"/>
      <c r="AH11" s="16"/>
      <c r="AI11" s="16"/>
      <c r="AJ11" s="16"/>
      <c r="AK11" s="16"/>
      <c r="AL11" s="16"/>
      <c r="AM11" s="16"/>
      <c r="AN11" s="16"/>
      <c r="AO11" s="16"/>
      <c r="AP11" s="16"/>
      <c r="AQ11" s="16"/>
    </row>
    <row r="12" spans="1:43" s="26" customFormat="1" x14ac:dyDescent="0.25">
      <c r="A12" s="34" t="s">
        <v>9</v>
      </c>
      <c r="B12" s="16"/>
      <c r="C12" s="16"/>
      <c r="D12" s="16"/>
      <c r="E12" s="16"/>
      <c r="F12" s="43"/>
      <c r="G12" s="16"/>
      <c r="H12" s="16"/>
      <c r="I12" s="16"/>
      <c r="J12" s="16"/>
      <c r="K12" s="16"/>
      <c r="L12" s="16"/>
      <c r="M12" s="16"/>
      <c r="N12" s="16"/>
      <c r="O12" s="16"/>
      <c r="P12" s="16"/>
      <c r="Q12" s="16"/>
      <c r="R12" s="16"/>
      <c r="S12" s="16"/>
      <c r="T12" s="16"/>
      <c r="U12" s="16"/>
      <c r="V12" s="16"/>
      <c r="W12" s="43"/>
      <c r="X12" s="16"/>
      <c r="Y12" s="16"/>
      <c r="Z12" s="16"/>
      <c r="AA12" s="16"/>
      <c r="AB12" s="16"/>
      <c r="AC12" s="16"/>
      <c r="AD12" s="16"/>
      <c r="AE12" s="16"/>
      <c r="AF12" s="16"/>
      <c r="AG12" s="16"/>
      <c r="AH12" s="16"/>
      <c r="AI12" s="16"/>
      <c r="AJ12" s="16"/>
      <c r="AK12" s="16"/>
      <c r="AL12" s="16"/>
      <c r="AM12" s="16"/>
      <c r="AN12" s="16"/>
      <c r="AO12" s="16"/>
      <c r="AP12" s="16"/>
      <c r="AQ12" s="16"/>
    </row>
    <row r="13" spans="1:43" s="26" customFormat="1" x14ac:dyDescent="0.25">
      <c r="A13" s="34" t="s">
        <v>164</v>
      </c>
      <c r="B13" s="16"/>
      <c r="C13" s="16"/>
      <c r="D13" s="16"/>
      <c r="E13" s="16"/>
      <c r="F13" s="43"/>
      <c r="G13" s="16"/>
      <c r="H13" s="16"/>
      <c r="I13" s="16"/>
      <c r="J13" s="16"/>
      <c r="K13" s="16"/>
      <c r="L13" s="16"/>
      <c r="M13" s="16"/>
      <c r="N13" s="16"/>
      <c r="O13" s="16"/>
      <c r="P13" s="16"/>
      <c r="Q13" s="16"/>
      <c r="R13" s="16"/>
      <c r="S13" s="16"/>
      <c r="T13" s="16"/>
      <c r="U13" s="16"/>
      <c r="V13" s="16"/>
      <c r="W13" s="43"/>
      <c r="X13" s="16"/>
      <c r="Y13" s="16"/>
      <c r="Z13" s="16"/>
      <c r="AA13" s="16"/>
      <c r="AB13" s="16"/>
      <c r="AC13" s="16"/>
      <c r="AD13" s="16"/>
      <c r="AE13" s="16"/>
      <c r="AF13" s="16"/>
      <c r="AG13" s="16"/>
      <c r="AH13" s="16"/>
      <c r="AI13" s="16"/>
      <c r="AJ13" s="16"/>
      <c r="AK13" s="16"/>
      <c r="AL13" s="16"/>
      <c r="AM13" s="16"/>
      <c r="AN13" s="16"/>
      <c r="AO13" s="16"/>
      <c r="AP13" s="16"/>
      <c r="AQ13" s="16"/>
    </row>
    <row r="14" spans="1:43" s="26" customFormat="1" x14ac:dyDescent="0.25">
      <c r="A14" s="34" t="s">
        <v>10</v>
      </c>
      <c r="B14" s="16">
        <v>0</v>
      </c>
      <c r="C14" s="16"/>
      <c r="D14" s="16"/>
      <c r="E14" s="16"/>
      <c r="F14" s="43">
        <v>0</v>
      </c>
      <c r="G14" s="16">
        <v>345</v>
      </c>
      <c r="H14" s="16">
        <v>2926</v>
      </c>
      <c r="I14" s="16"/>
      <c r="J14" s="16">
        <v>0</v>
      </c>
      <c r="K14" s="16">
        <v>0</v>
      </c>
      <c r="L14" s="16"/>
      <c r="M14" s="16"/>
      <c r="N14" s="16">
        <v>0</v>
      </c>
      <c r="O14" s="16">
        <v>0</v>
      </c>
      <c r="P14" s="16">
        <v>0</v>
      </c>
      <c r="Q14" s="16">
        <v>35</v>
      </c>
      <c r="R14" s="16">
        <v>0</v>
      </c>
      <c r="S14" s="16">
        <v>0</v>
      </c>
      <c r="T14" s="16">
        <v>0</v>
      </c>
      <c r="U14" s="16">
        <v>0</v>
      </c>
      <c r="V14" s="16">
        <v>0</v>
      </c>
      <c r="W14" s="43">
        <v>0</v>
      </c>
      <c r="X14" s="16">
        <v>0</v>
      </c>
      <c r="Y14" s="16"/>
      <c r="Z14" s="16">
        <v>323</v>
      </c>
      <c r="AA14" s="16">
        <v>0</v>
      </c>
      <c r="AB14" s="16">
        <v>0</v>
      </c>
      <c r="AC14" s="16">
        <v>0</v>
      </c>
      <c r="AD14" s="16">
        <v>0</v>
      </c>
      <c r="AE14" s="16">
        <v>0</v>
      </c>
      <c r="AF14" s="16">
        <v>0</v>
      </c>
      <c r="AG14" s="16">
        <v>0</v>
      </c>
      <c r="AH14" s="16">
        <v>551500</v>
      </c>
      <c r="AI14" s="16">
        <v>335700</v>
      </c>
      <c r="AJ14" s="16">
        <v>0</v>
      </c>
      <c r="AK14" s="16">
        <v>0</v>
      </c>
      <c r="AL14" s="16"/>
      <c r="AM14" s="16"/>
      <c r="AN14" s="16"/>
      <c r="AO14" s="16"/>
      <c r="AP14" s="16"/>
      <c r="AQ14" s="16"/>
    </row>
    <row r="15" spans="1:43" s="26" customFormat="1" x14ac:dyDescent="0.25">
      <c r="A15" s="34" t="s">
        <v>11</v>
      </c>
      <c r="B15" s="16">
        <f>14185+1264</f>
        <v>15449</v>
      </c>
      <c r="C15" s="16">
        <v>0</v>
      </c>
      <c r="D15" s="16">
        <f>2901</f>
        <v>2901</v>
      </c>
      <c r="E15" s="16">
        <v>0</v>
      </c>
      <c r="F15" s="16">
        <f>900+262</f>
        <v>1162</v>
      </c>
      <c r="G15" s="16">
        <f>346+3</f>
        <v>349</v>
      </c>
      <c r="H15" s="16">
        <f>4419+830</f>
        <v>5249</v>
      </c>
      <c r="I15" s="16">
        <v>0</v>
      </c>
      <c r="J15" s="16"/>
      <c r="K15" s="16">
        <v>0</v>
      </c>
      <c r="L15" s="16">
        <f>1042+153</f>
        <v>1195</v>
      </c>
      <c r="M15" s="16">
        <f>1910+157</f>
        <v>2067</v>
      </c>
      <c r="N15" s="16"/>
      <c r="O15" s="16"/>
      <c r="P15" s="16">
        <f>785+80</f>
        <v>865</v>
      </c>
      <c r="Q15" s="16"/>
      <c r="R15" s="16"/>
      <c r="S15" s="16"/>
      <c r="T15" s="16"/>
      <c r="U15" s="16"/>
      <c r="V15" s="16"/>
      <c r="W15" s="43"/>
      <c r="X15" s="16"/>
      <c r="Y15" s="16">
        <v>0</v>
      </c>
      <c r="Z15" s="16">
        <f>60678+8200</f>
        <v>68878</v>
      </c>
      <c r="AA15" s="16"/>
      <c r="AB15" s="16"/>
      <c r="AC15" s="16"/>
      <c r="AD15" s="16"/>
      <c r="AE15" s="16"/>
      <c r="AF15" s="16"/>
      <c r="AG15" s="16"/>
      <c r="AH15" s="16">
        <f>4419403+431500</f>
        <v>4850903</v>
      </c>
      <c r="AI15" s="16">
        <f>11342952+1123600</f>
        <v>12466552</v>
      </c>
      <c r="AJ15" s="16">
        <v>0</v>
      </c>
      <c r="AK15" s="16"/>
      <c r="AL15" s="16">
        <v>0</v>
      </c>
      <c r="AM15" s="16">
        <v>0</v>
      </c>
      <c r="AN15" s="16"/>
      <c r="AO15" s="16"/>
      <c r="AP15" s="16"/>
      <c r="AQ15" s="16"/>
    </row>
    <row r="16" spans="1:43" s="26" customFormat="1" x14ac:dyDescent="0.25">
      <c r="A16" s="34" t="s">
        <v>12</v>
      </c>
      <c r="B16" s="16"/>
      <c r="C16" s="16"/>
      <c r="D16" s="16"/>
      <c r="E16" s="16"/>
      <c r="F16" s="16"/>
      <c r="G16" s="16"/>
      <c r="H16" s="16"/>
      <c r="I16" s="16"/>
      <c r="J16" s="16"/>
      <c r="K16" s="16"/>
      <c r="L16" s="16"/>
      <c r="M16" s="16"/>
      <c r="N16" s="16"/>
      <c r="O16" s="16"/>
      <c r="P16" s="16"/>
      <c r="Q16" s="16"/>
      <c r="R16" s="16"/>
      <c r="S16" s="16"/>
      <c r="T16" s="16"/>
      <c r="U16" s="16"/>
      <c r="V16" s="16"/>
      <c r="W16" s="43"/>
      <c r="X16" s="16"/>
      <c r="Y16" s="16"/>
      <c r="Z16" s="16"/>
      <c r="AA16" s="16"/>
      <c r="AB16" s="16"/>
      <c r="AC16" s="16"/>
      <c r="AD16" s="16"/>
      <c r="AE16" s="16"/>
      <c r="AF16" s="16"/>
      <c r="AG16" s="16"/>
      <c r="AH16" s="16"/>
      <c r="AI16" s="16"/>
      <c r="AJ16" s="16"/>
      <c r="AK16" s="16"/>
      <c r="AL16" s="16"/>
      <c r="AM16" s="16"/>
      <c r="AN16" s="16"/>
      <c r="AO16" s="16"/>
      <c r="AP16" s="16"/>
      <c r="AQ16" s="16"/>
    </row>
    <row r="17" spans="1:43" s="26" customFormat="1" x14ac:dyDescent="0.25">
      <c r="A17" s="34" t="s">
        <v>13</v>
      </c>
      <c r="B17" s="16"/>
      <c r="C17" s="16"/>
      <c r="D17" s="16"/>
      <c r="E17" s="16"/>
      <c r="F17" s="16"/>
      <c r="G17" s="16"/>
      <c r="H17" s="16"/>
      <c r="I17" s="16"/>
      <c r="J17" s="16"/>
      <c r="K17" s="16"/>
      <c r="L17" s="16"/>
      <c r="M17" s="16"/>
      <c r="N17" s="16"/>
      <c r="O17" s="16"/>
      <c r="P17" s="16"/>
      <c r="Q17" s="16"/>
      <c r="R17" s="16"/>
      <c r="S17" s="16"/>
      <c r="T17" s="16"/>
      <c r="U17" s="16"/>
      <c r="V17" s="16"/>
      <c r="W17" s="43"/>
      <c r="X17" s="16"/>
      <c r="Y17" s="16"/>
      <c r="Z17" s="16"/>
      <c r="AA17" s="16"/>
      <c r="AB17" s="16"/>
      <c r="AC17" s="16"/>
      <c r="AD17" s="16"/>
      <c r="AE17" s="16"/>
      <c r="AF17" s="16"/>
      <c r="AG17" s="16"/>
      <c r="AH17" s="16"/>
      <c r="AI17" s="16"/>
      <c r="AJ17" s="16"/>
      <c r="AK17" s="16"/>
      <c r="AL17" s="16"/>
      <c r="AM17" s="16"/>
      <c r="AN17" s="16">
        <v>1163</v>
      </c>
      <c r="AO17" s="16">
        <v>84</v>
      </c>
      <c r="AP17" s="16">
        <v>3</v>
      </c>
      <c r="AQ17" s="16">
        <v>2431</v>
      </c>
    </row>
    <row r="18" spans="1:43" s="26" customFormat="1" x14ac:dyDescent="0.25">
      <c r="A18" s="35" t="s">
        <v>14</v>
      </c>
      <c r="B18" s="20">
        <f t="shared" ref="B18:AF18" si="3">SUM(B11:B17)</f>
        <v>15449</v>
      </c>
      <c r="C18" s="20">
        <f t="shared" si="3"/>
        <v>0</v>
      </c>
      <c r="D18" s="20">
        <f t="shared" si="3"/>
        <v>2901</v>
      </c>
      <c r="E18" s="20">
        <f t="shared" si="3"/>
        <v>0</v>
      </c>
      <c r="F18" s="20">
        <f t="shared" si="3"/>
        <v>1162</v>
      </c>
      <c r="G18" s="20">
        <f t="shared" si="3"/>
        <v>694</v>
      </c>
      <c r="H18" s="20">
        <f t="shared" si="3"/>
        <v>8175</v>
      </c>
      <c r="I18" s="20">
        <f t="shared" si="3"/>
        <v>0</v>
      </c>
      <c r="J18" s="20">
        <f t="shared" si="3"/>
        <v>0</v>
      </c>
      <c r="K18" s="20">
        <f t="shared" si="3"/>
        <v>0</v>
      </c>
      <c r="L18" s="20">
        <f t="shared" si="3"/>
        <v>1195</v>
      </c>
      <c r="M18" s="20">
        <f t="shared" si="3"/>
        <v>2067</v>
      </c>
      <c r="N18" s="20">
        <f t="shared" si="3"/>
        <v>0</v>
      </c>
      <c r="O18" s="20">
        <f t="shared" si="3"/>
        <v>0</v>
      </c>
      <c r="P18" s="20">
        <f t="shared" si="3"/>
        <v>865</v>
      </c>
      <c r="Q18" s="20">
        <f t="shared" si="3"/>
        <v>35</v>
      </c>
      <c r="R18" s="20">
        <f t="shared" si="3"/>
        <v>0</v>
      </c>
      <c r="S18" s="20">
        <f t="shared" si="3"/>
        <v>0</v>
      </c>
      <c r="T18" s="20">
        <f t="shared" si="3"/>
        <v>0</v>
      </c>
      <c r="U18" s="20">
        <f t="shared" si="3"/>
        <v>0</v>
      </c>
      <c r="V18" s="20">
        <f t="shared" si="3"/>
        <v>0</v>
      </c>
      <c r="W18" s="20">
        <f t="shared" si="3"/>
        <v>0</v>
      </c>
      <c r="X18" s="20">
        <f t="shared" si="3"/>
        <v>0</v>
      </c>
      <c r="Y18" s="20">
        <f>SUM(Y11:Y17)</f>
        <v>0</v>
      </c>
      <c r="Z18" s="20">
        <f t="shared" si="3"/>
        <v>69201</v>
      </c>
      <c r="AA18" s="20">
        <f t="shared" si="3"/>
        <v>0</v>
      </c>
      <c r="AB18" s="20">
        <f t="shared" si="3"/>
        <v>0</v>
      </c>
      <c r="AC18" s="20">
        <f t="shared" si="3"/>
        <v>0</v>
      </c>
      <c r="AD18" s="20">
        <f t="shared" si="3"/>
        <v>0</v>
      </c>
      <c r="AE18" s="20">
        <f t="shared" si="3"/>
        <v>0</v>
      </c>
      <c r="AF18" s="20">
        <f t="shared" si="3"/>
        <v>0</v>
      </c>
      <c r="AG18" s="20">
        <f t="shared" ref="AG18:AJ18" si="4">SUM(AG11:AG17)</f>
        <v>0</v>
      </c>
      <c r="AH18" s="20">
        <f t="shared" si="4"/>
        <v>5402403</v>
      </c>
      <c r="AI18" s="20">
        <f t="shared" si="4"/>
        <v>12802252</v>
      </c>
      <c r="AJ18" s="20">
        <f t="shared" si="4"/>
        <v>0</v>
      </c>
      <c r="AK18" s="20">
        <f t="shared" ref="AK18:AL18" si="5">SUM(AK11:AK17)</f>
        <v>0</v>
      </c>
      <c r="AL18" s="20">
        <f t="shared" si="5"/>
        <v>0</v>
      </c>
      <c r="AM18" s="20">
        <f t="shared" ref="AM18" si="6">SUM(AM11:AM17)</f>
        <v>0</v>
      </c>
      <c r="AN18" s="20">
        <f t="shared" ref="AN18:AP18" si="7">SUM(AN11:AN17)</f>
        <v>1163</v>
      </c>
      <c r="AO18" s="20">
        <f t="shared" si="7"/>
        <v>84</v>
      </c>
      <c r="AP18" s="20">
        <f t="shared" si="7"/>
        <v>3</v>
      </c>
      <c r="AQ18" s="20">
        <f>SUM(AQ11:AQ17)</f>
        <v>2431</v>
      </c>
    </row>
    <row r="19" spans="1:43" x14ac:dyDescent="0.25">
      <c r="A19" s="35" t="s">
        <v>15</v>
      </c>
      <c r="B19" s="20">
        <f t="shared" ref="B19:AF19" si="8">SUM(B10,B18)</f>
        <v>104610</v>
      </c>
      <c r="C19" s="20">
        <f t="shared" si="8"/>
        <v>18795</v>
      </c>
      <c r="D19" s="20">
        <f t="shared" si="8"/>
        <v>10696</v>
      </c>
      <c r="E19" s="20">
        <f t="shared" si="8"/>
        <v>4234</v>
      </c>
      <c r="F19" s="20">
        <f t="shared" si="8"/>
        <v>3851.5</v>
      </c>
      <c r="G19" s="20">
        <f t="shared" si="8"/>
        <v>3606</v>
      </c>
      <c r="H19" s="20">
        <f t="shared" si="8"/>
        <v>20919</v>
      </c>
      <c r="I19" s="20">
        <f t="shared" si="8"/>
        <v>1452</v>
      </c>
      <c r="J19" s="20">
        <f t="shared" si="8"/>
        <v>268</v>
      </c>
      <c r="K19" s="20">
        <f t="shared" si="8"/>
        <v>1521</v>
      </c>
      <c r="L19" s="20">
        <f t="shared" si="8"/>
        <v>2402</v>
      </c>
      <c r="M19" s="20">
        <f t="shared" si="8"/>
        <v>8804</v>
      </c>
      <c r="N19" s="20">
        <f t="shared" si="8"/>
        <v>1050</v>
      </c>
      <c r="O19" s="20">
        <f t="shared" si="8"/>
        <v>46</v>
      </c>
      <c r="P19" s="20">
        <f t="shared" si="8"/>
        <v>2552</v>
      </c>
      <c r="Q19" s="20">
        <f t="shared" si="8"/>
        <v>80</v>
      </c>
      <c r="R19" s="20">
        <f t="shared" si="8"/>
        <v>137</v>
      </c>
      <c r="S19" s="20">
        <f t="shared" si="8"/>
        <v>300</v>
      </c>
      <c r="T19" s="20">
        <f t="shared" si="8"/>
        <v>165</v>
      </c>
      <c r="U19" s="20">
        <f t="shared" si="8"/>
        <v>1000</v>
      </c>
      <c r="V19" s="20">
        <f t="shared" si="8"/>
        <v>12</v>
      </c>
      <c r="W19" s="20">
        <f t="shared" si="8"/>
        <v>16.5</v>
      </c>
      <c r="X19" s="20">
        <f t="shared" si="8"/>
        <v>24</v>
      </c>
      <c r="Y19" s="20">
        <f>SUM(Y10,Y18)</f>
        <v>237</v>
      </c>
      <c r="Z19" s="20">
        <f t="shared" si="8"/>
        <v>123420</v>
      </c>
      <c r="AA19" s="20">
        <f t="shared" si="8"/>
        <v>182</v>
      </c>
      <c r="AB19" s="20">
        <f t="shared" si="8"/>
        <v>27</v>
      </c>
      <c r="AC19" s="20">
        <f t="shared" si="8"/>
        <v>441</v>
      </c>
      <c r="AD19" s="20">
        <f t="shared" si="8"/>
        <v>29000</v>
      </c>
      <c r="AE19" s="20">
        <f t="shared" si="8"/>
        <v>18</v>
      </c>
      <c r="AF19" s="20">
        <f t="shared" si="8"/>
        <v>63</v>
      </c>
      <c r="AG19" s="20">
        <f t="shared" ref="AG19:AJ19" si="9">SUM(AG10,AG18)</f>
        <v>577</v>
      </c>
      <c r="AH19" s="20">
        <f t="shared" si="9"/>
        <v>13044609</v>
      </c>
      <c r="AI19" s="20">
        <f t="shared" si="9"/>
        <v>16092295</v>
      </c>
      <c r="AJ19" s="20">
        <f t="shared" si="9"/>
        <v>9587350</v>
      </c>
      <c r="AK19" s="20">
        <f t="shared" ref="AK19:AL19" si="10">SUM(AK10,AK18)</f>
        <v>180000</v>
      </c>
      <c r="AL19" s="20">
        <f t="shared" si="10"/>
        <v>2916</v>
      </c>
      <c r="AM19" s="20">
        <f t="shared" ref="AM19" si="11">SUM(AM10,AM18)</f>
        <v>10711</v>
      </c>
      <c r="AN19" s="20">
        <f t="shared" ref="AN19:AQ19" si="12">SUM(AN10,AN18)</f>
        <v>2370</v>
      </c>
      <c r="AO19" s="20">
        <f t="shared" si="12"/>
        <v>2427</v>
      </c>
      <c r="AP19" s="20">
        <f t="shared" si="12"/>
        <v>140</v>
      </c>
      <c r="AQ19" s="20">
        <f t="shared" si="12"/>
        <v>4619</v>
      </c>
    </row>
    <row r="21" spans="1:43" x14ac:dyDescent="0.25">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row>
  </sheetData>
  <sheetProtection formatCells="0" formatColumns="0" formatRows="0" insertColumns="0" insertRows="0" sort="0" autoFilter="0" pivotTables="0"/>
  <dataValidations count="1">
    <dataValidation type="list" errorStyle="information" allowBlank="1" showInputMessage="1" showErrorMessage="1" sqref="AN1:AQ1 B1:AM1" xr:uid="{3CCDB005-5564-497B-911C-4C515111551F}">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A2CF14E-EA1F-48E4-8BC0-34E24EA57566}">
          <x14:formula1>
            <xm:f>'Term List'!$A2:$A242</xm:f>
          </x14:formula1>
          <xm:sqref>AR1:XFD1</xm:sqref>
        </x14:dataValidation>
      </x14:dataValidations>
    </ext>
  </extLst>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1B1F7-DB3E-4393-89EE-ADBDF0B491B1}">
  <sheetPr codeName="Sheet32"/>
  <dimension ref="A1:K19"/>
  <sheetViews>
    <sheetView workbookViewId="0">
      <pane xSplit="1" ySplit="1" topLeftCell="B2" activePane="bottomRight" state="frozen"/>
      <selection activeCell="B3" sqref="B3"/>
      <selection pane="topRight" activeCell="B3" sqref="B3"/>
      <selection pane="bottomLeft" activeCell="B3" sqref="B3"/>
      <selection pane="bottomRight" activeCell="B2" sqref="B2"/>
    </sheetView>
  </sheetViews>
  <sheetFormatPr defaultColWidth="13.7109375"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2.85546875" style="5" bestFit="1" customWidth="1"/>
    <col min="8" max="8" width="13.5703125" style="5" bestFit="1" customWidth="1"/>
    <col min="9" max="9" width="14.5703125" style="5" bestFit="1" customWidth="1"/>
    <col min="10" max="10" width="15.140625" style="5" bestFit="1" customWidth="1"/>
    <col min="11" max="11" width="11.5703125" style="5" bestFit="1" customWidth="1"/>
    <col min="12" max="16384" width="13.7109375" style="3"/>
  </cols>
  <sheetData>
    <row r="1" spans="1:11" s="14" customFormat="1" ht="30" x14ac:dyDescent="0.25">
      <c r="A1" s="36" t="s">
        <v>303</v>
      </c>
      <c r="B1" s="36" t="s">
        <v>155</v>
      </c>
      <c r="C1" s="36" t="s">
        <v>156</v>
      </c>
      <c r="D1" s="36" t="s">
        <v>154</v>
      </c>
      <c r="E1" s="36" t="s">
        <v>150</v>
      </c>
      <c r="F1" s="36" t="s">
        <v>148</v>
      </c>
      <c r="G1" s="36" t="s">
        <v>130</v>
      </c>
      <c r="H1" s="36" t="s">
        <v>132</v>
      </c>
      <c r="I1" s="36" t="s">
        <v>142</v>
      </c>
      <c r="J1" s="36" t="s">
        <v>144</v>
      </c>
      <c r="K1" s="36" t="s">
        <v>124</v>
      </c>
    </row>
    <row r="2" spans="1:11" s="26" customFormat="1" x14ac:dyDescent="0.25">
      <c r="A2" s="34" t="s">
        <v>0</v>
      </c>
      <c r="B2" s="16">
        <v>53915</v>
      </c>
      <c r="C2" s="17">
        <v>7646</v>
      </c>
      <c r="D2" s="17">
        <v>814</v>
      </c>
      <c r="E2" s="17">
        <v>8822</v>
      </c>
      <c r="F2" s="17">
        <v>466</v>
      </c>
      <c r="G2" s="17">
        <v>0</v>
      </c>
      <c r="H2" s="17">
        <v>12</v>
      </c>
      <c r="I2" s="17">
        <v>3430</v>
      </c>
      <c r="J2" s="17">
        <v>137</v>
      </c>
      <c r="K2" s="17">
        <v>9354731</v>
      </c>
    </row>
    <row r="3" spans="1:11" s="26" customFormat="1" x14ac:dyDescent="0.25">
      <c r="A3" s="34" t="s">
        <v>1</v>
      </c>
      <c r="B3" s="16">
        <v>2467</v>
      </c>
      <c r="C3" s="17">
        <v>398</v>
      </c>
      <c r="D3" s="17">
        <v>928</v>
      </c>
      <c r="E3" s="17">
        <v>2109</v>
      </c>
      <c r="F3" s="17">
        <v>190</v>
      </c>
      <c r="G3" s="17">
        <v>23</v>
      </c>
      <c r="H3" s="17">
        <v>0</v>
      </c>
      <c r="I3" s="17">
        <v>0</v>
      </c>
      <c r="J3" s="17">
        <v>4</v>
      </c>
      <c r="K3" s="17">
        <v>40025</v>
      </c>
    </row>
    <row r="4" spans="1:11" s="26" customFormat="1" x14ac:dyDescent="0.25">
      <c r="A4" s="34" t="s">
        <v>169</v>
      </c>
      <c r="B4" s="16"/>
      <c r="C4" s="17"/>
      <c r="D4" s="17"/>
      <c r="E4" s="17"/>
      <c r="F4" s="17"/>
      <c r="G4" s="17"/>
      <c r="H4" s="17"/>
      <c r="I4" s="17"/>
      <c r="J4" s="17"/>
      <c r="K4" s="17"/>
    </row>
    <row r="5" spans="1:11" s="26" customFormat="1" x14ac:dyDescent="0.25">
      <c r="A5" s="34" t="s">
        <v>2</v>
      </c>
      <c r="B5" s="16"/>
      <c r="C5" s="17"/>
      <c r="D5" s="17"/>
      <c r="E5" s="17"/>
      <c r="F5" s="17"/>
      <c r="G5" s="17"/>
      <c r="H5" s="17"/>
      <c r="I5" s="17"/>
      <c r="J5" s="17"/>
      <c r="K5" s="17"/>
    </row>
    <row r="6" spans="1:11" s="26" customFormat="1" x14ac:dyDescent="0.25">
      <c r="A6" s="34" t="s">
        <v>3</v>
      </c>
      <c r="B6" s="16">
        <v>105</v>
      </c>
      <c r="C6" s="17">
        <v>23</v>
      </c>
      <c r="D6" s="17">
        <v>218</v>
      </c>
      <c r="E6" s="17">
        <v>2200</v>
      </c>
      <c r="F6" s="17">
        <v>206</v>
      </c>
      <c r="G6" s="17">
        <v>0</v>
      </c>
      <c r="H6" s="17">
        <v>0</v>
      </c>
      <c r="I6" s="17">
        <v>0</v>
      </c>
      <c r="J6" s="17">
        <v>0</v>
      </c>
      <c r="K6" s="17">
        <v>20152</v>
      </c>
    </row>
    <row r="7" spans="1:11" s="26" customFormat="1" x14ac:dyDescent="0.25">
      <c r="A7" s="34" t="s">
        <v>4</v>
      </c>
      <c r="B7" s="16">
        <v>1411</v>
      </c>
      <c r="C7" s="17">
        <v>328</v>
      </c>
      <c r="D7" s="17">
        <v>312</v>
      </c>
      <c r="E7" s="17">
        <v>5065</v>
      </c>
      <c r="F7" s="17">
        <v>31</v>
      </c>
      <c r="G7" s="17">
        <v>65</v>
      </c>
      <c r="H7" s="17">
        <v>0</v>
      </c>
      <c r="I7" s="17">
        <v>104</v>
      </c>
      <c r="J7" s="17">
        <v>132</v>
      </c>
      <c r="K7" s="17">
        <v>577951</v>
      </c>
    </row>
    <row r="8" spans="1:11" s="26" customFormat="1" x14ac:dyDescent="0.25">
      <c r="A8" s="34" t="s">
        <v>5</v>
      </c>
      <c r="B8" s="16"/>
      <c r="C8" s="17"/>
      <c r="D8" s="17"/>
      <c r="E8" s="17"/>
      <c r="F8" s="17"/>
      <c r="G8" s="17"/>
      <c r="H8" s="17"/>
      <c r="I8" s="17"/>
      <c r="J8" s="17"/>
      <c r="K8" s="17"/>
    </row>
    <row r="9" spans="1:11" s="26" customFormat="1" x14ac:dyDescent="0.25">
      <c r="A9" s="34" t="s">
        <v>6</v>
      </c>
      <c r="B9" s="16"/>
      <c r="C9" s="17"/>
      <c r="D9" s="17"/>
      <c r="E9" s="17"/>
      <c r="F9" s="17"/>
      <c r="G9" s="17"/>
      <c r="H9" s="17"/>
      <c r="I9" s="17"/>
      <c r="J9" s="17"/>
      <c r="K9" s="17"/>
    </row>
    <row r="10" spans="1:11" s="26" customFormat="1" x14ac:dyDescent="0.25">
      <c r="A10" s="35" t="s">
        <v>7</v>
      </c>
      <c r="B10" s="19">
        <f>SUM(B2:B9)</f>
        <v>57898</v>
      </c>
      <c r="C10" s="19">
        <f t="shared" ref="C10:K10" si="0">SUM(C2:C9)</f>
        <v>8395</v>
      </c>
      <c r="D10" s="19">
        <f t="shared" si="0"/>
        <v>2272</v>
      </c>
      <c r="E10" s="19">
        <f t="shared" si="0"/>
        <v>18196</v>
      </c>
      <c r="F10" s="19">
        <f t="shared" si="0"/>
        <v>893</v>
      </c>
      <c r="G10" s="19">
        <f t="shared" si="0"/>
        <v>88</v>
      </c>
      <c r="H10" s="19">
        <f t="shared" si="0"/>
        <v>12</v>
      </c>
      <c r="I10" s="19">
        <f t="shared" si="0"/>
        <v>3534</v>
      </c>
      <c r="J10" s="19">
        <f t="shared" si="0"/>
        <v>273</v>
      </c>
      <c r="K10" s="19">
        <f t="shared" si="0"/>
        <v>9992859</v>
      </c>
    </row>
    <row r="11" spans="1:11" s="26" customFormat="1" x14ac:dyDescent="0.25">
      <c r="A11" s="34" t="s">
        <v>8</v>
      </c>
      <c r="B11" s="16">
        <v>65039</v>
      </c>
      <c r="C11" s="16">
        <v>9998</v>
      </c>
      <c r="D11" s="16">
        <v>331</v>
      </c>
      <c r="E11" s="16">
        <v>18881</v>
      </c>
      <c r="F11" s="16">
        <v>612</v>
      </c>
      <c r="G11" s="16">
        <v>124</v>
      </c>
      <c r="H11" s="16">
        <v>0</v>
      </c>
      <c r="I11" s="16">
        <v>9775</v>
      </c>
      <c r="J11" s="16">
        <v>285</v>
      </c>
      <c r="K11" s="16">
        <v>3396295</v>
      </c>
    </row>
    <row r="12" spans="1:11" s="26" customFormat="1" x14ac:dyDescent="0.25">
      <c r="A12" s="34" t="s">
        <v>9</v>
      </c>
      <c r="B12" s="16">
        <v>0</v>
      </c>
      <c r="C12" s="16">
        <v>0</v>
      </c>
      <c r="D12" s="16">
        <v>0</v>
      </c>
      <c r="E12" s="16">
        <v>0</v>
      </c>
      <c r="F12" s="16">
        <v>0</v>
      </c>
      <c r="G12" s="16">
        <v>0</v>
      </c>
      <c r="H12" s="16">
        <v>0</v>
      </c>
      <c r="I12" s="16">
        <v>0</v>
      </c>
      <c r="J12" s="16">
        <v>0</v>
      </c>
      <c r="K12" s="16">
        <v>0</v>
      </c>
    </row>
    <row r="13" spans="1:11" s="26" customFormat="1" x14ac:dyDescent="0.25">
      <c r="A13" s="34" t="s">
        <v>164</v>
      </c>
      <c r="B13" s="16"/>
      <c r="C13" s="16"/>
      <c r="D13" s="16"/>
      <c r="E13" s="16"/>
      <c r="F13" s="16"/>
      <c r="G13" s="16"/>
      <c r="H13" s="16"/>
      <c r="I13" s="16"/>
      <c r="J13" s="16"/>
      <c r="K13" s="16"/>
    </row>
    <row r="14" spans="1:11" s="26" customFormat="1" x14ac:dyDescent="0.25">
      <c r="A14" s="34" t="s">
        <v>10</v>
      </c>
      <c r="B14" s="16">
        <v>95</v>
      </c>
      <c r="C14" s="16">
        <v>150</v>
      </c>
      <c r="D14" s="16">
        <v>4</v>
      </c>
      <c r="E14" s="16">
        <v>973</v>
      </c>
      <c r="F14" s="16">
        <v>7</v>
      </c>
      <c r="G14" s="16">
        <v>0</v>
      </c>
      <c r="H14" s="16">
        <v>0</v>
      </c>
      <c r="I14" s="16">
        <v>32</v>
      </c>
      <c r="J14" s="16">
        <v>67</v>
      </c>
      <c r="K14" s="16">
        <v>3411</v>
      </c>
    </row>
    <row r="15" spans="1:11" s="26" customFormat="1" x14ac:dyDescent="0.25">
      <c r="A15" s="34" t="s">
        <v>11</v>
      </c>
      <c r="B15" s="16">
        <v>219</v>
      </c>
      <c r="C15" s="16">
        <v>161</v>
      </c>
      <c r="D15" s="16">
        <v>35</v>
      </c>
      <c r="E15" s="16">
        <v>10829</v>
      </c>
      <c r="F15" s="16">
        <v>2</v>
      </c>
      <c r="G15" s="16">
        <v>27</v>
      </c>
      <c r="H15" s="16">
        <v>0</v>
      </c>
      <c r="I15" s="16">
        <v>743</v>
      </c>
      <c r="J15" s="16">
        <v>23</v>
      </c>
      <c r="K15" s="16">
        <v>8903</v>
      </c>
    </row>
    <row r="16" spans="1:11" s="26" customFormat="1" x14ac:dyDescent="0.25">
      <c r="A16" s="34" t="s">
        <v>12</v>
      </c>
      <c r="B16" s="16"/>
      <c r="C16" s="16"/>
      <c r="D16" s="16"/>
      <c r="E16" s="16"/>
      <c r="F16" s="16"/>
      <c r="G16" s="16"/>
      <c r="H16" s="16"/>
      <c r="I16" s="16"/>
      <c r="J16" s="16"/>
      <c r="K16" s="16"/>
    </row>
    <row r="17" spans="1:11" s="26" customFormat="1" x14ac:dyDescent="0.25">
      <c r="A17" s="34" t="s">
        <v>13</v>
      </c>
      <c r="B17" s="16"/>
      <c r="C17" s="16"/>
      <c r="D17" s="16"/>
      <c r="E17" s="16"/>
      <c r="F17" s="16"/>
      <c r="G17" s="16"/>
      <c r="H17" s="16"/>
      <c r="I17" s="16"/>
      <c r="J17" s="16"/>
      <c r="K17" s="16"/>
    </row>
    <row r="18" spans="1:11" s="26" customFormat="1" x14ac:dyDescent="0.25">
      <c r="A18" s="35" t="s">
        <v>14</v>
      </c>
      <c r="B18" s="19">
        <f>SUM(B11:B17)</f>
        <v>65353</v>
      </c>
      <c r="C18" s="19">
        <f t="shared" ref="C18:K18" si="1">SUM(C11:C17)</f>
        <v>10309</v>
      </c>
      <c r="D18" s="19">
        <f t="shared" si="1"/>
        <v>370</v>
      </c>
      <c r="E18" s="19">
        <f t="shared" si="1"/>
        <v>30683</v>
      </c>
      <c r="F18" s="19">
        <f t="shared" si="1"/>
        <v>621</v>
      </c>
      <c r="G18" s="19">
        <f t="shared" si="1"/>
        <v>151</v>
      </c>
      <c r="H18" s="19">
        <f t="shared" si="1"/>
        <v>0</v>
      </c>
      <c r="I18" s="19">
        <f t="shared" si="1"/>
        <v>10550</v>
      </c>
      <c r="J18" s="19">
        <f t="shared" si="1"/>
        <v>375</v>
      </c>
      <c r="K18" s="19">
        <f t="shared" si="1"/>
        <v>3408609</v>
      </c>
    </row>
    <row r="19" spans="1:11" s="26" customFormat="1" x14ac:dyDescent="0.25">
      <c r="A19" s="35" t="s">
        <v>15</v>
      </c>
      <c r="B19" s="125">
        <f>SUM(B10,B18)</f>
        <v>123251</v>
      </c>
      <c r="C19" s="125">
        <f t="shared" ref="C19:K19" si="2">SUM(C10,C18)</f>
        <v>18704</v>
      </c>
      <c r="D19" s="125">
        <f t="shared" si="2"/>
        <v>2642</v>
      </c>
      <c r="E19" s="125">
        <f t="shared" si="2"/>
        <v>48879</v>
      </c>
      <c r="F19" s="125">
        <f t="shared" si="2"/>
        <v>1514</v>
      </c>
      <c r="G19" s="125">
        <f t="shared" si="2"/>
        <v>239</v>
      </c>
      <c r="H19" s="125">
        <f t="shared" si="2"/>
        <v>12</v>
      </c>
      <c r="I19" s="125">
        <f t="shared" si="2"/>
        <v>14084</v>
      </c>
      <c r="J19" s="125">
        <f t="shared" si="2"/>
        <v>648</v>
      </c>
      <c r="K19" s="125">
        <f t="shared" si="2"/>
        <v>13401468</v>
      </c>
    </row>
  </sheetData>
  <sheetProtection formatCells="0" formatColumns="0" formatRows="0" insertColumns="0" insertRows="0" sort="0" autoFilter="0" pivotTables="0"/>
  <dataValidations count="1">
    <dataValidation type="list" errorStyle="information" allowBlank="1" showInputMessage="1" showErrorMessage="1" sqref="B1:K1" xr:uid="{E3AD33E4-B9A4-402B-93D4-74FED6DEC499}">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900F532D-C5A5-4C11-9041-8EEEC1B5BF55}">
          <x14:formula1>
            <xm:f>'Term List'!$A2:$A242</xm:f>
          </x14:formula1>
          <xm:sqref>L1:XFD1</xm:sqref>
        </x14:dataValidation>
      </x14:dataValidations>
    </ext>
  </extLst>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7924D-BE9D-4C5D-9102-6FDAB348B471}">
  <dimension ref="A1:E19"/>
  <sheetViews>
    <sheetView workbookViewId="0">
      <pane xSplit="1" ySplit="1" topLeftCell="B2" activePane="bottomRight" state="frozen"/>
      <selection activeCell="E23" sqref="E23"/>
      <selection pane="topRight" activeCell="E23" sqref="E23"/>
      <selection pane="bottomLeft" activeCell="E23" sqref="E23"/>
      <selection pane="bottomRight" activeCell="B2" sqref="B2"/>
    </sheetView>
  </sheetViews>
  <sheetFormatPr defaultColWidth="26" defaultRowHeight="15" x14ac:dyDescent="0.25"/>
  <cols>
    <col min="1" max="1" width="35.7109375" style="6" bestFit="1" customWidth="1"/>
    <col min="2" max="2" width="16.140625" style="5" bestFit="1" customWidth="1"/>
    <col min="3" max="3" width="15.7109375" style="5" bestFit="1" customWidth="1"/>
    <col min="4" max="4" width="15" style="5" bestFit="1" customWidth="1"/>
    <col min="5" max="5" width="15.28515625" style="5" bestFit="1" customWidth="1"/>
    <col min="6" max="16384" width="26" style="3"/>
  </cols>
  <sheetData>
    <row r="1" spans="1:5" s="14" customFormat="1" ht="30" x14ac:dyDescent="0.25">
      <c r="A1" s="36" t="s">
        <v>502</v>
      </c>
      <c r="B1" s="36" t="s">
        <v>71</v>
      </c>
      <c r="C1" s="36" t="s">
        <v>72</v>
      </c>
      <c r="D1" s="36" t="s">
        <v>69</v>
      </c>
      <c r="E1" s="36" t="s">
        <v>70</v>
      </c>
    </row>
    <row r="2" spans="1:5" s="26" customFormat="1" x14ac:dyDescent="0.25">
      <c r="A2" s="34" t="s">
        <v>0</v>
      </c>
      <c r="B2" s="17"/>
      <c r="C2" s="17"/>
      <c r="D2" s="17"/>
      <c r="E2" s="16"/>
    </row>
    <row r="3" spans="1:5" s="26" customFormat="1" x14ac:dyDescent="0.25">
      <c r="A3" s="34" t="s">
        <v>1</v>
      </c>
      <c r="B3" s="17"/>
      <c r="C3" s="17"/>
      <c r="D3" s="17"/>
      <c r="E3" s="16"/>
    </row>
    <row r="4" spans="1:5" s="26" customFormat="1" x14ac:dyDescent="0.25">
      <c r="A4" s="34" t="s">
        <v>169</v>
      </c>
      <c r="B4" s="17"/>
      <c r="C4" s="17"/>
      <c r="D4" s="17"/>
      <c r="E4" s="16"/>
    </row>
    <row r="5" spans="1:5" s="26" customFormat="1" x14ac:dyDescent="0.25">
      <c r="A5" s="34" t="s">
        <v>2</v>
      </c>
      <c r="B5" s="17"/>
      <c r="C5" s="17"/>
      <c r="D5" s="17"/>
      <c r="E5" s="16"/>
    </row>
    <row r="6" spans="1:5" s="26" customFormat="1" x14ac:dyDescent="0.25">
      <c r="A6" s="34" t="s">
        <v>3</v>
      </c>
      <c r="B6" s="17"/>
      <c r="C6" s="17"/>
      <c r="D6" s="17"/>
      <c r="E6" s="16"/>
    </row>
    <row r="7" spans="1:5" s="26" customFormat="1" x14ac:dyDescent="0.25">
      <c r="A7" s="34" t="s">
        <v>4</v>
      </c>
      <c r="B7" s="17"/>
      <c r="C7" s="17"/>
      <c r="D7" s="17"/>
      <c r="E7" s="16"/>
    </row>
    <row r="8" spans="1:5" s="26" customFormat="1" x14ac:dyDescent="0.25">
      <c r="A8" s="34" t="s">
        <v>5</v>
      </c>
      <c r="B8" s="17"/>
      <c r="C8" s="17"/>
      <c r="D8" s="17"/>
      <c r="E8" s="16"/>
    </row>
    <row r="9" spans="1:5" s="26" customFormat="1" x14ac:dyDescent="0.25">
      <c r="A9" s="34" t="s">
        <v>6</v>
      </c>
      <c r="B9" s="121">
        <v>2205</v>
      </c>
      <c r="C9" s="121">
        <v>4231</v>
      </c>
      <c r="D9" s="122">
        <v>199</v>
      </c>
      <c r="E9" s="120">
        <v>3601</v>
      </c>
    </row>
    <row r="10" spans="1:5" s="26" customFormat="1" x14ac:dyDescent="0.25">
      <c r="A10" s="35" t="s">
        <v>7</v>
      </c>
      <c r="B10" s="19">
        <f>SUM(B2:B9)</f>
        <v>2205</v>
      </c>
      <c r="C10" s="19">
        <f>SUM(C2:C9)</f>
        <v>4231</v>
      </c>
      <c r="D10" s="19">
        <f t="shared" ref="D10" si="0">SUM(D2:D9)</f>
        <v>199</v>
      </c>
      <c r="E10" s="19">
        <f>SUM(E2:E9)</f>
        <v>3601</v>
      </c>
    </row>
    <row r="11" spans="1:5" s="26" customFormat="1" x14ac:dyDescent="0.25">
      <c r="A11" s="34" t="s">
        <v>8</v>
      </c>
      <c r="B11" s="16"/>
      <c r="C11" s="16"/>
      <c r="D11" s="16"/>
      <c r="E11" s="16"/>
    </row>
    <row r="12" spans="1:5" s="26" customFormat="1" x14ac:dyDescent="0.25">
      <c r="A12" s="34" t="s">
        <v>9</v>
      </c>
      <c r="B12" s="16"/>
      <c r="C12" s="16"/>
      <c r="D12" s="16"/>
      <c r="E12" s="16"/>
    </row>
    <row r="13" spans="1:5" s="26" customFormat="1" x14ac:dyDescent="0.25">
      <c r="A13" s="34" t="s">
        <v>164</v>
      </c>
      <c r="B13" s="16"/>
      <c r="C13" s="16"/>
      <c r="D13" s="16"/>
      <c r="E13" s="16"/>
    </row>
    <row r="14" spans="1:5" s="26" customFormat="1" x14ac:dyDescent="0.25">
      <c r="A14" s="34" t="s">
        <v>10</v>
      </c>
      <c r="B14" s="16"/>
      <c r="C14" s="16"/>
      <c r="D14" s="16"/>
      <c r="E14" s="16"/>
    </row>
    <row r="15" spans="1:5" s="26" customFormat="1" x14ac:dyDescent="0.25">
      <c r="A15" s="34" t="s">
        <v>11</v>
      </c>
      <c r="B15" s="16"/>
      <c r="C15" s="16"/>
      <c r="D15" s="16"/>
      <c r="E15" s="16"/>
    </row>
    <row r="16" spans="1:5" s="26" customFormat="1" x14ac:dyDescent="0.25">
      <c r="A16" s="34" t="s">
        <v>12</v>
      </c>
      <c r="B16" s="16"/>
      <c r="C16" s="16"/>
      <c r="D16" s="16"/>
      <c r="E16" s="16"/>
    </row>
    <row r="17" spans="1:5" s="26" customFormat="1" x14ac:dyDescent="0.25">
      <c r="A17" s="34" t="s">
        <v>13</v>
      </c>
      <c r="B17" s="120">
        <v>241</v>
      </c>
      <c r="C17" s="120">
        <v>228</v>
      </c>
      <c r="D17" s="16">
        <v>0</v>
      </c>
      <c r="E17" s="120">
        <v>879</v>
      </c>
    </row>
    <row r="18" spans="1:5" s="26" customFormat="1" x14ac:dyDescent="0.25">
      <c r="A18" s="35" t="s">
        <v>14</v>
      </c>
      <c r="B18" s="19">
        <f>SUM(B11:B17)</f>
        <v>241</v>
      </c>
      <c r="C18" s="19">
        <f>SUM(C11:C17)</f>
        <v>228</v>
      </c>
      <c r="D18" s="19">
        <f t="shared" ref="D18" si="1">SUM(D11:D17)</f>
        <v>0</v>
      </c>
      <c r="E18" s="19">
        <f>SUM(E11:E17)</f>
        <v>879</v>
      </c>
    </row>
    <row r="19" spans="1:5" s="26" customFormat="1" x14ac:dyDescent="0.25">
      <c r="A19" s="35" t="s">
        <v>15</v>
      </c>
      <c r="B19" s="19">
        <f>SUM(B10,B18)</f>
        <v>2446</v>
      </c>
      <c r="C19" s="19">
        <f>SUM(C10,C18)</f>
        <v>4459</v>
      </c>
      <c r="D19" s="19">
        <f t="shared" ref="D19" si="2">SUM(D10,D18)</f>
        <v>199</v>
      </c>
      <c r="E19" s="19">
        <f>SUM(E10,E18)</f>
        <v>4480</v>
      </c>
    </row>
  </sheetData>
  <sheetProtection formatCells="0" formatColumns="0" formatRows="0" insertColumns="0" insertRows="0" sort="0" autoFilter="0" pivotTables="0"/>
  <dataValidations count="1">
    <dataValidation type="list" errorStyle="information" allowBlank="1" showInputMessage="1" showErrorMessage="1" sqref="B1:E1" xr:uid="{9538F7A4-BF09-45EC-9310-F5CC610CA824}">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833E008E-1BDF-4F5E-A0D8-DAD6B4177E5F}">
          <x14:formula1>
            <xm:f>'Term List'!$A2:$A242</xm:f>
          </x14:formula1>
          <xm:sqref>F1:XFD1</xm:sqref>
        </x14:dataValidation>
      </x14:dataValidations>
    </ext>
  </extLst>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81796-B7E1-4477-AA81-30B52E325A16}">
  <sheetPr codeName="Sheet34"/>
  <dimension ref="A1:K19"/>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RowHeight="15" x14ac:dyDescent="0.25"/>
  <cols>
    <col min="1" max="1" width="35.7109375" style="6" bestFit="1" customWidth="1"/>
    <col min="2" max="2" width="17.42578125" style="5" bestFit="1" customWidth="1"/>
    <col min="3" max="3" width="13.85546875" style="5" bestFit="1" customWidth="1"/>
    <col min="4" max="4" width="14" style="5" bestFit="1" customWidth="1"/>
    <col min="5" max="5" width="16.7109375" style="5" bestFit="1" customWidth="1"/>
    <col min="6" max="6" width="16.42578125" style="5" bestFit="1" customWidth="1"/>
    <col min="7" max="7" width="12.85546875" style="5" bestFit="1" customWidth="1"/>
    <col min="8" max="8" width="13.5703125" style="5" bestFit="1" customWidth="1"/>
    <col min="9" max="9" width="14.5703125" style="5" bestFit="1" customWidth="1"/>
    <col min="10" max="10" width="15.140625" style="5" bestFit="1" customWidth="1"/>
    <col min="11" max="11" width="11.5703125" style="5" bestFit="1" customWidth="1"/>
    <col min="12" max="16384" width="9.140625" style="3"/>
  </cols>
  <sheetData>
    <row r="1" spans="1:11" s="14" customFormat="1" ht="30" x14ac:dyDescent="0.25">
      <c r="A1" s="36" t="s">
        <v>299</v>
      </c>
      <c r="B1" s="36" t="s">
        <v>155</v>
      </c>
      <c r="C1" s="36" t="s">
        <v>156</v>
      </c>
      <c r="D1" s="36" t="s">
        <v>154</v>
      </c>
      <c r="E1" s="36" t="s">
        <v>150</v>
      </c>
      <c r="F1" s="36" t="s">
        <v>148</v>
      </c>
      <c r="G1" s="36" t="s">
        <v>130</v>
      </c>
      <c r="H1" s="36" t="s">
        <v>132</v>
      </c>
      <c r="I1" s="36" t="s">
        <v>142</v>
      </c>
      <c r="J1" s="36" t="s">
        <v>144</v>
      </c>
      <c r="K1" s="36" t="s">
        <v>124</v>
      </c>
    </row>
    <row r="2" spans="1:11" s="26" customFormat="1" x14ac:dyDescent="0.25">
      <c r="A2" s="34" t="s">
        <v>0</v>
      </c>
      <c r="B2" s="16">
        <v>38869</v>
      </c>
      <c r="C2" s="17">
        <v>3344</v>
      </c>
      <c r="D2" s="17">
        <v>570</v>
      </c>
      <c r="E2" s="17">
        <v>8394</v>
      </c>
      <c r="F2" s="17">
        <v>342</v>
      </c>
      <c r="G2" s="17">
        <v>901</v>
      </c>
      <c r="H2" s="17">
        <v>16</v>
      </c>
      <c r="I2" s="17">
        <v>3816</v>
      </c>
      <c r="J2" s="17">
        <v>55</v>
      </c>
      <c r="K2" s="17">
        <v>8163855</v>
      </c>
    </row>
    <row r="3" spans="1:11" s="26" customFormat="1" x14ac:dyDescent="0.25">
      <c r="A3" s="34" t="s">
        <v>1</v>
      </c>
      <c r="B3" s="16">
        <v>1267</v>
      </c>
      <c r="C3" s="17">
        <v>316</v>
      </c>
      <c r="D3" s="17">
        <v>321</v>
      </c>
      <c r="E3" s="17">
        <v>988</v>
      </c>
      <c r="F3" s="17">
        <v>143</v>
      </c>
      <c r="G3" s="17">
        <v>78</v>
      </c>
      <c r="H3" s="17">
        <v>0</v>
      </c>
      <c r="I3" s="17">
        <v>0</v>
      </c>
      <c r="J3" s="17">
        <v>5</v>
      </c>
      <c r="K3" s="17">
        <v>7518</v>
      </c>
    </row>
    <row r="4" spans="1:11" s="26" customFormat="1" x14ac:dyDescent="0.25">
      <c r="A4" s="34" t="s">
        <v>169</v>
      </c>
      <c r="B4" s="16"/>
      <c r="C4" s="17"/>
      <c r="D4" s="17"/>
      <c r="E4" s="17"/>
      <c r="F4" s="17"/>
      <c r="G4" s="17"/>
      <c r="H4" s="17"/>
      <c r="I4" s="17"/>
      <c r="J4" s="17"/>
      <c r="K4" s="17"/>
    </row>
    <row r="5" spans="1:11" s="26" customFormat="1" x14ac:dyDescent="0.25">
      <c r="A5" s="34" t="s">
        <v>2</v>
      </c>
      <c r="B5" s="16"/>
      <c r="C5" s="17"/>
      <c r="D5" s="17"/>
      <c r="E5" s="17"/>
      <c r="F5" s="17"/>
      <c r="G5" s="17"/>
      <c r="H5" s="17"/>
      <c r="I5" s="17"/>
      <c r="J5" s="17"/>
      <c r="K5" s="17"/>
    </row>
    <row r="6" spans="1:11" s="26" customFormat="1" x14ac:dyDescent="0.25">
      <c r="A6" s="34" t="s">
        <v>3</v>
      </c>
      <c r="B6" s="16">
        <v>132</v>
      </c>
      <c r="C6" s="17">
        <v>17</v>
      </c>
      <c r="D6" s="17">
        <v>10</v>
      </c>
      <c r="E6" s="17">
        <v>776</v>
      </c>
      <c r="F6" s="17">
        <v>80</v>
      </c>
      <c r="G6" s="17">
        <v>0</v>
      </c>
      <c r="H6" s="17">
        <v>0</v>
      </c>
      <c r="I6" s="17">
        <v>0</v>
      </c>
      <c r="J6" s="17">
        <v>0</v>
      </c>
      <c r="K6" s="17">
        <v>29948</v>
      </c>
    </row>
    <row r="7" spans="1:11" s="26" customFormat="1" x14ac:dyDescent="0.25">
      <c r="A7" s="34" t="s">
        <v>4</v>
      </c>
      <c r="B7" s="16">
        <v>2472</v>
      </c>
      <c r="C7" s="17">
        <v>471</v>
      </c>
      <c r="D7" s="17">
        <v>654</v>
      </c>
      <c r="E7" s="17">
        <v>3050</v>
      </c>
      <c r="F7" s="17">
        <v>140</v>
      </c>
      <c r="G7" s="17">
        <v>694</v>
      </c>
      <c r="H7" s="17">
        <v>5</v>
      </c>
      <c r="I7" s="17">
        <v>251</v>
      </c>
      <c r="J7" s="17">
        <v>35</v>
      </c>
      <c r="K7" s="17">
        <v>434232</v>
      </c>
    </row>
    <row r="8" spans="1:11" s="26" customFormat="1" x14ac:dyDescent="0.25">
      <c r="A8" s="34" t="s">
        <v>5</v>
      </c>
      <c r="B8" s="16"/>
      <c r="C8" s="17"/>
      <c r="D8" s="17"/>
      <c r="E8" s="17"/>
      <c r="F8" s="17"/>
      <c r="G8" s="17"/>
      <c r="H8" s="17"/>
      <c r="I8" s="17"/>
      <c r="J8" s="17"/>
      <c r="K8" s="17"/>
    </row>
    <row r="9" spans="1:11" s="26" customFormat="1" x14ac:dyDescent="0.25">
      <c r="A9" s="34" t="s">
        <v>6</v>
      </c>
      <c r="B9" s="16"/>
      <c r="C9" s="17"/>
      <c r="D9" s="17"/>
      <c r="E9" s="17"/>
      <c r="F9" s="17"/>
      <c r="G9" s="17"/>
      <c r="H9" s="17"/>
      <c r="I9" s="17"/>
      <c r="J9" s="17"/>
      <c r="K9" s="17"/>
    </row>
    <row r="10" spans="1:11" s="26" customFormat="1" x14ac:dyDescent="0.25">
      <c r="A10" s="35" t="s">
        <v>7</v>
      </c>
      <c r="B10" s="19">
        <f>SUM(B2:B9)</f>
        <v>42740</v>
      </c>
      <c r="C10" s="19">
        <f t="shared" ref="C10:K10" si="0">SUM(C2:C9)</f>
        <v>4148</v>
      </c>
      <c r="D10" s="19">
        <f t="shared" si="0"/>
        <v>1555</v>
      </c>
      <c r="E10" s="19">
        <f t="shared" si="0"/>
        <v>13208</v>
      </c>
      <c r="F10" s="19">
        <f t="shared" si="0"/>
        <v>705</v>
      </c>
      <c r="G10" s="19">
        <f t="shared" si="0"/>
        <v>1673</v>
      </c>
      <c r="H10" s="19">
        <f t="shared" si="0"/>
        <v>21</v>
      </c>
      <c r="I10" s="19">
        <f t="shared" si="0"/>
        <v>4067</v>
      </c>
      <c r="J10" s="19">
        <f t="shared" si="0"/>
        <v>95</v>
      </c>
      <c r="K10" s="19">
        <f t="shared" si="0"/>
        <v>8635553</v>
      </c>
    </row>
    <row r="11" spans="1:11" s="26" customFormat="1" x14ac:dyDescent="0.25">
      <c r="A11" s="34" t="s">
        <v>8</v>
      </c>
      <c r="B11" s="16">
        <v>51450</v>
      </c>
      <c r="C11" s="16">
        <v>8565</v>
      </c>
      <c r="D11" s="16">
        <v>62</v>
      </c>
      <c r="E11" s="16">
        <v>16600</v>
      </c>
      <c r="F11" s="16">
        <v>637</v>
      </c>
      <c r="G11" s="16">
        <v>1301</v>
      </c>
      <c r="H11" s="16">
        <v>390</v>
      </c>
      <c r="I11" s="16">
        <v>2799</v>
      </c>
      <c r="J11" s="16">
        <v>428</v>
      </c>
      <c r="K11" s="16">
        <v>2285975</v>
      </c>
    </row>
    <row r="12" spans="1:11" s="26" customFormat="1" x14ac:dyDescent="0.25">
      <c r="A12" s="34" t="s">
        <v>9</v>
      </c>
      <c r="B12" s="16">
        <v>65</v>
      </c>
      <c r="C12" s="16">
        <v>0</v>
      </c>
      <c r="D12" s="16">
        <v>0</v>
      </c>
      <c r="E12" s="16">
        <v>281</v>
      </c>
      <c r="F12" s="16">
        <v>0</v>
      </c>
      <c r="G12" s="16">
        <v>119</v>
      </c>
      <c r="H12" s="16">
        <v>0</v>
      </c>
      <c r="I12" s="16">
        <v>0</v>
      </c>
      <c r="J12" s="16">
        <v>0</v>
      </c>
      <c r="K12" s="16">
        <v>0</v>
      </c>
    </row>
    <row r="13" spans="1:11" s="26" customFormat="1" x14ac:dyDescent="0.25">
      <c r="A13" s="34" t="s">
        <v>164</v>
      </c>
      <c r="B13" s="16"/>
      <c r="C13" s="16"/>
      <c r="D13" s="16"/>
      <c r="E13" s="16"/>
      <c r="F13" s="16"/>
      <c r="G13" s="16"/>
      <c r="H13" s="16"/>
      <c r="I13" s="16"/>
      <c r="J13" s="16"/>
      <c r="K13" s="16"/>
    </row>
    <row r="14" spans="1:11" s="26" customFormat="1" x14ac:dyDescent="0.25">
      <c r="A14" s="34" t="s">
        <v>10</v>
      </c>
      <c r="B14" s="16">
        <v>74</v>
      </c>
      <c r="C14" s="16">
        <v>35</v>
      </c>
      <c r="D14" s="16">
        <v>0</v>
      </c>
      <c r="E14" s="16">
        <v>278</v>
      </c>
      <c r="F14" s="16">
        <v>6</v>
      </c>
      <c r="G14" s="16">
        <v>19</v>
      </c>
      <c r="H14" s="16">
        <v>0</v>
      </c>
      <c r="I14" s="16">
        <v>166</v>
      </c>
      <c r="J14" s="16">
        <v>0</v>
      </c>
      <c r="K14" s="16">
        <v>6153</v>
      </c>
    </row>
    <row r="15" spans="1:11" s="26" customFormat="1" x14ac:dyDescent="0.25">
      <c r="A15" s="34" t="s">
        <v>11</v>
      </c>
      <c r="B15" s="16">
        <v>2018</v>
      </c>
      <c r="C15" s="16">
        <v>801</v>
      </c>
      <c r="D15" s="16">
        <v>14</v>
      </c>
      <c r="E15" s="16">
        <v>6799</v>
      </c>
      <c r="F15" s="16">
        <v>2</v>
      </c>
      <c r="G15" s="16">
        <v>474</v>
      </c>
      <c r="H15" s="16">
        <v>33</v>
      </c>
      <c r="I15" s="16">
        <v>5727</v>
      </c>
      <c r="J15" s="16">
        <v>87</v>
      </c>
      <c r="K15" s="16">
        <v>188793</v>
      </c>
    </row>
    <row r="16" spans="1:11" s="26" customFormat="1" x14ac:dyDescent="0.25">
      <c r="A16" s="34" t="s">
        <v>12</v>
      </c>
      <c r="B16" s="16"/>
      <c r="C16" s="16"/>
      <c r="D16" s="16"/>
      <c r="E16" s="16"/>
      <c r="F16" s="16"/>
      <c r="G16" s="16"/>
      <c r="H16" s="16"/>
      <c r="I16" s="16"/>
      <c r="J16" s="16"/>
      <c r="K16" s="16"/>
    </row>
    <row r="17" spans="1:11" s="26" customFormat="1" x14ac:dyDescent="0.25">
      <c r="A17" s="34" t="s">
        <v>13</v>
      </c>
      <c r="B17" s="16"/>
      <c r="C17" s="16"/>
      <c r="D17" s="16"/>
      <c r="E17" s="16"/>
      <c r="F17" s="16"/>
      <c r="G17" s="16"/>
      <c r="H17" s="16"/>
      <c r="I17" s="16"/>
      <c r="J17" s="16"/>
      <c r="K17" s="16"/>
    </row>
    <row r="18" spans="1:11" s="26" customFormat="1" x14ac:dyDescent="0.25">
      <c r="A18" s="35" t="s">
        <v>14</v>
      </c>
      <c r="B18" s="19">
        <f>SUM(B11:B17)</f>
        <v>53607</v>
      </c>
      <c r="C18" s="19">
        <f t="shared" ref="C18:K18" si="1">SUM(C11:C17)</f>
        <v>9401</v>
      </c>
      <c r="D18" s="19">
        <f t="shared" si="1"/>
        <v>76</v>
      </c>
      <c r="E18" s="19">
        <f t="shared" si="1"/>
        <v>23958</v>
      </c>
      <c r="F18" s="19">
        <f t="shared" si="1"/>
        <v>645</v>
      </c>
      <c r="G18" s="19">
        <f t="shared" si="1"/>
        <v>1913</v>
      </c>
      <c r="H18" s="19">
        <f t="shared" si="1"/>
        <v>423</v>
      </c>
      <c r="I18" s="19">
        <f t="shared" si="1"/>
        <v>8692</v>
      </c>
      <c r="J18" s="19">
        <f t="shared" si="1"/>
        <v>515</v>
      </c>
      <c r="K18" s="19">
        <f t="shared" si="1"/>
        <v>2480921</v>
      </c>
    </row>
    <row r="19" spans="1:11" s="26" customFormat="1" x14ac:dyDescent="0.25">
      <c r="A19" s="35" t="s">
        <v>15</v>
      </c>
      <c r="B19" s="125">
        <f>SUM(B10,B18)</f>
        <v>96347</v>
      </c>
      <c r="C19" s="125">
        <f t="shared" ref="C19:K19" si="2">SUM(C10,C18)</f>
        <v>13549</v>
      </c>
      <c r="D19" s="125">
        <f t="shared" si="2"/>
        <v>1631</v>
      </c>
      <c r="E19" s="125">
        <f t="shared" si="2"/>
        <v>37166</v>
      </c>
      <c r="F19" s="125">
        <f t="shared" si="2"/>
        <v>1350</v>
      </c>
      <c r="G19" s="125">
        <f t="shared" si="2"/>
        <v>3586</v>
      </c>
      <c r="H19" s="125">
        <f t="shared" si="2"/>
        <v>444</v>
      </c>
      <c r="I19" s="125">
        <f t="shared" si="2"/>
        <v>12759</v>
      </c>
      <c r="J19" s="125">
        <f t="shared" si="2"/>
        <v>610</v>
      </c>
      <c r="K19" s="125">
        <f t="shared" si="2"/>
        <v>11116474</v>
      </c>
    </row>
  </sheetData>
  <sheetProtection formatCells="0" formatColumns="0" formatRows="0" insertColumns="0" insertRows="0" sort="0" autoFilter="0" pivotTables="0"/>
  <dataValidations count="1">
    <dataValidation type="list" errorStyle="information" allowBlank="1" showInputMessage="1" showErrorMessage="1" sqref="B1:K1" xr:uid="{C4B7AD94-2D1B-4BDF-8EC8-617EC3F1103B}">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9E3DC2B2-140E-4597-948E-E182AC33C341}">
          <x14:formula1>
            <xm:f>'Term List'!$A2:$A242</xm:f>
          </x14:formula1>
          <xm:sqref>L1:XFD1</xm:sqref>
        </x14:dataValidation>
      </x14:dataValidations>
    </ext>
  </extLst>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7BE3E-317A-4606-8B05-14E60FDF7A13}">
  <sheetPr codeName="Sheet33"/>
  <dimension ref="A1:E19"/>
  <sheetViews>
    <sheetView workbookViewId="0">
      <pane xSplit="1" ySplit="1" topLeftCell="B2" activePane="bottomRight" state="frozen"/>
      <selection activeCell="E23" sqref="E23"/>
      <selection pane="topRight" activeCell="E23" sqref="E23"/>
      <selection pane="bottomLeft" activeCell="E23" sqref="E23"/>
      <selection pane="bottomRight"/>
    </sheetView>
  </sheetViews>
  <sheetFormatPr defaultColWidth="26" defaultRowHeight="15" x14ac:dyDescent="0.25"/>
  <cols>
    <col min="1" max="1" width="35.7109375" style="6" bestFit="1" customWidth="1"/>
    <col min="2" max="2" width="16.140625" style="5" bestFit="1" customWidth="1"/>
    <col min="3" max="3" width="15.7109375" style="5" bestFit="1" customWidth="1"/>
    <col min="4" max="4" width="15" style="5" bestFit="1" customWidth="1"/>
    <col min="5" max="5" width="15.28515625" style="5" bestFit="1" customWidth="1"/>
    <col min="6" max="16384" width="26" style="3"/>
  </cols>
  <sheetData>
    <row r="1" spans="1:5" s="14" customFormat="1" ht="30" x14ac:dyDescent="0.25">
      <c r="A1" s="36" t="s">
        <v>298</v>
      </c>
      <c r="B1" s="36" t="s">
        <v>71</v>
      </c>
      <c r="C1" s="36" t="s">
        <v>72</v>
      </c>
      <c r="D1" s="36" t="s">
        <v>69</v>
      </c>
      <c r="E1" s="36" t="s">
        <v>70</v>
      </c>
    </row>
    <row r="2" spans="1:5" s="26" customFormat="1" x14ac:dyDescent="0.25">
      <c r="A2" s="34" t="s">
        <v>0</v>
      </c>
      <c r="B2" s="17"/>
      <c r="C2" s="17"/>
      <c r="D2" s="17"/>
      <c r="E2" s="16"/>
    </row>
    <row r="3" spans="1:5" s="26" customFormat="1" x14ac:dyDescent="0.25">
      <c r="A3" s="34" t="s">
        <v>1</v>
      </c>
      <c r="B3" s="17"/>
      <c r="C3" s="17"/>
      <c r="D3" s="17"/>
      <c r="E3" s="16"/>
    </row>
    <row r="4" spans="1:5" s="26" customFormat="1" x14ac:dyDescent="0.25">
      <c r="A4" s="34" t="s">
        <v>169</v>
      </c>
      <c r="B4" s="17"/>
      <c r="C4" s="17"/>
      <c r="D4" s="17"/>
      <c r="E4" s="16"/>
    </row>
    <row r="5" spans="1:5" s="26" customFormat="1" x14ac:dyDescent="0.25">
      <c r="A5" s="34" t="s">
        <v>2</v>
      </c>
      <c r="B5" s="17"/>
      <c r="C5" s="17"/>
      <c r="D5" s="17"/>
      <c r="E5" s="16"/>
    </row>
    <row r="6" spans="1:5" s="26" customFormat="1" x14ac:dyDescent="0.25">
      <c r="A6" s="34" t="s">
        <v>3</v>
      </c>
      <c r="B6" s="17"/>
      <c r="C6" s="17"/>
      <c r="D6" s="17"/>
      <c r="E6" s="16"/>
    </row>
    <row r="7" spans="1:5" s="26" customFormat="1" x14ac:dyDescent="0.25">
      <c r="A7" s="34" t="s">
        <v>4</v>
      </c>
      <c r="B7" s="17"/>
      <c r="C7" s="17"/>
      <c r="D7" s="17"/>
      <c r="E7" s="16"/>
    </row>
    <row r="8" spans="1:5" s="26" customFormat="1" x14ac:dyDescent="0.25">
      <c r="A8" s="34" t="s">
        <v>5</v>
      </c>
      <c r="B8" s="17"/>
      <c r="C8" s="17"/>
      <c r="D8" s="17"/>
      <c r="E8" s="16"/>
    </row>
    <row r="9" spans="1:5" s="26" customFormat="1" x14ac:dyDescent="0.25">
      <c r="A9" s="34" t="s">
        <v>6</v>
      </c>
      <c r="B9" s="17">
        <v>1094</v>
      </c>
      <c r="C9" s="17">
        <v>2975</v>
      </c>
      <c r="D9" s="17">
        <v>329</v>
      </c>
      <c r="E9" s="16">
        <v>3074</v>
      </c>
    </row>
    <row r="10" spans="1:5" s="26" customFormat="1" x14ac:dyDescent="0.25">
      <c r="A10" s="35" t="s">
        <v>7</v>
      </c>
      <c r="B10" s="19">
        <f>SUM(B2:B9)</f>
        <v>1094</v>
      </c>
      <c r="C10" s="19">
        <f t="shared" ref="C10:D10" si="0">SUM(C2:C9)</f>
        <v>2975</v>
      </c>
      <c r="D10" s="19">
        <f t="shared" si="0"/>
        <v>329</v>
      </c>
      <c r="E10" s="19">
        <f>SUM(E2:E9)</f>
        <v>3074</v>
      </c>
    </row>
    <row r="11" spans="1:5" s="26" customFormat="1" x14ac:dyDescent="0.25">
      <c r="A11" s="34" t="s">
        <v>8</v>
      </c>
      <c r="B11" s="16"/>
      <c r="C11" s="16"/>
      <c r="D11" s="16"/>
      <c r="E11" s="16"/>
    </row>
    <row r="12" spans="1:5" s="26" customFormat="1" x14ac:dyDescent="0.25">
      <c r="A12" s="34" t="s">
        <v>9</v>
      </c>
      <c r="B12" s="16"/>
      <c r="C12" s="16"/>
      <c r="D12" s="16"/>
      <c r="E12" s="16"/>
    </row>
    <row r="13" spans="1:5" s="26" customFormat="1" x14ac:dyDescent="0.25">
      <c r="A13" s="34" t="s">
        <v>164</v>
      </c>
      <c r="B13" s="16"/>
      <c r="C13" s="16"/>
      <c r="D13" s="16"/>
      <c r="E13" s="16"/>
    </row>
    <row r="14" spans="1:5" s="26" customFormat="1" x14ac:dyDescent="0.25">
      <c r="A14" s="34" t="s">
        <v>10</v>
      </c>
      <c r="B14" s="16"/>
      <c r="C14" s="16"/>
      <c r="D14" s="16"/>
      <c r="E14" s="16"/>
    </row>
    <row r="15" spans="1:5" s="26" customFormat="1" x14ac:dyDescent="0.25">
      <c r="A15" s="34" t="s">
        <v>11</v>
      </c>
      <c r="B15" s="16"/>
      <c r="C15" s="16"/>
      <c r="D15" s="16"/>
      <c r="E15" s="16"/>
    </row>
    <row r="16" spans="1:5" s="26" customFormat="1" x14ac:dyDescent="0.25">
      <c r="A16" s="34" t="s">
        <v>12</v>
      </c>
      <c r="B16" s="16"/>
      <c r="C16" s="16"/>
      <c r="D16" s="16"/>
      <c r="E16" s="16"/>
    </row>
    <row r="17" spans="1:5" s="26" customFormat="1" x14ac:dyDescent="0.25">
      <c r="A17" s="34" t="s">
        <v>13</v>
      </c>
      <c r="B17" s="16">
        <v>16</v>
      </c>
      <c r="C17" s="16">
        <v>94</v>
      </c>
      <c r="D17" s="16">
        <v>0</v>
      </c>
      <c r="E17" s="16">
        <v>31</v>
      </c>
    </row>
    <row r="18" spans="1:5" s="26" customFormat="1" x14ac:dyDescent="0.25">
      <c r="A18" s="35" t="s">
        <v>14</v>
      </c>
      <c r="B18" s="19">
        <f>SUM(B11:B17)</f>
        <v>16</v>
      </c>
      <c r="C18" s="19">
        <f t="shared" ref="C18:D18" si="1">SUM(C11:C17)</f>
        <v>94</v>
      </c>
      <c r="D18" s="19">
        <f t="shared" si="1"/>
        <v>0</v>
      </c>
      <c r="E18" s="19">
        <f>SUM(E11:E17)</f>
        <v>31</v>
      </c>
    </row>
    <row r="19" spans="1:5" s="26" customFormat="1" x14ac:dyDescent="0.25">
      <c r="A19" s="35" t="s">
        <v>15</v>
      </c>
      <c r="B19" s="19">
        <f>SUM(B10,B18)</f>
        <v>1110</v>
      </c>
      <c r="C19" s="19">
        <f t="shared" ref="C19:D19" si="2">SUM(C10,C18)</f>
        <v>3069</v>
      </c>
      <c r="D19" s="19">
        <f t="shared" si="2"/>
        <v>329</v>
      </c>
      <c r="E19" s="19">
        <f>SUM(E10,E18)</f>
        <v>3105</v>
      </c>
    </row>
  </sheetData>
  <sheetProtection formatCells="0" formatColumns="0" formatRows="0" insertColumns="0" insertRows="0" sort="0" autoFilter="0" pivotTables="0"/>
  <dataValidations count="1">
    <dataValidation type="list" errorStyle="information" allowBlank="1" showInputMessage="1" showErrorMessage="1" sqref="B1:E1" xr:uid="{2A277B9B-460F-45F7-8C4F-2C5630232BC1}">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2B71DA8-EC48-497C-874A-3EED87F18247}">
          <x14:formula1>
            <xm:f>'Term List'!$A2:$A242</xm:f>
          </x14:formula1>
          <xm:sqref>F1:XFD1</xm:sqref>
        </x14:dataValidation>
      </x14:dataValidations>
    </ext>
  </extLst>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2372E-5FD3-4AB3-A94C-4A001D334E76}">
  <sheetPr codeName="Sheet35"/>
  <dimension ref="A1:Q7"/>
  <sheetViews>
    <sheetView workbookViewId="0">
      <pane ySplit="1" topLeftCell="A2" activePane="bottomLeft" state="frozen"/>
      <selection pane="bottomLeft" activeCell="A2" sqref="A2:A6"/>
    </sheetView>
  </sheetViews>
  <sheetFormatPr defaultColWidth="15.85546875" defaultRowHeight="15" x14ac:dyDescent="0.25"/>
  <cols>
    <col min="1" max="1" width="34.7109375" style="6" bestFit="1" customWidth="1"/>
    <col min="2" max="2" width="11.85546875" style="5" bestFit="1" customWidth="1"/>
    <col min="3" max="3" width="13.85546875" style="5" bestFit="1" customWidth="1"/>
    <col min="4" max="4" width="14" style="5" bestFit="1" customWidth="1"/>
    <col min="5" max="5" width="12.140625" style="5" bestFit="1" customWidth="1"/>
    <col min="6" max="6" width="11.85546875" style="5" bestFit="1" customWidth="1"/>
    <col min="7" max="7" width="13.5703125" style="5" bestFit="1" customWidth="1"/>
    <col min="8" max="8" width="12.85546875" style="5" bestFit="1" customWidth="1"/>
    <col min="9" max="9" width="15.140625" style="5" bestFit="1" customWidth="1"/>
    <col min="10" max="10" width="14.5703125" bestFit="1" customWidth="1"/>
    <col min="12" max="12" width="15.42578125" style="5" bestFit="1" customWidth="1"/>
    <col min="13" max="13" width="14.85546875" style="5" bestFit="1" customWidth="1"/>
    <col min="14" max="14" width="12.85546875" style="5" bestFit="1" customWidth="1"/>
    <col min="15" max="15" width="10.5703125" style="5" bestFit="1" customWidth="1"/>
    <col min="16" max="17" width="15.85546875" style="5"/>
    <col min="18" max="16384" width="15.85546875" style="3"/>
  </cols>
  <sheetData>
    <row r="1" spans="1:17" s="14" customFormat="1" ht="30" x14ac:dyDescent="0.25">
      <c r="A1" s="147" t="s">
        <v>555</v>
      </c>
      <c r="B1" s="36" t="s">
        <v>155</v>
      </c>
      <c r="C1" s="36" t="s">
        <v>156</v>
      </c>
      <c r="D1" s="36" t="s">
        <v>154</v>
      </c>
      <c r="E1" s="36" t="s">
        <v>150</v>
      </c>
      <c r="F1" s="36" t="s">
        <v>148</v>
      </c>
      <c r="G1" s="36" t="s">
        <v>132</v>
      </c>
      <c r="H1" s="36" t="s">
        <v>130</v>
      </c>
      <c r="I1" s="36" t="s">
        <v>144</v>
      </c>
      <c r="J1" s="36" t="s">
        <v>142</v>
      </c>
      <c r="K1" s="36" t="s">
        <v>305</v>
      </c>
      <c r="L1" s="36" t="s">
        <v>549</v>
      </c>
      <c r="M1" s="36" t="s">
        <v>550</v>
      </c>
      <c r="N1" s="36" t="s">
        <v>292</v>
      </c>
      <c r="O1" s="36" t="s">
        <v>124</v>
      </c>
    </row>
    <row r="2" spans="1:17" s="26" customFormat="1" ht="21" customHeight="1" x14ac:dyDescent="0.25">
      <c r="A2" s="34" t="s">
        <v>284</v>
      </c>
      <c r="B2" s="16">
        <f>52909+15038+10103+1514+2859+459+548+29+772+509</f>
        <v>84740</v>
      </c>
      <c r="C2" s="17">
        <f>6160+2431+1121+384+408+124+61+27+250+104</f>
        <v>11070</v>
      </c>
      <c r="D2" s="17">
        <f>181+122+231+53+67+21+26+3</f>
        <v>704</v>
      </c>
      <c r="E2" s="17">
        <f>16432+6359+1985+775+1548+211+315+33+615+447</f>
        <v>28720</v>
      </c>
      <c r="F2" s="17">
        <f>603+392+85+222+39+67+163+1+14+6</f>
        <v>1592</v>
      </c>
      <c r="G2" s="17">
        <f>69+7+28+5</f>
        <v>109</v>
      </c>
      <c r="H2" s="17">
        <f>11634+3727+740+42+41+359+150+78+5</f>
        <v>16776</v>
      </c>
      <c r="I2" s="17">
        <f>604+391+20+9+1+16</f>
        <v>1041</v>
      </c>
      <c r="J2" s="17">
        <f>5687+2252+55+10+15+241</f>
        <v>8260</v>
      </c>
      <c r="K2" s="17">
        <f>128+43+67+4+4+12</f>
        <v>258</v>
      </c>
      <c r="L2" s="17">
        <f>10+3+8</f>
        <v>21</v>
      </c>
      <c r="M2" s="17">
        <f>205+169+7+8</f>
        <v>389</v>
      </c>
      <c r="N2" s="17">
        <f>1039+1229+161+298+80+4+22</f>
        <v>2833</v>
      </c>
      <c r="O2" s="17">
        <f>4304461+1903010+221488+51396+74156+36353+352586+3668+70534</f>
        <v>7017652</v>
      </c>
    </row>
    <row r="3" spans="1:17" s="26" customFormat="1" ht="21" customHeight="1" x14ac:dyDescent="0.25">
      <c r="A3" s="34" t="s">
        <v>286</v>
      </c>
      <c r="B3" s="16">
        <f>696+180+126</f>
        <v>1002</v>
      </c>
      <c r="C3" s="17">
        <f>87+12+3</f>
        <v>102</v>
      </c>
      <c r="D3" s="17">
        <f>72+131+1</f>
        <v>204</v>
      </c>
      <c r="E3" s="17">
        <f>46+2+100</f>
        <v>148</v>
      </c>
      <c r="F3" s="17">
        <f>41+19+1</f>
        <v>61</v>
      </c>
      <c r="G3" s="17">
        <v>0</v>
      </c>
      <c r="H3" s="17">
        <v>4</v>
      </c>
      <c r="I3" s="17">
        <v>1</v>
      </c>
      <c r="J3" s="17">
        <v>0</v>
      </c>
      <c r="K3" s="17">
        <v>60</v>
      </c>
      <c r="L3" s="17">
        <v>0</v>
      </c>
      <c r="M3" s="17">
        <v>0</v>
      </c>
      <c r="N3" s="17">
        <f>26</f>
        <v>26</v>
      </c>
      <c r="O3" s="17">
        <f>16150+3736</f>
        <v>19886</v>
      </c>
    </row>
    <row r="4" spans="1:17" s="26" customFormat="1" ht="21" customHeight="1" x14ac:dyDescent="0.25">
      <c r="A4" s="34" t="s">
        <v>285</v>
      </c>
      <c r="B4" s="17">
        <f>287+239+88+18+439+512+101+161+89+40+15</f>
        <v>1989</v>
      </c>
      <c r="C4" s="17">
        <f>89+199+11+4+162+27+18+12+14</f>
        <v>536</v>
      </c>
      <c r="D4" s="17">
        <f>48+1+5+1+8+2+4</f>
        <v>69</v>
      </c>
      <c r="E4" s="17">
        <f>645+3130+222+58+670+740+609+841+50+302+171</f>
        <v>7438</v>
      </c>
      <c r="F4" s="17">
        <f>7+7+13+5+12</f>
        <v>44</v>
      </c>
      <c r="G4" s="17">
        <v>10</v>
      </c>
      <c r="H4" s="17">
        <f>130+428+149+135+658+10+18+135</f>
        <v>1663</v>
      </c>
      <c r="I4" s="26">
        <f>24+29+18+9+42+10</f>
        <v>132</v>
      </c>
      <c r="J4" s="17">
        <f>27+113+42+93+226+60</f>
        <v>561</v>
      </c>
      <c r="K4" s="26">
        <f>14+4+6</f>
        <v>24</v>
      </c>
      <c r="L4" s="26">
        <v>0</v>
      </c>
      <c r="M4" s="26">
        <v>0</v>
      </c>
      <c r="N4" s="26">
        <v>0</v>
      </c>
      <c r="O4" s="17">
        <f>228654+22030+21031+1309+262536+230364+4180+38908+5020</f>
        <v>814032</v>
      </c>
    </row>
    <row r="5" spans="1:17" s="26" customFormat="1" ht="21" customHeight="1" x14ac:dyDescent="0.25">
      <c r="A5" s="34" t="s">
        <v>287</v>
      </c>
      <c r="B5" s="16">
        <f>42+2+36+30+20+8+19</f>
        <v>157</v>
      </c>
      <c r="C5" s="17">
        <f>12+1</f>
        <v>13</v>
      </c>
      <c r="D5" s="17">
        <f>108+5+11+5+12+32</f>
        <v>173</v>
      </c>
      <c r="E5" s="17">
        <f>1102+41+159+227+611+63+41+9+11+117</f>
        <v>2381</v>
      </c>
      <c r="F5" s="17">
        <f>171+55+7+23+43+2+12+36</f>
        <v>349</v>
      </c>
      <c r="G5" s="17">
        <v>0</v>
      </c>
      <c r="H5" s="17">
        <v>11</v>
      </c>
      <c r="I5" s="17">
        <f>4+3</f>
        <v>7</v>
      </c>
      <c r="J5" s="17">
        <v>140</v>
      </c>
      <c r="K5" s="17">
        <v>3</v>
      </c>
      <c r="L5" s="17">
        <v>0</v>
      </c>
      <c r="M5" s="17">
        <v>0</v>
      </c>
      <c r="N5" s="17">
        <v>0</v>
      </c>
      <c r="O5" s="17">
        <f>27885+524+7796+4696+1835</f>
        <v>42736</v>
      </c>
    </row>
    <row r="6" spans="1:17" s="26" customFormat="1" ht="21" customHeight="1" x14ac:dyDescent="0.25">
      <c r="A6" s="34" t="s">
        <v>304</v>
      </c>
      <c r="B6" s="16">
        <f>8</f>
        <v>8</v>
      </c>
      <c r="C6" s="17">
        <f>4</f>
        <v>4</v>
      </c>
      <c r="D6" s="17">
        <f>13</f>
        <v>13</v>
      </c>
      <c r="E6" s="17">
        <f>1+946+927+58+204</f>
        <v>2136</v>
      </c>
      <c r="F6" s="17">
        <f>36+152</f>
        <v>188</v>
      </c>
      <c r="G6" s="17">
        <v>0</v>
      </c>
      <c r="H6" s="17"/>
      <c r="I6" s="17">
        <v>0</v>
      </c>
      <c r="J6" s="17">
        <v>0</v>
      </c>
      <c r="K6" s="17">
        <v>0</v>
      </c>
      <c r="L6" s="17">
        <v>0</v>
      </c>
      <c r="M6" s="17">
        <v>0</v>
      </c>
      <c r="N6" s="17">
        <v>0</v>
      </c>
      <c r="O6" s="17"/>
    </row>
    <row r="7" spans="1:17" s="26" customFormat="1" ht="21" customHeight="1" x14ac:dyDescent="0.25">
      <c r="A7" s="35" t="s">
        <v>15</v>
      </c>
      <c r="B7" s="146">
        <f t="shared" ref="B7:O7" si="0">SUM(B2:B6)</f>
        <v>87896</v>
      </c>
      <c r="C7" s="146">
        <f t="shared" si="0"/>
        <v>11725</v>
      </c>
      <c r="D7" s="146">
        <f t="shared" si="0"/>
        <v>1163</v>
      </c>
      <c r="E7" s="146">
        <f t="shared" si="0"/>
        <v>40823</v>
      </c>
      <c r="F7" s="146">
        <f t="shared" si="0"/>
        <v>2234</v>
      </c>
      <c r="G7" s="146">
        <f t="shared" si="0"/>
        <v>119</v>
      </c>
      <c r="H7" s="146">
        <f t="shared" si="0"/>
        <v>18454</v>
      </c>
      <c r="I7" s="146">
        <f t="shared" si="0"/>
        <v>1181</v>
      </c>
      <c r="J7" s="146">
        <f t="shared" si="0"/>
        <v>8961</v>
      </c>
      <c r="K7" s="146">
        <f t="shared" si="0"/>
        <v>345</v>
      </c>
      <c r="L7" s="146">
        <f t="shared" si="0"/>
        <v>21</v>
      </c>
      <c r="M7" s="146">
        <f t="shared" si="0"/>
        <v>389</v>
      </c>
      <c r="N7" s="146">
        <f t="shared" si="0"/>
        <v>2859</v>
      </c>
      <c r="O7" s="146">
        <f t="shared" si="0"/>
        <v>7894306</v>
      </c>
      <c r="P7" s="38"/>
      <c r="Q7" s="38"/>
    </row>
  </sheetData>
  <sheetProtection formatCells="0" formatColumns="0" formatRows="0" insertColumns="0" insertRows="0" sort="0" autoFilter="0" pivotTables="0"/>
  <dataValidations count="1">
    <dataValidation type="list" errorStyle="information" allowBlank="1" showInputMessage="1" showErrorMessage="1" sqref="B1:O1" xr:uid="{A16F9DA4-7107-4AC3-9B23-C18E80FE70B7}">
      <formula1>commodities</formula1>
    </dataValidation>
  </dataValidations>
  <hyperlinks>
    <hyperlink ref="A1" location="Summary!A1" display="Summary!A1" xr:uid="{8B3E986A-1BFE-4A63-A5C2-7AA1938516DC}"/>
  </hyperlinks>
  <pageMargins left="0.70866141732283472" right="0.70866141732283472" top="0.74803149606299213" bottom="0.74803149606299213" header="0.31496062992125984" footer="0.31496062992125984"/>
  <pageSetup paperSize="9" scale="70" fitToWidth="0" orientation="landscape" r:id="rId1"/>
  <ignoredErrors>
    <ignoredError sqref="B3"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D95F8AB-041A-4718-A6E0-22834A28AC64}">
          <x14:formula1>
            <xm:f>'Term List'!$A2:$A242</xm:f>
          </x14:formula1>
          <xm:sqref>P1:XFD1</xm:sqref>
        </x14:dataValidation>
      </x14:dataValidations>
    </ext>
  </extLst>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22FDF-0007-4D7E-AD7B-20CF6469FD03}">
  <sheetPr codeName="Sheet36"/>
  <dimension ref="A1:K8"/>
  <sheetViews>
    <sheetView workbookViewId="0">
      <pane xSplit="1" ySplit="1" topLeftCell="B2" activePane="bottomRight" state="frozen"/>
      <selection activeCell="E23" sqref="E23"/>
      <selection pane="topRight" activeCell="E23" sqref="E23"/>
      <selection pane="bottomLeft" activeCell="E23" sqref="E23"/>
      <selection pane="bottomRight" activeCell="D11" sqref="D11"/>
    </sheetView>
  </sheetViews>
  <sheetFormatPr defaultColWidth="16.42578125" defaultRowHeight="15" x14ac:dyDescent="0.25"/>
  <cols>
    <col min="1" max="1" width="47.140625" style="6" bestFit="1" customWidth="1"/>
    <col min="2" max="2" width="19.28515625" style="5" customWidth="1"/>
    <col min="3" max="11" width="16.42578125" style="5"/>
    <col min="12" max="16384" width="16.42578125" style="3"/>
  </cols>
  <sheetData>
    <row r="1" spans="1:11" s="14" customFormat="1" ht="30" x14ac:dyDescent="0.25">
      <c r="A1" s="36" t="s">
        <v>586</v>
      </c>
      <c r="B1" s="36" t="s">
        <v>155</v>
      </c>
      <c r="C1" s="36" t="s">
        <v>127</v>
      </c>
      <c r="D1" s="36" t="s">
        <v>292</v>
      </c>
      <c r="E1" s="36" t="s">
        <v>293</v>
      </c>
      <c r="F1" s="36" t="s">
        <v>294</v>
      </c>
      <c r="G1" s="36" t="s">
        <v>295</v>
      </c>
      <c r="H1" s="36" t="s">
        <v>296</v>
      </c>
      <c r="I1" s="36" t="s">
        <v>123</v>
      </c>
      <c r="J1" s="36" t="s">
        <v>121</v>
      </c>
      <c r="K1" s="36" t="s">
        <v>124</v>
      </c>
    </row>
    <row r="2" spans="1:11" s="26" customFormat="1" ht="25.5" customHeight="1" x14ac:dyDescent="0.25">
      <c r="A2" s="34" t="s">
        <v>288</v>
      </c>
      <c r="B2" s="16">
        <v>122</v>
      </c>
      <c r="C2" s="17">
        <f>410+1720+160+174+4</f>
        <v>2468</v>
      </c>
      <c r="D2" s="17">
        <f>700+1518+200+523+2+355</f>
        <v>3298</v>
      </c>
      <c r="E2" s="17">
        <f>244+11</f>
        <v>255</v>
      </c>
      <c r="F2" s="17">
        <f>1492+2466+40</f>
        <v>3998</v>
      </c>
      <c r="G2" s="17">
        <f>16+4</f>
        <v>20</v>
      </c>
      <c r="H2" s="17">
        <v>1194</v>
      </c>
      <c r="I2" s="17">
        <f>1433+2367</f>
        <v>3800</v>
      </c>
      <c r="J2" s="17">
        <f>434+5668</f>
        <v>6102</v>
      </c>
      <c r="K2" s="17">
        <f>804757+2041539</f>
        <v>2846296</v>
      </c>
    </row>
    <row r="3" spans="1:11" s="26" customFormat="1" ht="25.5" customHeight="1" x14ac:dyDescent="0.25">
      <c r="A3" s="34" t="s">
        <v>289</v>
      </c>
      <c r="B3" s="16">
        <v>0</v>
      </c>
      <c r="C3" s="17">
        <f>383+127</f>
        <v>510</v>
      </c>
      <c r="D3" s="17">
        <f>115+50</f>
        <v>165</v>
      </c>
      <c r="E3" s="17">
        <v>0</v>
      </c>
      <c r="F3" s="17">
        <v>0</v>
      </c>
      <c r="G3" s="17">
        <v>0</v>
      </c>
      <c r="H3" s="17">
        <v>0</v>
      </c>
      <c r="I3" s="17">
        <v>0</v>
      </c>
      <c r="J3" s="17">
        <v>0</v>
      </c>
      <c r="K3" s="17">
        <v>0</v>
      </c>
    </row>
    <row r="4" spans="1:11" s="26" customFormat="1" ht="25.5" customHeight="1" x14ac:dyDescent="0.25">
      <c r="A4" s="34" t="s">
        <v>290</v>
      </c>
      <c r="B4" s="16">
        <v>0</v>
      </c>
      <c r="C4" s="17">
        <v>0</v>
      </c>
      <c r="D4" s="17">
        <f>18+2</f>
        <v>20</v>
      </c>
      <c r="E4" s="17">
        <v>0</v>
      </c>
      <c r="F4" s="17">
        <f>40+10</f>
        <v>50</v>
      </c>
      <c r="G4" s="17">
        <v>0</v>
      </c>
      <c r="H4" s="17">
        <v>0</v>
      </c>
      <c r="I4" s="17">
        <v>0</v>
      </c>
      <c r="J4" s="17">
        <v>0</v>
      </c>
      <c r="K4" s="17">
        <v>0</v>
      </c>
    </row>
    <row r="5" spans="1:11" s="26" customFormat="1" ht="25.5" customHeight="1" x14ac:dyDescent="0.25">
      <c r="A5" s="34" t="s">
        <v>291</v>
      </c>
      <c r="B5" s="16">
        <v>0</v>
      </c>
      <c r="C5" s="17">
        <v>0</v>
      </c>
      <c r="D5" s="17">
        <v>0</v>
      </c>
      <c r="E5" s="17">
        <v>6</v>
      </c>
      <c r="F5" s="17">
        <f>217+24</f>
        <v>241</v>
      </c>
      <c r="G5" s="17">
        <v>0</v>
      </c>
      <c r="H5" s="17">
        <v>0</v>
      </c>
      <c r="I5" s="17">
        <v>12</v>
      </c>
      <c r="J5" s="17">
        <v>0</v>
      </c>
      <c r="K5" s="17">
        <v>4714</v>
      </c>
    </row>
    <row r="6" spans="1:11" s="26" customFormat="1" ht="25.5" customHeight="1" x14ac:dyDescent="0.25">
      <c r="A6" s="29" t="s">
        <v>297</v>
      </c>
      <c r="B6" s="30">
        <f t="shared" ref="B6:K6" si="0">SUM(B2:B5)</f>
        <v>122</v>
      </c>
      <c r="C6" s="30">
        <f t="shared" si="0"/>
        <v>2978</v>
      </c>
      <c r="D6" s="30">
        <f t="shared" si="0"/>
        <v>3483</v>
      </c>
      <c r="E6" s="30">
        <f t="shared" si="0"/>
        <v>261</v>
      </c>
      <c r="F6" s="30">
        <f t="shared" si="0"/>
        <v>4289</v>
      </c>
      <c r="G6" s="30">
        <f t="shared" si="0"/>
        <v>20</v>
      </c>
      <c r="H6" s="30">
        <f t="shared" si="0"/>
        <v>1194</v>
      </c>
      <c r="I6" s="30">
        <f t="shared" si="0"/>
        <v>3812</v>
      </c>
      <c r="J6" s="30">
        <f t="shared" si="0"/>
        <v>6102</v>
      </c>
      <c r="K6" s="30">
        <f t="shared" si="0"/>
        <v>2851010</v>
      </c>
    </row>
    <row r="8" spans="1:11" x14ac:dyDescent="0.25">
      <c r="A8" s="37"/>
    </row>
  </sheetData>
  <sheetProtection formatCells="0" formatColumns="0" formatRows="0" insertColumns="0" insertRows="0" sort="0" autoFilter="0" pivotTables="0"/>
  <dataValidations count="1">
    <dataValidation type="list" errorStyle="information" allowBlank="1" showInputMessage="1" showErrorMessage="1" sqref="B1:K1" xr:uid="{9318AF18-4507-4EBE-A297-D6F07DF5675F}">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C51FD59-1F63-4471-9D9D-0D678F683798}">
          <x14:formula1>
            <xm:f>'Term List'!$A2:$A242</xm:f>
          </x14:formula1>
          <xm:sqref>L1:XFD1</xm:sqref>
        </x14:dataValidation>
      </x14:dataValidations>
    </ext>
  </extLst>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99386-5354-49A3-AAF3-581463874B0D}">
  <sheetPr codeName="Sheet37"/>
  <dimension ref="A1:K6"/>
  <sheetViews>
    <sheetView workbookViewId="0">
      <pane xSplit="1" ySplit="1" topLeftCell="B2" activePane="bottomRight" state="frozen"/>
      <selection activeCell="E23" sqref="E23"/>
      <selection pane="topRight" activeCell="E23" sqref="E23"/>
      <selection pane="bottomLeft" activeCell="E23" sqref="E23"/>
      <selection pane="bottomRight" activeCell="H20" sqref="H20"/>
    </sheetView>
  </sheetViews>
  <sheetFormatPr defaultColWidth="15.5703125" defaultRowHeight="15" x14ac:dyDescent="0.25"/>
  <cols>
    <col min="1" max="1" width="29.7109375" style="6" bestFit="1" customWidth="1"/>
    <col min="2" max="2" width="19.28515625" style="5" customWidth="1"/>
    <col min="3" max="3" width="15.85546875" style="5" customWidth="1"/>
    <col min="4" max="4" width="16" style="5" customWidth="1"/>
    <col min="5" max="5" width="18.7109375" style="5" customWidth="1"/>
    <col min="6" max="6" width="18.42578125" style="5" customWidth="1"/>
    <col min="7" max="8" width="15.5703125" style="5"/>
    <col min="9" max="9" width="16.5703125" style="5" customWidth="1"/>
    <col min="10" max="10" width="17.140625" style="5" customWidth="1"/>
    <col min="11" max="11" width="15.5703125" style="5"/>
    <col min="12" max="16384" width="15.5703125" style="3"/>
  </cols>
  <sheetData>
    <row r="1" spans="1:11" s="14" customFormat="1" ht="30" x14ac:dyDescent="0.25">
      <c r="A1" s="36" t="s">
        <v>300</v>
      </c>
      <c r="B1" s="36" t="s">
        <v>155</v>
      </c>
      <c r="C1" s="36" t="s">
        <v>156</v>
      </c>
      <c r="D1" s="36" t="s">
        <v>154</v>
      </c>
      <c r="E1" s="36" t="s">
        <v>150</v>
      </c>
      <c r="F1" s="36" t="s">
        <v>148</v>
      </c>
      <c r="G1" s="36" t="s">
        <v>130</v>
      </c>
      <c r="H1" s="36" t="s">
        <v>132</v>
      </c>
      <c r="I1" s="36" t="s">
        <v>142</v>
      </c>
      <c r="J1" s="36" t="s">
        <v>144</v>
      </c>
      <c r="K1" s="36" t="s">
        <v>124</v>
      </c>
    </row>
    <row r="2" spans="1:11" s="26" customFormat="1" ht="24" customHeight="1" x14ac:dyDescent="0.25">
      <c r="A2" s="34" t="s">
        <v>284</v>
      </c>
      <c r="B2" s="16">
        <f>47815+12085+8778+713+425+29+20+3503+1432+473</f>
        <v>75273</v>
      </c>
      <c r="C2" s="17">
        <f>5373+1677+1101+98+50+27+64+432+177+37</f>
        <v>9036</v>
      </c>
      <c r="D2" s="17">
        <f>127+85+24+3+4+36+55+44</f>
        <v>378</v>
      </c>
      <c r="E2" s="17">
        <f>8426+3208+986+401+271+33+24+1213+393+218</f>
        <v>15173</v>
      </c>
      <c r="F2" s="17">
        <f>246+158+29+51+4+1+22+65+15+32</f>
        <v>623</v>
      </c>
      <c r="G2" s="17">
        <f>17253+6420+1387+38+10+150+156+41</f>
        <v>25455</v>
      </c>
      <c r="H2" s="17">
        <f>131+26</f>
        <v>157</v>
      </c>
      <c r="I2" s="17">
        <f>1179+92+177+136+26+63+13</f>
        <v>1686</v>
      </c>
      <c r="J2" s="17">
        <f>132+14+1+10</f>
        <v>157</v>
      </c>
      <c r="K2" s="17">
        <f>4510248+1847096+129666+73966+3400+3668+70918+27781+6190+17371</f>
        <v>6690304</v>
      </c>
    </row>
    <row r="3" spans="1:11" s="26" customFormat="1" ht="24" customHeight="1" x14ac:dyDescent="0.25">
      <c r="A3" s="34" t="s">
        <v>286</v>
      </c>
      <c r="B3" s="16">
        <f>286+156</f>
        <v>442</v>
      </c>
      <c r="C3" s="17">
        <f>119+53</f>
        <v>172</v>
      </c>
      <c r="D3" s="17">
        <f>7+1</f>
        <v>8</v>
      </c>
      <c r="E3" s="17">
        <f>59+27</f>
        <v>86</v>
      </c>
      <c r="F3" s="17">
        <f>7+2</f>
        <v>9</v>
      </c>
      <c r="G3" s="17">
        <v>129</v>
      </c>
      <c r="H3" s="17">
        <v>43</v>
      </c>
      <c r="I3" s="17">
        <v>0</v>
      </c>
      <c r="J3" s="17">
        <v>0</v>
      </c>
      <c r="K3" s="17">
        <v>1341</v>
      </c>
    </row>
    <row r="4" spans="1:11" s="26" customFormat="1" ht="24" customHeight="1" x14ac:dyDescent="0.25">
      <c r="A4" s="34" t="s">
        <v>287</v>
      </c>
      <c r="B4" s="16">
        <f>31+23</f>
        <v>54</v>
      </c>
      <c r="C4" s="17">
        <f>55+8</f>
        <v>63</v>
      </c>
      <c r="D4" s="17">
        <f>250+17</f>
        <v>267</v>
      </c>
      <c r="E4" s="17">
        <f>2511+2740+11</f>
        <v>5262</v>
      </c>
      <c r="F4" s="17">
        <f>250+479</f>
        <v>729</v>
      </c>
      <c r="G4" s="17">
        <v>111</v>
      </c>
      <c r="H4" s="17">
        <v>0</v>
      </c>
      <c r="I4" s="17">
        <v>20</v>
      </c>
      <c r="J4" s="17">
        <v>0</v>
      </c>
      <c r="K4" s="17">
        <v>26439</v>
      </c>
    </row>
    <row r="5" spans="1:11" s="26" customFormat="1" ht="24" customHeight="1" x14ac:dyDescent="0.25">
      <c r="A5" s="34" t="s">
        <v>285</v>
      </c>
      <c r="B5" s="17">
        <v>2604</v>
      </c>
      <c r="C5" s="17">
        <f>179+243+90+5+21+29+74+13+7+2+7+15+3+1+6</f>
        <v>695</v>
      </c>
      <c r="D5" s="17">
        <v>100</v>
      </c>
      <c r="E5" s="17">
        <v>7493</v>
      </c>
      <c r="F5" s="17">
        <v>102</v>
      </c>
      <c r="G5" s="17">
        <v>3403</v>
      </c>
      <c r="H5" s="17">
        <v>59</v>
      </c>
      <c r="I5" s="17">
        <f>191+686+74+2+70+193+2+1</f>
        <v>1219</v>
      </c>
      <c r="J5" s="26">
        <v>171</v>
      </c>
      <c r="K5" s="17">
        <f>480750+256852+119824+22630+147119+62149+4448+18200+6000+12696+13942+3619+2189+631</f>
        <v>1151049</v>
      </c>
    </row>
    <row r="6" spans="1:11" s="26" customFormat="1" ht="24" customHeight="1" x14ac:dyDescent="0.25">
      <c r="A6" s="35" t="s">
        <v>15</v>
      </c>
      <c r="B6" s="125">
        <f t="shared" ref="B6:K6" si="0">SUM(B2:B5)</f>
        <v>78373</v>
      </c>
      <c r="C6" s="146">
        <f t="shared" si="0"/>
        <v>9966</v>
      </c>
      <c r="D6" s="146">
        <f t="shared" si="0"/>
        <v>753</v>
      </c>
      <c r="E6" s="146">
        <f t="shared" si="0"/>
        <v>28014</v>
      </c>
      <c r="F6" s="146">
        <f t="shared" si="0"/>
        <v>1463</v>
      </c>
      <c r="G6" s="146">
        <f t="shared" si="0"/>
        <v>29098</v>
      </c>
      <c r="H6" s="146">
        <f t="shared" si="0"/>
        <v>259</v>
      </c>
      <c r="I6" s="146">
        <f t="shared" si="0"/>
        <v>2925</v>
      </c>
      <c r="J6" s="146">
        <f t="shared" si="0"/>
        <v>328</v>
      </c>
      <c r="K6" s="146">
        <f t="shared" si="0"/>
        <v>7869133</v>
      </c>
    </row>
  </sheetData>
  <sheetProtection formatCells="0" formatColumns="0" formatRows="0" insertColumns="0" insertRows="0" sort="0" autoFilter="0" pivotTables="0"/>
  <dataValidations count="1">
    <dataValidation type="list" errorStyle="information" allowBlank="1" showInputMessage="1" showErrorMessage="1" sqref="B1:K1" xr:uid="{B51B4D83-E4D9-43BE-9ED9-B52C7719F4A2}">
      <formula1>commodities</formula1>
    </dataValidation>
  </dataValidations>
  <pageMargins left="0.70866141732283472" right="0.70866141732283472" top="0.74803149606299213" bottom="0.74803149606299213" header="0.31496062992125984" footer="0.31496062992125984"/>
  <pageSetup paperSize="9" scale="70" fitToWidth="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C2D6283-5D6F-41C0-B7CD-BD08F8C9423D}">
          <x14:formula1>
            <xm:f>'Term List'!$A2:$A242</xm:f>
          </x14:formula1>
          <xm:sqref>L1:XFD1</xm:sqref>
        </x14:dataValidation>
      </x14:dataValidations>
    </ext>
  </extLst>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7C839-40D9-440F-AA5C-6C0DFE2E5B68}">
  <sheetPr codeName="Sheet38"/>
  <dimension ref="A1:AC4"/>
  <sheetViews>
    <sheetView workbookViewId="0">
      <pane xSplit="1" ySplit="1" topLeftCell="C2" activePane="bottomRight" state="frozen"/>
      <selection activeCell="E23" sqref="E23"/>
      <selection pane="topRight" activeCell="E23" sqref="E23"/>
      <selection pane="bottomLeft" activeCell="E23" sqref="E23"/>
      <selection pane="bottomRight" activeCell="I22" sqref="I22"/>
    </sheetView>
  </sheetViews>
  <sheetFormatPr defaultColWidth="14.5703125" defaultRowHeight="15" x14ac:dyDescent="0.25"/>
  <cols>
    <col min="1" max="1" width="33.42578125" style="6" bestFit="1" customWidth="1"/>
    <col min="2" max="21" width="14.5703125" style="5"/>
    <col min="22" max="16384" width="14.5703125" style="3"/>
  </cols>
  <sheetData>
    <row r="1" spans="1:29" s="15" customFormat="1" ht="45" x14ac:dyDescent="0.25">
      <c r="A1" s="27" t="s">
        <v>574</v>
      </c>
      <c r="B1" s="28" t="s">
        <v>33</v>
      </c>
      <c r="C1" s="28" t="s">
        <v>101</v>
      </c>
      <c r="D1" s="28" t="s">
        <v>276</v>
      </c>
      <c r="E1" s="28" t="s">
        <v>66</v>
      </c>
      <c r="F1" s="28" t="s">
        <v>53</v>
      </c>
      <c r="G1" s="28" t="s">
        <v>277</v>
      </c>
      <c r="H1" s="28" t="s">
        <v>43</v>
      </c>
      <c r="I1" s="28" t="s">
        <v>44</v>
      </c>
      <c r="J1" s="28" t="s">
        <v>95</v>
      </c>
      <c r="K1" s="28" t="s">
        <v>99</v>
      </c>
      <c r="L1" s="28" t="s">
        <v>570</v>
      </c>
      <c r="M1" s="28" t="s">
        <v>567</v>
      </c>
      <c r="N1" s="28" t="s">
        <v>573</v>
      </c>
      <c r="O1" s="28" t="s">
        <v>569</v>
      </c>
      <c r="P1" s="28" t="s">
        <v>30</v>
      </c>
      <c r="Q1" s="28" t="s">
        <v>278</v>
      </c>
      <c r="R1" s="28" t="s">
        <v>71</v>
      </c>
      <c r="S1" s="28" t="s">
        <v>73</v>
      </c>
      <c r="T1" s="28" t="s">
        <v>172</v>
      </c>
      <c r="U1" s="28" t="s">
        <v>81</v>
      </c>
      <c r="V1" s="28" t="s">
        <v>279</v>
      </c>
      <c r="W1" s="28" t="s">
        <v>80</v>
      </c>
      <c r="X1" s="28" t="s">
        <v>104</v>
      </c>
      <c r="Y1" s="28" t="s">
        <v>280</v>
      </c>
      <c r="Z1" s="28" t="s">
        <v>281</v>
      </c>
      <c r="AA1" s="28" t="s">
        <v>84</v>
      </c>
      <c r="AB1" s="28" t="s">
        <v>67</v>
      </c>
      <c r="AC1" s="28" t="s">
        <v>68</v>
      </c>
    </row>
    <row r="2" spans="1:29" s="26" customFormat="1" ht="25.5" customHeight="1" x14ac:dyDescent="0.25">
      <c r="A2" s="34" t="s">
        <v>282</v>
      </c>
      <c r="B2" s="16">
        <f>22040+2000</f>
        <v>24040</v>
      </c>
      <c r="C2" s="17">
        <v>185000</v>
      </c>
      <c r="D2" s="17">
        <v>27250</v>
      </c>
      <c r="E2" s="17">
        <f>16250+9000</f>
        <v>25250</v>
      </c>
      <c r="F2" s="17">
        <v>24</v>
      </c>
      <c r="G2" s="17">
        <v>1017</v>
      </c>
      <c r="H2" s="17">
        <v>991</v>
      </c>
      <c r="I2" s="17">
        <v>0</v>
      </c>
      <c r="J2" s="17">
        <v>0</v>
      </c>
      <c r="K2" s="17">
        <v>0</v>
      </c>
      <c r="L2" s="17">
        <f>449+2307</f>
        <v>2756</v>
      </c>
      <c r="M2" s="17">
        <f>664+202</f>
        <v>866</v>
      </c>
      <c r="N2" s="17">
        <f>2958+11764</f>
        <v>14722</v>
      </c>
      <c r="O2" s="17">
        <f>609</f>
        <v>609</v>
      </c>
      <c r="P2" s="17">
        <f>170+24</f>
        <v>194</v>
      </c>
      <c r="Q2" s="17">
        <v>10</v>
      </c>
      <c r="R2" s="17">
        <v>28</v>
      </c>
      <c r="S2" s="17">
        <v>0</v>
      </c>
      <c r="T2" s="17">
        <v>0</v>
      </c>
      <c r="U2" s="17">
        <f>139+118</f>
        <v>257</v>
      </c>
      <c r="V2" s="24">
        <v>0</v>
      </c>
      <c r="W2" s="24">
        <v>0</v>
      </c>
      <c r="X2" s="24">
        <v>30</v>
      </c>
      <c r="Y2" s="24">
        <f>40+141</f>
        <v>181</v>
      </c>
      <c r="Z2" s="24">
        <v>0</v>
      </c>
      <c r="AA2" s="24">
        <v>0</v>
      </c>
      <c r="AB2" s="24">
        <v>0</v>
      </c>
      <c r="AC2" s="25">
        <v>0</v>
      </c>
    </row>
    <row r="3" spans="1:29" s="26" customFormat="1" ht="25.5" customHeight="1" x14ac:dyDescent="0.25">
      <c r="A3" s="34" t="s">
        <v>283</v>
      </c>
      <c r="B3" s="16">
        <v>76767695</v>
      </c>
      <c r="C3" s="17">
        <v>59586194</v>
      </c>
      <c r="D3" s="17">
        <v>57998661</v>
      </c>
      <c r="E3" s="17">
        <v>4712005</v>
      </c>
      <c r="F3" s="17">
        <v>1205389</v>
      </c>
      <c r="G3" s="17">
        <v>64006</v>
      </c>
      <c r="H3" s="17">
        <v>396329</v>
      </c>
      <c r="I3" s="17">
        <v>13099</v>
      </c>
      <c r="J3" s="17">
        <v>39912</v>
      </c>
      <c r="K3" s="17">
        <v>21777</v>
      </c>
      <c r="L3" s="17">
        <v>51334</v>
      </c>
      <c r="M3" s="17">
        <v>47686</v>
      </c>
      <c r="N3" s="17">
        <v>21500</v>
      </c>
      <c r="O3" s="17">
        <v>3304</v>
      </c>
      <c r="P3" s="17">
        <v>44782</v>
      </c>
      <c r="Q3" s="17">
        <v>2739</v>
      </c>
      <c r="R3" s="17">
        <v>7130</v>
      </c>
      <c r="S3" s="17">
        <v>3647</v>
      </c>
      <c r="T3" s="17">
        <v>13815</v>
      </c>
      <c r="U3" s="17">
        <v>3189</v>
      </c>
      <c r="V3" s="24">
        <v>17024</v>
      </c>
      <c r="W3" s="24">
        <v>157</v>
      </c>
      <c r="X3" s="24">
        <v>3074</v>
      </c>
      <c r="Y3" s="24">
        <v>53857</v>
      </c>
      <c r="Z3" s="24">
        <v>20475</v>
      </c>
      <c r="AA3" s="24">
        <v>1540</v>
      </c>
      <c r="AB3" s="24">
        <v>620</v>
      </c>
      <c r="AC3" s="156">
        <v>399.5</v>
      </c>
    </row>
    <row r="4" spans="1:29" s="18" customFormat="1" ht="25.5" customHeight="1" x14ac:dyDescent="0.25">
      <c r="A4" s="29" t="s">
        <v>15</v>
      </c>
      <c r="B4" s="30">
        <f>SUM(imports_1771[Boards and timber (feet)])</f>
        <v>76791735</v>
      </c>
      <c r="C4" s="30">
        <f>SUM(imports_1771[Shingles])</f>
        <v>59771194</v>
      </c>
      <c r="D4" s="30">
        <f>SUM(imports_1771[Staves])</f>
        <v>58025911</v>
      </c>
      <c r="E4" s="30">
        <f>SUM(imports_1771[Hoops])</f>
        <v>4737255</v>
      </c>
      <c r="F4" s="30">
        <f>SUM(imports_1771[Corn (bushels)])</f>
        <v>1205413</v>
      </c>
      <c r="G4" s="30">
        <f>SUM(imports_1771[Pease and beans (bushels)])</f>
        <v>65023</v>
      </c>
      <c r="H4" s="30">
        <f>SUM(imports_1771[Bread and flour (barrels)])</f>
        <v>397320</v>
      </c>
      <c r="I4" s="30">
        <f>SUM(imports_1771[Bread and flour (kegs)])</f>
        <v>13099</v>
      </c>
      <c r="J4" s="30">
        <f>SUM(imports_1771[Rice (barrels)])</f>
        <v>39912</v>
      </c>
      <c r="K4" s="30">
        <f>SUM(imports_1771[Rice (tierces)])</f>
        <v>21777</v>
      </c>
      <c r="L4" s="30">
        <f>SUM(imports_1771[Fish, dry (hogsheads)])</f>
        <v>54090</v>
      </c>
      <c r="M4" s="30">
        <f>SUM(imports_1771[Fish, pickled (barrels)])</f>
        <v>48552</v>
      </c>
      <c r="N4" s="30">
        <f>SUM(imports_1771[Fish, dry (quintals)])</f>
        <v>36222</v>
      </c>
      <c r="O4" s="30">
        <f>SUM(imports_1771[Fish, pickled (kegs)])</f>
        <v>3913</v>
      </c>
      <c r="P4" s="30">
        <f>SUM(imports_1771[Beef and pork (barrels)])</f>
        <v>44976</v>
      </c>
      <c r="Q4" s="30">
        <f>SUM(imports_1771[Poultry (dozens)])</f>
        <v>2749</v>
      </c>
      <c r="R4" s="30">
        <f>SUM(imports_1771[Livestock: horses])</f>
        <v>7158</v>
      </c>
      <c r="S4" s="30">
        <f>SUM(imports_1771[Livestock: oxen])</f>
        <v>3647</v>
      </c>
      <c r="T4" s="30">
        <f>SUM(imports_1771[Livestock: sheep and hogs])</f>
        <v>13815</v>
      </c>
      <c r="U4" s="30">
        <f>SUM(imports_1771[Oil (barrels)])</f>
        <v>3446</v>
      </c>
      <c r="V4" s="30">
        <f>SUM(imports_1771[Tar, pitch, and turpentine (barrels)])</f>
        <v>17024</v>
      </c>
      <c r="W4" s="30">
        <f>SUM(imports_1771[Masts])</f>
        <v>157</v>
      </c>
      <c r="X4" s="30">
        <f>SUM(imports_1771[Spars])</f>
        <v>3104</v>
      </c>
      <c r="Y4" s="30">
        <f>SUM(imports_1771[Shook casks])</f>
        <v>54038</v>
      </c>
      <c r="Z4" s="30">
        <f>SUM(imports_1771[Soap and candles (boxes)])</f>
        <v>20475</v>
      </c>
      <c r="AA4" s="30">
        <f>SUM(imports_1771[Ox-bows and yokes])</f>
        <v>1540</v>
      </c>
      <c r="AB4" s="30">
        <f>SUM(imports_1771[House frames])</f>
        <v>620</v>
      </c>
      <c r="AC4" s="33">
        <f>SUM(imports_1771[Iron (tons)])</f>
        <v>399.5</v>
      </c>
    </row>
  </sheetData>
  <sheetProtection formatCells="0" formatColumns="0" formatRows="0" insertColumns="0" insertRows="0" sort="0" autoFilter="0" pivotTables="0"/>
  <dataValidations count="1">
    <dataValidation type="list" errorStyle="information" allowBlank="1" showInputMessage="1" showErrorMessage="1" sqref="B1:AC1" xr:uid="{256006F5-C3AC-4C53-8750-E6FE4B526569}">
      <formula1>imports</formula1>
    </dataValidation>
  </dataValidations>
  <pageMargins left="0.70866141732283472" right="0.70866141732283472" top="0.74803149606299213" bottom="0.74803149606299213" header="0.31496062992125984" footer="0.31496062992125984"/>
  <pageSetup paperSize="9" scale="70" fitToWidth="0" orientation="landscape" r:id="rId1"/>
  <ignoredErrors>
    <ignoredError sqref="B2 E2" unlockedFormula="1"/>
  </ignoredErrors>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6F6577B1-377B-49D7-AADC-E2ACC7EFA4DB}">
          <x14:formula1>
            <xm:f>'Term List'!$A2:$A242</xm:f>
          </x14:formula1>
          <xm:sqref>AD1:XFD1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9D15B09-4C5D-41DC-A3D6-F1BC3AA10E1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87</vt:i4>
      </vt:variant>
      <vt:variant>
        <vt:lpstr>Named Ranges</vt:lpstr>
      </vt:variant>
      <vt:variant>
        <vt:i4>7</vt:i4>
      </vt:variant>
    </vt:vector>
  </HeadingPairs>
  <TitlesOfParts>
    <vt:vector size="94" baseType="lpstr">
      <vt:lpstr>Summary</vt:lpstr>
      <vt:lpstr>Database</vt:lpstr>
      <vt:lpstr>Ref List</vt:lpstr>
      <vt:lpstr>Term List</vt:lpstr>
      <vt:lpstr>Unit Calc</vt:lpstr>
      <vt:lpstr>Lookup</vt:lpstr>
      <vt:lpstr>Sample Import</vt:lpstr>
      <vt:lpstr>Sample Export</vt:lpstr>
      <vt:lpstr>Imports (1815-45)</vt:lpstr>
      <vt:lpstr>table E (1771-1845)</vt:lpstr>
      <vt:lpstr>Exports (1771-1845)</vt:lpstr>
      <vt:lpstr>1838-9 (E)</vt:lpstr>
      <vt:lpstr>1838-9 (I)</vt:lpstr>
      <vt:lpstr>1837-8 (E)</vt:lpstr>
      <vt:lpstr>1837-8 (I)</vt:lpstr>
      <vt:lpstr>1836-7 (E)</vt:lpstr>
      <vt:lpstr>1836-7 (I)</vt:lpstr>
      <vt:lpstr>1835-6 (E)</vt:lpstr>
      <vt:lpstr>1835-6 (I)</vt:lpstr>
      <vt:lpstr>1834-5 (E)</vt:lpstr>
      <vt:lpstr>1834-5 (I)</vt:lpstr>
      <vt:lpstr>1833-4 (E)</vt:lpstr>
      <vt:lpstr>1833-4 (I)</vt:lpstr>
      <vt:lpstr>1831-2 (E)</vt:lpstr>
      <vt:lpstr>1831-2 (I)</vt:lpstr>
      <vt:lpstr>1828-9 (E)</vt:lpstr>
      <vt:lpstr>1828-9 (I)</vt:lpstr>
      <vt:lpstr>1827-8 (E)</vt:lpstr>
      <vt:lpstr>1827-8 (I)</vt:lpstr>
      <vt:lpstr>1825-6 (E)</vt:lpstr>
      <vt:lpstr>1825-6 (I)</vt:lpstr>
      <vt:lpstr>1824-5 (E)</vt:lpstr>
      <vt:lpstr>1824-5 (I)</vt:lpstr>
      <vt:lpstr>1823-4 (E)</vt:lpstr>
      <vt:lpstr>1823-4 (I)</vt:lpstr>
      <vt:lpstr>1822-3 (E)</vt:lpstr>
      <vt:lpstr>1822-3 (I)</vt:lpstr>
      <vt:lpstr>1821-2 (E)</vt:lpstr>
      <vt:lpstr>1821-2 (I)</vt:lpstr>
      <vt:lpstr>1820-21 (E)</vt:lpstr>
      <vt:lpstr>1820-21 (I)</vt:lpstr>
      <vt:lpstr>1819-20 (E)</vt:lpstr>
      <vt:lpstr>1819-20 (I)</vt:lpstr>
      <vt:lpstr>1818-19 (E)</vt:lpstr>
      <vt:lpstr>1818-19 (I)</vt:lpstr>
      <vt:lpstr>1817-18 (E)</vt:lpstr>
      <vt:lpstr>1817-18 (I)</vt:lpstr>
      <vt:lpstr>1816-17 (E)</vt:lpstr>
      <vt:lpstr>1816-17 (I)</vt:lpstr>
      <vt:lpstr>1815-16 (E)</vt:lpstr>
      <vt:lpstr>1815-16 (I)</vt:lpstr>
      <vt:lpstr>1814-15 (E)</vt:lpstr>
      <vt:lpstr>1814-15 (I)</vt:lpstr>
      <vt:lpstr>1813-14 (E)</vt:lpstr>
      <vt:lpstr>1813-14 (I)</vt:lpstr>
      <vt:lpstr>1812-13 (E)</vt:lpstr>
      <vt:lpstr>1812-13 (I)</vt:lpstr>
      <vt:lpstr>1811-12 (E)</vt:lpstr>
      <vt:lpstr>1811-12 (I)</vt:lpstr>
      <vt:lpstr>1810-11 (E)</vt:lpstr>
      <vt:lpstr>1810-11 (I)</vt:lpstr>
      <vt:lpstr>1809-10 (E)</vt:lpstr>
      <vt:lpstr>1809-10 (I)</vt:lpstr>
      <vt:lpstr>1808-9 (E)</vt:lpstr>
      <vt:lpstr>1808-9 (I)</vt:lpstr>
      <vt:lpstr>1807-8 (E)</vt:lpstr>
      <vt:lpstr>1807-8 (I)</vt:lpstr>
      <vt:lpstr>1806-7 (E)</vt:lpstr>
      <vt:lpstr>1806-7 (I)</vt:lpstr>
      <vt:lpstr>1805-6 (E)</vt:lpstr>
      <vt:lpstr>1805-6 (I)</vt:lpstr>
      <vt:lpstr>1804-5 (E)</vt:lpstr>
      <vt:lpstr>1804-5 (I)</vt:lpstr>
      <vt:lpstr>1803-4 (E)</vt:lpstr>
      <vt:lpstr>1803-4 (I)</vt:lpstr>
      <vt:lpstr>1802-3 (E)</vt:lpstr>
      <vt:lpstr>1802-3 (I)</vt:lpstr>
      <vt:lpstr>1801-2 (E)</vt:lpstr>
      <vt:lpstr>1801-2 (I)</vt:lpstr>
      <vt:lpstr>1800-01 (E)</vt:lpstr>
      <vt:lpstr>1800-01 (I)</vt:lpstr>
      <vt:lpstr>1799-1800 (E)</vt:lpstr>
      <vt:lpstr>1799-1801 (I)</vt:lpstr>
      <vt:lpstr>1797-98 (E_J)</vt:lpstr>
      <vt:lpstr>1796-97 (E_WI)</vt:lpstr>
      <vt:lpstr>1796-97 (E_J)</vt:lpstr>
      <vt:lpstr>1771-73 (I_WI)</vt:lpstr>
      <vt:lpstr>Database!_FilterDatabase</vt:lpstr>
      <vt:lpstr>commodities</vt:lpstr>
      <vt:lpstr>exports</vt:lpstr>
      <vt:lpstr>fromlist</vt:lpstr>
      <vt:lpstr>imports</vt:lpstr>
      <vt:lpstr>tofrom</vt:lpstr>
      <vt:lpstr>tolist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Emilie Lavallee</dc:creator>
  <cp:lastModifiedBy>Emilie Lavallee</cp:lastModifiedBy>
  <cp:lastPrinted>2021-08-02T08:29:21Z</cp:lastPrinted>
  <dcterms:created xsi:type="dcterms:W3CDTF">2021-07-18T14:02:51Z</dcterms:created>
  <dcterms:modified xsi:type="dcterms:W3CDTF">2021-08-09T16:21:59Z</dcterms:modified>
</cp:coreProperties>
</file>